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sagen-my.sharepoint.com/personal/estd00355_isagen_com_co/Documents/DiferenciaCambioAndres/"/>
    </mc:Choice>
  </mc:AlternateContent>
  <xr:revisionPtr revIDLastSave="851" documentId="8_{16AA4577-28C1-4FA6-B8B7-230F3D502EA5}" xr6:coauthVersionLast="47" xr6:coauthVersionMax="47" xr10:uidLastSave="{D2201350-0B80-45E3-A3F5-9FD716E0E596}"/>
  <bookViews>
    <workbookView xWindow="-120" yWindow="-120" windowWidth="20730" windowHeight="11160" tabRatio="923" activeTab="1" xr2:uid="{00000000-000D-0000-FFFF-FFFF00000000}"/>
  </bookViews>
  <sheets>
    <sheet name="TRM BanRep" sheetId="43" r:id="rId1"/>
    <sheet name="MonExtranjera" sheetId="40" r:id="rId2"/>
    <sheet name="PATRIMONIO_FISCAL " sheetId="21" r:id="rId3"/>
    <sheet name="CtaPte_Divisas" sheetId="46" r:id="rId4"/>
    <sheet name="NegoDivisa" sheetId="47" r:id="rId5"/>
    <sheet name=" Depuración Renta" sheetId="7" r:id="rId6"/>
    <sheet name="Ingreso-Gasto Mes" sheetId="41" r:id="rId7"/>
    <sheet name="Balance" sheetId="42" r:id="rId8"/>
    <sheet name="Conciliación Bancos" sheetId="44" state="hidden" r:id="rId9"/>
    <sheet name="Seguimiento Dif Patrimonial" sheetId="45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\0" localSheetId="1">[1]ANEXO141!#REF!</definedName>
    <definedName name="\0">[1]ANEXO141!#REF!</definedName>
    <definedName name="\A" localSheetId="1">#REF!</definedName>
    <definedName name="\A">#REF!</definedName>
    <definedName name="\l" localSheetId="1">[1]ANEXO141!#REF!</definedName>
    <definedName name="\l">[1]ANEXO141!#REF!</definedName>
    <definedName name="\m" localSheetId="1">[1]ANEXO141!#REF!</definedName>
    <definedName name="\m">[1]ANEXO141!#REF!</definedName>
    <definedName name="\p" localSheetId="1">[1]ANEXO141!#REF!</definedName>
    <definedName name="\p">[1]ANEXO141!#REF!</definedName>
    <definedName name="\q">[1]ANEXO141!#REF!</definedName>
    <definedName name="\v">[1]ANEXO141!#REF!</definedName>
    <definedName name="\x">[1]ANEXO141!#REF!</definedName>
    <definedName name="\z">[1]ANEXO141!#REF!</definedName>
    <definedName name="_________uv1">[2]DATOS!#REF!</definedName>
    <definedName name="_________uv2">[3]DATOS!#REF!</definedName>
    <definedName name="_________uv3">[4]DATOS!#REF!</definedName>
    <definedName name="_______uv1">[2]DATOS!#REF!</definedName>
    <definedName name="_______uv2">[3]DATOS!#REF!</definedName>
    <definedName name="_______uv3">[4]DATOS!#REF!</definedName>
    <definedName name="______uv1">[2]DATOS!#REF!</definedName>
    <definedName name="______uv2">[3]DATOS!#REF!</definedName>
    <definedName name="______uv3">[4]DATOS!#REF!</definedName>
    <definedName name="____uv1">[2]DATOS!#REF!</definedName>
    <definedName name="____uv2">[3]DATOS!#REF!</definedName>
    <definedName name="____uv3">[4]DATOS!#REF!</definedName>
    <definedName name="___uv1">[2]DATOS!#REF!</definedName>
    <definedName name="___uv2">[3]DATOS!#REF!</definedName>
    <definedName name="___uv3">[4]DATOS!#REF!</definedName>
    <definedName name="__123Graph_AGRAPH1" hidden="1">[5]apports!$H$151:$H$162</definedName>
    <definedName name="__123Graph_BGRAPH1" hidden="1">[5]apports!$I$151:$I$162</definedName>
    <definedName name="__123Graph_CGRAPH1" hidden="1">[5]apports!$H$163:$H$173</definedName>
    <definedName name="__Ht_Data_Spc_Version_Spc_1" hidden="1">"01._Spc_Current_Spc_Data_Spc_Version"</definedName>
    <definedName name="__Ht_Data_Spc_Version_Spc_2" hidden="1">"02._Spc_Previous_Spc_Year_Spc_Data_Spc_Version"</definedName>
    <definedName name="__Ht_Data_Spc_Version_Spc_3" hidden="1">"03._Spc_Most_Spc_recent_Spc_Budget_Spc_Version"</definedName>
    <definedName name="__Ht_Data_Spc_Version_Spc_4" hidden="1">"04._Spc_Target_Spc_Data_Spc_version_Spc_for_Spc_Quarter_Hyp_to_Hyp_go"</definedName>
    <definedName name="__Ht_Data_Spc_Version_Spc_5" hidden="1">"02b._Spc_Previous_Spc_Year_Spc_Current_Spc_volume_Spc_Version"</definedName>
    <definedName name="__Ht_Data_Spc_Version_Spc_6" hidden="1">"03b._Spc_Most_Spc_recent_Spc_budget_Spc_Current_Spc_volume_Spc_version"</definedName>
    <definedName name="__Ht_Data_Spc_Version_Spc_7" hidden="1">"01b._Spc_Current_Spc_volume_Spc_Data_Spc_Version"</definedName>
    <definedName name="__Ht_Data_Spc_Version_Spc_8" hidden="1">"04b._Spc_Target_Spc_Volume_Spc_version_Spc_for_Spc_Quarter_Hyp_to_Hyp_go"</definedName>
    <definedName name="__Ht_Period_Spc_1" hidden="1">"05._Spc_Current_Spc_Month"</definedName>
    <definedName name="__Ht_Period_Spc_2" hidden="1">"07._Spc_All_Spc_months_Spc_in_Spc_YTD"</definedName>
    <definedName name="__Ht_Period_Spc_3" hidden="1">"06._Spc_All_Spc_months_Spc_in_Spc_current_Spc_Quarter"</definedName>
    <definedName name="__Ht_Region_Spc_1" hidden="1">"18._Spc_Select_Spc_your_Spc_region"</definedName>
    <definedName name="__Ht_USD_Spc_Month_Spc_1?" hidden="1">"12._Spc_Financials_Spc_Month"</definedName>
    <definedName name="__Ht_USD_Spc_Quarter_Spc_1?" hidden="1">"13._Spc_Financials_Spc_Quarter"</definedName>
    <definedName name="__Ht_USD_Spc_YTD_Spc_1?" hidden="1">"14._Spc_Financials_Spc_YTD"</definedName>
    <definedName name="__Ht_Variance_Spc_Description_Spc_1" hidden="1">"08._Spc_Variance_Spc_Description_Spc_vs._Spc_Actual"</definedName>
    <definedName name="__Ht_Variance_Spc_Description_Spc_2" hidden="1">"9._Spc_Variance_Spc_Description_Spc_vs._Spc_Budget"</definedName>
    <definedName name="__Ht_Variance_Spc_Description_Spc_3" hidden="1">"10._Spc_OCI_Spc_tracking_Spc_Variance_Spc_Description_Spc_1"</definedName>
    <definedName name="__Ht_Variance_Spc_Description_Spc_4" hidden="1">"11._Spc_OCI_Spc_tracking_Spc_Variance_Spc_Description_Spc_2"</definedName>
    <definedName name="__Ht_Volume_Spc_Month_Spc_1?" hidden="1">"15._Spc_Volume_Spc_Month"</definedName>
    <definedName name="__Ht_Volume_Spc_Quarter_Spc_1?" hidden="1">"16._Spc_Volume_Spc_Quarter"</definedName>
    <definedName name="__Ht_Volume_Spc_YTD_Spc_1?" hidden="1">"17._Spc_Volume_Spc_YTD"</definedName>
    <definedName name="__uv1">[2]DATOS!#REF!</definedName>
    <definedName name="__uv2">[3]DATOS!#REF!</definedName>
    <definedName name="__uv3">[4]DATOS!#REF!</definedName>
    <definedName name="_1" localSheetId="1">[1]ANEXO141!#REF!</definedName>
    <definedName name="_1">[1]ANEXO141!#REF!</definedName>
    <definedName name="_2_" localSheetId="1">[1]ANEXO141!#REF!</definedName>
    <definedName name="_2_">[1]ANEXO141!#REF!</definedName>
    <definedName name="_Fill" localSheetId="1" hidden="1">#REF!</definedName>
    <definedName name="_Fill" hidden="1">#REF!</definedName>
    <definedName name="_xlnm._FilterDatabase" localSheetId="5" hidden="1">' Depuración Renta'!$A$5:$H$60</definedName>
    <definedName name="_xlnm._FilterDatabase" localSheetId="7" hidden="1">Balance!$E$1:$H$1160</definedName>
    <definedName name="_xlnm._FilterDatabase" localSheetId="3" hidden="1">CtaPte_Divisas!$B$5:$Y$1229</definedName>
    <definedName name="_xlnm._FilterDatabase" localSheetId="6" hidden="1">'Ingreso-Gasto Mes'!$A$4:$Q$59</definedName>
    <definedName name="_xlnm._FilterDatabase" localSheetId="0" hidden="1">'TRM BanRep'!$A$4:$V$2200</definedName>
    <definedName name="_Key1" localSheetId="1" hidden="1">#REF!</definedName>
    <definedName name="_Key1" hidden="1">#REF!</definedName>
    <definedName name="_Key2" localSheetId="1" hidden="1">#REF!</definedName>
    <definedName name="_Key2" hidden="1">#REF!</definedName>
    <definedName name="_Order1" hidden="1">255</definedName>
    <definedName name="_Order2" hidden="1">255</definedName>
    <definedName name="_Parse_Out" localSheetId="1" hidden="1">#REF!</definedName>
    <definedName name="_Parse_Out" hidden="1">#REF!</definedName>
    <definedName name="_Sort" localSheetId="1" hidden="1">#REF!</definedName>
    <definedName name="_Sort" hidden="1">#REF!</definedName>
    <definedName name="_uv1" localSheetId="1">[2]DATOS!#REF!</definedName>
    <definedName name="_uv1">[2]DATOS!#REF!</definedName>
    <definedName name="_uv2" localSheetId="1">[3]DATOS!#REF!</definedName>
    <definedName name="_uv2">[3]DATOS!#REF!</definedName>
    <definedName name="_uv3" localSheetId="1">[4]DATOS!#REF!</definedName>
    <definedName name="_uv3">[4]DATOS!#REF!</definedName>
    <definedName name="A" localSheetId="1">[1]ANEXO141!#REF!</definedName>
    <definedName name="A">[1]ANEXO141!#REF!</definedName>
    <definedName name="AA" localSheetId="1">[1]ANEXO141!#REF!</definedName>
    <definedName name="AA">[1]ANEXO141!#REF!</definedName>
    <definedName name="adlkjdaf" localSheetId="1">#REF!</definedName>
    <definedName name="adlkjdaf">#REF!</definedName>
    <definedName name="AJUSTADO" localSheetId="1" hidden="1">{"'S. C. B.'!$E$207"}</definedName>
    <definedName name="AJUSTADO" hidden="1">{"'S. C. B.'!$E$207"}</definedName>
    <definedName name="ANEXO21" localSheetId="1">#REF!</definedName>
    <definedName name="ANEXO21">#REF!</definedName>
    <definedName name="ANULAR" localSheetId="1" hidden="1">{"'S. C. B.'!$E$207"}</definedName>
    <definedName name="ANULAR" hidden="1">{"'S. C. B.'!$E$207"}</definedName>
    <definedName name="_xlnm.Print_Area" localSheetId="1">#REF!</definedName>
    <definedName name="_xlnm.Print_Area">#REF!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sd">#REF!</definedName>
    <definedName name="B" localSheetId="1" hidden="1">{"'S. C. B.'!$E$207"}</definedName>
    <definedName name="B" hidden="1">{"'S. C. B.'!$E$207"}</definedName>
    <definedName name="BB" localSheetId="1" hidden="1">{"'S. C. B.'!$E$207"}</definedName>
    <definedName name="BB" hidden="1">{"'S. C. B.'!$E$207"}</definedName>
    <definedName name="BG_Del" hidden="1">15</definedName>
    <definedName name="BG_Ins" hidden="1">4</definedName>
    <definedName name="BG_Mod" hidden="1">6</definedName>
    <definedName name="C_">[1]ANEXO141!#REF!</definedName>
    <definedName name="CDAARA" localSheetId="1" hidden="1">{"'S. C. B.'!$E$207"}</definedName>
    <definedName name="CDAARA" hidden="1">{"'S. C. B.'!$E$207"}</definedName>
    <definedName name="CERO">[1]ANEXO141!#REF!</definedName>
    <definedName name="CFNAL" localSheetId="1" hidden="1">{"'S. C. B.'!$E$207"}</definedName>
    <definedName name="CFNAL" hidden="1">{"'S. C. B.'!$E$207"}</definedName>
    <definedName name="CONTRA">[1]ANEXO141!#REF!</definedName>
    <definedName name="COPY">[1]ANEXO141!#REF!</definedName>
    <definedName name="D" localSheetId="1" hidden="1">{"'S. C. B.'!$E$207"}</definedName>
    <definedName name="D" hidden="1">{"'S. C. B.'!$E$207"}</definedName>
    <definedName name="DARWERWETWRET" localSheetId="1" hidden="1">{"'S. C. B.'!$E$207"}</definedName>
    <definedName name="DARWERWETWRET" hidden="1">{"'S. C. B.'!$E$207"}</definedName>
    <definedName name="das" localSheetId="1" hidden="1">{"'S. C. B.'!$E$207"}</definedName>
    <definedName name="das" hidden="1">{"'S. C. B.'!$E$207"}</definedName>
    <definedName name="DATOS0A">[1]ANEXO141!#REF!</definedName>
    <definedName name="DATOS1">[1]ANEXO141!#REF!</definedName>
    <definedName name="de" localSheetId="1" hidden="1">{"'S. C. B.'!$E$207"}</definedName>
    <definedName name="de" hidden="1">{"'S. C. B.'!$E$207"}</definedName>
    <definedName name="DEOL" localSheetId="1" hidden="1">{"'S. C. B.'!$E$207"}</definedName>
    <definedName name="DEOL" hidden="1">{"'S. C. B.'!$E$207"}</definedName>
    <definedName name="Depreciación">[6]Hoja1!#REF!</definedName>
    <definedName name="DEVOLUCIONES" localSheetId="1" hidden="1">{"'S. C. B.'!$E$207"}</definedName>
    <definedName name="DEVOLUCIONES" hidden="1">{"'S. C. B.'!$E$207"}</definedName>
    <definedName name="DialogoOtros">"Dialog Frame 1"</definedName>
    <definedName name="divi" localSheetId="1" hidden="1">{"'S. C. B.'!$E$207"}</definedName>
    <definedName name="divi" hidden="1">{"'S. C. B.'!$E$207"}</definedName>
    <definedName name="ENTER">[1]ANEXO141!#REF!</definedName>
    <definedName name="ENTER1">[1]ANEXO141!#REF!</definedName>
    <definedName name="ENTRA">[1]ANEXO141!#REF!</definedName>
    <definedName name="ERROR">[1]ANEXO141!#REF!</definedName>
    <definedName name="FACTOR">#REF!</definedName>
    <definedName name="Fecha_Compra">[6]Hoja1!#REF!</definedName>
    <definedName name="FR" localSheetId="1" hidden="1">{"'S. C. B.'!$E$207"}</definedName>
    <definedName name="FR" hidden="1">{"'S. C. B.'!$E$207"}</definedName>
    <definedName name="FX_average">[7]Cognos!$D$2</definedName>
    <definedName name="FX_closing">[7]Cognos!$D$3</definedName>
    <definedName name="FX_opening">[7]Cognos!$D$1</definedName>
    <definedName name="GRABAR" localSheetId="1">[1]ANEXO141!#REF!</definedName>
    <definedName name="GRABAR">[1]ANEXO141!#REF!</definedName>
    <definedName name="HTML_CodePage" hidden="1">1252</definedName>
    <definedName name="HTML_Control" localSheetId="1" hidden="1">{"'S. C. B.'!$E$207"}</definedName>
    <definedName name="HTML_Control" hidden="1">{"'S. C. B.'!$E$207"}</definedName>
    <definedName name="HTML_Description" hidden="1">""</definedName>
    <definedName name="HTML_Email" hidden="1">""</definedName>
    <definedName name="HTML_Header" hidden="1">"S. C. B."</definedName>
    <definedName name="HTML_LastUpdate" hidden="1">"20/6/00"</definedName>
    <definedName name="HTML_LineAfter" hidden="1">FALSE</definedName>
    <definedName name="HTML_LineBefore" hidden="1">FALSE</definedName>
    <definedName name="HTML_Name" hidden="1">"Nery Tuirán"</definedName>
    <definedName name="HTML_OBDlg2" hidden="1">TRUE</definedName>
    <definedName name="HTML_OBDlg4" hidden="1">TRUE</definedName>
    <definedName name="HTML_OS" hidden="1">0</definedName>
    <definedName name="HTML_PathFile" hidden="1">"A:\HTML.htm"</definedName>
    <definedName name="HTML_Title" hidden="1">"FIRMAS COMISIONISTAS"</definedName>
    <definedName name="I" localSheetId="1">[1]ANEXO141!#REF!</definedName>
    <definedName name="I">[1]ANEXO141!#REF!</definedName>
    <definedName name="ibbgral">"Chart 19"</definedName>
    <definedName name="IMPRESION" localSheetId="1">[1]ANEXO141!#REF!</definedName>
    <definedName name="IMPRESION">[1]ANEXO141!#REF!</definedName>
    <definedName name="IMPRESION1" localSheetId="1">[1]ANEXO141!#REF!</definedName>
    <definedName name="IMPRESION1">[1]ANEXO141!#REF!</definedName>
    <definedName name="INI" localSheetId="1">[1]ANEXO141!#REF!</definedName>
    <definedName name="INI">[1]ANEXO141!#REF!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DUSTRY_REC" hidden="1">"c4455"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FLOW_ACT_OR_EST" hidden="1">"c4154"</definedName>
    <definedName name="IQ_CASH_INTEREST" hidden="1">"c120"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V_AMOUNT" hidden="1">"c3041"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ST" hidden="1">"c1681"</definedName>
    <definedName name="IQ_EBIT_EXCL_SBC" hidden="1">"c3082"</definedName>
    <definedName name="IQ_EBIT_GW_ACT_OR_EST" hidden="1">"c4306"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BC_ACT_OR_EST" hidden="1">"c4316"</definedName>
    <definedName name="IQ_EBIT_SBC_GW_ACT_OR_EST" hidden="1">"c4320"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SBC_ACT_OR_EST" hidden="1">"c4350"</definedName>
    <definedName name="IQ_EBT_SBC_GW_ACT_OR_EST" hidden="1">"c4354"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REUT" hidden="1">"c5453"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UM_EST" hidden="1">"c402"</definedName>
    <definedName name="IQ_EPS_NUM_EST_REUT" hidden="1">"c5451"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BC_ACT_OR_EST" hidden="1">"c4376"</definedName>
    <definedName name="IQ_EPS_SBC_GW_ACT_OR_EST" hidden="1">"c4380"</definedName>
    <definedName name="IQ_EPS_STDDEV_EST" hidden="1">"c403"</definedName>
    <definedName name="IQ_EPS_STDDEV_EST_REUT" hidden="1">"c5452"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1YR_REUT" hidden="1">"c3646"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REUT" hidden="1">"c3633"</definedName>
    <definedName name="IQ_EST_EPS_GROWTH_5YR_STDDEV" hidden="1">"c1660"</definedName>
    <definedName name="IQ_EST_EPS_GROWTH_Q_1YR" hidden="1">"c1641"</definedName>
    <definedName name="IQ_EST_EPS_GROWTH_Q_1YR_REUT" hidden="1">"c5410"</definedName>
    <definedName name="IQ_EST_EPS_GW_DIFF" hidden="1">"c1891"</definedName>
    <definedName name="IQ_EST_EPS_GW_SURPRISE_PERCENT" hidden="1">"c1892"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ST_VENDOR" hidden="1">"c5564"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DJ_ACT_OR_EST" hidden="1">"c4435"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PAYOUT_RATIO" hidden="1">"c3492"</definedName>
    <definedName name="IQ_FFO_SHARE_ACT_OR_EST" hidden="1">"c4446"</definedName>
    <definedName name="IQ_FFO_STDDEV_EST" hidden="1">"c422"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_TARGET_PRICE_REUT" hidden="1">"c5317"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CAPEX" hidden="1">"c2947"</definedName>
    <definedName name="IQ_MAINT_CAPEX_ACT_OR_EST" hidden="1">"c4458"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BC_ACT_OR_EST" hidden="1">"c4474"</definedName>
    <definedName name="IQ_NI_SBC_GW_ACT_OR_EST" hidden="1">"c4478"</definedName>
    <definedName name="IQ_NI_SFAS" hidden="1">"c795"</definedName>
    <definedName name="IQ_NI_STDDEV_EST" hidden="1">"c1721"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TOTAL_OIL_PRODUCT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OVER_BVPS" hidden="1">"c1412"</definedName>
    <definedName name="IQ_PRICE_OVER_LTM_EPS" hidden="1">"c1413"</definedName>
    <definedName name="IQ_PRICE_TARGET" hidden="1">"c82"</definedName>
    <definedName name="IQ_PRICE_TARGET_REUT" hidden="1">"c3631"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CURRING_PROFIT_ACT_OR_EST" hidden="1">"c4507"</definedName>
    <definedName name="IQ_RECURRING_PROFIT_SHARE_ACT_OR_EST" hidden="1">"c4508"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ENUE" hidden="1">"c1422"</definedName>
    <definedName name="IQ_REVENUE_EST" hidden="1">"c1126"</definedName>
    <definedName name="IQ_REVENUE_EST_REUT" hidden="1">"c3634"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39560.5642361111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"c2104"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JE" localSheetId="1" hidden="1">{"'S. C. B.'!$E$207"}</definedName>
    <definedName name="JE" hidden="1">{"'S. C. B.'!$E$207"}</definedName>
    <definedName name="jhjj" localSheetId="1" hidden="1">{"'S. C. B.'!$E$207"}</definedName>
    <definedName name="jhjj" hidden="1">{"'S. C. B.'!$E$207"}</definedName>
    <definedName name="JJAJAJJ" localSheetId="1" hidden="1">{"'S. C. B.'!$E$207"}</definedName>
    <definedName name="JJAJAJJ" hidden="1">{"'S. C. B.'!$E$207"}</definedName>
    <definedName name="JULIO" localSheetId="1" hidden="1">{"'S. C. B.'!$E$207"}</definedName>
    <definedName name="JULIO" hidden="1">{"'S. C. B.'!$E$207"}</definedName>
    <definedName name="JUNIO" localSheetId="1" hidden="1">{"'S. C. B.'!$E$207"}</definedName>
    <definedName name="JUNIO" hidden="1">{"'S. C. B.'!$E$207"}</definedName>
    <definedName name="JV" localSheetId="1" hidden="1">{"'S. C. B.'!$E$207"}</definedName>
    <definedName name="JV" hidden="1">{"'S. C. B.'!$E$207"}</definedName>
    <definedName name="LJ" localSheetId="1" hidden="1">{"'S. C. B.'!$E$207"}</definedName>
    <definedName name="LJ" hidden="1">{"'S. C. B.'!$E$207"}</definedName>
    <definedName name="LOGISTICA" localSheetId="1" hidden="1">{"'S. C. B.'!$E$207"}</definedName>
    <definedName name="LOGISTICA" hidden="1">{"'S. C. B.'!$E$207"}</definedName>
    <definedName name="MACRO">[1]ANEXO141!#REF!</definedName>
    <definedName name="MENSAJE">[1]ANEXO141!#REF!</definedName>
    <definedName name="MENU0">[1]ANEXO141!#REF!</definedName>
    <definedName name="MENU1">[1]ANEXO141!#REF!</definedName>
    <definedName name="MENU4">[1]ANEXO141!#REF!</definedName>
    <definedName name="MENU5">[1]ANEXO141!#REF!</definedName>
    <definedName name="MIOJAKDJKA" localSheetId="1" hidden="1">{"'S. C. B.'!$E$207"}</definedName>
    <definedName name="MIOJAKDJKA" hidden="1">{"'S. C. B.'!$E$207"}</definedName>
    <definedName name="Mueble">[6]Hoja1!#REF!</definedName>
    <definedName name="period">[8]Checklist!$A$5</definedName>
    <definedName name="Porcentaje_Depreciación">[6]Hoja1!#REF!</definedName>
    <definedName name="PORTADA">[1]ANEXO141!#REF!</definedName>
    <definedName name="Print_Area" localSheetId="1">#REF!</definedName>
    <definedName name="Print_Area">#REF!</definedName>
    <definedName name="Print_Titles" localSheetId="1">#REF!</definedName>
    <definedName name="Print_Titles">#REF!</definedName>
    <definedName name="Print_Titles_MI" localSheetId="1">[1]ANEXO141!$A$1:$IV$8,[1]ANEXO141!$A$1:$E$65536</definedName>
    <definedName name="Print_Titles_MI">[1]ANEXO141!$1:$8,[1]ANEXO141!$A:$E</definedName>
    <definedName name="PROBLEMA">[1]ANEXO141!#REF!</definedName>
    <definedName name="quarter">[7]Checklist!$A$3</definedName>
    <definedName name="RANGO1">T([9]DATE!A1048575)</definedName>
    <definedName name="rango2" localSheetId="1">T([10]DATE!A1048575)</definedName>
    <definedName name="rango2">T([9]DATE!A1048575)</definedName>
    <definedName name="REA" localSheetId="1" hidden="1">{"'S. C. B.'!$E$207"}</definedName>
    <definedName name="REA" hidden="1">{"'S. C. B.'!$E$207"}</definedName>
    <definedName name="reajuste" localSheetId="1" hidden="1">{"'S. C. B.'!$E$207"}</definedName>
    <definedName name="reajuste" hidden="1">{"'S. C. B.'!$E$207"}</definedName>
    <definedName name="RENTA" localSheetId="1" hidden="1">{"'S. C. B.'!$E$207"}</definedName>
    <definedName name="RENTA" hidden="1">{"'S. C. B.'!$E$207"}</definedName>
    <definedName name="RESUMEN" localSheetId="1" hidden="1">{"'S. C. B.'!$E$207"}</definedName>
    <definedName name="RESUMEN" hidden="1">{"'S. C. B.'!$E$207"}</definedName>
    <definedName name="RT" localSheetId="1" hidden="1">{"'S. C. B.'!$E$207"}</definedName>
    <definedName name="RT" hidden="1">{"'S. C. B.'!$E$207"}</definedName>
    <definedName name="SALECONTRA">[1]ANEXO141!#REF!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0.000001</definedName>
    <definedName name="solver_scl" hidden="1">0</definedName>
    <definedName name="solver_sho" hidden="1">0</definedName>
    <definedName name="solver_tim" hidden="1">100</definedName>
    <definedName name="solver_tmp" hidden="1">#NULL!</definedName>
    <definedName name="solver_tol" hidden="1">0.05</definedName>
    <definedName name="solver_typ" hidden="1">1</definedName>
    <definedName name="solver_val" hidden="1">999999999</definedName>
    <definedName name="t" localSheetId="1" hidden="1">{"'S. C. B.'!$E$207"}</definedName>
    <definedName name="t" hidden="1">{"'S. C. B.'!$E$207"}</definedName>
    <definedName name="TESV" localSheetId="1" hidden="1">{"'S. C. B.'!$E$207"}</definedName>
    <definedName name="TESV" hidden="1">{"'S. C. B.'!$E$207"}</definedName>
    <definedName name="tid" localSheetId="1" hidden="1">{"'S. C. B.'!$E$207"}</definedName>
    <definedName name="tid" hidden="1">{"'S. C. B.'!$E$207"}</definedName>
    <definedName name="_xlnm.Print_Titles" localSheetId="1">[11]DATOS!$A$1:$IV$5</definedName>
    <definedName name="_xlnm.Print_Titles">[11]DATOS!$1:$5</definedName>
    <definedName name="UNO" localSheetId="1">[1]ANEXO141!#REF!</definedName>
    <definedName name="UNO">[1]ANEXO141!#REF!</definedName>
    <definedName name="VALACCIONES" localSheetId="1">[1]ANEXO141!#REF!</definedName>
    <definedName name="VALACCIONES">[1]ANEXO141!#REF!</definedName>
    <definedName name="VALACCIONESA" localSheetId="1">[1]ANEXO141!#REF!</definedName>
    <definedName name="VALACCIONESA">[1]ANEXO141!#REF!</definedName>
    <definedName name="VALIDATION_THRESHOLD" localSheetId="1">#REF!</definedName>
    <definedName name="VALIDATION_THRESHOLD">#REF!</definedName>
    <definedName name="Valor_de_Adquisición" localSheetId="1">[6]Hoja1!#REF!</definedName>
    <definedName name="Valor_de_Adquisición">[6]Hoja1!#REF!</definedName>
    <definedName name="VENTA" localSheetId="1" hidden="1">{"'S. C. B.'!$E$207"}</definedName>
    <definedName name="VENTA" hidden="1">{"'S. C. B.'!$E$207"}</definedName>
    <definedName name="VENTAS" localSheetId="1" hidden="1">{"'S. C. B.'!$E$207"}</definedName>
    <definedName name="VENTAS" hidden="1">{"'S. C. B.'!$E$207"}</definedName>
    <definedName name="Vida_Util">[6]Hoja1!#REF!</definedName>
    <definedName name="VTA" localSheetId="1" hidden="1">{"'S. C. B.'!$E$207"}</definedName>
    <definedName name="VTA" hidden="1">{"'S. C. B.'!$E$207"}</definedName>
    <definedName name="X108_Agosto_Lista" localSheetId="1">#REF!</definedName>
    <definedName name="X108_Agosto_Lista">#REF!</definedName>
    <definedName name="Z">[1]ANEXO141!#REF!</definedName>
  </definedNames>
  <calcPr calcId="191029"/>
  <pivotCaches>
    <pivotCache cacheId="1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121" i="46" l="1"/>
  <c r="U1070" i="46"/>
  <c r="U1024" i="46"/>
  <c r="U1186" i="46"/>
  <c r="E70" i="45"/>
  <c r="L126" i="45" l="1"/>
  <c r="M126" i="45" s="1"/>
  <c r="L125" i="45"/>
  <c r="M125" i="45" s="1"/>
  <c r="N125" i="45" s="1"/>
  <c r="L124" i="45"/>
  <c r="M124" i="45" s="1"/>
  <c r="L121" i="45"/>
  <c r="M121" i="45" s="1"/>
  <c r="L120" i="45"/>
  <c r="L119" i="45"/>
  <c r="L118" i="45"/>
  <c r="M118" i="45" s="1"/>
  <c r="L115" i="45"/>
  <c r="M115" i="45" s="1"/>
  <c r="N114" i="45"/>
  <c r="M114" i="45"/>
  <c r="L114" i="45"/>
  <c r="M113" i="45"/>
  <c r="N113" i="45" s="1"/>
  <c r="L113" i="45"/>
  <c r="L112" i="45"/>
  <c r="M112" i="45" s="1"/>
  <c r="L111" i="45"/>
  <c r="L110" i="45"/>
  <c r="L109" i="45"/>
  <c r="M109" i="45" s="1"/>
  <c r="L108" i="45"/>
  <c r="M107" i="45"/>
  <c r="L107" i="45"/>
  <c r="L106" i="45"/>
  <c r="M106" i="45" s="1"/>
  <c r="L105" i="45"/>
  <c r="L104" i="45"/>
  <c r="L103" i="45"/>
  <c r="L102" i="45"/>
  <c r="L101" i="45"/>
  <c r="M98" i="45"/>
  <c r="L98" i="45"/>
  <c r="L97" i="45"/>
  <c r="L96" i="45"/>
  <c r="L95" i="45"/>
  <c r="L92" i="45"/>
  <c r="M92" i="45" s="1"/>
  <c r="L91" i="45"/>
  <c r="L90" i="45"/>
  <c r="M90" i="45" s="1"/>
  <c r="M89" i="45"/>
  <c r="N89" i="45" s="1"/>
  <c r="L89" i="45"/>
  <c r="M83" i="45"/>
  <c r="M75" i="45"/>
  <c r="L86" i="45"/>
  <c r="M86" i="45" s="1"/>
  <c r="L85" i="45"/>
  <c r="M85" i="45" s="1"/>
  <c r="L84" i="45"/>
  <c r="M84" i="45" s="1"/>
  <c r="L83" i="45"/>
  <c r="L82" i="45"/>
  <c r="M82" i="45" s="1"/>
  <c r="L81" i="45"/>
  <c r="M81" i="45" s="1"/>
  <c r="L80" i="45"/>
  <c r="M80" i="45" s="1"/>
  <c r="L79" i="45"/>
  <c r="M79" i="45" s="1"/>
  <c r="L78" i="45"/>
  <c r="M78" i="45" s="1"/>
  <c r="L77" i="45"/>
  <c r="M77" i="45" s="1"/>
  <c r="L76" i="45"/>
  <c r="M76" i="45" s="1"/>
  <c r="L75" i="45"/>
  <c r="L74" i="45"/>
  <c r="M74" i="45" s="1"/>
  <c r="L73" i="45"/>
  <c r="M73" i="45" s="1"/>
  <c r="L72" i="45"/>
  <c r="M72" i="45" s="1"/>
  <c r="F82" i="7"/>
  <c r="F83" i="7"/>
  <c r="F85" i="7"/>
  <c r="F84" i="7"/>
  <c r="T1222" i="46"/>
  <c r="U1222" i="46" s="1"/>
  <c r="V1222" i="46" s="1"/>
  <c r="S1222" i="46"/>
  <c r="T1221" i="46"/>
  <c r="U1221" i="46" s="1"/>
  <c r="V1221" i="46" s="1"/>
  <c r="S1221" i="46"/>
  <c r="T1220" i="46"/>
  <c r="U1220" i="46" s="1"/>
  <c r="V1220" i="46" s="1"/>
  <c r="S1220" i="46"/>
  <c r="T1219" i="46"/>
  <c r="U1219" i="46" s="1"/>
  <c r="V1219" i="46" s="1"/>
  <c r="S1219" i="46"/>
  <c r="T1218" i="46"/>
  <c r="U1218" i="46" s="1"/>
  <c r="V1218" i="46" s="1"/>
  <c r="S1218" i="46"/>
  <c r="T1217" i="46"/>
  <c r="U1217" i="46" s="1"/>
  <c r="V1217" i="46" s="1"/>
  <c r="S1217" i="46"/>
  <c r="T1216" i="46"/>
  <c r="S1216" i="46"/>
  <c r="T1215" i="46"/>
  <c r="S1215" i="46"/>
  <c r="T1214" i="46"/>
  <c r="U1214" i="46" s="1"/>
  <c r="V1214" i="46" s="1"/>
  <c r="S1214" i="46"/>
  <c r="T1213" i="46"/>
  <c r="S1213" i="46"/>
  <c r="T1212" i="46"/>
  <c r="U1212" i="46" s="1"/>
  <c r="V1212" i="46" s="1"/>
  <c r="S1212" i="46"/>
  <c r="T1211" i="46"/>
  <c r="U1211" i="46" s="1"/>
  <c r="V1211" i="46" s="1"/>
  <c r="S1211" i="46"/>
  <c r="T1210" i="46"/>
  <c r="U1210" i="46" s="1"/>
  <c r="V1210" i="46" s="1"/>
  <c r="S1210" i="46"/>
  <c r="T1209" i="46"/>
  <c r="U1209" i="46" s="1"/>
  <c r="V1209" i="46" s="1"/>
  <c r="S1209" i="46"/>
  <c r="T1208" i="46"/>
  <c r="U1208" i="46" s="1"/>
  <c r="V1208" i="46" s="1"/>
  <c r="S1208" i="46"/>
  <c r="T1207" i="46"/>
  <c r="U1207" i="46" s="1"/>
  <c r="V1207" i="46" s="1"/>
  <c r="S1207" i="46"/>
  <c r="T1206" i="46"/>
  <c r="U1206" i="46" s="1"/>
  <c r="V1206" i="46" s="1"/>
  <c r="S1206" i="46"/>
  <c r="T1205" i="46"/>
  <c r="S1205" i="46"/>
  <c r="T1204" i="46"/>
  <c r="S1204" i="46"/>
  <c r="T1203" i="46"/>
  <c r="U1203" i="46" s="1"/>
  <c r="V1203" i="46" s="1"/>
  <c r="S1203" i="46"/>
  <c r="T1202" i="46"/>
  <c r="U1202" i="46" s="1"/>
  <c r="V1202" i="46" s="1"/>
  <c r="S1202" i="46"/>
  <c r="T1201" i="46"/>
  <c r="U1201" i="46" s="1"/>
  <c r="V1201" i="46" s="1"/>
  <c r="S1201" i="46"/>
  <c r="T1200" i="46"/>
  <c r="S1200" i="46"/>
  <c r="T1199" i="46"/>
  <c r="U1199" i="46" s="1"/>
  <c r="V1199" i="46" s="1"/>
  <c r="S1199" i="46"/>
  <c r="T1198" i="46"/>
  <c r="U1198" i="46" s="1"/>
  <c r="V1198" i="46" s="1"/>
  <c r="S1198" i="46"/>
  <c r="T1197" i="46"/>
  <c r="S1197" i="46"/>
  <c r="T1196" i="46"/>
  <c r="U1196" i="46" s="1"/>
  <c r="V1196" i="46" s="1"/>
  <c r="S1196" i="46"/>
  <c r="T1195" i="46"/>
  <c r="U1195" i="46" s="1"/>
  <c r="V1195" i="46" s="1"/>
  <c r="S1195" i="46"/>
  <c r="T1194" i="46"/>
  <c r="U1194" i="46" s="1"/>
  <c r="V1194" i="46" s="1"/>
  <c r="S1194" i="46"/>
  <c r="T1193" i="46"/>
  <c r="U1193" i="46" s="1"/>
  <c r="V1193" i="46" s="1"/>
  <c r="S1193" i="46"/>
  <c r="T1192" i="46"/>
  <c r="U1192" i="46" s="1"/>
  <c r="V1192" i="46" s="1"/>
  <c r="S1192" i="46"/>
  <c r="T1191" i="46"/>
  <c r="U1191" i="46" s="1"/>
  <c r="V1191" i="46" s="1"/>
  <c r="S1191" i="46"/>
  <c r="T1190" i="46"/>
  <c r="U1190" i="46" s="1"/>
  <c r="V1190" i="46" s="1"/>
  <c r="S1190" i="46"/>
  <c r="T1189" i="46"/>
  <c r="U1189" i="46" s="1"/>
  <c r="V1189" i="46" s="1"/>
  <c r="S1189" i="46"/>
  <c r="T1188" i="46"/>
  <c r="U1188" i="46" s="1"/>
  <c r="V1188" i="46" s="1"/>
  <c r="S1188" i="46"/>
  <c r="T1187" i="46"/>
  <c r="U1187" i="46" s="1"/>
  <c r="V1187" i="46" s="1"/>
  <c r="S1187" i="46"/>
  <c r="T1186" i="46"/>
  <c r="V1186" i="46" s="1"/>
  <c r="S1186" i="46"/>
  <c r="T1185" i="46"/>
  <c r="U1185" i="46" s="1"/>
  <c r="V1185" i="46" s="1"/>
  <c r="S1185" i="46"/>
  <c r="T1184" i="46"/>
  <c r="U1184" i="46" s="1"/>
  <c r="V1184" i="46" s="1"/>
  <c r="S1184" i="46"/>
  <c r="T1183" i="46"/>
  <c r="S1183" i="46"/>
  <c r="T1182" i="46"/>
  <c r="U1182" i="46" s="1"/>
  <c r="V1182" i="46" s="1"/>
  <c r="S1182" i="46"/>
  <c r="T1181" i="46"/>
  <c r="S1181" i="46"/>
  <c r="T1180" i="46"/>
  <c r="S1180" i="46"/>
  <c r="T1179" i="46"/>
  <c r="U1179" i="46" s="1"/>
  <c r="V1179" i="46" s="1"/>
  <c r="S1179" i="46"/>
  <c r="T1178" i="46"/>
  <c r="U1178" i="46" s="1"/>
  <c r="V1178" i="46" s="1"/>
  <c r="S1178" i="46"/>
  <c r="T1177" i="46"/>
  <c r="U1177" i="46" s="1"/>
  <c r="V1177" i="46" s="1"/>
  <c r="S1177" i="46"/>
  <c r="T1176" i="46"/>
  <c r="U1176" i="46" s="1"/>
  <c r="V1176" i="46" s="1"/>
  <c r="S1176" i="46"/>
  <c r="T1175" i="46"/>
  <c r="U1175" i="46" s="1"/>
  <c r="V1175" i="46" s="1"/>
  <c r="S1175" i="46"/>
  <c r="T1174" i="46"/>
  <c r="U1174" i="46" s="1"/>
  <c r="V1174" i="46" s="1"/>
  <c r="S1174" i="46"/>
  <c r="T1173" i="46"/>
  <c r="U1173" i="46" s="1"/>
  <c r="V1173" i="46" s="1"/>
  <c r="S1173" i="46"/>
  <c r="T1172" i="46"/>
  <c r="U1172" i="46" s="1"/>
  <c r="V1172" i="46" s="1"/>
  <c r="S1172" i="46"/>
  <c r="T1171" i="46"/>
  <c r="S1171" i="46"/>
  <c r="O113" i="45" l="1"/>
  <c r="N90" i="45"/>
  <c r="O90" i="45"/>
  <c r="N91" i="45"/>
  <c r="P91" i="45" s="1"/>
  <c r="M96" i="45"/>
  <c r="M119" i="45"/>
  <c r="O119" i="45" s="1"/>
  <c r="P119" i="45" s="1"/>
  <c r="Q119" i="45" s="1"/>
  <c r="M91" i="45"/>
  <c r="N119" i="45"/>
  <c r="R119" i="45" s="1"/>
  <c r="S119" i="45" s="1"/>
  <c r="T119" i="45" s="1"/>
  <c r="M97" i="45"/>
  <c r="M120" i="45"/>
  <c r="N124" i="45"/>
  <c r="O124" i="45" s="1"/>
  <c r="O125" i="45"/>
  <c r="P125" i="45" s="1"/>
  <c r="N126" i="45"/>
  <c r="O126" i="45" s="1"/>
  <c r="N118" i="45"/>
  <c r="N121" i="45"/>
  <c r="O121" i="45" s="1"/>
  <c r="N106" i="45"/>
  <c r="O106" i="45" s="1"/>
  <c r="P106" i="45" s="1"/>
  <c r="N112" i="45"/>
  <c r="O112" i="45" s="1"/>
  <c r="O115" i="45"/>
  <c r="P115" i="45" s="1"/>
  <c r="N107" i="45"/>
  <c r="O107" i="45" s="1"/>
  <c r="M108" i="45"/>
  <c r="P113" i="45"/>
  <c r="O114" i="45"/>
  <c r="P114" i="45" s="1"/>
  <c r="N115" i="45"/>
  <c r="M102" i="45"/>
  <c r="N102" i="45" s="1"/>
  <c r="N109" i="45"/>
  <c r="M110" i="45"/>
  <c r="M103" i="45"/>
  <c r="N110" i="45"/>
  <c r="M111" i="45"/>
  <c r="N103" i="45"/>
  <c r="M104" i="45"/>
  <c r="N108" i="45"/>
  <c r="O108" i="45" s="1"/>
  <c r="M105" i="45"/>
  <c r="N105" i="45" s="1"/>
  <c r="M101" i="45"/>
  <c r="N98" i="45"/>
  <c r="O98" i="45" s="1"/>
  <c r="M95" i="45"/>
  <c r="O89" i="45"/>
  <c r="P89" i="45"/>
  <c r="P90" i="45"/>
  <c r="Q90" i="45" s="1"/>
  <c r="R90" i="45" s="1"/>
  <c r="O91" i="45"/>
  <c r="N92" i="45"/>
  <c r="O92" i="45" s="1"/>
  <c r="N73" i="45"/>
  <c r="N74" i="45"/>
  <c r="N77" i="45"/>
  <c r="O77" i="45" s="1"/>
  <c r="N79" i="45"/>
  <c r="O79" i="45" s="1"/>
  <c r="P79" i="45" s="1"/>
  <c r="N80" i="45"/>
  <c r="N83" i="45"/>
  <c r="O83" i="45" s="1"/>
  <c r="O74" i="45"/>
  <c r="O82" i="45"/>
  <c r="P82" i="45" s="1"/>
  <c r="N72" i="45"/>
  <c r="O72" i="45" s="1"/>
  <c r="N75" i="45"/>
  <c r="O75" i="45" s="1"/>
  <c r="N76" i="45"/>
  <c r="O76" i="45" s="1"/>
  <c r="N78" i="45"/>
  <c r="O78" i="45" s="1"/>
  <c r="N85" i="45"/>
  <c r="O85" i="45" s="1"/>
  <c r="N86" i="45"/>
  <c r="N84" i="45"/>
  <c r="N81" i="45"/>
  <c r="O81" i="45" s="1"/>
  <c r="N82" i="45"/>
  <c r="U1180" i="46"/>
  <c r="V1180" i="46" s="1"/>
  <c r="U1216" i="46"/>
  <c r="V1216" i="46" s="1"/>
  <c r="U1200" i="46"/>
  <c r="V1200" i="46" s="1"/>
  <c r="U1204" i="46"/>
  <c r="V1204" i="46" s="1"/>
  <c r="U1171" i="46"/>
  <c r="V1171" i="46" s="1"/>
  <c r="U1197" i="46"/>
  <c r="V1197" i="46" s="1"/>
  <c r="U1213" i="46"/>
  <c r="V1213" i="46" s="1"/>
  <c r="U1181" i="46"/>
  <c r="V1181" i="46" s="1"/>
  <c r="U1205" i="46"/>
  <c r="V1205" i="46" s="1"/>
  <c r="U1215" i="46"/>
  <c r="V1215" i="46" s="1"/>
  <c r="U1183" i="46"/>
  <c r="V1183" i="46" s="1"/>
  <c r="O120" i="45" l="1"/>
  <c r="O102" i="45"/>
  <c r="P102" i="45" s="1"/>
  <c r="P109" i="45"/>
  <c r="O97" i="45"/>
  <c r="P97" i="45" s="1"/>
  <c r="Q91" i="45"/>
  <c r="R91" i="45" s="1"/>
  <c r="O86" i="45"/>
  <c r="N120" i="45"/>
  <c r="P120" i="45" s="1"/>
  <c r="O109" i="45"/>
  <c r="Q109" i="45" s="1"/>
  <c r="R109" i="45" s="1"/>
  <c r="P77" i="45"/>
  <c r="O110" i="45"/>
  <c r="N97" i="45"/>
  <c r="P124" i="45"/>
  <c r="N96" i="45"/>
  <c r="P126" i="45"/>
  <c r="Q125" i="45"/>
  <c r="R125" i="45" s="1"/>
  <c r="Q124" i="45"/>
  <c r="O118" i="45"/>
  <c r="P121" i="45"/>
  <c r="Q106" i="45"/>
  <c r="R106" i="45"/>
  <c r="P107" i="45"/>
  <c r="Q107" i="45"/>
  <c r="R107" i="45"/>
  <c r="Q114" i="45"/>
  <c r="R114" i="45" s="1"/>
  <c r="O111" i="45"/>
  <c r="O105" i="45"/>
  <c r="Q113" i="45"/>
  <c r="N104" i="45"/>
  <c r="N101" i="45"/>
  <c r="O103" i="45"/>
  <c r="P108" i="45"/>
  <c r="P112" i="45"/>
  <c r="Q112" i="45" s="1"/>
  <c r="Q115" i="45"/>
  <c r="R115" i="45" s="1"/>
  <c r="N111" i="45"/>
  <c r="P98" i="45"/>
  <c r="Q98" i="45" s="1"/>
  <c r="N95" i="45"/>
  <c r="R89" i="45"/>
  <c r="S91" i="45"/>
  <c r="T91" i="45" s="1"/>
  <c r="S90" i="45"/>
  <c r="T90" i="45" s="1"/>
  <c r="Q89" i="45"/>
  <c r="P92" i="45"/>
  <c r="P78" i="45"/>
  <c r="Q78" i="45" s="1"/>
  <c r="P83" i="45"/>
  <c r="Q83" i="45"/>
  <c r="P72" i="45"/>
  <c r="Q72" i="45" s="1"/>
  <c r="P75" i="45"/>
  <c r="Q75" i="45" s="1"/>
  <c r="P85" i="45"/>
  <c r="Q85" i="45"/>
  <c r="R85" i="45"/>
  <c r="Q79" i="45"/>
  <c r="Q76" i="45"/>
  <c r="R76" i="45" s="1"/>
  <c r="P76" i="45"/>
  <c r="O80" i="45"/>
  <c r="P80" i="45" s="1"/>
  <c r="O73" i="45"/>
  <c r="Q73" i="45" s="1"/>
  <c r="Q82" i="45"/>
  <c r="P74" i="45"/>
  <c r="P81" i="45"/>
  <c r="Q81" i="45" s="1"/>
  <c r="P73" i="45"/>
  <c r="O84" i="45"/>
  <c r="Q110" i="45" l="1"/>
  <c r="R74" i="45"/>
  <c r="R83" i="45"/>
  <c r="S85" i="45"/>
  <c r="T85" i="45" s="1"/>
  <c r="Q102" i="45"/>
  <c r="S107" i="45"/>
  <c r="T107" i="45" s="1"/>
  <c r="R110" i="45"/>
  <c r="S109" i="45"/>
  <c r="T109" i="45" s="1"/>
  <c r="S106" i="45"/>
  <c r="P96" i="45"/>
  <c r="Q96" i="45" s="1"/>
  <c r="Q77" i="45"/>
  <c r="R77" i="45" s="1"/>
  <c r="S77" i="45" s="1"/>
  <c r="Q74" i="45"/>
  <c r="P111" i="45"/>
  <c r="R111" i="45" s="1"/>
  <c r="P110" i="45"/>
  <c r="O96" i="45"/>
  <c r="T106" i="45"/>
  <c r="R79" i="45"/>
  <c r="S79" i="45" s="1"/>
  <c r="T79" i="45" s="1"/>
  <c r="Q92" i="45"/>
  <c r="R92" i="45" s="1"/>
  <c r="S115" i="45"/>
  <c r="T115" i="45" s="1"/>
  <c r="P86" i="45"/>
  <c r="Q86" i="45" s="1"/>
  <c r="Q126" i="45"/>
  <c r="R124" i="45"/>
  <c r="S124" i="45" s="1"/>
  <c r="S125" i="45"/>
  <c r="T125" i="45" s="1"/>
  <c r="P118" i="45"/>
  <c r="Q118" i="45" s="1"/>
  <c r="R118" i="45" s="1"/>
  <c r="Q121" i="45"/>
  <c r="R121" i="45" s="1"/>
  <c r="S121" i="45" s="1"/>
  <c r="Q120" i="45"/>
  <c r="R120" i="45" s="1"/>
  <c r="Q111" i="45"/>
  <c r="S111" i="45" s="1"/>
  <c r="R108" i="45"/>
  <c r="Q108" i="45"/>
  <c r="S108" i="45" s="1"/>
  <c r="S114" i="45"/>
  <c r="T114" i="45" s="1"/>
  <c r="R112" i="45"/>
  <c r="O101" i="45"/>
  <c r="P101" i="45" s="1"/>
  <c r="P103" i="45"/>
  <c r="P105" i="45"/>
  <c r="Q105" i="45" s="1"/>
  <c r="S112" i="45"/>
  <c r="R113" i="45"/>
  <c r="O104" i="45"/>
  <c r="P104" i="45" s="1"/>
  <c r="P95" i="45"/>
  <c r="R98" i="45"/>
  <c r="S98" i="45" s="1"/>
  <c r="O95" i="45"/>
  <c r="Q97" i="45"/>
  <c r="S89" i="45"/>
  <c r="T89" i="45" s="1"/>
  <c r="R78" i="45"/>
  <c r="Q80" i="45"/>
  <c r="S76" i="45"/>
  <c r="T76" i="45" s="1"/>
  <c r="R73" i="45"/>
  <c r="S73" i="45" s="1"/>
  <c r="T73" i="45" s="1"/>
  <c r="S82" i="45"/>
  <c r="R80" i="45"/>
  <c r="R81" i="45"/>
  <c r="P84" i="45"/>
  <c r="Q84" i="45" s="1"/>
  <c r="R82" i="45"/>
  <c r="T82" i="45" s="1"/>
  <c r="S72" i="45"/>
  <c r="T72" i="45" s="1"/>
  <c r="S74" i="45"/>
  <c r="T74" i="45" s="1"/>
  <c r="S81" i="45"/>
  <c r="T81" i="45" s="1"/>
  <c r="R75" i="45"/>
  <c r="S75" i="45" s="1"/>
  <c r="T75" i="45" s="1"/>
  <c r="R72" i="45"/>
  <c r="S83" i="45"/>
  <c r="T83" i="45" s="1"/>
  <c r="T111" i="45" l="1"/>
  <c r="R86" i="45"/>
  <c r="S86" i="45" s="1"/>
  <c r="T86" i="45"/>
  <c r="S92" i="45"/>
  <c r="T92" i="45"/>
  <c r="S80" i="45"/>
  <c r="T80" i="45" s="1"/>
  <c r="R97" i="45"/>
  <c r="S97" i="45" s="1"/>
  <c r="T97" i="45" s="1"/>
  <c r="T112" i="45"/>
  <c r="T98" i="45"/>
  <c r="R96" i="45"/>
  <c r="S96" i="45" s="1"/>
  <c r="T77" i="45"/>
  <c r="Q95" i="45"/>
  <c r="R95" i="45" s="1"/>
  <c r="S110" i="45"/>
  <c r="T110" i="45" s="1"/>
  <c r="R105" i="45"/>
  <c r="S105" i="45" s="1"/>
  <c r="T105" i="45" s="1"/>
  <c r="T96" i="45"/>
  <c r="R102" i="45"/>
  <c r="T124" i="45"/>
  <c r="R126" i="45"/>
  <c r="S126" i="45" s="1"/>
  <c r="T126" i="45" s="1"/>
  <c r="T121" i="45"/>
  <c r="S118" i="45"/>
  <c r="T118" i="45" s="1"/>
  <c r="S120" i="45"/>
  <c r="T120" i="45" s="1"/>
  <c r="R103" i="45"/>
  <c r="Q104" i="45"/>
  <c r="R104" i="45" s="1"/>
  <c r="S104" i="45" s="1"/>
  <c r="T108" i="45"/>
  <c r="Q103" i="45"/>
  <c r="S113" i="45"/>
  <c r="T113" i="45" s="1"/>
  <c r="Q101" i="45"/>
  <c r="R84" i="45"/>
  <c r="S84" i="45" s="1"/>
  <c r="T84" i="45" s="1"/>
  <c r="S78" i="45"/>
  <c r="T78" i="45" s="1"/>
  <c r="T102" i="45" l="1"/>
  <c r="S102" i="45"/>
  <c r="R101" i="45"/>
  <c r="S101" i="45" s="1"/>
  <c r="T101" i="45" s="1"/>
  <c r="T104" i="45"/>
  <c r="S103" i="45"/>
  <c r="T103" i="45" s="1"/>
  <c r="S95" i="45"/>
  <c r="T95" i="45" s="1"/>
  <c r="N2272" i="40" l="1"/>
  <c r="O2272" i="40" s="1"/>
  <c r="N2271" i="40"/>
  <c r="V2271" i="40" s="1"/>
  <c r="N2270" i="40"/>
  <c r="V2270" i="40" s="1"/>
  <c r="N2269" i="40"/>
  <c r="V2269" i="40" s="1"/>
  <c r="N2268" i="40"/>
  <c r="N2267" i="40"/>
  <c r="X2270" i="40"/>
  <c r="W2270" i="40"/>
  <c r="U2270" i="40"/>
  <c r="T2270" i="40"/>
  <c r="Q2270" i="40"/>
  <c r="M2270" i="40"/>
  <c r="X2269" i="40"/>
  <c r="W2269" i="40"/>
  <c r="U2269" i="40"/>
  <c r="T2269" i="40"/>
  <c r="Q2269" i="40"/>
  <c r="M2269" i="40"/>
  <c r="X2273" i="40"/>
  <c r="W2273" i="40"/>
  <c r="V2273" i="40"/>
  <c r="U2273" i="40"/>
  <c r="T2273" i="40"/>
  <c r="Q2273" i="40"/>
  <c r="O2273" i="40"/>
  <c r="M2273" i="40"/>
  <c r="X2272" i="40"/>
  <c r="W2272" i="40"/>
  <c r="U2272" i="40"/>
  <c r="T2272" i="40"/>
  <c r="Q2272" i="40"/>
  <c r="M2272" i="40"/>
  <c r="X2271" i="40"/>
  <c r="W2271" i="40"/>
  <c r="U2271" i="40"/>
  <c r="T2271" i="40"/>
  <c r="Q2271" i="40"/>
  <c r="M2271" i="40"/>
  <c r="S2240" i="40"/>
  <c r="P2240" i="40"/>
  <c r="N2240" i="40"/>
  <c r="O2240" i="40" s="1"/>
  <c r="M2240" i="40"/>
  <c r="U2239" i="40"/>
  <c r="S2239" i="40"/>
  <c r="T2239" i="40" s="1"/>
  <c r="Q2239" i="40"/>
  <c r="N2239" i="40"/>
  <c r="O2239" i="40" s="1"/>
  <c r="M2239" i="40"/>
  <c r="S2209" i="40"/>
  <c r="P2209" i="40"/>
  <c r="N2209" i="40"/>
  <c r="O2209" i="40" s="1"/>
  <c r="M2209" i="40"/>
  <c r="U2208" i="40"/>
  <c r="S2208" i="40"/>
  <c r="T2208" i="40" s="1"/>
  <c r="Q2208" i="40"/>
  <c r="N2208" i="40"/>
  <c r="O2208" i="40" s="1"/>
  <c r="M2208" i="40"/>
  <c r="S2159" i="40"/>
  <c r="P2159" i="40"/>
  <c r="Q2159" i="40" s="1"/>
  <c r="N2159" i="40"/>
  <c r="O2159" i="40" s="1"/>
  <c r="M2159" i="40"/>
  <c r="X2158" i="40"/>
  <c r="W2158" i="40"/>
  <c r="U2158" i="40"/>
  <c r="T2158" i="40"/>
  <c r="Q2158" i="40"/>
  <c r="N2158" i="40"/>
  <c r="R2159" i="40" s="1"/>
  <c r="M2158" i="40"/>
  <c r="X2092" i="40"/>
  <c r="W2092" i="40"/>
  <c r="U2092" i="40"/>
  <c r="T2092" i="40"/>
  <c r="Q2092" i="40"/>
  <c r="N2092" i="40"/>
  <c r="V2092" i="40" s="1"/>
  <c r="M2092" i="40"/>
  <c r="M2089" i="40"/>
  <c r="N2089" i="40"/>
  <c r="O2089" i="40" s="1"/>
  <c r="Q2089" i="40"/>
  <c r="T2089" i="40"/>
  <c r="U2089" i="40"/>
  <c r="W2089" i="40"/>
  <c r="X2089" i="40"/>
  <c r="M2090" i="40"/>
  <c r="N2090" i="40"/>
  <c r="O2090" i="40" s="1"/>
  <c r="Q2090" i="40"/>
  <c r="T2090" i="40"/>
  <c r="U2090" i="40"/>
  <c r="W2090" i="40"/>
  <c r="X2090" i="40"/>
  <c r="M2091" i="40"/>
  <c r="N2091" i="40"/>
  <c r="V2091" i="40" s="1"/>
  <c r="Q2091" i="40"/>
  <c r="T2091" i="40"/>
  <c r="U2091" i="40"/>
  <c r="W2091" i="40"/>
  <c r="X2091" i="40"/>
  <c r="S2149" i="40"/>
  <c r="P2149" i="40"/>
  <c r="Q2149" i="40" s="1"/>
  <c r="N2149" i="40"/>
  <c r="O2149" i="40" s="1"/>
  <c r="M2149" i="40"/>
  <c r="S2157" i="40"/>
  <c r="P2157" i="40"/>
  <c r="Q2157" i="40" s="1"/>
  <c r="N2157" i="40"/>
  <c r="O2157" i="40" s="1"/>
  <c r="M2157" i="40"/>
  <c r="S2155" i="40"/>
  <c r="P2155" i="40"/>
  <c r="Q2155" i="40" s="1"/>
  <c r="N2155" i="40"/>
  <c r="O2155" i="40" s="1"/>
  <c r="M2155" i="40"/>
  <c r="S2153" i="40"/>
  <c r="P2153" i="40"/>
  <c r="Q2153" i="40" s="1"/>
  <c r="N2153" i="40"/>
  <c r="O2153" i="40" s="1"/>
  <c r="M2153" i="40"/>
  <c r="S2151" i="40"/>
  <c r="P2151" i="40"/>
  <c r="Q2151" i="40" s="1"/>
  <c r="N2151" i="40"/>
  <c r="O2151" i="40" s="1"/>
  <c r="M2151" i="40"/>
  <c r="X2148" i="40"/>
  <c r="W2148" i="40"/>
  <c r="U2148" i="40"/>
  <c r="T2148" i="40"/>
  <c r="Q2148" i="40"/>
  <c r="N2148" i="40"/>
  <c r="V2148" i="40" s="1"/>
  <c r="M2148" i="40"/>
  <c r="X2156" i="40"/>
  <c r="W2156" i="40"/>
  <c r="U2156" i="40"/>
  <c r="T2156" i="40"/>
  <c r="Q2156" i="40"/>
  <c r="N2156" i="40"/>
  <c r="V2156" i="40" s="1"/>
  <c r="M2156" i="40"/>
  <c r="X2154" i="40"/>
  <c r="W2154" i="40"/>
  <c r="U2154" i="40"/>
  <c r="T2154" i="40"/>
  <c r="Q2154" i="40"/>
  <c r="N2154" i="40"/>
  <c r="V2154" i="40" s="1"/>
  <c r="M2154" i="40"/>
  <c r="X2152" i="40"/>
  <c r="W2152" i="40"/>
  <c r="U2152" i="40"/>
  <c r="T2152" i="40"/>
  <c r="Q2152" i="40"/>
  <c r="N2152" i="40"/>
  <c r="V2152" i="40" s="1"/>
  <c r="M2152" i="40"/>
  <c r="X2150" i="40"/>
  <c r="W2150" i="40"/>
  <c r="U2150" i="40"/>
  <c r="T2150" i="40"/>
  <c r="Q2150" i="40"/>
  <c r="N2150" i="40"/>
  <c r="V2150" i="40" s="1"/>
  <c r="M2150" i="40"/>
  <c r="S2176" i="40"/>
  <c r="P2176" i="40"/>
  <c r="N2176" i="40"/>
  <c r="K2176" i="40"/>
  <c r="U2175" i="40"/>
  <c r="T2175" i="40"/>
  <c r="Q2175" i="40"/>
  <c r="N2175" i="40"/>
  <c r="J2175" i="40"/>
  <c r="P2004" i="40"/>
  <c r="P2003" i="40"/>
  <c r="N2030" i="40"/>
  <c r="O2030" i="40" s="1"/>
  <c r="P2032" i="40"/>
  <c r="U2032" i="40" s="1"/>
  <c r="P2031" i="40"/>
  <c r="U2031" i="40" s="1"/>
  <c r="S2032" i="40"/>
  <c r="O2032" i="40"/>
  <c r="M2032" i="40"/>
  <c r="X2033" i="40"/>
  <c r="W2033" i="40"/>
  <c r="T2033" i="40"/>
  <c r="Q2033" i="40"/>
  <c r="O2033" i="40"/>
  <c r="M2033" i="40"/>
  <c r="S2031" i="40"/>
  <c r="O2031" i="40"/>
  <c r="M2031" i="40"/>
  <c r="S2030" i="40"/>
  <c r="Q2030" i="40"/>
  <c r="M2030" i="40"/>
  <c r="U2029" i="40"/>
  <c r="S2029" i="40"/>
  <c r="X2029" i="40" s="1"/>
  <c r="Q2029" i="40"/>
  <c r="N2029" i="40"/>
  <c r="O2029" i="40" s="1"/>
  <c r="M2029" i="40"/>
  <c r="U2028" i="40"/>
  <c r="S2028" i="40"/>
  <c r="T2028" i="40" s="1"/>
  <c r="Q2028" i="40"/>
  <c r="N2028" i="40"/>
  <c r="O2028" i="40" s="1"/>
  <c r="M2028" i="40"/>
  <c r="U2027" i="40"/>
  <c r="S2027" i="40"/>
  <c r="T2027" i="40" s="1"/>
  <c r="Q2027" i="40"/>
  <c r="N2027" i="40"/>
  <c r="V2027" i="40" s="1"/>
  <c r="M2027" i="40"/>
  <c r="U2026" i="40"/>
  <c r="S2026" i="40"/>
  <c r="X2026" i="40" s="1"/>
  <c r="Q2026" i="40"/>
  <c r="N2026" i="40"/>
  <c r="O2026" i="40" s="1"/>
  <c r="M2026" i="40"/>
  <c r="X2025" i="40"/>
  <c r="W2025" i="40"/>
  <c r="V2025" i="40"/>
  <c r="U2025" i="40"/>
  <c r="T2025" i="40"/>
  <c r="Q2025" i="40"/>
  <c r="O2025" i="40"/>
  <c r="M2025" i="40"/>
  <c r="N2007" i="40"/>
  <c r="V2007" i="40" s="1"/>
  <c r="N2006" i="40"/>
  <c r="X2008" i="40"/>
  <c r="W2008" i="40"/>
  <c r="V2008" i="40"/>
  <c r="U2008" i="40"/>
  <c r="T2008" i="40"/>
  <c r="Q2008" i="40"/>
  <c r="O2008" i="40"/>
  <c r="M2008" i="40"/>
  <c r="X2007" i="40"/>
  <c r="W2007" i="40"/>
  <c r="U2007" i="40"/>
  <c r="T2007" i="40"/>
  <c r="Q2007" i="40"/>
  <c r="M2007" i="40"/>
  <c r="S1890" i="40"/>
  <c r="P1890" i="40"/>
  <c r="U1890" i="40" s="1"/>
  <c r="N1890" i="40"/>
  <c r="O1890" i="40" s="1"/>
  <c r="M1890" i="40"/>
  <c r="X1889" i="40"/>
  <c r="W1889" i="40"/>
  <c r="U1889" i="40"/>
  <c r="T1889" i="40"/>
  <c r="Q1889" i="40"/>
  <c r="N1889" i="40"/>
  <c r="R1890" i="40" s="1"/>
  <c r="M1889" i="40"/>
  <c r="S1888" i="40"/>
  <c r="P1888" i="40"/>
  <c r="U1888" i="40" s="1"/>
  <c r="N1888" i="40"/>
  <c r="O1888" i="40" s="1"/>
  <c r="M1888" i="40"/>
  <c r="X1887" i="40"/>
  <c r="W1887" i="40"/>
  <c r="U1887" i="40"/>
  <c r="T1887" i="40"/>
  <c r="Q1887" i="40"/>
  <c r="N1887" i="40"/>
  <c r="V1887" i="40" s="1"/>
  <c r="M1887" i="40"/>
  <c r="X1820" i="40"/>
  <c r="W1820" i="40"/>
  <c r="U1820" i="40"/>
  <c r="T1820" i="40"/>
  <c r="Q1820" i="40"/>
  <c r="N1820" i="40"/>
  <c r="V1820" i="40" s="1"/>
  <c r="M1820" i="40"/>
  <c r="X1818" i="40"/>
  <c r="W1818" i="40"/>
  <c r="U1818" i="40"/>
  <c r="T1818" i="40"/>
  <c r="Q1818" i="40"/>
  <c r="N1818" i="40"/>
  <c r="V1818" i="40" s="1"/>
  <c r="M1818" i="40"/>
  <c r="X1817" i="40"/>
  <c r="W1817" i="40"/>
  <c r="U1817" i="40"/>
  <c r="T1817" i="40"/>
  <c r="Q1817" i="40"/>
  <c r="N1817" i="40"/>
  <c r="V1817" i="40" s="1"/>
  <c r="M1817" i="40"/>
  <c r="X1816" i="40"/>
  <c r="W1816" i="40"/>
  <c r="U1816" i="40"/>
  <c r="T1816" i="40"/>
  <c r="Q1816" i="40"/>
  <c r="N1816" i="40"/>
  <c r="V1816" i="40" s="1"/>
  <c r="M1816" i="40"/>
  <c r="X1815" i="40"/>
  <c r="W1815" i="40"/>
  <c r="U1815" i="40"/>
  <c r="T1815" i="40"/>
  <c r="Q1815" i="40"/>
  <c r="N1815" i="40"/>
  <c r="V1815" i="40" s="1"/>
  <c r="M1815" i="40"/>
  <c r="X1814" i="40"/>
  <c r="W1814" i="40"/>
  <c r="U1814" i="40"/>
  <c r="T1814" i="40"/>
  <c r="Q1814" i="40"/>
  <c r="N1814" i="40"/>
  <c r="V1814" i="40" s="1"/>
  <c r="M1814" i="40"/>
  <c r="S1886" i="40"/>
  <c r="P1886" i="40"/>
  <c r="Q1886" i="40" s="1"/>
  <c r="N1886" i="40"/>
  <c r="O1886" i="40" s="1"/>
  <c r="M1886" i="40"/>
  <c r="X1885" i="40"/>
  <c r="W1885" i="40"/>
  <c r="U1885" i="40"/>
  <c r="T1885" i="40"/>
  <c r="Q1885" i="40"/>
  <c r="N1885" i="40"/>
  <c r="R1886" i="40" s="1"/>
  <c r="M1885" i="40"/>
  <c r="S1884" i="40"/>
  <c r="P1884" i="40"/>
  <c r="U1884" i="40" s="1"/>
  <c r="N1884" i="40"/>
  <c r="O1884" i="40" s="1"/>
  <c r="M1884" i="40"/>
  <c r="X1883" i="40"/>
  <c r="W1883" i="40"/>
  <c r="U1883" i="40"/>
  <c r="T1883" i="40"/>
  <c r="Q1883" i="40"/>
  <c r="N1883" i="40"/>
  <c r="V1883" i="40" s="1"/>
  <c r="M1883" i="40"/>
  <c r="S1882" i="40"/>
  <c r="P1882" i="40"/>
  <c r="Q1882" i="40" s="1"/>
  <c r="N1882" i="40"/>
  <c r="O1882" i="40" s="1"/>
  <c r="M1882" i="40"/>
  <c r="S1880" i="40"/>
  <c r="P1880" i="40"/>
  <c r="Q1880" i="40" s="1"/>
  <c r="N1880" i="40"/>
  <c r="O1880" i="40" s="1"/>
  <c r="M1880" i="40"/>
  <c r="S1878" i="40"/>
  <c r="P1878" i="40"/>
  <c r="N1878" i="40"/>
  <c r="O1878" i="40" s="1"/>
  <c r="M1878" i="40"/>
  <c r="S1876" i="40"/>
  <c r="P1876" i="40"/>
  <c r="Q1876" i="40" s="1"/>
  <c r="N1876" i="40"/>
  <c r="O1876" i="40" s="1"/>
  <c r="M1876" i="40"/>
  <c r="S1874" i="40"/>
  <c r="P1874" i="40"/>
  <c r="N1874" i="40"/>
  <c r="O1874" i="40" s="1"/>
  <c r="M1874" i="40"/>
  <c r="S1872" i="40"/>
  <c r="P1872" i="40"/>
  <c r="Q1872" i="40" s="1"/>
  <c r="N1872" i="40"/>
  <c r="O1872" i="40" s="1"/>
  <c r="M1872" i="40"/>
  <c r="S1870" i="40"/>
  <c r="P1870" i="40"/>
  <c r="Q1870" i="40" s="1"/>
  <c r="N1870" i="40"/>
  <c r="O1870" i="40" s="1"/>
  <c r="M1870" i="40"/>
  <c r="S1868" i="40"/>
  <c r="P1868" i="40"/>
  <c r="Q1868" i="40" s="1"/>
  <c r="N1868" i="40"/>
  <c r="O1868" i="40" s="1"/>
  <c r="M1868" i="40"/>
  <c r="X1881" i="40"/>
  <c r="W1881" i="40"/>
  <c r="U1881" i="40"/>
  <c r="T1881" i="40"/>
  <c r="Q1881" i="40"/>
  <c r="N1881" i="40"/>
  <c r="V1881" i="40" s="1"/>
  <c r="M1881" i="40"/>
  <c r="X1879" i="40"/>
  <c r="W1879" i="40"/>
  <c r="U1879" i="40"/>
  <c r="T1879" i="40"/>
  <c r="Q1879" i="40"/>
  <c r="N1879" i="40"/>
  <c r="V1879" i="40" s="1"/>
  <c r="M1879" i="40"/>
  <c r="X1877" i="40"/>
  <c r="W1877" i="40"/>
  <c r="U1877" i="40"/>
  <c r="T1877" i="40"/>
  <c r="Q1877" i="40"/>
  <c r="N1877" i="40"/>
  <c r="V1877" i="40" s="1"/>
  <c r="M1877" i="40"/>
  <c r="X1875" i="40"/>
  <c r="W1875" i="40"/>
  <c r="U1875" i="40"/>
  <c r="T1875" i="40"/>
  <c r="Q1875" i="40"/>
  <c r="N1875" i="40"/>
  <c r="O1875" i="40" s="1"/>
  <c r="M1875" i="40"/>
  <c r="X1873" i="40"/>
  <c r="W1873" i="40"/>
  <c r="U1873" i="40"/>
  <c r="T1873" i="40"/>
  <c r="Q1873" i="40"/>
  <c r="N1873" i="40"/>
  <c r="V1873" i="40" s="1"/>
  <c r="M1873" i="40"/>
  <c r="X1871" i="40"/>
  <c r="W1871" i="40"/>
  <c r="U1871" i="40"/>
  <c r="T1871" i="40"/>
  <c r="Q1871" i="40"/>
  <c r="N1871" i="40"/>
  <c r="O1871" i="40" s="1"/>
  <c r="M1871" i="40"/>
  <c r="X1869" i="40"/>
  <c r="W1869" i="40"/>
  <c r="U1869" i="40"/>
  <c r="T1869" i="40"/>
  <c r="Q1869" i="40"/>
  <c r="N1869" i="40"/>
  <c r="V1869" i="40" s="1"/>
  <c r="M1869" i="40"/>
  <c r="X1867" i="40"/>
  <c r="W1867" i="40"/>
  <c r="U1867" i="40"/>
  <c r="T1867" i="40"/>
  <c r="Q1867" i="40"/>
  <c r="N1867" i="40"/>
  <c r="V1867" i="40" s="1"/>
  <c r="M1867" i="40"/>
  <c r="S1725" i="40"/>
  <c r="P1725" i="40"/>
  <c r="Q1725" i="40" s="1"/>
  <c r="N1725" i="40"/>
  <c r="O1725" i="40" s="1"/>
  <c r="M1725" i="40"/>
  <c r="X1724" i="40"/>
  <c r="W1724" i="40"/>
  <c r="U1724" i="40"/>
  <c r="T1724" i="40"/>
  <c r="Q1724" i="40"/>
  <c r="N1724" i="40"/>
  <c r="R1725" i="40" s="1"/>
  <c r="M1724" i="40"/>
  <c r="S1731" i="40"/>
  <c r="P1731" i="40"/>
  <c r="N1731" i="40"/>
  <c r="O1731" i="40" s="1"/>
  <c r="M1731" i="40"/>
  <c r="X1730" i="40"/>
  <c r="W1730" i="40"/>
  <c r="U1730" i="40"/>
  <c r="T1730" i="40"/>
  <c r="Q1730" i="40"/>
  <c r="N1730" i="40"/>
  <c r="O1730" i="40" s="1"/>
  <c r="M1730" i="40"/>
  <c r="S1729" i="40"/>
  <c r="P1729" i="40"/>
  <c r="N1729" i="40"/>
  <c r="M1729" i="40"/>
  <c r="X1728" i="40"/>
  <c r="W1728" i="40"/>
  <c r="U1728" i="40"/>
  <c r="T1728" i="40"/>
  <c r="Q1728" i="40"/>
  <c r="N1728" i="40"/>
  <c r="O1728" i="40" s="1"/>
  <c r="M1728" i="40"/>
  <c r="S1727" i="40"/>
  <c r="P1727" i="40"/>
  <c r="Q1727" i="40" s="1"/>
  <c r="N1727" i="40"/>
  <c r="O1727" i="40" s="1"/>
  <c r="M1727" i="40"/>
  <c r="X1726" i="40"/>
  <c r="W1726" i="40"/>
  <c r="U1726" i="40"/>
  <c r="T1726" i="40"/>
  <c r="Q1726" i="40"/>
  <c r="N1726" i="40"/>
  <c r="V1726" i="40" s="1"/>
  <c r="M1726" i="40"/>
  <c r="X1559" i="40"/>
  <c r="W1559" i="40"/>
  <c r="U1559" i="40"/>
  <c r="T1559" i="40"/>
  <c r="Q1559" i="40"/>
  <c r="N1559" i="40"/>
  <c r="V1559" i="40" s="1"/>
  <c r="M1559" i="40"/>
  <c r="S1723" i="40"/>
  <c r="P1723" i="40"/>
  <c r="Q1723" i="40" s="1"/>
  <c r="N1723" i="40"/>
  <c r="O1723" i="40" s="1"/>
  <c r="M1723" i="40"/>
  <c r="S1721" i="40"/>
  <c r="P1721" i="40"/>
  <c r="Q1721" i="40" s="1"/>
  <c r="N1721" i="40"/>
  <c r="O1721" i="40" s="1"/>
  <c r="M1721" i="40"/>
  <c r="S1719" i="40"/>
  <c r="P1719" i="40"/>
  <c r="Q1719" i="40" s="1"/>
  <c r="N1719" i="40"/>
  <c r="O1719" i="40" s="1"/>
  <c r="M1719" i="40"/>
  <c r="S1717" i="40"/>
  <c r="P1717" i="40"/>
  <c r="Q1717" i="40" s="1"/>
  <c r="N1717" i="40"/>
  <c r="O1717" i="40" s="1"/>
  <c r="M1717" i="40"/>
  <c r="S1715" i="40"/>
  <c r="P1715" i="40"/>
  <c r="Q1715" i="40" s="1"/>
  <c r="N1715" i="40"/>
  <c r="O1715" i="40" s="1"/>
  <c r="M1715" i="40"/>
  <c r="S1713" i="40"/>
  <c r="P1713" i="40"/>
  <c r="Q1713" i="40" s="1"/>
  <c r="N1713" i="40"/>
  <c r="O1713" i="40" s="1"/>
  <c r="M1713" i="40"/>
  <c r="S1711" i="40"/>
  <c r="P1711" i="40"/>
  <c r="Q1711" i="40" s="1"/>
  <c r="N1711" i="40"/>
  <c r="O1711" i="40" s="1"/>
  <c r="M1711" i="40"/>
  <c r="S1709" i="40"/>
  <c r="P1709" i="40"/>
  <c r="Q1709" i="40" s="1"/>
  <c r="N1709" i="40"/>
  <c r="O1709" i="40" s="1"/>
  <c r="M1709" i="40"/>
  <c r="S1707" i="40"/>
  <c r="P1707" i="40"/>
  <c r="Q1707" i="40" s="1"/>
  <c r="N1707" i="40"/>
  <c r="O1707" i="40" s="1"/>
  <c r="M1707" i="40"/>
  <c r="S1705" i="40"/>
  <c r="P1705" i="40"/>
  <c r="Q1705" i="40" s="1"/>
  <c r="N1705" i="40"/>
  <c r="O1705" i="40" s="1"/>
  <c r="M1705" i="40"/>
  <c r="S1703" i="40"/>
  <c r="P1703" i="40"/>
  <c r="Q1703" i="40" s="1"/>
  <c r="N1703" i="40"/>
  <c r="O1703" i="40" s="1"/>
  <c r="M1703" i="40"/>
  <c r="S1701" i="40"/>
  <c r="P1701" i="40"/>
  <c r="N1701" i="40"/>
  <c r="O1701" i="40" s="1"/>
  <c r="M1701" i="40"/>
  <c r="S1699" i="40"/>
  <c r="P1699" i="40"/>
  <c r="Q1699" i="40" s="1"/>
  <c r="N1699" i="40"/>
  <c r="O1699" i="40" s="1"/>
  <c r="M1699" i="40"/>
  <c r="S1697" i="40"/>
  <c r="P1697" i="40"/>
  <c r="Q1697" i="40" s="1"/>
  <c r="N1697" i="40"/>
  <c r="O1697" i="40" s="1"/>
  <c r="M1697" i="40"/>
  <c r="S1695" i="40"/>
  <c r="P1695" i="40"/>
  <c r="Q1695" i="40" s="1"/>
  <c r="N1695" i="40"/>
  <c r="O1695" i="40" s="1"/>
  <c r="M1695" i="40"/>
  <c r="S1693" i="40"/>
  <c r="P1693" i="40"/>
  <c r="Q1693" i="40" s="1"/>
  <c r="N1693" i="40"/>
  <c r="O1693" i="40" s="1"/>
  <c r="M1693" i="40"/>
  <c r="X1722" i="40"/>
  <c r="W1722" i="40"/>
  <c r="U1722" i="40"/>
  <c r="T1722" i="40"/>
  <c r="Q1722" i="40"/>
  <c r="N1722" i="40"/>
  <c r="V1722" i="40" s="1"/>
  <c r="M1722" i="40"/>
  <c r="X1720" i="40"/>
  <c r="W1720" i="40"/>
  <c r="U1720" i="40"/>
  <c r="T1720" i="40"/>
  <c r="Q1720" i="40"/>
  <c r="N1720" i="40"/>
  <c r="V1720" i="40" s="1"/>
  <c r="M1720" i="40"/>
  <c r="X1718" i="40"/>
  <c r="W1718" i="40"/>
  <c r="U1718" i="40"/>
  <c r="T1718" i="40"/>
  <c r="Q1718" i="40"/>
  <c r="N1718" i="40"/>
  <c r="V1718" i="40" s="1"/>
  <c r="M1718" i="40"/>
  <c r="X1716" i="40"/>
  <c r="W1716" i="40"/>
  <c r="U1716" i="40"/>
  <c r="T1716" i="40"/>
  <c r="Q1716" i="40"/>
  <c r="N1716" i="40"/>
  <c r="V1716" i="40" s="1"/>
  <c r="M1716" i="40"/>
  <c r="X1714" i="40"/>
  <c r="W1714" i="40"/>
  <c r="U1714" i="40"/>
  <c r="T1714" i="40"/>
  <c r="Q1714" i="40"/>
  <c r="N1714" i="40"/>
  <c r="V1714" i="40" s="1"/>
  <c r="M1714" i="40"/>
  <c r="X1712" i="40"/>
  <c r="W1712" i="40"/>
  <c r="U1712" i="40"/>
  <c r="T1712" i="40"/>
  <c r="Q1712" i="40"/>
  <c r="N1712" i="40"/>
  <c r="V1712" i="40" s="1"/>
  <c r="M1712" i="40"/>
  <c r="X1710" i="40"/>
  <c r="W1710" i="40"/>
  <c r="U1710" i="40"/>
  <c r="T1710" i="40"/>
  <c r="Q1710" i="40"/>
  <c r="N1710" i="40"/>
  <c r="V1710" i="40" s="1"/>
  <c r="M1710" i="40"/>
  <c r="X1708" i="40"/>
  <c r="W1708" i="40"/>
  <c r="U1708" i="40"/>
  <c r="T1708" i="40"/>
  <c r="Q1708" i="40"/>
  <c r="N1708" i="40"/>
  <c r="V1708" i="40" s="1"/>
  <c r="M1708" i="40"/>
  <c r="X1706" i="40"/>
  <c r="W1706" i="40"/>
  <c r="U1706" i="40"/>
  <c r="T1706" i="40"/>
  <c r="Q1706" i="40"/>
  <c r="N1706" i="40"/>
  <c r="V1706" i="40" s="1"/>
  <c r="M1706" i="40"/>
  <c r="X1704" i="40"/>
  <c r="W1704" i="40"/>
  <c r="U1704" i="40"/>
  <c r="T1704" i="40"/>
  <c r="Q1704" i="40"/>
  <c r="N1704" i="40"/>
  <c r="V1704" i="40" s="1"/>
  <c r="M1704" i="40"/>
  <c r="X1702" i="40"/>
  <c r="W1702" i="40"/>
  <c r="U1702" i="40"/>
  <c r="T1702" i="40"/>
  <c r="Q1702" i="40"/>
  <c r="N1702" i="40"/>
  <c r="V1702" i="40" s="1"/>
  <c r="M1702" i="40"/>
  <c r="X1700" i="40"/>
  <c r="W1700" i="40"/>
  <c r="U1700" i="40"/>
  <c r="T1700" i="40"/>
  <c r="Q1700" i="40"/>
  <c r="N1700" i="40"/>
  <c r="V1700" i="40" s="1"/>
  <c r="M1700" i="40"/>
  <c r="X1698" i="40"/>
  <c r="W1698" i="40"/>
  <c r="U1698" i="40"/>
  <c r="T1698" i="40"/>
  <c r="Q1698" i="40"/>
  <c r="N1698" i="40"/>
  <c r="V1698" i="40" s="1"/>
  <c r="M1698" i="40"/>
  <c r="X1696" i="40"/>
  <c r="W1696" i="40"/>
  <c r="U1696" i="40"/>
  <c r="T1696" i="40"/>
  <c r="Q1696" i="40"/>
  <c r="N1696" i="40"/>
  <c r="O1696" i="40" s="1"/>
  <c r="M1696" i="40"/>
  <c r="X1694" i="40"/>
  <c r="W1694" i="40"/>
  <c r="U1694" i="40"/>
  <c r="T1694" i="40"/>
  <c r="Q1694" i="40"/>
  <c r="N1694" i="40"/>
  <c r="O1694" i="40" s="1"/>
  <c r="M1694" i="40"/>
  <c r="X1692" i="40"/>
  <c r="W1692" i="40"/>
  <c r="U1692" i="40"/>
  <c r="T1692" i="40"/>
  <c r="Q1692" i="40"/>
  <c r="N1692" i="40"/>
  <c r="V1692" i="40" s="1"/>
  <c r="M1692" i="40"/>
  <c r="S1762" i="40"/>
  <c r="P1762" i="40"/>
  <c r="N1762" i="40"/>
  <c r="K1762" i="40"/>
  <c r="U1761" i="40"/>
  <c r="T1761" i="40"/>
  <c r="Q1761" i="40"/>
  <c r="N1761" i="40"/>
  <c r="J1761" i="40"/>
  <c r="J1762" i="40" s="1"/>
  <c r="S1760" i="40"/>
  <c r="P1760" i="40"/>
  <c r="N1760" i="40"/>
  <c r="K1760" i="40"/>
  <c r="U1759" i="40"/>
  <c r="T1759" i="40"/>
  <c r="Q1759" i="40"/>
  <c r="N1759" i="40"/>
  <c r="J1759" i="40"/>
  <c r="J1760" i="40" s="1"/>
  <c r="S1485" i="40"/>
  <c r="S1481" i="40"/>
  <c r="U1482" i="40"/>
  <c r="T1482" i="40"/>
  <c r="R1482" i="40"/>
  <c r="X1482" i="40" s="1"/>
  <c r="Q1482" i="40"/>
  <c r="O1482" i="40"/>
  <c r="M1482" i="40"/>
  <c r="M1500" i="40"/>
  <c r="M1499" i="40"/>
  <c r="X1500" i="40"/>
  <c r="W1500" i="40"/>
  <c r="U1500" i="40"/>
  <c r="T1500" i="40"/>
  <c r="Q1500" i="40"/>
  <c r="N1500" i="40"/>
  <c r="O1500" i="40" s="1"/>
  <c r="X1430" i="40"/>
  <c r="W1430" i="40"/>
  <c r="U1430" i="40"/>
  <c r="T1430" i="40"/>
  <c r="Q1430" i="40"/>
  <c r="N1430" i="40"/>
  <c r="O1430" i="40" s="1"/>
  <c r="M1430" i="40"/>
  <c r="O919" i="40"/>
  <c r="O918" i="40"/>
  <c r="P848" i="40"/>
  <c r="Q848" i="40" s="1"/>
  <c r="S848" i="40"/>
  <c r="N848" i="40"/>
  <c r="O848" i="40" s="1"/>
  <c r="M848" i="40"/>
  <c r="S635" i="40"/>
  <c r="S634" i="40"/>
  <c r="S633" i="40"/>
  <c r="S632" i="40"/>
  <c r="S631" i="40"/>
  <c r="S630" i="40"/>
  <c r="N638" i="40"/>
  <c r="O638" i="40" s="1"/>
  <c r="N637" i="40"/>
  <c r="O637" i="40" s="1"/>
  <c r="N636" i="40"/>
  <c r="N635" i="40"/>
  <c r="N634" i="40"/>
  <c r="N633" i="40"/>
  <c r="N632" i="40"/>
  <c r="N631" i="40"/>
  <c r="N630" i="40"/>
  <c r="U134" i="40"/>
  <c r="S134" i="40"/>
  <c r="T134" i="40" s="1"/>
  <c r="Q134" i="40"/>
  <c r="N134" i="40"/>
  <c r="O134" i="40" s="1"/>
  <c r="M134" i="40"/>
  <c r="U133" i="40"/>
  <c r="S133" i="40"/>
  <c r="T133" i="40" s="1"/>
  <c r="Q133" i="40"/>
  <c r="N133" i="40"/>
  <c r="O133" i="40" s="1"/>
  <c r="M133" i="40"/>
  <c r="U132" i="40"/>
  <c r="S132" i="40"/>
  <c r="T132" i="40" s="1"/>
  <c r="Q132" i="40"/>
  <c r="N132" i="40"/>
  <c r="O132" i="40" s="1"/>
  <c r="M132" i="40"/>
  <c r="S121" i="40"/>
  <c r="T121" i="40" s="1"/>
  <c r="Q121" i="40"/>
  <c r="N121" i="40"/>
  <c r="O121" i="40" s="1"/>
  <c r="M121" i="40"/>
  <c r="U120" i="40"/>
  <c r="S120" i="40"/>
  <c r="T120" i="40" s="1"/>
  <c r="Q120" i="40"/>
  <c r="N120" i="40"/>
  <c r="O120" i="40" s="1"/>
  <c r="M120" i="40"/>
  <c r="U118" i="40"/>
  <c r="S118" i="40"/>
  <c r="T118" i="40" s="1"/>
  <c r="Q118" i="40"/>
  <c r="N118" i="40"/>
  <c r="O118" i="40" s="1"/>
  <c r="M118" i="40"/>
  <c r="DP138" i="40"/>
  <c r="DO138" i="40"/>
  <c r="DN138" i="40"/>
  <c r="DM138" i="40"/>
  <c r="DL138" i="40"/>
  <c r="DK138" i="40"/>
  <c r="DJ138" i="40"/>
  <c r="DI138" i="40"/>
  <c r="DH138" i="40"/>
  <c r="DG138" i="40"/>
  <c r="DF138" i="40"/>
  <c r="DE138" i="40"/>
  <c r="DD138" i="40"/>
  <c r="DC138" i="40"/>
  <c r="DB138" i="40"/>
  <c r="DA138" i="40"/>
  <c r="CZ138" i="40"/>
  <c r="CY138" i="40"/>
  <c r="CX138" i="40"/>
  <c r="CW138" i="40"/>
  <c r="CV138" i="40"/>
  <c r="CU138" i="40"/>
  <c r="CT138" i="40"/>
  <c r="CS138" i="40"/>
  <c r="CR138" i="40"/>
  <c r="CQ138" i="40"/>
  <c r="CP138" i="40"/>
  <c r="CO138" i="40"/>
  <c r="CN138" i="40"/>
  <c r="CM138" i="40"/>
  <c r="CL138" i="40"/>
  <c r="CK138" i="40"/>
  <c r="CJ138" i="40"/>
  <c r="CI138" i="40"/>
  <c r="CH138" i="40"/>
  <c r="CG138" i="40"/>
  <c r="CF138" i="40"/>
  <c r="CE138" i="40"/>
  <c r="CD138" i="40"/>
  <c r="CC138" i="40"/>
  <c r="CB138" i="40"/>
  <c r="CA138" i="40"/>
  <c r="BZ138" i="40"/>
  <c r="BY138" i="40"/>
  <c r="BX138" i="40"/>
  <c r="BW138" i="40"/>
  <c r="BV138" i="40"/>
  <c r="BU138" i="40"/>
  <c r="BT138" i="40"/>
  <c r="BS138" i="40"/>
  <c r="BR138" i="40"/>
  <c r="BQ138" i="40"/>
  <c r="BP138" i="40"/>
  <c r="BO138" i="40"/>
  <c r="BN138" i="40"/>
  <c r="BM138" i="40"/>
  <c r="BL138" i="40"/>
  <c r="BK138" i="40"/>
  <c r="BJ138" i="40"/>
  <c r="BI138" i="40"/>
  <c r="BH138" i="40"/>
  <c r="BG138" i="40"/>
  <c r="BF138" i="40"/>
  <c r="BE138" i="40"/>
  <c r="BD138" i="40"/>
  <c r="BC138" i="40"/>
  <c r="BB138" i="40"/>
  <c r="BA138" i="40"/>
  <c r="AZ138" i="40"/>
  <c r="AY138" i="40"/>
  <c r="AX138" i="40"/>
  <c r="AW138" i="40"/>
  <c r="AV138" i="40"/>
  <c r="AU138" i="40"/>
  <c r="AT138" i="40"/>
  <c r="AS138" i="40"/>
  <c r="AR138" i="40"/>
  <c r="AQ138" i="40"/>
  <c r="AP138" i="40"/>
  <c r="AO138" i="40"/>
  <c r="AN138" i="40"/>
  <c r="AM138" i="40"/>
  <c r="AL138" i="40"/>
  <c r="AK138" i="40"/>
  <c r="AJ138" i="40"/>
  <c r="AI138" i="40"/>
  <c r="AH138" i="40"/>
  <c r="AG138" i="40"/>
  <c r="AF138" i="40"/>
  <c r="AE138" i="40"/>
  <c r="AD138" i="40"/>
  <c r="AC138" i="40"/>
  <c r="AB138" i="40"/>
  <c r="AA138" i="40"/>
  <c r="DP137" i="40"/>
  <c r="DO137" i="40"/>
  <c r="DN137" i="40"/>
  <c r="DM137" i="40"/>
  <c r="DL137" i="40"/>
  <c r="DK137" i="40"/>
  <c r="DJ137" i="40"/>
  <c r="DI137" i="40"/>
  <c r="DH137" i="40"/>
  <c r="DG137" i="40"/>
  <c r="DF137" i="40"/>
  <c r="DE137" i="40"/>
  <c r="DD137" i="40"/>
  <c r="DC137" i="40"/>
  <c r="DB137" i="40"/>
  <c r="DA137" i="40"/>
  <c r="CZ137" i="40"/>
  <c r="CY137" i="40"/>
  <c r="CX137" i="40"/>
  <c r="CW137" i="40"/>
  <c r="CV137" i="40"/>
  <c r="CU137" i="40"/>
  <c r="CT137" i="40"/>
  <c r="CS137" i="40"/>
  <c r="CR137" i="40"/>
  <c r="CQ137" i="40"/>
  <c r="CP137" i="40"/>
  <c r="CO137" i="40"/>
  <c r="CN137" i="40"/>
  <c r="CM137" i="40"/>
  <c r="CL137" i="40"/>
  <c r="CK137" i="40"/>
  <c r="CJ137" i="40"/>
  <c r="CI137" i="40"/>
  <c r="CH137" i="40"/>
  <c r="CG137" i="40"/>
  <c r="CF137" i="40"/>
  <c r="CE137" i="40"/>
  <c r="CD137" i="40"/>
  <c r="CC137" i="40"/>
  <c r="CB137" i="40"/>
  <c r="CA137" i="40"/>
  <c r="BZ137" i="40"/>
  <c r="BY137" i="40"/>
  <c r="BX137" i="40"/>
  <c r="BW137" i="40"/>
  <c r="BV137" i="40"/>
  <c r="BU137" i="40"/>
  <c r="BT137" i="40"/>
  <c r="BS137" i="40"/>
  <c r="BR137" i="40"/>
  <c r="BQ137" i="40"/>
  <c r="BP137" i="40"/>
  <c r="BO137" i="40"/>
  <c r="BN137" i="40"/>
  <c r="BM137" i="40"/>
  <c r="BL137" i="40"/>
  <c r="BK137" i="40"/>
  <c r="BJ137" i="40"/>
  <c r="BI137" i="40"/>
  <c r="BH137" i="40"/>
  <c r="BG137" i="40"/>
  <c r="BF137" i="40"/>
  <c r="BE137" i="40"/>
  <c r="BD137" i="40"/>
  <c r="BC137" i="40"/>
  <c r="BB137" i="40"/>
  <c r="BA137" i="40"/>
  <c r="AZ137" i="40"/>
  <c r="AY137" i="40"/>
  <c r="AX137" i="40"/>
  <c r="AW137" i="40"/>
  <c r="AV137" i="40"/>
  <c r="AU137" i="40"/>
  <c r="AT137" i="40"/>
  <c r="AS137" i="40"/>
  <c r="AR137" i="40"/>
  <c r="AQ137" i="40"/>
  <c r="AP137" i="40"/>
  <c r="AO137" i="40"/>
  <c r="AN137" i="40"/>
  <c r="AM137" i="40"/>
  <c r="AL137" i="40"/>
  <c r="AK137" i="40"/>
  <c r="AJ137" i="40"/>
  <c r="AI137" i="40"/>
  <c r="AH137" i="40"/>
  <c r="AG137" i="40"/>
  <c r="AF137" i="40"/>
  <c r="AE137" i="40"/>
  <c r="AD137" i="40"/>
  <c r="AC137" i="40"/>
  <c r="AB137" i="40"/>
  <c r="AA137" i="40"/>
  <c r="DP136" i="40"/>
  <c r="DO136" i="40"/>
  <c r="DN136" i="40"/>
  <c r="DM136" i="40"/>
  <c r="DL136" i="40"/>
  <c r="DK136" i="40"/>
  <c r="DJ136" i="40"/>
  <c r="DI136" i="40"/>
  <c r="DH136" i="40"/>
  <c r="DG136" i="40"/>
  <c r="DF136" i="40"/>
  <c r="DE136" i="40"/>
  <c r="DD136" i="40"/>
  <c r="DC136" i="40"/>
  <c r="DB136" i="40"/>
  <c r="DA136" i="40"/>
  <c r="CZ136" i="40"/>
  <c r="CY136" i="40"/>
  <c r="CX136" i="40"/>
  <c r="CW136" i="40"/>
  <c r="CV136" i="40"/>
  <c r="CU136" i="40"/>
  <c r="CT136" i="40"/>
  <c r="CS136" i="40"/>
  <c r="CR136" i="40"/>
  <c r="CQ136" i="40"/>
  <c r="CP136" i="40"/>
  <c r="CO136" i="40"/>
  <c r="CN136" i="40"/>
  <c r="CM136" i="40"/>
  <c r="CL136" i="40"/>
  <c r="CK136" i="40"/>
  <c r="CJ136" i="40"/>
  <c r="CI136" i="40"/>
  <c r="CH136" i="40"/>
  <c r="CG136" i="40"/>
  <c r="CF136" i="40"/>
  <c r="CE136" i="40"/>
  <c r="CD136" i="40"/>
  <c r="CC136" i="40"/>
  <c r="CB136" i="40"/>
  <c r="CA136" i="40"/>
  <c r="BZ136" i="40"/>
  <c r="BY136" i="40"/>
  <c r="BX136" i="40"/>
  <c r="BW136" i="40"/>
  <c r="BV136" i="40"/>
  <c r="BU136" i="40"/>
  <c r="BT136" i="40"/>
  <c r="BS136" i="40"/>
  <c r="BR136" i="40"/>
  <c r="BQ136" i="40"/>
  <c r="BP136" i="40"/>
  <c r="BO136" i="40"/>
  <c r="BN136" i="40"/>
  <c r="BM136" i="40"/>
  <c r="BL136" i="40"/>
  <c r="BK136" i="40"/>
  <c r="BJ136" i="40"/>
  <c r="BI136" i="40"/>
  <c r="BH136" i="40"/>
  <c r="BG136" i="40"/>
  <c r="BF136" i="40"/>
  <c r="BE136" i="40"/>
  <c r="BD136" i="40"/>
  <c r="BC136" i="40"/>
  <c r="BB136" i="40"/>
  <c r="BA136" i="40"/>
  <c r="AZ136" i="40"/>
  <c r="AY136" i="40"/>
  <c r="AX136" i="40"/>
  <c r="AW136" i="40"/>
  <c r="AV136" i="40"/>
  <c r="AU136" i="40"/>
  <c r="AT136" i="40"/>
  <c r="AS136" i="40"/>
  <c r="AR136" i="40"/>
  <c r="AQ136" i="40"/>
  <c r="AP136" i="40"/>
  <c r="AO136" i="40"/>
  <c r="AN136" i="40"/>
  <c r="AM136" i="40"/>
  <c r="AL136" i="40"/>
  <c r="AK136" i="40"/>
  <c r="AJ136" i="40"/>
  <c r="AI136" i="40"/>
  <c r="AH136" i="40"/>
  <c r="AG136" i="40"/>
  <c r="AF136" i="40"/>
  <c r="AE136" i="40"/>
  <c r="AD136" i="40"/>
  <c r="AC136" i="40"/>
  <c r="AB136" i="40"/>
  <c r="AA136" i="40"/>
  <c r="DP129" i="40"/>
  <c r="DO129" i="40"/>
  <c r="DN129" i="40"/>
  <c r="DM129" i="40"/>
  <c r="DL129" i="40"/>
  <c r="DK129" i="40"/>
  <c r="DJ129" i="40"/>
  <c r="DI129" i="40"/>
  <c r="DH129" i="40"/>
  <c r="DG129" i="40"/>
  <c r="DF129" i="40"/>
  <c r="DE129" i="40"/>
  <c r="DD129" i="40"/>
  <c r="DC129" i="40"/>
  <c r="DB129" i="40"/>
  <c r="DA129" i="40"/>
  <c r="CZ129" i="40"/>
  <c r="CY129" i="40"/>
  <c r="CX129" i="40"/>
  <c r="CW129" i="40"/>
  <c r="CV129" i="40"/>
  <c r="CU129" i="40"/>
  <c r="CT129" i="40"/>
  <c r="CS129" i="40"/>
  <c r="CR129" i="40"/>
  <c r="CQ129" i="40"/>
  <c r="CP129" i="40"/>
  <c r="CO129" i="40"/>
  <c r="CN129" i="40"/>
  <c r="CM129" i="40"/>
  <c r="CL129" i="40"/>
  <c r="CK129" i="40"/>
  <c r="CJ129" i="40"/>
  <c r="CI129" i="40"/>
  <c r="CH129" i="40"/>
  <c r="CG129" i="40"/>
  <c r="CF129" i="40"/>
  <c r="CE129" i="40"/>
  <c r="CD129" i="40"/>
  <c r="CC129" i="40"/>
  <c r="CB129" i="40"/>
  <c r="CA129" i="40"/>
  <c r="BZ129" i="40"/>
  <c r="BY129" i="40"/>
  <c r="BX129" i="40"/>
  <c r="BW129" i="40"/>
  <c r="BV129" i="40"/>
  <c r="BU129" i="40"/>
  <c r="BT129" i="40"/>
  <c r="BS129" i="40"/>
  <c r="BR129" i="40"/>
  <c r="BQ129" i="40"/>
  <c r="BP129" i="40"/>
  <c r="BO129" i="40"/>
  <c r="BN129" i="40"/>
  <c r="BM129" i="40"/>
  <c r="BL129" i="40"/>
  <c r="BK129" i="40"/>
  <c r="BJ129" i="40"/>
  <c r="BI129" i="40"/>
  <c r="BH129" i="40"/>
  <c r="BG129" i="40"/>
  <c r="BF129" i="40"/>
  <c r="BE129" i="40"/>
  <c r="BD129" i="40"/>
  <c r="BC129" i="40"/>
  <c r="BB129" i="40"/>
  <c r="AZ129" i="40"/>
  <c r="AY129" i="40"/>
  <c r="AX129" i="40"/>
  <c r="AW129" i="40"/>
  <c r="AV129" i="40"/>
  <c r="AU129" i="40"/>
  <c r="AT129" i="40"/>
  <c r="AS129" i="40"/>
  <c r="AR129" i="40"/>
  <c r="AQ129" i="40"/>
  <c r="AP129" i="40"/>
  <c r="AO129" i="40"/>
  <c r="AN129" i="40"/>
  <c r="AM129" i="40"/>
  <c r="AL129" i="40"/>
  <c r="AK129" i="40"/>
  <c r="AJ129" i="40"/>
  <c r="AI129" i="40"/>
  <c r="AH129" i="40"/>
  <c r="AG129" i="40"/>
  <c r="AF129" i="40"/>
  <c r="AE129" i="40"/>
  <c r="AD129" i="40"/>
  <c r="AC129" i="40"/>
  <c r="AB129" i="40"/>
  <c r="AA129" i="40"/>
  <c r="DP128" i="40"/>
  <c r="DO128" i="40"/>
  <c r="DN128" i="40"/>
  <c r="DM128" i="40"/>
  <c r="DL128" i="40"/>
  <c r="DK128" i="40"/>
  <c r="DJ128" i="40"/>
  <c r="DI128" i="40"/>
  <c r="DH128" i="40"/>
  <c r="DG128" i="40"/>
  <c r="DF128" i="40"/>
  <c r="DE128" i="40"/>
  <c r="DD128" i="40"/>
  <c r="DC128" i="40"/>
  <c r="DB128" i="40"/>
  <c r="DA128" i="40"/>
  <c r="CZ128" i="40"/>
  <c r="CY128" i="40"/>
  <c r="CX128" i="40"/>
  <c r="CW128" i="40"/>
  <c r="CV128" i="40"/>
  <c r="CU128" i="40"/>
  <c r="CT128" i="40"/>
  <c r="CS128" i="40"/>
  <c r="CR128" i="40"/>
  <c r="CQ128" i="40"/>
  <c r="CP128" i="40"/>
  <c r="CO128" i="40"/>
  <c r="CN128" i="40"/>
  <c r="CM128" i="40"/>
  <c r="CL128" i="40"/>
  <c r="CK128" i="40"/>
  <c r="CJ128" i="40"/>
  <c r="CI128" i="40"/>
  <c r="CH128" i="40"/>
  <c r="CG128" i="40"/>
  <c r="CF128" i="40"/>
  <c r="CE128" i="40"/>
  <c r="CD128" i="40"/>
  <c r="CC128" i="40"/>
  <c r="CB128" i="40"/>
  <c r="CA128" i="40"/>
  <c r="BZ128" i="40"/>
  <c r="BY128" i="40"/>
  <c r="BX128" i="40"/>
  <c r="BW128" i="40"/>
  <c r="BV128" i="40"/>
  <c r="BU128" i="40"/>
  <c r="BT128" i="40"/>
  <c r="BS128" i="40"/>
  <c r="BR128" i="40"/>
  <c r="BQ128" i="40"/>
  <c r="BP128" i="40"/>
  <c r="BO128" i="40"/>
  <c r="BN128" i="40"/>
  <c r="BM128" i="40"/>
  <c r="BL128" i="40"/>
  <c r="BK128" i="40"/>
  <c r="BJ128" i="40"/>
  <c r="BI128" i="40"/>
  <c r="BH128" i="40"/>
  <c r="BG128" i="40"/>
  <c r="BF128" i="40"/>
  <c r="BE128" i="40"/>
  <c r="BD128" i="40"/>
  <c r="BC128" i="40"/>
  <c r="BB128" i="40"/>
  <c r="BA128" i="40"/>
  <c r="AY128" i="40"/>
  <c r="AX128" i="40"/>
  <c r="AW128" i="40"/>
  <c r="AV128" i="40"/>
  <c r="AU128" i="40"/>
  <c r="AT128" i="40"/>
  <c r="AS128" i="40"/>
  <c r="AR128" i="40"/>
  <c r="AQ128" i="40"/>
  <c r="AP128" i="40"/>
  <c r="AO128" i="40"/>
  <c r="AN128" i="40"/>
  <c r="AM128" i="40"/>
  <c r="AL128" i="40"/>
  <c r="AK128" i="40"/>
  <c r="AJ128" i="40"/>
  <c r="AI128" i="40"/>
  <c r="AH128" i="40"/>
  <c r="AG128" i="40"/>
  <c r="AF128" i="40"/>
  <c r="AE128" i="40"/>
  <c r="AD128" i="40"/>
  <c r="AC128" i="40"/>
  <c r="AB128" i="40"/>
  <c r="AA128" i="40"/>
  <c r="DO127" i="40"/>
  <c r="CX127" i="40"/>
  <c r="CQ127" i="40"/>
  <c r="CI127" i="40"/>
  <c r="BR127" i="40"/>
  <c r="BK127" i="40"/>
  <c r="BD127" i="40"/>
  <c r="BC127" i="40"/>
  <c r="BB127" i="40"/>
  <c r="BA127" i="40"/>
  <c r="AZ127" i="40"/>
  <c r="AY127" i="40"/>
  <c r="AX127" i="40"/>
  <c r="AV127" i="40"/>
  <c r="AU127" i="40"/>
  <c r="AT127" i="40"/>
  <c r="AS127" i="40"/>
  <c r="AR127" i="40"/>
  <c r="AQ127" i="40"/>
  <c r="AP127" i="40"/>
  <c r="AO127" i="40"/>
  <c r="AN127" i="40"/>
  <c r="AM127" i="40"/>
  <c r="AL127" i="40"/>
  <c r="AK127" i="40"/>
  <c r="AJ127" i="40"/>
  <c r="AI127" i="40"/>
  <c r="AH127" i="40"/>
  <c r="AG127" i="40"/>
  <c r="AF127" i="40"/>
  <c r="AE127" i="40"/>
  <c r="AD127" i="40"/>
  <c r="AC127" i="40"/>
  <c r="AB127" i="40"/>
  <c r="AA127" i="40"/>
  <c r="DP115" i="40"/>
  <c r="DO115" i="40"/>
  <c r="DN115" i="40"/>
  <c r="DM115" i="40"/>
  <c r="DL115" i="40"/>
  <c r="DK115" i="40"/>
  <c r="DJ115" i="40"/>
  <c r="DI115" i="40"/>
  <c r="DH115" i="40"/>
  <c r="DG115" i="40"/>
  <c r="DF115" i="40"/>
  <c r="DE115" i="40"/>
  <c r="DD115" i="40"/>
  <c r="DC115" i="40"/>
  <c r="DB115" i="40"/>
  <c r="DA115" i="40"/>
  <c r="CZ115" i="40"/>
  <c r="CY115" i="40"/>
  <c r="CX115" i="40"/>
  <c r="CW115" i="40"/>
  <c r="CV115" i="40"/>
  <c r="CU115" i="40"/>
  <c r="CT115" i="40"/>
  <c r="CS115" i="40"/>
  <c r="CR115" i="40"/>
  <c r="CQ115" i="40"/>
  <c r="CP115" i="40"/>
  <c r="CO115" i="40"/>
  <c r="CN115" i="40"/>
  <c r="CM115" i="40"/>
  <c r="CL115" i="40"/>
  <c r="CK115" i="40"/>
  <c r="CJ115" i="40"/>
  <c r="CI115" i="40"/>
  <c r="CH115" i="40"/>
  <c r="CG115" i="40"/>
  <c r="CF115" i="40"/>
  <c r="CE115" i="40"/>
  <c r="CD115" i="40"/>
  <c r="CC115" i="40"/>
  <c r="CB115" i="40"/>
  <c r="CA115" i="40"/>
  <c r="BZ115" i="40"/>
  <c r="BY115" i="40"/>
  <c r="BX115" i="40"/>
  <c r="BW115" i="40"/>
  <c r="BV115" i="40"/>
  <c r="BU115" i="40"/>
  <c r="BT115" i="40"/>
  <c r="BS115" i="40"/>
  <c r="BR115" i="40"/>
  <c r="BQ115" i="40"/>
  <c r="BP115" i="40"/>
  <c r="BO115" i="40"/>
  <c r="BN115" i="40"/>
  <c r="BM115" i="40"/>
  <c r="BL115" i="40"/>
  <c r="BK115" i="40"/>
  <c r="BJ115" i="40"/>
  <c r="BI115" i="40"/>
  <c r="BH115" i="40"/>
  <c r="BG115" i="40"/>
  <c r="BF115" i="40"/>
  <c r="BE115" i="40"/>
  <c r="BD115" i="40"/>
  <c r="BC115" i="40"/>
  <c r="BB115" i="40"/>
  <c r="AZ115" i="40"/>
  <c r="AY115" i="40"/>
  <c r="AX115" i="40"/>
  <c r="AW115" i="40"/>
  <c r="AV115" i="40"/>
  <c r="AU115" i="40"/>
  <c r="AT115" i="40"/>
  <c r="AS115" i="40"/>
  <c r="AR115" i="40"/>
  <c r="AQ115" i="40"/>
  <c r="AP115" i="40"/>
  <c r="AO115" i="40"/>
  <c r="AN115" i="40"/>
  <c r="AM115" i="40"/>
  <c r="AL115" i="40"/>
  <c r="AK115" i="40"/>
  <c r="AJ115" i="40"/>
  <c r="AI115" i="40"/>
  <c r="AH115" i="40"/>
  <c r="AG115" i="40"/>
  <c r="AF115" i="40"/>
  <c r="AE115" i="40"/>
  <c r="AD115" i="40"/>
  <c r="AC115" i="40"/>
  <c r="AB115" i="40"/>
  <c r="AA115" i="40"/>
  <c r="DP113" i="40"/>
  <c r="DO113" i="40"/>
  <c r="DN113" i="40"/>
  <c r="DM113" i="40"/>
  <c r="DL113" i="40"/>
  <c r="DK113" i="40"/>
  <c r="DJ113" i="40"/>
  <c r="DI113" i="40"/>
  <c r="DH113" i="40"/>
  <c r="DG113" i="40"/>
  <c r="DF113" i="40"/>
  <c r="DE113" i="40"/>
  <c r="DD113" i="40"/>
  <c r="DC113" i="40"/>
  <c r="DB113" i="40"/>
  <c r="DA113" i="40"/>
  <c r="CZ113" i="40"/>
  <c r="CY113" i="40"/>
  <c r="CX113" i="40"/>
  <c r="CW113" i="40"/>
  <c r="CV113" i="40"/>
  <c r="CU113" i="40"/>
  <c r="CT113" i="40"/>
  <c r="CS113" i="40"/>
  <c r="CR113" i="40"/>
  <c r="CQ113" i="40"/>
  <c r="CP113" i="40"/>
  <c r="CO113" i="40"/>
  <c r="CN113" i="40"/>
  <c r="CM113" i="40"/>
  <c r="CL113" i="40"/>
  <c r="CK113" i="40"/>
  <c r="CJ113" i="40"/>
  <c r="CI113" i="40"/>
  <c r="CH113" i="40"/>
  <c r="CG113" i="40"/>
  <c r="CF113" i="40"/>
  <c r="CE113" i="40"/>
  <c r="CD113" i="40"/>
  <c r="CC113" i="40"/>
  <c r="CB113" i="40"/>
  <c r="CA113" i="40"/>
  <c r="BZ113" i="40"/>
  <c r="BY113" i="40"/>
  <c r="BX113" i="40"/>
  <c r="BW113" i="40"/>
  <c r="BV113" i="40"/>
  <c r="BU113" i="40"/>
  <c r="BT113" i="40"/>
  <c r="BS113" i="40"/>
  <c r="BR113" i="40"/>
  <c r="BQ113" i="40"/>
  <c r="BP113" i="40"/>
  <c r="BO113" i="40"/>
  <c r="BN113" i="40"/>
  <c r="BM113" i="40"/>
  <c r="BL113" i="40"/>
  <c r="BK113" i="40"/>
  <c r="BJ113" i="40"/>
  <c r="BI113" i="40"/>
  <c r="BH113" i="40"/>
  <c r="BG113" i="40"/>
  <c r="BF113" i="40"/>
  <c r="BE113" i="40"/>
  <c r="BD113" i="40"/>
  <c r="BC113" i="40"/>
  <c r="BB113" i="40"/>
  <c r="BA113" i="40"/>
  <c r="AZ113" i="40"/>
  <c r="AX113" i="40"/>
  <c r="AW113" i="40"/>
  <c r="AV113" i="40"/>
  <c r="AU113" i="40"/>
  <c r="AT113" i="40"/>
  <c r="AS113" i="40"/>
  <c r="AR113" i="40"/>
  <c r="AQ113" i="40"/>
  <c r="AP113" i="40"/>
  <c r="AO113" i="40"/>
  <c r="AN113" i="40"/>
  <c r="AM113" i="40"/>
  <c r="AL113" i="40"/>
  <c r="AK113" i="40"/>
  <c r="AJ113" i="40"/>
  <c r="AI113" i="40"/>
  <c r="AH113" i="40"/>
  <c r="AG113" i="40"/>
  <c r="AF113" i="40"/>
  <c r="AE113" i="40"/>
  <c r="AD113" i="40"/>
  <c r="AC113" i="40"/>
  <c r="AB113" i="40"/>
  <c r="AA113" i="40"/>
  <c r="M129" i="40"/>
  <c r="BA129" i="40" s="1"/>
  <c r="M128" i="40"/>
  <c r="AZ128" i="40" s="1"/>
  <c r="M127" i="40"/>
  <c r="DM127" i="40" s="1"/>
  <c r="U129" i="40"/>
  <c r="S129" i="40"/>
  <c r="X129" i="40" s="1"/>
  <c r="Q129" i="40"/>
  <c r="N129" i="40"/>
  <c r="O129" i="40" s="1"/>
  <c r="U128" i="40"/>
  <c r="S128" i="40"/>
  <c r="X128" i="40" s="1"/>
  <c r="Q128" i="40"/>
  <c r="N128" i="40"/>
  <c r="O128" i="40" s="1"/>
  <c r="S138" i="40"/>
  <c r="S137" i="40"/>
  <c r="S136" i="40"/>
  <c r="S135" i="40"/>
  <c r="S131" i="40"/>
  <c r="S130" i="40"/>
  <c r="S127" i="40"/>
  <c r="S126" i="40"/>
  <c r="S125" i="40"/>
  <c r="S124" i="40"/>
  <c r="S123" i="40"/>
  <c r="S122" i="40"/>
  <c r="S119" i="40"/>
  <c r="S117" i="40"/>
  <c r="S116" i="40"/>
  <c r="S115" i="40"/>
  <c r="S114" i="40"/>
  <c r="N138" i="40"/>
  <c r="N137" i="40"/>
  <c r="N136" i="40"/>
  <c r="N135" i="40"/>
  <c r="N131" i="40"/>
  <c r="N130" i="40"/>
  <c r="N127" i="40"/>
  <c r="N126" i="40"/>
  <c r="N125" i="40"/>
  <c r="N124" i="40"/>
  <c r="N123" i="40"/>
  <c r="N122" i="40"/>
  <c r="N119" i="40"/>
  <c r="N117" i="40"/>
  <c r="N116" i="40"/>
  <c r="N115" i="40"/>
  <c r="N114" i="40"/>
  <c r="N113" i="40"/>
  <c r="M113" i="40"/>
  <c r="AY113" i="40" s="1"/>
  <c r="X638" i="40"/>
  <c r="W638" i="40"/>
  <c r="U638" i="40"/>
  <c r="T638" i="40"/>
  <c r="Q638" i="40"/>
  <c r="M638" i="40"/>
  <c r="X637" i="40"/>
  <c r="W637" i="40"/>
  <c r="U637" i="40"/>
  <c r="T637" i="40"/>
  <c r="Q637" i="40"/>
  <c r="M637" i="40"/>
  <c r="Q632" i="40"/>
  <c r="DP635" i="40"/>
  <c r="DO635" i="40"/>
  <c r="DN635" i="40"/>
  <c r="DM635" i="40"/>
  <c r="DL635" i="40"/>
  <c r="DK635" i="40"/>
  <c r="DJ635" i="40"/>
  <c r="DI635" i="40"/>
  <c r="DH635" i="40"/>
  <c r="DG635" i="40"/>
  <c r="DF635" i="40"/>
  <c r="DE635" i="40"/>
  <c r="DD635" i="40"/>
  <c r="DC635" i="40"/>
  <c r="DB635" i="40"/>
  <c r="DA635" i="40"/>
  <c r="CZ635" i="40"/>
  <c r="CY635" i="40"/>
  <c r="CX635" i="40"/>
  <c r="CW635" i="40"/>
  <c r="CV635" i="40"/>
  <c r="CU635" i="40"/>
  <c r="CT635" i="40"/>
  <c r="CS635" i="40"/>
  <c r="CR635" i="40"/>
  <c r="CQ635" i="40"/>
  <c r="CP635" i="40"/>
  <c r="CO635" i="40"/>
  <c r="CN635" i="40"/>
  <c r="CM635" i="40"/>
  <c r="CL635" i="40"/>
  <c r="CK635" i="40"/>
  <c r="CJ635" i="40"/>
  <c r="CI635" i="40"/>
  <c r="CH635" i="40"/>
  <c r="CG635" i="40"/>
  <c r="CF635" i="40"/>
  <c r="CE635" i="40"/>
  <c r="CD635" i="40"/>
  <c r="CC635" i="40"/>
  <c r="CB635" i="40"/>
  <c r="CA635" i="40"/>
  <c r="BZ635" i="40"/>
  <c r="BY635" i="40"/>
  <c r="BX635" i="40"/>
  <c r="BW635" i="40"/>
  <c r="BV635" i="40"/>
  <c r="BU635" i="40"/>
  <c r="BT635" i="40"/>
  <c r="BS635" i="40"/>
  <c r="BR635" i="40"/>
  <c r="BQ635" i="40"/>
  <c r="BP635" i="40"/>
  <c r="BO635" i="40"/>
  <c r="BN635" i="40"/>
  <c r="BM635" i="40"/>
  <c r="BL635" i="40"/>
  <c r="BK635" i="40"/>
  <c r="BJ635" i="40"/>
  <c r="BI635" i="40"/>
  <c r="BH635" i="40"/>
  <c r="BG635" i="40"/>
  <c r="BF635" i="40"/>
  <c r="BE635" i="40"/>
  <c r="BD635" i="40"/>
  <c r="BB635" i="40"/>
  <c r="BA635" i="40"/>
  <c r="AZ635" i="40"/>
  <c r="AY635" i="40"/>
  <c r="AX635" i="40"/>
  <c r="AW635" i="40"/>
  <c r="AV635" i="40"/>
  <c r="AU635" i="40"/>
  <c r="AT635" i="40"/>
  <c r="AS635" i="40"/>
  <c r="AR635" i="40"/>
  <c r="AQ635" i="40"/>
  <c r="AP635" i="40"/>
  <c r="AO635" i="40"/>
  <c r="AN635" i="40"/>
  <c r="AM635" i="40"/>
  <c r="AL635" i="40"/>
  <c r="AK635" i="40"/>
  <c r="AJ635" i="40"/>
  <c r="AI635" i="40"/>
  <c r="AH635" i="40"/>
  <c r="AG635" i="40"/>
  <c r="AF635" i="40"/>
  <c r="AE635" i="40"/>
  <c r="AD635" i="40"/>
  <c r="AC635" i="40"/>
  <c r="AB635" i="40"/>
  <c r="AA635" i="40"/>
  <c r="DP634" i="40"/>
  <c r="DO634" i="40"/>
  <c r="DN634" i="40"/>
  <c r="DM634" i="40"/>
  <c r="DL634" i="40"/>
  <c r="DK634" i="40"/>
  <c r="DJ634" i="40"/>
  <c r="DI634" i="40"/>
  <c r="DH634" i="40"/>
  <c r="DG634" i="40"/>
  <c r="DF634" i="40"/>
  <c r="DE634" i="40"/>
  <c r="DD634" i="40"/>
  <c r="DC634" i="40"/>
  <c r="DB634" i="40"/>
  <c r="DA634" i="40"/>
  <c r="CZ634" i="40"/>
  <c r="CY634" i="40"/>
  <c r="CX634" i="40"/>
  <c r="CW634" i="40"/>
  <c r="CV634" i="40"/>
  <c r="CU634" i="40"/>
  <c r="CT634" i="40"/>
  <c r="CS634" i="40"/>
  <c r="CR634" i="40"/>
  <c r="CQ634" i="40"/>
  <c r="CP634" i="40"/>
  <c r="CO634" i="40"/>
  <c r="CN634" i="40"/>
  <c r="CM634" i="40"/>
  <c r="CL634" i="40"/>
  <c r="CK634" i="40"/>
  <c r="CJ634" i="40"/>
  <c r="CI634" i="40"/>
  <c r="CH634" i="40"/>
  <c r="CG634" i="40"/>
  <c r="CF634" i="40"/>
  <c r="CE634" i="40"/>
  <c r="CD634" i="40"/>
  <c r="CC634" i="40"/>
  <c r="CB634" i="40"/>
  <c r="CA634" i="40"/>
  <c r="BZ634" i="40"/>
  <c r="BY634" i="40"/>
  <c r="BX634" i="40"/>
  <c r="BW634" i="40"/>
  <c r="BV634" i="40"/>
  <c r="BU634" i="40"/>
  <c r="BT634" i="40"/>
  <c r="BS634" i="40"/>
  <c r="BR634" i="40"/>
  <c r="BQ634" i="40"/>
  <c r="BP634" i="40"/>
  <c r="BO634" i="40"/>
  <c r="BN634" i="40"/>
  <c r="BM634" i="40"/>
  <c r="BL634" i="40"/>
  <c r="BK634" i="40"/>
  <c r="BJ634" i="40"/>
  <c r="BI634" i="40"/>
  <c r="BH634" i="40"/>
  <c r="BG634" i="40"/>
  <c r="BF634" i="40"/>
  <c r="BE634" i="40"/>
  <c r="BD634" i="40"/>
  <c r="BC634" i="40"/>
  <c r="BA634" i="40"/>
  <c r="AZ634" i="40"/>
  <c r="AY634" i="40"/>
  <c r="AX634" i="40"/>
  <c r="AW634" i="40"/>
  <c r="AV634" i="40"/>
  <c r="AU634" i="40"/>
  <c r="AT634" i="40"/>
  <c r="AS634" i="40"/>
  <c r="AR634" i="40"/>
  <c r="AQ634" i="40"/>
  <c r="AP634" i="40"/>
  <c r="AO634" i="40"/>
  <c r="AN634" i="40"/>
  <c r="AM634" i="40"/>
  <c r="AL634" i="40"/>
  <c r="AK634" i="40"/>
  <c r="AJ634" i="40"/>
  <c r="AI634" i="40"/>
  <c r="AH634" i="40"/>
  <c r="AG634" i="40"/>
  <c r="AF634" i="40"/>
  <c r="AE634" i="40"/>
  <c r="AD634" i="40"/>
  <c r="AC634" i="40"/>
  <c r="AB634" i="40"/>
  <c r="AA634" i="40"/>
  <c r="DP633" i="40"/>
  <c r="DO633" i="40"/>
  <c r="DN633" i="40"/>
  <c r="DM633" i="40"/>
  <c r="DL633" i="40"/>
  <c r="DK633" i="40"/>
  <c r="DJ633" i="40"/>
  <c r="DI633" i="40"/>
  <c r="DH633" i="40"/>
  <c r="DG633" i="40"/>
  <c r="DF633" i="40"/>
  <c r="DE633" i="40"/>
  <c r="DD633" i="40"/>
  <c r="DC633" i="40"/>
  <c r="DB633" i="40"/>
  <c r="DA633" i="40"/>
  <c r="CZ633" i="40"/>
  <c r="CY633" i="40"/>
  <c r="CX633" i="40"/>
  <c r="CW633" i="40"/>
  <c r="CV633" i="40"/>
  <c r="CU633" i="40"/>
  <c r="CT633" i="40"/>
  <c r="CS633" i="40"/>
  <c r="CR633" i="40"/>
  <c r="CQ633" i="40"/>
  <c r="CP633" i="40"/>
  <c r="CO633" i="40"/>
  <c r="CN633" i="40"/>
  <c r="CM633" i="40"/>
  <c r="CL633" i="40"/>
  <c r="CK633" i="40"/>
  <c r="CJ633" i="40"/>
  <c r="CI633" i="40"/>
  <c r="CH633" i="40"/>
  <c r="CG633" i="40"/>
  <c r="CF633" i="40"/>
  <c r="CE633" i="40"/>
  <c r="CD633" i="40"/>
  <c r="CC633" i="40"/>
  <c r="CB633" i="40"/>
  <c r="CA633" i="40"/>
  <c r="BZ633" i="40"/>
  <c r="BY633" i="40"/>
  <c r="BX633" i="40"/>
  <c r="BW633" i="40"/>
  <c r="BV633" i="40"/>
  <c r="BU633" i="40"/>
  <c r="BT633" i="40"/>
  <c r="BS633" i="40"/>
  <c r="BR633" i="40"/>
  <c r="BQ633" i="40"/>
  <c r="BP633" i="40"/>
  <c r="BO633" i="40"/>
  <c r="BN633" i="40"/>
  <c r="BM633" i="40"/>
  <c r="BL633" i="40"/>
  <c r="BK633" i="40"/>
  <c r="BJ633" i="40"/>
  <c r="BI633" i="40"/>
  <c r="BH633" i="40"/>
  <c r="BG633" i="40"/>
  <c r="BF633" i="40"/>
  <c r="BE633" i="40"/>
  <c r="BD633" i="40"/>
  <c r="BC633" i="40"/>
  <c r="BA633" i="40"/>
  <c r="AZ633" i="40"/>
  <c r="AY633" i="40"/>
  <c r="AX633" i="40"/>
  <c r="AW633" i="40"/>
  <c r="AV633" i="40"/>
  <c r="AU633" i="40"/>
  <c r="AT633" i="40"/>
  <c r="AS633" i="40"/>
  <c r="AR633" i="40"/>
  <c r="AQ633" i="40"/>
  <c r="AP633" i="40"/>
  <c r="AO633" i="40"/>
  <c r="AN633" i="40"/>
  <c r="AM633" i="40"/>
  <c r="AL633" i="40"/>
  <c r="AK633" i="40"/>
  <c r="AJ633" i="40"/>
  <c r="AI633" i="40"/>
  <c r="AH633" i="40"/>
  <c r="AG633" i="40"/>
  <c r="AF633" i="40"/>
  <c r="AE633" i="40"/>
  <c r="AD633" i="40"/>
  <c r="AC633" i="40"/>
  <c r="AB633" i="40"/>
  <c r="AA633" i="40"/>
  <c r="DP631" i="40"/>
  <c r="DO631" i="40"/>
  <c r="DN631" i="40"/>
  <c r="DM631" i="40"/>
  <c r="DL631" i="40"/>
  <c r="DK631" i="40"/>
  <c r="DJ631" i="40"/>
  <c r="DI631" i="40"/>
  <c r="DH631" i="40"/>
  <c r="DG631" i="40"/>
  <c r="DF631" i="40"/>
  <c r="DE631" i="40"/>
  <c r="DD631" i="40"/>
  <c r="DC631" i="40"/>
  <c r="DB631" i="40"/>
  <c r="DA631" i="40"/>
  <c r="CZ631" i="40"/>
  <c r="CY631" i="40"/>
  <c r="CX631" i="40"/>
  <c r="CW631" i="40"/>
  <c r="CV631" i="40"/>
  <c r="CU631" i="40"/>
  <c r="CT631" i="40"/>
  <c r="CS631" i="40"/>
  <c r="CR631" i="40"/>
  <c r="CQ631" i="40"/>
  <c r="CP631" i="40"/>
  <c r="CO631" i="40"/>
  <c r="CN631" i="40"/>
  <c r="CM631" i="40"/>
  <c r="CL631" i="40"/>
  <c r="CK631" i="40"/>
  <c r="CJ631" i="40"/>
  <c r="CI631" i="40"/>
  <c r="CH631" i="40"/>
  <c r="CG631" i="40"/>
  <c r="CF631" i="40"/>
  <c r="CE631" i="40"/>
  <c r="CD631" i="40"/>
  <c r="CC631" i="40"/>
  <c r="CB631" i="40"/>
  <c r="CA631" i="40"/>
  <c r="BZ631" i="40"/>
  <c r="BY631" i="40"/>
  <c r="BX631" i="40"/>
  <c r="BW631" i="40"/>
  <c r="BV631" i="40"/>
  <c r="BU631" i="40"/>
  <c r="BT631" i="40"/>
  <c r="BS631" i="40"/>
  <c r="BR631" i="40"/>
  <c r="BQ631" i="40"/>
  <c r="BP631" i="40"/>
  <c r="BO631" i="40"/>
  <c r="BN631" i="40"/>
  <c r="BM631" i="40"/>
  <c r="BL631" i="40"/>
  <c r="BK631" i="40"/>
  <c r="BJ631" i="40"/>
  <c r="BI631" i="40"/>
  <c r="BH631" i="40"/>
  <c r="BG631" i="40"/>
  <c r="BF631" i="40"/>
  <c r="BE631" i="40"/>
  <c r="BD631" i="40"/>
  <c r="BC631" i="40"/>
  <c r="BB631" i="40"/>
  <c r="AZ631" i="40"/>
  <c r="AY631" i="40"/>
  <c r="AX631" i="40"/>
  <c r="AW631" i="40"/>
  <c r="AV631" i="40"/>
  <c r="AU631" i="40"/>
  <c r="AT631" i="40"/>
  <c r="AS631" i="40"/>
  <c r="AR631" i="40"/>
  <c r="AQ631" i="40"/>
  <c r="AP631" i="40"/>
  <c r="AO631" i="40"/>
  <c r="AN631" i="40"/>
  <c r="AM631" i="40"/>
  <c r="AL631" i="40"/>
  <c r="AK631" i="40"/>
  <c r="AJ631" i="40"/>
  <c r="AI631" i="40"/>
  <c r="AH631" i="40"/>
  <c r="AG631" i="40"/>
  <c r="AF631" i="40"/>
  <c r="AE631" i="40"/>
  <c r="AD631" i="40"/>
  <c r="AC631" i="40"/>
  <c r="AB631" i="40"/>
  <c r="AA631" i="40"/>
  <c r="DP630" i="40"/>
  <c r="DO630" i="40"/>
  <c r="DN630" i="40"/>
  <c r="DM630" i="40"/>
  <c r="DL630" i="40"/>
  <c r="DK630" i="40"/>
  <c r="DJ630" i="40"/>
  <c r="DI630" i="40"/>
  <c r="DH630" i="40"/>
  <c r="DG630" i="40"/>
  <c r="DF630" i="40"/>
  <c r="DE630" i="40"/>
  <c r="DD630" i="40"/>
  <c r="DC630" i="40"/>
  <c r="DB630" i="40"/>
  <c r="DA630" i="40"/>
  <c r="CZ630" i="40"/>
  <c r="CY630" i="40"/>
  <c r="CX630" i="40"/>
  <c r="CW630" i="40"/>
  <c r="CV630" i="40"/>
  <c r="CU630" i="40"/>
  <c r="CT630" i="40"/>
  <c r="CS630" i="40"/>
  <c r="CR630" i="40"/>
  <c r="CQ630" i="40"/>
  <c r="CP630" i="40"/>
  <c r="CO630" i="40"/>
  <c r="CN630" i="40"/>
  <c r="CM630" i="40"/>
  <c r="CL630" i="40"/>
  <c r="CK630" i="40"/>
  <c r="CJ630" i="40"/>
  <c r="CI630" i="40"/>
  <c r="CH630" i="40"/>
  <c r="CG630" i="40"/>
  <c r="CF630" i="40"/>
  <c r="CE630" i="40"/>
  <c r="CD630" i="40"/>
  <c r="CC630" i="40"/>
  <c r="CB630" i="40"/>
  <c r="CA630" i="40"/>
  <c r="BZ630" i="40"/>
  <c r="BY630" i="40"/>
  <c r="BX630" i="40"/>
  <c r="BW630" i="40"/>
  <c r="BV630" i="40"/>
  <c r="BU630" i="40"/>
  <c r="BT630" i="40"/>
  <c r="BS630" i="40"/>
  <c r="BR630" i="40"/>
  <c r="BQ630" i="40"/>
  <c r="BP630" i="40"/>
  <c r="BO630" i="40"/>
  <c r="BN630" i="40"/>
  <c r="BM630" i="40"/>
  <c r="BL630" i="40"/>
  <c r="BK630" i="40"/>
  <c r="BJ630" i="40"/>
  <c r="BI630" i="40"/>
  <c r="BH630" i="40"/>
  <c r="BG630" i="40"/>
  <c r="BF630" i="40"/>
  <c r="BE630" i="40"/>
  <c r="BD630" i="40"/>
  <c r="BC630" i="40"/>
  <c r="BB630" i="40"/>
  <c r="BA630" i="40"/>
  <c r="AY630" i="40"/>
  <c r="AX630" i="40"/>
  <c r="AW630" i="40"/>
  <c r="AV630" i="40"/>
  <c r="AU630" i="40"/>
  <c r="AT630" i="40"/>
  <c r="AS630" i="40"/>
  <c r="AR630" i="40"/>
  <c r="AQ630" i="40"/>
  <c r="AP630" i="40"/>
  <c r="AO630" i="40"/>
  <c r="AN630" i="40"/>
  <c r="AM630" i="40"/>
  <c r="AL630" i="40"/>
  <c r="AK630" i="40"/>
  <c r="AJ630" i="40"/>
  <c r="AI630" i="40"/>
  <c r="AH630" i="40"/>
  <c r="AG630" i="40"/>
  <c r="AF630" i="40"/>
  <c r="AE630" i="40"/>
  <c r="AD630" i="40"/>
  <c r="AC630" i="40"/>
  <c r="AB630" i="40"/>
  <c r="AA630" i="40"/>
  <c r="T2240" i="40" l="1"/>
  <c r="O2271" i="40"/>
  <c r="V2272" i="40"/>
  <c r="O2270" i="40"/>
  <c r="O2269" i="40"/>
  <c r="W2239" i="40"/>
  <c r="X2239" i="40"/>
  <c r="Q2240" i="40"/>
  <c r="V2239" i="40"/>
  <c r="R2240" i="40"/>
  <c r="X2240" i="40" s="1"/>
  <c r="U2240" i="40"/>
  <c r="T2209" i="40"/>
  <c r="W2208" i="40"/>
  <c r="X2208" i="40"/>
  <c r="Q2209" i="40"/>
  <c r="V2208" i="40"/>
  <c r="R2209" i="40"/>
  <c r="X2209" i="40" s="1"/>
  <c r="U2209" i="40"/>
  <c r="O2158" i="40"/>
  <c r="V2158" i="40"/>
  <c r="X2159" i="40"/>
  <c r="T2159" i="40"/>
  <c r="U2159" i="40"/>
  <c r="V2159" i="40"/>
  <c r="W2159" i="40"/>
  <c r="V2090" i="40"/>
  <c r="V2089" i="40"/>
  <c r="O2092" i="40"/>
  <c r="O2091" i="40"/>
  <c r="T2157" i="40"/>
  <c r="R2149" i="40"/>
  <c r="X2149" i="40" s="1"/>
  <c r="T2149" i="40"/>
  <c r="U2149" i="40"/>
  <c r="T2031" i="40"/>
  <c r="R2157" i="40"/>
  <c r="V2157" i="40" s="1"/>
  <c r="U2157" i="40"/>
  <c r="R2155" i="40"/>
  <c r="X2155" i="40" s="1"/>
  <c r="T2155" i="40"/>
  <c r="U2155" i="40"/>
  <c r="R2153" i="40"/>
  <c r="V2153" i="40" s="1"/>
  <c r="T2153" i="40"/>
  <c r="U2153" i="40"/>
  <c r="R2151" i="40"/>
  <c r="X2151" i="40" s="1"/>
  <c r="T2151" i="40"/>
  <c r="U2151" i="40"/>
  <c r="O2148" i="40"/>
  <c r="T2032" i="40"/>
  <c r="O2150" i="40"/>
  <c r="O2152" i="40"/>
  <c r="O2154" i="40"/>
  <c r="O2175" i="40"/>
  <c r="O2156" i="40"/>
  <c r="V2175" i="40"/>
  <c r="W2175" i="40"/>
  <c r="Q2176" i="40"/>
  <c r="Q2032" i="40"/>
  <c r="M2175" i="40"/>
  <c r="X2175" i="40"/>
  <c r="R2176" i="40"/>
  <c r="J2176" i="40"/>
  <c r="T2176" i="40"/>
  <c r="U2176" i="40"/>
  <c r="Q2031" i="40"/>
  <c r="R2032" i="40"/>
  <c r="R2031" i="40"/>
  <c r="V2026" i="40"/>
  <c r="X2027" i="40"/>
  <c r="W2026" i="40"/>
  <c r="T2029" i="40"/>
  <c r="T2026" i="40"/>
  <c r="V2028" i="40"/>
  <c r="V2029" i="40"/>
  <c r="W2027" i="40"/>
  <c r="X2028" i="40"/>
  <c r="O2027" i="40"/>
  <c r="W2028" i="40"/>
  <c r="W2029" i="40"/>
  <c r="T2030" i="40"/>
  <c r="U2030" i="40"/>
  <c r="O2007" i="40"/>
  <c r="Q1890" i="40"/>
  <c r="O1887" i="40"/>
  <c r="R1888" i="40"/>
  <c r="V1888" i="40" s="1"/>
  <c r="O1889" i="40"/>
  <c r="X1890" i="40"/>
  <c r="V1889" i="40"/>
  <c r="Q1888" i="40"/>
  <c r="T1890" i="40"/>
  <c r="V1890" i="40"/>
  <c r="T1888" i="40"/>
  <c r="W1890" i="40"/>
  <c r="O1817" i="40"/>
  <c r="O1815" i="40"/>
  <c r="O1816" i="40"/>
  <c r="O1818" i="40"/>
  <c r="O1820" i="40"/>
  <c r="O1814" i="40"/>
  <c r="O1883" i="40"/>
  <c r="R1884" i="40"/>
  <c r="V1884" i="40" s="1"/>
  <c r="O1885" i="40"/>
  <c r="X1886" i="40"/>
  <c r="V1885" i="40"/>
  <c r="Q1884" i="40"/>
  <c r="T1886" i="40"/>
  <c r="U1886" i="40"/>
  <c r="V1886" i="40"/>
  <c r="T1884" i="40"/>
  <c r="W1886" i="40"/>
  <c r="T1882" i="40"/>
  <c r="U1882" i="40"/>
  <c r="R1882" i="40"/>
  <c r="V1882" i="40" s="1"/>
  <c r="R1880" i="40"/>
  <c r="V1880" i="40" s="1"/>
  <c r="T1880" i="40"/>
  <c r="U1880" i="40"/>
  <c r="Q1878" i="40"/>
  <c r="R1878" i="40"/>
  <c r="X1878" i="40" s="1"/>
  <c r="T1878" i="40"/>
  <c r="U1878" i="40"/>
  <c r="R1876" i="40"/>
  <c r="X1876" i="40" s="1"/>
  <c r="T1876" i="40"/>
  <c r="U1876" i="40"/>
  <c r="Q1874" i="40"/>
  <c r="R1874" i="40"/>
  <c r="X1874" i="40" s="1"/>
  <c r="T1874" i="40"/>
  <c r="U1874" i="40"/>
  <c r="R1872" i="40"/>
  <c r="X1872" i="40" s="1"/>
  <c r="O1867" i="40"/>
  <c r="T1872" i="40"/>
  <c r="U1872" i="40"/>
  <c r="V1871" i="40"/>
  <c r="R1870" i="40"/>
  <c r="X1870" i="40" s="1"/>
  <c r="T1870" i="40"/>
  <c r="U1870" i="40"/>
  <c r="O1877" i="40"/>
  <c r="O1879" i="40"/>
  <c r="O1873" i="40"/>
  <c r="R1868" i="40"/>
  <c r="X1868" i="40" s="1"/>
  <c r="T1868" i="40"/>
  <c r="U1868" i="40"/>
  <c r="O1881" i="40"/>
  <c r="V1875" i="40"/>
  <c r="O1869" i="40"/>
  <c r="O1724" i="40"/>
  <c r="X1725" i="40"/>
  <c r="V1724" i="40"/>
  <c r="T1725" i="40"/>
  <c r="U1725" i="40"/>
  <c r="V1725" i="40"/>
  <c r="W1725" i="40"/>
  <c r="R1729" i="40"/>
  <c r="W1729" i="40" s="1"/>
  <c r="O1726" i="40"/>
  <c r="Q1729" i="40"/>
  <c r="R1727" i="40"/>
  <c r="X1727" i="40" s="1"/>
  <c r="V1728" i="40"/>
  <c r="T1729" i="40"/>
  <c r="U1729" i="40"/>
  <c r="Q1731" i="40"/>
  <c r="T1727" i="40"/>
  <c r="O1729" i="40"/>
  <c r="V1730" i="40"/>
  <c r="R1731" i="40"/>
  <c r="X1731" i="40" s="1"/>
  <c r="U1727" i="40"/>
  <c r="T1731" i="40"/>
  <c r="U1731" i="40"/>
  <c r="O1559" i="40"/>
  <c r="R1723" i="40"/>
  <c r="X1723" i="40" s="1"/>
  <c r="T1721" i="40"/>
  <c r="T1723" i="40"/>
  <c r="U1723" i="40"/>
  <c r="R1721" i="40"/>
  <c r="X1721" i="40" s="1"/>
  <c r="U1721" i="40"/>
  <c r="R1719" i="40"/>
  <c r="X1719" i="40" s="1"/>
  <c r="T1719" i="40"/>
  <c r="U1719" i="40"/>
  <c r="R1717" i="40"/>
  <c r="X1717" i="40" s="1"/>
  <c r="T1717" i="40"/>
  <c r="U1717" i="40"/>
  <c r="R1715" i="40"/>
  <c r="X1715" i="40" s="1"/>
  <c r="T1715" i="40"/>
  <c r="U1715" i="40"/>
  <c r="R1713" i="40"/>
  <c r="X1713" i="40" s="1"/>
  <c r="T1713" i="40"/>
  <c r="U1713" i="40"/>
  <c r="R1711" i="40"/>
  <c r="V1711" i="40" s="1"/>
  <c r="T1711" i="40"/>
  <c r="U1711" i="40"/>
  <c r="R1709" i="40"/>
  <c r="X1709" i="40" s="1"/>
  <c r="T1709" i="40"/>
  <c r="U1709" i="40"/>
  <c r="R1707" i="40"/>
  <c r="X1707" i="40" s="1"/>
  <c r="T1707" i="40"/>
  <c r="U1707" i="40"/>
  <c r="R1705" i="40"/>
  <c r="X1705" i="40" s="1"/>
  <c r="T1705" i="40"/>
  <c r="U1705" i="40"/>
  <c r="Q1701" i="40"/>
  <c r="R1703" i="40"/>
  <c r="V1703" i="40" s="1"/>
  <c r="T1703" i="40"/>
  <c r="R1701" i="40"/>
  <c r="X1701" i="40" s="1"/>
  <c r="U1703" i="40"/>
  <c r="T1701" i="40"/>
  <c r="U1701" i="40"/>
  <c r="R1699" i="40"/>
  <c r="X1699" i="40" s="1"/>
  <c r="T1699" i="40"/>
  <c r="U1699" i="40"/>
  <c r="R1697" i="40"/>
  <c r="X1697" i="40" s="1"/>
  <c r="T1697" i="40"/>
  <c r="U1697" i="40"/>
  <c r="V1694" i="40"/>
  <c r="V1696" i="40"/>
  <c r="R1695" i="40"/>
  <c r="X1695" i="40" s="1"/>
  <c r="T1695" i="40"/>
  <c r="U1695" i="40"/>
  <c r="O1710" i="40"/>
  <c r="O1712" i="40"/>
  <c r="O1708" i="40"/>
  <c r="R1693" i="40"/>
  <c r="X1693" i="40" s="1"/>
  <c r="O1692" i="40"/>
  <c r="T1693" i="40"/>
  <c r="U1693" i="40"/>
  <c r="O1698" i="40"/>
  <c r="O1700" i="40"/>
  <c r="O1702" i="40"/>
  <c r="O1704" i="40"/>
  <c r="O1714" i="40"/>
  <c r="O1716" i="40"/>
  <c r="O1718" i="40"/>
  <c r="O1720" i="40"/>
  <c r="O1706" i="40"/>
  <c r="O1722" i="40"/>
  <c r="O1762" i="40"/>
  <c r="Q1760" i="40"/>
  <c r="O1759" i="40"/>
  <c r="O1761" i="40"/>
  <c r="O1760" i="40"/>
  <c r="V1759" i="40"/>
  <c r="T1762" i="40"/>
  <c r="V1761" i="40"/>
  <c r="T1760" i="40"/>
  <c r="W1759" i="40"/>
  <c r="W1761" i="40"/>
  <c r="Q1762" i="40"/>
  <c r="M1759" i="40"/>
  <c r="X1759" i="40"/>
  <c r="R1760" i="40"/>
  <c r="X1760" i="40" s="1"/>
  <c r="M1761" i="40"/>
  <c r="X1761" i="40"/>
  <c r="R1762" i="40"/>
  <c r="X1762" i="40" s="1"/>
  <c r="M1760" i="40"/>
  <c r="U1760" i="40"/>
  <c r="M1762" i="40"/>
  <c r="U1762" i="40"/>
  <c r="V1482" i="40"/>
  <c r="W1482" i="40"/>
  <c r="V1500" i="40"/>
  <c r="V1430" i="40"/>
  <c r="T848" i="40"/>
  <c r="U848" i="40"/>
  <c r="V638" i="40"/>
  <c r="V637" i="40"/>
  <c r="W133" i="40"/>
  <c r="V133" i="40"/>
  <c r="W132" i="40"/>
  <c r="W134" i="40"/>
  <c r="V134" i="40"/>
  <c r="X134" i="40"/>
  <c r="X133" i="40"/>
  <c r="V132" i="40"/>
  <c r="X132" i="40"/>
  <c r="AW127" i="40"/>
  <c r="U121" i="40"/>
  <c r="V121" i="40"/>
  <c r="W121" i="40"/>
  <c r="BJ127" i="40"/>
  <c r="CP127" i="40"/>
  <c r="X121" i="40"/>
  <c r="BS127" i="40"/>
  <c r="CY127" i="40"/>
  <c r="BZ127" i="40"/>
  <c r="DF127" i="40"/>
  <c r="CA127" i="40"/>
  <c r="DG127" i="40"/>
  <c r="CH127" i="40"/>
  <c r="DN127" i="40"/>
  <c r="W120" i="40"/>
  <c r="X120" i="40"/>
  <c r="V120" i="40"/>
  <c r="BL127" i="40"/>
  <c r="BT127" i="40"/>
  <c r="CB127" i="40"/>
  <c r="CJ127" i="40"/>
  <c r="CR127" i="40"/>
  <c r="CZ127" i="40"/>
  <c r="DH127" i="40"/>
  <c r="DP127" i="40"/>
  <c r="BE127" i="40"/>
  <c r="BM127" i="40"/>
  <c r="BU127" i="40"/>
  <c r="CC127" i="40"/>
  <c r="CK127" i="40"/>
  <c r="CS127" i="40"/>
  <c r="DA127" i="40"/>
  <c r="DI127" i="40"/>
  <c r="BF127" i="40"/>
  <c r="BN127" i="40"/>
  <c r="BV127" i="40"/>
  <c r="CD127" i="40"/>
  <c r="CL127" i="40"/>
  <c r="CT127" i="40"/>
  <c r="DB127" i="40"/>
  <c r="DJ127" i="40"/>
  <c r="BG127" i="40"/>
  <c r="BO127" i="40"/>
  <c r="BW127" i="40"/>
  <c r="CE127" i="40"/>
  <c r="CM127" i="40"/>
  <c r="CU127" i="40"/>
  <c r="DC127" i="40"/>
  <c r="DK127" i="40"/>
  <c r="BH127" i="40"/>
  <c r="BP127" i="40"/>
  <c r="BX127" i="40"/>
  <c r="CF127" i="40"/>
  <c r="CN127" i="40"/>
  <c r="CV127" i="40"/>
  <c r="DD127" i="40"/>
  <c r="DL127" i="40"/>
  <c r="BI127" i="40"/>
  <c r="BQ127" i="40"/>
  <c r="BY127" i="40"/>
  <c r="CG127" i="40"/>
  <c r="CO127" i="40"/>
  <c r="CW127" i="40"/>
  <c r="DE127" i="40"/>
  <c r="W118" i="40"/>
  <c r="V118" i="40"/>
  <c r="X118" i="40"/>
  <c r="T129" i="40"/>
  <c r="V129" i="40"/>
  <c r="W129" i="40"/>
  <c r="T128" i="40"/>
  <c r="V128" i="40"/>
  <c r="W128" i="40"/>
  <c r="W2240" i="40" l="1"/>
  <c r="V2240" i="40"/>
  <c r="V2209" i="40"/>
  <c r="W2209" i="40"/>
  <c r="W2149" i="40"/>
  <c r="V2149" i="40"/>
  <c r="X2157" i="40"/>
  <c r="W2157" i="40"/>
  <c r="W2155" i="40"/>
  <c r="V2155" i="40"/>
  <c r="W2153" i="40"/>
  <c r="X2153" i="40"/>
  <c r="W2151" i="40"/>
  <c r="V2151" i="40"/>
  <c r="V2176" i="40"/>
  <c r="X2176" i="40"/>
  <c r="W2176" i="40"/>
  <c r="O2176" i="40"/>
  <c r="M2176" i="40"/>
  <c r="X1888" i="40"/>
  <c r="W1888" i="40"/>
  <c r="X1884" i="40"/>
  <c r="W1884" i="40"/>
  <c r="V1870" i="40"/>
  <c r="W1882" i="40"/>
  <c r="X1882" i="40"/>
  <c r="X1880" i="40"/>
  <c r="W1880" i="40"/>
  <c r="W1878" i="40"/>
  <c r="V1878" i="40"/>
  <c r="W1868" i="40"/>
  <c r="W1876" i="40"/>
  <c r="V1876" i="40"/>
  <c r="W1874" i="40"/>
  <c r="V1874" i="40"/>
  <c r="W1870" i="40"/>
  <c r="W1872" i="40"/>
  <c r="V1872" i="40"/>
  <c r="V1868" i="40"/>
  <c r="V1729" i="40"/>
  <c r="W1727" i="40"/>
  <c r="X1729" i="40"/>
  <c r="W1731" i="40"/>
  <c r="V1727" i="40"/>
  <c r="V1731" i="40"/>
  <c r="W1723" i="40"/>
  <c r="V1723" i="40"/>
  <c r="V1721" i="40"/>
  <c r="W1721" i="40"/>
  <c r="W1719" i="40"/>
  <c r="V1693" i="40"/>
  <c r="V1719" i="40"/>
  <c r="W1717" i="40"/>
  <c r="V1717" i="40"/>
  <c r="V1715" i="40"/>
  <c r="W1715" i="40"/>
  <c r="W1713" i="40"/>
  <c r="V1713" i="40"/>
  <c r="X1711" i="40"/>
  <c r="W1711" i="40"/>
  <c r="W1707" i="40"/>
  <c r="V1707" i="40"/>
  <c r="V1699" i="40"/>
  <c r="W1709" i="40"/>
  <c r="V1709" i="40"/>
  <c r="X1703" i="40"/>
  <c r="W1703" i="40"/>
  <c r="W1705" i="40"/>
  <c r="V1705" i="40"/>
  <c r="V1701" i="40"/>
  <c r="W1701" i="40"/>
  <c r="W1699" i="40"/>
  <c r="W1695" i="40"/>
  <c r="W1697" i="40"/>
  <c r="V1697" i="40"/>
  <c r="V1695" i="40"/>
  <c r="W1693" i="40"/>
  <c r="V1760" i="40"/>
  <c r="W1760" i="40"/>
  <c r="W1762" i="40"/>
  <c r="V1762" i="40"/>
  <c r="P1080" i="40"/>
  <c r="P1079" i="40"/>
  <c r="P1078" i="40"/>
  <c r="P1077" i="40"/>
  <c r="P1034" i="40"/>
  <c r="P1033" i="40"/>
  <c r="P1032" i="40"/>
  <c r="P1031" i="40"/>
  <c r="D73" i="45" l="1"/>
  <c r="J142" i="45" l="1"/>
  <c r="I142" i="45"/>
  <c r="B137" i="45"/>
  <c r="C137" i="45"/>
  <c r="B134" i="45"/>
  <c r="C134" i="45"/>
  <c r="C52" i="7"/>
  <c r="P847" i="40"/>
  <c r="U847" i="40" s="1"/>
  <c r="S847" i="40"/>
  <c r="N847" i="40"/>
  <c r="O847" i="40" s="1"/>
  <c r="M847" i="40"/>
  <c r="X846" i="40"/>
  <c r="W846" i="40"/>
  <c r="U846" i="40"/>
  <c r="T846" i="40"/>
  <c r="Q846" i="40"/>
  <c r="N846" i="40"/>
  <c r="M846" i="40"/>
  <c r="I846" i="40"/>
  <c r="D85" i="45"/>
  <c r="T1169" i="46"/>
  <c r="U1169" i="46" s="1"/>
  <c r="V1169" i="46" s="1"/>
  <c r="S1169" i="46"/>
  <c r="T1168" i="46"/>
  <c r="U1168" i="46" s="1"/>
  <c r="V1168" i="46" s="1"/>
  <c r="S1168" i="46"/>
  <c r="T1167" i="46"/>
  <c r="U1167" i="46" s="1"/>
  <c r="V1167" i="46" s="1"/>
  <c r="S1167" i="46"/>
  <c r="T1166" i="46"/>
  <c r="U1166" i="46" s="1"/>
  <c r="V1166" i="46" s="1"/>
  <c r="S1166" i="46"/>
  <c r="T1165" i="46"/>
  <c r="U1165" i="46" s="1"/>
  <c r="V1165" i="46" s="1"/>
  <c r="S1165" i="46"/>
  <c r="T1164" i="46"/>
  <c r="U1164" i="46" s="1"/>
  <c r="V1164" i="46" s="1"/>
  <c r="S1164" i="46"/>
  <c r="T1163" i="46"/>
  <c r="U1163" i="46" s="1"/>
  <c r="V1163" i="46" s="1"/>
  <c r="S1163" i="46"/>
  <c r="T1162" i="46"/>
  <c r="U1162" i="46" s="1"/>
  <c r="V1162" i="46" s="1"/>
  <c r="S1162" i="46"/>
  <c r="T1161" i="46"/>
  <c r="U1161" i="46" s="1"/>
  <c r="V1161" i="46" s="1"/>
  <c r="S1161" i="46"/>
  <c r="T1160" i="46"/>
  <c r="U1160" i="46" s="1"/>
  <c r="V1160" i="46" s="1"/>
  <c r="S1160" i="46"/>
  <c r="T1159" i="46"/>
  <c r="U1159" i="46" s="1"/>
  <c r="V1159" i="46" s="1"/>
  <c r="S1159" i="46"/>
  <c r="T1158" i="46"/>
  <c r="U1158" i="46" s="1"/>
  <c r="V1158" i="46" s="1"/>
  <c r="S1158" i="46"/>
  <c r="T1157" i="46"/>
  <c r="U1157" i="46" s="1"/>
  <c r="V1157" i="46" s="1"/>
  <c r="S1157" i="46"/>
  <c r="T1156" i="46"/>
  <c r="S1156" i="46"/>
  <c r="T1155" i="46"/>
  <c r="S1155" i="46"/>
  <c r="T1154" i="46"/>
  <c r="U1154" i="46" s="1"/>
  <c r="V1154" i="46" s="1"/>
  <c r="S1154" i="46"/>
  <c r="T1153" i="46"/>
  <c r="S1153" i="46"/>
  <c r="T1152" i="46"/>
  <c r="S1152" i="46"/>
  <c r="T1151" i="46"/>
  <c r="S1151" i="46"/>
  <c r="T1150" i="46"/>
  <c r="U1150" i="46" s="1"/>
  <c r="V1150" i="46" s="1"/>
  <c r="S1150" i="46"/>
  <c r="T1149" i="46"/>
  <c r="U1149" i="46" s="1"/>
  <c r="V1149" i="46" s="1"/>
  <c r="S1149" i="46"/>
  <c r="T1148" i="46"/>
  <c r="U1148" i="46" s="1"/>
  <c r="V1148" i="46" s="1"/>
  <c r="S1148" i="46"/>
  <c r="T1147" i="46"/>
  <c r="S1147" i="46"/>
  <c r="T1146" i="46"/>
  <c r="U1146" i="46" s="1"/>
  <c r="V1146" i="46" s="1"/>
  <c r="S1146" i="46"/>
  <c r="T1145" i="46"/>
  <c r="U1145" i="46" s="1"/>
  <c r="V1145" i="46" s="1"/>
  <c r="S1145" i="46"/>
  <c r="T1144" i="46"/>
  <c r="U1144" i="46" s="1"/>
  <c r="V1144" i="46" s="1"/>
  <c r="S1144" i="46"/>
  <c r="T1143" i="46"/>
  <c r="U1143" i="46" s="1"/>
  <c r="V1143" i="46" s="1"/>
  <c r="S1143" i="46"/>
  <c r="T1142" i="46"/>
  <c r="S1142" i="46"/>
  <c r="T1141" i="46"/>
  <c r="S1141" i="46"/>
  <c r="T1140" i="46"/>
  <c r="U1140" i="46" s="1"/>
  <c r="V1140" i="46" s="1"/>
  <c r="S1140" i="46"/>
  <c r="T1139" i="46"/>
  <c r="U1139" i="46" s="1"/>
  <c r="V1139" i="46" s="1"/>
  <c r="S1139" i="46"/>
  <c r="T1138" i="46"/>
  <c r="U1138" i="46" s="1"/>
  <c r="V1138" i="46" s="1"/>
  <c r="S1138" i="46"/>
  <c r="T1137" i="46"/>
  <c r="S1137" i="46"/>
  <c r="T1136" i="46"/>
  <c r="U1136" i="46" s="1"/>
  <c r="V1136" i="46" s="1"/>
  <c r="S1136" i="46"/>
  <c r="T1135" i="46"/>
  <c r="S1135" i="46"/>
  <c r="T1134" i="46"/>
  <c r="S1134" i="46"/>
  <c r="T1133" i="46"/>
  <c r="S1133" i="46"/>
  <c r="T1132" i="46"/>
  <c r="S1132" i="46"/>
  <c r="T1131" i="46"/>
  <c r="U1131" i="46" s="1"/>
  <c r="V1131" i="46" s="1"/>
  <c r="S1131" i="46"/>
  <c r="T1130" i="46"/>
  <c r="S1130" i="46"/>
  <c r="T1129" i="46"/>
  <c r="U1129" i="46" s="1"/>
  <c r="V1129" i="46" s="1"/>
  <c r="S1129" i="46"/>
  <c r="T1128" i="46"/>
  <c r="S1128" i="46"/>
  <c r="T1127" i="46"/>
  <c r="S1127" i="46"/>
  <c r="T1126" i="46"/>
  <c r="U1126" i="46" s="1"/>
  <c r="V1126" i="46" s="1"/>
  <c r="S1126" i="46"/>
  <c r="T1125" i="46"/>
  <c r="U1125" i="46" s="1"/>
  <c r="V1125" i="46" s="1"/>
  <c r="S1125" i="46"/>
  <c r="T1124" i="46"/>
  <c r="U1124" i="46" s="1"/>
  <c r="V1124" i="46" s="1"/>
  <c r="S1124" i="46"/>
  <c r="T1123" i="46"/>
  <c r="S1123" i="46"/>
  <c r="T1122" i="46"/>
  <c r="U1122" i="46" s="1"/>
  <c r="V1122" i="46" s="1"/>
  <c r="S1122" i="46"/>
  <c r="T1121" i="46"/>
  <c r="S1121" i="46"/>
  <c r="T1120" i="46"/>
  <c r="U1120" i="46" s="1"/>
  <c r="V1120" i="46" s="1"/>
  <c r="S1120" i="46"/>
  <c r="T1119" i="46"/>
  <c r="S1119" i="46"/>
  <c r="T1118" i="46"/>
  <c r="U1118" i="46" s="1"/>
  <c r="V1118" i="46" s="1"/>
  <c r="S1118" i="46"/>
  <c r="T1117" i="46"/>
  <c r="U1117" i="46" s="1"/>
  <c r="V1117" i="46" s="1"/>
  <c r="S1117" i="46"/>
  <c r="T1116" i="46"/>
  <c r="S1116" i="46"/>
  <c r="T1115" i="46"/>
  <c r="S1115" i="46"/>
  <c r="T1114" i="46"/>
  <c r="U1114" i="46" s="1"/>
  <c r="V1114" i="46" s="1"/>
  <c r="S1114" i="46"/>
  <c r="T1113" i="46"/>
  <c r="S1113" i="46"/>
  <c r="T1112" i="46"/>
  <c r="U1112" i="46" s="1"/>
  <c r="V1112" i="46" s="1"/>
  <c r="S1112" i="46"/>
  <c r="T1111" i="46"/>
  <c r="S1111" i="46"/>
  <c r="T1110" i="46"/>
  <c r="U1110" i="46" s="1"/>
  <c r="V1110" i="46" s="1"/>
  <c r="S1110" i="46"/>
  <c r="T1109" i="46"/>
  <c r="U1109" i="46" s="1"/>
  <c r="V1109" i="46" s="1"/>
  <c r="S1109" i="46"/>
  <c r="T1108" i="46"/>
  <c r="S1108" i="46"/>
  <c r="T1107" i="46"/>
  <c r="S1107" i="46"/>
  <c r="T1106" i="46"/>
  <c r="U1106" i="46" s="1"/>
  <c r="V1106" i="46" s="1"/>
  <c r="S1106" i="46"/>
  <c r="T1105" i="46"/>
  <c r="U1105" i="46" s="1"/>
  <c r="V1105" i="46" s="1"/>
  <c r="S1105" i="46"/>
  <c r="T1104" i="46"/>
  <c r="S1104" i="46"/>
  <c r="T1103" i="46"/>
  <c r="S1103" i="46"/>
  <c r="T1102" i="46"/>
  <c r="U1102" i="46" s="1"/>
  <c r="V1102" i="46" s="1"/>
  <c r="S1102" i="46"/>
  <c r="T1101" i="46"/>
  <c r="S1101" i="46"/>
  <c r="T1100" i="46"/>
  <c r="U1100" i="46" s="1"/>
  <c r="V1100" i="46" s="1"/>
  <c r="S1100" i="46"/>
  <c r="T1099" i="46"/>
  <c r="S1099" i="46"/>
  <c r="T1098" i="46"/>
  <c r="U1098" i="46" s="1"/>
  <c r="V1098" i="46" s="1"/>
  <c r="S1098" i="46"/>
  <c r="T1097" i="46"/>
  <c r="U1097" i="46" s="1"/>
  <c r="V1097" i="46" s="1"/>
  <c r="S1097" i="46"/>
  <c r="T1096" i="46"/>
  <c r="S1096" i="46"/>
  <c r="T1095" i="46"/>
  <c r="U1095" i="46" s="1"/>
  <c r="V1095" i="46" s="1"/>
  <c r="S1095" i="46"/>
  <c r="T1094" i="46"/>
  <c r="S1094" i="46"/>
  <c r="T847" i="40" l="1"/>
  <c r="U1137" i="46"/>
  <c r="V1137" i="46" s="1"/>
  <c r="U1130" i="46"/>
  <c r="V1130" i="46" s="1"/>
  <c r="V846" i="40"/>
  <c r="R848" i="40"/>
  <c r="W848" i="40" s="1"/>
  <c r="U1103" i="46"/>
  <c r="V1103" i="46" s="1"/>
  <c r="U1123" i="46"/>
  <c r="V1123" i="46" s="1"/>
  <c r="U1155" i="46"/>
  <c r="V1155" i="46" s="1"/>
  <c r="U1156" i="46"/>
  <c r="V1156" i="46" s="1"/>
  <c r="E52" i="7"/>
  <c r="F52" i="7" s="1"/>
  <c r="Q847" i="40"/>
  <c r="O846" i="40"/>
  <c r="U1108" i="46"/>
  <c r="V1108" i="46" s="1"/>
  <c r="U1127" i="46"/>
  <c r="V1127" i="46" s="1"/>
  <c r="U1094" i="46"/>
  <c r="V1094" i="46" s="1"/>
  <c r="V1121" i="46"/>
  <c r="U1111" i="46"/>
  <c r="V1111" i="46" s="1"/>
  <c r="U1119" i="46"/>
  <c r="V1119" i="46" s="1"/>
  <c r="U1142" i="46"/>
  <c r="V1142" i="46" s="1"/>
  <c r="U1096" i="46"/>
  <c r="V1096" i="46" s="1"/>
  <c r="U1107" i="46"/>
  <c r="V1107" i="46" s="1"/>
  <c r="U1128" i="46"/>
  <c r="V1128" i="46" s="1"/>
  <c r="U1132" i="46"/>
  <c r="V1132" i="46" s="1"/>
  <c r="U1151" i="46"/>
  <c r="V1151" i="46" s="1"/>
  <c r="U1104" i="46"/>
  <c r="V1104" i="46" s="1"/>
  <c r="U1152" i="46"/>
  <c r="V1152" i="46" s="1"/>
  <c r="U1134" i="46"/>
  <c r="V1134" i="46" s="1"/>
  <c r="U1116" i="46"/>
  <c r="V1116" i="46" s="1"/>
  <c r="U1135" i="46"/>
  <c r="V1135" i="46" s="1"/>
  <c r="U1099" i="46"/>
  <c r="V1099" i="46" s="1"/>
  <c r="U1115" i="46"/>
  <c r="V1115" i="46" s="1"/>
  <c r="U1147" i="46"/>
  <c r="V1147" i="46" s="1"/>
  <c r="U1141" i="46"/>
  <c r="V1141" i="46" s="1"/>
  <c r="U1113" i="46"/>
  <c r="V1113" i="46" s="1"/>
  <c r="U1101" i="46"/>
  <c r="V1101" i="46" s="1"/>
  <c r="U1133" i="46"/>
  <c r="V1133" i="46" s="1"/>
  <c r="U1153" i="46"/>
  <c r="V1153" i="46" s="1"/>
  <c r="S777" i="40" l="1"/>
  <c r="S104" i="40"/>
  <c r="T104" i="40" s="1"/>
  <c r="U104" i="40"/>
  <c r="Q104" i="40"/>
  <c r="U108" i="40"/>
  <c r="S108" i="40"/>
  <c r="T108" i="40" s="1"/>
  <c r="Q108" i="40"/>
  <c r="N108" i="40"/>
  <c r="V108" i="40" s="1"/>
  <c r="M108" i="40"/>
  <c r="U109" i="40"/>
  <c r="S109" i="40"/>
  <c r="T109" i="40" s="1"/>
  <c r="Q109" i="40"/>
  <c r="N109" i="40"/>
  <c r="V109" i="40" s="1"/>
  <c r="M109" i="40"/>
  <c r="U107" i="40"/>
  <c r="S107" i="40"/>
  <c r="T107" i="40" s="1"/>
  <c r="Q107" i="40"/>
  <c r="N107" i="40"/>
  <c r="V107" i="40" s="1"/>
  <c r="M107" i="40"/>
  <c r="U106" i="40"/>
  <c r="S106" i="40"/>
  <c r="T106" i="40" s="1"/>
  <c r="Q106" i="40"/>
  <c r="N106" i="40"/>
  <c r="V106" i="40" s="1"/>
  <c r="M106" i="40"/>
  <c r="U105" i="40"/>
  <c r="S105" i="40"/>
  <c r="T105" i="40" s="1"/>
  <c r="Q105" i="40"/>
  <c r="N105" i="40"/>
  <c r="V105" i="40" s="1"/>
  <c r="M105" i="40"/>
  <c r="V103" i="40"/>
  <c r="DP103" i="40"/>
  <c r="DO103" i="40"/>
  <c r="DN103" i="40"/>
  <c r="DM103" i="40"/>
  <c r="DL103" i="40"/>
  <c r="DK103" i="40"/>
  <c r="DJ103" i="40"/>
  <c r="DI103" i="40"/>
  <c r="DH103" i="40"/>
  <c r="DG103" i="40"/>
  <c r="DF103" i="40"/>
  <c r="DE103" i="40"/>
  <c r="DD103" i="40"/>
  <c r="DC103" i="40"/>
  <c r="DB103" i="40"/>
  <c r="DA103" i="40"/>
  <c r="CZ103" i="40"/>
  <c r="CY103" i="40"/>
  <c r="CX103" i="40"/>
  <c r="CW103" i="40"/>
  <c r="CV103" i="40"/>
  <c r="CU103" i="40"/>
  <c r="CT103" i="40"/>
  <c r="CS103" i="40"/>
  <c r="CR103" i="40"/>
  <c r="CQ103" i="40"/>
  <c r="CP103" i="40"/>
  <c r="CO103" i="40"/>
  <c r="CN103" i="40"/>
  <c r="CM103" i="40"/>
  <c r="CL103" i="40"/>
  <c r="CK103" i="40"/>
  <c r="CJ103" i="40"/>
  <c r="CI103" i="40"/>
  <c r="CH103" i="40"/>
  <c r="CG103" i="40"/>
  <c r="CF103" i="40"/>
  <c r="CE103" i="40"/>
  <c r="CD103" i="40"/>
  <c r="CC103" i="40"/>
  <c r="CB103" i="40"/>
  <c r="CA103" i="40"/>
  <c r="BZ103" i="40"/>
  <c r="BY103" i="40"/>
  <c r="BX103" i="40"/>
  <c r="BW103" i="40"/>
  <c r="BV103" i="40"/>
  <c r="BU103" i="40"/>
  <c r="BT103" i="40"/>
  <c r="BS103" i="40"/>
  <c r="BR103" i="40"/>
  <c r="BQ103" i="40"/>
  <c r="BP103" i="40"/>
  <c r="BO103" i="40"/>
  <c r="BN103" i="40"/>
  <c r="BM103" i="40"/>
  <c r="BL103" i="40"/>
  <c r="BK103" i="40"/>
  <c r="BJ103" i="40"/>
  <c r="BI103" i="40"/>
  <c r="BH103" i="40"/>
  <c r="BG103" i="40"/>
  <c r="BF103" i="40"/>
  <c r="BE103" i="40"/>
  <c r="BD103" i="40"/>
  <c r="BC103" i="40"/>
  <c r="BB103" i="40"/>
  <c r="BA103" i="40"/>
  <c r="AZ103" i="40"/>
  <c r="AY103" i="40"/>
  <c r="AX103" i="40"/>
  <c r="AV103" i="40"/>
  <c r="AU103" i="40"/>
  <c r="AT103" i="40"/>
  <c r="AS103" i="40"/>
  <c r="AR103" i="40"/>
  <c r="AQ103" i="40"/>
  <c r="AP103" i="40"/>
  <c r="AO103" i="40"/>
  <c r="AN103" i="40"/>
  <c r="AM103" i="40"/>
  <c r="AL103" i="40"/>
  <c r="AK103" i="40"/>
  <c r="AJ103" i="40"/>
  <c r="AI103" i="40"/>
  <c r="AH103" i="40"/>
  <c r="AG103" i="40"/>
  <c r="AF103" i="40"/>
  <c r="AE103" i="40"/>
  <c r="AD103" i="40"/>
  <c r="AC103" i="40"/>
  <c r="AB103" i="40"/>
  <c r="AA103" i="40"/>
  <c r="U103" i="40"/>
  <c r="S103" i="40"/>
  <c r="T103" i="40" s="1"/>
  <c r="Q103" i="40"/>
  <c r="M103" i="40"/>
  <c r="AW103" i="40" s="1"/>
  <c r="U626" i="40"/>
  <c r="T626" i="40"/>
  <c r="Q626" i="40"/>
  <c r="N626" i="40"/>
  <c r="V626" i="40" s="1"/>
  <c r="M626" i="40"/>
  <c r="Q95" i="40"/>
  <c r="U99" i="40"/>
  <c r="S99" i="40"/>
  <c r="T99" i="40" s="1"/>
  <c r="Q99" i="40"/>
  <c r="N99" i="40"/>
  <c r="V99" i="40" s="1"/>
  <c r="M99" i="40"/>
  <c r="U98" i="40"/>
  <c r="S98" i="40"/>
  <c r="T98" i="40" s="1"/>
  <c r="Q98" i="40"/>
  <c r="N98" i="40"/>
  <c r="V98" i="40" s="1"/>
  <c r="M98" i="40"/>
  <c r="U97" i="40"/>
  <c r="S97" i="40"/>
  <c r="T97" i="40" s="1"/>
  <c r="Q97" i="40"/>
  <c r="N97" i="40"/>
  <c r="V97" i="40" s="1"/>
  <c r="M97" i="40"/>
  <c r="U96" i="40"/>
  <c r="S96" i="40"/>
  <c r="T96" i="40" s="1"/>
  <c r="Q96" i="40"/>
  <c r="N96" i="40"/>
  <c r="V96" i="40" s="1"/>
  <c r="M96" i="40"/>
  <c r="DP90" i="40"/>
  <c r="DO90" i="40"/>
  <c r="DN90" i="40"/>
  <c r="DM90" i="40"/>
  <c r="DL90" i="40"/>
  <c r="DK90" i="40"/>
  <c r="DJ90" i="40"/>
  <c r="DI90" i="40"/>
  <c r="DH90" i="40"/>
  <c r="DG90" i="40"/>
  <c r="DF90" i="40"/>
  <c r="DE90" i="40"/>
  <c r="DD90" i="40"/>
  <c r="DC90" i="40"/>
  <c r="DB90" i="40"/>
  <c r="DA90" i="40"/>
  <c r="CZ90" i="40"/>
  <c r="CY90" i="40"/>
  <c r="CX90" i="40"/>
  <c r="CW90" i="40"/>
  <c r="CV90" i="40"/>
  <c r="CU90" i="40"/>
  <c r="CT90" i="40"/>
  <c r="CS90" i="40"/>
  <c r="CR90" i="40"/>
  <c r="CQ90" i="40"/>
  <c r="CP90" i="40"/>
  <c r="CO90" i="40"/>
  <c r="CN90" i="40"/>
  <c r="CM90" i="40"/>
  <c r="CL90" i="40"/>
  <c r="CK90" i="40"/>
  <c r="CJ90" i="40"/>
  <c r="CI90" i="40"/>
  <c r="CH90" i="40"/>
  <c r="CG90" i="40"/>
  <c r="CF90" i="40"/>
  <c r="CE90" i="40"/>
  <c r="CD90" i="40"/>
  <c r="CC90" i="40"/>
  <c r="CB90" i="40"/>
  <c r="CA90" i="40"/>
  <c r="BZ90" i="40"/>
  <c r="BY90" i="40"/>
  <c r="BX90" i="40"/>
  <c r="BW90" i="40"/>
  <c r="BV90" i="40"/>
  <c r="BU90" i="40"/>
  <c r="BT90" i="40"/>
  <c r="BS90" i="40"/>
  <c r="BR90" i="40"/>
  <c r="BQ90" i="40"/>
  <c r="BP90" i="40"/>
  <c r="BO90" i="40"/>
  <c r="BN90" i="40"/>
  <c r="BM90" i="40"/>
  <c r="BL90" i="40"/>
  <c r="BK90" i="40"/>
  <c r="BJ90" i="40"/>
  <c r="BI90" i="40"/>
  <c r="BH90" i="40"/>
  <c r="BG90" i="40"/>
  <c r="BF90" i="40"/>
  <c r="BE90" i="40"/>
  <c r="BD90" i="40"/>
  <c r="BC90" i="40"/>
  <c r="BB90" i="40"/>
  <c r="BA90" i="40"/>
  <c r="AZ90" i="40"/>
  <c r="AY90" i="40"/>
  <c r="AX90" i="40"/>
  <c r="AW90" i="40"/>
  <c r="AV90" i="40"/>
  <c r="AU90" i="40"/>
  <c r="AS90" i="40"/>
  <c r="AR90" i="40"/>
  <c r="AQ90" i="40"/>
  <c r="AP90" i="40"/>
  <c r="AO90" i="40"/>
  <c r="AN90" i="40"/>
  <c r="AM90" i="40"/>
  <c r="AL90" i="40"/>
  <c r="AK90" i="40"/>
  <c r="AJ90" i="40"/>
  <c r="AI90" i="40"/>
  <c r="AH90" i="40"/>
  <c r="AG90" i="40"/>
  <c r="AF90" i="40"/>
  <c r="AE90" i="40"/>
  <c r="AD90" i="40"/>
  <c r="AC90" i="40"/>
  <c r="AB90" i="40"/>
  <c r="AA90" i="40"/>
  <c r="U90" i="40"/>
  <c r="S90" i="40"/>
  <c r="T90" i="40" s="1"/>
  <c r="Q90" i="40"/>
  <c r="V90" i="40"/>
  <c r="M90" i="40"/>
  <c r="AT90" i="40" s="1"/>
  <c r="DP89" i="40"/>
  <c r="DO89" i="40"/>
  <c r="DN89" i="40"/>
  <c r="DM89" i="40"/>
  <c r="DL89" i="40"/>
  <c r="DK89" i="40"/>
  <c r="DJ89" i="40"/>
  <c r="DI89" i="40"/>
  <c r="DH89" i="40"/>
  <c r="DG89" i="40"/>
  <c r="DF89" i="40"/>
  <c r="DE89" i="40"/>
  <c r="DD89" i="40"/>
  <c r="DC89" i="40"/>
  <c r="DB89" i="40"/>
  <c r="DA89" i="40"/>
  <c r="CZ89" i="40"/>
  <c r="CY89" i="40"/>
  <c r="CX89" i="40"/>
  <c r="CW89" i="40"/>
  <c r="CV89" i="40"/>
  <c r="CU89" i="40"/>
  <c r="CT89" i="40"/>
  <c r="CS89" i="40"/>
  <c r="CR89" i="40"/>
  <c r="CQ89" i="40"/>
  <c r="CP89" i="40"/>
  <c r="CO89" i="40"/>
  <c r="CN89" i="40"/>
  <c r="CM89" i="40"/>
  <c r="CL89" i="40"/>
  <c r="CK89" i="40"/>
  <c r="CJ89" i="40"/>
  <c r="CI89" i="40"/>
  <c r="CH89" i="40"/>
  <c r="CG89" i="40"/>
  <c r="CF89" i="40"/>
  <c r="CE89" i="40"/>
  <c r="CD89" i="40"/>
  <c r="CC89" i="40"/>
  <c r="CB89" i="40"/>
  <c r="CA89" i="40"/>
  <c r="BZ89" i="40"/>
  <c r="BY89" i="40"/>
  <c r="BX89" i="40"/>
  <c r="BW89" i="40"/>
  <c r="BV89" i="40"/>
  <c r="BU89" i="40"/>
  <c r="BT89" i="40"/>
  <c r="BS89" i="40"/>
  <c r="BR89" i="40"/>
  <c r="BQ89" i="40"/>
  <c r="BP89" i="40"/>
  <c r="BO89" i="40"/>
  <c r="BN89" i="40"/>
  <c r="BM89" i="40"/>
  <c r="BL89" i="40"/>
  <c r="BK89" i="40"/>
  <c r="BJ89" i="40"/>
  <c r="BI89" i="40"/>
  <c r="BH89" i="40"/>
  <c r="BG89" i="40"/>
  <c r="BF89" i="40"/>
  <c r="BE89" i="40"/>
  <c r="BD89" i="40"/>
  <c r="BC89" i="40"/>
  <c r="BB89" i="40"/>
  <c r="BA89" i="40"/>
  <c r="AZ89" i="40"/>
  <c r="AY89" i="40"/>
  <c r="AX89" i="40"/>
  <c r="AW89" i="40"/>
  <c r="AV89" i="40"/>
  <c r="AU89" i="40"/>
  <c r="AT89" i="40"/>
  <c r="AR89" i="40"/>
  <c r="AQ89" i="40"/>
  <c r="AP89" i="40"/>
  <c r="AO89" i="40"/>
  <c r="AN89" i="40"/>
  <c r="AM89" i="40"/>
  <c r="AL89" i="40"/>
  <c r="AK89" i="40"/>
  <c r="AJ89" i="40"/>
  <c r="AI89" i="40"/>
  <c r="AH89" i="40"/>
  <c r="AG89" i="40"/>
  <c r="AF89" i="40"/>
  <c r="AE89" i="40"/>
  <c r="AD89" i="40"/>
  <c r="AC89" i="40"/>
  <c r="AB89" i="40"/>
  <c r="AA89" i="40"/>
  <c r="U89" i="40"/>
  <c r="S89" i="40"/>
  <c r="T89" i="40" s="1"/>
  <c r="Q89" i="40"/>
  <c r="O89" i="40"/>
  <c r="V89" i="40"/>
  <c r="M89" i="40"/>
  <c r="AS89" i="40" s="1"/>
  <c r="DP92" i="40"/>
  <c r="DO92" i="40"/>
  <c r="DN92" i="40"/>
  <c r="DM92" i="40"/>
  <c r="DL92" i="40"/>
  <c r="DK92" i="40"/>
  <c r="DJ92" i="40"/>
  <c r="DI92" i="40"/>
  <c r="DH92" i="40"/>
  <c r="DG92" i="40"/>
  <c r="DF92" i="40"/>
  <c r="DE92" i="40"/>
  <c r="DD92" i="40"/>
  <c r="DC92" i="40"/>
  <c r="DB92" i="40"/>
  <c r="DA92" i="40"/>
  <c r="CZ92" i="40"/>
  <c r="CY92" i="40"/>
  <c r="CX92" i="40"/>
  <c r="CW92" i="40"/>
  <c r="CV92" i="40"/>
  <c r="CU92" i="40"/>
  <c r="CT92" i="40"/>
  <c r="CS92" i="40"/>
  <c r="CR92" i="40"/>
  <c r="CQ92" i="40"/>
  <c r="CP92" i="40"/>
  <c r="CO92" i="40"/>
  <c r="CN92" i="40"/>
  <c r="CM92" i="40"/>
  <c r="CL92" i="40"/>
  <c r="CK92" i="40"/>
  <c r="CJ92" i="40"/>
  <c r="CI92" i="40"/>
  <c r="CH92" i="40"/>
  <c r="CG92" i="40"/>
  <c r="CF92" i="40"/>
  <c r="CE92" i="40"/>
  <c r="CD92" i="40"/>
  <c r="CC92" i="40"/>
  <c r="CB92" i="40"/>
  <c r="CA92" i="40"/>
  <c r="BZ92" i="40"/>
  <c r="BY92" i="40"/>
  <c r="BX92" i="40"/>
  <c r="BW92" i="40"/>
  <c r="BV92" i="40"/>
  <c r="BU92" i="40"/>
  <c r="BT92" i="40"/>
  <c r="BS92" i="40"/>
  <c r="BR92" i="40"/>
  <c r="BQ92" i="40"/>
  <c r="BP92" i="40"/>
  <c r="BO92" i="40"/>
  <c r="BN92" i="40"/>
  <c r="BM92" i="40"/>
  <c r="BL92" i="40"/>
  <c r="BK92" i="40"/>
  <c r="BJ92" i="40"/>
  <c r="BI92" i="40"/>
  <c r="BH92" i="40"/>
  <c r="BG92" i="40"/>
  <c r="BF92" i="40"/>
  <c r="BE92" i="40"/>
  <c r="BD92" i="40"/>
  <c r="BC92" i="40"/>
  <c r="BB92" i="40"/>
  <c r="BA92" i="40"/>
  <c r="AZ92" i="40"/>
  <c r="AY92" i="40"/>
  <c r="AX92" i="40"/>
  <c r="AW92" i="40"/>
  <c r="AU92" i="40"/>
  <c r="AT92" i="40"/>
  <c r="AS92" i="40"/>
  <c r="AR92" i="40"/>
  <c r="AQ92" i="40"/>
  <c r="AP92" i="40"/>
  <c r="AO92" i="40"/>
  <c r="AN92" i="40"/>
  <c r="AM92" i="40"/>
  <c r="AL92" i="40"/>
  <c r="AK92" i="40"/>
  <c r="AJ92" i="40"/>
  <c r="AI92" i="40"/>
  <c r="AH92" i="40"/>
  <c r="AG92" i="40"/>
  <c r="AF92" i="40"/>
  <c r="AE92" i="40"/>
  <c r="AD92" i="40"/>
  <c r="AC92" i="40"/>
  <c r="AB92" i="40"/>
  <c r="AA92" i="40"/>
  <c r="U92" i="40"/>
  <c r="S92" i="40"/>
  <c r="T92" i="40" s="1"/>
  <c r="Q92" i="40"/>
  <c r="V92" i="40"/>
  <c r="M92" i="40"/>
  <c r="AV92" i="40" s="1"/>
  <c r="DP91" i="40"/>
  <c r="DO91" i="40"/>
  <c r="DN91" i="40"/>
  <c r="DM91" i="40"/>
  <c r="DL91" i="40"/>
  <c r="DK91" i="40"/>
  <c r="DJ91" i="40"/>
  <c r="DI91" i="40"/>
  <c r="DH91" i="40"/>
  <c r="DG91" i="40"/>
  <c r="DF91" i="40"/>
  <c r="DE91" i="40"/>
  <c r="DD91" i="40"/>
  <c r="DC91" i="40"/>
  <c r="DB91" i="40"/>
  <c r="DA91" i="40"/>
  <c r="CZ91" i="40"/>
  <c r="CY91" i="40"/>
  <c r="CX91" i="40"/>
  <c r="CW91" i="40"/>
  <c r="CV91" i="40"/>
  <c r="CU91" i="40"/>
  <c r="CT91" i="40"/>
  <c r="CS91" i="40"/>
  <c r="CR91" i="40"/>
  <c r="CQ91" i="40"/>
  <c r="CP91" i="40"/>
  <c r="CO91" i="40"/>
  <c r="CN91" i="40"/>
  <c r="CM91" i="40"/>
  <c r="CL91" i="40"/>
  <c r="CK91" i="40"/>
  <c r="CJ91" i="40"/>
  <c r="CI91" i="40"/>
  <c r="CH91" i="40"/>
  <c r="CG91" i="40"/>
  <c r="CF91" i="40"/>
  <c r="CE91" i="40"/>
  <c r="CD91" i="40"/>
  <c r="CC91" i="40"/>
  <c r="CB91" i="40"/>
  <c r="CA91" i="40"/>
  <c r="BZ91" i="40"/>
  <c r="BY91" i="40"/>
  <c r="BX91" i="40"/>
  <c r="BW91" i="40"/>
  <c r="BV91" i="40"/>
  <c r="BU91" i="40"/>
  <c r="BT91" i="40"/>
  <c r="BS91" i="40"/>
  <c r="BR91" i="40"/>
  <c r="BQ91" i="40"/>
  <c r="BP91" i="40"/>
  <c r="BO91" i="40"/>
  <c r="BN91" i="40"/>
  <c r="BM91" i="40"/>
  <c r="BL91" i="40"/>
  <c r="BK91" i="40"/>
  <c r="BJ91" i="40"/>
  <c r="BI91" i="40"/>
  <c r="BH91" i="40"/>
  <c r="BG91" i="40"/>
  <c r="BF91" i="40"/>
  <c r="BE91" i="40"/>
  <c r="BD91" i="40"/>
  <c r="BC91" i="40"/>
  <c r="BB91" i="40"/>
  <c r="BA91" i="40"/>
  <c r="AZ91" i="40"/>
  <c r="AY91" i="40"/>
  <c r="AX91" i="40"/>
  <c r="AW91" i="40"/>
  <c r="AV91" i="40"/>
  <c r="AT91" i="40"/>
  <c r="AS91" i="40"/>
  <c r="AR91" i="40"/>
  <c r="AQ91" i="40"/>
  <c r="AP91" i="40"/>
  <c r="AO91" i="40"/>
  <c r="AN91" i="40"/>
  <c r="AM91" i="40"/>
  <c r="AL91" i="40"/>
  <c r="AK91" i="40"/>
  <c r="AJ91" i="40"/>
  <c r="AI91" i="40"/>
  <c r="AH91" i="40"/>
  <c r="AG91" i="40"/>
  <c r="AF91" i="40"/>
  <c r="AE91" i="40"/>
  <c r="AD91" i="40"/>
  <c r="AC91" i="40"/>
  <c r="AB91" i="40"/>
  <c r="AA91" i="40"/>
  <c r="U91" i="40"/>
  <c r="S91" i="40"/>
  <c r="T91" i="40" s="1"/>
  <c r="Q91" i="40"/>
  <c r="V91" i="40"/>
  <c r="M91" i="40"/>
  <c r="AU91" i="40" s="1"/>
  <c r="DP88" i="40"/>
  <c r="DO88" i="40"/>
  <c r="DN88" i="40"/>
  <c r="DM88" i="40"/>
  <c r="DL88" i="40"/>
  <c r="DK88" i="40"/>
  <c r="DJ88" i="40"/>
  <c r="DI88" i="40"/>
  <c r="DH88" i="40"/>
  <c r="DG88" i="40"/>
  <c r="DF88" i="40"/>
  <c r="DE88" i="40"/>
  <c r="DD88" i="40"/>
  <c r="DC88" i="40"/>
  <c r="DB88" i="40"/>
  <c r="DA88" i="40"/>
  <c r="CZ88" i="40"/>
  <c r="CY88" i="40"/>
  <c r="CX88" i="40"/>
  <c r="CW88" i="40"/>
  <c r="CV88" i="40"/>
  <c r="CU88" i="40"/>
  <c r="CT88" i="40"/>
  <c r="CS88" i="40"/>
  <c r="CR88" i="40"/>
  <c r="CQ88" i="40"/>
  <c r="CP88" i="40"/>
  <c r="CO88" i="40"/>
  <c r="CN88" i="40"/>
  <c r="CM88" i="40"/>
  <c r="CL88" i="40"/>
  <c r="CK88" i="40"/>
  <c r="CJ88" i="40"/>
  <c r="CI88" i="40"/>
  <c r="CH88" i="40"/>
  <c r="CG88" i="40"/>
  <c r="CF88" i="40"/>
  <c r="CE88" i="40"/>
  <c r="CD88" i="40"/>
  <c r="CC88" i="40"/>
  <c r="CB88" i="40"/>
  <c r="CA88" i="40"/>
  <c r="BZ88" i="40"/>
  <c r="BY88" i="40"/>
  <c r="BX88" i="40"/>
  <c r="BW88" i="40"/>
  <c r="BV88" i="40"/>
  <c r="BU88" i="40"/>
  <c r="BT88" i="40"/>
  <c r="BS88" i="40"/>
  <c r="BR88" i="40"/>
  <c r="BQ88" i="40"/>
  <c r="BP88" i="40"/>
  <c r="BO88" i="40"/>
  <c r="BN88" i="40"/>
  <c r="BM88" i="40"/>
  <c r="BL88" i="40"/>
  <c r="BK88" i="40"/>
  <c r="BJ88" i="40"/>
  <c r="BI88" i="40"/>
  <c r="BH88" i="40"/>
  <c r="BG88" i="40"/>
  <c r="BF88" i="40"/>
  <c r="BE88" i="40"/>
  <c r="BD88" i="40"/>
  <c r="BC88" i="40"/>
  <c r="BB88" i="40"/>
  <c r="BA88" i="40"/>
  <c r="AZ88" i="40"/>
  <c r="AY88" i="40"/>
  <c r="AX88" i="40"/>
  <c r="AW88" i="40"/>
  <c r="AV88" i="40"/>
  <c r="AU88" i="40"/>
  <c r="AT88" i="40"/>
  <c r="AS88" i="40"/>
  <c r="AQ88" i="40"/>
  <c r="AP88" i="40"/>
  <c r="AO88" i="40"/>
  <c r="AN88" i="40"/>
  <c r="AM88" i="40"/>
  <c r="AL88" i="40"/>
  <c r="AK88" i="40"/>
  <c r="AJ88" i="40"/>
  <c r="AI88" i="40"/>
  <c r="AH88" i="40"/>
  <c r="AG88" i="40"/>
  <c r="AF88" i="40"/>
  <c r="AE88" i="40"/>
  <c r="AD88" i="40"/>
  <c r="AC88" i="40"/>
  <c r="AB88" i="40"/>
  <c r="AA88" i="40"/>
  <c r="U88" i="40"/>
  <c r="S88" i="40"/>
  <c r="T88" i="40" s="1"/>
  <c r="Q88" i="40"/>
  <c r="V88" i="40"/>
  <c r="M88" i="40"/>
  <c r="AR88" i="40" s="1"/>
  <c r="Q618" i="40"/>
  <c r="T618" i="40"/>
  <c r="U622" i="40"/>
  <c r="T622" i="40"/>
  <c r="Q622" i="40"/>
  <c r="N622" i="40"/>
  <c r="V622" i="40" s="1"/>
  <c r="M622" i="40"/>
  <c r="U621" i="40"/>
  <c r="T621" i="40"/>
  <c r="Q621" i="40"/>
  <c r="N621" i="40"/>
  <c r="V621" i="40" s="1"/>
  <c r="M621" i="40"/>
  <c r="U620" i="40"/>
  <c r="T620" i="40"/>
  <c r="Q620" i="40"/>
  <c r="N620" i="40"/>
  <c r="V620" i="40" s="1"/>
  <c r="M620" i="40"/>
  <c r="U619" i="40"/>
  <c r="T619" i="40"/>
  <c r="Q619" i="40"/>
  <c r="N619" i="40"/>
  <c r="V619" i="40" s="1"/>
  <c r="M619" i="40"/>
  <c r="U618" i="40"/>
  <c r="N618" i="40"/>
  <c r="V618" i="40" s="1"/>
  <c r="M618" i="40"/>
  <c r="U86" i="40"/>
  <c r="S86" i="40"/>
  <c r="T86" i="40" s="1"/>
  <c r="Q86" i="40"/>
  <c r="N86" i="40"/>
  <c r="V86" i="40" s="1"/>
  <c r="M86" i="40"/>
  <c r="M84" i="40"/>
  <c r="AO84" i="40" s="1"/>
  <c r="M83" i="40"/>
  <c r="AN83" i="40" s="1"/>
  <c r="M82" i="40"/>
  <c r="DP84" i="40"/>
  <c r="DO84" i="40"/>
  <c r="DN84" i="40"/>
  <c r="DM84" i="40"/>
  <c r="DL84" i="40"/>
  <c r="DK84" i="40"/>
  <c r="DJ84" i="40"/>
  <c r="DI84" i="40"/>
  <c r="DH84" i="40"/>
  <c r="DG84" i="40"/>
  <c r="DF84" i="40"/>
  <c r="DE84" i="40"/>
  <c r="DD84" i="40"/>
  <c r="DC84" i="40"/>
  <c r="DB84" i="40"/>
  <c r="DA84" i="40"/>
  <c r="CZ84" i="40"/>
  <c r="CY84" i="40"/>
  <c r="CX84" i="40"/>
  <c r="CW84" i="40"/>
  <c r="CV84" i="40"/>
  <c r="CU84" i="40"/>
  <c r="CT84" i="40"/>
  <c r="CS84" i="40"/>
  <c r="CR84" i="40"/>
  <c r="CQ84" i="40"/>
  <c r="CP84" i="40"/>
  <c r="CO84" i="40"/>
  <c r="CN84" i="40"/>
  <c r="CM84" i="40"/>
  <c r="CL84" i="40"/>
  <c r="CK84" i="40"/>
  <c r="CJ84" i="40"/>
  <c r="CI84" i="40"/>
  <c r="CH84" i="40"/>
  <c r="CG84" i="40"/>
  <c r="CF84" i="40"/>
  <c r="CE84" i="40"/>
  <c r="CD84" i="40"/>
  <c r="CC84" i="40"/>
  <c r="CB84" i="40"/>
  <c r="CA84" i="40"/>
  <c r="BZ84" i="40"/>
  <c r="BY84" i="40"/>
  <c r="BX84" i="40"/>
  <c r="BW84" i="40"/>
  <c r="BV84" i="40"/>
  <c r="BU84" i="40"/>
  <c r="BT84" i="40"/>
  <c r="BS84" i="40"/>
  <c r="BR84" i="40"/>
  <c r="BQ84" i="40"/>
  <c r="BP84" i="40"/>
  <c r="BO84" i="40"/>
  <c r="BN84" i="40"/>
  <c r="BM84" i="40"/>
  <c r="BL84" i="40"/>
  <c r="BK84" i="40"/>
  <c r="BJ84" i="40"/>
  <c r="BI84" i="40"/>
  <c r="BH84" i="40"/>
  <c r="BG84" i="40"/>
  <c r="BF84" i="40"/>
  <c r="BE84" i="40"/>
  <c r="BD84" i="40"/>
  <c r="BC84" i="40"/>
  <c r="BB84" i="40"/>
  <c r="BA84" i="40"/>
  <c r="AZ84" i="40"/>
  <c r="AY84" i="40"/>
  <c r="AX84" i="40"/>
  <c r="AW84" i="40"/>
  <c r="AV84" i="40"/>
  <c r="AU84" i="40"/>
  <c r="AT84" i="40"/>
  <c r="AS84" i="40"/>
  <c r="AR84" i="40"/>
  <c r="AQ84" i="40"/>
  <c r="AP84" i="40"/>
  <c r="AN84" i="40"/>
  <c r="AM84" i="40"/>
  <c r="AL84" i="40"/>
  <c r="AK84" i="40"/>
  <c r="AJ84" i="40"/>
  <c r="AI84" i="40"/>
  <c r="AH84" i="40"/>
  <c r="AG84" i="40"/>
  <c r="AF84" i="40"/>
  <c r="AE84" i="40"/>
  <c r="AD84" i="40"/>
  <c r="AC84" i="40"/>
  <c r="AB84" i="40"/>
  <c r="AA84" i="40"/>
  <c r="U84" i="40"/>
  <c r="S84" i="40"/>
  <c r="T84" i="40" s="1"/>
  <c r="Q84" i="40"/>
  <c r="V84" i="40"/>
  <c r="DP83" i="40"/>
  <c r="DO83" i="40"/>
  <c r="DN83" i="40"/>
  <c r="DM83" i="40"/>
  <c r="DL83" i="40"/>
  <c r="DK83" i="40"/>
  <c r="DJ83" i="40"/>
  <c r="DI83" i="40"/>
  <c r="DH83" i="40"/>
  <c r="DG83" i="40"/>
  <c r="DF83" i="40"/>
  <c r="DE83" i="40"/>
  <c r="DD83" i="40"/>
  <c r="DC83" i="40"/>
  <c r="DB83" i="40"/>
  <c r="DA83" i="40"/>
  <c r="CZ83" i="40"/>
  <c r="CY83" i="40"/>
  <c r="CX83" i="40"/>
  <c r="CW83" i="40"/>
  <c r="CV83" i="40"/>
  <c r="CU83" i="40"/>
  <c r="CT83" i="40"/>
  <c r="CS83" i="40"/>
  <c r="CR83" i="40"/>
  <c r="CQ83" i="40"/>
  <c r="CP83" i="40"/>
  <c r="CO83" i="40"/>
  <c r="CN83" i="40"/>
  <c r="CM83" i="40"/>
  <c r="CL83" i="40"/>
  <c r="CK83" i="40"/>
  <c r="CJ83" i="40"/>
  <c r="CI83" i="40"/>
  <c r="CH83" i="40"/>
  <c r="CG83" i="40"/>
  <c r="CF83" i="40"/>
  <c r="CE83" i="40"/>
  <c r="CD83" i="40"/>
  <c r="CC83" i="40"/>
  <c r="CB83" i="40"/>
  <c r="CA83" i="40"/>
  <c r="BZ83" i="40"/>
  <c r="BY83" i="40"/>
  <c r="BX83" i="40"/>
  <c r="BW83" i="40"/>
  <c r="BV83" i="40"/>
  <c r="BU83" i="40"/>
  <c r="BT83" i="40"/>
  <c r="BS83" i="40"/>
  <c r="BR83" i="40"/>
  <c r="BQ83" i="40"/>
  <c r="BP83" i="40"/>
  <c r="BO83" i="40"/>
  <c r="BN83" i="40"/>
  <c r="BM83" i="40"/>
  <c r="BL83" i="40"/>
  <c r="BK83" i="40"/>
  <c r="BJ83" i="40"/>
  <c r="BI83" i="40"/>
  <c r="BH83" i="40"/>
  <c r="BG83" i="40"/>
  <c r="BF83" i="40"/>
  <c r="BE83" i="40"/>
  <c r="BD83" i="40"/>
  <c r="BC83" i="40"/>
  <c r="BB83" i="40"/>
  <c r="BA83" i="40"/>
  <c r="AZ83" i="40"/>
  <c r="AY83" i="40"/>
  <c r="AX83" i="40"/>
  <c r="AW83" i="40"/>
  <c r="AV83" i="40"/>
  <c r="AU83" i="40"/>
  <c r="AT83" i="40"/>
  <c r="AS83" i="40"/>
  <c r="AR83" i="40"/>
  <c r="AQ83" i="40"/>
  <c r="AP83" i="40"/>
  <c r="AO83" i="40"/>
  <c r="AM83" i="40"/>
  <c r="AL83" i="40"/>
  <c r="AK83" i="40"/>
  <c r="AJ83" i="40"/>
  <c r="AI83" i="40"/>
  <c r="AH83" i="40"/>
  <c r="AG83" i="40"/>
  <c r="AF83" i="40"/>
  <c r="AE83" i="40"/>
  <c r="AD83" i="40"/>
  <c r="AC83" i="40"/>
  <c r="AB83" i="40"/>
  <c r="AA83" i="40"/>
  <c r="U83" i="40"/>
  <c r="S83" i="40"/>
  <c r="T83" i="40" s="1"/>
  <c r="Q83" i="40"/>
  <c r="V83" i="40"/>
  <c r="T615" i="40"/>
  <c r="U615" i="40"/>
  <c r="Q615" i="40"/>
  <c r="N615" i="40"/>
  <c r="V615" i="40" s="1"/>
  <c r="M615" i="40"/>
  <c r="U614" i="40"/>
  <c r="T614" i="40"/>
  <c r="Q614" i="40"/>
  <c r="N614" i="40"/>
  <c r="V614" i="40" s="1"/>
  <c r="M614" i="40"/>
  <c r="U606" i="40"/>
  <c r="S606" i="40"/>
  <c r="T606" i="40" s="1"/>
  <c r="Q606" i="40"/>
  <c r="N606" i="40"/>
  <c r="V606" i="40" s="1"/>
  <c r="M606" i="40"/>
  <c r="M611" i="40"/>
  <c r="AT611" i="40" s="1"/>
  <c r="M610" i="40"/>
  <c r="AS610" i="40" s="1"/>
  <c r="M609" i="40"/>
  <c r="V610" i="40"/>
  <c r="DP611" i="40"/>
  <c r="DO611" i="40"/>
  <c r="DN611" i="40"/>
  <c r="DM611" i="40"/>
  <c r="DL611" i="40"/>
  <c r="DK611" i="40"/>
  <c r="DJ611" i="40"/>
  <c r="DI611" i="40"/>
  <c r="DH611" i="40"/>
  <c r="DG611" i="40"/>
  <c r="DF611" i="40"/>
  <c r="DE611" i="40"/>
  <c r="DD611" i="40"/>
  <c r="DC611" i="40"/>
  <c r="DB611" i="40"/>
  <c r="DA611" i="40"/>
  <c r="CZ611" i="40"/>
  <c r="CY611" i="40"/>
  <c r="CX611" i="40"/>
  <c r="CW611" i="40"/>
  <c r="CV611" i="40"/>
  <c r="CU611" i="40"/>
  <c r="CT611" i="40"/>
  <c r="CS611" i="40"/>
  <c r="CR611" i="40"/>
  <c r="CQ611" i="40"/>
  <c r="CP611" i="40"/>
  <c r="CO611" i="40"/>
  <c r="CN611" i="40"/>
  <c r="CM611" i="40"/>
  <c r="CL611" i="40"/>
  <c r="CK611" i="40"/>
  <c r="CJ611" i="40"/>
  <c r="CI611" i="40"/>
  <c r="CH611" i="40"/>
  <c r="CG611" i="40"/>
  <c r="CF611" i="40"/>
  <c r="CE611" i="40"/>
  <c r="CD611" i="40"/>
  <c r="CC611" i="40"/>
  <c r="CB611" i="40"/>
  <c r="CA611" i="40"/>
  <c r="BZ611" i="40"/>
  <c r="BY611" i="40"/>
  <c r="BX611" i="40"/>
  <c r="BW611" i="40"/>
  <c r="BV611" i="40"/>
  <c r="BU611" i="40"/>
  <c r="BT611" i="40"/>
  <c r="BS611" i="40"/>
  <c r="BR611" i="40"/>
  <c r="BQ611" i="40"/>
  <c r="BP611" i="40"/>
  <c r="BO611" i="40"/>
  <c r="BN611" i="40"/>
  <c r="BM611" i="40"/>
  <c r="BL611" i="40"/>
  <c r="BK611" i="40"/>
  <c r="BJ611" i="40"/>
  <c r="BI611" i="40"/>
  <c r="BH611" i="40"/>
  <c r="BG611" i="40"/>
  <c r="BF611" i="40"/>
  <c r="BE611" i="40"/>
  <c r="BD611" i="40"/>
  <c r="BC611" i="40"/>
  <c r="BB611" i="40"/>
  <c r="BA611" i="40"/>
  <c r="AZ611" i="40"/>
  <c r="AY611" i="40"/>
  <c r="AX611" i="40"/>
  <c r="AW611" i="40"/>
  <c r="AV611" i="40"/>
  <c r="AS611" i="40"/>
  <c r="AR611" i="40"/>
  <c r="AQ611" i="40"/>
  <c r="AP611" i="40"/>
  <c r="AO611" i="40"/>
  <c r="AN611" i="40"/>
  <c r="AM611" i="40"/>
  <c r="AL611" i="40"/>
  <c r="AK611" i="40"/>
  <c r="AJ611" i="40"/>
  <c r="AI611" i="40"/>
  <c r="AH611" i="40"/>
  <c r="AG611" i="40"/>
  <c r="AF611" i="40"/>
  <c r="AE611" i="40"/>
  <c r="AD611" i="40"/>
  <c r="AC611" i="40"/>
  <c r="AB611" i="40"/>
  <c r="AA611" i="40"/>
  <c r="U611" i="40"/>
  <c r="S611" i="40"/>
  <c r="T611" i="40" s="1"/>
  <c r="Q611" i="40"/>
  <c r="V611" i="40"/>
  <c r="AU611" i="40"/>
  <c r="DP610" i="40"/>
  <c r="DO610" i="40"/>
  <c r="DN610" i="40"/>
  <c r="DM610" i="40"/>
  <c r="DL610" i="40"/>
  <c r="DK610" i="40"/>
  <c r="DJ610" i="40"/>
  <c r="DI610" i="40"/>
  <c r="DH610" i="40"/>
  <c r="DG610" i="40"/>
  <c r="DF610" i="40"/>
  <c r="DE610" i="40"/>
  <c r="DD610" i="40"/>
  <c r="DC610" i="40"/>
  <c r="DB610" i="40"/>
  <c r="DA610" i="40"/>
  <c r="CZ610" i="40"/>
  <c r="CY610" i="40"/>
  <c r="CX610" i="40"/>
  <c r="CW610" i="40"/>
  <c r="CV610" i="40"/>
  <c r="CU610" i="40"/>
  <c r="CT610" i="40"/>
  <c r="CS610" i="40"/>
  <c r="CR610" i="40"/>
  <c r="CQ610" i="40"/>
  <c r="CP610" i="40"/>
  <c r="CO610" i="40"/>
  <c r="CN610" i="40"/>
  <c r="CM610" i="40"/>
  <c r="CL610" i="40"/>
  <c r="CK610" i="40"/>
  <c r="CJ610" i="40"/>
  <c r="CI610" i="40"/>
  <c r="CH610" i="40"/>
  <c r="CG610" i="40"/>
  <c r="CF610" i="40"/>
  <c r="CE610" i="40"/>
  <c r="CD610" i="40"/>
  <c r="CC610" i="40"/>
  <c r="CB610" i="40"/>
  <c r="CA610" i="40"/>
  <c r="BZ610" i="40"/>
  <c r="BY610" i="40"/>
  <c r="BX610" i="40"/>
  <c r="BW610" i="40"/>
  <c r="BV610" i="40"/>
  <c r="BU610" i="40"/>
  <c r="BT610" i="40"/>
  <c r="BS610" i="40"/>
  <c r="BR610" i="40"/>
  <c r="BQ610" i="40"/>
  <c r="BP610" i="40"/>
  <c r="BO610" i="40"/>
  <c r="BN610" i="40"/>
  <c r="BM610" i="40"/>
  <c r="BL610" i="40"/>
  <c r="BK610" i="40"/>
  <c r="BJ610" i="40"/>
  <c r="BI610" i="40"/>
  <c r="BH610" i="40"/>
  <c r="BG610" i="40"/>
  <c r="BF610" i="40"/>
  <c r="BE610" i="40"/>
  <c r="BD610" i="40"/>
  <c r="BC610" i="40"/>
  <c r="BB610" i="40"/>
  <c r="BA610" i="40"/>
  <c r="AZ610" i="40"/>
  <c r="AY610" i="40"/>
  <c r="AX610" i="40"/>
  <c r="AW610" i="40"/>
  <c r="AV610" i="40"/>
  <c r="AT610" i="40"/>
  <c r="AR610" i="40"/>
  <c r="AQ610" i="40"/>
  <c r="AP610" i="40"/>
  <c r="AO610" i="40"/>
  <c r="AN610" i="40"/>
  <c r="AM610" i="40"/>
  <c r="AL610" i="40"/>
  <c r="AK610" i="40"/>
  <c r="AJ610" i="40"/>
  <c r="AI610" i="40"/>
  <c r="AH610" i="40"/>
  <c r="AG610" i="40"/>
  <c r="AF610" i="40"/>
  <c r="AE610" i="40"/>
  <c r="AD610" i="40"/>
  <c r="AC610" i="40"/>
  <c r="AB610" i="40"/>
  <c r="AA610" i="40"/>
  <c r="U610" i="40"/>
  <c r="S610" i="40"/>
  <c r="T610" i="40" s="1"/>
  <c r="Q610" i="40"/>
  <c r="AU610" i="40"/>
  <c r="T79" i="40"/>
  <c r="U79" i="40"/>
  <c r="Q79" i="40"/>
  <c r="N79" i="40"/>
  <c r="V79" i="40" s="1"/>
  <c r="M79" i="40"/>
  <c r="U78" i="40"/>
  <c r="T78" i="40"/>
  <c r="Q78" i="40"/>
  <c r="N78" i="40"/>
  <c r="V78" i="40" s="1"/>
  <c r="M78" i="40"/>
  <c r="U71" i="40"/>
  <c r="S71" i="40"/>
  <c r="T71" i="40" s="1"/>
  <c r="Q71" i="40"/>
  <c r="N71" i="40"/>
  <c r="V71" i="40" s="1"/>
  <c r="M71" i="40"/>
  <c r="U72" i="40"/>
  <c r="S72" i="40"/>
  <c r="T72" i="40" s="1"/>
  <c r="Q72" i="40"/>
  <c r="N72" i="40"/>
  <c r="V72" i="40" s="1"/>
  <c r="M72" i="40"/>
  <c r="U70" i="40"/>
  <c r="S70" i="40"/>
  <c r="T70" i="40" s="1"/>
  <c r="Q70" i="40"/>
  <c r="N70" i="40"/>
  <c r="V70" i="40" s="1"/>
  <c r="M70" i="40"/>
  <c r="S102" i="40"/>
  <c r="S101" i="40"/>
  <c r="S100" i="40"/>
  <c r="S95" i="40"/>
  <c r="S94" i="40"/>
  <c r="S93" i="40"/>
  <c r="S87" i="40"/>
  <c r="S85" i="40"/>
  <c r="S82" i="40"/>
  <c r="S81" i="40"/>
  <c r="S80" i="40"/>
  <c r="S76" i="40"/>
  <c r="S75" i="40"/>
  <c r="S74" i="40"/>
  <c r="S73" i="40"/>
  <c r="S69" i="40"/>
  <c r="S68" i="40"/>
  <c r="S67" i="40"/>
  <c r="S66" i="40"/>
  <c r="Q66" i="40"/>
  <c r="N104" i="40"/>
  <c r="V104" i="40" s="1"/>
  <c r="N101" i="40"/>
  <c r="N100" i="40"/>
  <c r="N95" i="40"/>
  <c r="N94" i="40"/>
  <c r="N93" i="40"/>
  <c r="N85" i="40"/>
  <c r="N81" i="40"/>
  <c r="N80" i="40"/>
  <c r="N77" i="40"/>
  <c r="N76" i="40"/>
  <c r="N75" i="40"/>
  <c r="N74" i="40"/>
  <c r="N73" i="40"/>
  <c r="N69" i="40"/>
  <c r="N68" i="40"/>
  <c r="N67" i="40"/>
  <c r="N66" i="40"/>
  <c r="M66" i="40"/>
  <c r="AR66" i="40" s="1"/>
  <c r="DP66" i="40"/>
  <c r="DO66" i="40"/>
  <c r="DN66" i="40"/>
  <c r="DM66" i="40"/>
  <c r="DL66" i="40"/>
  <c r="DK66" i="40"/>
  <c r="DJ66" i="40"/>
  <c r="DI66" i="40"/>
  <c r="DH66" i="40"/>
  <c r="DG66" i="40"/>
  <c r="DF66" i="40"/>
  <c r="DE66" i="40"/>
  <c r="DD66" i="40"/>
  <c r="DC66" i="40"/>
  <c r="DB66" i="40"/>
  <c r="DA66" i="40"/>
  <c r="CZ66" i="40"/>
  <c r="CY66" i="40"/>
  <c r="CX66" i="40"/>
  <c r="CW66" i="40"/>
  <c r="CV66" i="40"/>
  <c r="CU66" i="40"/>
  <c r="CT66" i="40"/>
  <c r="CS66" i="40"/>
  <c r="CR66" i="40"/>
  <c r="CQ66" i="40"/>
  <c r="CP66" i="40"/>
  <c r="CO66" i="40"/>
  <c r="CN66" i="40"/>
  <c r="CM66" i="40"/>
  <c r="CL66" i="40"/>
  <c r="CK66" i="40"/>
  <c r="CJ66" i="40"/>
  <c r="CI66" i="40"/>
  <c r="CH66" i="40"/>
  <c r="CG66" i="40"/>
  <c r="CF66" i="40"/>
  <c r="CE66" i="40"/>
  <c r="CD66" i="40"/>
  <c r="CC66" i="40"/>
  <c r="CB66" i="40"/>
  <c r="CA66" i="40"/>
  <c r="BZ66" i="40"/>
  <c r="BY66" i="40"/>
  <c r="BX66" i="40"/>
  <c r="BW66" i="40"/>
  <c r="BV66" i="40"/>
  <c r="BU66" i="40"/>
  <c r="BT66" i="40"/>
  <c r="BS66" i="40"/>
  <c r="BR66" i="40"/>
  <c r="BQ66" i="40"/>
  <c r="BP66" i="40"/>
  <c r="BO66" i="40"/>
  <c r="BN66" i="40"/>
  <c r="BM66" i="40"/>
  <c r="BL66" i="40"/>
  <c r="BK66" i="40"/>
  <c r="BJ66" i="40"/>
  <c r="BI66" i="40"/>
  <c r="BH66" i="40"/>
  <c r="BG66" i="40"/>
  <c r="BF66" i="40"/>
  <c r="BE66" i="40"/>
  <c r="BD66" i="40"/>
  <c r="BC66" i="40"/>
  <c r="BB66" i="40"/>
  <c r="BA66" i="40"/>
  <c r="AZ66" i="40"/>
  <c r="AY66" i="40"/>
  <c r="AX66" i="40"/>
  <c r="AW66" i="40"/>
  <c r="AV66" i="40"/>
  <c r="AU66" i="40"/>
  <c r="AT66" i="40"/>
  <c r="AS66" i="40"/>
  <c r="AQ66" i="40"/>
  <c r="AP66" i="40"/>
  <c r="AO66" i="40"/>
  <c r="AN66" i="40"/>
  <c r="AM66" i="40"/>
  <c r="AL66" i="40"/>
  <c r="AK66" i="40"/>
  <c r="AJ66" i="40"/>
  <c r="AI66" i="40"/>
  <c r="AH66" i="40"/>
  <c r="AG66" i="40"/>
  <c r="AF66" i="40"/>
  <c r="AE66" i="40"/>
  <c r="AD66" i="40"/>
  <c r="AC66" i="40"/>
  <c r="AB66" i="40"/>
  <c r="AA66" i="40"/>
  <c r="X108" i="40" l="1"/>
  <c r="W108" i="40"/>
  <c r="O108" i="40"/>
  <c r="W106" i="40"/>
  <c r="O109" i="40"/>
  <c r="W109" i="40"/>
  <c r="X109" i="40"/>
  <c r="W105" i="40"/>
  <c r="W107" i="40"/>
  <c r="X105" i="40"/>
  <c r="X106" i="40"/>
  <c r="X107" i="40"/>
  <c r="O105" i="40"/>
  <c r="O106" i="40"/>
  <c r="O107" i="40"/>
  <c r="W103" i="40"/>
  <c r="X103" i="40"/>
  <c r="O103" i="40"/>
  <c r="W626" i="40"/>
  <c r="X626" i="40"/>
  <c r="O626" i="40"/>
  <c r="X97" i="40"/>
  <c r="W99" i="40"/>
  <c r="W98" i="40"/>
  <c r="O99" i="40"/>
  <c r="W97" i="40"/>
  <c r="O98" i="40"/>
  <c r="X98" i="40"/>
  <c r="X99" i="40"/>
  <c r="W96" i="40"/>
  <c r="O97" i="40"/>
  <c r="O96" i="40"/>
  <c r="X96" i="40"/>
  <c r="W88" i="40"/>
  <c r="O91" i="40"/>
  <c r="W90" i="40"/>
  <c r="W89" i="40"/>
  <c r="O90" i="40"/>
  <c r="X89" i="40"/>
  <c r="X90" i="40"/>
  <c r="O92" i="40"/>
  <c r="W91" i="40"/>
  <c r="W92" i="40"/>
  <c r="X91" i="40"/>
  <c r="X92" i="40"/>
  <c r="O88" i="40"/>
  <c r="X88" i="40"/>
  <c r="X619" i="40"/>
  <c r="W621" i="40"/>
  <c r="O619" i="40"/>
  <c r="W620" i="40"/>
  <c r="W622" i="40"/>
  <c r="X621" i="40"/>
  <c r="X622" i="40"/>
  <c r="O621" i="40"/>
  <c r="O622" i="40"/>
  <c r="W619" i="40"/>
  <c r="O620" i="40"/>
  <c r="W618" i="40"/>
  <c r="X620" i="40"/>
  <c r="O618" i="40"/>
  <c r="X618" i="40"/>
  <c r="W86" i="40"/>
  <c r="O86" i="40"/>
  <c r="X86" i="40"/>
  <c r="W83" i="40"/>
  <c r="O84" i="40"/>
  <c r="W84" i="40"/>
  <c r="X84" i="40"/>
  <c r="O83" i="40"/>
  <c r="X83" i="40"/>
  <c r="W615" i="40"/>
  <c r="X615" i="40"/>
  <c r="W614" i="40"/>
  <c r="X614" i="40"/>
  <c r="O615" i="40"/>
  <c r="O614" i="40"/>
  <c r="W606" i="40"/>
  <c r="O606" i="40"/>
  <c r="X606" i="40"/>
  <c r="W610" i="40"/>
  <c r="W611" i="40"/>
  <c r="X611" i="40"/>
  <c r="X610" i="40"/>
  <c r="O611" i="40"/>
  <c r="O610" i="40"/>
  <c r="W78" i="40"/>
  <c r="W79" i="40"/>
  <c r="O79" i="40"/>
  <c r="X79" i="40"/>
  <c r="O78" i="40"/>
  <c r="X78" i="40"/>
  <c r="X72" i="40"/>
  <c r="W71" i="40"/>
  <c r="W72" i="40"/>
  <c r="X71" i="40"/>
  <c r="O71" i="40"/>
  <c r="O72" i="40"/>
  <c r="O70" i="40"/>
  <c r="W70" i="40"/>
  <c r="X70" i="40"/>
  <c r="Q625" i="40" l="1"/>
  <c r="Q624" i="40"/>
  <c r="Q623" i="40"/>
  <c r="Q617" i="40"/>
  <c r="Q616" i="40"/>
  <c r="Q613" i="40"/>
  <c r="Q612" i="40"/>
  <c r="Q609" i="40"/>
  <c r="Q608" i="40"/>
  <c r="Q607" i="40"/>
  <c r="Q605" i="40"/>
  <c r="Q604" i="40"/>
  <c r="S624" i="40"/>
  <c r="S623" i="40"/>
  <c r="S616" i="40"/>
  <c r="S612" i="40"/>
  <c r="S609" i="40"/>
  <c r="S608" i="40"/>
  <c r="S607" i="40"/>
  <c r="S605" i="40"/>
  <c r="S604" i="40"/>
  <c r="N625" i="40"/>
  <c r="N624" i="40"/>
  <c r="N623" i="40"/>
  <c r="N617" i="40"/>
  <c r="N616" i="40"/>
  <c r="N613" i="40"/>
  <c r="N612" i="40"/>
  <c r="N608" i="40"/>
  <c r="N607" i="40"/>
  <c r="N605" i="40"/>
  <c r="N604" i="40"/>
  <c r="DP776" i="40" l="1"/>
  <c r="DO776" i="40"/>
  <c r="DN776" i="40"/>
  <c r="DM776" i="40"/>
  <c r="DL776" i="40"/>
  <c r="DK776" i="40"/>
  <c r="DJ776" i="40"/>
  <c r="DI776" i="40"/>
  <c r="DH776" i="40"/>
  <c r="DG776" i="40"/>
  <c r="DF776" i="40"/>
  <c r="DE776" i="40"/>
  <c r="DD776" i="40"/>
  <c r="DC776" i="40"/>
  <c r="DB776" i="40"/>
  <c r="DA776" i="40"/>
  <c r="CZ776" i="40"/>
  <c r="CY776" i="40"/>
  <c r="CX776" i="40"/>
  <c r="CW776" i="40"/>
  <c r="CV776" i="40"/>
  <c r="CU776" i="40"/>
  <c r="CT776" i="40"/>
  <c r="CS776" i="40"/>
  <c r="CR776" i="40"/>
  <c r="CQ776" i="40"/>
  <c r="CP776" i="40"/>
  <c r="CO776" i="40"/>
  <c r="CN776" i="40"/>
  <c r="CM776" i="40"/>
  <c r="CL776" i="40"/>
  <c r="CK776" i="40"/>
  <c r="CJ776" i="40"/>
  <c r="CI776" i="40"/>
  <c r="CH776" i="40"/>
  <c r="CG776" i="40"/>
  <c r="CF776" i="40"/>
  <c r="CE776" i="40"/>
  <c r="CD776" i="40"/>
  <c r="CC776" i="40"/>
  <c r="CB776" i="40"/>
  <c r="CA776" i="40"/>
  <c r="BZ776" i="40"/>
  <c r="BY776" i="40"/>
  <c r="BX776" i="40"/>
  <c r="BW776" i="40"/>
  <c r="BV776" i="40"/>
  <c r="BU776" i="40"/>
  <c r="BT776" i="40"/>
  <c r="BS776" i="40"/>
  <c r="BR776" i="40"/>
  <c r="BQ776" i="40"/>
  <c r="BP776" i="40"/>
  <c r="BO776" i="40"/>
  <c r="BN776" i="40"/>
  <c r="BM776" i="40"/>
  <c r="BL776" i="40"/>
  <c r="BK776" i="40"/>
  <c r="BJ776" i="40"/>
  <c r="BI776" i="40"/>
  <c r="BH776" i="40"/>
  <c r="BG776" i="40"/>
  <c r="BF776" i="40"/>
  <c r="BE776" i="40"/>
  <c r="BD776" i="40"/>
  <c r="BC776" i="40"/>
  <c r="BB776" i="40"/>
  <c r="BA776" i="40"/>
  <c r="AZ776" i="40"/>
  <c r="AY776" i="40"/>
  <c r="AX776" i="40"/>
  <c r="AW776" i="40"/>
  <c r="AV776" i="40"/>
  <c r="AU776" i="40"/>
  <c r="AT776" i="40"/>
  <c r="AS776" i="40"/>
  <c r="AR776" i="40"/>
  <c r="AQ776" i="40"/>
  <c r="AP776" i="40"/>
  <c r="AO776" i="40"/>
  <c r="AN776" i="40"/>
  <c r="AM776" i="40"/>
  <c r="AL776" i="40"/>
  <c r="AK776" i="40"/>
  <c r="AJ776" i="40"/>
  <c r="AI776" i="40"/>
  <c r="AH776" i="40"/>
  <c r="AG776" i="40"/>
  <c r="AF776" i="40"/>
  <c r="AE776" i="40"/>
  <c r="AD776" i="40"/>
  <c r="AC776" i="40"/>
  <c r="AB776" i="40"/>
  <c r="AA776" i="40"/>
  <c r="AQ624" i="40"/>
  <c r="AP624" i="40"/>
  <c r="AO624" i="40"/>
  <c r="AN624" i="40"/>
  <c r="AM624" i="40"/>
  <c r="AL624" i="40"/>
  <c r="AK624" i="40"/>
  <c r="AJ624" i="40"/>
  <c r="AI624" i="40"/>
  <c r="AH624" i="40"/>
  <c r="AG624" i="40"/>
  <c r="AF624" i="40"/>
  <c r="AE624" i="40"/>
  <c r="AD624" i="40"/>
  <c r="AC624" i="40"/>
  <c r="AB624" i="40"/>
  <c r="AA624" i="40"/>
  <c r="AQ616" i="40"/>
  <c r="AP616" i="40"/>
  <c r="AO616" i="40"/>
  <c r="AN616" i="40"/>
  <c r="AM616" i="40"/>
  <c r="AL616" i="40"/>
  <c r="AK616" i="40"/>
  <c r="AJ616" i="40"/>
  <c r="AI616" i="40"/>
  <c r="AH616" i="40"/>
  <c r="AG616" i="40"/>
  <c r="AF616" i="40"/>
  <c r="AE616" i="40"/>
  <c r="AD616" i="40"/>
  <c r="AC616" i="40"/>
  <c r="AB616" i="40"/>
  <c r="AA616" i="40"/>
  <c r="AQ609" i="40"/>
  <c r="AP609" i="40"/>
  <c r="AO609" i="40"/>
  <c r="AN609" i="40"/>
  <c r="AM609" i="40"/>
  <c r="AL609" i="40"/>
  <c r="AK609" i="40"/>
  <c r="AJ609" i="40"/>
  <c r="AI609" i="40"/>
  <c r="AH609" i="40"/>
  <c r="AG609" i="40"/>
  <c r="AF609" i="40"/>
  <c r="AE609" i="40"/>
  <c r="AD609" i="40"/>
  <c r="AC609" i="40"/>
  <c r="AB609" i="40"/>
  <c r="AA609" i="40"/>
  <c r="AQ608" i="40"/>
  <c r="AP608" i="40"/>
  <c r="AO608" i="40"/>
  <c r="AN608" i="40"/>
  <c r="AM608" i="40"/>
  <c r="AL608" i="40"/>
  <c r="AK608" i="40"/>
  <c r="AJ608" i="40"/>
  <c r="AI608" i="40"/>
  <c r="AH608" i="40"/>
  <c r="AG608" i="40"/>
  <c r="AF608" i="40"/>
  <c r="AE608" i="40"/>
  <c r="AD608" i="40"/>
  <c r="AC608" i="40"/>
  <c r="AB608" i="40"/>
  <c r="AA608" i="40"/>
  <c r="DP604" i="40"/>
  <c r="DO604" i="40"/>
  <c r="DN604" i="40"/>
  <c r="DM604" i="40"/>
  <c r="DL604" i="40"/>
  <c r="DK604" i="40"/>
  <c r="DJ604" i="40"/>
  <c r="DI604" i="40"/>
  <c r="DH604" i="40"/>
  <c r="DG604" i="40"/>
  <c r="DF604" i="40"/>
  <c r="DE604" i="40"/>
  <c r="DD604" i="40"/>
  <c r="DC604" i="40"/>
  <c r="DB604" i="40"/>
  <c r="DA604" i="40"/>
  <c r="CZ604" i="40"/>
  <c r="CY604" i="40"/>
  <c r="CX604" i="40"/>
  <c r="CW604" i="40"/>
  <c r="CV604" i="40"/>
  <c r="CU604" i="40"/>
  <c r="CT604" i="40"/>
  <c r="CS604" i="40"/>
  <c r="CR604" i="40"/>
  <c r="CQ604" i="40"/>
  <c r="CP604" i="40"/>
  <c r="CO604" i="40"/>
  <c r="CN604" i="40"/>
  <c r="CM604" i="40"/>
  <c r="CL604" i="40"/>
  <c r="CK604" i="40"/>
  <c r="CJ604" i="40"/>
  <c r="CI604" i="40"/>
  <c r="CH604" i="40"/>
  <c r="CG604" i="40"/>
  <c r="CF604" i="40"/>
  <c r="CE604" i="40"/>
  <c r="CD604" i="40"/>
  <c r="CC604" i="40"/>
  <c r="CB604" i="40"/>
  <c r="CA604" i="40"/>
  <c r="BZ604" i="40"/>
  <c r="BY604" i="40"/>
  <c r="BX604" i="40"/>
  <c r="BW604" i="40"/>
  <c r="BV604" i="40"/>
  <c r="BU604" i="40"/>
  <c r="BT604" i="40"/>
  <c r="BS604" i="40"/>
  <c r="BR604" i="40"/>
  <c r="BQ604" i="40"/>
  <c r="BP604" i="40"/>
  <c r="BO604" i="40"/>
  <c r="BN604" i="40"/>
  <c r="BM604" i="40"/>
  <c r="BL604" i="40"/>
  <c r="BK604" i="40"/>
  <c r="BJ604" i="40"/>
  <c r="BI604" i="40"/>
  <c r="BH604" i="40"/>
  <c r="BG604" i="40"/>
  <c r="BF604" i="40"/>
  <c r="BE604" i="40"/>
  <c r="BD604" i="40"/>
  <c r="BC604" i="40"/>
  <c r="BB604" i="40"/>
  <c r="BA604" i="40"/>
  <c r="AZ604" i="40"/>
  <c r="AY604" i="40"/>
  <c r="AX604" i="40"/>
  <c r="AW604" i="40"/>
  <c r="AV604" i="40"/>
  <c r="AU604" i="40"/>
  <c r="AT604" i="40"/>
  <c r="AS604" i="40"/>
  <c r="AQ604" i="40"/>
  <c r="AP604" i="40"/>
  <c r="AO604" i="40"/>
  <c r="AN604" i="40"/>
  <c r="AM604" i="40"/>
  <c r="AL604" i="40"/>
  <c r="AK604" i="40"/>
  <c r="AJ604" i="40"/>
  <c r="AI604" i="40"/>
  <c r="AH604" i="40"/>
  <c r="AG604" i="40"/>
  <c r="AF604" i="40"/>
  <c r="AE604" i="40"/>
  <c r="AD604" i="40"/>
  <c r="AC604" i="40"/>
  <c r="AB604" i="40"/>
  <c r="AA604" i="40"/>
  <c r="X2088" i="40"/>
  <c r="W2088" i="40"/>
  <c r="U2088" i="40"/>
  <c r="T2088" i="40"/>
  <c r="Q2088" i="40"/>
  <c r="N2088" i="40"/>
  <c r="V2088" i="40" s="1"/>
  <c r="M2088" i="40"/>
  <c r="S2147" i="40"/>
  <c r="P2147" i="40"/>
  <c r="Q2147" i="40" s="1"/>
  <c r="N2147" i="40"/>
  <c r="O2147" i="40" s="1"/>
  <c r="M2147" i="40"/>
  <c r="X2146" i="40"/>
  <c r="W2146" i="40"/>
  <c r="U2146" i="40"/>
  <c r="T2146" i="40"/>
  <c r="Q2146" i="40"/>
  <c r="N2146" i="40"/>
  <c r="O2146" i="40" s="1"/>
  <c r="M2146" i="40"/>
  <c r="S2145" i="40"/>
  <c r="P2145" i="40"/>
  <c r="U2145" i="40" s="1"/>
  <c r="N2145" i="40"/>
  <c r="O2145" i="40" s="1"/>
  <c r="M2145" i="40"/>
  <c r="U2144" i="40"/>
  <c r="S2144" i="40"/>
  <c r="X2144" i="40" s="1"/>
  <c r="Q2144" i="40"/>
  <c r="N2144" i="40"/>
  <c r="O2144" i="40" s="1"/>
  <c r="M2144" i="40"/>
  <c r="S2143" i="40"/>
  <c r="P2143" i="40"/>
  <c r="Q2143" i="40" s="1"/>
  <c r="N2143" i="40"/>
  <c r="O2143" i="40" s="1"/>
  <c r="M2143" i="40"/>
  <c r="U2142" i="40"/>
  <c r="S2142" i="40"/>
  <c r="T2142" i="40" s="1"/>
  <c r="Q2142" i="40"/>
  <c r="N2142" i="40"/>
  <c r="R2143" i="40" s="1"/>
  <c r="M2142" i="40"/>
  <c r="S2141" i="40"/>
  <c r="P2141" i="40"/>
  <c r="U2141" i="40" s="1"/>
  <c r="N2141" i="40"/>
  <c r="O2141" i="40" s="1"/>
  <c r="M2141" i="40"/>
  <c r="U2140" i="40"/>
  <c r="S2140" i="40"/>
  <c r="T2140" i="40" s="1"/>
  <c r="Q2140" i="40"/>
  <c r="N2140" i="40"/>
  <c r="O2140" i="40" s="1"/>
  <c r="M2140" i="40"/>
  <c r="S2139" i="40"/>
  <c r="P2139" i="40"/>
  <c r="Q2139" i="40" s="1"/>
  <c r="N2139" i="40"/>
  <c r="O2139" i="40" s="1"/>
  <c r="M2139" i="40"/>
  <c r="X2138" i="40"/>
  <c r="W2138" i="40"/>
  <c r="U2138" i="40"/>
  <c r="T2138" i="40"/>
  <c r="Q2138" i="40"/>
  <c r="N2138" i="40"/>
  <c r="V2138" i="40" s="1"/>
  <c r="M2138" i="40"/>
  <c r="S2174" i="40"/>
  <c r="P2174" i="40"/>
  <c r="N2174" i="40"/>
  <c r="K2174" i="40"/>
  <c r="U2173" i="40"/>
  <c r="T2173" i="40"/>
  <c r="Q2173" i="40"/>
  <c r="N2173" i="40"/>
  <c r="R2174" i="40" s="1"/>
  <c r="J2173" i="40"/>
  <c r="S2172" i="40"/>
  <c r="P2172" i="40"/>
  <c r="N2172" i="40"/>
  <c r="K2172" i="40"/>
  <c r="U2171" i="40"/>
  <c r="T2171" i="40"/>
  <c r="Q2171" i="40"/>
  <c r="N2171" i="40"/>
  <c r="R2172" i="40" s="1"/>
  <c r="J2171" i="40"/>
  <c r="X2171" i="40" s="1"/>
  <c r="X2024" i="40"/>
  <c r="W2024" i="40"/>
  <c r="T2024" i="40"/>
  <c r="Q2024" i="40"/>
  <c r="O2024" i="40"/>
  <c r="M2024" i="40"/>
  <c r="S2023" i="40"/>
  <c r="O2023" i="40"/>
  <c r="M2023" i="40"/>
  <c r="S2022" i="40"/>
  <c r="P2022" i="40"/>
  <c r="Q2022" i="40" s="1"/>
  <c r="O2022" i="40"/>
  <c r="M2022" i="40"/>
  <c r="U2021" i="40"/>
  <c r="S2021" i="40"/>
  <c r="T2021" i="40" s="1"/>
  <c r="Q2021" i="40"/>
  <c r="N2021" i="40"/>
  <c r="O2021" i="40" s="1"/>
  <c r="M2021" i="40"/>
  <c r="U2020" i="40"/>
  <c r="S2020" i="40"/>
  <c r="T2020" i="40" s="1"/>
  <c r="Q2020" i="40"/>
  <c r="N2020" i="40"/>
  <c r="V2020" i="40" s="1"/>
  <c r="M2020" i="40"/>
  <c r="U2019" i="40"/>
  <c r="S2019" i="40"/>
  <c r="X2019" i="40" s="1"/>
  <c r="Q2019" i="40"/>
  <c r="N2019" i="40"/>
  <c r="V2019" i="40" s="1"/>
  <c r="M2019" i="40"/>
  <c r="U2018" i="40"/>
  <c r="S2018" i="40"/>
  <c r="X2018" i="40" s="1"/>
  <c r="Q2018" i="40"/>
  <c r="N2018" i="40"/>
  <c r="M2018" i="40"/>
  <c r="X2017" i="40"/>
  <c r="W2017" i="40"/>
  <c r="V2017" i="40"/>
  <c r="U2017" i="40"/>
  <c r="T2017" i="40"/>
  <c r="Q2017" i="40"/>
  <c r="O2017" i="40"/>
  <c r="M2017" i="40"/>
  <c r="X1813" i="40"/>
  <c r="W1813" i="40"/>
  <c r="U1813" i="40"/>
  <c r="T1813" i="40"/>
  <c r="Q1813" i="40"/>
  <c r="N1813" i="40"/>
  <c r="V1813" i="40" s="1"/>
  <c r="M1813" i="40"/>
  <c r="S1866" i="40"/>
  <c r="P1866" i="40"/>
  <c r="Q1866" i="40" s="1"/>
  <c r="N1866" i="40"/>
  <c r="O1866" i="40" s="1"/>
  <c r="M1866" i="40"/>
  <c r="U1865" i="40"/>
  <c r="S1865" i="40"/>
  <c r="T1865" i="40" s="1"/>
  <c r="Q1865" i="40"/>
  <c r="N1865" i="40"/>
  <c r="O1865" i="40" s="1"/>
  <c r="M1865" i="40"/>
  <c r="S1864" i="40"/>
  <c r="P1864" i="40"/>
  <c r="U1864" i="40" s="1"/>
  <c r="N1864" i="40"/>
  <c r="O1864" i="40" s="1"/>
  <c r="M1864" i="40"/>
  <c r="U1863" i="40"/>
  <c r="S1863" i="40"/>
  <c r="X1863" i="40" s="1"/>
  <c r="Q1863" i="40"/>
  <c r="N1863" i="40"/>
  <c r="O1863" i="40" s="1"/>
  <c r="M1863" i="40"/>
  <c r="S1862" i="40"/>
  <c r="P1862" i="40"/>
  <c r="Q1862" i="40" s="1"/>
  <c r="N1862" i="40"/>
  <c r="O1862" i="40" s="1"/>
  <c r="M1862" i="40"/>
  <c r="S1860" i="40"/>
  <c r="P1860" i="40"/>
  <c r="Q1860" i="40" s="1"/>
  <c r="N1860" i="40"/>
  <c r="O1860" i="40" s="1"/>
  <c r="M1860" i="40"/>
  <c r="S1858" i="40"/>
  <c r="P1858" i="40"/>
  <c r="Q1858" i="40" s="1"/>
  <c r="N1858" i="40"/>
  <c r="O1858" i="40" s="1"/>
  <c r="M1858" i="40"/>
  <c r="S1856" i="40"/>
  <c r="P1856" i="40"/>
  <c r="Q1856" i="40" s="1"/>
  <c r="N1856" i="40"/>
  <c r="O1856" i="40" s="1"/>
  <c r="M1856" i="40"/>
  <c r="S1854" i="40"/>
  <c r="P1854" i="40"/>
  <c r="N1854" i="40"/>
  <c r="O1854" i="40" s="1"/>
  <c r="M1854" i="40"/>
  <c r="S1852" i="40"/>
  <c r="P1852" i="40"/>
  <c r="Q1852" i="40" s="1"/>
  <c r="N1852" i="40"/>
  <c r="O1852" i="40" s="1"/>
  <c r="M1852" i="40"/>
  <c r="S1850" i="40"/>
  <c r="P1850" i="40"/>
  <c r="Q1850" i="40" s="1"/>
  <c r="N1850" i="40"/>
  <c r="O1850" i="40" s="1"/>
  <c r="M1850" i="40"/>
  <c r="X1861" i="40"/>
  <c r="W1861" i="40"/>
  <c r="U1861" i="40"/>
  <c r="T1861" i="40"/>
  <c r="Q1861" i="40"/>
  <c r="N1861" i="40"/>
  <c r="V1861" i="40" s="1"/>
  <c r="M1861" i="40"/>
  <c r="X1859" i="40"/>
  <c r="W1859" i="40"/>
  <c r="U1859" i="40"/>
  <c r="T1859" i="40"/>
  <c r="Q1859" i="40"/>
  <c r="N1859" i="40"/>
  <c r="V1859" i="40" s="1"/>
  <c r="M1859" i="40"/>
  <c r="X1857" i="40"/>
  <c r="W1857" i="40"/>
  <c r="U1857" i="40"/>
  <c r="T1857" i="40"/>
  <c r="Q1857" i="40"/>
  <c r="N1857" i="40"/>
  <c r="V1857" i="40" s="1"/>
  <c r="M1857" i="40"/>
  <c r="X1855" i="40"/>
  <c r="W1855" i="40"/>
  <c r="U1855" i="40"/>
  <c r="T1855" i="40"/>
  <c r="Q1855" i="40"/>
  <c r="N1855" i="40"/>
  <c r="O1855" i="40" s="1"/>
  <c r="M1855" i="40"/>
  <c r="X1853" i="40"/>
  <c r="W1853" i="40"/>
  <c r="U1853" i="40"/>
  <c r="T1853" i="40"/>
  <c r="Q1853" i="40"/>
  <c r="N1853" i="40"/>
  <c r="V1853" i="40" s="1"/>
  <c r="M1853" i="40"/>
  <c r="X1851" i="40"/>
  <c r="W1851" i="40"/>
  <c r="U1851" i="40"/>
  <c r="T1851" i="40"/>
  <c r="Q1851" i="40"/>
  <c r="N1851" i="40"/>
  <c r="V1851" i="40" s="1"/>
  <c r="M1851" i="40"/>
  <c r="X1849" i="40"/>
  <c r="W1849" i="40"/>
  <c r="U1849" i="40"/>
  <c r="T1849" i="40"/>
  <c r="Q1849" i="40"/>
  <c r="N1849" i="40"/>
  <c r="V1849" i="40" s="1"/>
  <c r="M1849" i="40"/>
  <c r="N1895" i="40"/>
  <c r="J1895" i="40"/>
  <c r="S1691" i="40"/>
  <c r="P1691" i="40"/>
  <c r="N1691" i="40"/>
  <c r="O1691" i="40" s="1"/>
  <c r="M1691" i="40"/>
  <c r="X1690" i="40"/>
  <c r="W1690" i="40"/>
  <c r="U1690" i="40"/>
  <c r="T1690" i="40"/>
  <c r="Q1690" i="40"/>
  <c r="N1690" i="40"/>
  <c r="R1691" i="40" s="1"/>
  <c r="M1690" i="40"/>
  <c r="S1689" i="40"/>
  <c r="P1689" i="40"/>
  <c r="Q1689" i="40" s="1"/>
  <c r="N1689" i="40"/>
  <c r="O1689" i="40" s="1"/>
  <c r="M1689" i="40"/>
  <c r="X1688" i="40"/>
  <c r="W1688" i="40"/>
  <c r="U1688" i="40"/>
  <c r="T1688" i="40"/>
  <c r="Q1688" i="40"/>
  <c r="N1688" i="40"/>
  <c r="O1688" i="40" s="1"/>
  <c r="M1688" i="40"/>
  <c r="S1687" i="40"/>
  <c r="P1687" i="40"/>
  <c r="U1687" i="40" s="1"/>
  <c r="N1687" i="40"/>
  <c r="O1687" i="40" s="1"/>
  <c r="M1687" i="40"/>
  <c r="X1686" i="40"/>
  <c r="W1686" i="40"/>
  <c r="U1686" i="40"/>
  <c r="T1686" i="40"/>
  <c r="Q1686" i="40"/>
  <c r="N1686" i="40"/>
  <c r="R1687" i="40" s="1"/>
  <c r="M1686" i="40"/>
  <c r="S1685" i="40"/>
  <c r="P1685" i="40"/>
  <c r="Q1685" i="40" s="1"/>
  <c r="N1685" i="40"/>
  <c r="O1685" i="40" s="1"/>
  <c r="M1685" i="40"/>
  <c r="X1684" i="40"/>
  <c r="W1684" i="40"/>
  <c r="U1684" i="40"/>
  <c r="T1684" i="40"/>
  <c r="Q1684" i="40"/>
  <c r="N1684" i="40"/>
  <c r="R1685" i="40" s="1"/>
  <c r="M1684" i="40"/>
  <c r="S1683" i="40"/>
  <c r="P1683" i="40"/>
  <c r="N1683" i="40"/>
  <c r="O1683" i="40" s="1"/>
  <c r="M1683" i="40"/>
  <c r="X1682" i="40"/>
  <c r="W1682" i="40"/>
  <c r="U1682" i="40"/>
  <c r="T1682" i="40"/>
  <c r="Q1682" i="40"/>
  <c r="N1682" i="40"/>
  <c r="O1682" i="40" s="1"/>
  <c r="M1682" i="40"/>
  <c r="S1681" i="40"/>
  <c r="P1681" i="40"/>
  <c r="U1681" i="40" s="1"/>
  <c r="N1681" i="40"/>
  <c r="O1681" i="40" s="1"/>
  <c r="M1681" i="40"/>
  <c r="X1680" i="40"/>
  <c r="W1680" i="40"/>
  <c r="U1680" i="40"/>
  <c r="T1680" i="40"/>
  <c r="Q1680" i="40"/>
  <c r="N1680" i="40"/>
  <c r="R1681" i="40" s="1"/>
  <c r="M1680" i="40"/>
  <c r="S1679" i="40"/>
  <c r="P1679" i="40"/>
  <c r="Q1679" i="40" s="1"/>
  <c r="N1679" i="40"/>
  <c r="O1679" i="40" s="1"/>
  <c r="M1679" i="40"/>
  <c r="X1678" i="40"/>
  <c r="W1678" i="40"/>
  <c r="U1678" i="40"/>
  <c r="T1678" i="40"/>
  <c r="Q1678" i="40"/>
  <c r="N1678" i="40"/>
  <c r="O1678" i="40" s="1"/>
  <c r="M1678" i="40"/>
  <c r="S1677" i="40"/>
  <c r="P1677" i="40"/>
  <c r="U1677" i="40" s="1"/>
  <c r="N1677" i="40"/>
  <c r="M1677" i="40"/>
  <c r="X1676" i="40"/>
  <c r="W1676" i="40"/>
  <c r="U1676" i="40"/>
  <c r="T1676" i="40"/>
  <c r="Q1676" i="40"/>
  <c r="N1676" i="40"/>
  <c r="O1676" i="40" s="1"/>
  <c r="M1676" i="40"/>
  <c r="S1675" i="40"/>
  <c r="P1675" i="40"/>
  <c r="Q1675" i="40" s="1"/>
  <c r="N1675" i="40"/>
  <c r="M1675" i="40"/>
  <c r="X1674" i="40"/>
  <c r="W1674" i="40"/>
  <c r="U1674" i="40"/>
  <c r="T1674" i="40"/>
  <c r="Q1674" i="40"/>
  <c r="N1674" i="40"/>
  <c r="R1675" i="40" s="1"/>
  <c r="M1674" i="40"/>
  <c r="S1673" i="40"/>
  <c r="P1673" i="40"/>
  <c r="U1673" i="40" s="1"/>
  <c r="N1673" i="40"/>
  <c r="O1673" i="40" s="1"/>
  <c r="M1673" i="40"/>
  <c r="X1672" i="40"/>
  <c r="W1672" i="40"/>
  <c r="U1672" i="40"/>
  <c r="T1672" i="40"/>
  <c r="Q1672" i="40"/>
  <c r="N1672" i="40"/>
  <c r="O1672" i="40" s="1"/>
  <c r="M1672" i="40"/>
  <c r="S1671" i="40"/>
  <c r="P1671" i="40"/>
  <c r="U1671" i="40" s="1"/>
  <c r="N1671" i="40"/>
  <c r="O1671" i="40" s="1"/>
  <c r="M1671" i="40"/>
  <c r="X1670" i="40"/>
  <c r="W1670" i="40"/>
  <c r="U1670" i="40"/>
  <c r="T1670" i="40"/>
  <c r="Q1670" i="40"/>
  <c r="N1670" i="40"/>
  <c r="V1670" i="40" s="1"/>
  <c r="M1670" i="40"/>
  <c r="S1669" i="40"/>
  <c r="P1669" i="40"/>
  <c r="Q1669" i="40" s="1"/>
  <c r="N1669" i="40"/>
  <c r="O1669" i="40" s="1"/>
  <c r="M1669" i="40"/>
  <c r="X1668" i="40"/>
  <c r="W1668" i="40"/>
  <c r="U1668" i="40"/>
  <c r="T1668" i="40"/>
  <c r="Q1668" i="40"/>
  <c r="N1668" i="40"/>
  <c r="R1669" i="40" s="1"/>
  <c r="M1668" i="40"/>
  <c r="S1667" i="40"/>
  <c r="P1667" i="40"/>
  <c r="N1667" i="40"/>
  <c r="O1667" i="40" s="1"/>
  <c r="M1667" i="40"/>
  <c r="X1666" i="40"/>
  <c r="W1666" i="40"/>
  <c r="U1666" i="40"/>
  <c r="T1666" i="40"/>
  <c r="Q1666" i="40"/>
  <c r="N1666" i="40"/>
  <c r="O1666" i="40" s="1"/>
  <c r="M1666" i="40"/>
  <c r="S1665" i="40"/>
  <c r="P1665" i="40"/>
  <c r="Q1665" i="40" s="1"/>
  <c r="N1665" i="40"/>
  <c r="O1665" i="40" s="1"/>
  <c r="M1665" i="40"/>
  <c r="S1663" i="40"/>
  <c r="P1663" i="40"/>
  <c r="N1663" i="40"/>
  <c r="O1663" i="40" s="1"/>
  <c r="M1663" i="40"/>
  <c r="S1661" i="40"/>
  <c r="P1661" i="40"/>
  <c r="Q1661" i="40" s="1"/>
  <c r="N1661" i="40"/>
  <c r="O1661" i="40" s="1"/>
  <c r="M1661" i="40"/>
  <c r="S1659" i="40"/>
  <c r="P1659" i="40"/>
  <c r="Q1659" i="40" s="1"/>
  <c r="N1659" i="40"/>
  <c r="O1659" i="40" s="1"/>
  <c r="M1659" i="40"/>
  <c r="S1657" i="40"/>
  <c r="P1657" i="40"/>
  <c r="N1657" i="40"/>
  <c r="O1657" i="40" s="1"/>
  <c r="M1657" i="40"/>
  <c r="S1655" i="40"/>
  <c r="P1655" i="40"/>
  <c r="Q1655" i="40" s="1"/>
  <c r="N1655" i="40"/>
  <c r="O1655" i="40" s="1"/>
  <c r="M1655" i="40"/>
  <c r="S1653" i="40"/>
  <c r="P1653" i="40"/>
  <c r="N1653" i="40"/>
  <c r="O1653" i="40" s="1"/>
  <c r="M1653" i="40"/>
  <c r="S1651" i="40"/>
  <c r="P1651" i="40"/>
  <c r="Q1651" i="40" s="1"/>
  <c r="N1651" i="40"/>
  <c r="O1651" i="40" s="1"/>
  <c r="M1651" i="40"/>
  <c r="S1649" i="40"/>
  <c r="P1649" i="40"/>
  <c r="Q1649" i="40" s="1"/>
  <c r="N1649" i="40"/>
  <c r="O1649" i="40" s="1"/>
  <c r="M1649" i="40"/>
  <c r="S1647" i="40"/>
  <c r="P1647" i="40"/>
  <c r="N1647" i="40"/>
  <c r="O1647" i="40" s="1"/>
  <c r="M1647" i="40"/>
  <c r="S1645" i="40"/>
  <c r="P1645" i="40"/>
  <c r="Q1645" i="40" s="1"/>
  <c r="N1645" i="40"/>
  <c r="O1645" i="40" s="1"/>
  <c r="M1645" i="40"/>
  <c r="S1643" i="40"/>
  <c r="P1643" i="40"/>
  <c r="Q1643" i="40" s="1"/>
  <c r="N1643" i="40"/>
  <c r="O1643" i="40" s="1"/>
  <c r="M1643" i="40"/>
  <c r="S1641" i="40"/>
  <c r="P1641" i="40"/>
  <c r="N1641" i="40"/>
  <c r="O1641" i="40" s="1"/>
  <c r="M1641" i="40"/>
  <c r="S1639" i="40"/>
  <c r="P1639" i="40"/>
  <c r="Q1639" i="40" s="1"/>
  <c r="N1639" i="40"/>
  <c r="O1639" i="40" s="1"/>
  <c r="M1639" i="40"/>
  <c r="S1637" i="40"/>
  <c r="P1637" i="40"/>
  <c r="U1637" i="40" s="1"/>
  <c r="N1637" i="40"/>
  <c r="O1637" i="40" s="1"/>
  <c r="M1637" i="40"/>
  <c r="S1635" i="40"/>
  <c r="P1635" i="40"/>
  <c r="N1635" i="40"/>
  <c r="O1635" i="40" s="1"/>
  <c r="M1635" i="40"/>
  <c r="S1633" i="40"/>
  <c r="P1633" i="40"/>
  <c r="Q1633" i="40" s="1"/>
  <c r="N1633" i="40"/>
  <c r="O1633" i="40" s="1"/>
  <c r="M1633" i="40"/>
  <c r="S1631" i="40"/>
  <c r="P1631" i="40"/>
  <c r="N1631" i="40"/>
  <c r="O1631" i="40" s="1"/>
  <c r="M1631" i="40"/>
  <c r="X1664" i="40"/>
  <c r="W1664" i="40"/>
  <c r="U1664" i="40"/>
  <c r="T1664" i="40"/>
  <c r="Q1664" i="40"/>
  <c r="N1664" i="40"/>
  <c r="V1664" i="40" s="1"/>
  <c r="M1664" i="40"/>
  <c r="X1662" i="40"/>
  <c r="W1662" i="40"/>
  <c r="U1662" i="40"/>
  <c r="T1662" i="40"/>
  <c r="Q1662" i="40"/>
  <c r="N1662" i="40"/>
  <c r="V1662" i="40" s="1"/>
  <c r="M1662" i="40"/>
  <c r="X1660" i="40"/>
  <c r="W1660" i="40"/>
  <c r="U1660" i="40"/>
  <c r="T1660" i="40"/>
  <c r="Q1660" i="40"/>
  <c r="N1660" i="40"/>
  <c r="V1660" i="40" s="1"/>
  <c r="M1660" i="40"/>
  <c r="X1658" i="40"/>
  <c r="W1658" i="40"/>
  <c r="U1658" i="40"/>
  <c r="T1658" i="40"/>
  <c r="Q1658" i="40"/>
  <c r="N1658" i="40"/>
  <c r="V1658" i="40" s="1"/>
  <c r="M1658" i="40"/>
  <c r="X1656" i="40"/>
  <c r="W1656" i="40"/>
  <c r="U1656" i="40"/>
  <c r="T1656" i="40"/>
  <c r="Q1656" i="40"/>
  <c r="N1656" i="40"/>
  <c r="V1656" i="40" s="1"/>
  <c r="M1656" i="40"/>
  <c r="X1654" i="40"/>
  <c r="W1654" i="40"/>
  <c r="U1654" i="40"/>
  <c r="T1654" i="40"/>
  <c r="Q1654" i="40"/>
  <c r="N1654" i="40"/>
  <c r="O1654" i="40" s="1"/>
  <c r="M1654" i="40"/>
  <c r="X1652" i="40"/>
  <c r="W1652" i="40"/>
  <c r="U1652" i="40"/>
  <c r="T1652" i="40"/>
  <c r="Q1652" i="40"/>
  <c r="N1652" i="40"/>
  <c r="V1652" i="40" s="1"/>
  <c r="M1652" i="40"/>
  <c r="X1650" i="40"/>
  <c r="W1650" i="40"/>
  <c r="U1650" i="40"/>
  <c r="T1650" i="40"/>
  <c r="Q1650" i="40"/>
  <c r="N1650" i="40"/>
  <c r="O1650" i="40" s="1"/>
  <c r="M1650" i="40"/>
  <c r="X1648" i="40"/>
  <c r="W1648" i="40"/>
  <c r="U1648" i="40"/>
  <c r="T1648" i="40"/>
  <c r="Q1648" i="40"/>
  <c r="N1648" i="40"/>
  <c r="V1648" i="40" s="1"/>
  <c r="M1648" i="40"/>
  <c r="X1646" i="40"/>
  <c r="W1646" i="40"/>
  <c r="U1646" i="40"/>
  <c r="T1646" i="40"/>
  <c r="Q1646" i="40"/>
  <c r="N1646" i="40"/>
  <c r="V1646" i="40" s="1"/>
  <c r="M1646" i="40"/>
  <c r="X1644" i="40"/>
  <c r="W1644" i="40"/>
  <c r="U1644" i="40"/>
  <c r="T1644" i="40"/>
  <c r="Q1644" i="40"/>
  <c r="N1644" i="40"/>
  <c r="V1644" i="40" s="1"/>
  <c r="M1644" i="40"/>
  <c r="X1642" i="40"/>
  <c r="W1642" i="40"/>
  <c r="U1642" i="40"/>
  <c r="T1642" i="40"/>
  <c r="Q1642" i="40"/>
  <c r="N1642" i="40"/>
  <c r="O1642" i="40" s="1"/>
  <c r="M1642" i="40"/>
  <c r="X1640" i="40"/>
  <c r="W1640" i="40"/>
  <c r="U1640" i="40"/>
  <c r="T1640" i="40"/>
  <c r="Q1640" i="40"/>
  <c r="N1640" i="40"/>
  <c r="V1640" i="40" s="1"/>
  <c r="M1640" i="40"/>
  <c r="X1638" i="40"/>
  <c r="W1638" i="40"/>
  <c r="U1638" i="40"/>
  <c r="T1638" i="40"/>
  <c r="Q1638" i="40"/>
  <c r="N1638" i="40"/>
  <c r="O1638" i="40" s="1"/>
  <c r="M1638" i="40"/>
  <c r="X1636" i="40"/>
  <c r="W1636" i="40"/>
  <c r="U1636" i="40"/>
  <c r="T1636" i="40"/>
  <c r="Q1636" i="40"/>
  <c r="N1636" i="40"/>
  <c r="V1636" i="40" s="1"/>
  <c r="M1636" i="40"/>
  <c r="X1634" i="40"/>
  <c r="W1634" i="40"/>
  <c r="U1634" i="40"/>
  <c r="T1634" i="40"/>
  <c r="Q1634" i="40"/>
  <c r="N1634" i="40"/>
  <c r="O1634" i="40" s="1"/>
  <c r="M1634" i="40"/>
  <c r="X1632" i="40"/>
  <c r="W1632" i="40"/>
  <c r="U1632" i="40"/>
  <c r="T1632" i="40"/>
  <c r="Q1632" i="40"/>
  <c r="N1632" i="40"/>
  <c r="V1632" i="40" s="1"/>
  <c r="M1632" i="40"/>
  <c r="X1630" i="40"/>
  <c r="W1630" i="40"/>
  <c r="U1630" i="40"/>
  <c r="T1630" i="40"/>
  <c r="Q1630" i="40"/>
  <c r="N1630" i="40"/>
  <c r="V1630" i="40" s="1"/>
  <c r="M1630" i="40"/>
  <c r="S1758" i="40"/>
  <c r="P1758" i="40"/>
  <c r="N1758" i="40"/>
  <c r="K1758" i="40"/>
  <c r="U1757" i="40"/>
  <c r="T1757" i="40"/>
  <c r="Q1757" i="40"/>
  <c r="N1757" i="40"/>
  <c r="R1758" i="40" s="1"/>
  <c r="J1757" i="40"/>
  <c r="S1756" i="40"/>
  <c r="P1756" i="40"/>
  <c r="N1756" i="40"/>
  <c r="K1756" i="40"/>
  <c r="S1754" i="40"/>
  <c r="P1754" i="40"/>
  <c r="N1754" i="40"/>
  <c r="K1754" i="40"/>
  <c r="U1755" i="40"/>
  <c r="T1755" i="40"/>
  <c r="Q1755" i="40"/>
  <c r="N1755" i="40"/>
  <c r="R1756" i="40" s="1"/>
  <c r="J1755" i="40"/>
  <c r="X1755" i="40" s="1"/>
  <c r="U1753" i="40"/>
  <c r="T1753" i="40"/>
  <c r="Q1753" i="40"/>
  <c r="N1753" i="40"/>
  <c r="R1754" i="40" s="1"/>
  <c r="J1753" i="40"/>
  <c r="X1753" i="40" s="1"/>
  <c r="N1429" i="40"/>
  <c r="T1353" i="40"/>
  <c r="T1319" i="40"/>
  <c r="T1288" i="40"/>
  <c r="T1255" i="40"/>
  <c r="T1221" i="40"/>
  <c r="T1186" i="40"/>
  <c r="T1150" i="40"/>
  <c r="T1089" i="40"/>
  <c r="P1136" i="40"/>
  <c r="P1135" i="40"/>
  <c r="P1134" i="40"/>
  <c r="P1133" i="40"/>
  <c r="P1132" i="40"/>
  <c r="P1131" i="40"/>
  <c r="P1130" i="40"/>
  <c r="S1107" i="40"/>
  <c r="X2032" i="40" l="1"/>
  <c r="W2032" i="40"/>
  <c r="V2032" i="40"/>
  <c r="V2018" i="40"/>
  <c r="O2088" i="40"/>
  <c r="T2143" i="40"/>
  <c r="U2143" i="40"/>
  <c r="Q2141" i="40"/>
  <c r="T2141" i="40"/>
  <c r="V2146" i="40"/>
  <c r="R2141" i="40"/>
  <c r="W2141" i="40" s="1"/>
  <c r="W2142" i="40"/>
  <c r="W2140" i="40"/>
  <c r="X2140" i="40"/>
  <c r="V2143" i="40"/>
  <c r="V2144" i="40"/>
  <c r="V2140" i="40"/>
  <c r="X2142" i="40"/>
  <c r="R2147" i="40"/>
  <c r="X2147" i="40" s="1"/>
  <c r="R2145" i="40"/>
  <c r="W2145" i="40" s="1"/>
  <c r="X2143" i="40"/>
  <c r="T2144" i="40"/>
  <c r="W2143" i="40"/>
  <c r="Q2145" i="40"/>
  <c r="T2147" i="40"/>
  <c r="O2142" i="40"/>
  <c r="U2147" i="40"/>
  <c r="W2144" i="40"/>
  <c r="V2142" i="40"/>
  <c r="T2145" i="40"/>
  <c r="Q2172" i="40"/>
  <c r="R2139" i="40"/>
  <c r="X2139" i="40" s="1"/>
  <c r="T2139" i="40"/>
  <c r="U2139" i="40"/>
  <c r="O2138" i="40"/>
  <c r="Q2174" i="40"/>
  <c r="V2173" i="40"/>
  <c r="W2173" i="40"/>
  <c r="M2173" i="40"/>
  <c r="X2173" i="40"/>
  <c r="J2174" i="40"/>
  <c r="O2173" i="40"/>
  <c r="T2174" i="40"/>
  <c r="U2174" i="40"/>
  <c r="J2172" i="40"/>
  <c r="O2172" i="40" s="1"/>
  <c r="T2022" i="40"/>
  <c r="T2172" i="40"/>
  <c r="U2172" i="40"/>
  <c r="O2171" i="40"/>
  <c r="V2171" i="40"/>
  <c r="W2171" i="40"/>
  <c r="M2171" i="40"/>
  <c r="R2023" i="40"/>
  <c r="R2022" i="40"/>
  <c r="V2021" i="40"/>
  <c r="W2020" i="40"/>
  <c r="X2020" i="40"/>
  <c r="O2018" i="40"/>
  <c r="W2019" i="40"/>
  <c r="T2019" i="40"/>
  <c r="O2019" i="40"/>
  <c r="O2020" i="40"/>
  <c r="W2021" i="40"/>
  <c r="Q2023" i="40"/>
  <c r="X2021" i="40"/>
  <c r="U2022" i="40"/>
  <c r="W2018" i="40"/>
  <c r="T2018" i="40"/>
  <c r="T2023" i="40"/>
  <c r="U2023" i="40"/>
  <c r="O1813" i="40"/>
  <c r="Q1864" i="40"/>
  <c r="T1864" i="40"/>
  <c r="W1865" i="40"/>
  <c r="T1863" i="40"/>
  <c r="V1865" i="40"/>
  <c r="R1866" i="40"/>
  <c r="V1866" i="40" s="1"/>
  <c r="V1863" i="40"/>
  <c r="R1864" i="40"/>
  <c r="X1864" i="40" s="1"/>
  <c r="X1865" i="40"/>
  <c r="T1866" i="40"/>
  <c r="W1863" i="40"/>
  <c r="U1866" i="40"/>
  <c r="R1862" i="40"/>
  <c r="X1862" i="40" s="1"/>
  <c r="T1862" i="40"/>
  <c r="U1862" i="40"/>
  <c r="R1860" i="40"/>
  <c r="X1860" i="40" s="1"/>
  <c r="T1860" i="40"/>
  <c r="U1860" i="40"/>
  <c r="R1858" i="40"/>
  <c r="V1858" i="40" s="1"/>
  <c r="T1858" i="40"/>
  <c r="U1858" i="40"/>
  <c r="T1675" i="40"/>
  <c r="R1856" i="40"/>
  <c r="X1856" i="40" s="1"/>
  <c r="T1854" i="40"/>
  <c r="T1856" i="40"/>
  <c r="U1856" i="40"/>
  <c r="Q1854" i="40"/>
  <c r="R1854" i="40"/>
  <c r="X1854" i="40" s="1"/>
  <c r="T1679" i="40"/>
  <c r="U1854" i="40"/>
  <c r="R1852" i="40"/>
  <c r="X1852" i="40" s="1"/>
  <c r="T1852" i="40"/>
  <c r="U1852" i="40"/>
  <c r="O1851" i="40"/>
  <c r="V1855" i="40"/>
  <c r="R1850" i="40"/>
  <c r="X1850" i="40" s="1"/>
  <c r="T1850" i="40"/>
  <c r="U1850" i="40"/>
  <c r="O1853" i="40"/>
  <c r="O1857" i="40"/>
  <c r="O1859" i="40"/>
  <c r="O1861" i="40"/>
  <c r="O1849" i="40"/>
  <c r="T1691" i="40"/>
  <c r="O1690" i="40"/>
  <c r="X1691" i="40"/>
  <c r="U1679" i="40"/>
  <c r="Q1691" i="40"/>
  <c r="V1690" i="40"/>
  <c r="Q1681" i="40"/>
  <c r="T1681" i="40"/>
  <c r="U1685" i="40"/>
  <c r="U1691" i="40"/>
  <c r="V1691" i="40"/>
  <c r="W1691" i="40"/>
  <c r="Q1758" i="40"/>
  <c r="U1669" i="40"/>
  <c r="Q1673" i="40"/>
  <c r="Q1677" i="40"/>
  <c r="R1677" i="40"/>
  <c r="W1677" i="40" s="1"/>
  <c r="T1677" i="40"/>
  <c r="W1669" i="40"/>
  <c r="V1678" i="40"/>
  <c r="V1676" i="40"/>
  <c r="R1667" i="40"/>
  <c r="X1667" i="40" s="1"/>
  <c r="O1686" i="40"/>
  <c r="V1682" i="40"/>
  <c r="V1674" i="40"/>
  <c r="V1686" i="40"/>
  <c r="R1679" i="40"/>
  <c r="W1679" i="40" s="1"/>
  <c r="V1666" i="40"/>
  <c r="O1670" i="40"/>
  <c r="W1685" i="40"/>
  <c r="R1671" i="40"/>
  <c r="V1671" i="40" s="1"/>
  <c r="O1674" i="40"/>
  <c r="V1675" i="40"/>
  <c r="O1677" i="40"/>
  <c r="W1681" i="40"/>
  <c r="R1683" i="40"/>
  <c r="W1683" i="40" s="1"/>
  <c r="X1681" i="40"/>
  <c r="V1687" i="40"/>
  <c r="Q1667" i="40"/>
  <c r="T1669" i="40"/>
  <c r="V1672" i="40"/>
  <c r="R1673" i="40"/>
  <c r="X1673" i="40" s="1"/>
  <c r="U1675" i="40"/>
  <c r="O1680" i="40"/>
  <c r="V1681" i="40"/>
  <c r="Q1683" i="40"/>
  <c r="T1685" i="40"/>
  <c r="W1687" i="40"/>
  <c r="V1688" i="40"/>
  <c r="R1689" i="40"/>
  <c r="X1689" i="40" s="1"/>
  <c r="X1687" i="40"/>
  <c r="O1668" i="40"/>
  <c r="V1669" i="40"/>
  <c r="Q1671" i="40"/>
  <c r="T1673" i="40"/>
  <c r="O1675" i="40"/>
  <c r="W1675" i="40"/>
  <c r="O1684" i="40"/>
  <c r="V1685" i="40"/>
  <c r="Q1687" i="40"/>
  <c r="T1689" i="40"/>
  <c r="T1667" i="40"/>
  <c r="X1675" i="40"/>
  <c r="T1683" i="40"/>
  <c r="U1689" i="40"/>
  <c r="U1667" i="40"/>
  <c r="X1669" i="40"/>
  <c r="V1680" i="40"/>
  <c r="U1683" i="40"/>
  <c r="X1685" i="40"/>
  <c r="T1671" i="40"/>
  <c r="T1687" i="40"/>
  <c r="V1668" i="40"/>
  <c r="V1684" i="40"/>
  <c r="Q1663" i="40"/>
  <c r="R1665" i="40"/>
  <c r="X1665" i="40" s="1"/>
  <c r="R1663" i="40"/>
  <c r="X1663" i="40" s="1"/>
  <c r="T1665" i="40"/>
  <c r="T1653" i="40"/>
  <c r="U1665" i="40"/>
  <c r="R1661" i="40"/>
  <c r="X1661" i="40" s="1"/>
  <c r="T1663" i="40"/>
  <c r="U1663" i="40"/>
  <c r="T1661" i="40"/>
  <c r="U1661" i="40"/>
  <c r="Q1657" i="40"/>
  <c r="R1659" i="40"/>
  <c r="X1659" i="40" s="1"/>
  <c r="T1659" i="40"/>
  <c r="R1657" i="40"/>
  <c r="X1657" i="40" s="1"/>
  <c r="U1659" i="40"/>
  <c r="T1651" i="40"/>
  <c r="T1657" i="40"/>
  <c r="U1657" i="40"/>
  <c r="R1655" i="40"/>
  <c r="V1655" i="40" s="1"/>
  <c r="T1655" i="40"/>
  <c r="U1655" i="40"/>
  <c r="Q1653" i="40"/>
  <c r="R1653" i="40"/>
  <c r="X1653" i="40" s="1"/>
  <c r="U1653" i="40"/>
  <c r="R1651" i="40"/>
  <c r="X1651" i="40" s="1"/>
  <c r="U1651" i="40"/>
  <c r="R1649" i="40"/>
  <c r="X1649" i="40" s="1"/>
  <c r="T1647" i="40"/>
  <c r="T1649" i="40"/>
  <c r="U1649" i="40"/>
  <c r="U1645" i="40"/>
  <c r="Q1637" i="40"/>
  <c r="Q1647" i="40"/>
  <c r="R1647" i="40"/>
  <c r="X1647" i="40" s="1"/>
  <c r="U1647" i="40"/>
  <c r="R1645" i="40"/>
  <c r="X1645" i="40" s="1"/>
  <c r="T1645" i="40"/>
  <c r="R1641" i="40"/>
  <c r="V1641" i="40" s="1"/>
  <c r="Q1641" i="40"/>
  <c r="R1643" i="40"/>
  <c r="W1643" i="40" s="1"/>
  <c r="T1643" i="40"/>
  <c r="U1643" i="40"/>
  <c r="T1641" i="40"/>
  <c r="U1641" i="40"/>
  <c r="R1637" i="40"/>
  <c r="X1637" i="40" s="1"/>
  <c r="R1639" i="40"/>
  <c r="X1639" i="40" s="1"/>
  <c r="T1639" i="40"/>
  <c r="U1639" i="40"/>
  <c r="T1637" i="40"/>
  <c r="Q1635" i="40"/>
  <c r="R1635" i="40"/>
  <c r="V1635" i="40" s="1"/>
  <c r="T1635" i="40"/>
  <c r="U1635" i="40"/>
  <c r="R1633" i="40"/>
  <c r="X1633" i="40" s="1"/>
  <c r="V1638" i="40"/>
  <c r="T1631" i="40"/>
  <c r="T1633" i="40"/>
  <c r="U1633" i="40"/>
  <c r="O1658" i="40"/>
  <c r="V1642" i="40"/>
  <c r="V1650" i="40"/>
  <c r="O1656" i="40"/>
  <c r="O1630" i="40"/>
  <c r="Q1631" i="40"/>
  <c r="V1654" i="40"/>
  <c r="R1631" i="40"/>
  <c r="X1631" i="40" s="1"/>
  <c r="V1634" i="40"/>
  <c r="U1631" i="40"/>
  <c r="O1640" i="40"/>
  <c r="O1644" i="40"/>
  <c r="O1646" i="40"/>
  <c r="O1660" i="40"/>
  <c r="O1662" i="40"/>
  <c r="Q1756" i="40"/>
  <c r="O1632" i="40"/>
  <c r="O1648" i="40"/>
  <c r="O1664" i="40"/>
  <c r="O1636" i="40"/>
  <c r="O1652" i="40"/>
  <c r="V1757" i="40"/>
  <c r="M1757" i="40"/>
  <c r="X1757" i="40"/>
  <c r="J1758" i="40"/>
  <c r="V1758" i="40" s="1"/>
  <c r="O1757" i="40"/>
  <c r="T1758" i="40"/>
  <c r="U1758" i="40"/>
  <c r="W1757" i="40"/>
  <c r="J1756" i="40"/>
  <c r="W1756" i="40" s="1"/>
  <c r="T1756" i="40"/>
  <c r="U1756" i="40"/>
  <c r="J1754" i="40"/>
  <c r="O1754" i="40" s="1"/>
  <c r="T1754" i="40"/>
  <c r="Q1754" i="40"/>
  <c r="U1754" i="40"/>
  <c r="O1753" i="40"/>
  <c r="O1755" i="40"/>
  <c r="M1755" i="40"/>
  <c r="V1753" i="40"/>
  <c r="W1753" i="40"/>
  <c r="M1753" i="40"/>
  <c r="V1755" i="40"/>
  <c r="W1755" i="40"/>
  <c r="W2030" i="40" l="1"/>
  <c r="X2030" i="40"/>
  <c r="V2030" i="40"/>
  <c r="V2031" i="40"/>
  <c r="W2031" i="40"/>
  <c r="X2031" i="40"/>
  <c r="V2141" i="40"/>
  <c r="X2141" i="40"/>
  <c r="V2147" i="40"/>
  <c r="W2147" i="40"/>
  <c r="W2139" i="40"/>
  <c r="V2145" i="40"/>
  <c r="X2145" i="40"/>
  <c r="W2172" i="40"/>
  <c r="V2172" i="40"/>
  <c r="V2139" i="40"/>
  <c r="O2174" i="40"/>
  <c r="V2174" i="40"/>
  <c r="M2174" i="40"/>
  <c r="W2174" i="40"/>
  <c r="X2174" i="40"/>
  <c r="M2172" i="40"/>
  <c r="X2172" i="40"/>
  <c r="W1866" i="40"/>
  <c r="X1866" i="40"/>
  <c r="V1864" i="40"/>
  <c r="W1864" i="40"/>
  <c r="W1862" i="40"/>
  <c r="V1862" i="40"/>
  <c r="V1856" i="40"/>
  <c r="W1860" i="40"/>
  <c r="X1858" i="40"/>
  <c r="V1860" i="40"/>
  <c r="W1858" i="40"/>
  <c r="W1856" i="40"/>
  <c r="W1854" i="40"/>
  <c r="V1854" i="40"/>
  <c r="W1852" i="40"/>
  <c r="W1850" i="40"/>
  <c r="V1852" i="40"/>
  <c r="V1850" i="40"/>
  <c r="V1677" i="40"/>
  <c r="V1667" i="40"/>
  <c r="W1673" i="40"/>
  <c r="W1667" i="40"/>
  <c r="V1673" i="40"/>
  <c r="X1683" i="40"/>
  <c r="V1683" i="40"/>
  <c r="X1677" i="40"/>
  <c r="V1689" i="40"/>
  <c r="W1689" i="40"/>
  <c r="W1671" i="40"/>
  <c r="X1671" i="40"/>
  <c r="V1679" i="40"/>
  <c r="X1679" i="40"/>
  <c r="W1663" i="40"/>
  <c r="W1661" i="40"/>
  <c r="V1663" i="40"/>
  <c r="V1661" i="40"/>
  <c r="W1657" i="40"/>
  <c r="W1665" i="40"/>
  <c r="V1665" i="40"/>
  <c r="V1659" i="40"/>
  <c r="V1657" i="40"/>
  <c r="W1659" i="40"/>
  <c r="X1655" i="40"/>
  <c r="W1655" i="40"/>
  <c r="W1651" i="40"/>
  <c r="W1653" i="40"/>
  <c r="V1653" i="40"/>
  <c r="V1651" i="40"/>
  <c r="W1649" i="40"/>
  <c r="V1649" i="40"/>
  <c r="V1637" i="40"/>
  <c r="W1647" i="40"/>
  <c r="X1641" i="40"/>
  <c r="X1643" i="40"/>
  <c r="V1647" i="40"/>
  <c r="W1645" i="40"/>
  <c r="V1643" i="40"/>
  <c r="V1645" i="40"/>
  <c r="W1641" i="40"/>
  <c r="W1637" i="40"/>
  <c r="W1639" i="40"/>
  <c r="V1639" i="40"/>
  <c r="X1635" i="40"/>
  <c r="W1635" i="40"/>
  <c r="W1633" i="40"/>
  <c r="V1633" i="40"/>
  <c r="V1754" i="40"/>
  <c r="W1631" i="40"/>
  <c r="V1631" i="40"/>
  <c r="V1756" i="40"/>
  <c r="W1754" i="40"/>
  <c r="O1758" i="40"/>
  <c r="M1758" i="40"/>
  <c r="W1758" i="40"/>
  <c r="X1758" i="40"/>
  <c r="M1754" i="40"/>
  <c r="O1756" i="40"/>
  <c r="M1756" i="40"/>
  <c r="X1754" i="40"/>
  <c r="X1756" i="40"/>
  <c r="DP102" i="40" l="1"/>
  <c r="DO102" i="40"/>
  <c r="DN102" i="40"/>
  <c r="DM102" i="40"/>
  <c r="DL102" i="40"/>
  <c r="DK102" i="40"/>
  <c r="DJ102" i="40"/>
  <c r="DI102" i="40"/>
  <c r="DH102" i="40"/>
  <c r="DG102" i="40"/>
  <c r="DF102" i="40"/>
  <c r="DE102" i="40"/>
  <c r="DD102" i="40"/>
  <c r="DC102" i="40"/>
  <c r="DB102" i="40"/>
  <c r="DA102" i="40"/>
  <c r="CZ102" i="40"/>
  <c r="CY102" i="40"/>
  <c r="CX102" i="40"/>
  <c r="CW102" i="40"/>
  <c r="CV102" i="40"/>
  <c r="CU102" i="40"/>
  <c r="CT102" i="40"/>
  <c r="CS102" i="40"/>
  <c r="CR102" i="40"/>
  <c r="CQ102" i="40"/>
  <c r="CP102" i="40"/>
  <c r="CO102" i="40"/>
  <c r="CN102" i="40"/>
  <c r="CM102" i="40"/>
  <c r="CL102" i="40"/>
  <c r="CK102" i="40"/>
  <c r="CJ102" i="40"/>
  <c r="CI102" i="40"/>
  <c r="CH102" i="40"/>
  <c r="CG102" i="40"/>
  <c r="CF102" i="40"/>
  <c r="CE102" i="40"/>
  <c r="CD102" i="40"/>
  <c r="CC102" i="40"/>
  <c r="CB102" i="40"/>
  <c r="CA102" i="40"/>
  <c r="BZ102" i="40"/>
  <c r="BY102" i="40"/>
  <c r="BX102" i="40"/>
  <c r="BW102" i="40"/>
  <c r="BV102" i="40"/>
  <c r="BU102" i="40"/>
  <c r="BT102" i="40"/>
  <c r="BS102" i="40"/>
  <c r="BR102" i="40"/>
  <c r="BQ102" i="40"/>
  <c r="BP102" i="40"/>
  <c r="BO102" i="40"/>
  <c r="BN102" i="40"/>
  <c r="BM102" i="40"/>
  <c r="BL102" i="40"/>
  <c r="BK102" i="40"/>
  <c r="BJ102" i="40"/>
  <c r="BI102" i="40"/>
  <c r="BH102" i="40"/>
  <c r="BG102" i="40"/>
  <c r="BF102" i="40"/>
  <c r="BE102" i="40"/>
  <c r="BD102" i="40"/>
  <c r="BC102" i="40"/>
  <c r="BB102" i="40"/>
  <c r="BA102" i="40"/>
  <c r="AZ102" i="40"/>
  <c r="AY102" i="40"/>
  <c r="AX102" i="40"/>
  <c r="AW102" i="40"/>
  <c r="AU102" i="40"/>
  <c r="AT102" i="40"/>
  <c r="AS102" i="40"/>
  <c r="AR102" i="40"/>
  <c r="AQ102" i="40"/>
  <c r="AP102" i="40"/>
  <c r="AO102" i="40"/>
  <c r="AN102" i="40"/>
  <c r="AM102" i="40"/>
  <c r="AL102" i="40"/>
  <c r="AK102" i="40"/>
  <c r="AJ102" i="40"/>
  <c r="AI102" i="40"/>
  <c r="AH102" i="40"/>
  <c r="AG102" i="40"/>
  <c r="AF102" i="40"/>
  <c r="AE102" i="40"/>
  <c r="AD102" i="40"/>
  <c r="AC102" i="40"/>
  <c r="AB102" i="40"/>
  <c r="AA102" i="40"/>
  <c r="DP100" i="40"/>
  <c r="DO100" i="40"/>
  <c r="DN100" i="40"/>
  <c r="DM100" i="40"/>
  <c r="DL100" i="40"/>
  <c r="DK100" i="40"/>
  <c r="DJ100" i="40"/>
  <c r="DI100" i="40"/>
  <c r="DH100" i="40"/>
  <c r="DG100" i="40"/>
  <c r="DF100" i="40"/>
  <c r="DE100" i="40"/>
  <c r="DD100" i="40"/>
  <c r="DC100" i="40"/>
  <c r="DB100" i="40"/>
  <c r="DA100" i="40"/>
  <c r="CZ100" i="40"/>
  <c r="CY100" i="40"/>
  <c r="CX100" i="40"/>
  <c r="CW100" i="40"/>
  <c r="CV100" i="40"/>
  <c r="CU100" i="40"/>
  <c r="CT100" i="40"/>
  <c r="CS100" i="40"/>
  <c r="CR100" i="40"/>
  <c r="CQ100" i="40"/>
  <c r="CP100" i="40"/>
  <c r="CO100" i="40"/>
  <c r="CN100" i="40"/>
  <c r="CM100" i="40"/>
  <c r="CL100" i="40"/>
  <c r="CK100" i="40"/>
  <c r="CJ100" i="40"/>
  <c r="CI100" i="40"/>
  <c r="CH100" i="40"/>
  <c r="CG100" i="40"/>
  <c r="CF100" i="40"/>
  <c r="CE100" i="40"/>
  <c r="CD100" i="40"/>
  <c r="CC100" i="40"/>
  <c r="CB100" i="40"/>
  <c r="CA100" i="40"/>
  <c r="BZ100" i="40"/>
  <c r="BY100" i="40"/>
  <c r="BX100" i="40"/>
  <c r="BW100" i="40"/>
  <c r="BV100" i="40"/>
  <c r="BU100" i="40"/>
  <c r="BT100" i="40"/>
  <c r="BS100" i="40"/>
  <c r="BR100" i="40"/>
  <c r="BQ100" i="40"/>
  <c r="BP100" i="40"/>
  <c r="BO100" i="40"/>
  <c r="BN100" i="40"/>
  <c r="BM100" i="40"/>
  <c r="BL100" i="40"/>
  <c r="BK100" i="40"/>
  <c r="BJ100" i="40"/>
  <c r="BI100" i="40"/>
  <c r="BH100" i="40"/>
  <c r="BG100" i="40"/>
  <c r="BF100" i="40"/>
  <c r="BE100" i="40"/>
  <c r="BD100" i="40"/>
  <c r="BC100" i="40"/>
  <c r="BB100" i="40"/>
  <c r="BA100" i="40"/>
  <c r="AZ100" i="40"/>
  <c r="AY100" i="40"/>
  <c r="AX100" i="40"/>
  <c r="AV100" i="40"/>
  <c r="AU100" i="40"/>
  <c r="AT100" i="40"/>
  <c r="AS100" i="40"/>
  <c r="AR100" i="40"/>
  <c r="AQ100" i="40"/>
  <c r="AP100" i="40"/>
  <c r="AO100" i="40"/>
  <c r="AN100" i="40"/>
  <c r="AM100" i="40"/>
  <c r="AL100" i="40"/>
  <c r="AK100" i="40"/>
  <c r="AJ100" i="40"/>
  <c r="AI100" i="40"/>
  <c r="AH100" i="40"/>
  <c r="AG100" i="40"/>
  <c r="AF100" i="40"/>
  <c r="AE100" i="40"/>
  <c r="AD100" i="40"/>
  <c r="AC100" i="40"/>
  <c r="AB100" i="40"/>
  <c r="AA100" i="40"/>
  <c r="DP87" i="40"/>
  <c r="DO87" i="40"/>
  <c r="DN87" i="40"/>
  <c r="DM87" i="40"/>
  <c r="DL87" i="40"/>
  <c r="DK87" i="40"/>
  <c r="DJ87" i="40"/>
  <c r="DI87" i="40"/>
  <c r="DH87" i="40"/>
  <c r="DG87" i="40"/>
  <c r="DF87" i="40"/>
  <c r="DE87" i="40"/>
  <c r="DD87" i="40"/>
  <c r="DC87" i="40"/>
  <c r="DB87" i="40"/>
  <c r="DA87" i="40"/>
  <c r="CZ87" i="40"/>
  <c r="CY87" i="40"/>
  <c r="CX87" i="40"/>
  <c r="CW87" i="40"/>
  <c r="CV87" i="40"/>
  <c r="CU87" i="40"/>
  <c r="CT87" i="40"/>
  <c r="CS87" i="40"/>
  <c r="CR87" i="40"/>
  <c r="CQ87" i="40"/>
  <c r="CP87" i="40"/>
  <c r="CO87" i="40"/>
  <c r="CN87" i="40"/>
  <c r="CM87" i="40"/>
  <c r="CL87" i="40"/>
  <c r="CK87" i="40"/>
  <c r="CJ87" i="40"/>
  <c r="CI87" i="40"/>
  <c r="CH87" i="40"/>
  <c r="CG87" i="40"/>
  <c r="CF87" i="40"/>
  <c r="CE87" i="40"/>
  <c r="CD87" i="40"/>
  <c r="CC87" i="40"/>
  <c r="CB87" i="40"/>
  <c r="CA87" i="40"/>
  <c r="BZ87" i="40"/>
  <c r="BY87" i="40"/>
  <c r="BX87" i="40"/>
  <c r="BW87" i="40"/>
  <c r="BV87" i="40"/>
  <c r="BU87" i="40"/>
  <c r="BT87" i="40"/>
  <c r="BS87" i="40"/>
  <c r="BR87" i="40"/>
  <c r="BQ87" i="40"/>
  <c r="BP87" i="40"/>
  <c r="BO87" i="40"/>
  <c r="BN87" i="40"/>
  <c r="BM87" i="40"/>
  <c r="BL87" i="40"/>
  <c r="BK87" i="40"/>
  <c r="BJ87" i="40"/>
  <c r="BI87" i="40"/>
  <c r="BH87" i="40"/>
  <c r="BG87" i="40"/>
  <c r="BF87" i="40"/>
  <c r="BE87" i="40"/>
  <c r="BD87" i="40"/>
  <c r="BC87" i="40"/>
  <c r="BB87" i="40"/>
  <c r="BA87" i="40"/>
  <c r="AZ87" i="40"/>
  <c r="AY87" i="40"/>
  <c r="AX87" i="40"/>
  <c r="AW87" i="40"/>
  <c r="AV87" i="40"/>
  <c r="AU87" i="40"/>
  <c r="AT87" i="40"/>
  <c r="AS87" i="40"/>
  <c r="AR87" i="40"/>
  <c r="AQ87" i="40"/>
  <c r="AP87" i="40"/>
  <c r="AN87" i="40"/>
  <c r="AM87" i="40"/>
  <c r="AL87" i="40"/>
  <c r="AK87" i="40"/>
  <c r="AJ87" i="40"/>
  <c r="AI87" i="40"/>
  <c r="AH87" i="40"/>
  <c r="AG87" i="40"/>
  <c r="AF87" i="40"/>
  <c r="AE87" i="40"/>
  <c r="AD87" i="40"/>
  <c r="AC87" i="40"/>
  <c r="AB87" i="40"/>
  <c r="AA87" i="40"/>
  <c r="DP82" i="40"/>
  <c r="DO82" i="40"/>
  <c r="DN82" i="40"/>
  <c r="DM82" i="40"/>
  <c r="DL82" i="40"/>
  <c r="DK82" i="40"/>
  <c r="DJ82" i="40"/>
  <c r="DI82" i="40"/>
  <c r="DH82" i="40"/>
  <c r="DG82" i="40"/>
  <c r="DF82" i="40"/>
  <c r="DE82" i="40"/>
  <c r="DD82" i="40"/>
  <c r="DC82" i="40"/>
  <c r="DB82" i="40"/>
  <c r="DA82" i="40"/>
  <c r="CZ82" i="40"/>
  <c r="CY82" i="40"/>
  <c r="CX82" i="40"/>
  <c r="CW82" i="40"/>
  <c r="CV82" i="40"/>
  <c r="CU82" i="40"/>
  <c r="CT82" i="40"/>
  <c r="CS82" i="40"/>
  <c r="CR82" i="40"/>
  <c r="CQ82" i="40"/>
  <c r="CP82" i="40"/>
  <c r="CO82" i="40"/>
  <c r="CN82" i="40"/>
  <c r="CM82" i="40"/>
  <c r="CL82" i="40"/>
  <c r="CK82" i="40"/>
  <c r="CJ82" i="40"/>
  <c r="CI82" i="40"/>
  <c r="CH82" i="40"/>
  <c r="CG82" i="40"/>
  <c r="CF82" i="40"/>
  <c r="CE82" i="40"/>
  <c r="CD82" i="40"/>
  <c r="CC82" i="40"/>
  <c r="CB82" i="40"/>
  <c r="CA82" i="40"/>
  <c r="BZ82" i="40"/>
  <c r="BY82" i="40"/>
  <c r="BX82" i="40"/>
  <c r="BW82" i="40"/>
  <c r="BV82" i="40"/>
  <c r="BU82" i="40"/>
  <c r="BT82" i="40"/>
  <c r="BS82" i="40"/>
  <c r="BR82" i="40"/>
  <c r="BQ82" i="40"/>
  <c r="BP82" i="40"/>
  <c r="BO82" i="40"/>
  <c r="BN82" i="40"/>
  <c r="BM82" i="40"/>
  <c r="BL82" i="40"/>
  <c r="BK82" i="40"/>
  <c r="BJ82" i="40"/>
  <c r="BI82" i="40"/>
  <c r="BH82" i="40"/>
  <c r="BG82" i="40"/>
  <c r="BF82" i="40"/>
  <c r="BE82" i="40"/>
  <c r="BD82" i="40"/>
  <c r="BC82" i="40"/>
  <c r="BB82" i="40"/>
  <c r="BA82" i="40"/>
  <c r="AZ82" i="40"/>
  <c r="AY82" i="40"/>
  <c r="AX82" i="40"/>
  <c r="AW82" i="40"/>
  <c r="AV82" i="40"/>
  <c r="AU82" i="40"/>
  <c r="AT82" i="40"/>
  <c r="AS82" i="40"/>
  <c r="AR82" i="40"/>
  <c r="AQ82" i="40"/>
  <c r="AP82" i="40"/>
  <c r="AO82" i="40"/>
  <c r="AN82" i="40"/>
  <c r="AM82" i="40"/>
  <c r="AL82" i="40"/>
  <c r="AK82" i="40"/>
  <c r="AJ82" i="40"/>
  <c r="AI82" i="40"/>
  <c r="AH82" i="40"/>
  <c r="AG82" i="40"/>
  <c r="AF82" i="40"/>
  <c r="AE82" i="40"/>
  <c r="AD82" i="40"/>
  <c r="AC82" i="40"/>
  <c r="AB82" i="40"/>
  <c r="AA82" i="40"/>
  <c r="DP74" i="40"/>
  <c r="DO74" i="40"/>
  <c r="DN74" i="40"/>
  <c r="DM74" i="40"/>
  <c r="DL74" i="40"/>
  <c r="DK74" i="40"/>
  <c r="DJ74" i="40"/>
  <c r="DI74" i="40"/>
  <c r="DH74" i="40"/>
  <c r="DG74" i="40"/>
  <c r="DF74" i="40"/>
  <c r="DE74" i="40"/>
  <c r="DD74" i="40"/>
  <c r="DC74" i="40"/>
  <c r="DB74" i="40"/>
  <c r="DA74" i="40"/>
  <c r="CZ74" i="40"/>
  <c r="CY74" i="40"/>
  <c r="CX74" i="40"/>
  <c r="CW74" i="40"/>
  <c r="CV74" i="40"/>
  <c r="CU74" i="40"/>
  <c r="CT74" i="40"/>
  <c r="CS74" i="40"/>
  <c r="CR74" i="40"/>
  <c r="CQ74" i="40"/>
  <c r="CP74" i="40"/>
  <c r="CO74" i="40"/>
  <c r="CN74" i="40"/>
  <c r="CM74" i="40"/>
  <c r="CL74" i="40"/>
  <c r="CK74" i="40"/>
  <c r="CJ74" i="40"/>
  <c r="CI74" i="40"/>
  <c r="CH74" i="40"/>
  <c r="CG74" i="40"/>
  <c r="CF74" i="40"/>
  <c r="CE74" i="40"/>
  <c r="CD74" i="40"/>
  <c r="CC74" i="40"/>
  <c r="CB74" i="40"/>
  <c r="CA74" i="40"/>
  <c r="BZ74" i="40"/>
  <c r="BY74" i="40"/>
  <c r="BX74" i="40"/>
  <c r="BW74" i="40"/>
  <c r="BV74" i="40"/>
  <c r="BU74" i="40"/>
  <c r="BT74" i="40"/>
  <c r="BS74" i="40"/>
  <c r="BR74" i="40"/>
  <c r="BQ74" i="40"/>
  <c r="BP74" i="40"/>
  <c r="BO74" i="40"/>
  <c r="BN74" i="40"/>
  <c r="BM74" i="40"/>
  <c r="BL74" i="40"/>
  <c r="BK74" i="40"/>
  <c r="BJ74" i="40"/>
  <c r="BI74" i="40"/>
  <c r="BH74" i="40"/>
  <c r="BG74" i="40"/>
  <c r="BF74" i="40"/>
  <c r="BE74" i="40"/>
  <c r="BD74" i="40"/>
  <c r="BC74" i="40"/>
  <c r="BB74" i="40"/>
  <c r="BA74" i="40"/>
  <c r="AZ74" i="40"/>
  <c r="AY74" i="40"/>
  <c r="AX74" i="40"/>
  <c r="AW74" i="40"/>
  <c r="AV74" i="40"/>
  <c r="AU74" i="40"/>
  <c r="AS74" i="40"/>
  <c r="AR74" i="40"/>
  <c r="AQ74" i="40"/>
  <c r="AP74" i="40"/>
  <c r="AO74" i="40"/>
  <c r="AN74" i="40"/>
  <c r="AM74" i="40"/>
  <c r="AL74" i="40"/>
  <c r="AK74" i="40"/>
  <c r="AJ74" i="40"/>
  <c r="AI74" i="40"/>
  <c r="AH74" i="40"/>
  <c r="AG74" i="40"/>
  <c r="AF74" i="40"/>
  <c r="AE74" i="40"/>
  <c r="AD74" i="40"/>
  <c r="AC74" i="40"/>
  <c r="AB74" i="40"/>
  <c r="AA74" i="40"/>
  <c r="DP68" i="40"/>
  <c r="DO68" i="40"/>
  <c r="DN68" i="40"/>
  <c r="DM68" i="40"/>
  <c r="DL68" i="40"/>
  <c r="DK68" i="40"/>
  <c r="DJ68" i="40"/>
  <c r="DI68" i="40"/>
  <c r="DH68" i="40"/>
  <c r="DG68" i="40"/>
  <c r="DF68" i="40"/>
  <c r="DE68" i="40"/>
  <c r="DD68" i="40"/>
  <c r="DC68" i="40"/>
  <c r="DB68" i="40"/>
  <c r="DA68" i="40"/>
  <c r="CZ68" i="40"/>
  <c r="CY68" i="40"/>
  <c r="CX68" i="40"/>
  <c r="CW68" i="40"/>
  <c r="CV68" i="40"/>
  <c r="CU68" i="40"/>
  <c r="CT68" i="40"/>
  <c r="CS68" i="40"/>
  <c r="CR68" i="40"/>
  <c r="CQ68" i="40"/>
  <c r="CP68" i="40"/>
  <c r="CO68" i="40"/>
  <c r="CN68" i="40"/>
  <c r="CM68" i="40"/>
  <c r="CL68" i="40"/>
  <c r="CK68" i="40"/>
  <c r="CJ68" i="40"/>
  <c r="CI68" i="40"/>
  <c r="CH68" i="40"/>
  <c r="CG68" i="40"/>
  <c r="CF68" i="40"/>
  <c r="CE68" i="40"/>
  <c r="CD68" i="40"/>
  <c r="CC68" i="40"/>
  <c r="CB68" i="40"/>
  <c r="CA68" i="40"/>
  <c r="BZ68" i="40"/>
  <c r="BY68" i="40"/>
  <c r="BX68" i="40"/>
  <c r="BW68" i="40"/>
  <c r="BV68" i="40"/>
  <c r="BU68" i="40"/>
  <c r="BT68" i="40"/>
  <c r="BS68" i="40"/>
  <c r="BR68" i="40"/>
  <c r="BQ68" i="40"/>
  <c r="BP68" i="40"/>
  <c r="BO68" i="40"/>
  <c r="BN68" i="40"/>
  <c r="BM68" i="40"/>
  <c r="BL68" i="40"/>
  <c r="BK68" i="40"/>
  <c r="BJ68" i="40"/>
  <c r="BI68" i="40"/>
  <c r="BH68" i="40"/>
  <c r="BG68" i="40"/>
  <c r="BF68" i="40"/>
  <c r="BE68" i="40"/>
  <c r="BD68" i="40"/>
  <c r="BC68" i="40"/>
  <c r="BB68" i="40"/>
  <c r="BA68" i="40"/>
  <c r="AZ68" i="40"/>
  <c r="AY68" i="40"/>
  <c r="AX68" i="40"/>
  <c r="AW68" i="40"/>
  <c r="AV68" i="40"/>
  <c r="AU68" i="40"/>
  <c r="AT68" i="40"/>
  <c r="AR68" i="40"/>
  <c r="AQ68" i="40"/>
  <c r="AP68" i="40"/>
  <c r="AO68" i="40"/>
  <c r="AN68" i="40"/>
  <c r="AM68" i="40"/>
  <c r="AL68" i="40"/>
  <c r="AK68" i="40"/>
  <c r="AJ68" i="40"/>
  <c r="AI68" i="40"/>
  <c r="AH68" i="40"/>
  <c r="AG68" i="40"/>
  <c r="AF68" i="40"/>
  <c r="AE68" i="40"/>
  <c r="AD68" i="40"/>
  <c r="AC68" i="40"/>
  <c r="AB68" i="40"/>
  <c r="AA68" i="40"/>
  <c r="DP67" i="40"/>
  <c r="DO67" i="40"/>
  <c r="DN67" i="40"/>
  <c r="DM67" i="40"/>
  <c r="DL67" i="40"/>
  <c r="DK67" i="40"/>
  <c r="DJ67" i="40"/>
  <c r="DI67" i="40"/>
  <c r="DH67" i="40"/>
  <c r="DG67" i="40"/>
  <c r="DF67" i="40"/>
  <c r="DE67" i="40"/>
  <c r="DD67" i="40"/>
  <c r="DC67" i="40"/>
  <c r="DB67" i="40"/>
  <c r="DA67" i="40"/>
  <c r="CZ67" i="40"/>
  <c r="CY67" i="40"/>
  <c r="CX67" i="40"/>
  <c r="CW67" i="40"/>
  <c r="CV67" i="40"/>
  <c r="CU67" i="40"/>
  <c r="CT67" i="40"/>
  <c r="CS67" i="40"/>
  <c r="CR67" i="40"/>
  <c r="CQ67" i="40"/>
  <c r="CP67" i="40"/>
  <c r="CO67" i="40"/>
  <c r="CN67" i="40"/>
  <c r="CM67" i="40"/>
  <c r="CL67" i="40"/>
  <c r="CK67" i="40"/>
  <c r="CJ67" i="40"/>
  <c r="CI67" i="40"/>
  <c r="CH67" i="40"/>
  <c r="CG67" i="40"/>
  <c r="CF67" i="40"/>
  <c r="CE67" i="40"/>
  <c r="CD67" i="40"/>
  <c r="CC67" i="40"/>
  <c r="CB67" i="40"/>
  <c r="CA67" i="40"/>
  <c r="BZ67" i="40"/>
  <c r="BY67" i="40"/>
  <c r="BX67" i="40"/>
  <c r="BW67" i="40"/>
  <c r="BV67" i="40"/>
  <c r="BU67" i="40"/>
  <c r="BT67" i="40"/>
  <c r="BS67" i="40"/>
  <c r="BR67" i="40"/>
  <c r="BQ67" i="40"/>
  <c r="BP67" i="40"/>
  <c r="BO67" i="40"/>
  <c r="BN67" i="40"/>
  <c r="BM67" i="40"/>
  <c r="BL67" i="40"/>
  <c r="BK67" i="40"/>
  <c r="BJ67" i="40"/>
  <c r="BI67" i="40"/>
  <c r="BH67" i="40"/>
  <c r="BG67" i="40"/>
  <c r="BF67" i="40"/>
  <c r="BE67" i="40"/>
  <c r="BD67" i="40"/>
  <c r="BC67" i="40"/>
  <c r="BB67" i="40"/>
  <c r="BA67" i="40"/>
  <c r="AZ67" i="40"/>
  <c r="AY67" i="40"/>
  <c r="AX67" i="40"/>
  <c r="AW67" i="40"/>
  <c r="AV67" i="40"/>
  <c r="AU67" i="40"/>
  <c r="AT67" i="40"/>
  <c r="AS67" i="40"/>
  <c r="AQ67" i="40"/>
  <c r="AP67" i="40"/>
  <c r="AO67" i="40"/>
  <c r="AN67" i="40"/>
  <c r="AM67" i="40"/>
  <c r="AL67" i="40"/>
  <c r="AK67" i="40"/>
  <c r="AJ67" i="40"/>
  <c r="AI67" i="40"/>
  <c r="AH67" i="40"/>
  <c r="AG67" i="40"/>
  <c r="AF67" i="40"/>
  <c r="AE67" i="40"/>
  <c r="AD67" i="40"/>
  <c r="AC67" i="40"/>
  <c r="AB67" i="40"/>
  <c r="AA67" i="40"/>
  <c r="S2243" i="40"/>
  <c r="S2242" i="40"/>
  <c r="S2238" i="40"/>
  <c r="S2237" i="40"/>
  <c r="S2231" i="40"/>
  <c r="S2207" i="40"/>
  <c r="S2206" i="40"/>
  <c r="S2170" i="40"/>
  <c r="S2169" i="40"/>
  <c r="S2168" i="40"/>
  <c r="S2167" i="40"/>
  <c r="S2137" i="40"/>
  <c r="S2136" i="40"/>
  <c r="S2135" i="40"/>
  <c r="S2134" i="40"/>
  <c r="S2133" i="40"/>
  <c r="S2132" i="40"/>
  <c r="S2131" i="40"/>
  <c r="S2130" i="40"/>
  <c r="S2129" i="40"/>
  <c r="S2128" i="40"/>
  <c r="S2127" i="40"/>
  <c r="S2126" i="40"/>
  <c r="S2125" i="40"/>
  <c r="S2124" i="40"/>
  <c r="S2123" i="40"/>
  <c r="S2122" i="40"/>
  <c r="S2121" i="40"/>
  <c r="S2120" i="40"/>
  <c r="S2119" i="40"/>
  <c r="S2118" i="40"/>
  <c r="S2117" i="40"/>
  <c r="S2100" i="40"/>
  <c r="S2096" i="40"/>
  <c r="S2082" i="40"/>
  <c r="S2081" i="40"/>
  <c r="S2048" i="40"/>
  <c r="S2047" i="40"/>
  <c r="S2046" i="40"/>
  <c r="S2045" i="40"/>
  <c r="S2037" i="40"/>
  <c r="S2036" i="40"/>
  <c r="S2015" i="40"/>
  <c r="S2014" i="40"/>
  <c r="S2013" i="40"/>
  <c r="S2012" i="40"/>
  <c r="S2011" i="40"/>
  <c r="S2010" i="40"/>
  <c r="S1848" i="40"/>
  <c r="S1847" i="40"/>
  <c r="S1846" i="40"/>
  <c r="S1845" i="40"/>
  <c r="S1844" i="40"/>
  <c r="S1843" i="40"/>
  <c r="S1842" i="40"/>
  <c r="S1841" i="40"/>
  <c r="S1840" i="40"/>
  <c r="S1839" i="40"/>
  <c r="S1838" i="40"/>
  <c r="S1837" i="40"/>
  <c r="S1836" i="40"/>
  <c r="S1835" i="40"/>
  <c r="S1834" i="40"/>
  <c r="S1833" i="40"/>
  <c r="S1832" i="40"/>
  <c r="S1831" i="40"/>
  <c r="S1830" i="40"/>
  <c r="S1763" i="40"/>
  <c r="S1752" i="40"/>
  <c r="S1751" i="40"/>
  <c r="S1750" i="40"/>
  <c r="S1749" i="40"/>
  <c r="S1748" i="40"/>
  <c r="S1747" i="40"/>
  <c r="S1746" i="40"/>
  <c r="S1745" i="40"/>
  <c r="S1744" i="40"/>
  <c r="S1629" i="40"/>
  <c r="S1628" i="40"/>
  <c r="S1627" i="40"/>
  <c r="S1626" i="40"/>
  <c r="S1625" i="40"/>
  <c r="S1624" i="40"/>
  <c r="S1623" i="40"/>
  <c r="S1622" i="40"/>
  <c r="S1621" i="40"/>
  <c r="S1620" i="40"/>
  <c r="S1619" i="40"/>
  <c r="S1618" i="40"/>
  <c r="S1617" i="40"/>
  <c r="S1616" i="40"/>
  <c r="S1615" i="40"/>
  <c r="S1614" i="40"/>
  <c r="S1613" i="40"/>
  <c r="S1612" i="40"/>
  <c r="S1611" i="40"/>
  <c r="S1610" i="40"/>
  <c r="S1609" i="40"/>
  <c r="S1608" i="40"/>
  <c r="S1607" i="40"/>
  <c r="S1606" i="40"/>
  <c r="S1605" i="40"/>
  <c r="S1604" i="40"/>
  <c r="S1603" i="40"/>
  <c r="S1602" i="40"/>
  <c r="S1601" i="40"/>
  <c r="S1600" i="40"/>
  <c r="S1599" i="40"/>
  <c r="S1598" i="40"/>
  <c r="S1597" i="40"/>
  <c r="S1596" i="40"/>
  <c r="S1595" i="40"/>
  <c r="S1594" i="40"/>
  <c r="S1593" i="40"/>
  <c r="S1592" i="40"/>
  <c r="S1591" i="40"/>
  <c r="S1590" i="40"/>
  <c r="S1589" i="40"/>
  <c r="S1588" i="40"/>
  <c r="S1587" i="40"/>
  <c r="S1586" i="40"/>
  <c r="S1585" i="40"/>
  <c r="S1584" i="40"/>
  <c r="S1583" i="40"/>
  <c r="S1582" i="40"/>
  <c r="S1581" i="40"/>
  <c r="S1580" i="40"/>
  <c r="S1579" i="40"/>
  <c r="S1578" i="40"/>
  <c r="S1577" i="40"/>
  <c r="S1517" i="40"/>
  <c r="S1505" i="40"/>
  <c r="S1504" i="40"/>
  <c r="S1503" i="40"/>
  <c r="N2243" i="40"/>
  <c r="N2242" i="40"/>
  <c r="N2238" i="40"/>
  <c r="N2237" i="40"/>
  <c r="N2234" i="40"/>
  <c r="N2233" i="40"/>
  <c r="N2207" i="40"/>
  <c r="N2206" i="40"/>
  <c r="N2170" i="40"/>
  <c r="N2169" i="40"/>
  <c r="N2168" i="40"/>
  <c r="N2167" i="40"/>
  <c r="N2164" i="40"/>
  <c r="N2137" i="40"/>
  <c r="N2136" i="40"/>
  <c r="N2135" i="40"/>
  <c r="N2134" i="40"/>
  <c r="N2133" i="40"/>
  <c r="N2132" i="40"/>
  <c r="N2131" i="40"/>
  <c r="N2130" i="40"/>
  <c r="N2129" i="40"/>
  <c r="N2128" i="40"/>
  <c r="N2127" i="40"/>
  <c r="N2126" i="40"/>
  <c r="N2125" i="40"/>
  <c r="N2124" i="40"/>
  <c r="N2123" i="40"/>
  <c r="N2122" i="40"/>
  <c r="N2121" i="40"/>
  <c r="N2120" i="40"/>
  <c r="N2119" i="40"/>
  <c r="N2118" i="40"/>
  <c r="N2117" i="40"/>
  <c r="N2116" i="40"/>
  <c r="N2102" i="40"/>
  <c r="N2099" i="40"/>
  <c r="N2095" i="40"/>
  <c r="N2087" i="40"/>
  <c r="N2048" i="40"/>
  <c r="N2047" i="40"/>
  <c r="N2046" i="40"/>
  <c r="N2045" i="40"/>
  <c r="N2037" i="40"/>
  <c r="N2036" i="40"/>
  <c r="N2013" i="40"/>
  <c r="N2012" i="40"/>
  <c r="N2011" i="40"/>
  <c r="N2010" i="40"/>
  <c r="X1919" i="40"/>
  <c r="W1919" i="40"/>
  <c r="V1919" i="40"/>
  <c r="U1919" i="40"/>
  <c r="T1919" i="40"/>
  <c r="S1919" i="40"/>
  <c r="R1919" i="40"/>
  <c r="Q1919" i="40"/>
  <c r="P1919" i="40"/>
  <c r="O1919" i="40"/>
  <c r="N1919" i="40"/>
  <c r="M1919" i="40"/>
  <c r="L1919" i="40"/>
  <c r="N1848" i="40"/>
  <c r="N1847" i="40"/>
  <c r="N1846" i="40"/>
  <c r="N1845" i="40"/>
  <c r="N1844" i="40"/>
  <c r="N1843" i="40"/>
  <c r="N1842" i="40"/>
  <c r="N1841" i="40"/>
  <c r="N1840" i="40"/>
  <c r="N1839" i="40"/>
  <c r="N1838" i="40"/>
  <c r="N1837" i="40"/>
  <c r="N1836" i="40"/>
  <c r="N1835" i="40"/>
  <c r="N1834" i="40"/>
  <c r="N1833" i="40"/>
  <c r="N1832" i="40"/>
  <c r="N1831" i="40"/>
  <c r="N1830" i="40"/>
  <c r="N1829" i="40"/>
  <c r="N1812" i="40"/>
  <c r="N1811" i="40"/>
  <c r="N1819" i="40"/>
  <c r="N1810" i="40"/>
  <c r="N1809" i="40"/>
  <c r="N1808" i="40"/>
  <c r="N1807" i="40"/>
  <c r="N1752" i="40"/>
  <c r="N1751" i="40"/>
  <c r="N1750" i="40"/>
  <c r="N1749" i="40"/>
  <c r="N1748" i="40"/>
  <c r="N1747" i="40"/>
  <c r="N1746" i="40"/>
  <c r="N1745" i="40"/>
  <c r="N1744" i="40"/>
  <c r="N1743" i="40"/>
  <c r="N1740" i="40"/>
  <c r="N1739" i="40"/>
  <c r="N1629" i="40"/>
  <c r="N1628" i="40"/>
  <c r="N1627" i="40"/>
  <c r="N1626" i="40"/>
  <c r="N1625" i="40"/>
  <c r="N1624" i="40"/>
  <c r="N1623" i="40"/>
  <c r="N1622" i="40"/>
  <c r="N1621" i="40"/>
  <c r="N1620" i="40"/>
  <c r="N1619" i="40"/>
  <c r="N1618" i="40"/>
  <c r="N1617" i="40"/>
  <c r="N1616" i="40"/>
  <c r="N1615" i="40"/>
  <c r="N1614" i="40"/>
  <c r="N1613" i="40"/>
  <c r="N1612" i="40"/>
  <c r="N1611" i="40"/>
  <c r="N1610" i="40"/>
  <c r="N1609" i="40"/>
  <c r="N1608" i="40"/>
  <c r="N1607" i="40"/>
  <c r="N1606" i="40"/>
  <c r="N1605" i="40"/>
  <c r="N1604" i="40"/>
  <c r="N1603" i="40"/>
  <c r="N1602" i="40"/>
  <c r="N1601" i="40"/>
  <c r="N1600" i="40"/>
  <c r="N1599" i="40"/>
  <c r="N1598" i="40"/>
  <c r="N1597" i="40"/>
  <c r="N1596" i="40"/>
  <c r="N1595" i="40"/>
  <c r="N1594" i="40"/>
  <c r="N1593" i="40"/>
  <c r="N1592" i="40"/>
  <c r="N1591" i="40"/>
  <c r="N1590" i="40"/>
  <c r="N1589" i="40"/>
  <c r="N1588" i="40"/>
  <c r="N1587" i="40"/>
  <c r="N1586" i="40"/>
  <c r="N1585" i="40"/>
  <c r="N1584" i="40"/>
  <c r="N1583" i="40"/>
  <c r="N1582" i="40"/>
  <c r="N1581" i="40"/>
  <c r="N1580" i="40"/>
  <c r="N1579" i="40"/>
  <c r="N1578" i="40"/>
  <c r="N1577" i="40"/>
  <c r="N1576" i="40"/>
  <c r="N1569" i="40"/>
  <c r="N1567" i="40"/>
  <c r="N1565" i="40"/>
  <c r="N1562" i="40"/>
  <c r="N1566" i="40"/>
  <c r="N1564" i="40"/>
  <c r="N1561" i="40"/>
  <c r="N1568" i="40"/>
  <c r="N1563" i="40"/>
  <c r="N1560" i="40"/>
  <c r="N1518" i="40"/>
  <c r="N1517" i="40"/>
  <c r="N1516" i="40"/>
  <c r="N1515" i="40"/>
  <c r="N1514" i="40"/>
  <c r="N1513" i="40"/>
  <c r="N1512" i="40"/>
  <c r="N1511" i="40"/>
  <c r="N1510" i="40"/>
  <c r="N1509" i="40"/>
  <c r="N1508" i="40"/>
  <c r="N1507" i="40"/>
  <c r="N1506" i="40"/>
  <c r="N1505" i="40"/>
  <c r="N1504" i="40"/>
  <c r="N1503" i="40"/>
  <c r="N1502" i="40"/>
  <c r="N1501" i="40"/>
  <c r="N1499" i="40"/>
  <c r="N1498" i="40"/>
  <c r="N1497" i="40"/>
  <c r="S1480" i="40"/>
  <c r="S1435" i="40"/>
  <c r="S1434" i="40"/>
  <c r="S1433" i="40"/>
  <c r="S1426" i="40"/>
  <c r="S1425" i="40"/>
  <c r="S1424" i="40"/>
  <c r="S1423" i="40"/>
  <c r="S1422" i="40"/>
  <c r="S1421" i="40"/>
  <c r="S1420" i="40"/>
  <c r="S1419" i="40"/>
  <c r="S1418" i="40"/>
  <c r="S1417" i="40"/>
  <c r="S1416" i="40"/>
  <c r="S1415" i="40"/>
  <c r="S1414" i="40"/>
  <c r="S1413" i="40"/>
  <c r="S1412" i="40"/>
  <c r="N1434" i="40"/>
  <c r="N1433" i="40"/>
  <c r="S1143" i="40"/>
  <c r="S1142" i="40"/>
  <c r="S1141" i="40"/>
  <c r="S1140" i="40"/>
  <c r="S1139" i="40"/>
  <c r="S1138" i="40"/>
  <c r="S1137" i="40"/>
  <c r="S1136" i="40"/>
  <c r="S1135" i="40"/>
  <c r="S1134" i="40"/>
  <c r="S1133" i="40"/>
  <c r="S1132" i="40"/>
  <c r="S1131" i="40"/>
  <c r="S1130" i="40"/>
  <c r="S845" i="40"/>
  <c r="S842" i="40"/>
  <c r="S772" i="40"/>
  <c r="S767" i="40"/>
  <c r="S766" i="40"/>
  <c r="S765" i="40"/>
  <c r="S594" i="40"/>
  <c r="S593" i="40"/>
  <c r="S589" i="40"/>
  <c r="S588" i="40"/>
  <c r="S585" i="40"/>
  <c r="S584" i="40"/>
  <c r="S583" i="40"/>
  <c r="S582" i="40"/>
  <c r="S581" i="40"/>
  <c r="S580" i="40"/>
  <c r="S579" i="40"/>
  <c r="S578" i="40"/>
  <c r="S577" i="40"/>
  <c r="S576" i="40"/>
  <c r="S575" i="40"/>
  <c r="S574" i="40"/>
  <c r="S573" i="40"/>
  <c r="S572" i="40"/>
  <c r="S571" i="40"/>
  <c r="S570" i="40"/>
  <c r="S569" i="40"/>
  <c r="S568" i="40"/>
  <c r="S567" i="40"/>
  <c r="S61" i="40"/>
  <c r="S60" i="40"/>
  <c r="S59" i="40"/>
  <c r="S58" i="40"/>
  <c r="S57" i="40"/>
  <c r="S56" i="40"/>
  <c r="S55" i="40"/>
  <c r="S54" i="40"/>
  <c r="S53" i="40"/>
  <c r="S52" i="40"/>
  <c r="S51" i="40"/>
  <c r="S50" i="40"/>
  <c r="S49" i="40"/>
  <c r="S48" i="40"/>
  <c r="S47" i="40"/>
  <c r="S46" i="40"/>
  <c r="S45" i="40"/>
  <c r="S44" i="40"/>
  <c r="S43" i="40"/>
  <c r="S37" i="40"/>
  <c r="S36" i="40"/>
  <c r="S35" i="40"/>
  <c r="S34" i="40"/>
  <c r="S33" i="40"/>
  <c r="S32" i="40"/>
  <c r="S31" i="40"/>
  <c r="S30" i="40"/>
  <c r="S29" i="40"/>
  <c r="S24" i="40"/>
  <c r="S23" i="40"/>
  <c r="S21" i="40"/>
  <c r="S20" i="40"/>
  <c r="S19" i="40"/>
  <c r="S18" i="40"/>
  <c r="S17" i="40"/>
  <c r="S16" i="40"/>
  <c r="S14" i="40"/>
  <c r="S13" i="40"/>
  <c r="S12" i="40"/>
  <c r="X12" i="40" s="1"/>
  <c r="S11" i="40"/>
  <c r="N30" i="40"/>
  <c r="N29" i="40"/>
  <c r="N28" i="40"/>
  <c r="N27" i="40"/>
  <c r="N26" i="40"/>
  <c r="N25" i="40"/>
  <c r="N24" i="40"/>
  <c r="N23" i="40"/>
  <c r="N22" i="40"/>
  <c r="N21" i="40"/>
  <c r="N20" i="40"/>
  <c r="N19" i="40"/>
  <c r="N18" i="40"/>
  <c r="N17" i="40"/>
  <c r="N16" i="40"/>
  <c r="N15" i="40"/>
  <c r="N14" i="40"/>
  <c r="N13" i="40"/>
  <c r="N12" i="40"/>
  <c r="N11" i="40"/>
  <c r="N37" i="40"/>
  <c r="N36" i="40"/>
  <c r="N35" i="40"/>
  <c r="N34" i="40"/>
  <c r="N33" i="40"/>
  <c r="N42" i="40"/>
  <c r="N50" i="40"/>
  <c r="N569" i="40"/>
  <c r="N568" i="40"/>
  <c r="N567" i="40"/>
  <c r="N580" i="40"/>
  <c r="N579" i="40"/>
  <c r="N578" i="40"/>
  <c r="N577" i="40"/>
  <c r="N576" i="40"/>
  <c r="N575" i="40"/>
  <c r="N574" i="40"/>
  <c r="N573" i="40"/>
  <c r="N572" i="40"/>
  <c r="N588" i="40"/>
  <c r="N587" i="40"/>
  <c r="N586" i="40"/>
  <c r="N585" i="40"/>
  <c r="N599" i="40"/>
  <c r="N598" i="40"/>
  <c r="N597" i="40"/>
  <c r="N596" i="40"/>
  <c r="N595" i="40"/>
  <c r="N594" i="40"/>
  <c r="N593" i="40"/>
  <c r="N592" i="40"/>
  <c r="N767" i="40"/>
  <c r="N766" i="40"/>
  <c r="N765" i="40"/>
  <c r="N845" i="40"/>
  <c r="N844" i="40"/>
  <c r="N843" i="40"/>
  <c r="R847" i="40" s="1"/>
  <c r="N842" i="40"/>
  <c r="N841" i="40"/>
  <c r="N1025" i="40"/>
  <c r="N1024" i="40"/>
  <c r="N1023" i="40"/>
  <c r="N1022" i="40"/>
  <c r="N1021" i="40"/>
  <c r="N1020" i="40"/>
  <c r="N1019" i="40"/>
  <c r="N1018" i="40"/>
  <c r="N1017" i="40"/>
  <c r="N1016" i="40"/>
  <c r="N1015" i="40"/>
  <c r="N1014" i="40"/>
  <c r="R1034" i="40" s="1"/>
  <c r="N1013" i="40"/>
  <c r="R1033" i="40" s="1"/>
  <c r="N1012" i="40"/>
  <c r="R1032" i="40" s="1"/>
  <c r="N1011" i="40"/>
  <c r="R1031" i="40" s="1"/>
  <c r="N1010" i="40"/>
  <c r="S1036" i="40"/>
  <c r="S1035" i="40"/>
  <c r="S1034" i="40"/>
  <c r="S1033" i="40"/>
  <c r="S1032" i="40"/>
  <c r="S1031" i="40"/>
  <c r="S1030" i="40"/>
  <c r="S1029" i="40"/>
  <c r="S1028" i="40"/>
  <c r="S1027" i="40"/>
  <c r="S1081" i="40"/>
  <c r="S1080" i="40"/>
  <c r="S1079" i="40"/>
  <c r="S1078" i="40"/>
  <c r="S1077" i="40"/>
  <c r="S1076" i="40"/>
  <c r="S1075" i="40"/>
  <c r="S1074" i="40"/>
  <c r="S1073" i="40"/>
  <c r="N1071" i="40"/>
  <c r="N1070" i="40"/>
  <c r="N1069" i="40"/>
  <c r="N1068" i="40"/>
  <c r="N1067" i="40"/>
  <c r="N1066" i="40"/>
  <c r="N1065" i="40"/>
  <c r="N1064" i="40"/>
  <c r="N1063" i="40"/>
  <c r="N1062" i="40"/>
  <c r="N1061" i="40"/>
  <c r="N1060" i="40"/>
  <c r="R1080" i="40" s="1"/>
  <c r="N1059" i="40"/>
  <c r="R1079" i="40" s="1"/>
  <c r="N1058" i="40"/>
  <c r="R1078" i="40" s="1"/>
  <c r="N1057" i="40"/>
  <c r="R1077" i="40" s="1"/>
  <c r="N1056" i="40"/>
  <c r="N1116" i="40"/>
  <c r="N1115" i="40"/>
  <c r="N1128" i="40"/>
  <c r="N1127" i="40"/>
  <c r="N1126" i="40"/>
  <c r="N1125" i="40"/>
  <c r="N1124" i="40"/>
  <c r="N1123" i="40"/>
  <c r="N1122" i="40"/>
  <c r="N1121" i="40"/>
  <c r="N1120" i="40"/>
  <c r="N1119" i="40"/>
  <c r="N1118" i="40"/>
  <c r="N1117" i="40"/>
  <c r="V848" i="40" l="1"/>
  <c r="X848" i="40"/>
  <c r="V847" i="40"/>
  <c r="W847" i="40"/>
  <c r="X847" i="40"/>
  <c r="R2014" i="40"/>
  <c r="R2015" i="40"/>
  <c r="P845" i="40"/>
  <c r="U845" i="40" s="1"/>
  <c r="O845" i="40"/>
  <c r="M845" i="40"/>
  <c r="W2023" i="40" l="1"/>
  <c r="V2023" i="40"/>
  <c r="X2023" i="40"/>
  <c r="V2022" i="40"/>
  <c r="W2022" i="40"/>
  <c r="X2022" i="40"/>
  <c r="T845" i="40"/>
  <c r="Q845" i="40"/>
  <c r="V61" i="40"/>
  <c r="U61" i="40"/>
  <c r="T61" i="40"/>
  <c r="Q61" i="40"/>
  <c r="O61" i="40"/>
  <c r="M61" i="40"/>
  <c r="V60" i="40"/>
  <c r="U60" i="40"/>
  <c r="T60" i="40"/>
  <c r="Q60" i="40"/>
  <c r="O60" i="40"/>
  <c r="M60" i="40"/>
  <c r="V59" i="40"/>
  <c r="T59" i="40"/>
  <c r="O59" i="40"/>
  <c r="M59" i="40"/>
  <c r="V58" i="40"/>
  <c r="U58" i="40"/>
  <c r="T58" i="40"/>
  <c r="Q58" i="40"/>
  <c r="O58" i="40"/>
  <c r="M58" i="40"/>
  <c r="V57" i="40"/>
  <c r="U57" i="40"/>
  <c r="T57" i="40"/>
  <c r="Q57" i="40"/>
  <c r="O57" i="40"/>
  <c r="M57" i="40"/>
  <c r="DP55" i="40"/>
  <c r="DO55" i="40"/>
  <c r="DN55" i="40"/>
  <c r="DM55" i="40"/>
  <c r="DL55" i="40"/>
  <c r="DK55" i="40"/>
  <c r="DJ55" i="40"/>
  <c r="DI55" i="40"/>
  <c r="DH55" i="40"/>
  <c r="DG55" i="40"/>
  <c r="DF55" i="40"/>
  <c r="DE55" i="40"/>
  <c r="DD55" i="40"/>
  <c r="DC55" i="40"/>
  <c r="DB55" i="40"/>
  <c r="DA55" i="40"/>
  <c r="CZ55" i="40"/>
  <c r="CY55" i="40"/>
  <c r="CX55" i="40"/>
  <c r="CW55" i="40"/>
  <c r="CV55" i="40"/>
  <c r="CU55" i="40"/>
  <c r="CT55" i="40"/>
  <c r="CS55" i="40"/>
  <c r="CR55" i="40"/>
  <c r="CQ55" i="40"/>
  <c r="CP55" i="40"/>
  <c r="CO55" i="40"/>
  <c r="CN55" i="40"/>
  <c r="CM55" i="40"/>
  <c r="CL55" i="40"/>
  <c r="CK55" i="40"/>
  <c r="CJ55" i="40"/>
  <c r="CI55" i="40"/>
  <c r="CH55" i="40"/>
  <c r="CG55" i="40"/>
  <c r="CF55" i="40"/>
  <c r="CE55" i="40"/>
  <c r="CD55" i="40"/>
  <c r="CC55" i="40"/>
  <c r="CB55" i="40"/>
  <c r="CA55" i="40"/>
  <c r="BZ55" i="40"/>
  <c r="BY55" i="40"/>
  <c r="BX55" i="40"/>
  <c r="BW55" i="40"/>
  <c r="BV55" i="40"/>
  <c r="BU55" i="40"/>
  <c r="BT55" i="40"/>
  <c r="BS55" i="40"/>
  <c r="BR55" i="40"/>
  <c r="BQ55" i="40"/>
  <c r="BP55" i="40"/>
  <c r="BO55" i="40"/>
  <c r="BN55" i="40"/>
  <c r="BM55" i="40"/>
  <c r="BL55" i="40"/>
  <c r="BK55" i="40"/>
  <c r="BJ55" i="40"/>
  <c r="BI55" i="40"/>
  <c r="BH55" i="40"/>
  <c r="BG55" i="40"/>
  <c r="BF55" i="40"/>
  <c r="BE55" i="40"/>
  <c r="BD55" i="40"/>
  <c r="BC55" i="40"/>
  <c r="BB55" i="40"/>
  <c r="BA55" i="40"/>
  <c r="AZ55" i="40"/>
  <c r="AY55" i="40"/>
  <c r="AX55" i="40"/>
  <c r="AW55" i="40"/>
  <c r="AV55" i="40"/>
  <c r="AU55" i="40"/>
  <c r="AT55" i="40"/>
  <c r="AS55" i="40"/>
  <c r="AR55" i="40"/>
  <c r="AP55" i="40"/>
  <c r="AO55" i="40"/>
  <c r="AN55" i="40"/>
  <c r="AM55" i="40"/>
  <c r="AL55" i="40"/>
  <c r="AJ55" i="40"/>
  <c r="AI55" i="40"/>
  <c r="AH55" i="40"/>
  <c r="AG55" i="40"/>
  <c r="AF55" i="40"/>
  <c r="AE55" i="40"/>
  <c r="AD55" i="40"/>
  <c r="AC55" i="40"/>
  <c r="AB55" i="40"/>
  <c r="AA55" i="40"/>
  <c r="V55" i="40"/>
  <c r="U55" i="40"/>
  <c r="T55" i="40"/>
  <c r="Q55" i="40"/>
  <c r="O55" i="40"/>
  <c r="M55" i="40"/>
  <c r="AQ55" i="40" s="1"/>
  <c r="DP54" i="40"/>
  <c r="DO54" i="40"/>
  <c r="DN54" i="40"/>
  <c r="DM54" i="40"/>
  <c r="DL54" i="40"/>
  <c r="DK54" i="40"/>
  <c r="DJ54" i="40"/>
  <c r="DI54" i="40"/>
  <c r="DH54" i="40"/>
  <c r="DG54" i="40"/>
  <c r="DF54" i="40"/>
  <c r="DE54" i="40"/>
  <c r="DD54" i="40"/>
  <c r="DC54" i="40"/>
  <c r="DB54" i="40"/>
  <c r="DA54" i="40"/>
  <c r="CZ54" i="40"/>
  <c r="CY54" i="40"/>
  <c r="CX54" i="40"/>
  <c r="CW54" i="40"/>
  <c r="CV54" i="40"/>
  <c r="CU54" i="40"/>
  <c r="CT54" i="40"/>
  <c r="CS54" i="40"/>
  <c r="CR54" i="40"/>
  <c r="CQ54" i="40"/>
  <c r="CP54" i="40"/>
  <c r="CO54" i="40"/>
  <c r="CN54" i="40"/>
  <c r="CM54" i="40"/>
  <c r="CL54" i="40"/>
  <c r="CK54" i="40"/>
  <c r="CJ54" i="40"/>
  <c r="CI54" i="40"/>
  <c r="CH54" i="40"/>
  <c r="CG54" i="40"/>
  <c r="CF54" i="40"/>
  <c r="CE54" i="40"/>
  <c r="CD54" i="40"/>
  <c r="CC54" i="40"/>
  <c r="CB54" i="40"/>
  <c r="CA54" i="40"/>
  <c r="BZ54" i="40"/>
  <c r="BY54" i="40"/>
  <c r="BX54" i="40"/>
  <c r="BW54" i="40"/>
  <c r="BV54" i="40"/>
  <c r="BU54" i="40"/>
  <c r="BT54" i="40"/>
  <c r="BS54" i="40"/>
  <c r="BR54" i="40"/>
  <c r="BQ54" i="40"/>
  <c r="BP54" i="40"/>
  <c r="BO54" i="40"/>
  <c r="BN54" i="40"/>
  <c r="BM54" i="40"/>
  <c r="BL54" i="40"/>
  <c r="BK54" i="40"/>
  <c r="BJ54" i="40"/>
  <c r="BI54" i="40"/>
  <c r="BH54" i="40"/>
  <c r="BG54" i="40"/>
  <c r="BF54" i="40"/>
  <c r="BE54" i="40"/>
  <c r="BD54" i="40"/>
  <c r="BC54" i="40"/>
  <c r="BB54" i="40"/>
  <c r="BA54" i="40"/>
  <c r="AZ54" i="40"/>
  <c r="AY54" i="40"/>
  <c r="AX54" i="40"/>
  <c r="AW54" i="40"/>
  <c r="AV54" i="40"/>
  <c r="AU54" i="40"/>
  <c r="AT54" i="40"/>
  <c r="AS54" i="40"/>
  <c r="AR54" i="40"/>
  <c r="AP54" i="40"/>
  <c r="AO54" i="40"/>
  <c r="AN54" i="40"/>
  <c r="AM54" i="40"/>
  <c r="AL54" i="40"/>
  <c r="AK54" i="40"/>
  <c r="AJ54" i="40"/>
  <c r="AI54" i="40"/>
  <c r="AG54" i="40"/>
  <c r="AF54" i="40"/>
  <c r="AE54" i="40"/>
  <c r="AD54" i="40"/>
  <c r="AC54" i="40"/>
  <c r="AB54" i="40"/>
  <c r="AA54" i="40"/>
  <c r="V54" i="40"/>
  <c r="U54" i="40"/>
  <c r="T54" i="40"/>
  <c r="Q54" i="40"/>
  <c r="O54" i="40"/>
  <c r="M54" i="40"/>
  <c r="AQ54" i="40" s="1"/>
  <c r="DP53" i="40"/>
  <c r="DO53" i="40"/>
  <c r="DN53" i="40"/>
  <c r="DM53" i="40"/>
  <c r="DL53" i="40"/>
  <c r="DK53" i="40"/>
  <c r="DJ53" i="40"/>
  <c r="DI53" i="40"/>
  <c r="DH53" i="40"/>
  <c r="DG53" i="40"/>
  <c r="DF53" i="40"/>
  <c r="DE53" i="40"/>
  <c r="DD53" i="40"/>
  <c r="DC53" i="40"/>
  <c r="DB53" i="40"/>
  <c r="DA53" i="40"/>
  <c r="CZ53" i="40"/>
  <c r="CY53" i="40"/>
  <c r="CX53" i="40"/>
  <c r="CW53" i="40"/>
  <c r="CV53" i="40"/>
  <c r="CU53" i="40"/>
  <c r="CT53" i="40"/>
  <c r="CS53" i="40"/>
  <c r="CR53" i="40"/>
  <c r="CQ53" i="40"/>
  <c r="CP53" i="40"/>
  <c r="CO53" i="40"/>
  <c r="CN53" i="40"/>
  <c r="CM53" i="40"/>
  <c r="CL53" i="40"/>
  <c r="CK53" i="40"/>
  <c r="CJ53" i="40"/>
  <c r="CI53" i="40"/>
  <c r="CH53" i="40"/>
  <c r="CG53" i="40"/>
  <c r="CF53" i="40"/>
  <c r="CE53" i="40"/>
  <c r="CD53" i="40"/>
  <c r="CC53" i="40"/>
  <c r="CB53" i="40"/>
  <c r="CA53" i="40"/>
  <c r="BZ53" i="40"/>
  <c r="BY53" i="40"/>
  <c r="BX53" i="40"/>
  <c r="BW53" i="40"/>
  <c r="BV53" i="40"/>
  <c r="BU53" i="40"/>
  <c r="BT53" i="40"/>
  <c r="BS53" i="40"/>
  <c r="BR53" i="40"/>
  <c r="BQ53" i="40"/>
  <c r="BP53" i="40"/>
  <c r="BO53" i="40"/>
  <c r="BN53" i="40"/>
  <c r="BM53" i="40"/>
  <c r="BL53" i="40"/>
  <c r="BK53" i="40"/>
  <c r="BJ53" i="40"/>
  <c r="BI53" i="40"/>
  <c r="BH53" i="40"/>
  <c r="BG53" i="40"/>
  <c r="BF53" i="40"/>
  <c r="BE53" i="40"/>
  <c r="BD53" i="40"/>
  <c r="BC53" i="40"/>
  <c r="BB53" i="40"/>
  <c r="BA53" i="40"/>
  <c r="AZ53" i="40"/>
  <c r="AY53" i="40"/>
  <c r="AX53" i="40"/>
  <c r="AW53" i="40"/>
  <c r="AV53" i="40"/>
  <c r="AU53" i="40"/>
  <c r="AT53" i="40"/>
  <c r="AS53" i="40"/>
  <c r="AR53" i="40"/>
  <c r="AP53" i="40"/>
  <c r="AO53" i="40"/>
  <c r="AN53" i="40"/>
  <c r="AM53" i="40"/>
  <c r="AL53" i="40"/>
  <c r="AK53" i="40"/>
  <c r="AJ53" i="40"/>
  <c r="AI53" i="40"/>
  <c r="AH53" i="40"/>
  <c r="AF53" i="40"/>
  <c r="AE53" i="40"/>
  <c r="AD53" i="40"/>
  <c r="AC53" i="40"/>
  <c r="AB53" i="40"/>
  <c r="AA53" i="40"/>
  <c r="V53" i="40"/>
  <c r="U53" i="40"/>
  <c r="T53" i="40"/>
  <c r="Q53" i="40"/>
  <c r="O53" i="40"/>
  <c r="M53" i="40"/>
  <c r="AQ53" i="40" s="1"/>
  <c r="DP52" i="40"/>
  <c r="DO52" i="40"/>
  <c r="DN52" i="40"/>
  <c r="DM52" i="40"/>
  <c r="DL52" i="40"/>
  <c r="DK52" i="40"/>
  <c r="DJ52" i="40"/>
  <c r="DI52" i="40"/>
  <c r="DH52" i="40"/>
  <c r="DG52" i="40"/>
  <c r="DF52" i="40"/>
  <c r="DE52" i="40"/>
  <c r="DD52" i="40"/>
  <c r="DC52" i="40"/>
  <c r="DB52" i="40"/>
  <c r="DA52" i="40"/>
  <c r="CZ52" i="40"/>
  <c r="CY52" i="40"/>
  <c r="CX52" i="40"/>
  <c r="CW52" i="40"/>
  <c r="CV52" i="40"/>
  <c r="CU52" i="40"/>
  <c r="CT52" i="40"/>
  <c r="CS52" i="40"/>
  <c r="CR52" i="40"/>
  <c r="CQ52" i="40"/>
  <c r="CP52" i="40"/>
  <c r="CO52" i="40"/>
  <c r="CN52" i="40"/>
  <c r="CM52" i="40"/>
  <c r="CL52" i="40"/>
  <c r="CK52" i="40"/>
  <c r="CJ52" i="40"/>
  <c r="CI52" i="40"/>
  <c r="CH52" i="40"/>
  <c r="CG52" i="40"/>
  <c r="CF52" i="40"/>
  <c r="CE52" i="40"/>
  <c r="CD52" i="40"/>
  <c r="CC52" i="40"/>
  <c r="CB52" i="40"/>
  <c r="CA52" i="40"/>
  <c r="BZ52" i="40"/>
  <c r="BY52" i="40"/>
  <c r="BX52" i="40"/>
  <c r="BW52" i="40"/>
  <c r="BV52" i="40"/>
  <c r="BU52" i="40"/>
  <c r="BT52" i="40"/>
  <c r="BS52" i="40"/>
  <c r="BR52" i="40"/>
  <c r="BQ52" i="40"/>
  <c r="BP52" i="40"/>
  <c r="BO52" i="40"/>
  <c r="BN52" i="40"/>
  <c r="BM52" i="40"/>
  <c r="BL52" i="40"/>
  <c r="BK52" i="40"/>
  <c r="BJ52" i="40"/>
  <c r="BI52" i="40"/>
  <c r="BH52" i="40"/>
  <c r="BG52" i="40"/>
  <c r="BF52" i="40"/>
  <c r="BE52" i="40"/>
  <c r="BD52" i="40"/>
  <c r="BC52" i="40"/>
  <c r="BB52" i="40"/>
  <c r="BA52" i="40"/>
  <c r="AZ52" i="40"/>
  <c r="AY52" i="40"/>
  <c r="AX52" i="40"/>
  <c r="AW52" i="40"/>
  <c r="AV52" i="40"/>
  <c r="AU52" i="40"/>
  <c r="AT52" i="40"/>
  <c r="AS52" i="40"/>
  <c r="AR52" i="40"/>
  <c r="AP52" i="40"/>
  <c r="AO52" i="40"/>
  <c r="AN52" i="40"/>
  <c r="AM52" i="40"/>
  <c r="AL52" i="40"/>
  <c r="AK52" i="40"/>
  <c r="AJ52" i="40"/>
  <c r="AI52" i="40"/>
  <c r="AH52" i="40"/>
  <c r="AG52" i="40"/>
  <c r="AF52" i="40"/>
  <c r="AE52" i="40"/>
  <c r="AD52" i="40"/>
  <c r="AC52" i="40"/>
  <c r="AA52" i="40"/>
  <c r="V52" i="40"/>
  <c r="U52" i="40"/>
  <c r="T52" i="40"/>
  <c r="Q52" i="40"/>
  <c r="O52" i="40"/>
  <c r="M52" i="40"/>
  <c r="AQ52" i="40" s="1"/>
  <c r="T597" i="40"/>
  <c r="Q597" i="40"/>
  <c r="Q595" i="40"/>
  <c r="U598" i="40"/>
  <c r="T598" i="40"/>
  <c r="Q598" i="40"/>
  <c r="V598" i="40"/>
  <c r="M598" i="40"/>
  <c r="U597" i="40"/>
  <c r="V597" i="40"/>
  <c r="M597" i="40"/>
  <c r="U599" i="40"/>
  <c r="T599" i="40"/>
  <c r="Q599" i="40"/>
  <c r="V599" i="40"/>
  <c r="M599" i="40"/>
  <c r="U596" i="40"/>
  <c r="T596" i="40"/>
  <c r="Q596" i="40"/>
  <c r="V596" i="40"/>
  <c r="M596" i="40"/>
  <c r="DP592" i="40"/>
  <c r="DO592" i="40"/>
  <c r="DN592" i="40"/>
  <c r="DM592" i="40"/>
  <c r="DL592" i="40"/>
  <c r="DK592" i="40"/>
  <c r="DJ592" i="40"/>
  <c r="DI592" i="40"/>
  <c r="DH592" i="40"/>
  <c r="DG592" i="40"/>
  <c r="DF592" i="40"/>
  <c r="DE592" i="40"/>
  <c r="DD592" i="40"/>
  <c r="DC592" i="40"/>
  <c r="DB592" i="40"/>
  <c r="DA592" i="40"/>
  <c r="CZ592" i="40"/>
  <c r="CY592" i="40"/>
  <c r="CX592" i="40"/>
  <c r="CW592" i="40"/>
  <c r="CV592" i="40"/>
  <c r="CU592" i="40"/>
  <c r="CT592" i="40"/>
  <c r="CS592" i="40"/>
  <c r="CR592" i="40"/>
  <c r="CQ592" i="40"/>
  <c r="CP592" i="40"/>
  <c r="CO592" i="40"/>
  <c r="CN592" i="40"/>
  <c r="CM592" i="40"/>
  <c r="CL592" i="40"/>
  <c r="CK592" i="40"/>
  <c r="CJ592" i="40"/>
  <c r="CI592" i="40"/>
  <c r="CH592" i="40"/>
  <c r="CG592" i="40"/>
  <c r="CF592" i="40"/>
  <c r="CE592" i="40"/>
  <c r="CD592" i="40"/>
  <c r="CC592" i="40"/>
  <c r="CB592" i="40"/>
  <c r="CA592" i="40"/>
  <c r="BZ592" i="40"/>
  <c r="BY592" i="40"/>
  <c r="BX592" i="40"/>
  <c r="BW592" i="40"/>
  <c r="BV592" i="40"/>
  <c r="BU592" i="40"/>
  <c r="BT592" i="40"/>
  <c r="BS592" i="40"/>
  <c r="BR592" i="40"/>
  <c r="BQ592" i="40"/>
  <c r="BP592" i="40"/>
  <c r="BO592" i="40"/>
  <c r="BN592" i="40"/>
  <c r="BM592" i="40"/>
  <c r="BL592" i="40"/>
  <c r="BK592" i="40"/>
  <c r="BJ592" i="40"/>
  <c r="BI592" i="40"/>
  <c r="BH592" i="40"/>
  <c r="BG592" i="40"/>
  <c r="BF592" i="40"/>
  <c r="BE592" i="40"/>
  <c r="BD592" i="40"/>
  <c r="BC592" i="40"/>
  <c r="BB592" i="40"/>
  <c r="BA592" i="40"/>
  <c r="AZ592" i="40"/>
  <c r="AY592" i="40"/>
  <c r="AX592" i="40"/>
  <c r="AW592" i="40"/>
  <c r="AV592" i="40"/>
  <c r="AU592" i="40"/>
  <c r="AT592" i="40"/>
  <c r="AS592" i="40"/>
  <c r="AR592" i="40"/>
  <c r="AQ592" i="40"/>
  <c r="AP592" i="40"/>
  <c r="AO592" i="40"/>
  <c r="AM592" i="40"/>
  <c r="AL592" i="40"/>
  <c r="AK592" i="40"/>
  <c r="AJ592" i="40"/>
  <c r="AI592" i="40"/>
  <c r="AH592" i="40"/>
  <c r="AG592" i="40"/>
  <c r="AF592" i="40"/>
  <c r="AE592" i="40"/>
  <c r="AD592" i="40"/>
  <c r="AC592" i="40"/>
  <c r="AB592" i="40"/>
  <c r="AA592" i="40"/>
  <c r="DP62" i="40"/>
  <c r="DO62" i="40"/>
  <c r="DN62" i="40"/>
  <c r="DM62" i="40"/>
  <c r="DL62" i="40"/>
  <c r="DK62" i="40"/>
  <c r="DJ62" i="40"/>
  <c r="DI62" i="40"/>
  <c r="DH62" i="40"/>
  <c r="DG62" i="40"/>
  <c r="DF62" i="40"/>
  <c r="DE62" i="40"/>
  <c r="DD62" i="40"/>
  <c r="DC62" i="40"/>
  <c r="DB62" i="40"/>
  <c r="DA62" i="40"/>
  <c r="CZ62" i="40"/>
  <c r="CY62" i="40"/>
  <c r="CX62" i="40"/>
  <c r="CW62" i="40"/>
  <c r="CV62" i="40"/>
  <c r="CU62" i="40"/>
  <c r="CT62" i="40"/>
  <c r="CS62" i="40"/>
  <c r="CR62" i="40"/>
  <c r="CQ62" i="40"/>
  <c r="CP62" i="40"/>
  <c r="CO62" i="40"/>
  <c r="CN62" i="40"/>
  <c r="CM62" i="40"/>
  <c r="CL62" i="40"/>
  <c r="CK62" i="40"/>
  <c r="CJ62" i="40"/>
  <c r="CI62" i="40"/>
  <c r="CH62" i="40"/>
  <c r="CG62" i="40"/>
  <c r="CF62" i="40"/>
  <c r="CE62" i="40"/>
  <c r="CD62" i="40"/>
  <c r="CC62" i="40"/>
  <c r="CB62" i="40"/>
  <c r="CA62" i="40"/>
  <c r="BZ62" i="40"/>
  <c r="BY62" i="40"/>
  <c r="BX62" i="40"/>
  <c r="BW62" i="40"/>
  <c r="BV62" i="40"/>
  <c r="BU62" i="40"/>
  <c r="BT62" i="40"/>
  <c r="BS62" i="40"/>
  <c r="BR62" i="40"/>
  <c r="BQ62" i="40"/>
  <c r="BP62" i="40"/>
  <c r="BO62" i="40"/>
  <c r="BN62" i="40"/>
  <c r="BM62" i="40"/>
  <c r="BL62" i="40"/>
  <c r="BK62" i="40"/>
  <c r="BJ62" i="40"/>
  <c r="BI62" i="40"/>
  <c r="BH62" i="40"/>
  <c r="BG62" i="40"/>
  <c r="BF62" i="40"/>
  <c r="BE62" i="40"/>
  <c r="BD62" i="40"/>
  <c r="BC62" i="40"/>
  <c r="BB62" i="40"/>
  <c r="BA62" i="40"/>
  <c r="AZ62" i="40"/>
  <c r="AY62" i="40"/>
  <c r="AX62" i="40"/>
  <c r="AW62" i="40"/>
  <c r="AV62" i="40"/>
  <c r="AU62" i="40"/>
  <c r="AT62" i="40"/>
  <c r="AS62" i="40"/>
  <c r="AR62" i="40"/>
  <c r="AQ62" i="40"/>
  <c r="AP62" i="40"/>
  <c r="AO62" i="40"/>
  <c r="AN62" i="40"/>
  <c r="AM62" i="40"/>
  <c r="AL62" i="40"/>
  <c r="AK62" i="40"/>
  <c r="AJ62" i="40"/>
  <c r="AI62" i="40"/>
  <c r="AH62" i="40"/>
  <c r="AG62" i="40"/>
  <c r="AF62" i="40"/>
  <c r="AE62" i="40"/>
  <c r="AD62" i="40"/>
  <c r="AC62" i="40"/>
  <c r="AB62" i="40"/>
  <c r="AA62" i="40"/>
  <c r="DP51" i="40"/>
  <c r="DO51" i="40"/>
  <c r="DN51" i="40"/>
  <c r="DM51" i="40"/>
  <c r="DL51" i="40"/>
  <c r="DK51" i="40"/>
  <c r="DJ51" i="40"/>
  <c r="DI51" i="40"/>
  <c r="DH51" i="40"/>
  <c r="DG51" i="40"/>
  <c r="DF51" i="40"/>
  <c r="DE51" i="40"/>
  <c r="DD51" i="40"/>
  <c r="DC51" i="40"/>
  <c r="DB51" i="40"/>
  <c r="DA51" i="40"/>
  <c r="CZ51" i="40"/>
  <c r="CY51" i="40"/>
  <c r="CX51" i="40"/>
  <c r="CW51" i="40"/>
  <c r="CV51" i="40"/>
  <c r="CU51" i="40"/>
  <c r="CT51" i="40"/>
  <c r="CS51" i="40"/>
  <c r="CR51" i="40"/>
  <c r="CQ51" i="40"/>
  <c r="CP51" i="40"/>
  <c r="CO51" i="40"/>
  <c r="CN51" i="40"/>
  <c r="CM51" i="40"/>
  <c r="CL51" i="40"/>
  <c r="CK51" i="40"/>
  <c r="CJ51" i="40"/>
  <c r="CI51" i="40"/>
  <c r="CH51" i="40"/>
  <c r="CG51" i="40"/>
  <c r="CF51" i="40"/>
  <c r="CE51" i="40"/>
  <c r="CD51" i="40"/>
  <c r="CC51" i="40"/>
  <c r="CB51" i="40"/>
  <c r="CA51" i="40"/>
  <c r="BZ51" i="40"/>
  <c r="BY51" i="40"/>
  <c r="BX51" i="40"/>
  <c r="BW51" i="40"/>
  <c r="BV51" i="40"/>
  <c r="BU51" i="40"/>
  <c r="BT51" i="40"/>
  <c r="BS51" i="40"/>
  <c r="BR51" i="40"/>
  <c r="BQ51" i="40"/>
  <c r="BP51" i="40"/>
  <c r="BO51" i="40"/>
  <c r="BN51" i="40"/>
  <c r="BM51" i="40"/>
  <c r="BL51" i="40"/>
  <c r="BK51" i="40"/>
  <c r="BJ51" i="40"/>
  <c r="BI51" i="40"/>
  <c r="BH51" i="40"/>
  <c r="BG51" i="40"/>
  <c r="BF51" i="40"/>
  <c r="BE51" i="40"/>
  <c r="BD51" i="40"/>
  <c r="BC51" i="40"/>
  <c r="BB51" i="40"/>
  <c r="BA51" i="40"/>
  <c r="AZ51" i="40"/>
  <c r="AY51" i="40"/>
  <c r="AX51" i="40"/>
  <c r="AW51" i="40"/>
  <c r="AV51" i="40"/>
  <c r="AU51" i="40"/>
  <c r="AT51" i="40"/>
  <c r="AS51" i="40"/>
  <c r="AR51" i="40"/>
  <c r="AP51" i="40"/>
  <c r="AO51" i="40"/>
  <c r="AN51" i="40"/>
  <c r="AM51" i="40"/>
  <c r="AL51" i="40"/>
  <c r="AK51" i="40"/>
  <c r="AJ51" i="40"/>
  <c r="AI51" i="40"/>
  <c r="AH51" i="40"/>
  <c r="AG51" i="40"/>
  <c r="AF51" i="40"/>
  <c r="AE51" i="40"/>
  <c r="AD51" i="40"/>
  <c r="AC51" i="40"/>
  <c r="AB51" i="40"/>
  <c r="DP50" i="40"/>
  <c r="DO50" i="40"/>
  <c r="DN50" i="40"/>
  <c r="DM50" i="40"/>
  <c r="DL50" i="40"/>
  <c r="DK50" i="40"/>
  <c r="DJ50" i="40"/>
  <c r="DI50" i="40"/>
  <c r="DH50" i="40"/>
  <c r="DG50" i="40"/>
  <c r="DF50" i="40"/>
  <c r="DE50" i="40"/>
  <c r="DD50" i="40"/>
  <c r="DC50" i="40"/>
  <c r="DB50" i="40"/>
  <c r="DA50" i="40"/>
  <c r="CZ50" i="40"/>
  <c r="CY50" i="40"/>
  <c r="CX50" i="40"/>
  <c r="CW50" i="40"/>
  <c r="CV50" i="40"/>
  <c r="CU50" i="40"/>
  <c r="CT50" i="40"/>
  <c r="CS50" i="40"/>
  <c r="CR50" i="40"/>
  <c r="CQ50" i="40"/>
  <c r="CP50" i="40"/>
  <c r="CO50" i="40"/>
  <c r="CN50" i="40"/>
  <c r="CM50" i="40"/>
  <c r="CL50" i="40"/>
  <c r="CK50" i="40"/>
  <c r="CJ50" i="40"/>
  <c r="CI50" i="40"/>
  <c r="CH50" i="40"/>
  <c r="CG50" i="40"/>
  <c r="CF50" i="40"/>
  <c r="CE50" i="40"/>
  <c r="CD50" i="40"/>
  <c r="CC50" i="40"/>
  <c r="CB50" i="40"/>
  <c r="CA50" i="40"/>
  <c r="BZ50" i="40"/>
  <c r="BY50" i="40"/>
  <c r="BX50" i="40"/>
  <c r="BW50" i="40"/>
  <c r="BV50" i="40"/>
  <c r="BU50" i="40"/>
  <c r="BT50" i="40"/>
  <c r="BS50" i="40"/>
  <c r="BR50" i="40"/>
  <c r="BQ50" i="40"/>
  <c r="BP50" i="40"/>
  <c r="BO50" i="40"/>
  <c r="BN50" i="40"/>
  <c r="BM50" i="40"/>
  <c r="BL50" i="40"/>
  <c r="BK50" i="40"/>
  <c r="BJ50" i="40"/>
  <c r="BI50" i="40"/>
  <c r="BH50" i="40"/>
  <c r="BG50" i="40"/>
  <c r="BF50" i="40"/>
  <c r="BE50" i="40"/>
  <c r="BD50" i="40"/>
  <c r="BC50" i="40"/>
  <c r="BB50" i="40"/>
  <c r="BA50" i="40"/>
  <c r="AZ50" i="40"/>
  <c r="AY50" i="40"/>
  <c r="AX50" i="40"/>
  <c r="AW50" i="40"/>
  <c r="AV50" i="40"/>
  <c r="AU50" i="40"/>
  <c r="AT50" i="40"/>
  <c r="AS50" i="40"/>
  <c r="AR50" i="40"/>
  <c r="AQ50" i="40"/>
  <c r="AO50" i="40"/>
  <c r="AN50" i="40"/>
  <c r="AM50" i="40"/>
  <c r="AL50" i="40"/>
  <c r="AK50" i="40"/>
  <c r="AJ50" i="40"/>
  <c r="AI50" i="40"/>
  <c r="AH50" i="40"/>
  <c r="AG50" i="40"/>
  <c r="AF50" i="40"/>
  <c r="AE50" i="40"/>
  <c r="AD50" i="40"/>
  <c r="AC50" i="40"/>
  <c r="AB50" i="40"/>
  <c r="AA50" i="40"/>
  <c r="DP42" i="40"/>
  <c r="DO42" i="40"/>
  <c r="DN42" i="40"/>
  <c r="DM42" i="40"/>
  <c r="DL42" i="40"/>
  <c r="DK42" i="40"/>
  <c r="DJ42" i="40"/>
  <c r="DI42" i="40"/>
  <c r="DH42" i="40"/>
  <c r="DG42" i="40"/>
  <c r="DF42" i="40"/>
  <c r="DE42" i="40"/>
  <c r="DD42" i="40"/>
  <c r="DC42" i="40"/>
  <c r="DB42" i="40"/>
  <c r="DA42" i="40"/>
  <c r="CZ42" i="40"/>
  <c r="CY42" i="40"/>
  <c r="CX42" i="40"/>
  <c r="CW42" i="40"/>
  <c r="CV42" i="40"/>
  <c r="CU42" i="40"/>
  <c r="CT42" i="40"/>
  <c r="CS42" i="40"/>
  <c r="CR42" i="40"/>
  <c r="CQ42" i="40"/>
  <c r="CP42" i="40"/>
  <c r="CO42" i="40"/>
  <c r="CN42" i="40"/>
  <c r="CM42" i="40"/>
  <c r="CL42" i="40"/>
  <c r="CK42" i="40"/>
  <c r="CJ42" i="40"/>
  <c r="CI42" i="40"/>
  <c r="CH42" i="40"/>
  <c r="CG42" i="40"/>
  <c r="CF42" i="40"/>
  <c r="CE42" i="40"/>
  <c r="CD42" i="40"/>
  <c r="CC42" i="40"/>
  <c r="CB42" i="40"/>
  <c r="CA42" i="40"/>
  <c r="BZ42" i="40"/>
  <c r="BY42" i="40"/>
  <c r="BX42" i="40"/>
  <c r="BW42" i="40"/>
  <c r="BV42" i="40"/>
  <c r="BU42" i="40"/>
  <c r="BT42" i="40"/>
  <c r="BS42" i="40"/>
  <c r="BR42" i="40"/>
  <c r="BQ42" i="40"/>
  <c r="BP42" i="40"/>
  <c r="BO42" i="40"/>
  <c r="BN42" i="40"/>
  <c r="BM42" i="40"/>
  <c r="BL42" i="40"/>
  <c r="BK42" i="40"/>
  <c r="BJ42" i="40"/>
  <c r="BI42" i="40"/>
  <c r="BH42" i="40"/>
  <c r="BG42" i="40"/>
  <c r="BF42" i="40"/>
  <c r="BE42" i="40"/>
  <c r="BD42" i="40"/>
  <c r="BC42" i="40"/>
  <c r="BB42" i="40"/>
  <c r="BA42" i="40"/>
  <c r="AZ42" i="40"/>
  <c r="AY42" i="40"/>
  <c r="AX42" i="40"/>
  <c r="AW42" i="40"/>
  <c r="AV42" i="40"/>
  <c r="AU42" i="40"/>
  <c r="AT42" i="40"/>
  <c r="AS42" i="40"/>
  <c r="AR42" i="40"/>
  <c r="AQ42" i="40"/>
  <c r="AP42" i="40"/>
  <c r="AO42" i="40"/>
  <c r="AM42" i="40"/>
  <c r="AL42" i="40"/>
  <c r="AK42" i="40"/>
  <c r="AJ42" i="40"/>
  <c r="AI42" i="40"/>
  <c r="AH42" i="40"/>
  <c r="AG42" i="40"/>
  <c r="AF42" i="40"/>
  <c r="AE42" i="40"/>
  <c r="AD42" i="40"/>
  <c r="AC42" i="40"/>
  <c r="AB42" i="40"/>
  <c r="AA42" i="40"/>
  <c r="U595" i="40"/>
  <c r="T595" i="40"/>
  <c r="V595" i="40"/>
  <c r="M595" i="40"/>
  <c r="M600" i="40"/>
  <c r="O600" i="40"/>
  <c r="Q600" i="40"/>
  <c r="AF600" i="40" s="1"/>
  <c r="T600" i="40"/>
  <c r="U600" i="40"/>
  <c r="V600" i="40"/>
  <c r="W600" i="40"/>
  <c r="X600" i="40"/>
  <c r="AX600" i="40"/>
  <c r="DP594" i="40"/>
  <c r="DO594" i="40"/>
  <c r="DN594" i="40"/>
  <c r="DM594" i="40"/>
  <c r="DL594" i="40"/>
  <c r="DK594" i="40"/>
  <c r="DJ594" i="40"/>
  <c r="DI594" i="40"/>
  <c r="DH594" i="40"/>
  <c r="DG594" i="40"/>
  <c r="DF594" i="40"/>
  <c r="DE594" i="40"/>
  <c r="DD594" i="40"/>
  <c r="DC594" i="40"/>
  <c r="DB594" i="40"/>
  <c r="DA594" i="40"/>
  <c r="CZ594" i="40"/>
  <c r="CY594" i="40"/>
  <c r="CX594" i="40"/>
  <c r="CW594" i="40"/>
  <c r="CV594" i="40"/>
  <c r="CU594" i="40"/>
  <c r="CT594" i="40"/>
  <c r="CS594" i="40"/>
  <c r="CR594" i="40"/>
  <c r="CQ594" i="40"/>
  <c r="CP594" i="40"/>
  <c r="CO594" i="40"/>
  <c r="CN594" i="40"/>
  <c r="CM594" i="40"/>
  <c r="CL594" i="40"/>
  <c r="CK594" i="40"/>
  <c r="CJ594" i="40"/>
  <c r="CI594" i="40"/>
  <c r="CH594" i="40"/>
  <c r="CG594" i="40"/>
  <c r="CF594" i="40"/>
  <c r="CE594" i="40"/>
  <c r="CD594" i="40"/>
  <c r="CC594" i="40"/>
  <c r="CB594" i="40"/>
  <c r="CA594" i="40"/>
  <c r="BZ594" i="40"/>
  <c r="BY594" i="40"/>
  <c r="BX594" i="40"/>
  <c r="BW594" i="40"/>
  <c r="BV594" i="40"/>
  <c r="BU594" i="40"/>
  <c r="BT594" i="40"/>
  <c r="BS594" i="40"/>
  <c r="BR594" i="40"/>
  <c r="BQ594" i="40"/>
  <c r="BP594" i="40"/>
  <c r="BO594" i="40"/>
  <c r="BN594" i="40"/>
  <c r="BM594" i="40"/>
  <c r="BL594" i="40"/>
  <c r="BK594" i="40"/>
  <c r="BJ594" i="40"/>
  <c r="BI594" i="40"/>
  <c r="BH594" i="40"/>
  <c r="BG594" i="40"/>
  <c r="BF594" i="40"/>
  <c r="BE594" i="40"/>
  <c r="BD594" i="40"/>
  <c r="BC594" i="40"/>
  <c r="BB594" i="40"/>
  <c r="BA594" i="40"/>
  <c r="AZ594" i="40"/>
  <c r="AY594" i="40"/>
  <c r="AX594" i="40"/>
  <c r="AW594" i="40"/>
  <c r="AV594" i="40"/>
  <c r="AU594" i="40"/>
  <c r="AT594" i="40"/>
  <c r="AS594" i="40"/>
  <c r="AR594" i="40"/>
  <c r="AQ594" i="40"/>
  <c r="AP594" i="40"/>
  <c r="AN594" i="40"/>
  <c r="AL594" i="40"/>
  <c r="AK594" i="40"/>
  <c r="AJ594" i="40"/>
  <c r="AI594" i="40"/>
  <c r="AH594" i="40"/>
  <c r="AG594" i="40"/>
  <c r="AF594" i="40"/>
  <c r="AE594" i="40"/>
  <c r="AD594" i="40"/>
  <c r="AC594" i="40"/>
  <c r="AB594" i="40"/>
  <c r="AA594" i="40"/>
  <c r="U594" i="40"/>
  <c r="T594" i="40"/>
  <c r="Q594" i="40"/>
  <c r="V594" i="40"/>
  <c r="M594" i="40"/>
  <c r="AM594" i="40" s="1"/>
  <c r="U593" i="40"/>
  <c r="T593" i="40"/>
  <c r="Q593" i="40"/>
  <c r="V593" i="40"/>
  <c r="M593" i="40"/>
  <c r="AD771" i="40"/>
  <c r="AC771" i="40"/>
  <c r="AB771" i="40"/>
  <c r="AA771" i="40"/>
  <c r="AE771" i="40"/>
  <c r="DP771" i="40"/>
  <c r="DO771" i="40"/>
  <c r="DN771" i="40"/>
  <c r="DM771" i="40"/>
  <c r="DL771" i="40"/>
  <c r="DK771" i="40"/>
  <c r="DJ771" i="40"/>
  <c r="DI771" i="40"/>
  <c r="DH771" i="40"/>
  <c r="DG771" i="40"/>
  <c r="DF771" i="40"/>
  <c r="DE771" i="40"/>
  <c r="DD771" i="40"/>
  <c r="DC771" i="40"/>
  <c r="DB771" i="40"/>
  <c r="DA771" i="40"/>
  <c r="CZ771" i="40"/>
  <c r="CY771" i="40"/>
  <c r="CX771" i="40"/>
  <c r="CW771" i="40"/>
  <c r="CV771" i="40"/>
  <c r="CU771" i="40"/>
  <c r="CT771" i="40"/>
  <c r="CS771" i="40"/>
  <c r="CR771" i="40"/>
  <c r="CQ771" i="40"/>
  <c r="CP771" i="40"/>
  <c r="CO771" i="40"/>
  <c r="CN771" i="40"/>
  <c r="CM771" i="40"/>
  <c r="CL771" i="40"/>
  <c r="CK771" i="40"/>
  <c r="CJ771" i="40"/>
  <c r="CI771" i="40"/>
  <c r="CH771" i="40"/>
  <c r="CG771" i="40"/>
  <c r="CF771" i="40"/>
  <c r="CE771" i="40"/>
  <c r="CD771" i="40"/>
  <c r="CC771" i="40"/>
  <c r="CB771" i="40"/>
  <c r="CA771" i="40"/>
  <c r="BZ771" i="40"/>
  <c r="BY771" i="40"/>
  <c r="BX771" i="40"/>
  <c r="BW771" i="40"/>
  <c r="BV771" i="40"/>
  <c r="BU771" i="40"/>
  <c r="BT771" i="40"/>
  <c r="BS771" i="40"/>
  <c r="BR771" i="40"/>
  <c r="BQ771" i="40"/>
  <c r="BP771" i="40"/>
  <c r="BO771" i="40"/>
  <c r="BN771" i="40"/>
  <c r="BM771" i="40"/>
  <c r="BL771" i="40"/>
  <c r="BK771" i="40"/>
  <c r="BJ771" i="40"/>
  <c r="BI771" i="40"/>
  <c r="BH771" i="40"/>
  <c r="BG771" i="40"/>
  <c r="BF771" i="40"/>
  <c r="BE771" i="40"/>
  <c r="BD771" i="40"/>
  <c r="BC771" i="40"/>
  <c r="BB771" i="40"/>
  <c r="BA771" i="40"/>
  <c r="AZ771" i="40"/>
  <c r="AY771" i="40"/>
  <c r="AX771" i="40"/>
  <c r="AW771" i="40"/>
  <c r="AV771" i="40"/>
  <c r="AU771" i="40"/>
  <c r="AT771" i="40"/>
  <c r="AS771" i="40"/>
  <c r="AR771" i="40"/>
  <c r="AQ771" i="40"/>
  <c r="AP771" i="40"/>
  <c r="AO771" i="40"/>
  <c r="AN771" i="40"/>
  <c r="AM771" i="40"/>
  <c r="AL771" i="40"/>
  <c r="AK771" i="40"/>
  <c r="AJ771" i="40"/>
  <c r="AI771" i="40"/>
  <c r="AH771" i="40"/>
  <c r="AG771" i="40"/>
  <c r="AF771" i="40"/>
  <c r="Q59" i="40" l="1"/>
  <c r="U59" i="40"/>
  <c r="X61" i="40"/>
  <c r="W60" i="40"/>
  <c r="W61" i="40"/>
  <c r="X60" i="40"/>
  <c r="X58" i="40"/>
  <c r="W59" i="40"/>
  <c r="W58" i="40"/>
  <c r="X59" i="40"/>
  <c r="W57" i="40"/>
  <c r="X57" i="40"/>
  <c r="AG53" i="40"/>
  <c r="AK55" i="40"/>
  <c r="AH54" i="40"/>
  <c r="AB52" i="40"/>
  <c r="W55" i="40"/>
  <c r="X55" i="40"/>
  <c r="W54" i="40"/>
  <c r="X53" i="40"/>
  <c r="W53" i="40"/>
  <c r="X54" i="40"/>
  <c r="W52" i="40"/>
  <c r="X52" i="40"/>
  <c r="AO594" i="40"/>
  <c r="X598" i="40"/>
  <c r="W596" i="40"/>
  <c r="W597" i="40"/>
  <c r="X597" i="40"/>
  <c r="W598" i="40"/>
  <c r="O599" i="40"/>
  <c r="O597" i="40"/>
  <c r="O598" i="40"/>
  <c r="W599" i="40"/>
  <c r="X599" i="40"/>
  <c r="X596" i="40"/>
  <c r="O596" i="40"/>
  <c r="W595" i="40"/>
  <c r="X595" i="40"/>
  <c r="O595" i="40"/>
  <c r="X594" i="40"/>
  <c r="W593" i="40"/>
  <c r="W594" i="40"/>
  <c r="X593" i="40"/>
  <c r="O593" i="40"/>
  <c r="O594" i="40"/>
  <c r="P2238" i="40" l="1"/>
  <c r="Q2238" i="40" s="1"/>
  <c r="O2238" i="40"/>
  <c r="M2238" i="40"/>
  <c r="U2237" i="40"/>
  <c r="T2237" i="40"/>
  <c r="Q2237" i="40"/>
  <c r="O2237" i="40"/>
  <c r="M2237" i="40"/>
  <c r="V2247" i="40"/>
  <c r="P2137" i="40"/>
  <c r="Q2137" i="40" s="1"/>
  <c r="O2137" i="40"/>
  <c r="M2137" i="40"/>
  <c r="X2136" i="40"/>
  <c r="W2136" i="40"/>
  <c r="U2136" i="40"/>
  <c r="T2136" i="40"/>
  <c r="Q2136" i="40"/>
  <c r="R2137" i="40"/>
  <c r="M2136" i="40"/>
  <c r="M2160" i="40"/>
  <c r="O2160" i="40"/>
  <c r="Q2160" i="40"/>
  <c r="T2160" i="40"/>
  <c r="U2160" i="40"/>
  <c r="V2160" i="40"/>
  <c r="W2160" i="40"/>
  <c r="X2160" i="40"/>
  <c r="M2161" i="40"/>
  <c r="O2161" i="40"/>
  <c r="Q2161" i="40"/>
  <c r="T2161" i="40"/>
  <c r="U2161" i="40"/>
  <c r="V2161" i="40"/>
  <c r="W2161" i="40"/>
  <c r="X2161" i="40"/>
  <c r="M2128" i="40"/>
  <c r="O2128" i="40"/>
  <c r="Q2128" i="40"/>
  <c r="T2128" i="40"/>
  <c r="U2128" i="40"/>
  <c r="W2128" i="40"/>
  <c r="X2128" i="40"/>
  <c r="M2129" i="40"/>
  <c r="O2129" i="40"/>
  <c r="P2129" i="40"/>
  <c r="Q2129" i="40" s="1"/>
  <c r="M2130" i="40"/>
  <c r="V2130" i="40"/>
  <c r="T2130" i="40"/>
  <c r="U2130" i="40"/>
  <c r="W2130" i="40"/>
  <c r="X2130" i="40"/>
  <c r="M2131" i="40"/>
  <c r="O2131" i="40"/>
  <c r="P2131" i="40"/>
  <c r="Q2131" i="40" s="1"/>
  <c r="M2132" i="40"/>
  <c r="O2132" i="40"/>
  <c r="Q2132" i="40"/>
  <c r="T2132" i="40"/>
  <c r="U2132" i="40"/>
  <c r="W2132" i="40"/>
  <c r="X2132" i="40"/>
  <c r="M2133" i="40"/>
  <c r="O2133" i="40"/>
  <c r="P2133" i="40"/>
  <c r="Q2133" i="40" s="1"/>
  <c r="M2134" i="40"/>
  <c r="O2134" i="40"/>
  <c r="Q2134" i="40"/>
  <c r="T2134" i="40"/>
  <c r="U2134" i="40"/>
  <c r="W2134" i="40"/>
  <c r="X2134" i="40"/>
  <c r="P2135" i="40"/>
  <c r="Q2135" i="40" s="1"/>
  <c r="O2135" i="40"/>
  <c r="M2135" i="40"/>
  <c r="V1903" i="40"/>
  <c r="P1848" i="40"/>
  <c r="Q1848" i="40" s="1"/>
  <c r="O1848" i="40"/>
  <c r="M1848" i="40"/>
  <c r="X1847" i="40"/>
  <c r="W1847" i="40"/>
  <c r="U1847" i="40"/>
  <c r="T1847" i="40"/>
  <c r="Q1847" i="40"/>
  <c r="R1848" i="40"/>
  <c r="M1847" i="40"/>
  <c r="P1846" i="40"/>
  <c r="Q1846" i="40" s="1"/>
  <c r="O1846" i="40"/>
  <c r="M1846" i="40"/>
  <c r="X1845" i="40"/>
  <c r="W1845" i="40"/>
  <c r="U1845" i="40"/>
  <c r="T1845" i="40"/>
  <c r="Q1845" i="40"/>
  <c r="R1846" i="40"/>
  <c r="M1845" i="40"/>
  <c r="P1844" i="40"/>
  <c r="Q1844" i="40" s="1"/>
  <c r="O1844" i="40"/>
  <c r="M1844" i="40"/>
  <c r="X1843" i="40"/>
  <c r="W1843" i="40"/>
  <c r="U1843" i="40"/>
  <c r="T1843" i="40"/>
  <c r="Q1843" i="40"/>
  <c r="V1843" i="40"/>
  <c r="M1843" i="40"/>
  <c r="P1842" i="40"/>
  <c r="Q1842" i="40" s="1"/>
  <c r="O1842" i="40"/>
  <c r="M1842" i="40"/>
  <c r="P1840" i="40"/>
  <c r="Q1840" i="40" s="1"/>
  <c r="O1840" i="40"/>
  <c r="M1840" i="40"/>
  <c r="P1838" i="40"/>
  <c r="Q1838" i="40" s="1"/>
  <c r="O1838" i="40"/>
  <c r="M1838" i="40"/>
  <c r="P1836" i="40"/>
  <c r="Q1836" i="40" s="1"/>
  <c r="O1836" i="40"/>
  <c r="M1836" i="40"/>
  <c r="P1834" i="40"/>
  <c r="Q1834" i="40" s="1"/>
  <c r="O1834" i="40"/>
  <c r="M1834" i="40"/>
  <c r="P1832" i="40"/>
  <c r="Q1832" i="40" s="1"/>
  <c r="O1832" i="40"/>
  <c r="M1832" i="40"/>
  <c r="X1841" i="40"/>
  <c r="W1841" i="40"/>
  <c r="U1841" i="40"/>
  <c r="T1841" i="40"/>
  <c r="Q1841" i="40"/>
  <c r="V1841" i="40"/>
  <c r="M1841" i="40"/>
  <c r="X1839" i="40"/>
  <c r="W1839" i="40"/>
  <c r="U1839" i="40"/>
  <c r="T1839" i="40"/>
  <c r="Q1839" i="40"/>
  <c r="V1839" i="40"/>
  <c r="M1839" i="40"/>
  <c r="X1837" i="40"/>
  <c r="W1837" i="40"/>
  <c r="U1837" i="40"/>
  <c r="T1837" i="40"/>
  <c r="Q1837" i="40"/>
  <c r="V1837" i="40"/>
  <c r="M1837" i="40"/>
  <c r="X1835" i="40"/>
  <c r="W1835" i="40"/>
  <c r="U1835" i="40"/>
  <c r="T1835" i="40"/>
  <c r="Q1835" i="40"/>
  <c r="V1835" i="40"/>
  <c r="M1835" i="40"/>
  <c r="X1833" i="40"/>
  <c r="W1833" i="40"/>
  <c r="U1833" i="40"/>
  <c r="T1833" i="40"/>
  <c r="Q1833" i="40"/>
  <c r="V1833" i="40"/>
  <c r="M1833" i="40"/>
  <c r="X1831" i="40"/>
  <c r="W1831" i="40"/>
  <c r="U1831" i="40"/>
  <c r="T1831" i="40"/>
  <c r="Q1831" i="40"/>
  <c r="O1831" i="40"/>
  <c r="M1831" i="40"/>
  <c r="S1805" i="40"/>
  <c r="R1805" i="40"/>
  <c r="P1805" i="40"/>
  <c r="Q1805" i="40" s="1"/>
  <c r="O1805" i="40"/>
  <c r="M1805" i="40"/>
  <c r="P1611" i="40"/>
  <c r="U1611" i="40" s="1"/>
  <c r="P1613" i="40"/>
  <c r="U1613" i="40" s="1"/>
  <c r="P1629" i="40"/>
  <c r="Q1629" i="40" s="1"/>
  <c r="O1629" i="40"/>
  <c r="M1629" i="40"/>
  <c r="X1628" i="40"/>
  <c r="W1628" i="40"/>
  <c r="U1628" i="40"/>
  <c r="T1628" i="40"/>
  <c r="Q1628" i="40"/>
  <c r="R1629" i="40"/>
  <c r="M1628" i="40"/>
  <c r="P1627" i="40"/>
  <c r="U1627" i="40" s="1"/>
  <c r="M1627" i="40"/>
  <c r="X1626" i="40"/>
  <c r="W1626" i="40"/>
  <c r="U1626" i="40"/>
  <c r="T1626" i="40"/>
  <c r="Q1626" i="40"/>
  <c r="V1626" i="40"/>
  <c r="M1626" i="40"/>
  <c r="P1625" i="40"/>
  <c r="Q1625" i="40" s="1"/>
  <c r="O1625" i="40"/>
  <c r="M1625" i="40"/>
  <c r="X1624" i="40"/>
  <c r="W1624" i="40"/>
  <c r="U1624" i="40"/>
  <c r="T1624" i="40"/>
  <c r="Q1624" i="40"/>
  <c r="R1625" i="40"/>
  <c r="M1624" i="40"/>
  <c r="P1623" i="40"/>
  <c r="O1623" i="40"/>
  <c r="M1623" i="40"/>
  <c r="X1622" i="40"/>
  <c r="W1622" i="40"/>
  <c r="U1622" i="40"/>
  <c r="T1622" i="40"/>
  <c r="Q1622" i="40"/>
  <c r="O1622" i="40"/>
  <c r="M1622" i="40"/>
  <c r="P1621" i="40"/>
  <c r="U1621" i="40" s="1"/>
  <c r="O1621" i="40"/>
  <c r="M1621" i="40"/>
  <c r="X1620" i="40"/>
  <c r="W1620" i="40"/>
  <c r="U1620" i="40"/>
  <c r="T1620" i="40"/>
  <c r="Q1620" i="40"/>
  <c r="R1621" i="40"/>
  <c r="M1620" i="40"/>
  <c r="P1619" i="40"/>
  <c r="Q1619" i="40" s="1"/>
  <c r="O1619" i="40"/>
  <c r="M1619" i="40"/>
  <c r="X1618" i="40"/>
  <c r="W1618" i="40"/>
  <c r="U1618" i="40"/>
  <c r="T1618" i="40"/>
  <c r="Q1618" i="40"/>
  <c r="O1618" i="40"/>
  <c r="M1618" i="40"/>
  <c r="P1617" i="40"/>
  <c r="Q1617" i="40" s="1"/>
  <c r="O1617" i="40"/>
  <c r="M1617" i="40"/>
  <c r="X1616" i="40"/>
  <c r="W1616" i="40"/>
  <c r="U1616" i="40"/>
  <c r="T1616" i="40"/>
  <c r="Q1616" i="40"/>
  <c r="O1616" i="40"/>
  <c r="M1616" i="40"/>
  <c r="P1615" i="40"/>
  <c r="Q1615" i="40" s="1"/>
  <c r="O1615" i="40"/>
  <c r="M1615" i="40"/>
  <c r="X1614" i="40"/>
  <c r="W1614" i="40"/>
  <c r="U1614" i="40"/>
  <c r="T1614" i="40"/>
  <c r="Q1614" i="40"/>
  <c r="R1615" i="40"/>
  <c r="M1614" i="40"/>
  <c r="O1613" i="40"/>
  <c r="M1613" i="40"/>
  <c r="X1612" i="40"/>
  <c r="W1612" i="40"/>
  <c r="U1612" i="40"/>
  <c r="T1612" i="40"/>
  <c r="Q1612" i="40"/>
  <c r="R1613" i="40"/>
  <c r="M1612" i="40"/>
  <c r="O1611" i="40"/>
  <c r="M1611" i="40"/>
  <c r="X1610" i="40"/>
  <c r="W1610" i="40"/>
  <c r="U1610" i="40"/>
  <c r="T1610" i="40"/>
  <c r="Q1610" i="40"/>
  <c r="R1611" i="40"/>
  <c r="M1610" i="40"/>
  <c r="X1567" i="40"/>
  <c r="W1567" i="40"/>
  <c r="U1567" i="40"/>
  <c r="T1567" i="40"/>
  <c r="Q1567" i="40"/>
  <c r="V1567" i="40"/>
  <c r="M1567" i="40"/>
  <c r="X1565" i="40"/>
  <c r="W1565" i="40"/>
  <c r="U1565" i="40"/>
  <c r="T1565" i="40"/>
  <c r="Q1565" i="40"/>
  <c r="V1565" i="40"/>
  <c r="M1565" i="40"/>
  <c r="X1562" i="40"/>
  <c r="W1562" i="40"/>
  <c r="U1562" i="40"/>
  <c r="T1562" i="40"/>
  <c r="Q1562" i="40"/>
  <c r="V1562" i="40"/>
  <c r="M1562" i="40"/>
  <c r="P1609" i="40"/>
  <c r="O1609" i="40"/>
  <c r="M1609" i="40"/>
  <c r="P1607" i="40"/>
  <c r="O1607" i="40"/>
  <c r="M1607" i="40"/>
  <c r="P1605" i="40"/>
  <c r="Q1605" i="40" s="1"/>
  <c r="O1605" i="40"/>
  <c r="M1605" i="40"/>
  <c r="P1603" i="40"/>
  <c r="Q1603" i="40" s="1"/>
  <c r="O1603" i="40"/>
  <c r="M1603" i="40"/>
  <c r="P1601" i="40"/>
  <c r="Q1601" i="40" s="1"/>
  <c r="O1601" i="40"/>
  <c r="M1601" i="40"/>
  <c r="P1599" i="40"/>
  <c r="Q1599" i="40" s="1"/>
  <c r="O1599" i="40"/>
  <c r="M1599" i="40"/>
  <c r="P1597" i="40"/>
  <c r="Q1597" i="40" s="1"/>
  <c r="O1597" i="40"/>
  <c r="M1597" i="40"/>
  <c r="P1595" i="40"/>
  <c r="Q1595" i="40" s="1"/>
  <c r="O1595" i="40"/>
  <c r="M1595" i="40"/>
  <c r="P1593" i="40"/>
  <c r="Q1593" i="40" s="1"/>
  <c r="O1593" i="40"/>
  <c r="M1593" i="40"/>
  <c r="P1591" i="40"/>
  <c r="Q1591" i="40" s="1"/>
  <c r="O1591" i="40"/>
  <c r="M1591" i="40"/>
  <c r="P1589" i="40"/>
  <c r="Q1589" i="40" s="1"/>
  <c r="O1589" i="40"/>
  <c r="M1589" i="40"/>
  <c r="P1587" i="40"/>
  <c r="O1587" i="40"/>
  <c r="M1587" i="40"/>
  <c r="P1585" i="40"/>
  <c r="Q1585" i="40" s="1"/>
  <c r="O1585" i="40"/>
  <c r="M1585" i="40"/>
  <c r="P1583" i="40"/>
  <c r="O1583" i="40"/>
  <c r="M1583" i="40"/>
  <c r="M1584" i="40"/>
  <c r="O1584" i="40"/>
  <c r="Q1584" i="40"/>
  <c r="T1584" i="40"/>
  <c r="U1584" i="40"/>
  <c r="W1584" i="40"/>
  <c r="X1584" i="40"/>
  <c r="X1608" i="40"/>
  <c r="W1608" i="40"/>
  <c r="U1608" i="40"/>
  <c r="T1608" i="40"/>
  <c r="Q1608" i="40"/>
  <c r="V1608" i="40"/>
  <c r="M1608" i="40"/>
  <c r="X1606" i="40"/>
  <c r="W1606" i="40"/>
  <c r="U1606" i="40"/>
  <c r="T1606" i="40"/>
  <c r="Q1606" i="40"/>
  <c r="V1606" i="40"/>
  <c r="M1606" i="40"/>
  <c r="X1604" i="40"/>
  <c r="W1604" i="40"/>
  <c r="U1604" i="40"/>
  <c r="T1604" i="40"/>
  <c r="Q1604" i="40"/>
  <c r="V1604" i="40"/>
  <c r="M1604" i="40"/>
  <c r="X1602" i="40"/>
  <c r="W1602" i="40"/>
  <c r="U1602" i="40"/>
  <c r="T1602" i="40"/>
  <c r="Q1602" i="40"/>
  <c r="V1602" i="40"/>
  <c r="M1602" i="40"/>
  <c r="X1600" i="40"/>
  <c r="W1600" i="40"/>
  <c r="U1600" i="40"/>
  <c r="T1600" i="40"/>
  <c r="Q1600" i="40"/>
  <c r="V1600" i="40"/>
  <c r="M1600" i="40"/>
  <c r="X1598" i="40"/>
  <c r="W1598" i="40"/>
  <c r="U1598" i="40"/>
  <c r="T1598" i="40"/>
  <c r="Q1598" i="40"/>
  <c r="V1598" i="40"/>
  <c r="M1598" i="40"/>
  <c r="X1596" i="40"/>
  <c r="W1596" i="40"/>
  <c r="U1596" i="40"/>
  <c r="T1596" i="40"/>
  <c r="Q1596" i="40"/>
  <c r="V1596" i="40"/>
  <c r="M1596" i="40"/>
  <c r="X1594" i="40"/>
  <c r="W1594" i="40"/>
  <c r="U1594" i="40"/>
  <c r="T1594" i="40"/>
  <c r="Q1594" i="40"/>
  <c r="V1594" i="40"/>
  <c r="M1594" i="40"/>
  <c r="X1592" i="40"/>
  <c r="W1592" i="40"/>
  <c r="U1592" i="40"/>
  <c r="T1592" i="40"/>
  <c r="Q1592" i="40"/>
  <c r="V1592" i="40"/>
  <c r="M1592" i="40"/>
  <c r="X1590" i="40"/>
  <c r="W1590" i="40"/>
  <c r="U1590" i="40"/>
  <c r="T1590" i="40"/>
  <c r="Q1590" i="40"/>
  <c r="V1590" i="40"/>
  <c r="M1590" i="40"/>
  <c r="X1588" i="40"/>
  <c r="W1588" i="40"/>
  <c r="U1588" i="40"/>
  <c r="T1588" i="40"/>
  <c r="Q1588" i="40"/>
  <c r="V1588" i="40"/>
  <c r="M1588" i="40"/>
  <c r="X1586" i="40"/>
  <c r="W1586" i="40"/>
  <c r="U1586" i="40"/>
  <c r="T1586" i="40"/>
  <c r="Q1586" i="40"/>
  <c r="O1586" i="40"/>
  <c r="M1586" i="40"/>
  <c r="X1582" i="40"/>
  <c r="W1582" i="40"/>
  <c r="U1582" i="40"/>
  <c r="T1582" i="40"/>
  <c r="Q1582" i="40"/>
  <c r="V1582" i="40"/>
  <c r="M1582" i="40"/>
  <c r="J1740" i="40"/>
  <c r="X1740" i="40" s="1"/>
  <c r="J1739" i="40"/>
  <c r="U1740" i="40"/>
  <c r="T1740" i="40"/>
  <c r="Q1740" i="40"/>
  <c r="P1752" i="40"/>
  <c r="K1752" i="40"/>
  <c r="P1750" i="40"/>
  <c r="K1750" i="40"/>
  <c r="P1748" i="40"/>
  <c r="K1748" i="40"/>
  <c r="P1746" i="40"/>
  <c r="K1746" i="40"/>
  <c r="U1751" i="40"/>
  <c r="T1751" i="40"/>
  <c r="Q1751" i="40"/>
  <c r="R1752" i="40"/>
  <c r="J1751" i="40"/>
  <c r="X1751" i="40" s="1"/>
  <c r="U1749" i="40"/>
  <c r="T1749" i="40"/>
  <c r="Q1749" i="40"/>
  <c r="R1750" i="40"/>
  <c r="J1749" i="40"/>
  <c r="J1750" i="40" s="1"/>
  <c r="U1747" i="40"/>
  <c r="T1747" i="40"/>
  <c r="Q1747" i="40"/>
  <c r="R1748" i="40"/>
  <c r="J1747" i="40"/>
  <c r="J1748" i="40" s="1"/>
  <c r="U1745" i="40"/>
  <c r="T1745" i="40"/>
  <c r="Q1745" i="40"/>
  <c r="R1746" i="40"/>
  <c r="J1745" i="40"/>
  <c r="J1746" i="40" s="1"/>
  <c r="V1447" i="40"/>
  <c r="V2237" i="40" l="1"/>
  <c r="R2238" i="40"/>
  <c r="X2238" i="40" s="1"/>
  <c r="W2237" i="40"/>
  <c r="X2237" i="40"/>
  <c r="T2238" i="40"/>
  <c r="U2238" i="40"/>
  <c r="O2136" i="40"/>
  <c r="V2136" i="40"/>
  <c r="X2137" i="40"/>
  <c r="T2137" i="40"/>
  <c r="U2137" i="40"/>
  <c r="V2137" i="40"/>
  <c r="W2137" i="40"/>
  <c r="V2128" i="40"/>
  <c r="V2134" i="40"/>
  <c r="R2133" i="40"/>
  <c r="X2133" i="40" s="1"/>
  <c r="R2129" i="40"/>
  <c r="V2129" i="40" s="1"/>
  <c r="T2133" i="40"/>
  <c r="T2129" i="40"/>
  <c r="U2131" i="40"/>
  <c r="T2131" i="40"/>
  <c r="V2132" i="40"/>
  <c r="O2130" i="40"/>
  <c r="U2133" i="40"/>
  <c r="R2131" i="40"/>
  <c r="U2129" i="40"/>
  <c r="R2135" i="40"/>
  <c r="X2135" i="40" s="1"/>
  <c r="T2135" i="40"/>
  <c r="U2135" i="40"/>
  <c r="O1845" i="40"/>
  <c r="O1847" i="40"/>
  <c r="X1848" i="40"/>
  <c r="V1847" i="40"/>
  <c r="T1848" i="40"/>
  <c r="U1848" i="40"/>
  <c r="V1848" i="40"/>
  <c r="W1848" i="40"/>
  <c r="X1846" i="40"/>
  <c r="V1845" i="40"/>
  <c r="T1846" i="40"/>
  <c r="U1846" i="40"/>
  <c r="V1846" i="40"/>
  <c r="W1846" i="40"/>
  <c r="R1844" i="40"/>
  <c r="X1844" i="40" s="1"/>
  <c r="T1844" i="40"/>
  <c r="U1844" i="40"/>
  <c r="O1843" i="40"/>
  <c r="T1838" i="40"/>
  <c r="R1842" i="40"/>
  <c r="X1842" i="40" s="1"/>
  <c r="T1842" i="40"/>
  <c r="U1842" i="40"/>
  <c r="R1840" i="40"/>
  <c r="X1840" i="40" s="1"/>
  <c r="T1840" i="40"/>
  <c r="U1840" i="40"/>
  <c r="R1838" i="40"/>
  <c r="V1838" i="40" s="1"/>
  <c r="U1838" i="40"/>
  <c r="R1836" i="40"/>
  <c r="X1836" i="40" s="1"/>
  <c r="T1836" i="40"/>
  <c r="U1836" i="40"/>
  <c r="R1834" i="40"/>
  <c r="X1834" i="40" s="1"/>
  <c r="T1834" i="40"/>
  <c r="U1834" i="40"/>
  <c r="O1837" i="40"/>
  <c r="R1832" i="40"/>
  <c r="X1832" i="40" s="1"/>
  <c r="T1832" i="40"/>
  <c r="U1832" i="40"/>
  <c r="O1833" i="40"/>
  <c r="O1835" i="40"/>
  <c r="O1839" i="40"/>
  <c r="V1831" i="40"/>
  <c r="O1841" i="40"/>
  <c r="X1805" i="40"/>
  <c r="T1805" i="40"/>
  <c r="U1805" i="40"/>
  <c r="V1805" i="40"/>
  <c r="W1805" i="40"/>
  <c r="Q1613" i="40"/>
  <c r="T1619" i="40"/>
  <c r="T1617" i="40"/>
  <c r="V1613" i="40"/>
  <c r="V1611" i="40"/>
  <c r="T1615" i="40"/>
  <c r="R1627" i="40"/>
  <c r="W1627" i="40" s="1"/>
  <c r="O1626" i="40"/>
  <c r="V1615" i="40"/>
  <c r="V1622" i="40"/>
  <c r="O1612" i="40"/>
  <c r="R1619" i="40"/>
  <c r="W1619" i="40" s="1"/>
  <c r="U1625" i="40"/>
  <c r="V1618" i="40"/>
  <c r="O1614" i="40"/>
  <c r="V1610" i="40"/>
  <c r="O1628" i="40"/>
  <c r="O1610" i="40"/>
  <c r="W1621" i="40"/>
  <c r="R1623" i="40"/>
  <c r="W1623" i="40" s="1"/>
  <c r="T1621" i="40"/>
  <c r="X1615" i="40"/>
  <c r="X1629" i="40"/>
  <c r="X1613" i="40"/>
  <c r="W1611" i="40"/>
  <c r="V1612" i="40"/>
  <c r="U1615" i="40"/>
  <c r="O1620" i="40"/>
  <c r="V1621" i="40"/>
  <c r="Q1623" i="40"/>
  <c r="T1625" i="40"/>
  <c r="O1627" i="40"/>
  <c r="V1628" i="40"/>
  <c r="Q1611" i="40"/>
  <c r="T1613" i="40"/>
  <c r="W1615" i="40"/>
  <c r="V1616" i="40"/>
  <c r="R1617" i="40"/>
  <c r="W1617" i="40" s="1"/>
  <c r="U1619" i="40"/>
  <c r="X1621" i="40"/>
  <c r="O1624" i="40"/>
  <c r="V1625" i="40"/>
  <c r="Q1627" i="40"/>
  <c r="T1629" i="40"/>
  <c r="X1611" i="40"/>
  <c r="Q1621" i="40"/>
  <c r="T1623" i="40"/>
  <c r="W1625" i="40"/>
  <c r="U1629" i="40"/>
  <c r="V1620" i="40"/>
  <c r="U1623" i="40"/>
  <c r="X1625" i="40"/>
  <c r="V1629" i="40"/>
  <c r="T1611" i="40"/>
  <c r="W1613" i="40"/>
  <c r="V1614" i="40"/>
  <c r="U1617" i="40"/>
  <c r="T1627" i="40"/>
  <c r="W1629" i="40"/>
  <c r="V1624" i="40"/>
  <c r="O1562" i="40"/>
  <c r="O1565" i="40"/>
  <c r="O1567" i="40"/>
  <c r="T1609" i="40"/>
  <c r="Q1609" i="40"/>
  <c r="R1609" i="40"/>
  <c r="X1609" i="40" s="1"/>
  <c r="U1609" i="40"/>
  <c r="T1607" i="40"/>
  <c r="T1605" i="40"/>
  <c r="Q1607" i="40"/>
  <c r="R1607" i="40"/>
  <c r="X1607" i="40" s="1"/>
  <c r="U1607" i="40"/>
  <c r="R1605" i="40"/>
  <c r="X1605" i="40" s="1"/>
  <c r="U1605" i="40"/>
  <c r="R1603" i="40"/>
  <c r="X1603" i="40" s="1"/>
  <c r="T1603" i="40"/>
  <c r="U1603" i="40"/>
  <c r="R1601" i="40"/>
  <c r="X1601" i="40" s="1"/>
  <c r="T1601" i="40"/>
  <c r="U1601" i="40"/>
  <c r="R1599" i="40"/>
  <c r="X1599" i="40" s="1"/>
  <c r="T1599" i="40"/>
  <c r="U1599" i="40"/>
  <c r="R1597" i="40"/>
  <c r="X1597" i="40" s="1"/>
  <c r="T1597" i="40"/>
  <c r="U1597" i="40"/>
  <c r="R1595" i="40"/>
  <c r="X1595" i="40" s="1"/>
  <c r="T1595" i="40"/>
  <c r="U1595" i="40"/>
  <c r="R1593" i="40"/>
  <c r="T1593" i="40"/>
  <c r="U1593" i="40"/>
  <c r="R1591" i="40"/>
  <c r="X1591" i="40" s="1"/>
  <c r="T1591" i="40"/>
  <c r="U1591" i="40"/>
  <c r="R1589" i="40"/>
  <c r="X1589" i="40" s="1"/>
  <c r="T1587" i="40"/>
  <c r="T1589" i="40"/>
  <c r="U1589" i="40"/>
  <c r="Q1587" i="40"/>
  <c r="R1587" i="40"/>
  <c r="X1587" i="40" s="1"/>
  <c r="U1587" i="40"/>
  <c r="R1585" i="40"/>
  <c r="X1585" i="40" s="1"/>
  <c r="T1585" i="40"/>
  <c r="U1585" i="40"/>
  <c r="Q1583" i="40"/>
  <c r="R1583" i="40"/>
  <c r="X1583" i="40" s="1"/>
  <c r="T1583" i="40"/>
  <c r="U1583" i="40"/>
  <c r="Q1748" i="40"/>
  <c r="V1584" i="40"/>
  <c r="V1740" i="40"/>
  <c r="O1600" i="40"/>
  <c r="O1602" i="40"/>
  <c r="O1594" i="40"/>
  <c r="O1598" i="40"/>
  <c r="O1588" i="40"/>
  <c r="O1590" i="40"/>
  <c r="O1582" i="40"/>
  <c r="O1604" i="40"/>
  <c r="O1606" i="40"/>
  <c r="V1586" i="40"/>
  <c r="O1592" i="40"/>
  <c r="O1608" i="40"/>
  <c r="O1596" i="40"/>
  <c r="M1740" i="40"/>
  <c r="W1740" i="40"/>
  <c r="O1740" i="40"/>
  <c r="O1746" i="40"/>
  <c r="Q1750" i="40"/>
  <c r="Q1752" i="40"/>
  <c r="J1752" i="40"/>
  <c r="V1752" i="40" s="1"/>
  <c r="T1752" i="40"/>
  <c r="U1752" i="40"/>
  <c r="O1750" i="40"/>
  <c r="X1750" i="40"/>
  <c r="T1750" i="40"/>
  <c r="M1750" i="40"/>
  <c r="U1750" i="40"/>
  <c r="V1750" i="40"/>
  <c r="W1750" i="40"/>
  <c r="O1748" i="40"/>
  <c r="M1748" i="40"/>
  <c r="X1748" i="40"/>
  <c r="T1748" i="40"/>
  <c r="U1748" i="40"/>
  <c r="V1748" i="40"/>
  <c r="Q1746" i="40"/>
  <c r="W1748" i="40"/>
  <c r="X1746" i="40"/>
  <c r="T1746" i="40"/>
  <c r="M1746" i="40"/>
  <c r="U1746" i="40"/>
  <c r="V1746" i="40"/>
  <c r="W1746" i="40"/>
  <c r="O1747" i="40"/>
  <c r="V1745" i="40"/>
  <c r="O1749" i="40"/>
  <c r="W1745" i="40"/>
  <c r="M1745" i="40"/>
  <c r="X1745" i="40"/>
  <c r="V1747" i="40"/>
  <c r="O1751" i="40"/>
  <c r="W1747" i="40"/>
  <c r="O1745" i="40"/>
  <c r="M1747" i="40"/>
  <c r="X1747" i="40"/>
  <c r="V1749" i="40"/>
  <c r="W1749" i="40"/>
  <c r="M1749" i="40"/>
  <c r="X1749" i="40"/>
  <c r="V1751" i="40"/>
  <c r="W1751" i="40"/>
  <c r="M1751" i="40"/>
  <c r="P1426" i="40"/>
  <c r="Q1426" i="40" s="1"/>
  <c r="P1425" i="40"/>
  <c r="U1425" i="40" s="1"/>
  <c r="P1424" i="40"/>
  <c r="Q1424" i="40" s="1"/>
  <c r="P1423" i="40"/>
  <c r="U1423" i="40" s="1"/>
  <c r="P1422" i="40"/>
  <c r="Q1422" i="40" s="1"/>
  <c r="P1421" i="40"/>
  <c r="U1421" i="40" s="1"/>
  <c r="P1420" i="40"/>
  <c r="Q1420" i="40" s="1"/>
  <c r="P1419" i="40"/>
  <c r="P1418" i="40"/>
  <c r="Q1418" i="40" s="1"/>
  <c r="P1417" i="40"/>
  <c r="P1416" i="40"/>
  <c r="Q1416" i="40" s="1"/>
  <c r="P1415" i="40"/>
  <c r="P1414" i="40"/>
  <c r="Q1414" i="40" s="1"/>
  <c r="P1413" i="40"/>
  <c r="P1412" i="40"/>
  <c r="O1419" i="40"/>
  <c r="M1419" i="40"/>
  <c r="H1419" i="40"/>
  <c r="I1419" i="40" s="1"/>
  <c r="G1419" i="40"/>
  <c r="O1418" i="40"/>
  <c r="M1418" i="40"/>
  <c r="H1418" i="40"/>
  <c r="I1418" i="40" s="1"/>
  <c r="G1418" i="40"/>
  <c r="O1417" i="40"/>
  <c r="M1417" i="40"/>
  <c r="H1417" i="40"/>
  <c r="G1417" i="40"/>
  <c r="O1416" i="40"/>
  <c r="M1416" i="40"/>
  <c r="H1416" i="40"/>
  <c r="G1416" i="40"/>
  <c r="O1415" i="40"/>
  <c r="M1415" i="40"/>
  <c r="H1415" i="40"/>
  <c r="I1415" i="40" s="1"/>
  <c r="G1415" i="40"/>
  <c r="O1414" i="40"/>
  <c r="M1414" i="40"/>
  <c r="H1414" i="40"/>
  <c r="G1414" i="40"/>
  <c r="O1413" i="40"/>
  <c r="M1413" i="40"/>
  <c r="H1413" i="40"/>
  <c r="I1413" i="40" s="1"/>
  <c r="G1413" i="40"/>
  <c r="O1412" i="40"/>
  <c r="M1412" i="40"/>
  <c r="H1412" i="40"/>
  <c r="G1412" i="40"/>
  <c r="O1423" i="40"/>
  <c r="M1423" i="40"/>
  <c r="H1423" i="40"/>
  <c r="I1423" i="40" s="1"/>
  <c r="G1423" i="40"/>
  <c r="O1422" i="40"/>
  <c r="M1422" i="40"/>
  <c r="H1422" i="40"/>
  <c r="I1422" i="40" s="1"/>
  <c r="G1422" i="40"/>
  <c r="O1421" i="40"/>
  <c r="M1421" i="40"/>
  <c r="H1421" i="40"/>
  <c r="G1421" i="40"/>
  <c r="O1420" i="40"/>
  <c r="M1420" i="40"/>
  <c r="H1420" i="40"/>
  <c r="G1420" i="40"/>
  <c r="O1425" i="40"/>
  <c r="M1425" i="40"/>
  <c r="H1425" i="40"/>
  <c r="I1425" i="40" s="1"/>
  <c r="G1425" i="40"/>
  <c r="O1424" i="40"/>
  <c r="M1424" i="40"/>
  <c r="H1424" i="40"/>
  <c r="I1424" i="40" s="1"/>
  <c r="G1424" i="40"/>
  <c r="X1427" i="40"/>
  <c r="W1427" i="40"/>
  <c r="U1427" i="40"/>
  <c r="T1427" i="40"/>
  <c r="Q1427" i="40"/>
  <c r="O1427" i="40"/>
  <c r="M1427" i="40"/>
  <c r="H1427" i="40"/>
  <c r="I1427" i="40" s="1"/>
  <c r="G1427" i="40"/>
  <c r="G1426" i="40"/>
  <c r="O1426" i="40"/>
  <c r="M1426" i="40"/>
  <c r="H1426" i="40"/>
  <c r="I1426" i="40" s="1"/>
  <c r="E93" i="7"/>
  <c r="E92" i="7"/>
  <c r="E91" i="7"/>
  <c r="E90" i="7"/>
  <c r="E89" i="7"/>
  <c r="E88" i="7"/>
  <c r="E87" i="7"/>
  <c r="E86" i="7"/>
  <c r="E85" i="7"/>
  <c r="E84" i="7"/>
  <c r="E83" i="7"/>
  <c r="E82" i="7"/>
  <c r="W2238" i="40" l="1"/>
  <c r="V2238" i="40"/>
  <c r="W2129" i="40"/>
  <c r="X2129" i="40"/>
  <c r="V2133" i="40"/>
  <c r="W2133" i="40"/>
  <c r="X2131" i="40"/>
  <c r="V2131" i="40"/>
  <c r="W2131" i="40"/>
  <c r="W2135" i="40"/>
  <c r="V2135" i="40"/>
  <c r="W1844" i="40"/>
  <c r="V1844" i="40"/>
  <c r="W1842" i="40"/>
  <c r="V1842" i="40"/>
  <c r="W1840" i="40"/>
  <c r="V1840" i="40"/>
  <c r="X1838" i="40"/>
  <c r="W1838" i="40"/>
  <c r="W1836" i="40"/>
  <c r="V1836" i="40"/>
  <c r="V1834" i="40"/>
  <c r="W1834" i="40"/>
  <c r="W1832" i="40"/>
  <c r="V1832" i="40"/>
  <c r="V1627" i="40"/>
  <c r="X1627" i="40"/>
  <c r="V1619" i="40"/>
  <c r="X1619" i="40"/>
  <c r="X1623" i="40"/>
  <c r="V1623" i="40"/>
  <c r="X1617" i="40"/>
  <c r="V1617" i="40"/>
  <c r="V1609" i="40"/>
  <c r="W1607" i="40"/>
  <c r="V1607" i="40"/>
  <c r="W1609" i="40"/>
  <c r="W1605" i="40"/>
  <c r="V1605" i="40"/>
  <c r="W1603" i="40"/>
  <c r="V1603" i="40"/>
  <c r="W1601" i="40"/>
  <c r="V1601" i="40"/>
  <c r="W1595" i="40"/>
  <c r="W1599" i="40"/>
  <c r="V1591" i="40"/>
  <c r="V1595" i="40"/>
  <c r="V1599" i="40"/>
  <c r="W1597" i="40"/>
  <c r="V1597" i="40"/>
  <c r="W1593" i="40"/>
  <c r="V1593" i="40"/>
  <c r="W1587" i="40"/>
  <c r="W1591" i="40"/>
  <c r="X1593" i="40"/>
  <c r="W1589" i="40"/>
  <c r="V1589" i="40"/>
  <c r="V1587" i="40"/>
  <c r="W1585" i="40"/>
  <c r="V1585" i="40"/>
  <c r="W1583" i="40"/>
  <c r="V1583" i="40"/>
  <c r="W1752" i="40"/>
  <c r="O1752" i="40"/>
  <c r="M1752" i="40"/>
  <c r="X1752" i="40"/>
  <c r="U1418" i="40"/>
  <c r="T1414" i="40"/>
  <c r="T1418" i="40"/>
  <c r="T1422" i="40"/>
  <c r="T1426" i="40"/>
  <c r="U1422" i="40"/>
  <c r="U1426" i="40"/>
  <c r="U1414" i="40"/>
  <c r="U1424" i="40"/>
  <c r="U1420" i="40"/>
  <c r="T1416" i="40"/>
  <c r="T1420" i="40"/>
  <c r="T1424" i="40"/>
  <c r="U1416" i="40"/>
  <c r="Q1413" i="40"/>
  <c r="Q1415" i="40"/>
  <c r="Q1417" i="40"/>
  <c r="Q1419" i="40"/>
  <c r="Q1421" i="40"/>
  <c r="Q1423" i="40"/>
  <c r="Q1425" i="40"/>
  <c r="T1413" i="40"/>
  <c r="T1415" i="40"/>
  <c r="T1417" i="40"/>
  <c r="T1419" i="40"/>
  <c r="U1413" i="40"/>
  <c r="U1415" i="40"/>
  <c r="U1417" i="40"/>
  <c r="U1419" i="40"/>
  <c r="T1425" i="40"/>
  <c r="T1421" i="40"/>
  <c r="T1423" i="40"/>
  <c r="T1412" i="40"/>
  <c r="I1414" i="40"/>
  <c r="Q1412" i="40"/>
  <c r="U1412" i="40"/>
  <c r="I1412" i="40"/>
  <c r="I1416" i="40"/>
  <c r="I1417" i="40"/>
  <c r="I1420" i="40"/>
  <c r="I1421" i="40"/>
  <c r="V1427" i="40"/>
  <c r="T1092" i="46"/>
  <c r="U1092" i="46" s="1"/>
  <c r="V1092" i="46" s="1"/>
  <c r="S1092" i="46"/>
  <c r="T1091" i="46"/>
  <c r="U1091" i="46" s="1"/>
  <c r="V1091" i="46" s="1"/>
  <c r="S1091" i="46"/>
  <c r="T1090" i="46"/>
  <c r="U1090" i="46" s="1"/>
  <c r="V1090" i="46" s="1"/>
  <c r="S1090" i="46"/>
  <c r="T1089" i="46"/>
  <c r="U1089" i="46" s="1"/>
  <c r="V1089" i="46" s="1"/>
  <c r="S1089" i="46"/>
  <c r="T1088" i="46"/>
  <c r="U1088" i="46" s="1"/>
  <c r="V1088" i="46" s="1"/>
  <c r="S1088" i="46"/>
  <c r="T1087" i="46"/>
  <c r="U1087" i="46" s="1"/>
  <c r="V1087" i="46" s="1"/>
  <c r="S1087" i="46"/>
  <c r="T1086" i="46"/>
  <c r="U1086" i="46" s="1"/>
  <c r="V1086" i="46" s="1"/>
  <c r="S1086" i="46"/>
  <c r="T1085" i="46"/>
  <c r="U1085" i="46" s="1"/>
  <c r="V1085" i="46" s="1"/>
  <c r="S1085" i="46"/>
  <c r="T1084" i="46"/>
  <c r="U1084" i="46" s="1"/>
  <c r="V1084" i="46" s="1"/>
  <c r="S1084" i="46"/>
  <c r="T1083" i="46"/>
  <c r="U1083" i="46" s="1"/>
  <c r="V1083" i="46" s="1"/>
  <c r="S1083" i="46"/>
  <c r="T1082" i="46"/>
  <c r="U1082" i="46" s="1"/>
  <c r="V1082" i="46" s="1"/>
  <c r="S1082" i="46"/>
  <c r="T1081" i="46"/>
  <c r="U1081" i="46" s="1"/>
  <c r="V1081" i="46" s="1"/>
  <c r="S1081" i="46"/>
  <c r="T1080" i="46"/>
  <c r="S1080" i="46"/>
  <c r="T1079" i="46"/>
  <c r="U1079" i="46" s="1"/>
  <c r="V1079" i="46" s="1"/>
  <c r="S1079" i="46"/>
  <c r="T1078" i="46"/>
  <c r="U1078" i="46" s="1"/>
  <c r="V1078" i="46" s="1"/>
  <c r="S1078" i="46"/>
  <c r="T1077" i="46"/>
  <c r="U1077" i="46" s="1"/>
  <c r="V1077" i="46" s="1"/>
  <c r="S1077" i="46"/>
  <c r="T1076" i="46"/>
  <c r="U1076" i="46" s="1"/>
  <c r="V1076" i="46" s="1"/>
  <c r="S1076" i="46"/>
  <c r="T1075" i="46"/>
  <c r="U1075" i="46" s="1"/>
  <c r="V1075" i="46" s="1"/>
  <c r="S1075" i="46"/>
  <c r="T1074" i="46"/>
  <c r="U1074" i="46" s="1"/>
  <c r="V1074" i="46" s="1"/>
  <c r="S1074" i="46"/>
  <c r="T1073" i="46"/>
  <c r="S1073" i="46"/>
  <c r="T1072" i="46"/>
  <c r="U1072" i="46" s="1"/>
  <c r="V1072" i="46" s="1"/>
  <c r="S1072" i="46"/>
  <c r="T1071" i="46"/>
  <c r="S1071" i="46"/>
  <c r="T1070" i="46"/>
  <c r="V1070" i="46" s="1"/>
  <c r="S1070" i="46"/>
  <c r="T1069" i="46"/>
  <c r="U1069" i="46" s="1"/>
  <c r="V1069" i="46" s="1"/>
  <c r="S1069" i="46"/>
  <c r="T1068" i="46"/>
  <c r="S1068" i="46"/>
  <c r="T1067" i="46"/>
  <c r="U1067" i="46" s="1"/>
  <c r="V1067" i="46" s="1"/>
  <c r="S1067" i="46"/>
  <c r="U1080" i="46" l="1"/>
  <c r="V1080" i="46" s="1"/>
  <c r="U1068" i="46"/>
  <c r="V1068" i="46" s="1"/>
  <c r="U1071" i="46"/>
  <c r="V1071" i="46" s="1"/>
  <c r="U1073" i="46"/>
  <c r="V1073" i="46" s="1"/>
  <c r="I30" i="45"/>
  <c r="D30" i="45"/>
  <c r="F30" i="45" s="1"/>
  <c r="D146" i="45" l="1"/>
  <c r="U69" i="45" l="1"/>
  <c r="U68" i="45"/>
  <c r="Q6" i="41"/>
  <c r="U34" i="40" l="1"/>
  <c r="T34" i="40"/>
  <c r="Q34" i="40"/>
  <c r="V34" i="40"/>
  <c r="M34" i="40"/>
  <c r="DP32" i="40"/>
  <c r="DO32" i="40"/>
  <c r="DN32" i="40"/>
  <c r="DM32" i="40"/>
  <c r="DL32" i="40"/>
  <c r="DK32" i="40"/>
  <c r="DJ32" i="40"/>
  <c r="DI32" i="40"/>
  <c r="DH32" i="40"/>
  <c r="DG32" i="40"/>
  <c r="DF32" i="40"/>
  <c r="DE32" i="40"/>
  <c r="DD32" i="40"/>
  <c r="DC32" i="40"/>
  <c r="DB32" i="40"/>
  <c r="DA32" i="40"/>
  <c r="CZ32" i="40"/>
  <c r="CY32" i="40"/>
  <c r="CX32" i="40"/>
  <c r="CW32" i="40"/>
  <c r="CV32" i="40"/>
  <c r="CU32" i="40"/>
  <c r="CT32" i="40"/>
  <c r="CS32" i="40"/>
  <c r="CR32" i="40"/>
  <c r="CQ32" i="40"/>
  <c r="CP32" i="40"/>
  <c r="CO32" i="40"/>
  <c r="CN32" i="40"/>
  <c r="CM32" i="40"/>
  <c r="CL32" i="40"/>
  <c r="CK32" i="40"/>
  <c r="CJ32" i="40"/>
  <c r="CI32" i="40"/>
  <c r="CH32" i="40"/>
  <c r="CG32" i="40"/>
  <c r="CF32" i="40"/>
  <c r="CE32" i="40"/>
  <c r="CD32" i="40"/>
  <c r="CC32" i="40"/>
  <c r="CB32" i="40"/>
  <c r="CA32" i="40"/>
  <c r="BZ32" i="40"/>
  <c r="BY32" i="40"/>
  <c r="BX32" i="40"/>
  <c r="BW32" i="40"/>
  <c r="BV32" i="40"/>
  <c r="BU32" i="40"/>
  <c r="BT32" i="40"/>
  <c r="BS32" i="40"/>
  <c r="BR32" i="40"/>
  <c r="BQ32" i="40"/>
  <c r="BP32" i="40"/>
  <c r="BO32" i="40"/>
  <c r="BN32" i="40"/>
  <c r="BM32" i="40"/>
  <c r="BL32" i="40"/>
  <c r="BK32" i="40"/>
  <c r="BJ32" i="40"/>
  <c r="BI32" i="40"/>
  <c r="BH32" i="40"/>
  <c r="BG32" i="40"/>
  <c r="BF32" i="40"/>
  <c r="BE32" i="40"/>
  <c r="BD32" i="40"/>
  <c r="BC32" i="40"/>
  <c r="BB32" i="40"/>
  <c r="BA32" i="40"/>
  <c r="AZ32" i="40"/>
  <c r="AY32" i="40"/>
  <c r="AX32" i="40"/>
  <c r="AW32" i="40"/>
  <c r="AV32" i="40"/>
  <c r="AU32" i="40"/>
  <c r="AT32" i="40"/>
  <c r="AS32" i="40"/>
  <c r="AR32" i="40"/>
  <c r="AQ32" i="40"/>
  <c r="AP32" i="40"/>
  <c r="AO32" i="40"/>
  <c r="AN32" i="40"/>
  <c r="AM32" i="40"/>
  <c r="AK32" i="40"/>
  <c r="AJ32" i="40"/>
  <c r="AI32" i="40"/>
  <c r="AH32" i="40"/>
  <c r="AG32" i="40"/>
  <c r="AF32" i="40"/>
  <c r="AE32" i="40"/>
  <c r="AD32" i="40"/>
  <c r="AC32" i="40"/>
  <c r="AB32" i="40"/>
  <c r="U32" i="40"/>
  <c r="T32" i="40"/>
  <c r="Q32" i="40"/>
  <c r="V32" i="40"/>
  <c r="M32" i="40"/>
  <c r="AL32" i="40" s="1"/>
  <c r="U587" i="40"/>
  <c r="T587" i="40"/>
  <c r="Q587" i="40"/>
  <c r="V587" i="40"/>
  <c r="M587" i="40"/>
  <c r="U580" i="40"/>
  <c r="T580" i="40"/>
  <c r="Q580" i="40"/>
  <c r="V580" i="40"/>
  <c r="M580" i="40"/>
  <c r="M581" i="40"/>
  <c r="AA581" i="40" s="1"/>
  <c r="O581" i="40"/>
  <c r="Q581" i="40"/>
  <c r="X581" i="40"/>
  <c r="U581" i="40"/>
  <c r="V581" i="40"/>
  <c r="AB581" i="40"/>
  <c r="AC581" i="40"/>
  <c r="AD581" i="40"/>
  <c r="AE581" i="40"/>
  <c r="AF581" i="40"/>
  <c r="AG581" i="40"/>
  <c r="AH581" i="40"/>
  <c r="AI581" i="40"/>
  <c r="AJ581" i="40"/>
  <c r="AK581" i="40"/>
  <c r="AL581" i="40"/>
  <c r="AM581" i="40"/>
  <c r="AN581" i="40"/>
  <c r="AO581" i="40"/>
  <c r="AP581" i="40"/>
  <c r="AQ581" i="40"/>
  <c r="AR581" i="40"/>
  <c r="AS581" i="40"/>
  <c r="AT581" i="40"/>
  <c r="AU581" i="40"/>
  <c r="AV581" i="40"/>
  <c r="AW581" i="40"/>
  <c r="AX581" i="40"/>
  <c r="AY581" i="40"/>
  <c r="AZ581" i="40"/>
  <c r="BA581" i="40"/>
  <c r="BB581" i="40"/>
  <c r="BC581" i="40"/>
  <c r="BD581" i="40"/>
  <c r="BE581" i="40"/>
  <c r="BF581" i="40"/>
  <c r="BG581" i="40"/>
  <c r="BH581" i="40"/>
  <c r="BI581" i="40"/>
  <c r="BJ581" i="40"/>
  <c r="BK581" i="40"/>
  <c r="BL581" i="40"/>
  <c r="BM581" i="40"/>
  <c r="BN581" i="40"/>
  <c r="BO581" i="40"/>
  <c r="BP581" i="40"/>
  <c r="BQ581" i="40"/>
  <c r="BR581" i="40"/>
  <c r="BS581" i="40"/>
  <c r="BT581" i="40"/>
  <c r="BU581" i="40"/>
  <c r="BV581" i="40"/>
  <c r="BW581" i="40"/>
  <c r="BX581" i="40"/>
  <c r="BY581" i="40"/>
  <c r="BZ581" i="40"/>
  <c r="CA581" i="40"/>
  <c r="CB581" i="40"/>
  <c r="CC581" i="40"/>
  <c r="CD581" i="40"/>
  <c r="CE581" i="40"/>
  <c r="CF581" i="40"/>
  <c r="CG581" i="40"/>
  <c r="CH581" i="40"/>
  <c r="CI581" i="40"/>
  <c r="CJ581" i="40"/>
  <c r="CK581" i="40"/>
  <c r="CL581" i="40"/>
  <c r="CM581" i="40"/>
  <c r="CN581" i="40"/>
  <c r="CO581" i="40"/>
  <c r="CP581" i="40"/>
  <c r="CQ581" i="40"/>
  <c r="CR581" i="40"/>
  <c r="CS581" i="40"/>
  <c r="CT581" i="40"/>
  <c r="CU581" i="40"/>
  <c r="CV581" i="40"/>
  <c r="CW581" i="40"/>
  <c r="CX581" i="40"/>
  <c r="CY581" i="40"/>
  <c r="CZ581" i="40"/>
  <c r="DA581" i="40"/>
  <c r="DB581" i="40"/>
  <c r="DC581" i="40"/>
  <c r="DD581" i="40"/>
  <c r="DE581" i="40"/>
  <c r="DF581" i="40"/>
  <c r="DG581" i="40"/>
  <c r="DH581" i="40"/>
  <c r="DI581" i="40"/>
  <c r="DJ581" i="40"/>
  <c r="DK581" i="40"/>
  <c r="DL581" i="40"/>
  <c r="DM581" i="40"/>
  <c r="DN581" i="40"/>
  <c r="DO581" i="40"/>
  <c r="DP581" i="40"/>
  <c r="T1065" i="46"/>
  <c r="T1064" i="46"/>
  <c r="T1063" i="46"/>
  <c r="T1062" i="46"/>
  <c r="T1061" i="46"/>
  <c r="T1060" i="46"/>
  <c r="T1059" i="46"/>
  <c r="T1058" i="46"/>
  <c r="T1057" i="46"/>
  <c r="T1056" i="46"/>
  <c r="T1055" i="46"/>
  <c r="T1054" i="46"/>
  <c r="T1053" i="46"/>
  <c r="T1052" i="46"/>
  <c r="T1051" i="46"/>
  <c r="T1050" i="46"/>
  <c r="T1049" i="46"/>
  <c r="T1048" i="46"/>
  <c r="T1047" i="46"/>
  <c r="T1046" i="46"/>
  <c r="T1045" i="46"/>
  <c r="T1044" i="46"/>
  <c r="T1043" i="46"/>
  <c r="T1042" i="46"/>
  <c r="T1041" i="46"/>
  <c r="T1040" i="46"/>
  <c r="T1039" i="46"/>
  <c r="T1038" i="46"/>
  <c r="T1037" i="46"/>
  <c r="T1036" i="46"/>
  <c r="T1035" i="46"/>
  <c r="T1034" i="46"/>
  <c r="T1033" i="46"/>
  <c r="T1032" i="46"/>
  <c r="T1031" i="46"/>
  <c r="T1030" i="46"/>
  <c r="T1029" i="46"/>
  <c r="T1028" i="46"/>
  <c r="T1027" i="46"/>
  <c r="T1026" i="46"/>
  <c r="T1025" i="46"/>
  <c r="T1024" i="46"/>
  <c r="T1023" i="46"/>
  <c r="T1022" i="46"/>
  <c r="T1021" i="46"/>
  <c r="T1020" i="46"/>
  <c r="T1019" i="46"/>
  <c r="T1018" i="46"/>
  <c r="T1017" i="46"/>
  <c r="T1016" i="46"/>
  <c r="T1015" i="46"/>
  <c r="T1014" i="46"/>
  <c r="T1013" i="46"/>
  <c r="T1012" i="46"/>
  <c r="T1011" i="46"/>
  <c r="T1010" i="46"/>
  <c r="T1009" i="46"/>
  <c r="T1008" i="46"/>
  <c r="T1007" i="46"/>
  <c r="T1006" i="46"/>
  <c r="T1005" i="46"/>
  <c r="T1003" i="46"/>
  <c r="T1002" i="46"/>
  <c r="T1001" i="46"/>
  <c r="T1000" i="46"/>
  <c r="T999" i="46"/>
  <c r="T998" i="46"/>
  <c r="T997" i="46"/>
  <c r="T996" i="46"/>
  <c r="T995" i="46"/>
  <c r="T994" i="46"/>
  <c r="T993" i="46"/>
  <c r="T992" i="46"/>
  <c r="T991" i="46"/>
  <c r="T990" i="46"/>
  <c r="T989" i="46"/>
  <c r="T988" i="46"/>
  <c r="T987" i="46"/>
  <c r="T986" i="46"/>
  <c r="T985" i="46"/>
  <c r="T984" i="46"/>
  <c r="T983" i="46"/>
  <c r="T982" i="46"/>
  <c r="T981" i="46"/>
  <c r="T980" i="46"/>
  <c r="T979" i="46"/>
  <c r="T978" i="46"/>
  <c r="T977" i="46"/>
  <c r="T976" i="46"/>
  <c r="T975" i="46"/>
  <c r="T974" i="46"/>
  <c r="T973" i="46"/>
  <c r="T972" i="46"/>
  <c r="T971" i="46"/>
  <c r="T970" i="46"/>
  <c r="T969" i="46"/>
  <c r="T968" i="46"/>
  <c r="T967" i="46"/>
  <c r="T966" i="46"/>
  <c r="T965" i="46"/>
  <c r="T964" i="46"/>
  <c r="T963" i="46"/>
  <c r="T962" i="46"/>
  <c r="T961" i="46"/>
  <c r="T960" i="46"/>
  <c r="T959" i="46"/>
  <c r="T958" i="46"/>
  <c r="T957" i="46"/>
  <c r="T956" i="46"/>
  <c r="T955" i="46"/>
  <c r="T954" i="46"/>
  <c r="T953" i="46"/>
  <c r="T952" i="46"/>
  <c r="T951" i="46"/>
  <c r="T950" i="46"/>
  <c r="T949" i="46"/>
  <c r="T948" i="46"/>
  <c r="T947" i="46"/>
  <c r="T946" i="46"/>
  <c r="T945" i="46"/>
  <c r="T944" i="46"/>
  <c r="T943" i="46"/>
  <c r="T942" i="46"/>
  <c r="T941" i="46"/>
  <c r="T940" i="46"/>
  <c r="T939" i="46"/>
  <c r="T938" i="46"/>
  <c r="T937" i="46"/>
  <c r="T936" i="46"/>
  <c r="T935" i="46"/>
  <c r="T934" i="46"/>
  <c r="T933" i="46"/>
  <c r="T932" i="46"/>
  <c r="T931" i="46"/>
  <c r="T930" i="46"/>
  <c r="T929" i="46"/>
  <c r="T928" i="46"/>
  <c r="T927" i="46"/>
  <c r="T926" i="46"/>
  <c r="T925" i="46"/>
  <c r="T924" i="46"/>
  <c r="T923" i="46"/>
  <c r="T922" i="46"/>
  <c r="T921" i="46"/>
  <c r="T920" i="46"/>
  <c r="T919" i="46"/>
  <c r="T918" i="46"/>
  <c r="T916" i="46"/>
  <c r="T915" i="46"/>
  <c r="T914" i="46"/>
  <c r="T913" i="46"/>
  <c r="T912" i="46"/>
  <c r="T911" i="46"/>
  <c r="T910" i="46"/>
  <c r="T909" i="46"/>
  <c r="T908" i="46"/>
  <c r="T907" i="46"/>
  <c r="T906" i="46"/>
  <c r="T905" i="46"/>
  <c r="T904" i="46"/>
  <c r="T903" i="46"/>
  <c r="T902" i="46"/>
  <c r="T901" i="46"/>
  <c r="T900" i="46"/>
  <c r="T899" i="46"/>
  <c r="T898" i="46"/>
  <c r="T897" i="46"/>
  <c r="T896" i="46"/>
  <c r="T895" i="46"/>
  <c r="T894" i="46"/>
  <c r="T893" i="46"/>
  <c r="T892" i="46"/>
  <c r="T891" i="46"/>
  <c r="T890" i="46"/>
  <c r="T889" i="46"/>
  <c r="T888" i="46"/>
  <c r="T887" i="46"/>
  <c r="T886" i="46"/>
  <c r="T885" i="46"/>
  <c r="T884" i="46"/>
  <c r="T883" i="46"/>
  <c r="T882" i="46"/>
  <c r="T881" i="46"/>
  <c r="T880" i="46"/>
  <c r="T879" i="46"/>
  <c r="T878" i="46"/>
  <c r="T877" i="46"/>
  <c r="T876" i="46"/>
  <c r="T875" i="46"/>
  <c r="T874" i="46"/>
  <c r="T873" i="46"/>
  <c r="T872" i="46"/>
  <c r="T871" i="46"/>
  <c r="T870" i="46"/>
  <c r="T869" i="46"/>
  <c r="T868" i="46"/>
  <c r="T867" i="46"/>
  <c r="T866" i="46"/>
  <c r="T865" i="46"/>
  <c r="T864" i="46"/>
  <c r="T863" i="46"/>
  <c r="T862" i="46"/>
  <c r="T861" i="46"/>
  <c r="T860" i="46"/>
  <c r="T859" i="46"/>
  <c r="T858" i="46"/>
  <c r="T857" i="46"/>
  <c r="T856" i="46"/>
  <c r="T855" i="46"/>
  <c r="T854" i="46"/>
  <c r="T853" i="46"/>
  <c r="T852" i="46"/>
  <c r="T850" i="46"/>
  <c r="T849" i="46"/>
  <c r="T848" i="46"/>
  <c r="T847" i="46"/>
  <c r="T846" i="46"/>
  <c r="T845" i="46"/>
  <c r="T844" i="46"/>
  <c r="T843" i="46"/>
  <c r="T842" i="46"/>
  <c r="T841" i="46"/>
  <c r="T840" i="46"/>
  <c r="T839" i="46"/>
  <c r="T838" i="46"/>
  <c r="T837" i="46"/>
  <c r="T836" i="46"/>
  <c r="T835" i="46"/>
  <c r="T834" i="46"/>
  <c r="T833" i="46"/>
  <c r="T832" i="46"/>
  <c r="T831" i="46"/>
  <c r="T830" i="46"/>
  <c r="T829" i="46"/>
  <c r="T828" i="46"/>
  <c r="T827" i="46"/>
  <c r="T826" i="46"/>
  <c r="T825" i="46"/>
  <c r="T824" i="46"/>
  <c r="T823" i="46"/>
  <c r="T822" i="46"/>
  <c r="T821" i="46"/>
  <c r="T820" i="46"/>
  <c r="T819" i="46"/>
  <c r="T818" i="46"/>
  <c r="T817" i="46"/>
  <c r="T816" i="46"/>
  <c r="T815" i="46"/>
  <c r="T814" i="46"/>
  <c r="T813" i="46"/>
  <c r="T812" i="46"/>
  <c r="T811" i="46"/>
  <c r="T810" i="46"/>
  <c r="T809" i="46"/>
  <c r="T808" i="46"/>
  <c r="T807" i="46"/>
  <c r="T806" i="46"/>
  <c r="T805" i="46"/>
  <c r="T804" i="46"/>
  <c r="T803" i="46"/>
  <c r="T802" i="46"/>
  <c r="T801" i="46"/>
  <c r="T800" i="46"/>
  <c r="T799" i="46"/>
  <c r="T798" i="46"/>
  <c r="T797" i="46"/>
  <c r="T795" i="46"/>
  <c r="T794" i="46"/>
  <c r="T793" i="46"/>
  <c r="T792" i="46"/>
  <c r="T791" i="46"/>
  <c r="T790" i="46"/>
  <c r="T789" i="46"/>
  <c r="T788" i="46"/>
  <c r="T787" i="46"/>
  <c r="T786" i="46"/>
  <c r="T785" i="46"/>
  <c r="T784" i="46"/>
  <c r="T783" i="46"/>
  <c r="T782" i="46"/>
  <c r="T781" i="46"/>
  <c r="T780" i="46"/>
  <c r="T779" i="46"/>
  <c r="T778" i="46"/>
  <c r="T777" i="46"/>
  <c r="T776" i="46"/>
  <c r="T775" i="46"/>
  <c r="T774" i="46"/>
  <c r="T773" i="46"/>
  <c r="T772" i="46"/>
  <c r="T771" i="46"/>
  <c r="T770" i="46"/>
  <c r="T769" i="46"/>
  <c r="T768" i="46"/>
  <c r="T767" i="46"/>
  <c r="T766" i="46"/>
  <c r="T765" i="46"/>
  <c r="T764" i="46"/>
  <c r="T763" i="46"/>
  <c r="T762" i="46"/>
  <c r="T761" i="46"/>
  <c r="T760" i="46"/>
  <c r="T759" i="46"/>
  <c r="T758" i="46"/>
  <c r="T757" i="46"/>
  <c r="T756" i="46"/>
  <c r="T755" i="46"/>
  <c r="T754" i="46"/>
  <c r="T753" i="46"/>
  <c r="T752" i="46"/>
  <c r="T751" i="46"/>
  <c r="T750" i="46"/>
  <c r="T749" i="46"/>
  <c r="T748" i="46"/>
  <c r="T747" i="46"/>
  <c r="T746" i="46"/>
  <c r="T745" i="46"/>
  <c r="T744" i="46"/>
  <c r="T743" i="46"/>
  <c r="T742" i="46"/>
  <c r="T741" i="46"/>
  <c r="T740" i="46"/>
  <c r="T739" i="46"/>
  <c r="T738" i="46"/>
  <c r="T736" i="46"/>
  <c r="T735" i="46"/>
  <c r="T734" i="46"/>
  <c r="T733" i="46"/>
  <c r="T732" i="46"/>
  <c r="T731" i="46"/>
  <c r="T730" i="46"/>
  <c r="T729" i="46"/>
  <c r="T728" i="46"/>
  <c r="T727" i="46"/>
  <c r="T726" i="46"/>
  <c r="T725" i="46"/>
  <c r="T724" i="46"/>
  <c r="T723" i="46"/>
  <c r="T722" i="46"/>
  <c r="T721" i="46"/>
  <c r="T720" i="46"/>
  <c r="T719" i="46"/>
  <c r="T718" i="46"/>
  <c r="T717" i="46"/>
  <c r="T716" i="46"/>
  <c r="T715" i="46"/>
  <c r="T714" i="46"/>
  <c r="T713" i="46"/>
  <c r="T712" i="46"/>
  <c r="T711" i="46"/>
  <c r="T710" i="46"/>
  <c r="T709" i="46"/>
  <c r="T708" i="46"/>
  <c r="T707" i="46"/>
  <c r="T706" i="46"/>
  <c r="T705" i="46"/>
  <c r="T704" i="46"/>
  <c r="T703" i="46"/>
  <c r="T702" i="46"/>
  <c r="T701" i="46"/>
  <c r="T700" i="46"/>
  <c r="T699" i="46"/>
  <c r="T698" i="46"/>
  <c r="T697" i="46"/>
  <c r="T696" i="46"/>
  <c r="T695" i="46"/>
  <c r="T694" i="46"/>
  <c r="T693" i="46"/>
  <c r="T692" i="46"/>
  <c r="T691" i="46"/>
  <c r="T690" i="46"/>
  <c r="T689" i="46"/>
  <c r="T688" i="46"/>
  <c r="T687" i="46"/>
  <c r="T686" i="46"/>
  <c r="T685" i="46"/>
  <c r="T684" i="46"/>
  <c r="T683" i="46"/>
  <c r="T682" i="46"/>
  <c r="T681" i="46"/>
  <c r="T680" i="46"/>
  <c r="T679" i="46"/>
  <c r="T678" i="46"/>
  <c r="T677" i="46"/>
  <c r="T676" i="46"/>
  <c r="T675" i="46"/>
  <c r="T674" i="46"/>
  <c r="T673" i="46"/>
  <c r="T672" i="46"/>
  <c r="T671" i="46"/>
  <c r="T670" i="46"/>
  <c r="T669" i="46"/>
  <c r="T668" i="46"/>
  <c r="T667" i="46"/>
  <c r="T666" i="46"/>
  <c r="T665" i="46"/>
  <c r="T664" i="46"/>
  <c r="T663" i="46"/>
  <c r="T662" i="46"/>
  <c r="T661" i="46"/>
  <c r="T659" i="46"/>
  <c r="T658" i="46"/>
  <c r="T657" i="46"/>
  <c r="T656" i="46"/>
  <c r="T655" i="46"/>
  <c r="T654" i="46"/>
  <c r="T653" i="46"/>
  <c r="T652" i="46"/>
  <c r="T651" i="46"/>
  <c r="T650" i="46"/>
  <c r="T649" i="46"/>
  <c r="T648" i="46"/>
  <c r="T647" i="46"/>
  <c r="T646" i="46"/>
  <c r="T645" i="46"/>
  <c r="T644" i="46"/>
  <c r="T643" i="46"/>
  <c r="T642" i="46"/>
  <c r="T641" i="46"/>
  <c r="T640" i="46"/>
  <c r="T639" i="46"/>
  <c r="T638" i="46"/>
  <c r="T637" i="46"/>
  <c r="T636" i="46"/>
  <c r="T635" i="46"/>
  <c r="T634" i="46"/>
  <c r="T633" i="46"/>
  <c r="T632" i="46"/>
  <c r="T631" i="46"/>
  <c r="T630" i="46"/>
  <c r="T629" i="46"/>
  <c r="T628" i="46"/>
  <c r="T627" i="46"/>
  <c r="T626" i="46"/>
  <c r="T625" i="46"/>
  <c r="T624" i="46"/>
  <c r="T623" i="46"/>
  <c r="T622" i="46"/>
  <c r="T621" i="46"/>
  <c r="T620" i="46"/>
  <c r="T619" i="46"/>
  <c r="T618" i="46"/>
  <c r="T617" i="46"/>
  <c r="T616" i="46"/>
  <c r="T615" i="46"/>
  <c r="T614" i="46"/>
  <c r="T613" i="46"/>
  <c r="T612" i="46"/>
  <c r="T611" i="46"/>
  <c r="T610" i="46"/>
  <c r="T609" i="46"/>
  <c r="T608" i="46"/>
  <c r="T607" i="46"/>
  <c r="T606" i="46"/>
  <c r="T605" i="46"/>
  <c r="T604" i="46"/>
  <c r="T603" i="46"/>
  <c r="T602" i="46"/>
  <c r="T601" i="46"/>
  <c r="T600" i="46"/>
  <c r="T599" i="46"/>
  <c r="T598" i="46"/>
  <c r="T597" i="46"/>
  <c r="T596" i="46"/>
  <c r="T595" i="46"/>
  <c r="T594" i="46"/>
  <c r="T593" i="46"/>
  <c r="T592" i="46"/>
  <c r="T591" i="46"/>
  <c r="T590" i="46"/>
  <c r="T589" i="46"/>
  <c r="T588" i="46"/>
  <c r="T587" i="46"/>
  <c r="T586" i="46"/>
  <c r="T585" i="46"/>
  <c r="T584" i="46"/>
  <c r="T583" i="46"/>
  <c r="T581" i="46"/>
  <c r="T580" i="46"/>
  <c r="T579" i="46"/>
  <c r="T578" i="46"/>
  <c r="T577" i="46"/>
  <c r="T576" i="46"/>
  <c r="T575" i="46"/>
  <c r="T574" i="46"/>
  <c r="T573" i="46"/>
  <c r="T572" i="46"/>
  <c r="T571" i="46"/>
  <c r="T570" i="46"/>
  <c r="T569" i="46"/>
  <c r="T568" i="46"/>
  <c r="T567" i="46"/>
  <c r="T566" i="46"/>
  <c r="T565" i="46"/>
  <c r="T564" i="46"/>
  <c r="T563" i="46"/>
  <c r="T562" i="46"/>
  <c r="T561" i="46"/>
  <c r="T560" i="46"/>
  <c r="T559" i="46"/>
  <c r="T558" i="46"/>
  <c r="T557" i="46"/>
  <c r="T556" i="46"/>
  <c r="T555" i="46"/>
  <c r="T554" i="46"/>
  <c r="T553" i="46"/>
  <c r="T552" i="46"/>
  <c r="T551" i="46"/>
  <c r="T550" i="46"/>
  <c r="T549" i="46"/>
  <c r="T548" i="46"/>
  <c r="T547" i="46"/>
  <c r="T546" i="46"/>
  <c r="T545" i="46"/>
  <c r="T544" i="46"/>
  <c r="T543" i="46"/>
  <c r="T542" i="46"/>
  <c r="T541" i="46"/>
  <c r="T540" i="46"/>
  <c r="T539" i="46"/>
  <c r="T538" i="46"/>
  <c r="T537" i="46"/>
  <c r="T536" i="46"/>
  <c r="T535" i="46"/>
  <c r="T534" i="46"/>
  <c r="T533" i="46"/>
  <c r="T532" i="46"/>
  <c r="T531" i="46"/>
  <c r="T530" i="46"/>
  <c r="T529" i="46"/>
  <c r="T528" i="46"/>
  <c r="T527" i="46"/>
  <c r="T526" i="46"/>
  <c r="T525" i="46"/>
  <c r="T524" i="46"/>
  <c r="T523" i="46"/>
  <c r="T522" i="46"/>
  <c r="T521" i="46"/>
  <c r="T520" i="46"/>
  <c r="T519" i="46"/>
  <c r="T518" i="46"/>
  <c r="T517" i="46"/>
  <c r="T516" i="46"/>
  <c r="T515" i="46"/>
  <c r="T514" i="46"/>
  <c r="T513" i="46"/>
  <c r="T512" i="46"/>
  <c r="T511" i="46"/>
  <c r="T510" i="46"/>
  <c r="T509" i="46"/>
  <c r="T508" i="46"/>
  <c r="T507" i="46"/>
  <c r="T506" i="46"/>
  <c r="T505" i="46"/>
  <c r="T504" i="46"/>
  <c r="T503" i="46"/>
  <c r="T502" i="46"/>
  <c r="T501" i="46"/>
  <c r="T500" i="46"/>
  <c r="T498" i="46"/>
  <c r="T497" i="46"/>
  <c r="T496" i="46"/>
  <c r="T495" i="46"/>
  <c r="T494" i="46"/>
  <c r="T493" i="46"/>
  <c r="T492" i="46"/>
  <c r="T491" i="46"/>
  <c r="T490" i="46"/>
  <c r="T489" i="46"/>
  <c r="T488" i="46"/>
  <c r="T487" i="46"/>
  <c r="T486" i="46"/>
  <c r="T485" i="46"/>
  <c r="T484" i="46"/>
  <c r="T483" i="46"/>
  <c r="T482" i="46"/>
  <c r="T481" i="46"/>
  <c r="T480" i="46"/>
  <c r="T479" i="46"/>
  <c r="T478" i="46"/>
  <c r="T477" i="46"/>
  <c r="T476" i="46"/>
  <c r="T475" i="46"/>
  <c r="T474" i="46"/>
  <c r="T473" i="46"/>
  <c r="T472" i="46"/>
  <c r="T471" i="46"/>
  <c r="T470" i="46"/>
  <c r="T469" i="46"/>
  <c r="T468" i="46"/>
  <c r="T467" i="46"/>
  <c r="T466" i="46"/>
  <c r="T465" i="46"/>
  <c r="T464" i="46"/>
  <c r="T463" i="46"/>
  <c r="T462" i="46"/>
  <c r="T461" i="46"/>
  <c r="T460" i="46"/>
  <c r="T459" i="46"/>
  <c r="T458" i="46"/>
  <c r="T457" i="46"/>
  <c r="T456" i="46"/>
  <c r="T455" i="46"/>
  <c r="T454" i="46"/>
  <c r="T453" i="46"/>
  <c r="T452" i="46"/>
  <c r="T451" i="46"/>
  <c r="T450" i="46"/>
  <c r="T449" i="46"/>
  <c r="T448" i="46"/>
  <c r="T447" i="46"/>
  <c r="T446" i="46"/>
  <c r="T445" i="46"/>
  <c r="T444" i="46"/>
  <c r="T443" i="46"/>
  <c r="T442" i="46"/>
  <c r="T441" i="46"/>
  <c r="T440" i="46"/>
  <c r="T439" i="46"/>
  <c r="T438" i="46"/>
  <c r="T437" i="46"/>
  <c r="T436" i="46"/>
  <c r="T435" i="46"/>
  <c r="T434" i="46"/>
  <c r="T433" i="46"/>
  <c r="T432" i="46"/>
  <c r="T431" i="46"/>
  <c r="T430" i="46"/>
  <c r="T429" i="46"/>
  <c r="T428" i="46"/>
  <c r="T427" i="46"/>
  <c r="T426" i="46"/>
  <c r="T425" i="46"/>
  <c r="T424" i="46"/>
  <c r="T423" i="46"/>
  <c r="T422" i="46"/>
  <c r="T421" i="46"/>
  <c r="T420" i="46"/>
  <c r="T419" i="46"/>
  <c r="T418" i="46"/>
  <c r="T417" i="46"/>
  <c r="T416" i="46"/>
  <c r="T415" i="46"/>
  <c r="T414" i="46"/>
  <c r="T413" i="46"/>
  <c r="T412" i="46"/>
  <c r="T411" i="46"/>
  <c r="T410" i="46"/>
  <c r="T409" i="46"/>
  <c r="T408" i="46"/>
  <c r="T407" i="46"/>
  <c r="T406" i="46"/>
  <c r="T405" i="46"/>
  <c r="T404" i="46"/>
  <c r="T403" i="46"/>
  <c r="T402" i="46"/>
  <c r="T401" i="46"/>
  <c r="T400" i="46"/>
  <c r="T399" i="46"/>
  <c r="T398" i="46"/>
  <c r="T397" i="46"/>
  <c r="T396" i="46"/>
  <c r="T395" i="46"/>
  <c r="T394" i="46"/>
  <c r="T393" i="46"/>
  <c r="T392" i="46"/>
  <c r="T391" i="46"/>
  <c r="T390" i="46"/>
  <c r="T389" i="46"/>
  <c r="T388" i="46"/>
  <c r="T387" i="46"/>
  <c r="T386" i="46"/>
  <c r="T385" i="46"/>
  <c r="T384" i="46"/>
  <c r="T383" i="46"/>
  <c r="T382" i="46"/>
  <c r="T381" i="46"/>
  <c r="T380" i="46"/>
  <c r="T379" i="46"/>
  <c r="T378" i="46"/>
  <c r="T377" i="46"/>
  <c r="T376" i="46"/>
  <c r="T375" i="46"/>
  <c r="T374" i="46"/>
  <c r="T372" i="46"/>
  <c r="T371" i="46"/>
  <c r="T370" i="46"/>
  <c r="T369" i="46"/>
  <c r="T368" i="46"/>
  <c r="T367" i="46"/>
  <c r="T366" i="46"/>
  <c r="T365" i="46"/>
  <c r="T364" i="46"/>
  <c r="T363" i="46"/>
  <c r="T362" i="46"/>
  <c r="T361" i="46"/>
  <c r="T360" i="46"/>
  <c r="T359" i="46"/>
  <c r="T358" i="46"/>
  <c r="T357" i="46"/>
  <c r="T356" i="46"/>
  <c r="T355" i="46"/>
  <c r="T354" i="46"/>
  <c r="T353" i="46"/>
  <c r="T352" i="46"/>
  <c r="T351" i="46"/>
  <c r="T350" i="46"/>
  <c r="T349" i="46"/>
  <c r="T348" i="46"/>
  <c r="T347" i="46"/>
  <c r="T346" i="46"/>
  <c r="T345" i="46"/>
  <c r="T344" i="46"/>
  <c r="T343" i="46"/>
  <c r="T342" i="46"/>
  <c r="T341" i="46"/>
  <c r="T340" i="46"/>
  <c r="T339" i="46"/>
  <c r="T338" i="46"/>
  <c r="T337" i="46"/>
  <c r="T336" i="46"/>
  <c r="T335" i="46"/>
  <c r="T334" i="46"/>
  <c r="T333" i="46"/>
  <c r="T332" i="46"/>
  <c r="T331" i="46"/>
  <c r="T330" i="46"/>
  <c r="T329" i="46"/>
  <c r="T328" i="46"/>
  <c r="T327" i="46"/>
  <c r="T326" i="46"/>
  <c r="T325" i="46"/>
  <c r="T324" i="46"/>
  <c r="T323" i="46"/>
  <c r="T322" i="46"/>
  <c r="T321" i="46"/>
  <c r="T320" i="46"/>
  <c r="T319" i="46"/>
  <c r="T318" i="46"/>
  <c r="T317" i="46"/>
  <c r="T316" i="46"/>
  <c r="T315" i="46"/>
  <c r="T314" i="46"/>
  <c r="T313" i="46"/>
  <c r="T312" i="46"/>
  <c r="T311" i="46"/>
  <c r="T310" i="46"/>
  <c r="T308" i="46"/>
  <c r="T307" i="46"/>
  <c r="T306" i="46"/>
  <c r="T305" i="46"/>
  <c r="T304" i="46"/>
  <c r="T303" i="46"/>
  <c r="T302" i="46"/>
  <c r="T301" i="46"/>
  <c r="T300" i="46"/>
  <c r="T299" i="46"/>
  <c r="T298" i="46"/>
  <c r="T297" i="46"/>
  <c r="T296" i="46"/>
  <c r="T295" i="46"/>
  <c r="T294" i="46"/>
  <c r="T293" i="46"/>
  <c r="T292" i="46"/>
  <c r="T291" i="46"/>
  <c r="T290" i="46"/>
  <c r="T289" i="46"/>
  <c r="T288" i="46"/>
  <c r="T287" i="46"/>
  <c r="T286" i="46"/>
  <c r="T285" i="46"/>
  <c r="T284" i="46"/>
  <c r="T283" i="46"/>
  <c r="T282" i="46"/>
  <c r="T281" i="46"/>
  <c r="T280" i="46"/>
  <c r="T279" i="46"/>
  <c r="T278" i="46"/>
  <c r="T277" i="46"/>
  <c r="T276" i="46"/>
  <c r="T275" i="46"/>
  <c r="T274" i="46"/>
  <c r="T273" i="46"/>
  <c r="T272" i="46"/>
  <c r="T271" i="46"/>
  <c r="T270" i="46"/>
  <c r="T269" i="46"/>
  <c r="T268" i="46"/>
  <c r="T267" i="46"/>
  <c r="T266" i="46"/>
  <c r="T265" i="46"/>
  <c r="T264" i="46"/>
  <c r="T263" i="46"/>
  <c r="T262" i="46"/>
  <c r="T261" i="46"/>
  <c r="T260" i="46"/>
  <c r="T259" i="46"/>
  <c r="T258" i="46"/>
  <c r="T257" i="46"/>
  <c r="T256" i="46"/>
  <c r="T255" i="46"/>
  <c r="T254" i="46"/>
  <c r="T253" i="46"/>
  <c r="T252" i="46"/>
  <c r="T251" i="46"/>
  <c r="T250" i="46"/>
  <c r="T249" i="46"/>
  <c r="T248" i="46"/>
  <c r="T247" i="46"/>
  <c r="T246" i="46"/>
  <c r="T245" i="46"/>
  <c r="T244" i="46"/>
  <c r="T243" i="46"/>
  <c r="T242" i="46"/>
  <c r="T241" i="46"/>
  <c r="T240" i="46"/>
  <c r="T239" i="46"/>
  <c r="T238" i="46"/>
  <c r="T237" i="46"/>
  <c r="T236" i="46"/>
  <c r="T235" i="46"/>
  <c r="T234" i="46"/>
  <c r="T233" i="46"/>
  <c r="T232" i="46"/>
  <c r="T231" i="46"/>
  <c r="T230" i="46"/>
  <c r="T229" i="46"/>
  <c r="T228" i="46"/>
  <c r="T227" i="46"/>
  <c r="T226" i="46"/>
  <c r="T225" i="46"/>
  <c r="T224" i="46"/>
  <c r="T223" i="46"/>
  <c r="T222" i="46"/>
  <c r="T221" i="46"/>
  <c r="T220" i="46"/>
  <c r="T219" i="46"/>
  <c r="T218" i="46"/>
  <c r="T217" i="46"/>
  <c r="T216" i="46"/>
  <c r="T215" i="46"/>
  <c r="T214" i="46"/>
  <c r="T213" i="46"/>
  <c r="T212" i="46"/>
  <c r="T211" i="46"/>
  <c r="T210" i="46"/>
  <c r="T209" i="46"/>
  <c r="T208" i="46"/>
  <c r="T207" i="46"/>
  <c r="T206" i="46"/>
  <c r="T205" i="46"/>
  <c r="T204" i="46"/>
  <c r="T203" i="46"/>
  <c r="T202" i="46"/>
  <c r="T201" i="46"/>
  <c r="T200" i="46"/>
  <c r="T199" i="46"/>
  <c r="T198" i="46"/>
  <c r="T197" i="46"/>
  <c r="T196" i="46"/>
  <c r="T195" i="46"/>
  <c r="T194" i="46"/>
  <c r="T193" i="46"/>
  <c r="T192" i="46"/>
  <c r="T191" i="46"/>
  <c r="T190" i="46"/>
  <c r="T189" i="46"/>
  <c r="T188" i="46"/>
  <c r="T187" i="46"/>
  <c r="T186" i="46"/>
  <c r="T185" i="46"/>
  <c r="T184" i="46"/>
  <c r="T183" i="46"/>
  <c r="T182" i="46"/>
  <c r="T181" i="46"/>
  <c r="T180" i="46"/>
  <c r="T179" i="46"/>
  <c r="T178" i="46"/>
  <c r="T177" i="46"/>
  <c r="T176" i="46"/>
  <c r="T175" i="46"/>
  <c r="T174" i="46"/>
  <c r="T173" i="46"/>
  <c r="T172" i="46"/>
  <c r="T171" i="46"/>
  <c r="T170" i="46"/>
  <c r="T169" i="46"/>
  <c r="T168" i="46"/>
  <c r="T167" i="46"/>
  <c r="T166" i="46"/>
  <c r="T165" i="46"/>
  <c r="T164" i="46"/>
  <c r="T163" i="46"/>
  <c r="T162" i="46"/>
  <c r="T161" i="46"/>
  <c r="T160" i="46"/>
  <c r="T159" i="46"/>
  <c r="T158" i="46"/>
  <c r="T157" i="46"/>
  <c r="T156" i="46"/>
  <c r="T155" i="46"/>
  <c r="T154" i="46"/>
  <c r="T153" i="46"/>
  <c r="T152" i="46"/>
  <c r="T151" i="46"/>
  <c r="T150" i="46"/>
  <c r="T149" i="46"/>
  <c r="T148" i="46"/>
  <c r="T147" i="46"/>
  <c r="T146" i="46"/>
  <c r="T145" i="46"/>
  <c r="T144" i="46"/>
  <c r="T143" i="46"/>
  <c r="T142" i="46"/>
  <c r="T141" i="46"/>
  <c r="T140" i="46"/>
  <c r="T139" i="46"/>
  <c r="T138" i="46"/>
  <c r="T137" i="46"/>
  <c r="T136" i="46"/>
  <c r="T135" i="46"/>
  <c r="T134" i="46"/>
  <c r="T133" i="46"/>
  <c r="T132" i="46"/>
  <c r="T131" i="46"/>
  <c r="T130" i="46"/>
  <c r="T129" i="46"/>
  <c r="T128" i="46"/>
  <c r="T127" i="46"/>
  <c r="T126" i="46"/>
  <c r="T125" i="46"/>
  <c r="T124" i="46"/>
  <c r="T123" i="46"/>
  <c r="T122" i="46"/>
  <c r="T121" i="46"/>
  <c r="T120" i="46"/>
  <c r="T119" i="46"/>
  <c r="T118" i="46"/>
  <c r="T117" i="46"/>
  <c r="T116" i="46"/>
  <c r="T115" i="46"/>
  <c r="T114" i="46"/>
  <c r="T113" i="46"/>
  <c r="T112" i="46"/>
  <c r="T111" i="46"/>
  <c r="T110" i="46"/>
  <c r="T109" i="46"/>
  <c r="T108" i="46"/>
  <c r="T107" i="46"/>
  <c r="T106" i="46"/>
  <c r="T105" i="46"/>
  <c r="T104" i="46"/>
  <c r="T103" i="46"/>
  <c r="T102" i="46"/>
  <c r="T101" i="46"/>
  <c r="T100" i="46"/>
  <c r="T99" i="46"/>
  <c r="T98" i="46"/>
  <c r="T97" i="46"/>
  <c r="T96" i="46"/>
  <c r="T95" i="46"/>
  <c r="T94" i="46"/>
  <c r="T93" i="46"/>
  <c r="T92" i="46"/>
  <c r="T91" i="46"/>
  <c r="T90" i="46"/>
  <c r="T89" i="46"/>
  <c r="T88" i="46"/>
  <c r="T87" i="46"/>
  <c r="T86" i="46"/>
  <c r="T85" i="46"/>
  <c r="T84" i="46"/>
  <c r="T83" i="46"/>
  <c r="T82" i="46"/>
  <c r="T81" i="46"/>
  <c r="T80" i="46"/>
  <c r="T79" i="46"/>
  <c r="T78" i="46"/>
  <c r="T77" i="46"/>
  <c r="T76" i="46"/>
  <c r="T75" i="46"/>
  <c r="T74" i="46"/>
  <c r="T73" i="46"/>
  <c r="T72" i="46"/>
  <c r="T71" i="46"/>
  <c r="T70" i="46"/>
  <c r="T69" i="46"/>
  <c r="T68" i="46"/>
  <c r="T67" i="46"/>
  <c r="T66" i="46"/>
  <c r="T65" i="46"/>
  <c r="T64" i="46"/>
  <c r="T63" i="46"/>
  <c r="T62" i="46"/>
  <c r="T61" i="46"/>
  <c r="T60" i="46"/>
  <c r="T59" i="46"/>
  <c r="T58" i="46"/>
  <c r="T57" i="46"/>
  <c r="T56" i="46"/>
  <c r="T55" i="46"/>
  <c r="T54" i="46"/>
  <c r="T53" i="46"/>
  <c r="T52" i="46"/>
  <c r="T51" i="46"/>
  <c r="T50" i="46"/>
  <c r="T49" i="46"/>
  <c r="T48" i="46"/>
  <c r="T47" i="46"/>
  <c r="T46" i="46"/>
  <c r="T45" i="46"/>
  <c r="T44" i="46"/>
  <c r="T43" i="46"/>
  <c r="T42" i="46"/>
  <c r="T41" i="46"/>
  <c r="T40" i="46"/>
  <c r="T39" i="46"/>
  <c r="T38" i="46"/>
  <c r="T37" i="46"/>
  <c r="T36" i="46"/>
  <c r="T35" i="46"/>
  <c r="T34" i="46"/>
  <c r="T33" i="46"/>
  <c r="T32" i="46"/>
  <c r="T31" i="46"/>
  <c r="T30" i="46"/>
  <c r="T29" i="46"/>
  <c r="T28" i="46"/>
  <c r="T27" i="46"/>
  <c r="T26" i="46"/>
  <c r="T25" i="46"/>
  <c r="T24" i="46"/>
  <c r="T23" i="46"/>
  <c r="T22" i="46"/>
  <c r="T21" i="46"/>
  <c r="T20" i="46"/>
  <c r="T19" i="46"/>
  <c r="T18" i="46"/>
  <c r="T17" i="46"/>
  <c r="T16" i="46"/>
  <c r="T15" i="46"/>
  <c r="T14" i="46"/>
  <c r="T13" i="46"/>
  <c r="T12" i="46"/>
  <c r="T11" i="46"/>
  <c r="T10" i="46"/>
  <c r="T9" i="46"/>
  <c r="T8" i="46"/>
  <c r="T7" i="46"/>
  <c r="T6" i="46"/>
  <c r="AJ571" i="40"/>
  <c r="AJ570" i="40"/>
  <c r="AJ569" i="40"/>
  <c r="AJ567" i="40"/>
  <c r="AJ37" i="40"/>
  <c r="AJ21" i="40"/>
  <c r="AJ20" i="40"/>
  <c r="AJ13" i="40"/>
  <c r="AJ11" i="40"/>
  <c r="U575" i="40"/>
  <c r="T575" i="40"/>
  <c r="Q575" i="40"/>
  <c r="V575" i="40"/>
  <c r="M575" i="40"/>
  <c r="U574" i="40"/>
  <c r="T574" i="40"/>
  <c r="Q574" i="40"/>
  <c r="V574" i="40"/>
  <c r="M574" i="40"/>
  <c r="U573" i="40"/>
  <c r="T573" i="40"/>
  <c r="Q573" i="40"/>
  <c r="V573" i="40"/>
  <c r="M573" i="40"/>
  <c r="DP584" i="40"/>
  <c r="DO584" i="40"/>
  <c r="DN584" i="40"/>
  <c r="DM584" i="40"/>
  <c r="DL584" i="40"/>
  <c r="DK584" i="40"/>
  <c r="DJ584" i="40"/>
  <c r="DI584" i="40"/>
  <c r="DH584" i="40"/>
  <c r="DG584" i="40"/>
  <c r="DF584" i="40"/>
  <c r="DE584" i="40"/>
  <c r="DD584" i="40"/>
  <c r="DC584" i="40"/>
  <c r="DB584" i="40"/>
  <c r="DA584" i="40"/>
  <c r="CZ584" i="40"/>
  <c r="CY584" i="40"/>
  <c r="CX584" i="40"/>
  <c r="CW584" i="40"/>
  <c r="CV584" i="40"/>
  <c r="CU584" i="40"/>
  <c r="CT584" i="40"/>
  <c r="CS584" i="40"/>
  <c r="CR584" i="40"/>
  <c r="CQ584" i="40"/>
  <c r="CP584" i="40"/>
  <c r="CO584" i="40"/>
  <c r="CN584" i="40"/>
  <c r="CM584" i="40"/>
  <c r="CL584" i="40"/>
  <c r="CK584" i="40"/>
  <c r="CJ584" i="40"/>
  <c r="CI584" i="40"/>
  <c r="CH584" i="40"/>
  <c r="CG584" i="40"/>
  <c r="CF584" i="40"/>
  <c r="CE584" i="40"/>
  <c r="CD584" i="40"/>
  <c r="CC584" i="40"/>
  <c r="CB584" i="40"/>
  <c r="CA584" i="40"/>
  <c r="BZ584" i="40"/>
  <c r="BY584" i="40"/>
  <c r="BX584" i="40"/>
  <c r="BW584" i="40"/>
  <c r="BV584" i="40"/>
  <c r="BU584" i="40"/>
  <c r="BT584" i="40"/>
  <c r="BS584" i="40"/>
  <c r="BR584" i="40"/>
  <c r="BQ584" i="40"/>
  <c r="BP584" i="40"/>
  <c r="BO584" i="40"/>
  <c r="BN584" i="40"/>
  <c r="BM584" i="40"/>
  <c r="BL584" i="40"/>
  <c r="BK584" i="40"/>
  <c r="BJ584" i="40"/>
  <c r="BI584" i="40"/>
  <c r="BH584" i="40"/>
  <c r="BG584" i="40"/>
  <c r="BF584" i="40"/>
  <c r="BE584" i="40"/>
  <c r="BD584" i="40"/>
  <c r="BC584" i="40"/>
  <c r="BB584" i="40"/>
  <c r="BA584" i="40"/>
  <c r="AZ584" i="40"/>
  <c r="AY584" i="40"/>
  <c r="AX584" i="40"/>
  <c r="AW584" i="40"/>
  <c r="AV584" i="40"/>
  <c r="AU584" i="40"/>
  <c r="AT584" i="40"/>
  <c r="AS584" i="40"/>
  <c r="AR584" i="40"/>
  <c r="AQ584" i="40"/>
  <c r="AP584" i="40"/>
  <c r="AO584" i="40"/>
  <c r="AN584" i="40"/>
  <c r="AM584" i="40"/>
  <c r="AL584" i="40"/>
  <c r="AK584" i="40"/>
  <c r="AJ584" i="40"/>
  <c r="AI584" i="40"/>
  <c r="AG584" i="40"/>
  <c r="AF584" i="40"/>
  <c r="AE584" i="40"/>
  <c r="AD584" i="40"/>
  <c r="AC584" i="40"/>
  <c r="AB584" i="40"/>
  <c r="AA584" i="40"/>
  <c r="U584" i="40"/>
  <c r="T584" i="40"/>
  <c r="Q584" i="40"/>
  <c r="V584" i="40"/>
  <c r="M584" i="40"/>
  <c r="AH584" i="40" s="1"/>
  <c r="DP583" i="40"/>
  <c r="DO583" i="40"/>
  <c r="DN583" i="40"/>
  <c r="DM583" i="40"/>
  <c r="DL583" i="40"/>
  <c r="DK583" i="40"/>
  <c r="DJ583" i="40"/>
  <c r="DI583" i="40"/>
  <c r="DH583" i="40"/>
  <c r="DG583" i="40"/>
  <c r="DF583" i="40"/>
  <c r="DE583" i="40"/>
  <c r="DD583" i="40"/>
  <c r="DC583" i="40"/>
  <c r="DB583" i="40"/>
  <c r="DA583" i="40"/>
  <c r="CZ583" i="40"/>
  <c r="CY583" i="40"/>
  <c r="CX583" i="40"/>
  <c r="CW583" i="40"/>
  <c r="CV583" i="40"/>
  <c r="CU583" i="40"/>
  <c r="CT583" i="40"/>
  <c r="CS583" i="40"/>
  <c r="CR583" i="40"/>
  <c r="CQ583" i="40"/>
  <c r="CP583" i="40"/>
  <c r="CO583" i="40"/>
  <c r="CN583" i="40"/>
  <c r="CM583" i="40"/>
  <c r="CL583" i="40"/>
  <c r="CK583" i="40"/>
  <c r="CJ583" i="40"/>
  <c r="CI583" i="40"/>
  <c r="CH583" i="40"/>
  <c r="CG583" i="40"/>
  <c r="CF583" i="40"/>
  <c r="CE583" i="40"/>
  <c r="CD583" i="40"/>
  <c r="CC583" i="40"/>
  <c r="CB583" i="40"/>
  <c r="CA583" i="40"/>
  <c r="BZ583" i="40"/>
  <c r="BY583" i="40"/>
  <c r="BX583" i="40"/>
  <c r="BW583" i="40"/>
  <c r="BV583" i="40"/>
  <c r="BU583" i="40"/>
  <c r="BT583" i="40"/>
  <c r="BS583" i="40"/>
  <c r="BR583" i="40"/>
  <c r="BQ583" i="40"/>
  <c r="BP583" i="40"/>
  <c r="BO583" i="40"/>
  <c r="BN583" i="40"/>
  <c r="BM583" i="40"/>
  <c r="BL583" i="40"/>
  <c r="BK583" i="40"/>
  <c r="BJ583" i="40"/>
  <c r="BI583" i="40"/>
  <c r="BH583" i="40"/>
  <c r="BG583" i="40"/>
  <c r="BF583" i="40"/>
  <c r="BE583" i="40"/>
  <c r="BD583" i="40"/>
  <c r="BC583" i="40"/>
  <c r="BB583" i="40"/>
  <c r="BA583" i="40"/>
  <c r="AZ583" i="40"/>
  <c r="AY583" i="40"/>
  <c r="AX583" i="40"/>
  <c r="AW583" i="40"/>
  <c r="AV583" i="40"/>
  <c r="AU583" i="40"/>
  <c r="AT583" i="40"/>
  <c r="AS583" i="40"/>
  <c r="AR583" i="40"/>
  <c r="AQ583" i="40"/>
  <c r="AP583" i="40"/>
  <c r="AO583" i="40"/>
  <c r="AN583" i="40"/>
  <c r="AM583" i="40"/>
  <c r="AL583" i="40"/>
  <c r="AK583" i="40"/>
  <c r="AJ583" i="40"/>
  <c r="AI583" i="40"/>
  <c r="AH583" i="40"/>
  <c r="AF583" i="40"/>
  <c r="AE583" i="40"/>
  <c r="AD583" i="40"/>
  <c r="AC583" i="40"/>
  <c r="AB583" i="40"/>
  <c r="AA583" i="40"/>
  <c r="U583" i="40"/>
  <c r="T583" i="40"/>
  <c r="Q583" i="40"/>
  <c r="V583" i="40"/>
  <c r="M583" i="40"/>
  <c r="AG583" i="40" s="1"/>
  <c r="DP582" i="40"/>
  <c r="DO582" i="40"/>
  <c r="DN582" i="40"/>
  <c r="DM582" i="40"/>
  <c r="DL582" i="40"/>
  <c r="DK582" i="40"/>
  <c r="DJ582" i="40"/>
  <c r="DI582" i="40"/>
  <c r="DH582" i="40"/>
  <c r="DG582" i="40"/>
  <c r="DF582" i="40"/>
  <c r="DE582" i="40"/>
  <c r="DD582" i="40"/>
  <c r="DC582" i="40"/>
  <c r="DB582" i="40"/>
  <c r="DA582" i="40"/>
  <c r="CZ582" i="40"/>
  <c r="CY582" i="40"/>
  <c r="CX582" i="40"/>
  <c r="CW582" i="40"/>
  <c r="CV582" i="40"/>
  <c r="CU582" i="40"/>
  <c r="CT582" i="40"/>
  <c r="CS582" i="40"/>
  <c r="CR582" i="40"/>
  <c r="CQ582" i="40"/>
  <c r="CP582" i="40"/>
  <c r="CO582" i="40"/>
  <c r="CN582" i="40"/>
  <c r="CM582" i="40"/>
  <c r="CL582" i="40"/>
  <c r="CK582" i="40"/>
  <c r="CJ582" i="40"/>
  <c r="CI582" i="40"/>
  <c r="CH582" i="40"/>
  <c r="CG582" i="40"/>
  <c r="CF582" i="40"/>
  <c r="CE582" i="40"/>
  <c r="CD582" i="40"/>
  <c r="CC582" i="40"/>
  <c r="CB582" i="40"/>
  <c r="CA582" i="40"/>
  <c r="BZ582" i="40"/>
  <c r="BY582" i="40"/>
  <c r="BX582" i="40"/>
  <c r="BW582" i="40"/>
  <c r="BV582" i="40"/>
  <c r="BU582" i="40"/>
  <c r="BT582" i="40"/>
  <c r="BS582" i="40"/>
  <c r="BR582" i="40"/>
  <c r="BQ582" i="40"/>
  <c r="BP582" i="40"/>
  <c r="BO582" i="40"/>
  <c r="BN582" i="40"/>
  <c r="BM582" i="40"/>
  <c r="BL582" i="40"/>
  <c r="BK582" i="40"/>
  <c r="BJ582" i="40"/>
  <c r="BI582" i="40"/>
  <c r="BH582" i="40"/>
  <c r="BG582" i="40"/>
  <c r="BF582" i="40"/>
  <c r="BE582" i="40"/>
  <c r="BD582" i="40"/>
  <c r="BC582" i="40"/>
  <c r="BB582" i="40"/>
  <c r="BA582" i="40"/>
  <c r="AZ582" i="40"/>
  <c r="AY582" i="40"/>
  <c r="AX582" i="40"/>
  <c r="AW582" i="40"/>
  <c r="AV582" i="40"/>
  <c r="AU582" i="40"/>
  <c r="AT582" i="40"/>
  <c r="AS582" i="40"/>
  <c r="AR582" i="40"/>
  <c r="AQ582" i="40"/>
  <c r="AP582" i="40"/>
  <c r="AO582" i="40"/>
  <c r="AN582" i="40"/>
  <c r="AM582" i="40"/>
  <c r="AL582" i="40"/>
  <c r="AK582" i="40"/>
  <c r="AJ582" i="40"/>
  <c r="AI582" i="40"/>
  <c r="AH582" i="40"/>
  <c r="AG582" i="40"/>
  <c r="AF582" i="40"/>
  <c r="AE582" i="40"/>
  <c r="AD582" i="40"/>
  <c r="AC582" i="40"/>
  <c r="AA582" i="40"/>
  <c r="U582" i="40"/>
  <c r="X582" i="40"/>
  <c r="Q582" i="40"/>
  <c r="V582" i="40"/>
  <c r="M582" i="40"/>
  <c r="AB582" i="40" s="1"/>
  <c r="W34" i="40" l="1"/>
  <c r="X34" i="40"/>
  <c r="O34" i="40"/>
  <c r="AA32" i="40"/>
  <c r="X32" i="40"/>
  <c r="W32" i="40"/>
  <c r="O32" i="40"/>
  <c r="W587" i="40"/>
  <c r="X587" i="40"/>
  <c r="O587" i="40"/>
  <c r="W581" i="40"/>
  <c r="W580" i="40"/>
  <c r="X580" i="40"/>
  <c r="O580" i="40"/>
  <c r="T581" i="40"/>
  <c r="X574" i="40"/>
  <c r="W574" i="40"/>
  <c r="W575" i="40"/>
  <c r="O574" i="40"/>
  <c r="O575" i="40"/>
  <c r="X575" i="40"/>
  <c r="W573" i="40"/>
  <c r="O573" i="40"/>
  <c r="X573" i="40"/>
  <c r="X584" i="40"/>
  <c r="O583" i="40"/>
  <c r="O584" i="40"/>
  <c r="W583" i="40"/>
  <c r="W584" i="40"/>
  <c r="X583" i="40"/>
  <c r="W582" i="40"/>
  <c r="O582" i="40"/>
  <c r="T582" i="40"/>
  <c r="P64" i="41" l="1"/>
  <c r="O64" i="41"/>
  <c r="N64" i="41"/>
  <c r="M64" i="41"/>
  <c r="L64" i="41"/>
  <c r="K64" i="41"/>
  <c r="J64" i="41"/>
  <c r="I64" i="41"/>
  <c r="H64" i="41"/>
  <c r="G64" i="41"/>
  <c r="F64" i="41"/>
  <c r="E64" i="41"/>
  <c r="P63" i="41"/>
  <c r="O63" i="41"/>
  <c r="N63" i="41"/>
  <c r="M63" i="41"/>
  <c r="L63" i="41"/>
  <c r="K63" i="41"/>
  <c r="J63" i="41"/>
  <c r="I63" i="41"/>
  <c r="H63" i="41"/>
  <c r="G63" i="41"/>
  <c r="F63" i="41"/>
  <c r="E63" i="41"/>
  <c r="U1065" i="46"/>
  <c r="V1065" i="46" s="1"/>
  <c r="U1064" i="46"/>
  <c r="V1064" i="46" s="1"/>
  <c r="U1063" i="46"/>
  <c r="V1063" i="46" s="1"/>
  <c r="U1062" i="46"/>
  <c r="V1062" i="46" s="1"/>
  <c r="U1061" i="46"/>
  <c r="V1061" i="46" s="1"/>
  <c r="U1058" i="46"/>
  <c r="V1058" i="46" s="1"/>
  <c r="U1057" i="46"/>
  <c r="V1057" i="46" s="1"/>
  <c r="U1056" i="46"/>
  <c r="V1056" i="46" s="1"/>
  <c r="U1054" i="46"/>
  <c r="U1052" i="46"/>
  <c r="V1052" i="46" s="1"/>
  <c r="U1051" i="46"/>
  <c r="V1051" i="46" s="1"/>
  <c r="U1050" i="46"/>
  <c r="V1050" i="46" s="1"/>
  <c r="U1049" i="46"/>
  <c r="V1049" i="46" s="1"/>
  <c r="U1048" i="46"/>
  <c r="V1048" i="46" s="1"/>
  <c r="U1047" i="46"/>
  <c r="V1047" i="46" s="1"/>
  <c r="U1046" i="46"/>
  <c r="V1046" i="46" s="1"/>
  <c r="U1045" i="46"/>
  <c r="V1045" i="46" s="1"/>
  <c r="U1041" i="46"/>
  <c r="V1041" i="46" s="1"/>
  <c r="U1040" i="46"/>
  <c r="V1040" i="46" s="1"/>
  <c r="U1039" i="46"/>
  <c r="V1039" i="46" s="1"/>
  <c r="U1037" i="46"/>
  <c r="V1037" i="46" s="1"/>
  <c r="U1035" i="46"/>
  <c r="V1035" i="46" s="1"/>
  <c r="U1034" i="46"/>
  <c r="V1034" i="46" s="1"/>
  <c r="U1033" i="46"/>
  <c r="V1033" i="46" s="1"/>
  <c r="U1030" i="46"/>
  <c r="V1030" i="46" s="1"/>
  <c r="U1029" i="46"/>
  <c r="V1029" i="46" s="1"/>
  <c r="U1028" i="46"/>
  <c r="V1028" i="46" s="1"/>
  <c r="U1027" i="46"/>
  <c r="V1027" i="46" s="1"/>
  <c r="U1026" i="46"/>
  <c r="V1026" i="46" s="1"/>
  <c r="U1025" i="46"/>
  <c r="V1025" i="46" s="1"/>
  <c r="U1023" i="46"/>
  <c r="V1023" i="46" s="1"/>
  <c r="U1021" i="46"/>
  <c r="V1021" i="46" s="1"/>
  <c r="U1020" i="46"/>
  <c r="V1020" i="46" s="1"/>
  <c r="U1017" i="46"/>
  <c r="V1017" i="46" s="1"/>
  <c r="U1016" i="46"/>
  <c r="V1016" i="46" s="1"/>
  <c r="U1014" i="46"/>
  <c r="V1014" i="46" s="1"/>
  <c r="U1012" i="46"/>
  <c r="V1012" i="46" s="1"/>
  <c r="U1009" i="46"/>
  <c r="V1009" i="46" s="1"/>
  <c r="U1007" i="46"/>
  <c r="V1007" i="46" s="1"/>
  <c r="U1006" i="46"/>
  <c r="V1006" i="46" s="1"/>
  <c r="V1054" i="46"/>
  <c r="V1004" i="46"/>
  <c r="V917" i="46"/>
  <c r="V851" i="46"/>
  <c r="V796" i="46"/>
  <c r="V737" i="46"/>
  <c r="V660" i="46"/>
  <c r="V582" i="46"/>
  <c r="V499" i="46"/>
  <c r="V373" i="46"/>
  <c r="V309" i="46"/>
  <c r="U1000" i="46"/>
  <c r="V1000" i="46" s="1"/>
  <c r="U997" i="46"/>
  <c r="V997" i="46" s="1"/>
  <c r="U996" i="46"/>
  <c r="V996" i="46" s="1"/>
  <c r="U994" i="46"/>
  <c r="V994" i="46" s="1"/>
  <c r="U992" i="46"/>
  <c r="V992" i="46" s="1"/>
  <c r="U989" i="46"/>
  <c r="V989" i="46" s="1"/>
  <c r="U986" i="46"/>
  <c r="V986" i="46" s="1"/>
  <c r="U980" i="46"/>
  <c r="V980" i="46" s="1"/>
  <c r="U978" i="46"/>
  <c r="V978" i="46" s="1"/>
  <c r="U976" i="46"/>
  <c r="V976" i="46" s="1"/>
  <c r="U972" i="46"/>
  <c r="V972" i="46" s="1"/>
  <c r="U964" i="46"/>
  <c r="V964" i="46" s="1"/>
  <c r="U962" i="46"/>
  <c r="V962" i="46" s="1"/>
  <c r="U960" i="46"/>
  <c r="V960" i="46" s="1"/>
  <c r="U956" i="46"/>
  <c r="V956" i="46" s="1"/>
  <c r="U954" i="46"/>
  <c r="V954" i="46" s="1"/>
  <c r="U948" i="46"/>
  <c r="V948" i="46" s="1"/>
  <c r="U946" i="46"/>
  <c r="V946" i="46" s="1"/>
  <c r="U938" i="46"/>
  <c r="V938" i="46" s="1"/>
  <c r="U936" i="46"/>
  <c r="V936" i="46" s="1"/>
  <c r="U916" i="46"/>
  <c r="V916" i="46" s="1"/>
  <c r="U915" i="46"/>
  <c r="V915" i="46" s="1"/>
  <c r="U914" i="46"/>
  <c r="V914" i="46" s="1"/>
  <c r="U911" i="46"/>
  <c r="V911" i="46" s="1"/>
  <c r="U909" i="46"/>
  <c r="V909" i="46" s="1"/>
  <c r="U903" i="46"/>
  <c r="V903" i="46" s="1"/>
  <c r="U901" i="46"/>
  <c r="V901" i="46" s="1"/>
  <c r="U900" i="46"/>
  <c r="V900" i="46" s="1"/>
  <c r="U898" i="46"/>
  <c r="V898" i="46" s="1"/>
  <c r="U895" i="46"/>
  <c r="V895" i="46" s="1"/>
  <c r="U892" i="46"/>
  <c r="V892" i="46" s="1"/>
  <c r="U890" i="46"/>
  <c r="V890" i="46" s="1"/>
  <c r="U887" i="46"/>
  <c r="V887" i="46" s="1"/>
  <c r="U885" i="46"/>
  <c r="V885" i="46" s="1"/>
  <c r="U884" i="46"/>
  <c r="V884" i="46" s="1"/>
  <c r="U877" i="46"/>
  <c r="V877" i="46" s="1"/>
  <c r="U876" i="46"/>
  <c r="V876" i="46" s="1"/>
  <c r="U874" i="46"/>
  <c r="V874" i="46" s="1"/>
  <c r="U863" i="46"/>
  <c r="V863" i="46" s="1"/>
  <c r="U861" i="46"/>
  <c r="V861" i="46" s="1"/>
  <c r="U853" i="46"/>
  <c r="V853" i="46" s="1"/>
  <c r="U846" i="46"/>
  <c r="V846" i="46" s="1"/>
  <c r="U842" i="46"/>
  <c r="V842" i="46" s="1"/>
  <c r="U838" i="46"/>
  <c r="V838" i="46" s="1"/>
  <c r="U837" i="46"/>
  <c r="V837" i="46" s="1"/>
  <c r="U836" i="46"/>
  <c r="V836" i="46" s="1"/>
  <c r="U834" i="46"/>
  <c r="V834" i="46" s="1"/>
  <c r="U829" i="46"/>
  <c r="V829" i="46" s="1"/>
  <c r="U822" i="46"/>
  <c r="V822" i="46" s="1"/>
  <c r="U821" i="46"/>
  <c r="V821" i="46" s="1"/>
  <c r="U820" i="46"/>
  <c r="V820" i="46" s="1"/>
  <c r="U819" i="46"/>
  <c r="V819" i="46" s="1"/>
  <c r="U818" i="46"/>
  <c r="V818" i="46" s="1"/>
  <c r="U805" i="46"/>
  <c r="V805" i="46" s="1"/>
  <c r="U803" i="46"/>
  <c r="V803" i="46" s="1"/>
  <c r="U798" i="46"/>
  <c r="V798" i="46" s="1"/>
  <c r="U781" i="46"/>
  <c r="V781" i="46" s="1"/>
  <c r="U780" i="46"/>
  <c r="V780" i="46" s="1"/>
  <c r="U779" i="46"/>
  <c r="V779" i="46" s="1"/>
  <c r="U773" i="46"/>
  <c r="V773" i="46" s="1"/>
  <c r="U772" i="46"/>
  <c r="V772" i="46" s="1"/>
  <c r="U771" i="46"/>
  <c r="V771" i="46" s="1"/>
  <c r="U770" i="46"/>
  <c r="V770" i="46" s="1"/>
  <c r="U765" i="46"/>
  <c r="V765" i="46" s="1"/>
  <c r="U764" i="46"/>
  <c r="V764" i="46" s="1"/>
  <c r="U763" i="46"/>
  <c r="V763" i="46" s="1"/>
  <c r="U762" i="46"/>
  <c r="V762" i="46" s="1"/>
  <c r="U757" i="46"/>
  <c r="V757" i="46" s="1"/>
  <c r="U756" i="46"/>
  <c r="V756" i="46" s="1"/>
  <c r="U746" i="46"/>
  <c r="V746" i="46" s="1"/>
  <c r="U741" i="46"/>
  <c r="V741" i="46" s="1"/>
  <c r="U740" i="46"/>
  <c r="V740" i="46" s="1"/>
  <c r="U738" i="46"/>
  <c r="V738" i="46" s="1"/>
  <c r="U732" i="46"/>
  <c r="V732" i="46" s="1"/>
  <c r="U731" i="46"/>
  <c r="V731" i="46" s="1"/>
  <c r="U730" i="46"/>
  <c r="V730" i="46" s="1"/>
  <c r="U725" i="46"/>
  <c r="V725" i="46" s="1"/>
  <c r="U724" i="46"/>
  <c r="V724" i="46" s="1"/>
  <c r="U722" i="46"/>
  <c r="V722" i="46" s="1"/>
  <c r="U716" i="46"/>
  <c r="V716" i="46" s="1"/>
  <c r="U715" i="46"/>
  <c r="V715" i="46" s="1"/>
  <c r="U714" i="46"/>
  <c r="V714" i="46" s="1"/>
  <c r="U709" i="46"/>
  <c r="V709" i="46" s="1"/>
  <c r="U708" i="46"/>
  <c r="V708" i="46" s="1"/>
  <c r="U707" i="46"/>
  <c r="V707" i="46" s="1"/>
  <c r="U706" i="46"/>
  <c r="V706" i="46" s="1"/>
  <c r="U701" i="46"/>
  <c r="V701" i="46" s="1"/>
  <c r="U700" i="46"/>
  <c r="V700" i="46" s="1"/>
  <c r="U699" i="46"/>
  <c r="V699" i="46" s="1"/>
  <c r="U698" i="46"/>
  <c r="V698" i="46" s="1"/>
  <c r="U692" i="46"/>
  <c r="V692" i="46" s="1"/>
  <c r="U691" i="46"/>
  <c r="V691" i="46" s="1"/>
  <c r="U690" i="46"/>
  <c r="V690" i="46" s="1"/>
  <c r="U669" i="46"/>
  <c r="V669" i="46" s="1"/>
  <c r="U668" i="46"/>
  <c r="V668" i="46" s="1"/>
  <c r="U667" i="46"/>
  <c r="V667" i="46" s="1"/>
  <c r="U666" i="46"/>
  <c r="V666" i="46" s="1"/>
  <c r="U661" i="46"/>
  <c r="V661" i="46" s="1"/>
  <c r="U645" i="46"/>
  <c r="V645" i="46" s="1"/>
  <c r="U644" i="46"/>
  <c r="V644" i="46" s="1"/>
  <c r="U643" i="46"/>
  <c r="V643" i="46" s="1"/>
  <c r="U642" i="46"/>
  <c r="V642" i="46" s="1"/>
  <c r="U637" i="46"/>
  <c r="V637" i="46" s="1"/>
  <c r="U636" i="46"/>
  <c r="V636" i="46" s="1"/>
  <c r="U635" i="46"/>
  <c r="V635" i="46" s="1"/>
  <c r="U634" i="46"/>
  <c r="V634" i="46" s="1"/>
  <c r="U629" i="46"/>
  <c r="V629" i="46" s="1"/>
  <c r="U628" i="46"/>
  <c r="V628" i="46" s="1"/>
  <c r="U627" i="46"/>
  <c r="V627" i="46" s="1"/>
  <c r="U626" i="46"/>
  <c r="V626" i="46" s="1"/>
  <c r="U624" i="46"/>
  <c r="V624" i="46" s="1"/>
  <c r="U621" i="46"/>
  <c r="V621" i="46" s="1"/>
  <c r="U620" i="46"/>
  <c r="V620" i="46" s="1"/>
  <c r="U619" i="46"/>
  <c r="V619" i="46" s="1"/>
  <c r="U618" i="46"/>
  <c r="V618" i="46" s="1"/>
  <c r="U616" i="46"/>
  <c r="V616" i="46" s="1"/>
  <c r="U613" i="46"/>
  <c r="V613" i="46" s="1"/>
  <c r="U589" i="46"/>
  <c r="V589" i="46" s="1"/>
  <c r="U588" i="46"/>
  <c r="V588" i="46" s="1"/>
  <c r="U587" i="46"/>
  <c r="V587" i="46" s="1"/>
  <c r="U586" i="46"/>
  <c r="V586" i="46" s="1"/>
  <c r="U569" i="46"/>
  <c r="V569" i="46" s="1"/>
  <c r="U565" i="46"/>
  <c r="V565" i="46" s="1"/>
  <c r="U564" i="46"/>
  <c r="V564" i="46" s="1"/>
  <c r="U563" i="46"/>
  <c r="V563" i="46" s="1"/>
  <c r="U562" i="46"/>
  <c r="V562" i="46" s="1"/>
  <c r="U561" i="46"/>
  <c r="V561" i="46" s="1"/>
  <c r="U557" i="46"/>
  <c r="V557" i="46" s="1"/>
  <c r="U556" i="46"/>
  <c r="V556" i="46" s="1"/>
  <c r="U555" i="46"/>
  <c r="V555" i="46" s="1"/>
  <c r="U554" i="46"/>
  <c r="V554" i="46" s="1"/>
  <c r="U549" i="46"/>
  <c r="V549" i="46" s="1"/>
  <c r="U548" i="46"/>
  <c r="V548" i="46" s="1"/>
  <c r="U547" i="46"/>
  <c r="V547" i="46" s="1"/>
  <c r="U546" i="46"/>
  <c r="V546" i="46" s="1"/>
  <c r="U545" i="46"/>
  <c r="V545" i="46" s="1"/>
  <c r="U541" i="46"/>
  <c r="V541" i="46" s="1"/>
  <c r="U540" i="46"/>
  <c r="V540" i="46" s="1"/>
  <c r="U539" i="46"/>
  <c r="V539" i="46" s="1"/>
  <c r="U538" i="46"/>
  <c r="V538" i="46" s="1"/>
  <c r="U537" i="46"/>
  <c r="V537" i="46" s="1"/>
  <c r="U532" i="46"/>
  <c r="V532" i="46" s="1"/>
  <c r="U531" i="46"/>
  <c r="V531" i="46" s="1"/>
  <c r="U530" i="46"/>
  <c r="V530" i="46" s="1"/>
  <c r="U529" i="46"/>
  <c r="V529" i="46" s="1"/>
  <c r="U513" i="46"/>
  <c r="V513" i="46" s="1"/>
  <c r="U509" i="46"/>
  <c r="V509" i="46" s="1"/>
  <c r="U508" i="46"/>
  <c r="V508" i="46" s="1"/>
  <c r="U507" i="46"/>
  <c r="V507" i="46" s="1"/>
  <c r="U506" i="46"/>
  <c r="V506" i="46" s="1"/>
  <c r="U501" i="46"/>
  <c r="V501" i="46" s="1"/>
  <c r="U500" i="46"/>
  <c r="V500" i="46" s="1"/>
  <c r="U489" i="46"/>
  <c r="V489" i="46" s="1"/>
  <c r="U488" i="46"/>
  <c r="V488" i="46" s="1"/>
  <c r="U485" i="46"/>
  <c r="V485" i="46" s="1"/>
  <c r="U484" i="46"/>
  <c r="V484" i="46" s="1"/>
  <c r="U483" i="46"/>
  <c r="V483" i="46" s="1"/>
  <c r="U482" i="46"/>
  <c r="V482" i="46" s="1"/>
  <c r="U481" i="46"/>
  <c r="V481" i="46" s="1"/>
  <c r="U477" i="46"/>
  <c r="V477" i="46" s="1"/>
  <c r="U476" i="46"/>
  <c r="V476" i="46" s="1"/>
  <c r="U475" i="46"/>
  <c r="V475" i="46" s="1"/>
  <c r="U474" i="46"/>
  <c r="V474" i="46" s="1"/>
  <c r="U473" i="46"/>
  <c r="V473" i="46" s="1"/>
  <c r="U472" i="46"/>
  <c r="V472" i="46" s="1"/>
  <c r="U469" i="46"/>
  <c r="V469" i="46" s="1"/>
  <c r="U468" i="46"/>
  <c r="V468" i="46" s="1"/>
  <c r="U467" i="46"/>
  <c r="V467" i="46" s="1"/>
  <c r="U466" i="46"/>
  <c r="V466" i="46" s="1"/>
  <c r="U464" i="46"/>
  <c r="V464" i="46" s="1"/>
  <c r="U461" i="46"/>
  <c r="V461" i="46" s="1"/>
  <c r="U460" i="46"/>
  <c r="V460" i="46" s="1"/>
  <c r="U459" i="46"/>
  <c r="V459" i="46" s="1"/>
  <c r="U458" i="46"/>
  <c r="V458" i="46" s="1"/>
  <c r="U457" i="46"/>
  <c r="V457" i="46" s="1"/>
  <c r="U456" i="46"/>
  <c r="V456" i="46" s="1"/>
  <c r="U453" i="46"/>
  <c r="V453" i="46" s="1"/>
  <c r="U452" i="46"/>
  <c r="V452" i="46" s="1"/>
  <c r="U451" i="46"/>
  <c r="V451" i="46" s="1"/>
  <c r="U450" i="46"/>
  <c r="V450" i="46" s="1"/>
  <c r="U449" i="46"/>
  <c r="V449" i="46" s="1"/>
  <c r="U448" i="46"/>
  <c r="V448" i="46" s="1"/>
  <c r="U445" i="46"/>
  <c r="V445" i="46" s="1"/>
  <c r="U444" i="46"/>
  <c r="V444" i="46" s="1"/>
  <c r="U443" i="46"/>
  <c r="V443" i="46" s="1"/>
  <c r="U442" i="46"/>
  <c r="V442" i="46" s="1"/>
  <c r="U441" i="46"/>
  <c r="V441" i="46" s="1"/>
  <c r="U440" i="46"/>
  <c r="V440" i="46" s="1"/>
  <c r="U437" i="46"/>
  <c r="V437" i="46" s="1"/>
  <c r="U436" i="46"/>
  <c r="V436" i="46" s="1"/>
  <c r="U435" i="46"/>
  <c r="V435" i="46" s="1"/>
  <c r="U434" i="46"/>
  <c r="V434" i="46" s="1"/>
  <c r="U401" i="46"/>
  <c r="V401" i="46" s="1"/>
  <c r="U400" i="46"/>
  <c r="V400" i="46" s="1"/>
  <c r="U397" i="46"/>
  <c r="V397" i="46" s="1"/>
  <c r="U396" i="46"/>
  <c r="V396" i="46" s="1"/>
  <c r="U395" i="46"/>
  <c r="V395" i="46" s="1"/>
  <c r="U394" i="46"/>
  <c r="V394" i="46" s="1"/>
  <c r="U393" i="46"/>
  <c r="V393" i="46" s="1"/>
  <c r="U392" i="46"/>
  <c r="V392" i="46" s="1"/>
  <c r="U389" i="46"/>
  <c r="V389" i="46" s="1"/>
  <c r="U388" i="46"/>
  <c r="V388" i="46" s="1"/>
  <c r="U386" i="46"/>
  <c r="V386" i="46" s="1"/>
  <c r="U385" i="46"/>
  <c r="V385" i="46" s="1"/>
  <c r="U384" i="46"/>
  <c r="V384" i="46" s="1"/>
  <c r="U381" i="46"/>
  <c r="V381" i="46" s="1"/>
  <c r="U380" i="46"/>
  <c r="V380" i="46" s="1"/>
  <c r="U379" i="46"/>
  <c r="V379" i="46" s="1"/>
  <c r="U378" i="46"/>
  <c r="V378" i="46" s="1"/>
  <c r="U377" i="46"/>
  <c r="V377" i="46" s="1"/>
  <c r="U376" i="46"/>
  <c r="V376" i="46" s="1"/>
  <c r="U364" i="46"/>
  <c r="V364" i="46" s="1"/>
  <c r="U363" i="46"/>
  <c r="V363" i="46" s="1"/>
  <c r="U362" i="46"/>
  <c r="V362" i="46" s="1"/>
  <c r="U359" i="46"/>
  <c r="V359" i="46" s="1"/>
  <c r="U356" i="46"/>
  <c r="V356" i="46" s="1"/>
  <c r="U355" i="46"/>
  <c r="V355" i="46" s="1"/>
  <c r="U354" i="46"/>
  <c r="V354" i="46" s="1"/>
  <c r="U352" i="46"/>
  <c r="V352" i="46" s="1"/>
  <c r="U351" i="46"/>
  <c r="V351" i="46" s="1"/>
  <c r="U349" i="46"/>
  <c r="V349" i="46" s="1"/>
  <c r="U348" i="46"/>
  <c r="V348" i="46" s="1"/>
  <c r="U347" i="46"/>
  <c r="V347" i="46" s="1"/>
  <c r="U346" i="46"/>
  <c r="V346" i="46" s="1"/>
  <c r="U344" i="46"/>
  <c r="V344" i="46" s="1"/>
  <c r="U341" i="46"/>
  <c r="V341" i="46" s="1"/>
  <c r="U340" i="46"/>
  <c r="V340" i="46" s="1"/>
  <c r="U335" i="46"/>
  <c r="V335" i="46" s="1"/>
  <c r="U333" i="46"/>
  <c r="V333" i="46" s="1"/>
  <c r="U332" i="46"/>
  <c r="V332" i="46" s="1"/>
  <c r="U331" i="46"/>
  <c r="V331" i="46" s="1"/>
  <c r="U330" i="46"/>
  <c r="V330" i="46" s="1"/>
  <c r="U317" i="46"/>
  <c r="V317" i="46" s="1"/>
  <c r="U316" i="46"/>
  <c r="V316" i="46" s="1"/>
  <c r="U315" i="46"/>
  <c r="V315" i="46" s="1"/>
  <c r="U314" i="46"/>
  <c r="V314" i="46" s="1"/>
  <c r="U312" i="46"/>
  <c r="V312" i="46" s="1"/>
  <c r="U311" i="46"/>
  <c r="V311" i="46" s="1"/>
  <c r="U298" i="46"/>
  <c r="V298" i="46" s="1"/>
  <c r="U295" i="46"/>
  <c r="V295" i="46" s="1"/>
  <c r="U294" i="46"/>
  <c r="V294" i="46" s="1"/>
  <c r="U293" i="46"/>
  <c r="V293" i="46" s="1"/>
  <c r="U292" i="46"/>
  <c r="V292" i="46" s="1"/>
  <c r="U290" i="46"/>
  <c r="V290" i="46" s="1"/>
  <c r="U287" i="46"/>
  <c r="V287" i="46" s="1"/>
  <c r="U285" i="46"/>
  <c r="V285" i="46" s="1"/>
  <c r="U284" i="46"/>
  <c r="V284" i="46" s="1"/>
  <c r="U283" i="46"/>
  <c r="V283" i="46" s="1"/>
  <c r="U282" i="46"/>
  <c r="V282" i="46" s="1"/>
  <c r="U279" i="46"/>
  <c r="V279" i="46" s="1"/>
  <c r="U278" i="46"/>
  <c r="V278" i="46" s="1"/>
  <c r="U277" i="46"/>
  <c r="V277" i="46" s="1"/>
  <c r="U276" i="46"/>
  <c r="V276" i="46" s="1"/>
  <c r="U275" i="46"/>
  <c r="V275" i="46" s="1"/>
  <c r="U274" i="46"/>
  <c r="V274" i="46" s="1"/>
  <c r="U271" i="46"/>
  <c r="V271" i="46" s="1"/>
  <c r="U270" i="46"/>
  <c r="V270" i="46" s="1"/>
  <c r="U269" i="46"/>
  <c r="V269" i="46" s="1"/>
  <c r="U268" i="46"/>
  <c r="V268" i="46" s="1"/>
  <c r="U267" i="46"/>
  <c r="V267" i="46" s="1"/>
  <c r="U266" i="46"/>
  <c r="V266" i="46" s="1"/>
  <c r="U263" i="46"/>
  <c r="V263" i="46" s="1"/>
  <c r="U261" i="46"/>
  <c r="V261" i="46" s="1"/>
  <c r="U260" i="46"/>
  <c r="V260" i="46" s="1"/>
  <c r="U259" i="46"/>
  <c r="V259" i="46" s="1"/>
  <c r="U258" i="46"/>
  <c r="V258" i="46" s="1"/>
  <c r="U255" i="46"/>
  <c r="V255" i="46" s="1"/>
  <c r="U254" i="46"/>
  <c r="V254" i="46" s="1"/>
  <c r="U253" i="46"/>
  <c r="V253" i="46" s="1"/>
  <c r="U252" i="46"/>
  <c r="V252" i="46" s="1"/>
  <c r="U251" i="46"/>
  <c r="V251" i="46" s="1"/>
  <c r="U250" i="46"/>
  <c r="V250" i="46" s="1"/>
  <c r="U247" i="46"/>
  <c r="V247" i="46" s="1"/>
  <c r="U246" i="46"/>
  <c r="V246" i="46" s="1"/>
  <c r="U244" i="46"/>
  <c r="V244" i="46" s="1"/>
  <c r="U243" i="46"/>
  <c r="V243" i="46" s="1"/>
  <c r="U242" i="46"/>
  <c r="V242" i="46" s="1"/>
  <c r="U240" i="46"/>
  <c r="V240" i="46" s="1"/>
  <c r="U239" i="46"/>
  <c r="V239" i="46" s="1"/>
  <c r="U238" i="46"/>
  <c r="V238" i="46" s="1"/>
  <c r="U237" i="46"/>
  <c r="V237" i="46" s="1"/>
  <c r="U236" i="46"/>
  <c r="V236" i="46" s="1"/>
  <c r="U235" i="46"/>
  <c r="V235" i="46" s="1"/>
  <c r="U234" i="46"/>
  <c r="V234" i="46" s="1"/>
  <c r="U232" i="46"/>
  <c r="V232" i="46" s="1"/>
  <c r="U231" i="46"/>
  <c r="V231" i="46" s="1"/>
  <c r="U230" i="46"/>
  <c r="V230" i="46" s="1"/>
  <c r="U229" i="46"/>
  <c r="V229" i="46" s="1"/>
  <c r="U228" i="46"/>
  <c r="V228" i="46" s="1"/>
  <c r="U227" i="46"/>
  <c r="V227" i="46" s="1"/>
  <c r="U223" i="46"/>
  <c r="V223" i="46" s="1"/>
  <c r="U222" i="46"/>
  <c r="V222" i="46" s="1"/>
  <c r="U221" i="46"/>
  <c r="V221" i="46" s="1"/>
  <c r="U220" i="46"/>
  <c r="V220" i="46" s="1"/>
  <c r="U219" i="46"/>
  <c r="V219" i="46" s="1"/>
  <c r="U218" i="46"/>
  <c r="V218" i="46" s="1"/>
  <c r="U216" i="46"/>
  <c r="V216" i="46" s="1"/>
  <c r="U181" i="46"/>
  <c r="V181" i="46" s="1"/>
  <c r="U180" i="46"/>
  <c r="V180" i="46" s="1"/>
  <c r="U178" i="46"/>
  <c r="V178" i="46" s="1"/>
  <c r="U175" i="46"/>
  <c r="V175" i="46" s="1"/>
  <c r="U174" i="46"/>
  <c r="V174" i="46" s="1"/>
  <c r="U173" i="46"/>
  <c r="V173" i="46" s="1"/>
  <c r="U172" i="46"/>
  <c r="V172" i="46" s="1"/>
  <c r="U171" i="46"/>
  <c r="V171" i="46" s="1"/>
  <c r="U170" i="46"/>
  <c r="V170" i="46" s="1"/>
  <c r="U167" i="46"/>
  <c r="V167" i="46" s="1"/>
  <c r="U165" i="46"/>
  <c r="V165" i="46" s="1"/>
  <c r="U164" i="46"/>
  <c r="V164" i="46" s="1"/>
  <c r="U163" i="46"/>
  <c r="V163" i="46" s="1"/>
  <c r="U159" i="46"/>
  <c r="V159" i="46" s="1"/>
  <c r="U158" i="46"/>
  <c r="V158" i="46" s="1"/>
  <c r="U157" i="46"/>
  <c r="V157" i="46" s="1"/>
  <c r="U156" i="46"/>
  <c r="V156" i="46" s="1"/>
  <c r="U155" i="46"/>
  <c r="V155" i="46" s="1"/>
  <c r="U154" i="46"/>
  <c r="V154" i="46" s="1"/>
  <c r="U151" i="46"/>
  <c r="V151" i="46" s="1"/>
  <c r="U150" i="46"/>
  <c r="V150" i="46" s="1"/>
  <c r="U143" i="46"/>
  <c r="V143" i="46" s="1"/>
  <c r="U142" i="46"/>
  <c r="V142" i="46" s="1"/>
  <c r="U141" i="46"/>
  <c r="V141" i="46" s="1"/>
  <c r="U140" i="46"/>
  <c r="V140" i="46" s="1"/>
  <c r="U139" i="46"/>
  <c r="V139" i="46" s="1"/>
  <c r="U138" i="46"/>
  <c r="V138" i="46" s="1"/>
  <c r="U135" i="46"/>
  <c r="V135" i="46" s="1"/>
  <c r="U134" i="46"/>
  <c r="V134" i="46" s="1"/>
  <c r="U133" i="46"/>
  <c r="V133" i="46" s="1"/>
  <c r="U132" i="46"/>
  <c r="V132" i="46" s="1"/>
  <c r="U131" i="46"/>
  <c r="V131" i="46" s="1"/>
  <c r="U130" i="46"/>
  <c r="V130" i="46" s="1"/>
  <c r="U125" i="46"/>
  <c r="V125" i="46" s="1"/>
  <c r="U124" i="46"/>
  <c r="V124" i="46" s="1"/>
  <c r="U123" i="46"/>
  <c r="V123" i="46" s="1"/>
  <c r="U119" i="46"/>
  <c r="V119" i="46" s="1"/>
  <c r="U118" i="46"/>
  <c r="V118" i="46" s="1"/>
  <c r="U117" i="46"/>
  <c r="V117" i="46" s="1"/>
  <c r="U116" i="46"/>
  <c r="V116" i="46" s="1"/>
  <c r="U115" i="46"/>
  <c r="V115" i="46" s="1"/>
  <c r="U114" i="46"/>
  <c r="V114" i="46" s="1"/>
  <c r="U111" i="46"/>
  <c r="V111" i="46" s="1"/>
  <c r="U110" i="46"/>
  <c r="V110" i="46" s="1"/>
  <c r="U109" i="46"/>
  <c r="V109" i="46" s="1"/>
  <c r="U108" i="46"/>
  <c r="V108" i="46" s="1"/>
  <c r="U107" i="46"/>
  <c r="V107" i="46" s="1"/>
  <c r="U103" i="46"/>
  <c r="V103" i="46" s="1"/>
  <c r="U102" i="46"/>
  <c r="V102" i="46" s="1"/>
  <c r="U101" i="46"/>
  <c r="V101" i="46" s="1"/>
  <c r="U100" i="46"/>
  <c r="V100" i="46" s="1"/>
  <c r="U99" i="46"/>
  <c r="V99" i="46" s="1"/>
  <c r="U98" i="46"/>
  <c r="V98" i="46" s="1"/>
  <c r="U95" i="46"/>
  <c r="V95" i="46" s="1"/>
  <c r="U94" i="46"/>
  <c r="V94" i="46" s="1"/>
  <c r="U82" i="46"/>
  <c r="V82" i="46" s="1"/>
  <c r="U81" i="46"/>
  <c r="V81" i="46" s="1"/>
  <c r="U79" i="46"/>
  <c r="V79" i="46" s="1"/>
  <c r="U78" i="46"/>
  <c r="V78" i="46" s="1"/>
  <c r="U77" i="46"/>
  <c r="V77" i="46" s="1"/>
  <c r="U76" i="46"/>
  <c r="V76" i="46" s="1"/>
  <c r="U75" i="46"/>
  <c r="V75" i="46" s="1"/>
  <c r="U74" i="46"/>
  <c r="V74" i="46" s="1"/>
  <c r="U69" i="46"/>
  <c r="V69" i="46" s="1"/>
  <c r="U68" i="46"/>
  <c r="V68" i="46" s="1"/>
  <c r="U67" i="46"/>
  <c r="V67" i="46" s="1"/>
  <c r="U66" i="46"/>
  <c r="V66" i="46" s="1"/>
  <c r="U63" i="46"/>
  <c r="V63" i="46" s="1"/>
  <c r="U61" i="46"/>
  <c r="V61" i="46" s="1"/>
  <c r="U60" i="46"/>
  <c r="V60" i="46" s="1"/>
  <c r="U59" i="46"/>
  <c r="V59" i="46" s="1"/>
  <c r="U58" i="46"/>
  <c r="V58" i="46" s="1"/>
  <c r="U55" i="46"/>
  <c r="V55" i="46" s="1"/>
  <c r="U54" i="46"/>
  <c r="V54" i="46" s="1"/>
  <c r="U53" i="46"/>
  <c r="V53" i="46" s="1"/>
  <c r="U52" i="46"/>
  <c r="V52" i="46" s="1"/>
  <c r="U50" i="46"/>
  <c r="V50" i="46" s="1"/>
  <c r="U49" i="46"/>
  <c r="V49" i="46" s="1"/>
  <c r="U47" i="46"/>
  <c r="V47" i="46" s="1"/>
  <c r="U46" i="46"/>
  <c r="V46" i="46" s="1"/>
  <c r="U45" i="46"/>
  <c r="V45" i="46" s="1"/>
  <c r="U44" i="46"/>
  <c r="V44" i="46" s="1"/>
  <c r="U43" i="46"/>
  <c r="V43" i="46" s="1"/>
  <c r="U42" i="46"/>
  <c r="V42" i="46" s="1"/>
  <c r="U39" i="46"/>
  <c r="V39" i="46" s="1"/>
  <c r="U38" i="46"/>
  <c r="V38" i="46" s="1"/>
  <c r="U37" i="46"/>
  <c r="V37" i="46" s="1"/>
  <c r="U36" i="46"/>
  <c r="V36" i="46" s="1"/>
  <c r="U34" i="46"/>
  <c r="V34" i="46" s="1"/>
  <c r="U31" i="46"/>
  <c r="V31" i="46" s="1"/>
  <c r="U30" i="46"/>
  <c r="V30" i="46" s="1"/>
  <c r="U29" i="46"/>
  <c r="V29" i="46" s="1"/>
  <c r="U28" i="46"/>
  <c r="V28" i="46" s="1"/>
  <c r="U27" i="46"/>
  <c r="V27" i="46" s="1"/>
  <c r="U26" i="46"/>
  <c r="V26" i="46" s="1"/>
  <c r="U25" i="46"/>
  <c r="V25" i="46" s="1"/>
  <c r="U23" i="46"/>
  <c r="V23" i="46" s="1"/>
  <c r="U22" i="46"/>
  <c r="V22" i="46" s="1"/>
  <c r="U21" i="46"/>
  <c r="V21" i="46" s="1"/>
  <c r="U20" i="46"/>
  <c r="V20" i="46" s="1"/>
  <c r="U19" i="46"/>
  <c r="V19" i="46" s="1"/>
  <c r="U9" i="46"/>
  <c r="V9" i="46" s="1"/>
  <c r="U6" i="46"/>
  <c r="V6" i="46" s="1"/>
  <c r="U999" i="46"/>
  <c r="V999" i="46" s="1"/>
  <c r="U998" i="46"/>
  <c r="V998" i="46" s="1"/>
  <c r="U983" i="46"/>
  <c r="V983" i="46" s="1"/>
  <c r="U975" i="46"/>
  <c r="V975" i="46" s="1"/>
  <c r="U974" i="46"/>
  <c r="V974" i="46" s="1"/>
  <c r="U958" i="46"/>
  <c r="V958" i="46" s="1"/>
  <c r="U942" i="46"/>
  <c r="V942" i="46" s="1"/>
  <c r="U926" i="46"/>
  <c r="V926" i="46" s="1"/>
  <c r="U910" i="46"/>
  <c r="V910" i="46" s="1"/>
  <c r="U908" i="46"/>
  <c r="V908" i="46" s="1"/>
  <c r="U906" i="46"/>
  <c r="V906" i="46" s="1"/>
  <c r="U894" i="46"/>
  <c r="V894" i="46" s="1"/>
  <c r="U886" i="46"/>
  <c r="V886" i="46" s="1"/>
  <c r="U870" i="46"/>
  <c r="V870" i="46" s="1"/>
  <c r="U857" i="46"/>
  <c r="V857" i="46" s="1"/>
  <c r="U849" i="46"/>
  <c r="V849" i="46" s="1"/>
  <c r="U817" i="46"/>
  <c r="V817" i="46" s="1"/>
  <c r="U809" i="46"/>
  <c r="V809" i="46" s="1"/>
  <c r="U800" i="46"/>
  <c r="V800" i="46" s="1"/>
  <c r="U785" i="46"/>
  <c r="V785" i="46" s="1"/>
  <c r="U784" i="46"/>
  <c r="V784" i="46" s="1"/>
  <c r="U777" i="46"/>
  <c r="V777" i="46" s="1"/>
  <c r="U776" i="46"/>
  <c r="V776" i="46" s="1"/>
  <c r="U774" i="46"/>
  <c r="V774" i="46" s="1"/>
  <c r="U768" i="46"/>
  <c r="V768" i="46" s="1"/>
  <c r="U766" i="46"/>
  <c r="V766" i="46" s="1"/>
  <c r="U761" i="46"/>
  <c r="V761" i="46" s="1"/>
  <c r="U760" i="46"/>
  <c r="V760" i="46" s="1"/>
  <c r="U745" i="46"/>
  <c r="V745" i="46" s="1"/>
  <c r="U744" i="46"/>
  <c r="V744" i="46" s="1"/>
  <c r="U728" i="46"/>
  <c r="V728" i="46" s="1"/>
  <c r="U720" i="46"/>
  <c r="V720" i="46" s="1"/>
  <c r="U718" i="46"/>
  <c r="V718" i="46" s="1"/>
  <c r="U713" i="46"/>
  <c r="V713" i="46" s="1"/>
  <c r="U712" i="46"/>
  <c r="V712" i="46" s="1"/>
  <c r="U710" i="46"/>
  <c r="V710" i="46" s="1"/>
  <c r="U704" i="46"/>
  <c r="V704" i="46" s="1"/>
  <c r="U702" i="46"/>
  <c r="V702" i="46" s="1"/>
  <c r="U697" i="46"/>
  <c r="V697" i="46" s="1"/>
  <c r="U696" i="46"/>
  <c r="V696" i="46" s="1"/>
  <c r="U694" i="46"/>
  <c r="V694" i="46" s="1"/>
  <c r="U689" i="46"/>
  <c r="V689" i="46" s="1"/>
  <c r="U688" i="46"/>
  <c r="V688" i="46" s="1"/>
  <c r="U670" i="46"/>
  <c r="V670" i="46" s="1"/>
  <c r="U663" i="46"/>
  <c r="V663" i="46" s="1"/>
  <c r="U662" i="46"/>
  <c r="V662" i="46" s="1"/>
  <c r="U646" i="46"/>
  <c r="V646" i="46" s="1"/>
  <c r="U639" i="46"/>
  <c r="V639" i="46" s="1"/>
  <c r="U638" i="46"/>
  <c r="V638" i="46" s="1"/>
  <c r="U631" i="46"/>
  <c r="V631" i="46" s="1"/>
  <c r="U630" i="46"/>
  <c r="V630" i="46" s="1"/>
  <c r="U622" i="46"/>
  <c r="V622" i="46" s="1"/>
  <c r="U615" i="46"/>
  <c r="V615" i="46" s="1"/>
  <c r="U614" i="46"/>
  <c r="V614" i="46" s="1"/>
  <c r="U593" i="46"/>
  <c r="V593" i="46" s="1"/>
  <c r="U590" i="46"/>
  <c r="V590" i="46" s="1"/>
  <c r="U585" i="46"/>
  <c r="V585" i="46" s="1"/>
  <c r="U566" i="46"/>
  <c r="V566" i="46" s="1"/>
  <c r="U558" i="46"/>
  <c r="V558" i="46" s="1"/>
  <c r="U553" i="46"/>
  <c r="V553" i="46" s="1"/>
  <c r="U550" i="46"/>
  <c r="V550" i="46" s="1"/>
  <c r="U542" i="46"/>
  <c r="V542" i="46" s="1"/>
  <c r="U534" i="46"/>
  <c r="V534" i="46" s="1"/>
  <c r="U510" i="46"/>
  <c r="V510" i="46" s="1"/>
  <c r="U505" i="46"/>
  <c r="V505" i="46" s="1"/>
  <c r="U502" i="46"/>
  <c r="V502" i="46" s="1"/>
  <c r="U490" i="46"/>
  <c r="V490" i="46" s="1"/>
  <c r="U486" i="46"/>
  <c r="V486" i="46" s="1"/>
  <c r="U478" i="46"/>
  <c r="V478" i="46" s="1"/>
  <c r="U470" i="46"/>
  <c r="V470" i="46" s="1"/>
  <c r="U465" i="46"/>
  <c r="V465" i="46" s="1"/>
  <c r="U462" i="46"/>
  <c r="V462" i="46" s="1"/>
  <c r="U454" i="46"/>
  <c r="V454" i="46" s="1"/>
  <c r="U446" i="46"/>
  <c r="V446" i="46" s="1"/>
  <c r="U438" i="46"/>
  <c r="V438" i="46" s="1"/>
  <c r="U398" i="46"/>
  <c r="V398" i="46" s="1"/>
  <c r="U382" i="46"/>
  <c r="V382" i="46" s="1"/>
  <c r="U374" i="46"/>
  <c r="V374" i="46" s="1"/>
  <c r="U361" i="46"/>
  <c r="V361" i="46" s="1"/>
  <c r="U360" i="46"/>
  <c r="V360" i="46" s="1"/>
  <c r="U358" i="46"/>
  <c r="V358" i="46" s="1"/>
  <c r="U353" i="46"/>
  <c r="V353" i="46" s="1"/>
  <c r="U345" i="46"/>
  <c r="V345" i="46" s="1"/>
  <c r="U342" i="46"/>
  <c r="V342" i="46" s="1"/>
  <c r="U338" i="46"/>
  <c r="V338" i="46" s="1"/>
  <c r="U336" i="46"/>
  <c r="V336" i="46" s="1"/>
  <c r="U334" i="46"/>
  <c r="V334" i="46" s="1"/>
  <c r="U313" i="46"/>
  <c r="V313" i="46" s="1"/>
  <c r="U310" i="46"/>
  <c r="V310" i="46" s="1"/>
  <c r="U297" i="46"/>
  <c r="V297" i="46" s="1"/>
  <c r="U288" i="46"/>
  <c r="V288" i="46" s="1"/>
  <c r="U286" i="46"/>
  <c r="V286" i="46" s="1"/>
  <c r="U281" i="46"/>
  <c r="V281" i="46" s="1"/>
  <c r="U273" i="46"/>
  <c r="V273" i="46" s="1"/>
  <c r="U265" i="46"/>
  <c r="V265" i="46" s="1"/>
  <c r="U264" i="46"/>
  <c r="V264" i="46" s="1"/>
  <c r="U262" i="46"/>
  <c r="V262" i="46" s="1"/>
  <c r="U249" i="46"/>
  <c r="V249" i="46" s="1"/>
  <c r="U241" i="46"/>
  <c r="V241" i="46" s="1"/>
  <c r="U233" i="46"/>
  <c r="V233" i="46" s="1"/>
  <c r="U217" i="46"/>
  <c r="V217" i="46" s="1"/>
  <c r="U177" i="46"/>
  <c r="V177" i="46" s="1"/>
  <c r="U169" i="46"/>
  <c r="V169" i="46" s="1"/>
  <c r="U166" i="46"/>
  <c r="V166" i="46" s="1"/>
  <c r="U153" i="46"/>
  <c r="V153" i="46" s="1"/>
  <c r="U129" i="46"/>
  <c r="V129" i="46" s="1"/>
  <c r="U126" i="46"/>
  <c r="V126" i="46" s="1"/>
  <c r="U121" i="46"/>
  <c r="V121" i="46" s="1"/>
  <c r="U113" i="46"/>
  <c r="V113" i="46" s="1"/>
  <c r="U97" i="46"/>
  <c r="V97" i="46" s="1"/>
  <c r="U73" i="46"/>
  <c r="V73" i="46" s="1"/>
  <c r="U65" i="46"/>
  <c r="V65" i="46" s="1"/>
  <c r="U62" i="46"/>
  <c r="V62" i="46" s="1"/>
  <c r="U57" i="46"/>
  <c r="V57" i="46" s="1"/>
  <c r="U33" i="46"/>
  <c r="V33" i="46" s="1"/>
  <c r="U17" i="46"/>
  <c r="V17" i="46" s="1"/>
  <c r="S1065" i="46"/>
  <c r="S1064" i="46"/>
  <c r="S1063" i="46"/>
  <c r="S1062" i="46"/>
  <c r="S1061" i="46"/>
  <c r="S1060" i="46"/>
  <c r="U1060" i="46" s="1"/>
  <c r="V1060" i="46" s="1"/>
  <c r="S1059" i="46"/>
  <c r="U1059" i="46" s="1"/>
  <c r="V1059" i="46" s="1"/>
  <c r="S1058" i="46"/>
  <c r="S1057" i="46"/>
  <c r="S1056" i="46"/>
  <c r="S1055" i="46"/>
  <c r="U1055" i="46" s="1"/>
  <c r="S1054" i="46"/>
  <c r="S1053" i="46"/>
  <c r="U1053" i="46" s="1"/>
  <c r="S1052" i="46"/>
  <c r="S1051" i="46"/>
  <c r="S1050" i="46"/>
  <c r="S1049" i="46"/>
  <c r="S1048" i="46"/>
  <c r="S1047" i="46"/>
  <c r="S1046" i="46"/>
  <c r="S1045" i="46"/>
  <c r="S1044" i="46"/>
  <c r="U1044" i="46" s="1"/>
  <c r="V1044" i="46" s="1"/>
  <c r="S1043" i="46"/>
  <c r="U1043" i="46" s="1"/>
  <c r="V1043" i="46" s="1"/>
  <c r="S1042" i="46"/>
  <c r="U1042" i="46" s="1"/>
  <c r="V1042" i="46" s="1"/>
  <c r="S1041" i="46"/>
  <c r="S1040" i="46"/>
  <c r="S1039" i="46"/>
  <c r="S1038" i="46"/>
  <c r="U1038" i="46" s="1"/>
  <c r="S1037" i="46"/>
  <c r="S1036" i="46"/>
  <c r="U1036" i="46" s="1"/>
  <c r="S1035" i="46"/>
  <c r="S1034" i="46"/>
  <c r="S1033" i="46"/>
  <c r="S1032" i="46"/>
  <c r="U1032" i="46" s="1"/>
  <c r="V1032" i="46" s="1"/>
  <c r="S1031" i="46"/>
  <c r="U1031" i="46" s="1"/>
  <c r="V1031" i="46" s="1"/>
  <c r="S1030" i="46"/>
  <c r="S1029" i="46"/>
  <c r="S1028" i="46"/>
  <c r="S1027" i="46"/>
  <c r="S1026" i="46"/>
  <c r="S1025" i="46"/>
  <c r="S1024" i="46"/>
  <c r="V1024" i="46" s="1"/>
  <c r="S1023" i="46"/>
  <c r="S1022" i="46"/>
  <c r="U1022" i="46" s="1"/>
  <c r="S1021" i="46"/>
  <c r="S1020" i="46"/>
  <c r="S1019" i="46"/>
  <c r="U1019" i="46" s="1"/>
  <c r="V1019" i="46" s="1"/>
  <c r="S1018" i="46"/>
  <c r="U1018" i="46" s="1"/>
  <c r="S1017" i="46"/>
  <c r="S1016" i="46"/>
  <c r="S1015" i="46"/>
  <c r="U1015" i="46" s="1"/>
  <c r="V1015" i="46" s="1"/>
  <c r="S1014" i="46"/>
  <c r="S1013" i="46"/>
  <c r="U1013" i="46" s="1"/>
  <c r="V1013" i="46" s="1"/>
  <c r="S1012" i="46"/>
  <c r="S1011" i="46"/>
  <c r="U1011" i="46" s="1"/>
  <c r="V1011" i="46" s="1"/>
  <c r="S1010" i="46"/>
  <c r="U1010" i="46" s="1"/>
  <c r="V1010" i="46" s="1"/>
  <c r="S1009" i="46"/>
  <c r="S1008" i="46"/>
  <c r="U1008" i="46" s="1"/>
  <c r="V1008" i="46" s="1"/>
  <c r="S1007" i="46"/>
  <c r="S1006" i="46"/>
  <c r="S1005" i="46"/>
  <c r="U1005" i="46" s="1"/>
  <c r="V1005" i="46" s="1"/>
  <c r="U1003" i="46"/>
  <c r="V1003" i="46" s="1"/>
  <c r="S1003" i="46"/>
  <c r="U1002" i="46"/>
  <c r="V1002" i="46" s="1"/>
  <c r="S1002" i="46"/>
  <c r="U1001" i="46"/>
  <c r="V1001" i="46" s="1"/>
  <c r="S1001" i="46"/>
  <c r="S1000" i="46"/>
  <c r="S999" i="46"/>
  <c r="S998" i="46"/>
  <c r="S997" i="46"/>
  <c r="S996" i="46"/>
  <c r="U995" i="46"/>
  <c r="V995" i="46" s="1"/>
  <c r="S995" i="46"/>
  <c r="S994" i="46"/>
  <c r="U993" i="46"/>
  <c r="V993" i="46" s="1"/>
  <c r="S993" i="46"/>
  <c r="S992" i="46"/>
  <c r="S991" i="46"/>
  <c r="S990" i="46"/>
  <c r="S989" i="46"/>
  <c r="S988" i="46"/>
  <c r="S987" i="46"/>
  <c r="S986" i="46"/>
  <c r="S985" i="46"/>
  <c r="U985" i="46" s="1"/>
  <c r="V985" i="46" s="1"/>
  <c r="U984" i="46"/>
  <c r="V984" i="46" s="1"/>
  <c r="S984" i="46"/>
  <c r="S983" i="46"/>
  <c r="S982" i="46"/>
  <c r="S981" i="46"/>
  <c r="U981" i="46" s="1"/>
  <c r="V981" i="46" s="1"/>
  <c r="S980" i="46"/>
  <c r="U979" i="46"/>
  <c r="V979" i="46" s="1"/>
  <c r="S979" i="46"/>
  <c r="S978" i="46"/>
  <c r="S977" i="46"/>
  <c r="U977" i="46" s="1"/>
  <c r="V977" i="46" s="1"/>
  <c r="S976" i="46"/>
  <c r="S975" i="46"/>
  <c r="S974" i="46"/>
  <c r="S973" i="46"/>
  <c r="S972" i="46"/>
  <c r="S971" i="46"/>
  <c r="S970" i="46"/>
  <c r="S969" i="46"/>
  <c r="U969" i="46" s="1"/>
  <c r="V969" i="46" s="1"/>
  <c r="S968" i="46"/>
  <c r="S967" i="46"/>
  <c r="S966" i="46"/>
  <c r="S965" i="46"/>
  <c r="S964" i="46"/>
  <c r="S963" i="46"/>
  <c r="S962" i="46"/>
  <c r="U961" i="46"/>
  <c r="V961" i="46" s="1"/>
  <c r="S961" i="46"/>
  <c r="S960" i="46"/>
  <c r="S959" i="46"/>
  <c r="S958" i="46"/>
  <c r="S957" i="46"/>
  <c r="S956" i="46"/>
  <c r="S955" i="46"/>
  <c r="U955" i="46" s="1"/>
  <c r="V955" i="46" s="1"/>
  <c r="S954" i="46"/>
  <c r="U953" i="46"/>
  <c r="V953" i="46" s="1"/>
  <c r="S953" i="46"/>
  <c r="S952" i="46"/>
  <c r="S951" i="46"/>
  <c r="U950" i="46"/>
  <c r="V950" i="46" s="1"/>
  <c r="S950" i="46"/>
  <c r="S949" i="46"/>
  <c r="S948" i="46"/>
  <c r="S947" i="46"/>
  <c r="S946" i="46"/>
  <c r="S945" i="46"/>
  <c r="S944" i="46"/>
  <c r="S943" i="46"/>
  <c r="S942" i="46"/>
  <c r="S941" i="46"/>
  <c r="S940" i="46"/>
  <c r="S939" i="46"/>
  <c r="S938" i="46"/>
  <c r="S937" i="46"/>
  <c r="S936" i="46"/>
  <c r="S935" i="46"/>
  <c r="S934" i="46"/>
  <c r="S933" i="46"/>
  <c r="S932" i="46"/>
  <c r="S931" i="46"/>
  <c r="S930" i="46"/>
  <c r="U929" i="46"/>
  <c r="V929" i="46" s="1"/>
  <c r="S929" i="46"/>
  <c r="S928" i="46"/>
  <c r="U928" i="46" s="1"/>
  <c r="V928" i="46" s="1"/>
  <c r="S927" i="46"/>
  <c r="S926" i="46"/>
  <c r="U925" i="46"/>
  <c r="V925" i="46" s="1"/>
  <c r="S925" i="46"/>
  <c r="S924" i="46"/>
  <c r="U923" i="46"/>
  <c r="V923" i="46" s="1"/>
  <c r="S923" i="46"/>
  <c r="S922" i="46"/>
  <c r="U921" i="46"/>
  <c r="V921" i="46" s="1"/>
  <c r="S921" i="46"/>
  <c r="S920" i="46"/>
  <c r="U919" i="46"/>
  <c r="V919" i="46" s="1"/>
  <c r="S919" i="46"/>
  <c r="S918" i="46"/>
  <c r="S916" i="46"/>
  <c r="S915" i="46"/>
  <c r="S914" i="46"/>
  <c r="U913" i="46"/>
  <c r="V913" i="46" s="1"/>
  <c r="S913" i="46"/>
  <c r="U912" i="46"/>
  <c r="V912" i="46" s="1"/>
  <c r="S912" i="46"/>
  <c r="S911" i="46"/>
  <c r="S910" i="46"/>
  <c r="S909" i="46"/>
  <c r="S908" i="46"/>
  <c r="U907" i="46"/>
  <c r="V907" i="46" s="1"/>
  <c r="S907" i="46"/>
  <c r="S906" i="46"/>
  <c r="U905" i="46"/>
  <c r="V905" i="46" s="1"/>
  <c r="S905" i="46"/>
  <c r="U904" i="46"/>
  <c r="V904" i="46" s="1"/>
  <c r="S904" i="46"/>
  <c r="S903" i="46"/>
  <c r="U902" i="46"/>
  <c r="V902" i="46" s="1"/>
  <c r="S902" i="46"/>
  <c r="S901" i="46"/>
  <c r="S900" i="46"/>
  <c r="S899" i="46"/>
  <c r="S898" i="46"/>
  <c r="U897" i="46"/>
  <c r="V897" i="46" s="1"/>
  <c r="S897" i="46"/>
  <c r="U896" i="46"/>
  <c r="V896" i="46" s="1"/>
  <c r="S896" i="46"/>
  <c r="S895" i="46"/>
  <c r="S894" i="46"/>
  <c r="U893" i="46"/>
  <c r="V893" i="46" s="1"/>
  <c r="S893" i="46"/>
  <c r="S892" i="46"/>
  <c r="U891" i="46"/>
  <c r="V891" i="46" s="1"/>
  <c r="S891" i="46"/>
  <c r="S890" i="46"/>
  <c r="U889" i="46"/>
  <c r="V889" i="46" s="1"/>
  <c r="S889" i="46"/>
  <c r="U888" i="46"/>
  <c r="V888" i="46" s="1"/>
  <c r="S888" i="46"/>
  <c r="S887" i="46"/>
  <c r="S886" i="46"/>
  <c r="S885" i="46"/>
  <c r="S884" i="46"/>
  <c r="U883" i="46"/>
  <c r="V883" i="46" s="1"/>
  <c r="S883" i="46"/>
  <c r="S882" i="46"/>
  <c r="U881" i="46"/>
  <c r="V881" i="46" s="1"/>
  <c r="S881" i="46"/>
  <c r="U880" i="46"/>
  <c r="V880" i="46" s="1"/>
  <c r="S880" i="46"/>
  <c r="U879" i="46"/>
  <c r="V879" i="46" s="1"/>
  <c r="S879" i="46"/>
  <c r="U878" i="46"/>
  <c r="V878" i="46" s="1"/>
  <c r="S878" i="46"/>
  <c r="S877" i="46"/>
  <c r="S876" i="46"/>
  <c r="U875" i="46"/>
  <c r="V875" i="46" s="1"/>
  <c r="S875" i="46"/>
  <c r="S874" i="46"/>
  <c r="U873" i="46"/>
  <c r="V873" i="46" s="1"/>
  <c r="S873" i="46"/>
  <c r="U872" i="46"/>
  <c r="V872" i="46" s="1"/>
  <c r="S872" i="46"/>
  <c r="S871" i="46"/>
  <c r="S870" i="46"/>
  <c r="U869" i="46"/>
  <c r="V869" i="46" s="1"/>
  <c r="S869" i="46"/>
  <c r="S868" i="46"/>
  <c r="U867" i="46"/>
  <c r="V867" i="46" s="1"/>
  <c r="S867" i="46"/>
  <c r="S866" i="46"/>
  <c r="U866" i="46" s="1"/>
  <c r="V866" i="46" s="1"/>
  <c r="S865" i="46"/>
  <c r="U865" i="46" s="1"/>
  <c r="V865" i="46" s="1"/>
  <c r="S864" i="46"/>
  <c r="S863" i="46"/>
  <c r="S862" i="46"/>
  <c r="S861" i="46"/>
  <c r="S860" i="46"/>
  <c r="U859" i="46"/>
  <c r="V859" i="46" s="1"/>
  <c r="S859" i="46"/>
  <c r="S858" i="46"/>
  <c r="S857" i="46"/>
  <c r="S856" i="46"/>
  <c r="U855" i="46"/>
  <c r="V855" i="46" s="1"/>
  <c r="S855" i="46"/>
  <c r="S854" i="46"/>
  <c r="U854" i="46" s="1"/>
  <c r="V854" i="46" s="1"/>
  <c r="S853" i="46"/>
  <c r="S852" i="46"/>
  <c r="S850" i="46"/>
  <c r="S849" i="46"/>
  <c r="U848" i="46"/>
  <c r="V848" i="46" s="1"/>
  <c r="S848" i="46"/>
  <c r="U847" i="46"/>
  <c r="V847" i="46" s="1"/>
  <c r="S847" i="46"/>
  <c r="S846" i="46"/>
  <c r="U845" i="46"/>
  <c r="V845" i="46" s="1"/>
  <c r="S845" i="46"/>
  <c r="S844" i="46"/>
  <c r="S843" i="46"/>
  <c r="S842" i="46"/>
  <c r="S841" i="46"/>
  <c r="S840" i="46"/>
  <c r="U839" i="46"/>
  <c r="V839" i="46" s="1"/>
  <c r="S839" i="46"/>
  <c r="S838" i="46"/>
  <c r="S837" i="46"/>
  <c r="S836" i="46"/>
  <c r="U835" i="46"/>
  <c r="V835" i="46" s="1"/>
  <c r="S835" i="46"/>
  <c r="S834" i="46"/>
  <c r="S833" i="46"/>
  <c r="U833" i="46" s="1"/>
  <c r="V833" i="46" s="1"/>
  <c r="S832" i="46"/>
  <c r="U832" i="46" s="1"/>
  <c r="V832" i="46" s="1"/>
  <c r="U831" i="46"/>
  <c r="V831" i="46" s="1"/>
  <c r="S831" i="46"/>
  <c r="U830" i="46"/>
  <c r="V830" i="46" s="1"/>
  <c r="S830" i="46"/>
  <c r="S829" i="46"/>
  <c r="S828" i="46"/>
  <c r="U827" i="46"/>
  <c r="V827" i="46" s="1"/>
  <c r="S827" i="46"/>
  <c r="S826" i="46"/>
  <c r="S825" i="46"/>
  <c r="U824" i="46"/>
  <c r="V824" i="46" s="1"/>
  <c r="S824" i="46"/>
  <c r="S823" i="46"/>
  <c r="U823" i="46" s="1"/>
  <c r="V823" i="46" s="1"/>
  <c r="S822" i="46"/>
  <c r="S821" i="46"/>
  <c r="S820" i="46"/>
  <c r="S819" i="46"/>
  <c r="S818" i="46"/>
  <c r="S817" i="46"/>
  <c r="U816" i="46"/>
  <c r="V816" i="46" s="1"/>
  <c r="S816" i="46"/>
  <c r="U815" i="46"/>
  <c r="V815" i="46" s="1"/>
  <c r="S815" i="46"/>
  <c r="S814" i="46"/>
  <c r="S813" i="46"/>
  <c r="S812" i="46"/>
  <c r="S811" i="46"/>
  <c r="S810" i="46"/>
  <c r="S809" i="46"/>
  <c r="U808" i="46"/>
  <c r="V808" i="46" s="1"/>
  <c r="S808" i="46"/>
  <c r="S807" i="46"/>
  <c r="U807" i="46" s="1"/>
  <c r="V807" i="46" s="1"/>
  <c r="S806" i="46"/>
  <c r="S805" i="46"/>
  <c r="S804" i="46"/>
  <c r="S803" i="46"/>
  <c r="S802" i="46"/>
  <c r="U801" i="46"/>
  <c r="V801" i="46" s="1"/>
  <c r="S801" i="46"/>
  <c r="S800" i="46"/>
  <c r="S799" i="46"/>
  <c r="S798" i="46"/>
  <c r="S797" i="46"/>
  <c r="S795" i="46"/>
  <c r="S794" i="46"/>
  <c r="S793" i="46"/>
  <c r="S792" i="46"/>
  <c r="S791" i="46"/>
  <c r="S790" i="46"/>
  <c r="S789" i="46"/>
  <c r="U789" i="46" s="1"/>
  <c r="V789" i="46" s="1"/>
  <c r="S788" i="46"/>
  <c r="S787" i="46"/>
  <c r="S786" i="46"/>
  <c r="S785" i="46"/>
  <c r="S784" i="46"/>
  <c r="U783" i="46"/>
  <c r="V783" i="46" s="1"/>
  <c r="S783" i="46"/>
  <c r="U782" i="46"/>
  <c r="V782" i="46" s="1"/>
  <c r="S782" i="46"/>
  <c r="S781" i="46"/>
  <c r="S780" i="46"/>
  <c r="S779" i="46"/>
  <c r="U778" i="46"/>
  <c r="V778" i="46" s="1"/>
  <c r="S778" i="46"/>
  <c r="S777" i="46"/>
  <c r="S776" i="46"/>
  <c r="U775" i="46"/>
  <c r="V775" i="46" s="1"/>
  <c r="S775" i="46"/>
  <c r="S774" i="46"/>
  <c r="S773" i="46"/>
  <c r="S772" i="46"/>
  <c r="S771" i="46"/>
  <c r="S770" i="46"/>
  <c r="U769" i="46"/>
  <c r="V769" i="46" s="1"/>
  <c r="S769" i="46"/>
  <c r="S768" i="46"/>
  <c r="U767" i="46"/>
  <c r="V767" i="46" s="1"/>
  <c r="S767" i="46"/>
  <c r="S766" i="46"/>
  <c r="S765" i="46"/>
  <c r="S764" i="46"/>
  <c r="S763" i="46"/>
  <c r="S762" i="46"/>
  <c r="S761" i="46"/>
  <c r="S760" i="46"/>
  <c r="U759" i="46"/>
  <c r="V759" i="46" s="1"/>
  <c r="S759" i="46"/>
  <c r="U758" i="46"/>
  <c r="V758" i="46" s="1"/>
  <c r="S758" i="46"/>
  <c r="S757" i="46"/>
  <c r="S756" i="46"/>
  <c r="S755" i="46"/>
  <c r="S754" i="46"/>
  <c r="S753" i="46"/>
  <c r="S752" i="46"/>
  <c r="S751" i="46"/>
  <c r="U751" i="46" s="1"/>
  <c r="V751" i="46" s="1"/>
  <c r="S750" i="46"/>
  <c r="S749" i="46"/>
  <c r="S748" i="46"/>
  <c r="S747" i="46"/>
  <c r="S746" i="46"/>
  <c r="S745" i="46"/>
  <c r="S744" i="46"/>
  <c r="U743" i="46"/>
  <c r="V743" i="46" s="1"/>
  <c r="S743" i="46"/>
  <c r="U742" i="46"/>
  <c r="V742" i="46" s="1"/>
  <c r="S742" i="46"/>
  <c r="S741" i="46"/>
  <c r="S740" i="46"/>
  <c r="U739" i="46"/>
  <c r="V739" i="46" s="1"/>
  <c r="S739" i="46"/>
  <c r="S738" i="46"/>
  <c r="S736" i="46"/>
  <c r="S735" i="46"/>
  <c r="S734" i="46"/>
  <c r="U734" i="46" s="1"/>
  <c r="V734" i="46" s="1"/>
  <c r="S733" i="46"/>
  <c r="U733" i="46" s="1"/>
  <c r="V733" i="46" s="1"/>
  <c r="S732" i="46"/>
  <c r="S731" i="46"/>
  <c r="S730" i="46"/>
  <c r="U729" i="46"/>
  <c r="V729" i="46" s="1"/>
  <c r="S729" i="46"/>
  <c r="S728" i="46"/>
  <c r="U727" i="46"/>
  <c r="V727" i="46" s="1"/>
  <c r="S727" i="46"/>
  <c r="U726" i="46"/>
  <c r="V726" i="46" s="1"/>
  <c r="S726" i="46"/>
  <c r="S725" i="46"/>
  <c r="S724" i="46"/>
  <c r="U723" i="46"/>
  <c r="V723" i="46" s="1"/>
  <c r="S723" i="46"/>
  <c r="S722" i="46"/>
  <c r="U721" i="46"/>
  <c r="V721" i="46" s="1"/>
  <c r="S721" i="46"/>
  <c r="S720" i="46"/>
  <c r="U719" i="46"/>
  <c r="V719" i="46" s="1"/>
  <c r="S719" i="46"/>
  <c r="S718" i="46"/>
  <c r="U717" i="46"/>
  <c r="V717" i="46" s="1"/>
  <c r="S717" i="46"/>
  <c r="S716" i="46"/>
  <c r="S715" i="46"/>
  <c r="S714" i="46"/>
  <c r="S713" i="46"/>
  <c r="S712" i="46"/>
  <c r="U711" i="46"/>
  <c r="V711" i="46" s="1"/>
  <c r="S711" i="46"/>
  <c r="S710" i="46"/>
  <c r="S709" i="46"/>
  <c r="S708" i="46"/>
  <c r="S707" i="46"/>
  <c r="S706" i="46"/>
  <c r="U705" i="46"/>
  <c r="V705" i="46" s="1"/>
  <c r="S705" i="46"/>
  <c r="S704" i="46"/>
  <c r="U703" i="46"/>
  <c r="V703" i="46" s="1"/>
  <c r="S703" i="46"/>
  <c r="S702" i="46"/>
  <c r="S701" i="46"/>
  <c r="S700" i="46"/>
  <c r="S699" i="46"/>
  <c r="S698" i="46"/>
  <c r="S697" i="46"/>
  <c r="S696" i="46"/>
  <c r="U695" i="46"/>
  <c r="V695" i="46" s="1"/>
  <c r="S695" i="46"/>
  <c r="S694" i="46"/>
  <c r="U693" i="46"/>
  <c r="V693" i="46" s="1"/>
  <c r="S693" i="46"/>
  <c r="S692" i="46"/>
  <c r="S691" i="46"/>
  <c r="S690" i="46"/>
  <c r="S689" i="46"/>
  <c r="S688" i="46"/>
  <c r="U687" i="46"/>
  <c r="V687" i="46" s="1"/>
  <c r="S687" i="46"/>
  <c r="S686" i="46"/>
  <c r="S685" i="46"/>
  <c r="S684" i="46"/>
  <c r="S683" i="46"/>
  <c r="S682" i="46"/>
  <c r="S681" i="46"/>
  <c r="S680" i="46"/>
  <c r="S679" i="46"/>
  <c r="U679" i="46" s="1"/>
  <c r="V679" i="46" s="1"/>
  <c r="S678" i="46"/>
  <c r="S677" i="46"/>
  <c r="S676" i="46"/>
  <c r="S675" i="46"/>
  <c r="S674" i="46"/>
  <c r="S673" i="46"/>
  <c r="S672" i="46"/>
  <c r="U672" i="46" s="1"/>
  <c r="V672" i="46" s="1"/>
  <c r="U671" i="46"/>
  <c r="V671" i="46" s="1"/>
  <c r="S671" i="46"/>
  <c r="S670" i="46"/>
  <c r="S669" i="46"/>
  <c r="S668" i="46"/>
  <c r="S667" i="46"/>
  <c r="S666" i="46"/>
  <c r="U665" i="46"/>
  <c r="V665" i="46" s="1"/>
  <c r="S665" i="46"/>
  <c r="U664" i="46"/>
  <c r="V664" i="46" s="1"/>
  <c r="S664" i="46"/>
  <c r="S663" i="46"/>
  <c r="S662" i="46"/>
  <c r="S661" i="46"/>
  <c r="S659" i="46"/>
  <c r="S658" i="46"/>
  <c r="S657" i="46"/>
  <c r="U657" i="46" s="1"/>
  <c r="V657" i="46" s="1"/>
  <c r="S656" i="46"/>
  <c r="U656" i="46" s="1"/>
  <c r="V656" i="46" s="1"/>
  <c r="S655" i="46"/>
  <c r="S654" i="46"/>
  <c r="S653" i="46"/>
  <c r="S652" i="46"/>
  <c r="S651" i="46"/>
  <c r="S650" i="46"/>
  <c r="S649" i="46"/>
  <c r="S648" i="46"/>
  <c r="S647" i="46"/>
  <c r="S646" i="46"/>
  <c r="S645" i="46"/>
  <c r="S644" i="46"/>
  <c r="S643" i="46"/>
  <c r="S642" i="46"/>
  <c r="U641" i="46"/>
  <c r="V641" i="46" s="1"/>
  <c r="S641" i="46"/>
  <c r="U640" i="46"/>
  <c r="V640" i="46" s="1"/>
  <c r="S640" i="46"/>
  <c r="S639" i="46"/>
  <c r="S638" i="46"/>
  <c r="S637" i="46"/>
  <c r="S636" i="46"/>
  <c r="S635" i="46"/>
  <c r="S634" i="46"/>
  <c r="U633" i="46"/>
  <c r="V633" i="46" s="1"/>
  <c r="S633" i="46"/>
  <c r="U632" i="46"/>
  <c r="V632" i="46" s="1"/>
  <c r="S632" i="46"/>
  <c r="S631" i="46"/>
  <c r="S630" i="46"/>
  <c r="S629" i="46"/>
  <c r="S628" i="46"/>
  <c r="S627" i="46"/>
  <c r="S626" i="46"/>
  <c r="U625" i="46"/>
  <c r="V625" i="46" s="1"/>
  <c r="S625" i="46"/>
  <c r="S624" i="46"/>
  <c r="U623" i="46"/>
  <c r="V623" i="46" s="1"/>
  <c r="S623" i="46"/>
  <c r="S622" i="46"/>
  <c r="S621" i="46"/>
  <c r="S620" i="46"/>
  <c r="S619" i="46"/>
  <c r="S618" i="46"/>
  <c r="U617" i="46"/>
  <c r="V617" i="46" s="1"/>
  <c r="S617" i="46"/>
  <c r="S616" i="46"/>
  <c r="S615" i="46"/>
  <c r="S614" i="46"/>
  <c r="S613" i="46"/>
  <c r="S612" i="46"/>
  <c r="S611" i="46"/>
  <c r="S610" i="46"/>
  <c r="S609" i="46"/>
  <c r="S608" i="46"/>
  <c r="S607" i="46"/>
  <c r="S606" i="46"/>
  <c r="S605" i="46"/>
  <c r="S604" i="46"/>
  <c r="S603" i="46"/>
  <c r="S602" i="46"/>
  <c r="S601" i="46"/>
  <c r="S600" i="46"/>
  <c r="S599" i="46"/>
  <c r="S598" i="46"/>
  <c r="S597" i="46"/>
  <c r="S596" i="46"/>
  <c r="S595" i="46"/>
  <c r="S594" i="46"/>
  <c r="S593" i="46"/>
  <c r="U592" i="46"/>
  <c r="V592" i="46" s="1"/>
  <c r="S592" i="46"/>
  <c r="U591" i="46"/>
  <c r="V591" i="46" s="1"/>
  <c r="S591" i="46"/>
  <c r="S590" i="46"/>
  <c r="S589" i="46"/>
  <c r="S588" i="46"/>
  <c r="S587" i="46"/>
  <c r="S586" i="46"/>
  <c r="S585" i="46"/>
  <c r="U584" i="46"/>
  <c r="V584" i="46" s="1"/>
  <c r="S584" i="46"/>
  <c r="U583" i="46"/>
  <c r="V583" i="46" s="1"/>
  <c r="S583" i="46"/>
  <c r="S581" i="46"/>
  <c r="S580" i="46"/>
  <c r="S579" i="46"/>
  <c r="S578" i="46"/>
  <c r="S577" i="46"/>
  <c r="S576" i="46"/>
  <c r="S575" i="46"/>
  <c r="S574" i="46"/>
  <c r="S573" i="46"/>
  <c r="S572" i="46"/>
  <c r="S571" i="46"/>
  <c r="S570" i="46"/>
  <c r="S569" i="46"/>
  <c r="U568" i="46"/>
  <c r="V568" i="46" s="1"/>
  <c r="S568" i="46"/>
  <c r="U567" i="46"/>
  <c r="V567" i="46" s="1"/>
  <c r="S567" i="46"/>
  <c r="S566" i="46"/>
  <c r="S565" i="46"/>
  <c r="S564" i="46"/>
  <c r="S563" i="46"/>
  <c r="S562" i="46"/>
  <c r="S561" i="46"/>
  <c r="U560" i="46"/>
  <c r="V560" i="46" s="1"/>
  <c r="S560" i="46"/>
  <c r="U559" i="46"/>
  <c r="V559" i="46" s="1"/>
  <c r="S559" i="46"/>
  <c r="S558" i="46"/>
  <c r="S557" i="46"/>
  <c r="S556" i="46"/>
  <c r="S555" i="46"/>
  <c r="S554" i="46"/>
  <c r="S553" i="46"/>
  <c r="U552" i="46"/>
  <c r="V552" i="46" s="1"/>
  <c r="S552" i="46"/>
  <c r="U551" i="46"/>
  <c r="V551" i="46" s="1"/>
  <c r="S551" i="46"/>
  <c r="S550" i="46"/>
  <c r="S549" i="46"/>
  <c r="S548" i="46"/>
  <c r="S547" i="46"/>
  <c r="S546" i="46"/>
  <c r="S545" i="46"/>
  <c r="U544" i="46"/>
  <c r="V544" i="46" s="1"/>
  <c r="S544" i="46"/>
  <c r="U543" i="46"/>
  <c r="V543" i="46" s="1"/>
  <c r="S543" i="46"/>
  <c r="S542" i="46"/>
  <c r="S541" i="46"/>
  <c r="S540" i="46"/>
  <c r="S539" i="46"/>
  <c r="S538" i="46"/>
  <c r="S537" i="46"/>
  <c r="U536" i="46"/>
  <c r="V536" i="46" s="1"/>
  <c r="S536" i="46"/>
  <c r="U535" i="46"/>
  <c r="V535" i="46" s="1"/>
  <c r="S535" i="46"/>
  <c r="S534" i="46"/>
  <c r="U533" i="46"/>
  <c r="V533" i="46" s="1"/>
  <c r="S533" i="46"/>
  <c r="S532" i="46"/>
  <c r="S531" i="46"/>
  <c r="S530" i="46"/>
  <c r="S529" i="46"/>
  <c r="U528" i="46"/>
  <c r="V528" i="46" s="1"/>
  <c r="S528" i="46"/>
  <c r="S527" i="46"/>
  <c r="U527" i="46" s="1"/>
  <c r="V527" i="46" s="1"/>
  <c r="S526" i="46"/>
  <c r="S525" i="46"/>
  <c r="S524" i="46"/>
  <c r="S523" i="46"/>
  <c r="S522" i="46"/>
  <c r="S521" i="46"/>
  <c r="S520" i="46"/>
  <c r="S519" i="46"/>
  <c r="S518" i="46"/>
  <c r="S517" i="46"/>
  <c r="S516" i="46"/>
  <c r="S515" i="46"/>
  <c r="S514" i="46"/>
  <c r="S513" i="46"/>
  <c r="U512" i="46"/>
  <c r="V512" i="46" s="1"/>
  <c r="S512" i="46"/>
  <c r="U511" i="46"/>
  <c r="V511" i="46" s="1"/>
  <c r="S511" i="46"/>
  <c r="S510" i="46"/>
  <c r="S509" i="46"/>
  <c r="S508" i="46"/>
  <c r="S507" i="46"/>
  <c r="S506" i="46"/>
  <c r="S505" i="46"/>
  <c r="U504" i="46"/>
  <c r="V504" i="46" s="1"/>
  <c r="S504" i="46"/>
  <c r="U503" i="46"/>
  <c r="V503" i="46" s="1"/>
  <c r="S503" i="46"/>
  <c r="S502" i="46"/>
  <c r="S501" i="46"/>
  <c r="S500" i="46"/>
  <c r="S498" i="46"/>
  <c r="S497" i="46"/>
  <c r="S496" i="46"/>
  <c r="S495" i="46"/>
  <c r="U495" i="46" s="1"/>
  <c r="V495" i="46" s="1"/>
  <c r="S494" i="46"/>
  <c r="S493" i="46"/>
  <c r="S492" i="46"/>
  <c r="S491" i="46"/>
  <c r="S490" i="46"/>
  <c r="S489" i="46"/>
  <c r="S488" i="46"/>
  <c r="U487" i="46"/>
  <c r="V487" i="46" s="1"/>
  <c r="S487" i="46"/>
  <c r="S486" i="46"/>
  <c r="S485" i="46"/>
  <c r="S484" i="46"/>
  <c r="S483" i="46"/>
  <c r="S482" i="46"/>
  <c r="S481" i="46"/>
  <c r="U480" i="46"/>
  <c r="V480" i="46" s="1"/>
  <c r="S480" i="46"/>
  <c r="U479" i="46"/>
  <c r="V479" i="46" s="1"/>
  <c r="S479" i="46"/>
  <c r="S478" i="46"/>
  <c r="S477" i="46"/>
  <c r="S476" i="46"/>
  <c r="S475" i="46"/>
  <c r="S474" i="46"/>
  <c r="S473" i="46"/>
  <c r="S472" i="46"/>
  <c r="U471" i="46"/>
  <c r="V471" i="46" s="1"/>
  <c r="S471" i="46"/>
  <c r="S470" i="46"/>
  <c r="S469" i="46"/>
  <c r="S468" i="46"/>
  <c r="S467" i="46"/>
  <c r="S466" i="46"/>
  <c r="S465" i="46"/>
  <c r="S464" i="46"/>
  <c r="U463" i="46"/>
  <c r="V463" i="46" s="1"/>
  <c r="S463" i="46"/>
  <c r="S462" i="46"/>
  <c r="S461" i="46"/>
  <c r="S460" i="46"/>
  <c r="S459" i="46"/>
  <c r="S458" i="46"/>
  <c r="S457" i="46"/>
  <c r="S456" i="46"/>
  <c r="U455" i="46"/>
  <c r="V455" i="46" s="1"/>
  <c r="S455" i="46"/>
  <c r="S454" i="46"/>
  <c r="S453" i="46"/>
  <c r="S452" i="46"/>
  <c r="S451" i="46"/>
  <c r="S450" i="46"/>
  <c r="S449" i="46"/>
  <c r="S448" i="46"/>
  <c r="U447" i="46"/>
  <c r="V447" i="46" s="1"/>
  <c r="S447" i="46"/>
  <c r="S446" i="46"/>
  <c r="S445" i="46"/>
  <c r="S444" i="46"/>
  <c r="S443" i="46"/>
  <c r="S442" i="46"/>
  <c r="S441" i="46"/>
  <c r="S440" i="46"/>
  <c r="U439" i="46"/>
  <c r="V439" i="46" s="1"/>
  <c r="S439" i="46"/>
  <c r="S438" i="46"/>
  <c r="S437" i="46"/>
  <c r="S436" i="46"/>
  <c r="S435" i="46"/>
  <c r="S434" i="46"/>
  <c r="S433" i="46"/>
  <c r="S432" i="46"/>
  <c r="S431" i="46"/>
  <c r="S430" i="46"/>
  <c r="S429" i="46"/>
  <c r="S428" i="46"/>
  <c r="S427" i="46"/>
  <c r="S426" i="46"/>
  <c r="S425" i="46"/>
  <c r="S424" i="46"/>
  <c r="S423" i="46"/>
  <c r="S422" i="46"/>
  <c r="S421" i="46"/>
  <c r="S420" i="46"/>
  <c r="S419" i="46"/>
  <c r="S418" i="46"/>
  <c r="S417" i="46"/>
  <c r="S416" i="46"/>
  <c r="S415" i="46"/>
  <c r="S414" i="46"/>
  <c r="S413" i="46"/>
  <c r="S412" i="46"/>
  <c r="S411" i="46"/>
  <c r="S410" i="46"/>
  <c r="S409" i="46"/>
  <c r="S408" i="46"/>
  <c r="S407" i="46"/>
  <c r="S406" i="46"/>
  <c r="S405" i="46"/>
  <c r="S404" i="46"/>
  <c r="S403" i="46"/>
  <c r="S402" i="46"/>
  <c r="S401" i="46"/>
  <c r="S400" i="46"/>
  <c r="U399" i="46"/>
  <c r="V399" i="46" s="1"/>
  <c r="S399" i="46"/>
  <c r="S398" i="46"/>
  <c r="S397" i="46"/>
  <c r="S396" i="46"/>
  <c r="S395" i="46"/>
  <c r="S394" i="46"/>
  <c r="S393" i="46"/>
  <c r="S392" i="46"/>
  <c r="U391" i="46"/>
  <c r="V391" i="46" s="1"/>
  <c r="S391" i="46"/>
  <c r="U390" i="46"/>
  <c r="V390" i="46" s="1"/>
  <c r="S390" i="46"/>
  <c r="S389" i="46"/>
  <c r="S388" i="46"/>
  <c r="U387" i="46"/>
  <c r="V387" i="46" s="1"/>
  <c r="S387" i="46"/>
  <c r="S386" i="46"/>
  <c r="S385" i="46"/>
  <c r="S384" i="46"/>
  <c r="U383" i="46"/>
  <c r="V383" i="46" s="1"/>
  <c r="S383" i="46"/>
  <c r="S382" i="46"/>
  <c r="S381" i="46"/>
  <c r="S380" i="46"/>
  <c r="S379" i="46"/>
  <c r="S378" i="46"/>
  <c r="S377" i="46"/>
  <c r="S376" i="46"/>
  <c r="U375" i="46"/>
  <c r="V375" i="46" s="1"/>
  <c r="S375" i="46"/>
  <c r="S374" i="46"/>
  <c r="S372" i="46"/>
  <c r="S371" i="46"/>
  <c r="S370" i="46"/>
  <c r="S369" i="46"/>
  <c r="S368" i="46"/>
  <c r="S367" i="46"/>
  <c r="S366" i="46"/>
  <c r="S365" i="46"/>
  <c r="S364" i="46"/>
  <c r="S363" i="46"/>
  <c r="S362" i="46"/>
  <c r="S361" i="46"/>
  <c r="S360" i="46"/>
  <c r="S359" i="46"/>
  <c r="S358" i="46"/>
  <c r="U357" i="46"/>
  <c r="V357" i="46" s="1"/>
  <c r="S357" i="46"/>
  <c r="S356" i="46"/>
  <c r="S355" i="46"/>
  <c r="S354" i="46"/>
  <c r="S353" i="46"/>
  <c r="S352" i="46"/>
  <c r="S351" i="46"/>
  <c r="U350" i="46"/>
  <c r="V350" i="46" s="1"/>
  <c r="S350" i="46"/>
  <c r="S349" i="46"/>
  <c r="S348" i="46"/>
  <c r="S347" i="46"/>
  <c r="S346" i="46"/>
  <c r="S345" i="46"/>
  <c r="S344" i="46"/>
  <c r="U343" i="46"/>
  <c r="V343" i="46" s="1"/>
  <c r="S343" i="46"/>
  <c r="S342" i="46"/>
  <c r="S341" i="46"/>
  <c r="S340" i="46"/>
  <c r="U339" i="46"/>
  <c r="V339" i="46" s="1"/>
  <c r="S339" i="46"/>
  <c r="S338" i="46"/>
  <c r="U337" i="46"/>
  <c r="V337" i="46" s="1"/>
  <c r="S337" i="46"/>
  <c r="S336" i="46"/>
  <c r="S335" i="46"/>
  <c r="S334" i="46"/>
  <c r="S333" i="46"/>
  <c r="S332" i="46"/>
  <c r="S331" i="46"/>
  <c r="S330" i="46"/>
  <c r="W329" i="46"/>
  <c r="S329" i="46"/>
  <c r="W328" i="46"/>
  <c r="S328" i="46"/>
  <c r="W327" i="46"/>
  <c r="S327" i="46"/>
  <c r="W326" i="46"/>
  <c r="S326" i="46"/>
  <c r="W325" i="46"/>
  <c r="S325" i="46"/>
  <c r="W324" i="46"/>
  <c r="S324" i="46"/>
  <c r="W323" i="46"/>
  <c r="S323" i="46"/>
  <c r="W322" i="46"/>
  <c r="S322" i="46"/>
  <c r="W321" i="46"/>
  <c r="S321" i="46"/>
  <c r="W320" i="46"/>
  <c r="S320" i="46"/>
  <c r="W319" i="46"/>
  <c r="S319" i="46"/>
  <c r="W318" i="46"/>
  <c r="S318" i="46"/>
  <c r="S317" i="46"/>
  <c r="S316" i="46"/>
  <c r="S315" i="46"/>
  <c r="S314" i="46"/>
  <c r="S313" i="46"/>
  <c r="S312" i="46"/>
  <c r="S311" i="46"/>
  <c r="S310" i="46"/>
  <c r="S308" i="46"/>
  <c r="S307" i="46"/>
  <c r="S306" i="46"/>
  <c r="S305" i="46"/>
  <c r="U305" i="46" s="1"/>
  <c r="V305" i="46" s="1"/>
  <c r="S304" i="46"/>
  <c r="S303" i="46"/>
  <c r="S302" i="46"/>
  <c r="S301" i="46"/>
  <c r="S300" i="46"/>
  <c r="S299" i="46"/>
  <c r="S298" i="46"/>
  <c r="S297" i="46"/>
  <c r="U296" i="46"/>
  <c r="V296" i="46" s="1"/>
  <c r="S296" i="46"/>
  <c r="S295" i="46"/>
  <c r="S294" i="46"/>
  <c r="S293" i="46"/>
  <c r="S292" i="46"/>
  <c r="U291" i="46"/>
  <c r="V291" i="46" s="1"/>
  <c r="S291" i="46"/>
  <c r="S290" i="46"/>
  <c r="U289" i="46"/>
  <c r="V289" i="46" s="1"/>
  <c r="S289" i="46"/>
  <c r="S288" i="46"/>
  <c r="S287" i="46"/>
  <c r="S286" i="46"/>
  <c r="S285" i="46"/>
  <c r="S284" i="46"/>
  <c r="S283" i="46"/>
  <c r="S282" i="46"/>
  <c r="S281" i="46"/>
  <c r="U280" i="46"/>
  <c r="V280" i="46" s="1"/>
  <c r="S280" i="46"/>
  <c r="S279" i="46"/>
  <c r="S278" i="46"/>
  <c r="S277" i="46"/>
  <c r="S276" i="46"/>
  <c r="S275" i="46"/>
  <c r="S274" i="46"/>
  <c r="S273" i="46"/>
  <c r="U272" i="46"/>
  <c r="V272" i="46" s="1"/>
  <c r="S272" i="46"/>
  <c r="S271" i="46"/>
  <c r="S270" i="46"/>
  <c r="S269" i="46"/>
  <c r="S268" i="46"/>
  <c r="S267" i="46"/>
  <c r="S266" i="46"/>
  <c r="S265" i="46"/>
  <c r="S264" i="46"/>
  <c r="S263" i="46"/>
  <c r="S262" i="46"/>
  <c r="S261" i="46"/>
  <c r="S260" i="46"/>
  <c r="S259" i="46"/>
  <c r="S258" i="46"/>
  <c r="U257" i="46"/>
  <c r="V257" i="46" s="1"/>
  <c r="S257" i="46"/>
  <c r="U256" i="46"/>
  <c r="V256" i="46" s="1"/>
  <c r="S256" i="46"/>
  <c r="S255" i="46"/>
  <c r="S254" i="46"/>
  <c r="S253" i="46"/>
  <c r="S252" i="46"/>
  <c r="S251" i="46"/>
  <c r="S250" i="46"/>
  <c r="S249" i="46"/>
  <c r="U248" i="46"/>
  <c r="V248" i="46" s="1"/>
  <c r="S248" i="46"/>
  <c r="S247" i="46"/>
  <c r="S246" i="46"/>
  <c r="U245" i="46"/>
  <c r="V245" i="46" s="1"/>
  <c r="S245" i="46"/>
  <c r="S244" i="46"/>
  <c r="S243" i="46"/>
  <c r="S242" i="46"/>
  <c r="S241" i="46"/>
  <c r="S240" i="46"/>
  <c r="S239" i="46"/>
  <c r="S238" i="46"/>
  <c r="S237" i="46"/>
  <c r="S236" i="46"/>
  <c r="S235" i="46"/>
  <c r="S234" i="46"/>
  <c r="S233" i="46"/>
  <c r="S232" i="46"/>
  <c r="S231" i="46"/>
  <c r="S230" i="46"/>
  <c r="S229" i="46"/>
  <c r="S228" i="46"/>
  <c r="S227" i="46"/>
  <c r="U226" i="46"/>
  <c r="V226" i="46" s="1"/>
  <c r="S226" i="46"/>
  <c r="U225" i="46"/>
  <c r="V225" i="46" s="1"/>
  <c r="S225" i="46"/>
  <c r="U224" i="46"/>
  <c r="V224" i="46" s="1"/>
  <c r="S224" i="46"/>
  <c r="S223" i="46"/>
  <c r="S222" i="46"/>
  <c r="S221" i="46"/>
  <c r="S220" i="46"/>
  <c r="S219" i="46"/>
  <c r="S218" i="46"/>
  <c r="S217" i="46"/>
  <c r="S216" i="46"/>
  <c r="W215" i="46"/>
  <c r="S215" i="46"/>
  <c r="W214" i="46"/>
  <c r="S214" i="46"/>
  <c r="W213" i="46"/>
  <c r="S213" i="46"/>
  <c r="W212" i="46"/>
  <c r="S212" i="46"/>
  <c r="W211" i="46"/>
  <c r="S211" i="46"/>
  <c r="W210" i="46"/>
  <c r="S210" i="46"/>
  <c r="W209" i="46"/>
  <c r="S209" i="46"/>
  <c r="W208" i="46"/>
  <c r="S208" i="46"/>
  <c r="W207" i="46"/>
  <c r="S207" i="46"/>
  <c r="Z207" i="46" s="1"/>
  <c r="W206" i="46"/>
  <c r="S206" i="46"/>
  <c r="Z206" i="46" s="1"/>
  <c r="W205" i="46"/>
  <c r="S205" i="46"/>
  <c r="Z205" i="46" s="1"/>
  <c r="W204" i="46"/>
  <c r="S204" i="46"/>
  <c r="Z204" i="46" s="1"/>
  <c r="W203" i="46"/>
  <c r="S203" i="46"/>
  <c r="W202" i="46"/>
  <c r="S202" i="46"/>
  <c r="Z202" i="46" s="1"/>
  <c r="W201" i="46"/>
  <c r="S201" i="46"/>
  <c r="Z201" i="46" s="1"/>
  <c r="W200" i="46"/>
  <c r="S200" i="46"/>
  <c r="Z200" i="46" s="1"/>
  <c r="W199" i="46"/>
  <c r="S199" i="46"/>
  <c r="Z199" i="46" s="1"/>
  <c r="W198" i="46"/>
  <c r="S198" i="46"/>
  <c r="Z198" i="46" s="1"/>
  <c r="W197" i="46"/>
  <c r="S197" i="46"/>
  <c r="Z197" i="46" s="1"/>
  <c r="W196" i="46"/>
  <c r="S196" i="46"/>
  <c r="Z196" i="46" s="1"/>
  <c r="W195" i="46"/>
  <c r="S195" i="46"/>
  <c r="W194" i="46"/>
  <c r="S194" i="46"/>
  <c r="Z194" i="46" s="1"/>
  <c r="W193" i="46"/>
  <c r="S193" i="46"/>
  <c r="Z193" i="46" s="1"/>
  <c r="W192" i="46"/>
  <c r="S192" i="46"/>
  <c r="Z192" i="46" s="1"/>
  <c r="W191" i="46"/>
  <c r="S191" i="46"/>
  <c r="Z191" i="46" s="1"/>
  <c r="W190" i="46"/>
  <c r="S190" i="46"/>
  <c r="Z190" i="46" s="1"/>
  <c r="W189" i="46"/>
  <c r="S189" i="46"/>
  <c r="Z189" i="46" s="1"/>
  <c r="W188" i="46"/>
  <c r="S188" i="46"/>
  <c r="Z188" i="46" s="1"/>
  <c r="W187" i="46"/>
  <c r="S187" i="46"/>
  <c r="W186" i="46"/>
  <c r="S186" i="46"/>
  <c r="Z186" i="46" s="1"/>
  <c r="W185" i="46"/>
  <c r="S185" i="46"/>
  <c r="Z185" i="46" s="1"/>
  <c r="W184" i="46"/>
  <c r="S184" i="46"/>
  <c r="Z184" i="46" s="1"/>
  <c r="W183" i="46"/>
  <c r="S183" i="46"/>
  <c r="W182" i="46"/>
  <c r="S182" i="46"/>
  <c r="S181" i="46"/>
  <c r="S180" i="46"/>
  <c r="U179" i="46"/>
  <c r="V179" i="46" s="1"/>
  <c r="S179" i="46"/>
  <c r="S178" i="46"/>
  <c r="S177" i="46"/>
  <c r="U176" i="46"/>
  <c r="V176" i="46" s="1"/>
  <c r="S176" i="46"/>
  <c r="S175" i="46"/>
  <c r="S174" i="46"/>
  <c r="S173" i="46"/>
  <c r="S172" i="46"/>
  <c r="S171" i="46"/>
  <c r="S170" i="46"/>
  <c r="S169" i="46"/>
  <c r="U168" i="46"/>
  <c r="V168" i="46" s="1"/>
  <c r="S168" i="46"/>
  <c r="S167" i="46"/>
  <c r="S166" i="46"/>
  <c r="S165" i="46"/>
  <c r="S164" i="46"/>
  <c r="S163" i="46"/>
  <c r="U162" i="46"/>
  <c r="V162" i="46" s="1"/>
  <c r="S162" i="46"/>
  <c r="U161" i="46"/>
  <c r="V161" i="46" s="1"/>
  <c r="S161" i="46"/>
  <c r="U160" i="46"/>
  <c r="V160" i="46" s="1"/>
  <c r="S160" i="46"/>
  <c r="S159" i="46"/>
  <c r="S158" i="46"/>
  <c r="S157" i="46"/>
  <c r="S156" i="46"/>
  <c r="S155" i="46"/>
  <c r="S154" i="46"/>
  <c r="S153" i="46"/>
  <c r="U152" i="46"/>
  <c r="V152" i="46" s="1"/>
  <c r="S152" i="46"/>
  <c r="S151" i="46"/>
  <c r="S150" i="46"/>
  <c r="W149" i="46"/>
  <c r="S149" i="46"/>
  <c r="W148" i="46"/>
  <c r="S148" i="46"/>
  <c r="W147" i="46"/>
  <c r="S147" i="46"/>
  <c r="W146" i="46"/>
  <c r="S146" i="46"/>
  <c r="W145" i="46"/>
  <c r="S145" i="46"/>
  <c r="W144" i="46"/>
  <c r="S144" i="46"/>
  <c r="S143" i="46"/>
  <c r="S142" i="46"/>
  <c r="S141" i="46"/>
  <c r="S140" i="46"/>
  <c r="S139" i="46"/>
  <c r="S138" i="46"/>
  <c r="U137" i="46"/>
  <c r="V137" i="46" s="1"/>
  <c r="S137" i="46"/>
  <c r="U136" i="46"/>
  <c r="V136" i="46" s="1"/>
  <c r="S136" i="46"/>
  <c r="S135" i="46"/>
  <c r="S134" i="46"/>
  <c r="S133" i="46"/>
  <c r="S132" i="46"/>
  <c r="S131" i="46"/>
  <c r="S130" i="46"/>
  <c r="S129" i="46"/>
  <c r="U128" i="46"/>
  <c r="V128" i="46" s="1"/>
  <c r="S128" i="46"/>
  <c r="U127" i="46"/>
  <c r="V127" i="46" s="1"/>
  <c r="S127" i="46"/>
  <c r="S126" i="46"/>
  <c r="S125" i="46"/>
  <c r="S124" i="46"/>
  <c r="S123" i="46"/>
  <c r="U122" i="46"/>
  <c r="V122" i="46" s="1"/>
  <c r="S122" i="46"/>
  <c r="S121" i="46"/>
  <c r="U120" i="46"/>
  <c r="V120" i="46" s="1"/>
  <c r="S120" i="46"/>
  <c r="S119" i="46"/>
  <c r="S118" i="46"/>
  <c r="S117" i="46"/>
  <c r="S116" i="46"/>
  <c r="S115" i="46"/>
  <c r="S114" i="46"/>
  <c r="S113" i="46"/>
  <c r="U112" i="46"/>
  <c r="V112" i="46" s="1"/>
  <c r="S112" i="46"/>
  <c r="S111" i="46"/>
  <c r="S110" i="46"/>
  <c r="S109" i="46"/>
  <c r="S108" i="46"/>
  <c r="S107" i="46"/>
  <c r="U106" i="46"/>
  <c r="V106" i="46" s="1"/>
  <c r="S106" i="46"/>
  <c r="U105" i="46"/>
  <c r="V105" i="46" s="1"/>
  <c r="S105" i="46"/>
  <c r="U104" i="46"/>
  <c r="V104" i="46" s="1"/>
  <c r="S104" i="46"/>
  <c r="S103" i="46"/>
  <c r="S102" i="46"/>
  <c r="S101" i="46"/>
  <c r="S100" i="46"/>
  <c r="S99" i="46"/>
  <c r="S98" i="46"/>
  <c r="S97" i="46"/>
  <c r="U96" i="46"/>
  <c r="V96" i="46" s="1"/>
  <c r="S96" i="46"/>
  <c r="S95" i="46"/>
  <c r="S94" i="46"/>
  <c r="W93" i="46"/>
  <c r="S93" i="46"/>
  <c r="W92" i="46"/>
  <c r="S92" i="46"/>
  <c r="W91" i="46"/>
  <c r="S91" i="46"/>
  <c r="W90" i="46"/>
  <c r="S90" i="46"/>
  <c r="W89" i="46"/>
  <c r="S89" i="46"/>
  <c r="W88" i="46"/>
  <c r="S88" i="46"/>
  <c r="W87" i="46"/>
  <c r="S87" i="46"/>
  <c r="W86" i="46"/>
  <c r="S86" i="46"/>
  <c r="W85" i="46"/>
  <c r="S85" i="46"/>
  <c r="W84" i="46"/>
  <c r="S84" i="46"/>
  <c r="W83" i="46"/>
  <c r="S83" i="46"/>
  <c r="S82" i="46"/>
  <c r="S81" i="46"/>
  <c r="U80" i="46"/>
  <c r="V80" i="46" s="1"/>
  <c r="S80" i="46"/>
  <c r="S79" i="46"/>
  <c r="S78" i="46"/>
  <c r="S77" i="46"/>
  <c r="S76" i="46"/>
  <c r="S75" i="46"/>
  <c r="S74" i="46"/>
  <c r="S73" i="46"/>
  <c r="U72" i="46"/>
  <c r="V72" i="46" s="1"/>
  <c r="S72" i="46"/>
  <c r="W71" i="46"/>
  <c r="S71" i="46"/>
  <c r="W70" i="46"/>
  <c r="S70" i="46"/>
  <c r="S69" i="46"/>
  <c r="S68" i="46"/>
  <c r="S67" i="46"/>
  <c r="S66" i="46"/>
  <c r="S65" i="46"/>
  <c r="U64" i="46"/>
  <c r="V64" i="46" s="1"/>
  <c r="S64" i="46"/>
  <c r="S63" i="46"/>
  <c r="S62" i="46"/>
  <c r="S61" i="46"/>
  <c r="S60" i="46"/>
  <c r="S59" i="46"/>
  <c r="S58" i="46"/>
  <c r="S57" i="46"/>
  <c r="U56" i="46"/>
  <c r="V56" i="46" s="1"/>
  <c r="S56" i="46"/>
  <c r="S55" i="46"/>
  <c r="S54" i="46"/>
  <c r="S53" i="46"/>
  <c r="S52" i="46"/>
  <c r="U51" i="46"/>
  <c r="V51" i="46" s="1"/>
  <c r="S51" i="46"/>
  <c r="S50" i="46"/>
  <c r="S49" i="46"/>
  <c r="U48" i="46"/>
  <c r="V48" i="46" s="1"/>
  <c r="S48" i="46"/>
  <c r="S47" i="46"/>
  <c r="S46" i="46"/>
  <c r="S45" i="46"/>
  <c r="S44" i="46"/>
  <c r="S43" i="46"/>
  <c r="S42" i="46"/>
  <c r="U41" i="46"/>
  <c r="V41" i="46" s="1"/>
  <c r="S41" i="46"/>
  <c r="U40" i="46"/>
  <c r="V40" i="46" s="1"/>
  <c r="S40" i="46"/>
  <c r="S39" i="46"/>
  <c r="S38" i="46"/>
  <c r="S37" i="46"/>
  <c r="S36" i="46"/>
  <c r="U35" i="46"/>
  <c r="V35" i="46" s="1"/>
  <c r="S35" i="46"/>
  <c r="S34" i="46"/>
  <c r="S33" i="46"/>
  <c r="U32" i="46"/>
  <c r="V32" i="46" s="1"/>
  <c r="S32" i="46"/>
  <c r="S31" i="46"/>
  <c r="S30" i="46"/>
  <c r="S29" i="46"/>
  <c r="S28" i="46"/>
  <c r="S27" i="46"/>
  <c r="S26" i="46"/>
  <c r="S25" i="46"/>
  <c r="U24" i="46"/>
  <c r="V24" i="46" s="1"/>
  <c r="S24" i="46"/>
  <c r="S23" i="46"/>
  <c r="S22" i="46"/>
  <c r="S21" i="46"/>
  <c r="S20" i="46"/>
  <c r="S19" i="46"/>
  <c r="U18" i="46"/>
  <c r="V18" i="46" s="1"/>
  <c r="S18" i="46"/>
  <c r="S17" i="46"/>
  <c r="U16" i="46"/>
  <c r="V16" i="46" s="1"/>
  <c r="S16" i="46"/>
  <c r="W15" i="46"/>
  <c r="S15" i="46"/>
  <c r="W14" i="46"/>
  <c r="S14" i="46"/>
  <c r="W13" i="46"/>
  <c r="S13" i="46"/>
  <c r="W12" i="46"/>
  <c r="S12" i="46"/>
  <c r="W11" i="46"/>
  <c r="S11" i="46"/>
  <c r="W10" i="46"/>
  <c r="S10" i="46"/>
  <c r="S9" i="46"/>
  <c r="U8" i="46"/>
  <c r="V8" i="46" s="1"/>
  <c r="S8" i="46"/>
  <c r="U7" i="46"/>
  <c r="V7" i="46" s="1"/>
  <c r="S7" i="46"/>
  <c r="S6" i="46"/>
  <c r="U944" i="46" l="1"/>
  <c r="V944" i="46" s="1"/>
  <c r="U952" i="46"/>
  <c r="V952" i="46" s="1"/>
  <c r="U417" i="46"/>
  <c r="V417" i="46" s="1"/>
  <c r="U871" i="46"/>
  <c r="V871" i="46" s="1"/>
  <c r="U920" i="46"/>
  <c r="V920" i="46" s="1"/>
  <c r="U10" i="46"/>
  <c r="V10" i="46" s="1"/>
  <c r="U365" i="46"/>
  <c r="V365" i="46" s="1"/>
  <c r="U493" i="46"/>
  <c r="V493" i="46" s="1"/>
  <c r="U581" i="46"/>
  <c r="V581" i="46" s="1"/>
  <c r="U595" i="46"/>
  <c r="V595" i="46" s="1"/>
  <c r="U611" i="46"/>
  <c r="V611" i="46" s="1"/>
  <c r="U947" i="46"/>
  <c r="V947" i="46" s="1"/>
  <c r="U843" i="46"/>
  <c r="V843" i="46" s="1"/>
  <c r="U971" i="46"/>
  <c r="V971" i="46" s="1"/>
  <c r="U517" i="46"/>
  <c r="V517" i="46" s="1"/>
  <c r="U525" i="46"/>
  <c r="V525" i="46" s="1"/>
  <c r="U522" i="46"/>
  <c r="V522" i="46" s="1"/>
  <c r="U677" i="46"/>
  <c r="V677" i="46" s="1"/>
  <c r="U685" i="46"/>
  <c r="V685" i="46" s="1"/>
  <c r="U797" i="46"/>
  <c r="V797" i="46" s="1"/>
  <c r="U965" i="46"/>
  <c r="V965" i="46" s="1"/>
  <c r="U973" i="46"/>
  <c r="V973" i="46" s="1"/>
  <c r="U675" i="46"/>
  <c r="V675" i="46" s="1"/>
  <c r="U933" i="46"/>
  <c r="V933" i="46" s="1"/>
  <c r="U949" i="46"/>
  <c r="V949" i="46" s="1"/>
  <c r="U749" i="46"/>
  <c r="V749" i="46" s="1"/>
  <c r="U605" i="46"/>
  <c r="V605" i="46" s="1"/>
  <c r="U516" i="46"/>
  <c r="V516" i="46" s="1"/>
  <c r="U970" i="46"/>
  <c r="V970" i="46" s="1"/>
  <c r="U754" i="46"/>
  <c r="V754" i="46" s="1"/>
  <c r="U11" i="46"/>
  <c r="V11" i="46" s="1"/>
  <c r="U683" i="46"/>
  <c r="V683" i="46" s="1"/>
  <c r="U747" i="46"/>
  <c r="V747" i="46" s="1"/>
  <c r="U794" i="46"/>
  <c r="V794" i="46" s="1"/>
  <c r="U802" i="46"/>
  <c r="V802" i="46" s="1"/>
  <c r="U90" i="46"/>
  <c r="V90" i="46" s="1"/>
  <c r="U659" i="46"/>
  <c r="V659" i="46" s="1"/>
  <c r="U787" i="46"/>
  <c r="V787" i="46" s="1"/>
  <c r="U146" i="46"/>
  <c r="V146" i="46" s="1"/>
  <c r="U187" i="46"/>
  <c r="V187" i="46" s="1"/>
  <c r="U195" i="46"/>
  <c r="V195" i="46" s="1"/>
  <c r="U203" i="46"/>
  <c r="V203" i="46" s="1"/>
  <c r="U826" i="46"/>
  <c r="V826" i="46" s="1"/>
  <c r="U208" i="46"/>
  <c r="V208" i="46" s="1"/>
  <c r="U321" i="46"/>
  <c r="V321" i="46" s="1"/>
  <c r="U655" i="46"/>
  <c r="V655" i="46" s="1"/>
  <c r="U322" i="46"/>
  <c r="V322" i="46" s="1"/>
  <c r="U793" i="46"/>
  <c r="V793" i="46" s="1"/>
  <c r="U514" i="46"/>
  <c r="V514" i="46" s="1"/>
  <c r="U680" i="46"/>
  <c r="V680" i="46" s="1"/>
  <c r="U825" i="46"/>
  <c r="V825" i="46" s="1"/>
  <c r="U792" i="46"/>
  <c r="V792" i="46" s="1"/>
  <c r="U841" i="46"/>
  <c r="V841" i="46" s="1"/>
  <c r="U951" i="46"/>
  <c r="V951" i="46" s="1"/>
  <c r="U991" i="46"/>
  <c r="V991" i="46" s="1"/>
  <c r="U806" i="46"/>
  <c r="V806" i="46" s="1"/>
  <c r="U678" i="46"/>
  <c r="V678" i="46" s="1"/>
  <c r="U200" i="46"/>
  <c r="V200" i="46" s="1"/>
  <c r="U570" i="46"/>
  <c r="V570" i="46" s="1"/>
  <c r="U433" i="46"/>
  <c r="V433" i="46" s="1"/>
  <c r="U966" i="46"/>
  <c r="V966" i="46" s="1"/>
  <c r="U982" i="46"/>
  <c r="V982" i="46" s="1"/>
  <c r="U403" i="46"/>
  <c r="V403" i="46" s="1"/>
  <c r="U918" i="46"/>
  <c r="V918" i="46" s="1"/>
  <c r="U84" i="46"/>
  <c r="V84" i="46" s="1"/>
  <c r="U92" i="46"/>
  <c r="V92" i="46" s="1"/>
  <c r="U204" i="46"/>
  <c r="V204" i="46" s="1"/>
  <c r="U212" i="46"/>
  <c r="V212" i="46" s="1"/>
  <c r="U420" i="46"/>
  <c r="V420" i="46" s="1"/>
  <c r="U684" i="46"/>
  <c r="V684" i="46" s="1"/>
  <c r="U988" i="46"/>
  <c r="V988" i="46" s="1"/>
  <c r="U497" i="46"/>
  <c r="V497" i="46" s="1"/>
  <c r="U197" i="46"/>
  <c r="V197" i="46" s="1"/>
  <c r="U606" i="46"/>
  <c r="V606" i="46" s="1"/>
  <c r="U326" i="46"/>
  <c r="V326" i="46" s="1"/>
  <c r="U814" i="46"/>
  <c r="V814" i="46" s="1"/>
  <c r="U70" i="46"/>
  <c r="V70" i="46" s="1"/>
  <c r="U430" i="46"/>
  <c r="V430" i="46" s="1"/>
  <c r="Z195" i="46"/>
  <c r="U190" i="46"/>
  <c r="V190" i="46" s="1"/>
  <c r="U414" i="46"/>
  <c r="V414" i="46" s="1"/>
  <c r="U422" i="46"/>
  <c r="V422" i="46" s="1"/>
  <c r="U188" i="46"/>
  <c r="V188" i="46" s="1"/>
  <c r="U148" i="46"/>
  <c r="V148" i="46" s="1"/>
  <c r="U324" i="46"/>
  <c r="V324" i="46" s="1"/>
  <c r="U598" i="46"/>
  <c r="V598" i="46" s="1"/>
  <c r="U12" i="46"/>
  <c r="V12" i="46" s="1"/>
  <c r="U428" i="46"/>
  <c r="V428" i="46" s="1"/>
  <c r="U844" i="46"/>
  <c r="V844" i="46" s="1"/>
  <c r="U572" i="46"/>
  <c r="V572" i="46" s="1"/>
  <c r="U580" i="46"/>
  <c r="V580" i="46" s="1"/>
  <c r="U799" i="46"/>
  <c r="V799" i="46" s="1"/>
  <c r="U940" i="46"/>
  <c r="V940" i="46" s="1"/>
  <c r="U795" i="46"/>
  <c r="V795" i="46" s="1"/>
  <c r="U810" i="46"/>
  <c r="V810" i="46" s="1"/>
  <c r="U882" i="46"/>
  <c r="V882" i="46" s="1"/>
  <c r="U930" i="46"/>
  <c r="V930" i="46" s="1"/>
  <c r="U937" i="46"/>
  <c r="V937" i="46" s="1"/>
  <c r="U967" i="46"/>
  <c r="V967" i="46" s="1"/>
  <c r="U183" i="46"/>
  <c r="V183" i="46" s="1"/>
  <c r="U407" i="46"/>
  <c r="V407" i="46" s="1"/>
  <c r="U573" i="46"/>
  <c r="V573" i="46" s="1"/>
  <c r="U648" i="46"/>
  <c r="V648" i="46" s="1"/>
  <c r="U88" i="46"/>
  <c r="V88" i="46" s="1"/>
  <c r="U149" i="46"/>
  <c r="V149" i="46" s="1"/>
  <c r="U329" i="46"/>
  <c r="V329" i="46" s="1"/>
  <c r="U404" i="46"/>
  <c r="V404" i="46" s="1"/>
  <c r="U676" i="46"/>
  <c r="V676" i="46" s="1"/>
  <c r="U788" i="46"/>
  <c r="V788" i="46" s="1"/>
  <c r="U934" i="46"/>
  <c r="V934" i="46" s="1"/>
  <c r="U941" i="46"/>
  <c r="V941" i="46" s="1"/>
  <c r="U945" i="46"/>
  <c r="V945" i="46" s="1"/>
  <c r="U968" i="46"/>
  <c r="V968" i="46" s="1"/>
  <c r="U215" i="46"/>
  <c r="V215" i="46" s="1"/>
  <c r="U425" i="46"/>
  <c r="V425" i="46" s="1"/>
  <c r="U144" i="46"/>
  <c r="V144" i="46" s="1"/>
  <c r="U496" i="46"/>
  <c r="V496" i="46" s="1"/>
  <c r="U519" i="46"/>
  <c r="V519" i="46" s="1"/>
  <c r="U83" i="46"/>
  <c r="V83" i="46" s="1"/>
  <c r="U206" i="46"/>
  <c r="V206" i="46" s="1"/>
  <c r="U303" i="46"/>
  <c r="V303" i="46" s="1"/>
  <c r="U416" i="46"/>
  <c r="V416" i="46" s="1"/>
  <c r="U520" i="46"/>
  <c r="V520" i="46" s="1"/>
  <c r="U862" i="46"/>
  <c r="V862" i="46" s="1"/>
  <c r="U368" i="46"/>
  <c r="V368" i="46" s="1"/>
  <c r="U418" i="46"/>
  <c r="V418" i="46" s="1"/>
  <c r="U601" i="46"/>
  <c r="V601" i="46" s="1"/>
  <c r="U612" i="46"/>
  <c r="V612" i="46" s="1"/>
  <c r="U210" i="46"/>
  <c r="V210" i="46" s="1"/>
  <c r="U492" i="46"/>
  <c r="V492" i="46" s="1"/>
  <c r="U523" i="46"/>
  <c r="V523" i="46" s="1"/>
  <c r="U609" i="46"/>
  <c r="V609" i="46" s="1"/>
  <c r="U91" i="46"/>
  <c r="V91" i="46" s="1"/>
  <c r="U184" i="46"/>
  <c r="V184" i="46" s="1"/>
  <c r="U201" i="46"/>
  <c r="V201" i="46" s="1"/>
  <c r="Z203" i="46"/>
  <c r="U299" i="46"/>
  <c r="V299" i="46" s="1"/>
  <c r="U145" i="46"/>
  <c r="V145" i="46" s="1"/>
  <c r="U182" i="46"/>
  <c r="V182" i="46" s="1"/>
  <c r="U192" i="46"/>
  <c r="V192" i="46" s="1"/>
  <c r="U211" i="46"/>
  <c r="V211" i="46" s="1"/>
  <c r="U327" i="46"/>
  <c r="V327" i="46" s="1"/>
  <c r="U366" i="46"/>
  <c r="V366" i="46" s="1"/>
  <c r="U409" i="46"/>
  <c r="V409" i="46" s="1"/>
  <c r="U413" i="46"/>
  <c r="V413" i="46" s="1"/>
  <c r="U423" i="46"/>
  <c r="V423" i="46" s="1"/>
  <c r="U431" i="46"/>
  <c r="V431" i="46" s="1"/>
  <c r="U494" i="46"/>
  <c r="V494" i="46" s="1"/>
  <c r="U575" i="46"/>
  <c r="V575" i="46" s="1"/>
  <c r="U599" i="46"/>
  <c r="V599" i="46" s="1"/>
  <c r="U603" i="46"/>
  <c r="V603" i="46" s="1"/>
  <c r="U654" i="46"/>
  <c r="V654" i="46" s="1"/>
  <c r="U750" i="46"/>
  <c r="V750" i="46" s="1"/>
  <c r="U931" i="46"/>
  <c r="V931" i="46" s="1"/>
  <c r="U935" i="46"/>
  <c r="V935" i="46" s="1"/>
  <c r="U987" i="46"/>
  <c r="V987" i="46" s="1"/>
  <c r="U198" i="46"/>
  <c r="V198" i="46" s="1"/>
  <c r="U71" i="46"/>
  <c r="V71" i="46" s="1"/>
  <c r="U185" i="46"/>
  <c r="V185" i="46" s="1"/>
  <c r="U193" i="46"/>
  <c r="V193" i="46" s="1"/>
  <c r="U202" i="46"/>
  <c r="V202" i="46" s="1"/>
  <c r="U209" i="46"/>
  <c r="V209" i="46" s="1"/>
  <c r="U328" i="46"/>
  <c r="V328" i="46" s="1"/>
  <c r="U406" i="46"/>
  <c r="V406" i="46" s="1"/>
  <c r="U410" i="46"/>
  <c r="V410" i="46" s="1"/>
  <c r="U576" i="46"/>
  <c r="V576" i="46" s="1"/>
  <c r="U596" i="46"/>
  <c r="V596" i="46" s="1"/>
  <c r="U604" i="46"/>
  <c r="V604" i="46" s="1"/>
  <c r="U651" i="46"/>
  <c r="V651" i="46" s="1"/>
  <c r="U674" i="46"/>
  <c r="V674" i="46" s="1"/>
  <c r="U755" i="46"/>
  <c r="V755" i="46" s="1"/>
  <c r="U786" i="46"/>
  <c r="V786" i="46" s="1"/>
  <c r="U790" i="46"/>
  <c r="V790" i="46" s="1"/>
  <c r="U840" i="46"/>
  <c r="V840" i="46" s="1"/>
  <c r="U856" i="46"/>
  <c r="V856" i="46" s="1"/>
  <c r="U860" i="46"/>
  <c r="V860" i="46" s="1"/>
  <c r="U924" i="46"/>
  <c r="V924" i="46" s="1"/>
  <c r="U932" i="46"/>
  <c r="V932" i="46" s="1"/>
  <c r="U939" i="46"/>
  <c r="V939" i="46" s="1"/>
  <c r="U864" i="46"/>
  <c r="V864" i="46" s="1"/>
  <c r="U86" i="46"/>
  <c r="V86" i="46" s="1"/>
  <c r="U415" i="46"/>
  <c r="V415" i="46" s="1"/>
  <c r="U748" i="46"/>
  <c r="V748" i="46" s="1"/>
  <c r="U15" i="46"/>
  <c r="V15" i="46" s="1"/>
  <c r="U89" i="46"/>
  <c r="V89" i="46" s="1"/>
  <c r="U189" i="46"/>
  <c r="V189" i="46" s="1"/>
  <c r="U196" i="46"/>
  <c r="V196" i="46" s="1"/>
  <c r="U412" i="46"/>
  <c r="V412" i="46" s="1"/>
  <c r="U307" i="46"/>
  <c r="V307" i="46" s="1"/>
  <c r="U608" i="46"/>
  <c r="V608" i="46" s="1"/>
  <c r="U13" i="46"/>
  <c r="V13" i="46" s="1"/>
  <c r="U87" i="46"/>
  <c r="V87" i="46" s="1"/>
  <c r="U682" i="46"/>
  <c r="V682" i="46" s="1"/>
  <c r="Z187" i="46"/>
  <c r="U214" i="46"/>
  <c r="V214" i="46" s="1"/>
  <c r="U304" i="46"/>
  <c r="V304" i="46" s="1"/>
  <c r="U402" i="46"/>
  <c r="V402" i="46" s="1"/>
  <c r="U578" i="46"/>
  <c r="V578" i="46" s="1"/>
  <c r="U652" i="46"/>
  <c r="V652" i="46" s="1"/>
  <c r="U85" i="46"/>
  <c r="V85" i="46" s="1"/>
  <c r="U93" i="46"/>
  <c r="V93" i="46" s="1"/>
  <c r="U14" i="46"/>
  <c r="V14" i="46" s="1"/>
  <c r="U325" i="46"/>
  <c r="V325" i="46" s="1"/>
  <c r="U205" i="46"/>
  <c r="V205" i="46" s="1"/>
  <c r="U300" i="46"/>
  <c r="V300" i="46" s="1"/>
  <c r="U371" i="46"/>
  <c r="V371" i="46" s="1"/>
  <c r="U491" i="46"/>
  <c r="V491" i="46" s="1"/>
  <c r="U524" i="46"/>
  <c r="V524" i="46" s="1"/>
  <c r="U571" i="46"/>
  <c r="V571" i="46" s="1"/>
  <c r="U649" i="46"/>
  <c r="V649" i="46" s="1"/>
  <c r="U653" i="46"/>
  <c r="V653" i="46" s="1"/>
  <c r="U686" i="46"/>
  <c r="V686" i="46" s="1"/>
  <c r="U811" i="46"/>
  <c r="V811" i="46" s="1"/>
  <c r="U828" i="46"/>
  <c r="V828" i="46" s="1"/>
  <c r="U850" i="46"/>
  <c r="V850" i="46" s="1"/>
  <c r="U899" i="46"/>
  <c r="V899" i="46" s="1"/>
  <c r="U990" i="46"/>
  <c r="V990" i="46" s="1"/>
  <c r="U194" i="46"/>
  <c r="V194" i="46" s="1"/>
  <c r="U323" i="46"/>
  <c r="V323" i="46" s="1"/>
  <c r="U812" i="46"/>
  <c r="V812" i="46" s="1"/>
  <c r="U147" i="46"/>
  <c r="V147" i="46" s="1"/>
  <c r="U308" i="46"/>
  <c r="V308" i="46" s="1"/>
  <c r="U372" i="46"/>
  <c r="V372" i="46" s="1"/>
  <c r="U419" i="46"/>
  <c r="V419" i="46" s="1"/>
  <c r="U498" i="46"/>
  <c r="V498" i="46" s="1"/>
  <c r="U515" i="46"/>
  <c r="V515" i="46" s="1"/>
  <c r="U579" i="46"/>
  <c r="V579" i="46" s="1"/>
  <c r="U650" i="46"/>
  <c r="V650" i="46" s="1"/>
  <c r="U673" i="46"/>
  <c r="V673" i="46" s="1"/>
  <c r="U735" i="46"/>
  <c r="V735" i="46" s="1"/>
  <c r="U752" i="46"/>
  <c r="V752" i="46" s="1"/>
  <c r="U791" i="46"/>
  <c r="V791" i="46" s="1"/>
  <c r="U852" i="46"/>
  <c r="V852" i="46" s="1"/>
  <c r="U858" i="46"/>
  <c r="V858" i="46" s="1"/>
  <c r="U868" i="46"/>
  <c r="V868" i="46" s="1"/>
  <c r="U927" i="46"/>
  <c r="V927" i="46" s="1"/>
  <c r="U943" i="46"/>
  <c r="V943" i="46" s="1"/>
  <c r="U959" i="46"/>
  <c r="V959" i="46" s="1"/>
  <c r="U186" i="46"/>
  <c r="V186" i="46" s="1"/>
  <c r="U213" i="46"/>
  <c r="V213" i="46" s="1"/>
  <c r="U302" i="46"/>
  <c r="V302" i="46" s="1"/>
  <c r="U319" i="46"/>
  <c r="V319" i="46" s="1"/>
  <c r="U369" i="46"/>
  <c r="V369" i="46" s="1"/>
  <c r="U426" i="46"/>
  <c r="V426" i="46" s="1"/>
  <c r="U647" i="46"/>
  <c r="V647" i="46" s="1"/>
  <c r="U736" i="46"/>
  <c r="V736" i="46" s="1"/>
  <c r="U753" i="46"/>
  <c r="V753" i="46" s="1"/>
  <c r="U813" i="46"/>
  <c r="V813" i="46" s="1"/>
  <c r="U370" i="46"/>
  <c r="V370" i="46" s="1"/>
  <c r="U411" i="46"/>
  <c r="V411" i="46" s="1"/>
  <c r="U427" i="46"/>
  <c r="V427" i="46" s="1"/>
  <c r="U577" i="46"/>
  <c r="V577" i="46" s="1"/>
  <c r="U597" i="46"/>
  <c r="V597" i="46" s="1"/>
  <c r="U600" i="46"/>
  <c r="V600" i="46" s="1"/>
  <c r="U607" i="46"/>
  <c r="V607" i="46" s="1"/>
  <c r="U658" i="46"/>
  <c r="V658" i="46" s="1"/>
  <c r="U681" i="46"/>
  <c r="V681" i="46" s="1"/>
  <c r="U957" i="46"/>
  <c r="V957" i="46" s="1"/>
  <c r="U963" i="46"/>
  <c r="V963" i="46" s="1"/>
  <c r="U804" i="46"/>
  <c r="V804" i="46" s="1"/>
  <c r="U922" i="46"/>
  <c r="V922" i="46" s="1"/>
  <c r="U320" i="46"/>
  <c r="V320" i="46" s="1"/>
  <c r="U429" i="46"/>
  <c r="V429" i="46" s="1"/>
  <c r="U432" i="46"/>
  <c r="V432" i="46" s="1"/>
  <c r="U518" i="46"/>
  <c r="V518" i="46" s="1"/>
  <c r="U521" i="46"/>
  <c r="V521" i="46" s="1"/>
  <c r="U574" i="46"/>
  <c r="V574" i="46" s="1"/>
  <c r="U318" i="46"/>
  <c r="V318" i="46" s="1"/>
  <c r="U405" i="46"/>
  <c r="V405" i="46" s="1"/>
  <c r="U408" i="46"/>
  <c r="V408" i="46" s="1"/>
  <c r="U594" i="46"/>
  <c r="V594" i="46" s="1"/>
  <c r="U610" i="46"/>
  <c r="V610" i="46" s="1"/>
  <c r="U191" i="46"/>
  <c r="V191" i="46" s="1"/>
  <c r="U199" i="46"/>
  <c r="V199" i="46" s="1"/>
  <c r="U207" i="46"/>
  <c r="V207" i="46" s="1"/>
  <c r="U306" i="46"/>
  <c r="V306" i="46" s="1"/>
  <c r="U421" i="46"/>
  <c r="V421" i="46" s="1"/>
  <c r="U424" i="46"/>
  <c r="V424" i="46" s="1"/>
  <c r="U301" i="46"/>
  <c r="V301" i="46" s="1"/>
  <c r="U367" i="46"/>
  <c r="V367" i="46" s="1"/>
  <c r="U526" i="46"/>
  <c r="V526" i="46" s="1"/>
  <c r="U602" i="46"/>
  <c r="V602" i="46" s="1"/>
  <c r="U1231" i="46" l="1"/>
  <c r="P842" i="40" l="1"/>
  <c r="M843" i="40"/>
  <c r="O843" i="40"/>
  <c r="I844" i="40"/>
  <c r="M844" i="40"/>
  <c r="M842" i="40"/>
  <c r="O842" i="40"/>
  <c r="R842" i="40"/>
  <c r="U35" i="40"/>
  <c r="T35" i="40"/>
  <c r="Q35" i="40"/>
  <c r="V35" i="40"/>
  <c r="M35" i="40"/>
  <c r="M36" i="40"/>
  <c r="O36" i="40"/>
  <c r="Q36" i="40"/>
  <c r="W36" i="40"/>
  <c r="U36" i="40"/>
  <c r="U28" i="40"/>
  <c r="T28" i="40"/>
  <c r="Q28" i="40"/>
  <c r="V28" i="40"/>
  <c r="M28" i="40"/>
  <c r="M29" i="40"/>
  <c r="O29" i="40"/>
  <c r="Q29" i="40"/>
  <c r="W29" i="40"/>
  <c r="U29" i="40"/>
  <c r="U26" i="40"/>
  <c r="T26" i="40"/>
  <c r="Q26" i="40"/>
  <c r="V26" i="40"/>
  <c r="M26" i="40"/>
  <c r="U27" i="40"/>
  <c r="T27" i="40"/>
  <c r="Q27" i="40"/>
  <c r="V27" i="40"/>
  <c r="M27" i="40"/>
  <c r="R2231" i="40"/>
  <c r="P2231" i="40"/>
  <c r="P2127" i="40"/>
  <c r="Q2127" i="40" s="1"/>
  <c r="M2127" i="40"/>
  <c r="U2126" i="40"/>
  <c r="T2126" i="40"/>
  <c r="Q2126" i="40"/>
  <c r="R2127" i="40"/>
  <c r="M2126" i="40"/>
  <c r="P2081" i="40"/>
  <c r="P2082" i="40"/>
  <c r="J2164" i="40"/>
  <c r="S2004" i="40"/>
  <c r="S2003" i="40"/>
  <c r="S1898" i="40"/>
  <c r="S1897" i="40"/>
  <c r="N1898" i="40"/>
  <c r="N1897" i="40"/>
  <c r="S1804" i="40"/>
  <c r="S1803" i="40"/>
  <c r="S1802" i="40"/>
  <c r="S1801" i="40"/>
  <c r="S1800" i="40"/>
  <c r="S1799" i="40"/>
  <c r="S1798" i="40"/>
  <c r="S1797" i="40"/>
  <c r="S1796" i="40"/>
  <c r="S1795" i="40"/>
  <c r="P1804" i="40"/>
  <c r="P1803" i="40"/>
  <c r="P1802" i="40"/>
  <c r="P1801" i="40"/>
  <c r="P1800" i="40"/>
  <c r="P1799" i="40"/>
  <c r="P1798" i="40"/>
  <c r="P1797" i="40"/>
  <c r="P1796" i="40"/>
  <c r="P1795" i="40"/>
  <c r="X1569" i="40"/>
  <c r="W1569" i="40"/>
  <c r="U1569" i="40"/>
  <c r="T1569" i="40"/>
  <c r="Q1569" i="40"/>
  <c r="V1569" i="40"/>
  <c r="M1569" i="40"/>
  <c r="X1566" i="40"/>
  <c r="W1566" i="40"/>
  <c r="U1566" i="40"/>
  <c r="T1566" i="40"/>
  <c r="Q1566" i="40"/>
  <c r="V1566" i="40"/>
  <c r="M1566" i="40"/>
  <c r="X1564" i="40"/>
  <c r="W1564" i="40"/>
  <c r="U1564" i="40"/>
  <c r="T1564" i="40"/>
  <c r="Q1564" i="40"/>
  <c r="V1564" i="40"/>
  <c r="M1564" i="40"/>
  <c r="X1561" i="40"/>
  <c r="W1561" i="40"/>
  <c r="U1561" i="40"/>
  <c r="T1561" i="40"/>
  <c r="Q1561" i="40"/>
  <c r="V1561" i="40"/>
  <c r="M1561" i="40"/>
  <c r="P1557" i="40"/>
  <c r="P1556" i="40"/>
  <c r="P1555" i="40"/>
  <c r="P1554" i="40"/>
  <c r="P1553" i="40"/>
  <c r="P1552" i="40"/>
  <c r="P1551" i="40"/>
  <c r="P1550" i="40"/>
  <c r="P1549" i="40"/>
  <c r="P1548" i="40"/>
  <c r="S1737" i="40"/>
  <c r="S1736" i="40"/>
  <c r="P1737" i="40"/>
  <c r="P1736" i="40"/>
  <c r="S1557" i="40"/>
  <c r="S1556" i="40"/>
  <c r="S1555" i="40"/>
  <c r="S1554" i="40"/>
  <c r="S1553" i="40"/>
  <c r="S1552" i="40"/>
  <c r="S1551" i="40"/>
  <c r="S1550" i="40"/>
  <c r="S1549" i="40"/>
  <c r="S1548" i="40"/>
  <c r="I1445" i="40"/>
  <c r="H1411" i="40"/>
  <c r="H1410" i="40"/>
  <c r="H1409" i="40"/>
  <c r="H1408" i="40"/>
  <c r="H1407" i="40"/>
  <c r="H1406" i="40"/>
  <c r="H1405" i="40"/>
  <c r="H1404" i="40"/>
  <c r="H1403" i="40"/>
  <c r="H1402" i="40"/>
  <c r="H1401" i="40"/>
  <c r="H1400" i="40"/>
  <c r="H1399" i="40"/>
  <c r="H1398" i="40"/>
  <c r="H1397" i="40"/>
  <c r="H1396" i="40"/>
  <c r="G1396" i="40"/>
  <c r="O1396" i="40"/>
  <c r="X1405" i="40"/>
  <c r="W1405" i="40"/>
  <c r="U1405" i="40"/>
  <c r="T1405" i="40"/>
  <c r="Q1405" i="40"/>
  <c r="O1405" i="40"/>
  <c r="M1405" i="40"/>
  <c r="G1405" i="40"/>
  <c r="X1404" i="40"/>
  <c r="W1404" i="40"/>
  <c r="U1404" i="40"/>
  <c r="T1404" i="40"/>
  <c r="Q1404" i="40"/>
  <c r="O1404" i="40"/>
  <c r="M1404" i="40"/>
  <c r="G1404" i="40"/>
  <c r="X1403" i="40"/>
  <c r="W1403" i="40"/>
  <c r="U1403" i="40"/>
  <c r="T1403" i="40"/>
  <c r="Q1403" i="40"/>
  <c r="O1403" i="40"/>
  <c r="M1403" i="40"/>
  <c r="G1403" i="40"/>
  <c r="X1402" i="40"/>
  <c r="W1402" i="40"/>
  <c r="U1402" i="40"/>
  <c r="T1402" i="40"/>
  <c r="Q1402" i="40"/>
  <c r="O1402" i="40"/>
  <c r="M1402" i="40"/>
  <c r="G1402" i="40"/>
  <c r="X1401" i="40"/>
  <c r="W1401" i="40"/>
  <c r="U1401" i="40"/>
  <c r="T1401" i="40"/>
  <c r="Q1401" i="40"/>
  <c r="O1401" i="40"/>
  <c r="M1401" i="40"/>
  <c r="G1401" i="40"/>
  <c r="X1400" i="40"/>
  <c r="W1400" i="40"/>
  <c r="U1400" i="40"/>
  <c r="T1400" i="40"/>
  <c r="Q1400" i="40"/>
  <c r="O1400" i="40"/>
  <c r="M1400" i="40"/>
  <c r="G1400" i="40"/>
  <c r="X1399" i="40"/>
  <c r="W1399" i="40"/>
  <c r="U1399" i="40"/>
  <c r="T1399" i="40"/>
  <c r="Q1399" i="40"/>
  <c r="O1399" i="40"/>
  <c r="M1399" i="40"/>
  <c r="G1399" i="40"/>
  <c r="X1398" i="40"/>
  <c r="W1398" i="40"/>
  <c r="U1398" i="40"/>
  <c r="T1398" i="40"/>
  <c r="Q1398" i="40"/>
  <c r="O1398" i="40"/>
  <c r="M1398" i="40"/>
  <c r="G1398" i="40"/>
  <c r="X1397" i="40"/>
  <c r="W1397" i="40"/>
  <c r="U1397" i="40"/>
  <c r="T1397" i="40"/>
  <c r="Q1397" i="40"/>
  <c r="O1397" i="40"/>
  <c r="M1397" i="40"/>
  <c r="G1397" i="40"/>
  <c r="X1396" i="40"/>
  <c r="W1396" i="40"/>
  <c r="U1396" i="40"/>
  <c r="T1396" i="40"/>
  <c r="Q1396" i="40"/>
  <c r="M1396" i="40"/>
  <c r="X1410" i="40"/>
  <c r="W1410" i="40"/>
  <c r="U1410" i="40"/>
  <c r="T1410" i="40"/>
  <c r="Q1410" i="40"/>
  <c r="O1410" i="40"/>
  <c r="M1410" i="40"/>
  <c r="G1410" i="40"/>
  <c r="X1409" i="40"/>
  <c r="W1409" i="40"/>
  <c r="U1409" i="40"/>
  <c r="T1409" i="40"/>
  <c r="Q1409" i="40"/>
  <c r="O1409" i="40"/>
  <c r="M1409" i="40"/>
  <c r="G1409" i="40"/>
  <c r="X1408" i="40"/>
  <c r="W1408" i="40"/>
  <c r="U1408" i="40"/>
  <c r="T1408" i="40"/>
  <c r="Q1408" i="40"/>
  <c r="O1408" i="40"/>
  <c r="M1408" i="40"/>
  <c r="G1408" i="40"/>
  <c r="X1407" i="40"/>
  <c r="W1407" i="40"/>
  <c r="U1407" i="40"/>
  <c r="T1407" i="40"/>
  <c r="Q1407" i="40"/>
  <c r="O1407" i="40"/>
  <c r="M1407" i="40"/>
  <c r="G1407" i="40"/>
  <c r="X1406" i="40"/>
  <c r="W1406" i="40"/>
  <c r="U1406" i="40"/>
  <c r="T1406" i="40"/>
  <c r="Q1406" i="40"/>
  <c r="O1406" i="40"/>
  <c r="M1406" i="40"/>
  <c r="G1406" i="40"/>
  <c r="O844" i="40" l="1"/>
  <c r="R845" i="40"/>
  <c r="O2127" i="40"/>
  <c r="I1403" i="40"/>
  <c r="R1419" i="40"/>
  <c r="I1404" i="40"/>
  <c r="R1420" i="40"/>
  <c r="I1397" i="40"/>
  <c r="R1413" i="40"/>
  <c r="I1405" i="40"/>
  <c r="R1421" i="40"/>
  <c r="V1410" i="40"/>
  <c r="R1426" i="40"/>
  <c r="V1398" i="40"/>
  <c r="R1414" i="40"/>
  <c r="I1399" i="40"/>
  <c r="R1415" i="40"/>
  <c r="I1402" i="40"/>
  <c r="R1418" i="40"/>
  <c r="I1407" i="40"/>
  <c r="R1423" i="40"/>
  <c r="I1400" i="40"/>
  <c r="R1416" i="40"/>
  <c r="I1408" i="40"/>
  <c r="R1424" i="40"/>
  <c r="I1406" i="40"/>
  <c r="R1422" i="40"/>
  <c r="V1401" i="40"/>
  <c r="R1417" i="40"/>
  <c r="I1409" i="40"/>
  <c r="R1425" i="40"/>
  <c r="I1396" i="40"/>
  <c r="R1412" i="40"/>
  <c r="X36" i="40"/>
  <c r="W35" i="40"/>
  <c r="V36" i="40"/>
  <c r="X35" i="40"/>
  <c r="T36" i="40"/>
  <c r="O35" i="40"/>
  <c r="X29" i="40"/>
  <c r="W28" i="40"/>
  <c r="V29" i="40"/>
  <c r="X28" i="40"/>
  <c r="T29" i="40"/>
  <c r="O28" i="40"/>
  <c r="W26" i="40"/>
  <c r="X26" i="40"/>
  <c r="O26" i="40"/>
  <c r="W27" i="40"/>
  <c r="X27" i="40"/>
  <c r="O27" i="40"/>
  <c r="W2126" i="40"/>
  <c r="O2126" i="40"/>
  <c r="X2127" i="40"/>
  <c r="V2126" i="40"/>
  <c r="X2126" i="40"/>
  <c r="T2127" i="40"/>
  <c r="U2127" i="40"/>
  <c r="V2127" i="40"/>
  <c r="W2127" i="40"/>
  <c r="O1566" i="40"/>
  <c r="O1569" i="40"/>
  <c r="O1561" i="40"/>
  <c r="O1564" i="40"/>
  <c r="V1407" i="40"/>
  <c r="V1408" i="40"/>
  <c r="I1410" i="40"/>
  <c r="V1403" i="40"/>
  <c r="V1409" i="40"/>
  <c r="V1402" i="40"/>
  <c r="I1401" i="40"/>
  <c r="V1405" i="40"/>
  <c r="V1397" i="40"/>
  <c r="V1399" i="40"/>
  <c r="V1404" i="40"/>
  <c r="I1398" i="40"/>
  <c r="V1400" i="40"/>
  <c r="V1406" i="40"/>
  <c r="V1396" i="40"/>
  <c r="V845" i="40" l="1"/>
  <c r="W845" i="40"/>
  <c r="X845" i="40"/>
  <c r="X1418" i="40"/>
  <c r="W1418" i="40"/>
  <c r="V1418" i="40"/>
  <c r="X1422" i="40"/>
  <c r="W1422" i="40"/>
  <c r="V1422" i="40"/>
  <c r="W1421" i="40"/>
  <c r="V1421" i="40"/>
  <c r="X1421" i="40"/>
  <c r="W1424" i="40"/>
  <c r="X1424" i="40"/>
  <c r="V1424" i="40"/>
  <c r="X1415" i="40"/>
  <c r="W1415" i="40"/>
  <c r="V1415" i="40"/>
  <c r="W1413" i="40"/>
  <c r="X1413" i="40"/>
  <c r="V1413" i="40"/>
  <c r="W1425" i="40"/>
  <c r="V1425" i="40"/>
  <c r="X1425" i="40"/>
  <c r="X1416" i="40"/>
  <c r="W1416" i="40"/>
  <c r="V1416" i="40"/>
  <c r="X1414" i="40"/>
  <c r="W1414" i="40"/>
  <c r="V1414" i="40"/>
  <c r="W1420" i="40"/>
  <c r="X1420" i="40"/>
  <c r="V1420" i="40"/>
  <c r="V1417" i="40"/>
  <c r="X1417" i="40"/>
  <c r="W1417" i="40"/>
  <c r="W1423" i="40"/>
  <c r="V1423" i="40"/>
  <c r="X1423" i="40"/>
  <c r="X1426" i="40"/>
  <c r="W1426" i="40"/>
  <c r="V1426" i="40"/>
  <c r="X1419" i="40"/>
  <c r="W1419" i="40"/>
  <c r="V1419" i="40"/>
  <c r="X1412" i="40"/>
  <c r="V1412" i="40"/>
  <c r="W1412" i="40"/>
  <c r="U33" i="40"/>
  <c r="T33" i="40"/>
  <c r="Q33" i="40"/>
  <c r="V33" i="40"/>
  <c r="M33" i="40"/>
  <c r="DP31" i="40"/>
  <c r="DO31" i="40"/>
  <c r="DN31" i="40"/>
  <c r="DM31" i="40"/>
  <c r="DL31" i="40"/>
  <c r="DK31" i="40"/>
  <c r="DJ31" i="40"/>
  <c r="DI31" i="40"/>
  <c r="DH31" i="40"/>
  <c r="DG31" i="40"/>
  <c r="DF31" i="40"/>
  <c r="DE31" i="40"/>
  <c r="DD31" i="40"/>
  <c r="DC31" i="40"/>
  <c r="DB31" i="40"/>
  <c r="DA31" i="40"/>
  <c r="CZ31" i="40"/>
  <c r="CY31" i="40"/>
  <c r="CX31" i="40"/>
  <c r="CW31" i="40"/>
  <c r="CV31" i="40"/>
  <c r="CU31" i="40"/>
  <c r="CT31" i="40"/>
  <c r="CS31" i="40"/>
  <c r="CR31" i="40"/>
  <c r="CQ31" i="40"/>
  <c r="CP31" i="40"/>
  <c r="CO31" i="40"/>
  <c r="CN31" i="40"/>
  <c r="CM31" i="40"/>
  <c r="CL31" i="40"/>
  <c r="CK31" i="40"/>
  <c r="CJ31" i="40"/>
  <c r="CI31" i="40"/>
  <c r="CH31" i="40"/>
  <c r="CG31" i="40"/>
  <c r="CF31" i="40"/>
  <c r="CE31" i="40"/>
  <c r="CD31" i="40"/>
  <c r="CC31" i="40"/>
  <c r="CB31" i="40"/>
  <c r="CA31" i="40"/>
  <c r="BZ31" i="40"/>
  <c r="BY31" i="40"/>
  <c r="BX31" i="40"/>
  <c r="BW31" i="40"/>
  <c r="BV31" i="40"/>
  <c r="BU31" i="40"/>
  <c r="BT31" i="40"/>
  <c r="BS31" i="40"/>
  <c r="BR31" i="40"/>
  <c r="BQ31" i="40"/>
  <c r="BP31" i="40"/>
  <c r="BO31" i="40"/>
  <c r="BN31" i="40"/>
  <c r="BM31" i="40"/>
  <c r="BL31" i="40"/>
  <c r="BK31" i="40"/>
  <c r="BJ31" i="40"/>
  <c r="BI31" i="40"/>
  <c r="BH31" i="40"/>
  <c r="BG31" i="40"/>
  <c r="BF31" i="40"/>
  <c r="BE31" i="40"/>
  <c r="BD31" i="40"/>
  <c r="BC31" i="40"/>
  <c r="BB31" i="40"/>
  <c r="BA31" i="40"/>
  <c r="AZ31" i="40"/>
  <c r="AY31" i="40"/>
  <c r="AX31" i="40"/>
  <c r="AW31" i="40"/>
  <c r="AV31" i="40"/>
  <c r="AU31" i="40"/>
  <c r="AT31" i="40"/>
  <c r="AS31" i="40"/>
  <c r="AR31" i="40"/>
  <c r="AQ31" i="40"/>
  <c r="AP31" i="40"/>
  <c r="AO31" i="40"/>
  <c r="AN31" i="40"/>
  <c r="AM31" i="40"/>
  <c r="AI31" i="40"/>
  <c r="AH31" i="40"/>
  <c r="AG31" i="40"/>
  <c r="AF31" i="40"/>
  <c r="AE31" i="40"/>
  <c r="AD31" i="40"/>
  <c r="AC31" i="40"/>
  <c r="AB31" i="40"/>
  <c r="AA31" i="40"/>
  <c r="U31" i="40"/>
  <c r="T31" i="40"/>
  <c r="Q31" i="40"/>
  <c r="V31" i="40"/>
  <c r="M31" i="40"/>
  <c r="U30" i="40"/>
  <c r="T30" i="40"/>
  <c r="Q30" i="40"/>
  <c r="V30" i="40"/>
  <c r="M30" i="40"/>
  <c r="U25" i="40"/>
  <c r="T25" i="40"/>
  <c r="Q25" i="40"/>
  <c r="V25" i="40"/>
  <c r="M25" i="40"/>
  <c r="U24" i="40"/>
  <c r="T24" i="40"/>
  <c r="Q24" i="40"/>
  <c r="V24" i="40"/>
  <c r="M24" i="40"/>
  <c r="U23" i="40"/>
  <c r="T23" i="40"/>
  <c r="Q23" i="40"/>
  <c r="V23" i="40"/>
  <c r="M23" i="40"/>
  <c r="U22" i="40"/>
  <c r="T22" i="40"/>
  <c r="Q22" i="40"/>
  <c r="V22" i="40"/>
  <c r="M22" i="40"/>
  <c r="DP21" i="40"/>
  <c r="DO21" i="40"/>
  <c r="DN21" i="40"/>
  <c r="DM21" i="40"/>
  <c r="DL21" i="40"/>
  <c r="DK21" i="40"/>
  <c r="DJ21" i="40"/>
  <c r="DI21" i="40"/>
  <c r="DH21" i="40"/>
  <c r="DG21" i="40"/>
  <c r="DF21" i="40"/>
  <c r="DE21" i="40"/>
  <c r="DD21" i="40"/>
  <c r="DC21" i="40"/>
  <c r="DB21" i="40"/>
  <c r="DA21" i="40"/>
  <c r="CZ21" i="40"/>
  <c r="CY21" i="40"/>
  <c r="CX21" i="40"/>
  <c r="CW21" i="40"/>
  <c r="CV21" i="40"/>
  <c r="CU21" i="40"/>
  <c r="CT21" i="40"/>
  <c r="CS21" i="40"/>
  <c r="CR21" i="40"/>
  <c r="CQ21" i="40"/>
  <c r="CP21" i="40"/>
  <c r="CO21" i="40"/>
  <c r="CN21" i="40"/>
  <c r="CM21" i="40"/>
  <c r="CL21" i="40"/>
  <c r="CK21" i="40"/>
  <c r="CJ21" i="40"/>
  <c r="CI21" i="40"/>
  <c r="CH21" i="40"/>
  <c r="CG21" i="40"/>
  <c r="CF21" i="40"/>
  <c r="CE21" i="40"/>
  <c r="CD21" i="40"/>
  <c r="CC21" i="40"/>
  <c r="CB21" i="40"/>
  <c r="CA21" i="40"/>
  <c r="BZ21" i="40"/>
  <c r="BY21" i="40"/>
  <c r="BX21" i="40"/>
  <c r="BW21" i="40"/>
  <c r="BV21" i="40"/>
  <c r="BU21" i="40"/>
  <c r="BT21" i="40"/>
  <c r="BS21" i="40"/>
  <c r="BR21" i="40"/>
  <c r="BQ21" i="40"/>
  <c r="BP21" i="40"/>
  <c r="BO21" i="40"/>
  <c r="BN21" i="40"/>
  <c r="BM21" i="40"/>
  <c r="BL21" i="40"/>
  <c r="BK21" i="40"/>
  <c r="BJ21" i="40"/>
  <c r="BI21" i="40"/>
  <c r="BH21" i="40"/>
  <c r="BG21" i="40"/>
  <c r="BF21" i="40"/>
  <c r="BE21" i="40"/>
  <c r="BD21" i="40"/>
  <c r="BC21" i="40"/>
  <c r="BB21" i="40"/>
  <c r="BA21" i="40"/>
  <c r="AZ21" i="40"/>
  <c r="AY21" i="40"/>
  <c r="AX21" i="40"/>
  <c r="AW21" i="40"/>
  <c r="AV21" i="40"/>
  <c r="AU21" i="40"/>
  <c r="AT21" i="40"/>
  <c r="AS21" i="40"/>
  <c r="AR21" i="40"/>
  <c r="AQ21" i="40"/>
  <c r="AP21" i="40"/>
  <c r="AO21" i="40"/>
  <c r="AN21" i="40"/>
  <c r="AM21" i="40"/>
  <c r="AL21" i="40"/>
  <c r="AK21" i="40"/>
  <c r="AH21" i="40"/>
  <c r="AG21" i="40"/>
  <c r="AF21" i="40"/>
  <c r="AE21" i="40"/>
  <c r="AD21" i="40"/>
  <c r="AC21" i="40"/>
  <c r="AB21" i="40"/>
  <c r="AA21" i="40"/>
  <c r="U21" i="40"/>
  <c r="T21" i="40"/>
  <c r="Q21" i="40"/>
  <c r="V21" i="40"/>
  <c r="M21" i="40"/>
  <c r="AI21" i="40" s="1"/>
  <c r="DP20" i="40"/>
  <c r="DO20" i="40"/>
  <c r="DN20" i="40"/>
  <c r="DM20" i="40"/>
  <c r="DL20" i="40"/>
  <c r="DK20" i="40"/>
  <c r="DJ20" i="40"/>
  <c r="DI20" i="40"/>
  <c r="DH20" i="40"/>
  <c r="DG20" i="40"/>
  <c r="DF20" i="40"/>
  <c r="DE20" i="40"/>
  <c r="DD20" i="40"/>
  <c r="DC20" i="40"/>
  <c r="DB20" i="40"/>
  <c r="DA20" i="40"/>
  <c r="CZ20" i="40"/>
  <c r="CY20" i="40"/>
  <c r="CX20" i="40"/>
  <c r="CW20" i="40"/>
  <c r="CV20" i="40"/>
  <c r="CU20" i="40"/>
  <c r="CT20" i="40"/>
  <c r="CS20" i="40"/>
  <c r="CR20" i="40"/>
  <c r="CQ20" i="40"/>
  <c r="CP20" i="40"/>
  <c r="CO20" i="40"/>
  <c r="CN20" i="40"/>
  <c r="CM20" i="40"/>
  <c r="CL20" i="40"/>
  <c r="CK20" i="40"/>
  <c r="CJ20" i="40"/>
  <c r="CI20" i="40"/>
  <c r="CH20" i="40"/>
  <c r="CG20" i="40"/>
  <c r="CF20" i="40"/>
  <c r="CE20" i="40"/>
  <c r="CD20" i="40"/>
  <c r="CC20" i="40"/>
  <c r="CB20" i="40"/>
  <c r="CA20" i="40"/>
  <c r="BZ20" i="40"/>
  <c r="BY20" i="40"/>
  <c r="BX20" i="40"/>
  <c r="BW20" i="40"/>
  <c r="BV20" i="40"/>
  <c r="BU20" i="40"/>
  <c r="BT20" i="40"/>
  <c r="BS20" i="40"/>
  <c r="BR20" i="40"/>
  <c r="BQ20" i="40"/>
  <c r="BP20" i="40"/>
  <c r="BO20" i="40"/>
  <c r="BN20" i="40"/>
  <c r="BM20" i="40"/>
  <c r="BL20" i="40"/>
  <c r="BK20" i="40"/>
  <c r="BJ20" i="40"/>
  <c r="BI20" i="40"/>
  <c r="BH20" i="40"/>
  <c r="BG20" i="40"/>
  <c r="BF20" i="40"/>
  <c r="BE20" i="40"/>
  <c r="BD20" i="40"/>
  <c r="BC20" i="40"/>
  <c r="BB20" i="40"/>
  <c r="BA20" i="40"/>
  <c r="AZ20" i="40"/>
  <c r="AY20" i="40"/>
  <c r="AX20" i="40"/>
  <c r="AW20" i="40"/>
  <c r="AV20" i="40"/>
  <c r="AU20" i="40"/>
  <c r="AT20" i="40"/>
  <c r="AS20" i="40"/>
  <c r="AR20" i="40"/>
  <c r="AQ20" i="40"/>
  <c r="AP20" i="40"/>
  <c r="AO20" i="40"/>
  <c r="AN20" i="40"/>
  <c r="AM20" i="40"/>
  <c r="AL20" i="40"/>
  <c r="AK20" i="40"/>
  <c r="AH20" i="40"/>
  <c r="AG20" i="40"/>
  <c r="AF20" i="40"/>
  <c r="AE20" i="40"/>
  <c r="AD20" i="40"/>
  <c r="AC20" i="40"/>
  <c r="AB20" i="40"/>
  <c r="AA20" i="40"/>
  <c r="U20" i="40"/>
  <c r="T20" i="40"/>
  <c r="Q20" i="40"/>
  <c r="V20" i="40"/>
  <c r="M20" i="40"/>
  <c r="AI20" i="40" s="1"/>
  <c r="U19" i="40"/>
  <c r="T19" i="40"/>
  <c r="Q19" i="40"/>
  <c r="V19" i="40"/>
  <c r="M19" i="40"/>
  <c r="U18" i="40"/>
  <c r="T18" i="40"/>
  <c r="Q18" i="40"/>
  <c r="V18" i="40"/>
  <c r="M18" i="40"/>
  <c r="U17" i="40"/>
  <c r="T17" i="40"/>
  <c r="Q17" i="40"/>
  <c r="V17" i="40"/>
  <c r="M17" i="40"/>
  <c r="U16" i="40"/>
  <c r="T16" i="40"/>
  <c r="Q16" i="40"/>
  <c r="V16" i="40"/>
  <c r="M16" i="40"/>
  <c r="DP768" i="40"/>
  <c r="DO768" i="40"/>
  <c r="DN768" i="40"/>
  <c r="DM768" i="40"/>
  <c r="DL768" i="40"/>
  <c r="DK768" i="40"/>
  <c r="DJ768" i="40"/>
  <c r="DI768" i="40"/>
  <c r="DH768" i="40"/>
  <c r="DG768" i="40"/>
  <c r="DF768" i="40"/>
  <c r="DE768" i="40"/>
  <c r="DD768" i="40"/>
  <c r="DC768" i="40"/>
  <c r="DB768" i="40"/>
  <c r="DA768" i="40"/>
  <c r="CZ768" i="40"/>
  <c r="CY768" i="40"/>
  <c r="CX768" i="40"/>
  <c r="CW768" i="40"/>
  <c r="CV768" i="40"/>
  <c r="CU768" i="40"/>
  <c r="CT768" i="40"/>
  <c r="CS768" i="40"/>
  <c r="CR768" i="40"/>
  <c r="CQ768" i="40"/>
  <c r="CP768" i="40"/>
  <c r="CO768" i="40"/>
  <c r="CN768" i="40"/>
  <c r="CM768" i="40"/>
  <c r="CL768" i="40"/>
  <c r="CK768" i="40"/>
  <c r="CJ768" i="40"/>
  <c r="CI768" i="40"/>
  <c r="CH768" i="40"/>
  <c r="CG768" i="40"/>
  <c r="CF768" i="40"/>
  <c r="CE768" i="40"/>
  <c r="CD768" i="40"/>
  <c r="CC768" i="40"/>
  <c r="CB768" i="40"/>
  <c r="CA768" i="40"/>
  <c r="BZ768" i="40"/>
  <c r="BY768" i="40"/>
  <c r="BX768" i="40"/>
  <c r="BW768" i="40"/>
  <c r="BV768" i="40"/>
  <c r="BU768" i="40"/>
  <c r="BT768" i="40"/>
  <c r="BS768" i="40"/>
  <c r="BR768" i="40"/>
  <c r="BQ768" i="40"/>
  <c r="BP768" i="40"/>
  <c r="BO768" i="40"/>
  <c r="BN768" i="40"/>
  <c r="BM768" i="40"/>
  <c r="BL768" i="40"/>
  <c r="BK768" i="40"/>
  <c r="BJ768" i="40"/>
  <c r="BI768" i="40"/>
  <c r="BH768" i="40"/>
  <c r="BG768" i="40"/>
  <c r="BF768" i="40"/>
  <c r="BE768" i="40"/>
  <c r="BD768" i="40"/>
  <c r="BC768" i="40"/>
  <c r="BB768" i="40"/>
  <c r="BA768" i="40"/>
  <c r="AZ768" i="40"/>
  <c r="AY768" i="40"/>
  <c r="AX768" i="40"/>
  <c r="AW768" i="40"/>
  <c r="AV768" i="40"/>
  <c r="AU768" i="40"/>
  <c r="AT768" i="40"/>
  <c r="AS768" i="40"/>
  <c r="AR768" i="40"/>
  <c r="AQ768" i="40"/>
  <c r="AP768" i="40"/>
  <c r="AO768" i="40"/>
  <c r="AN768" i="40"/>
  <c r="AM768" i="40"/>
  <c r="AL768" i="40"/>
  <c r="AK768" i="40"/>
  <c r="AJ768" i="40"/>
  <c r="AI768" i="40"/>
  <c r="AH768" i="40"/>
  <c r="AG768" i="40"/>
  <c r="AF768" i="40"/>
  <c r="AE768" i="40"/>
  <c r="AD768" i="40"/>
  <c r="AC768" i="40"/>
  <c r="AB768" i="40"/>
  <c r="AA768" i="40"/>
  <c r="DP38" i="40"/>
  <c r="DO38" i="40"/>
  <c r="DN38" i="40"/>
  <c r="DM38" i="40"/>
  <c r="DL38" i="40"/>
  <c r="DK38" i="40"/>
  <c r="DJ38" i="40"/>
  <c r="DI38" i="40"/>
  <c r="DH38" i="40"/>
  <c r="DG38" i="40"/>
  <c r="DF38" i="40"/>
  <c r="DE38" i="40"/>
  <c r="DD38" i="40"/>
  <c r="DC38" i="40"/>
  <c r="DB38" i="40"/>
  <c r="DA38" i="40"/>
  <c r="CZ38" i="40"/>
  <c r="CY38" i="40"/>
  <c r="CX38" i="40"/>
  <c r="CW38" i="40"/>
  <c r="CV38" i="40"/>
  <c r="CU38" i="40"/>
  <c r="CT38" i="40"/>
  <c r="CS38" i="40"/>
  <c r="CR38" i="40"/>
  <c r="CQ38" i="40"/>
  <c r="CP38" i="40"/>
  <c r="CO38" i="40"/>
  <c r="CN38" i="40"/>
  <c r="CM38" i="40"/>
  <c r="CL38" i="40"/>
  <c r="CK38" i="40"/>
  <c r="CJ38" i="40"/>
  <c r="CI38" i="40"/>
  <c r="CH38" i="40"/>
  <c r="CG38" i="40"/>
  <c r="CF38" i="40"/>
  <c r="CE38" i="40"/>
  <c r="CD38" i="40"/>
  <c r="CC38" i="40"/>
  <c r="CB38" i="40"/>
  <c r="CA38" i="40"/>
  <c r="BZ38" i="40"/>
  <c r="BY38" i="40"/>
  <c r="BX38" i="40"/>
  <c r="BW38" i="40"/>
  <c r="BV38" i="40"/>
  <c r="BU38" i="40"/>
  <c r="BT38" i="40"/>
  <c r="BS38" i="40"/>
  <c r="BR38" i="40"/>
  <c r="BQ38" i="40"/>
  <c r="BP38" i="40"/>
  <c r="BO38" i="40"/>
  <c r="BN38" i="40"/>
  <c r="BM38" i="40"/>
  <c r="BL38" i="40"/>
  <c r="BK38" i="40"/>
  <c r="BJ38" i="40"/>
  <c r="BI38" i="40"/>
  <c r="BH38" i="40"/>
  <c r="BG38" i="40"/>
  <c r="BF38" i="40"/>
  <c r="BE38" i="40"/>
  <c r="BD38" i="40"/>
  <c r="BC38" i="40"/>
  <c r="BB38" i="40"/>
  <c r="BA38" i="40"/>
  <c r="AZ38" i="40"/>
  <c r="AY38" i="40"/>
  <c r="AX38" i="40"/>
  <c r="AW38" i="40"/>
  <c r="AV38" i="40"/>
  <c r="AU38" i="40"/>
  <c r="AT38" i="40"/>
  <c r="AS38" i="40"/>
  <c r="AR38" i="40"/>
  <c r="AQ38" i="40"/>
  <c r="AP38" i="40"/>
  <c r="AO38" i="40"/>
  <c r="AN38" i="40"/>
  <c r="AM38" i="40"/>
  <c r="AL38" i="40"/>
  <c r="AK38" i="40"/>
  <c r="AJ38" i="40"/>
  <c r="AI38" i="40"/>
  <c r="AH38" i="40"/>
  <c r="AG38" i="40"/>
  <c r="AF38" i="40"/>
  <c r="AE38" i="40"/>
  <c r="AD38" i="40"/>
  <c r="AC38" i="40"/>
  <c r="AB38" i="40"/>
  <c r="AA38" i="40"/>
  <c r="DP37" i="40"/>
  <c r="DO37" i="40"/>
  <c r="DN37" i="40"/>
  <c r="DM37" i="40"/>
  <c r="DL37" i="40"/>
  <c r="DK37" i="40"/>
  <c r="DJ37" i="40"/>
  <c r="DI37" i="40"/>
  <c r="DH37" i="40"/>
  <c r="DG37" i="40"/>
  <c r="DF37" i="40"/>
  <c r="DE37" i="40"/>
  <c r="DD37" i="40"/>
  <c r="DC37" i="40"/>
  <c r="DB37" i="40"/>
  <c r="DA37" i="40"/>
  <c r="CZ37" i="40"/>
  <c r="CY37" i="40"/>
  <c r="CX37" i="40"/>
  <c r="CW37" i="40"/>
  <c r="CV37" i="40"/>
  <c r="CU37" i="40"/>
  <c r="CT37" i="40"/>
  <c r="CS37" i="40"/>
  <c r="CR37" i="40"/>
  <c r="CQ37" i="40"/>
  <c r="CP37" i="40"/>
  <c r="CO37" i="40"/>
  <c r="CN37" i="40"/>
  <c r="CM37" i="40"/>
  <c r="CL37" i="40"/>
  <c r="CK37" i="40"/>
  <c r="CJ37" i="40"/>
  <c r="CI37" i="40"/>
  <c r="CH37" i="40"/>
  <c r="CG37" i="40"/>
  <c r="CF37" i="40"/>
  <c r="CE37" i="40"/>
  <c r="CD37" i="40"/>
  <c r="CC37" i="40"/>
  <c r="CB37" i="40"/>
  <c r="CA37" i="40"/>
  <c r="BZ37" i="40"/>
  <c r="BY37" i="40"/>
  <c r="BX37" i="40"/>
  <c r="BW37" i="40"/>
  <c r="BV37" i="40"/>
  <c r="BU37" i="40"/>
  <c r="BT37" i="40"/>
  <c r="BS37" i="40"/>
  <c r="BR37" i="40"/>
  <c r="BQ37" i="40"/>
  <c r="BP37" i="40"/>
  <c r="BO37" i="40"/>
  <c r="BN37" i="40"/>
  <c r="BM37" i="40"/>
  <c r="BL37" i="40"/>
  <c r="BK37" i="40"/>
  <c r="BJ37" i="40"/>
  <c r="BI37" i="40"/>
  <c r="BH37" i="40"/>
  <c r="BG37" i="40"/>
  <c r="BF37" i="40"/>
  <c r="BE37" i="40"/>
  <c r="BD37" i="40"/>
  <c r="BC37" i="40"/>
  <c r="BB37" i="40"/>
  <c r="BA37" i="40"/>
  <c r="AZ37" i="40"/>
  <c r="AY37" i="40"/>
  <c r="AX37" i="40"/>
  <c r="AW37" i="40"/>
  <c r="AV37" i="40"/>
  <c r="AU37" i="40"/>
  <c r="AT37" i="40"/>
  <c r="AS37" i="40"/>
  <c r="AR37" i="40"/>
  <c r="AQ37" i="40"/>
  <c r="AP37" i="40"/>
  <c r="AO37" i="40"/>
  <c r="AN37" i="40"/>
  <c r="AM37" i="40"/>
  <c r="AL37" i="40"/>
  <c r="AK37" i="40"/>
  <c r="AI37" i="40"/>
  <c r="AH37" i="40"/>
  <c r="AG37" i="40"/>
  <c r="AF37" i="40"/>
  <c r="AE37" i="40"/>
  <c r="AD37" i="40"/>
  <c r="AC37" i="40"/>
  <c r="AB37" i="40"/>
  <c r="AA37" i="40"/>
  <c r="DP13" i="40"/>
  <c r="DO13" i="40"/>
  <c r="DN13" i="40"/>
  <c r="DM13" i="40"/>
  <c r="DL13" i="40"/>
  <c r="DK13" i="40"/>
  <c r="DJ13" i="40"/>
  <c r="DI13" i="40"/>
  <c r="DH13" i="40"/>
  <c r="DG13" i="40"/>
  <c r="DF13" i="40"/>
  <c r="DE13" i="40"/>
  <c r="DD13" i="40"/>
  <c r="DC13" i="40"/>
  <c r="DB13" i="40"/>
  <c r="DA13" i="40"/>
  <c r="CZ13" i="40"/>
  <c r="CY13" i="40"/>
  <c r="CX13" i="40"/>
  <c r="CW13" i="40"/>
  <c r="CV13" i="40"/>
  <c r="CU13" i="40"/>
  <c r="CT13" i="40"/>
  <c r="CS13" i="40"/>
  <c r="CR13" i="40"/>
  <c r="CQ13" i="40"/>
  <c r="CP13" i="40"/>
  <c r="CO13" i="40"/>
  <c r="CN13" i="40"/>
  <c r="CM13" i="40"/>
  <c r="CL13" i="40"/>
  <c r="CK13" i="40"/>
  <c r="CJ13" i="40"/>
  <c r="CI13" i="40"/>
  <c r="CH13" i="40"/>
  <c r="CG13" i="40"/>
  <c r="CF13" i="40"/>
  <c r="CE13" i="40"/>
  <c r="CD13" i="40"/>
  <c r="CC13" i="40"/>
  <c r="CB13" i="40"/>
  <c r="CA13" i="40"/>
  <c r="BZ13" i="40"/>
  <c r="BY13" i="40"/>
  <c r="BX13" i="40"/>
  <c r="BW13" i="40"/>
  <c r="BV13" i="40"/>
  <c r="BU13" i="40"/>
  <c r="BT13" i="40"/>
  <c r="BS13" i="40"/>
  <c r="BR13" i="40"/>
  <c r="BQ13" i="40"/>
  <c r="BP13" i="40"/>
  <c r="BO13" i="40"/>
  <c r="BN13" i="40"/>
  <c r="BM13" i="40"/>
  <c r="BL13" i="40"/>
  <c r="BK13" i="40"/>
  <c r="BJ13" i="40"/>
  <c r="BI13" i="40"/>
  <c r="BH13" i="40"/>
  <c r="BG13" i="40"/>
  <c r="BF13" i="40"/>
  <c r="BE13" i="40"/>
  <c r="BD13" i="40"/>
  <c r="BC13" i="40"/>
  <c r="BB13" i="40"/>
  <c r="BA13" i="40"/>
  <c r="AZ13" i="40"/>
  <c r="AY13" i="40"/>
  <c r="AX13" i="40"/>
  <c r="AW13" i="40"/>
  <c r="AV13" i="40"/>
  <c r="AU13" i="40"/>
  <c r="AT13" i="40"/>
  <c r="AS13" i="40"/>
  <c r="AR13" i="40"/>
  <c r="AQ13" i="40"/>
  <c r="AP13" i="40"/>
  <c r="AO13" i="40"/>
  <c r="AN13" i="40"/>
  <c r="AM13" i="40"/>
  <c r="AL13" i="40"/>
  <c r="AK13" i="40"/>
  <c r="AI13" i="40"/>
  <c r="AG13" i="40"/>
  <c r="AF13" i="40"/>
  <c r="AE13" i="40"/>
  <c r="AD13" i="40"/>
  <c r="AC13" i="40"/>
  <c r="AB13" i="40"/>
  <c r="AA13" i="40"/>
  <c r="DP11" i="40"/>
  <c r="DO11" i="40"/>
  <c r="DN11" i="40"/>
  <c r="DM11" i="40"/>
  <c r="DL11" i="40"/>
  <c r="DK11" i="40"/>
  <c r="DJ11" i="40"/>
  <c r="DI11" i="40"/>
  <c r="DH11" i="40"/>
  <c r="DG11" i="40"/>
  <c r="DF11" i="40"/>
  <c r="DE11" i="40"/>
  <c r="DD11" i="40"/>
  <c r="DC11" i="40"/>
  <c r="DB11" i="40"/>
  <c r="DA11" i="40"/>
  <c r="CZ11" i="40"/>
  <c r="CY11" i="40"/>
  <c r="CX11" i="40"/>
  <c r="CW11" i="40"/>
  <c r="CV11" i="40"/>
  <c r="CU11" i="40"/>
  <c r="CT11" i="40"/>
  <c r="CS11" i="40"/>
  <c r="CR11" i="40"/>
  <c r="CQ11" i="40"/>
  <c r="CP11" i="40"/>
  <c r="CO11" i="40"/>
  <c r="CN11" i="40"/>
  <c r="CM11" i="40"/>
  <c r="CL11" i="40"/>
  <c r="CK11" i="40"/>
  <c r="CJ11" i="40"/>
  <c r="CI11" i="40"/>
  <c r="CH11" i="40"/>
  <c r="CG11" i="40"/>
  <c r="CF11" i="40"/>
  <c r="CE11" i="40"/>
  <c r="CD11" i="40"/>
  <c r="CC11" i="40"/>
  <c r="CB11" i="40"/>
  <c r="CA11" i="40"/>
  <c r="BZ11" i="40"/>
  <c r="BY11" i="40"/>
  <c r="BX11" i="40"/>
  <c r="BW11" i="40"/>
  <c r="BV11" i="40"/>
  <c r="BU11" i="40"/>
  <c r="BT11" i="40"/>
  <c r="BS11" i="40"/>
  <c r="BR11" i="40"/>
  <c r="BQ11" i="40"/>
  <c r="BP11" i="40"/>
  <c r="BO11" i="40"/>
  <c r="BN11" i="40"/>
  <c r="BM11" i="40"/>
  <c r="BL11" i="40"/>
  <c r="BK11" i="40"/>
  <c r="BJ11" i="40"/>
  <c r="BI11" i="40"/>
  <c r="BH11" i="40"/>
  <c r="BG11" i="40"/>
  <c r="BF11" i="40"/>
  <c r="BE11" i="40"/>
  <c r="BD11" i="40"/>
  <c r="BC11" i="40"/>
  <c r="BB11" i="40"/>
  <c r="BA11" i="40"/>
  <c r="AZ11" i="40"/>
  <c r="AY11" i="40"/>
  <c r="AX11" i="40"/>
  <c r="AW11" i="40"/>
  <c r="AV11" i="40"/>
  <c r="AU11" i="40"/>
  <c r="AT11" i="40"/>
  <c r="AS11" i="40"/>
  <c r="AR11" i="40"/>
  <c r="AQ11" i="40"/>
  <c r="AP11" i="40"/>
  <c r="AO11" i="40"/>
  <c r="AN11" i="40"/>
  <c r="AM11" i="40"/>
  <c r="AL11" i="40"/>
  <c r="AK11" i="40"/>
  <c r="AI11" i="40"/>
  <c r="AH11" i="40"/>
  <c r="AF11" i="40"/>
  <c r="AE11" i="40"/>
  <c r="AD11" i="40"/>
  <c r="AC11" i="40"/>
  <c r="AB11" i="40"/>
  <c r="AA11" i="40"/>
  <c r="DP589" i="40"/>
  <c r="DO589" i="40"/>
  <c r="DN589" i="40"/>
  <c r="DM589" i="40"/>
  <c r="DL589" i="40"/>
  <c r="DK589" i="40"/>
  <c r="DJ589" i="40"/>
  <c r="DI589" i="40"/>
  <c r="DH589" i="40"/>
  <c r="DG589" i="40"/>
  <c r="DF589" i="40"/>
  <c r="DE589" i="40"/>
  <c r="DD589" i="40"/>
  <c r="DC589" i="40"/>
  <c r="DB589" i="40"/>
  <c r="DA589" i="40"/>
  <c r="CZ589" i="40"/>
  <c r="CY589" i="40"/>
  <c r="CX589" i="40"/>
  <c r="CW589" i="40"/>
  <c r="CV589" i="40"/>
  <c r="CU589" i="40"/>
  <c r="CT589" i="40"/>
  <c r="CS589" i="40"/>
  <c r="CR589" i="40"/>
  <c r="CQ589" i="40"/>
  <c r="CP589" i="40"/>
  <c r="CO589" i="40"/>
  <c r="CN589" i="40"/>
  <c r="CM589" i="40"/>
  <c r="CL589" i="40"/>
  <c r="CK589" i="40"/>
  <c r="CJ589" i="40"/>
  <c r="CI589" i="40"/>
  <c r="CH589" i="40"/>
  <c r="CG589" i="40"/>
  <c r="CF589" i="40"/>
  <c r="CE589" i="40"/>
  <c r="CD589" i="40"/>
  <c r="CC589" i="40"/>
  <c r="CB589" i="40"/>
  <c r="CA589" i="40"/>
  <c r="BZ589" i="40"/>
  <c r="BY589" i="40"/>
  <c r="BX589" i="40"/>
  <c r="BW589" i="40"/>
  <c r="BV589" i="40"/>
  <c r="BU589" i="40"/>
  <c r="BT589" i="40"/>
  <c r="BS589" i="40"/>
  <c r="BR589" i="40"/>
  <c r="BQ589" i="40"/>
  <c r="BP589" i="40"/>
  <c r="BO589" i="40"/>
  <c r="BN589" i="40"/>
  <c r="BM589" i="40"/>
  <c r="BL589" i="40"/>
  <c r="BK589" i="40"/>
  <c r="BJ589" i="40"/>
  <c r="BI589" i="40"/>
  <c r="BH589" i="40"/>
  <c r="BG589" i="40"/>
  <c r="BF589" i="40"/>
  <c r="BE589" i="40"/>
  <c r="BD589" i="40"/>
  <c r="BC589" i="40"/>
  <c r="BB589" i="40"/>
  <c r="BA589" i="40"/>
  <c r="AZ589" i="40"/>
  <c r="AY589" i="40"/>
  <c r="AX589" i="40"/>
  <c r="AW589" i="40"/>
  <c r="AV589" i="40"/>
  <c r="AU589" i="40"/>
  <c r="AT589" i="40"/>
  <c r="AS589" i="40"/>
  <c r="AR589" i="40"/>
  <c r="AQ589" i="40"/>
  <c r="AP589" i="40"/>
  <c r="AO589" i="40"/>
  <c r="AN589" i="40"/>
  <c r="AM589" i="40"/>
  <c r="AL589" i="40"/>
  <c r="AK589" i="40"/>
  <c r="AJ589" i="40"/>
  <c r="AI589" i="40"/>
  <c r="AH589" i="40"/>
  <c r="AG589" i="40"/>
  <c r="AF589" i="40"/>
  <c r="AE589" i="40"/>
  <c r="AD589" i="40"/>
  <c r="AC589" i="40"/>
  <c r="AB589" i="40"/>
  <c r="AA589" i="40"/>
  <c r="DP588" i="40"/>
  <c r="DO588" i="40"/>
  <c r="DN588" i="40"/>
  <c r="DM588" i="40"/>
  <c r="DL588" i="40"/>
  <c r="DK588" i="40"/>
  <c r="DJ588" i="40"/>
  <c r="DI588" i="40"/>
  <c r="DH588" i="40"/>
  <c r="DG588" i="40"/>
  <c r="DF588" i="40"/>
  <c r="DE588" i="40"/>
  <c r="DD588" i="40"/>
  <c r="DC588" i="40"/>
  <c r="DB588" i="40"/>
  <c r="DA588" i="40"/>
  <c r="CZ588" i="40"/>
  <c r="CY588" i="40"/>
  <c r="CX588" i="40"/>
  <c r="CW588" i="40"/>
  <c r="CV588" i="40"/>
  <c r="CU588" i="40"/>
  <c r="CT588" i="40"/>
  <c r="CS588" i="40"/>
  <c r="CR588" i="40"/>
  <c r="CQ588" i="40"/>
  <c r="CP588" i="40"/>
  <c r="CO588" i="40"/>
  <c r="CN588" i="40"/>
  <c r="CM588" i="40"/>
  <c r="CL588" i="40"/>
  <c r="CK588" i="40"/>
  <c r="CJ588" i="40"/>
  <c r="CI588" i="40"/>
  <c r="CH588" i="40"/>
  <c r="CG588" i="40"/>
  <c r="CF588" i="40"/>
  <c r="CE588" i="40"/>
  <c r="CD588" i="40"/>
  <c r="CC588" i="40"/>
  <c r="CB588" i="40"/>
  <c r="CA588" i="40"/>
  <c r="BZ588" i="40"/>
  <c r="BY588" i="40"/>
  <c r="BX588" i="40"/>
  <c r="BW588" i="40"/>
  <c r="BV588" i="40"/>
  <c r="BU588" i="40"/>
  <c r="BT588" i="40"/>
  <c r="BS588" i="40"/>
  <c r="BR588" i="40"/>
  <c r="BQ588" i="40"/>
  <c r="BP588" i="40"/>
  <c r="BO588" i="40"/>
  <c r="BN588" i="40"/>
  <c r="BM588" i="40"/>
  <c r="BL588" i="40"/>
  <c r="BK588" i="40"/>
  <c r="BJ588" i="40"/>
  <c r="BI588" i="40"/>
  <c r="BH588" i="40"/>
  <c r="BG588" i="40"/>
  <c r="BF588" i="40"/>
  <c r="BE588" i="40"/>
  <c r="BD588" i="40"/>
  <c r="BC588" i="40"/>
  <c r="BB588" i="40"/>
  <c r="BA588" i="40"/>
  <c r="AZ588" i="40"/>
  <c r="AY588" i="40"/>
  <c r="AX588" i="40"/>
  <c r="AW588" i="40"/>
  <c r="AV588" i="40"/>
  <c r="AU588" i="40"/>
  <c r="AT588" i="40"/>
  <c r="AS588" i="40"/>
  <c r="AR588" i="40"/>
  <c r="AQ588" i="40"/>
  <c r="AP588" i="40"/>
  <c r="AO588" i="40"/>
  <c r="AN588" i="40"/>
  <c r="AJ588" i="40"/>
  <c r="AI588" i="40"/>
  <c r="AH588" i="40"/>
  <c r="AG588" i="40"/>
  <c r="AF588" i="40"/>
  <c r="AE588" i="40"/>
  <c r="AD588" i="40"/>
  <c r="AC588" i="40"/>
  <c r="AB588" i="40"/>
  <c r="AA588" i="40"/>
  <c r="DP585" i="40"/>
  <c r="DO585" i="40"/>
  <c r="DN585" i="40"/>
  <c r="DM585" i="40"/>
  <c r="DL585" i="40"/>
  <c r="DK585" i="40"/>
  <c r="DJ585" i="40"/>
  <c r="DI585" i="40"/>
  <c r="DH585" i="40"/>
  <c r="DG585" i="40"/>
  <c r="DF585" i="40"/>
  <c r="DE585" i="40"/>
  <c r="DD585" i="40"/>
  <c r="DC585" i="40"/>
  <c r="DB585" i="40"/>
  <c r="DA585" i="40"/>
  <c r="CZ585" i="40"/>
  <c r="CY585" i="40"/>
  <c r="CX585" i="40"/>
  <c r="CW585" i="40"/>
  <c r="CV585" i="40"/>
  <c r="CU585" i="40"/>
  <c r="CT585" i="40"/>
  <c r="CS585" i="40"/>
  <c r="CR585" i="40"/>
  <c r="CQ585" i="40"/>
  <c r="CP585" i="40"/>
  <c r="CO585" i="40"/>
  <c r="CN585" i="40"/>
  <c r="CM585" i="40"/>
  <c r="CL585" i="40"/>
  <c r="CK585" i="40"/>
  <c r="CJ585" i="40"/>
  <c r="CI585" i="40"/>
  <c r="CH585" i="40"/>
  <c r="CG585" i="40"/>
  <c r="CF585" i="40"/>
  <c r="CE585" i="40"/>
  <c r="CD585" i="40"/>
  <c r="CC585" i="40"/>
  <c r="CB585" i="40"/>
  <c r="CA585" i="40"/>
  <c r="BZ585" i="40"/>
  <c r="BY585" i="40"/>
  <c r="BX585" i="40"/>
  <c r="BW585" i="40"/>
  <c r="BV585" i="40"/>
  <c r="BU585" i="40"/>
  <c r="BT585" i="40"/>
  <c r="BS585" i="40"/>
  <c r="BR585" i="40"/>
  <c r="BQ585" i="40"/>
  <c r="BP585" i="40"/>
  <c r="BO585" i="40"/>
  <c r="BN585" i="40"/>
  <c r="BM585" i="40"/>
  <c r="BL585" i="40"/>
  <c r="BK585" i="40"/>
  <c r="BJ585" i="40"/>
  <c r="BI585" i="40"/>
  <c r="BH585" i="40"/>
  <c r="BG585" i="40"/>
  <c r="BF585" i="40"/>
  <c r="BE585" i="40"/>
  <c r="BD585" i="40"/>
  <c r="BC585" i="40"/>
  <c r="BB585" i="40"/>
  <c r="BA585" i="40"/>
  <c r="AZ585" i="40"/>
  <c r="AY585" i="40"/>
  <c r="AX585" i="40"/>
  <c r="AW585" i="40"/>
  <c r="AV585" i="40"/>
  <c r="AU585" i="40"/>
  <c r="AT585" i="40"/>
  <c r="AS585" i="40"/>
  <c r="AR585" i="40"/>
  <c r="AQ585" i="40"/>
  <c r="AP585" i="40"/>
  <c r="AO585" i="40"/>
  <c r="AN585" i="40"/>
  <c r="AM585" i="40"/>
  <c r="AL585" i="40"/>
  <c r="AJ585" i="40"/>
  <c r="AI585" i="40"/>
  <c r="AH585" i="40"/>
  <c r="AG585" i="40"/>
  <c r="AF585" i="40"/>
  <c r="AE585" i="40"/>
  <c r="AD585" i="40"/>
  <c r="AC585" i="40"/>
  <c r="AB585" i="40"/>
  <c r="AA585" i="40"/>
  <c r="DP577" i="40"/>
  <c r="DO577" i="40"/>
  <c r="DN577" i="40"/>
  <c r="DM577" i="40"/>
  <c r="DL577" i="40"/>
  <c r="DK577" i="40"/>
  <c r="DJ577" i="40"/>
  <c r="DI577" i="40"/>
  <c r="DH577" i="40"/>
  <c r="DG577" i="40"/>
  <c r="DF577" i="40"/>
  <c r="DE577" i="40"/>
  <c r="DD577" i="40"/>
  <c r="DC577" i="40"/>
  <c r="DB577" i="40"/>
  <c r="DA577" i="40"/>
  <c r="CZ577" i="40"/>
  <c r="CY577" i="40"/>
  <c r="CX577" i="40"/>
  <c r="CW577" i="40"/>
  <c r="CV577" i="40"/>
  <c r="CU577" i="40"/>
  <c r="CT577" i="40"/>
  <c r="CS577" i="40"/>
  <c r="CR577" i="40"/>
  <c r="CQ577" i="40"/>
  <c r="CP577" i="40"/>
  <c r="CO577" i="40"/>
  <c r="CN577" i="40"/>
  <c r="CM577" i="40"/>
  <c r="CL577" i="40"/>
  <c r="CK577" i="40"/>
  <c r="CJ577" i="40"/>
  <c r="CI577" i="40"/>
  <c r="CH577" i="40"/>
  <c r="CG577" i="40"/>
  <c r="CF577" i="40"/>
  <c r="CE577" i="40"/>
  <c r="CD577" i="40"/>
  <c r="CC577" i="40"/>
  <c r="CB577" i="40"/>
  <c r="CA577" i="40"/>
  <c r="BZ577" i="40"/>
  <c r="BY577" i="40"/>
  <c r="BX577" i="40"/>
  <c r="BW577" i="40"/>
  <c r="BV577" i="40"/>
  <c r="BU577" i="40"/>
  <c r="BT577" i="40"/>
  <c r="BS577" i="40"/>
  <c r="BR577" i="40"/>
  <c r="BQ577" i="40"/>
  <c r="BP577" i="40"/>
  <c r="BO577" i="40"/>
  <c r="BN577" i="40"/>
  <c r="BM577" i="40"/>
  <c r="BL577" i="40"/>
  <c r="BK577" i="40"/>
  <c r="BJ577" i="40"/>
  <c r="BI577" i="40"/>
  <c r="BH577" i="40"/>
  <c r="BG577" i="40"/>
  <c r="BF577" i="40"/>
  <c r="BE577" i="40"/>
  <c r="BD577" i="40"/>
  <c r="BC577" i="40"/>
  <c r="BB577" i="40"/>
  <c r="BA577" i="40"/>
  <c r="AZ577" i="40"/>
  <c r="AY577" i="40"/>
  <c r="AX577" i="40"/>
  <c r="AW577" i="40"/>
  <c r="AV577" i="40"/>
  <c r="AU577" i="40"/>
  <c r="AT577" i="40"/>
  <c r="AS577" i="40"/>
  <c r="AR577" i="40"/>
  <c r="AQ577" i="40"/>
  <c r="AP577" i="40"/>
  <c r="AO577" i="40"/>
  <c r="AN577" i="40"/>
  <c r="AM577" i="40"/>
  <c r="AL577" i="40"/>
  <c r="AI577" i="40"/>
  <c r="AH577" i="40"/>
  <c r="AG577" i="40"/>
  <c r="AF577" i="40"/>
  <c r="AE577" i="40"/>
  <c r="AD577" i="40"/>
  <c r="AC577" i="40"/>
  <c r="AB577" i="40"/>
  <c r="AA577" i="40"/>
  <c r="DP576" i="40"/>
  <c r="DO576" i="40"/>
  <c r="DN576" i="40"/>
  <c r="DM576" i="40"/>
  <c r="DL576" i="40"/>
  <c r="DK576" i="40"/>
  <c r="DJ576" i="40"/>
  <c r="DI576" i="40"/>
  <c r="DH576" i="40"/>
  <c r="DG576" i="40"/>
  <c r="DF576" i="40"/>
  <c r="DE576" i="40"/>
  <c r="DD576" i="40"/>
  <c r="DC576" i="40"/>
  <c r="DB576" i="40"/>
  <c r="DA576" i="40"/>
  <c r="CZ576" i="40"/>
  <c r="CY576" i="40"/>
  <c r="CX576" i="40"/>
  <c r="CW576" i="40"/>
  <c r="CV576" i="40"/>
  <c r="CU576" i="40"/>
  <c r="CT576" i="40"/>
  <c r="CS576" i="40"/>
  <c r="CR576" i="40"/>
  <c r="CQ576" i="40"/>
  <c r="CP576" i="40"/>
  <c r="CO576" i="40"/>
  <c r="CN576" i="40"/>
  <c r="CM576" i="40"/>
  <c r="CL576" i="40"/>
  <c r="CK576" i="40"/>
  <c r="CJ576" i="40"/>
  <c r="CI576" i="40"/>
  <c r="CH576" i="40"/>
  <c r="CG576" i="40"/>
  <c r="CF576" i="40"/>
  <c r="CE576" i="40"/>
  <c r="CD576" i="40"/>
  <c r="CC576" i="40"/>
  <c r="CB576" i="40"/>
  <c r="CA576" i="40"/>
  <c r="BZ576" i="40"/>
  <c r="BY576" i="40"/>
  <c r="BX576" i="40"/>
  <c r="BW576" i="40"/>
  <c r="BV576" i="40"/>
  <c r="BU576" i="40"/>
  <c r="BT576" i="40"/>
  <c r="BS576" i="40"/>
  <c r="BR576" i="40"/>
  <c r="BQ576" i="40"/>
  <c r="BP576" i="40"/>
  <c r="BO576" i="40"/>
  <c r="BN576" i="40"/>
  <c r="BM576" i="40"/>
  <c r="BL576" i="40"/>
  <c r="BK576" i="40"/>
  <c r="BJ576" i="40"/>
  <c r="BI576" i="40"/>
  <c r="BH576" i="40"/>
  <c r="BG576" i="40"/>
  <c r="BF576" i="40"/>
  <c r="BE576" i="40"/>
  <c r="BD576" i="40"/>
  <c r="BC576" i="40"/>
  <c r="BB576" i="40"/>
  <c r="BA576" i="40"/>
  <c r="AZ576" i="40"/>
  <c r="AY576" i="40"/>
  <c r="AX576" i="40"/>
  <c r="AW576" i="40"/>
  <c r="AV576" i="40"/>
  <c r="AU576" i="40"/>
  <c r="AT576" i="40"/>
  <c r="AS576" i="40"/>
  <c r="AR576" i="40"/>
  <c r="AQ576" i="40"/>
  <c r="AP576" i="40"/>
  <c r="AO576" i="40"/>
  <c r="AN576" i="40"/>
  <c r="AM576" i="40"/>
  <c r="AL576" i="40"/>
  <c r="AI576" i="40"/>
  <c r="AH576" i="40"/>
  <c r="AG576" i="40"/>
  <c r="AF576" i="40"/>
  <c r="AE576" i="40"/>
  <c r="AD576" i="40"/>
  <c r="AC576" i="40"/>
  <c r="AB576" i="40"/>
  <c r="AA576" i="40"/>
  <c r="DP571" i="40"/>
  <c r="DO571" i="40"/>
  <c r="DN571" i="40"/>
  <c r="DM571" i="40"/>
  <c r="DL571" i="40"/>
  <c r="DK571" i="40"/>
  <c r="DJ571" i="40"/>
  <c r="DI571" i="40"/>
  <c r="DH571" i="40"/>
  <c r="DG571" i="40"/>
  <c r="DF571" i="40"/>
  <c r="DE571" i="40"/>
  <c r="DD571" i="40"/>
  <c r="DC571" i="40"/>
  <c r="DB571" i="40"/>
  <c r="DA571" i="40"/>
  <c r="CZ571" i="40"/>
  <c r="CY571" i="40"/>
  <c r="CX571" i="40"/>
  <c r="CW571" i="40"/>
  <c r="CV571" i="40"/>
  <c r="CU571" i="40"/>
  <c r="CT571" i="40"/>
  <c r="CS571" i="40"/>
  <c r="CR571" i="40"/>
  <c r="CQ571" i="40"/>
  <c r="CP571" i="40"/>
  <c r="CO571" i="40"/>
  <c r="CN571" i="40"/>
  <c r="CM571" i="40"/>
  <c r="CL571" i="40"/>
  <c r="CK571" i="40"/>
  <c r="CJ571" i="40"/>
  <c r="CI571" i="40"/>
  <c r="CH571" i="40"/>
  <c r="CG571" i="40"/>
  <c r="CF571" i="40"/>
  <c r="CE571" i="40"/>
  <c r="CD571" i="40"/>
  <c r="CC571" i="40"/>
  <c r="CB571" i="40"/>
  <c r="CA571" i="40"/>
  <c r="BZ571" i="40"/>
  <c r="BY571" i="40"/>
  <c r="BX571" i="40"/>
  <c r="BW571" i="40"/>
  <c r="BV571" i="40"/>
  <c r="BU571" i="40"/>
  <c r="BT571" i="40"/>
  <c r="BS571" i="40"/>
  <c r="BR571" i="40"/>
  <c r="BQ571" i="40"/>
  <c r="BP571" i="40"/>
  <c r="BO571" i="40"/>
  <c r="BN571" i="40"/>
  <c r="BM571" i="40"/>
  <c r="BL571" i="40"/>
  <c r="BK571" i="40"/>
  <c r="BJ571" i="40"/>
  <c r="BI571" i="40"/>
  <c r="BH571" i="40"/>
  <c r="BG571" i="40"/>
  <c r="BF571" i="40"/>
  <c r="BE571" i="40"/>
  <c r="BD571" i="40"/>
  <c r="BC571" i="40"/>
  <c r="BB571" i="40"/>
  <c r="BA571" i="40"/>
  <c r="AZ571" i="40"/>
  <c r="AY571" i="40"/>
  <c r="AX571" i="40"/>
  <c r="AW571" i="40"/>
  <c r="AV571" i="40"/>
  <c r="AU571" i="40"/>
  <c r="AT571" i="40"/>
  <c r="AS571" i="40"/>
  <c r="AR571" i="40"/>
  <c r="AQ571" i="40"/>
  <c r="AP571" i="40"/>
  <c r="AO571" i="40"/>
  <c r="AN571" i="40"/>
  <c r="AM571" i="40"/>
  <c r="AL571" i="40"/>
  <c r="AH571" i="40"/>
  <c r="AG571" i="40"/>
  <c r="AF571" i="40"/>
  <c r="AE571" i="40"/>
  <c r="AD571" i="40"/>
  <c r="AC571" i="40"/>
  <c r="AB571" i="40"/>
  <c r="AA571" i="40"/>
  <c r="DP570" i="40"/>
  <c r="DO570" i="40"/>
  <c r="DN570" i="40"/>
  <c r="DM570" i="40"/>
  <c r="DL570" i="40"/>
  <c r="DK570" i="40"/>
  <c r="DJ570" i="40"/>
  <c r="DI570" i="40"/>
  <c r="DH570" i="40"/>
  <c r="DG570" i="40"/>
  <c r="DF570" i="40"/>
  <c r="DE570" i="40"/>
  <c r="DD570" i="40"/>
  <c r="DC570" i="40"/>
  <c r="DB570" i="40"/>
  <c r="DA570" i="40"/>
  <c r="CZ570" i="40"/>
  <c r="CY570" i="40"/>
  <c r="CX570" i="40"/>
  <c r="CW570" i="40"/>
  <c r="CV570" i="40"/>
  <c r="CU570" i="40"/>
  <c r="CT570" i="40"/>
  <c r="CS570" i="40"/>
  <c r="CR570" i="40"/>
  <c r="CQ570" i="40"/>
  <c r="CP570" i="40"/>
  <c r="CO570" i="40"/>
  <c r="CN570" i="40"/>
  <c r="CM570" i="40"/>
  <c r="CL570" i="40"/>
  <c r="CK570" i="40"/>
  <c r="CJ570" i="40"/>
  <c r="CI570" i="40"/>
  <c r="CH570" i="40"/>
  <c r="CG570" i="40"/>
  <c r="CF570" i="40"/>
  <c r="CE570" i="40"/>
  <c r="CD570" i="40"/>
  <c r="CC570" i="40"/>
  <c r="CB570" i="40"/>
  <c r="CA570" i="40"/>
  <c r="BZ570" i="40"/>
  <c r="BY570" i="40"/>
  <c r="BX570" i="40"/>
  <c r="BW570" i="40"/>
  <c r="BV570" i="40"/>
  <c r="BU570" i="40"/>
  <c r="BT570" i="40"/>
  <c r="BS570" i="40"/>
  <c r="BR570" i="40"/>
  <c r="BQ570" i="40"/>
  <c r="BP570" i="40"/>
  <c r="BO570" i="40"/>
  <c r="BN570" i="40"/>
  <c r="BM570" i="40"/>
  <c r="BL570" i="40"/>
  <c r="BK570" i="40"/>
  <c r="BJ570" i="40"/>
  <c r="BI570" i="40"/>
  <c r="BH570" i="40"/>
  <c r="BG570" i="40"/>
  <c r="BF570" i="40"/>
  <c r="BE570" i="40"/>
  <c r="BD570" i="40"/>
  <c r="BC570" i="40"/>
  <c r="BB570" i="40"/>
  <c r="BA570" i="40"/>
  <c r="AZ570" i="40"/>
  <c r="AY570" i="40"/>
  <c r="AX570" i="40"/>
  <c r="AW570" i="40"/>
  <c r="AV570" i="40"/>
  <c r="AU570" i="40"/>
  <c r="AT570" i="40"/>
  <c r="AS570" i="40"/>
  <c r="AR570" i="40"/>
  <c r="AQ570" i="40"/>
  <c r="AP570" i="40"/>
  <c r="AO570" i="40"/>
  <c r="AN570" i="40"/>
  <c r="AM570" i="40"/>
  <c r="AL570" i="40"/>
  <c r="AI570" i="40"/>
  <c r="AH570" i="40"/>
  <c r="AG570" i="40"/>
  <c r="AF570" i="40"/>
  <c r="AE570" i="40"/>
  <c r="AD570" i="40"/>
  <c r="AC570" i="40"/>
  <c r="AB570" i="40"/>
  <c r="DP569" i="40"/>
  <c r="DO569" i="40"/>
  <c r="DN569" i="40"/>
  <c r="DM569" i="40"/>
  <c r="DL569" i="40"/>
  <c r="DK569" i="40"/>
  <c r="DJ569" i="40"/>
  <c r="DI569" i="40"/>
  <c r="DH569" i="40"/>
  <c r="DG569" i="40"/>
  <c r="DF569" i="40"/>
  <c r="DE569" i="40"/>
  <c r="DD569" i="40"/>
  <c r="DC569" i="40"/>
  <c r="DB569" i="40"/>
  <c r="DA569" i="40"/>
  <c r="CZ569" i="40"/>
  <c r="CY569" i="40"/>
  <c r="CX569" i="40"/>
  <c r="CW569" i="40"/>
  <c r="CV569" i="40"/>
  <c r="CU569" i="40"/>
  <c r="CT569" i="40"/>
  <c r="CS569" i="40"/>
  <c r="CR569" i="40"/>
  <c r="CQ569" i="40"/>
  <c r="CP569" i="40"/>
  <c r="CO569" i="40"/>
  <c r="CN569" i="40"/>
  <c r="CM569" i="40"/>
  <c r="CL569" i="40"/>
  <c r="CK569" i="40"/>
  <c r="CJ569" i="40"/>
  <c r="CI569" i="40"/>
  <c r="CH569" i="40"/>
  <c r="CG569" i="40"/>
  <c r="CF569" i="40"/>
  <c r="CE569" i="40"/>
  <c r="CD569" i="40"/>
  <c r="CC569" i="40"/>
  <c r="CB569" i="40"/>
  <c r="CA569" i="40"/>
  <c r="BZ569" i="40"/>
  <c r="BY569" i="40"/>
  <c r="BX569" i="40"/>
  <c r="BW569" i="40"/>
  <c r="BV569" i="40"/>
  <c r="BU569" i="40"/>
  <c r="BT569" i="40"/>
  <c r="BS569" i="40"/>
  <c r="BR569" i="40"/>
  <c r="BQ569" i="40"/>
  <c r="BP569" i="40"/>
  <c r="BO569" i="40"/>
  <c r="BN569" i="40"/>
  <c r="BM569" i="40"/>
  <c r="BL569" i="40"/>
  <c r="BK569" i="40"/>
  <c r="BJ569" i="40"/>
  <c r="BI569" i="40"/>
  <c r="BH569" i="40"/>
  <c r="BG569" i="40"/>
  <c r="BF569" i="40"/>
  <c r="BE569" i="40"/>
  <c r="BD569" i="40"/>
  <c r="BC569" i="40"/>
  <c r="BB569" i="40"/>
  <c r="BA569" i="40"/>
  <c r="AZ569" i="40"/>
  <c r="AY569" i="40"/>
  <c r="AX569" i="40"/>
  <c r="AW569" i="40"/>
  <c r="AV569" i="40"/>
  <c r="AU569" i="40"/>
  <c r="AT569" i="40"/>
  <c r="AS569" i="40"/>
  <c r="AR569" i="40"/>
  <c r="AQ569" i="40"/>
  <c r="AP569" i="40"/>
  <c r="AO569" i="40"/>
  <c r="AN569" i="40"/>
  <c r="AI569" i="40"/>
  <c r="AH569" i="40"/>
  <c r="AG569" i="40"/>
  <c r="AF569" i="40"/>
  <c r="AE569" i="40"/>
  <c r="AD569" i="40"/>
  <c r="AC569" i="40"/>
  <c r="AB569" i="40"/>
  <c r="AA569" i="40"/>
  <c r="DP567" i="40"/>
  <c r="DO567" i="40"/>
  <c r="DN567" i="40"/>
  <c r="DM567" i="40"/>
  <c r="DL567" i="40"/>
  <c r="DK567" i="40"/>
  <c r="DJ567" i="40"/>
  <c r="DI567" i="40"/>
  <c r="DH567" i="40"/>
  <c r="DG567" i="40"/>
  <c r="DF567" i="40"/>
  <c r="DE567" i="40"/>
  <c r="DD567" i="40"/>
  <c r="DC567" i="40"/>
  <c r="DB567" i="40"/>
  <c r="DA567" i="40"/>
  <c r="CZ567" i="40"/>
  <c r="CY567" i="40"/>
  <c r="CX567" i="40"/>
  <c r="CW567" i="40"/>
  <c r="CV567" i="40"/>
  <c r="CU567" i="40"/>
  <c r="CT567" i="40"/>
  <c r="CS567" i="40"/>
  <c r="CR567" i="40"/>
  <c r="CQ567" i="40"/>
  <c r="CP567" i="40"/>
  <c r="CO567" i="40"/>
  <c r="CN567" i="40"/>
  <c r="CM567" i="40"/>
  <c r="CL567" i="40"/>
  <c r="CK567" i="40"/>
  <c r="CJ567" i="40"/>
  <c r="CI567" i="40"/>
  <c r="CH567" i="40"/>
  <c r="CG567" i="40"/>
  <c r="CF567" i="40"/>
  <c r="CE567" i="40"/>
  <c r="CD567" i="40"/>
  <c r="CC567" i="40"/>
  <c r="CB567" i="40"/>
  <c r="CA567" i="40"/>
  <c r="BZ567" i="40"/>
  <c r="BY567" i="40"/>
  <c r="BX567" i="40"/>
  <c r="BW567" i="40"/>
  <c r="BV567" i="40"/>
  <c r="BU567" i="40"/>
  <c r="BT567" i="40"/>
  <c r="BS567" i="40"/>
  <c r="BR567" i="40"/>
  <c r="BQ567" i="40"/>
  <c r="BP567" i="40"/>
  <c r="BO567" i="40"/>
  <c r="BN567" i="40"/>
  <c r="BM567" i="40"/>
  <c r="BL567" i="40"/>
  <c r="BK567" i="40"/>
  <c r="BJ567" i="40"/>
  <c r="BI567" i="40"/>
  <c r="BH567" i="40"/>
  <c r="BG567" i="40"/>
  <c r="BF567" i="40"/>
  <c r="BE567" i="40"/>
  <c r="BD567" i="40"/>
  <c r="BC567" i="40"/>
  <c r="BB567" i="40"/>
  <c r="BA567" i="40"/>
  <c r="AZ567" i="40"/>
  <c r="AY567" i="40"/>
  <c r="AX567" i="40"/>
  <c r="AW567" i="40"/>
  <c r="AV567" i="40"/>
  <c r="AU567" i="40"/>
  <c r="AT567" i="40"/>
  <c r="AS567" i="40"/>
  <c r="AR567" i="40"/>
  <c r="AQ567" i="40"/>
  <c r="AP567" i="40"/>
  <c r="AO567" i="40"/>
  <c r="AN567" i="40"/>
  <c r="AM567" i="40"/>
  <c r="AL567" i="40"/>
  <c r="AK567" i="40"/>
  <c r="AI567" i="40"/>
  <c r="AH567" i="40"/>
  <c r="AG567" i="40"/>
  <c r="AF567" i="40"/>
  <c r="AE567" i="40"/>
  <c r="AD567" i="40"/>
  <c r="AC567" i="40"/>
  <c r="AB567" i="40"/>
  <c r="AA567" i="40"/>
  <c r="AL561" i="40"/>
  <c r="AM561" i="40"/>
  <c r="AN561" i="40"/>
  <c r="AO561" i="40"/>
  <c r="AP561" i="40"/>
  <c r="AQ561" i="40"/>
  <c r="AR561" i="40"/>
  <c r="AS561" i="40"/>
  <c r="AT561" i="40"/>
  <c r="AU561" i="40"/>
  <c r="AV561" i="40"/>
  <c r="AW561" i="40"/>
  <c r="AX561" i="40"/>
  <c r="AY561" i="40"/>
  <c r="AZ561" i="40"/>
  <c r="BA561" i="40"/>
  <c r="BB561" i="40"/>
  <c r="BC561" i="40"/>
  <c r="BD561" i="40"/>
  <c r="BE561" i="40"/>
  <c r="BF561" i="40"/>
  <c r="BG561" i="40"/>
  <c r="BH561" i="40"/>
  <c r="BI561" i="40"/>
  <c r="BJ561" i="40"/>
  <c r="BK561" i="40"/>
  <c r="BL561" i="40"/>
  <c r="BM561" i="40"/>
  <c r="BN561" i="40"/>
  <c r="BO561" i="40"/>
  <c r="BP561" i="40"/>
  <c r="BQ561" i="40"/>
  <c r="BR561" i="40"/>
  <c r="BS561" i="40"/>
  <c r="BT561" i="40"/>
  <c r="BU561" i="40"/>
  <c r="BV561" i="40"/>
  <c r="BW561" i="40"/>
  <c r="BX561" i="40"/>
  <c r="BY561" i="40"/>
  <c r="BZ561" i="40"/>
  <c r="CA561" i="40"/>
  <c r="CB561" i="40"/>
  <c r="CC561" i="40"/>
  <c r="CD561" i="40"/>
  <c r="CE561" i="40"/>
  <c r="CF561" i="40"/>
  <c r="CG561" i="40"/>
  <c r="CH561" i="40"/>
  <c r="CI561" i="40"/>
  <c r="CJ561" i="40"/>
  <c r="CK561" i="40"/>
  <c r="CL561" i="40"/>
  <c r="CM561" i="40"/>
  <c r="CN561" i="40"/>
  <c r="CO561" i="40"/>
  <c r="CP561" i="40"/>
  <c r="CQ561" i="40"/>
  <c r="CR561" i="40"/>
  <c r="CS561" i="40"/>
  <c r="CT561" i="40"/>
  <c r="CU561" i="40"/>
  <c r="CV561" i="40"/>
  <c r="CW561" i="40"/>
  <c r="CX561" i="40"/>
  <c r="CY561" i="40"/>
  <c r="CZ561" i="40"/>
  <c r="DA561" i="40"/>
  <c r="DB561" i="40"/>
  <c r="DC561" i="40"/>
  <c r="DD561" i="40"/>
  <c r="DE561" i="40"/>
  <c r="DF561" i="40"/>
  <c r="DG561" i="40"/>
  <c r="DH561" i="40"/>
  <c r="DI561" i="40"/>
  <c r="DJ561" i="40"/>
  <c r="DK561" i="40"/>
  <c r="DL561" i="40"/>
  <c r="DM561" i="40"/>
  <c r="DN561" i="40"/>
  <c r="DO561" i="40"/>
  <c r="DP561" i="40"/>
  <c r="X588" i="40"/>
  <c r="T577" i="40"/>
  <c r="X569" i="40"/>
  <c r="T586" i="40"/>
  <c r="X578" i="40"/>
  <c r="V576" i="40"/>
  <c r="V579" i="40"/>
  <c r="U577" i="40"/>
  <c r="Q577" i="40"/>
  <c r="M577" i="40"/>
  <c r="U588" i="40"/>
  <c r="Q588" i="40"/>
  <c r="M588" i="40"/>
  <c r="AK588" i="40" s="1"/>
  <c r="U585" i="40"/>
  <c r="Q585" i="40"/>
  <c r="M585" i="40"/>
  <c r="AK585" i="40" s="1"/>
  <c r="U576" i="40"/>
  <c r="Q576" i="40"/>
  <c r="M576" i="40"/>
  <c r="U571" i="40"/>
  <c r="Q571" i="40"/>
  <c r="M571" i="40"/>
  <c r="AK571" i="40" s="1"/>
  <c r="U570" i="40"/>
  <c r="Q570" i="40"/>
  <c r="M570" i="40"/>
  <c r="AK570" i="40" s="1"/>
  <c r="U569" i="40"/>
  <c r="Q569" i="40"/>
  <c r="M569" i="40"/>
  <c r="AK569" i="40" s="1"/>
  <c r="U586" i="40"/>
  <c r="Q586" i="40"/>
  <c r="M586" i="40"/>
  <c r="U579" i="40"/>
  <c r="Q579" i="40"/>
  <c r="M579" i="40"/>
  <c r="U578" i="40"/>
  <c r="Q578" i="40"/>
  <c r="M578" i="40"/>
  <c r="DP6" i="40"/>
  <c r="DO6" i="40"/>
  <c r="DN6" i="40"/>
  <c r="DM6" i="40"/>
  <c r="DL6" i="40"/>
  <c r="DK6" i="40"/>
  <c r="DJ6" i="40"/>
  <c r="DI6" i="40"/>
  <c r="DH6" i="40"/>
  <c r="DG6" i="40"/>
  <c r="DF6" i="40"/>
  <c r="DE6" i="40"/>
  <c r="DD6" i="40"/>
  <c r="DC6" i="40"/>
  <c r="DB6" i="40"/>
  <c r="DA6" i="40"/>
  <c r="CZ6" i="40"/>
  <c r="CY6" i="40"/>
  <c r="CX6" i="40"/>
  <c r="CW6" i="40"/>
  <c r="CV6" i="40"/>
  <c r="CU6" i="40"/>
  <c r="CT6" i="40"/>
  <c r="CS6" i="40"/>
  <c r="CR6" i="40"/>
  <c r="CQ6" i="40"/>
  <c r="CP6" i="40"/>
  <c r="CO6" i="40"/>
  <c r="CN6" i="40"/>
  <c r="CM6" i="40"/>
  <c r="CL6" i="40"/>
  <c r="CK6" i="40"/>
  <c r="CJ6" i="40"/>
  <c r="CI6" i="40"/>
  <c r="CH6" i="40"/>
  <c r="CG6" i="40"/>
  <c r="CF6" i="40"/>
  <c r="CE6" i="40"/>
  <c r="CD6" i="40"/>
  <c r="CC6" i="40"/>
  <c r="CB6" i="40"/>
  <c r="CA6" i="40"/>
  <c r="BZ6" i="40"/>
  <c r="BY6" i="40"/>
  <c r="BX6" i="40"/>
  <c r="BW6" i="40"/>
  <c r="BV6" i="40"/>
  <c r="BU6" i="40"/>
  <c r="BT6" i="40"/>
  <c r="BS6" i="40"/>
  <c r="BR6" i="40"/>
  <c r="BQ6" i="40"/>
  <c r="BP6" i="40"/>
  <c r="BO6" i="40"/>
  <c r="BN6" i="40"/>
  <c r="BM6" i="40"/>
  <c r="BL6" i="40"/>
  <c r="BK6" i="40"/>
  <c r="BJ6" i="40"/>
  <c r="BI6" i="40"/>
  <c r="BH6" i="40"/>
  <c r="BG6" i="40"/>
  <c r="BF6" i="40"/>
  <c r="BE6" i="40"/>
  <c r="BD6" i="40"/>
  <c r="BC6" i="40"/>
  <c r="BB6" i="40"/>
  <c r="BA6" i="40"/>
  <c r="AZ6" i="40"/>
  <c r="AY6" i="40"/>
  <c r="AX6" i="40"/>
  <c r="AW6" i="40"/>
  <c r="AV6" i="40"/>
  <c r="AU6" i="40"/>
  <c r="AT6" i="40"/>
  <c r="AS6" i="40"/>
  <c r="AR6" i="40"/>
  <c r="AQ6" i="40"/>
  <c r="AP6" i="40"/>
  <c r="AO6" i="40"/>
  <c r="AN6" i="40"/>
  <c r="AM6" i="40"/>
  <c r="AE6" i="40"/>
  <c r="AD6" i="40"/>
  <c r="AC6" i="40"/>
  <c r="AB6" i="40"/>
  <c r="AA6" i="40"/>
  <c r="AA34" i="40" s="1"/>
  <c r="AK6" i="40"/>
  <c r="AJ6" i="40"/>
  <c r="AI6" i="40"/>
  <c r="AH6" i="40"/>
  <c r="AG6" i="40"/>
  <c r="AF6" i="40"/>
  <c r="AL6" i="40"/>
  <c r="X766" i="40"/>
  <c r="O766" i="40"/>
  <c r="U766" i="40"/>
  <c r="Q766" i="40"/>
  <c r="M766" i="40"/>
  <c r="BE134" i="40" l="1"/>
  <c r="BE135" i="40"/>
  <c r="DA134" i="40"/>
  <c r="DA135" i="40"/>
  <c r="AA134" i="40"/>
  <c r="AA135" i="40"/>
  <c r="AP134" i="40"/>
  <c r="AP135" i="40"/>
  <c r="AX134" i="40"/>
  <c r="AX135" i="40"/>
  <c r="BF134" i="40"/>
  <c r="BF135" i="40"/>
  <c r="BN134" i="40"/>
  <c r="BN135" i="40"/>
  <c r="BV134" i="40"/>
  <c r="BV135" i="40"/>
  <c r="CD134" i="40"/>
  <c r="CD135" i="40"/>
  <c r="CL134" i="40"/>
  <c r="CL135" i="40"/>
  <c r="CT134" i="40"/>
  <c r="CT135" i="40"/>
  <c r="DB134" i="40"/>
  <c r="DB135" i="40"/>
  <c r="DJ134" i="40"/>
  <c r="DJ135" i="40"/>
  <c r="BM134" i="40"/>
  <c r="BM135" i="40"/>
  <c r="CS134" i="40"/>
  <c r="CS135" i="40"/>
  <c r="AL134" i="40"/>
  <c r="AL135" i="40"/>
  <c r="AB134" i="40"/>
  <c r="AB135" i="40"/>
  <c r="AQ134" i="40"/>
  <c r="AQ135" i="40"/>
  <c r="AY134" i="40"/>
  <c r="AY135" i="40"/>
  <c r="BG134" i="40"/>
  <c r="BG135" i="40"/>
  <c r="BO134" i="40"/>
  <c r="BO135" i="40"/>
  <c r="BW134" i="40"/>
  <c r="BW135" i="40"/>
  <c r="CE134" i="40"/>
  <c r="CE135" i="40"/>
  <c r="CM134" i="40"/>
  <c r="CM135" i="40"/>
  <c r="CU134" i="40"/>
  <c r="CU135" i="40"/>
  <c r="DC134" i="40"/>
  <c r="DC135" i="40"/>
  <c r="DK134" i="40"/>
  <c r="DK135" i="40"/>
  <c r="AF134" i="40"/>
  <c r="AF135" i="40"/>
  <c r="AC134" i="40"/>
  <c r="AC135" i="40"/>
  <c r="AR134" i="40"/>
  <c r="AR135" i="40"/>
  <c r="AZ134" i="40"/>
  <c r="AZ135" i="40"/>
  <c r="BH134" i="40"/>
  <c r="BH135" i="40"/>
  <c r="BP134" i="40"/>
  <c r="BP135" i="40"/>
  <c r="BX134" i="40"/>
  <c r="BX135" i="40"/>
  <c r="CF134" i="40"/>
  <c r="CF135" i="40"/>
  <c r="CN134" i="40"/>
  <c r="CN135" i="40"/>
  <c r="CV134" i="40"/>
  <c r="CV135" i="40"/>
  <c r="DD134" i="40"/>
  <c r="DD135" i="40"/>
  <c r="DL134" i="40"/>
  <c r="DL135" i="40"/>
  <c r="AW134" i="40"/>
  <c r="AW135" i="40"/>
  <c r="DI134" i="40"/>
  <c r="DI135" i="40"/>
  <c r="AG134" i="40"/>
  <c r="AG135" i="40"/>
  <c r="AD134" i="40"/>
  <c r="AD135" i="40"/>
  <c r="AS134" i="40"/>
  <c r="AS135" i="40"/>
  <c r="BA134" i="40"/>
  <c r="BI134" i="40"/>
  <c r="BI135" i="40"/>
  <c r="BQ134" i="40"/>
  <c r="BQ135" i="40"/>
  <c r="BY134" i="40"/>
  <c r="BY135" i="40"/>
  <c r="CG134" i="40"/>
  <c r="CG135" i="40"/>
  <c r="CO134" i="40"/>
  <c r="CO135" i="40"/>
  <c r="CW134" i="40"/>
  <c r="CW135" i="40"/>
  <c r="DE134" i="40"/>
  <c r="DE135" i="40"/>
  <c r="DM134" i="40"/>
  <c r="DM135" i="40"/>
  <c r="AK134" i="40"/>
  <c r="AK135" i="40"/>
  <c r="CC134" i="40"/>
  <c r="CC135" i="40"/>
  <c r="AH134" i="40"/>
  <c r="AH135" i="40"/>
  <c r="AE134" i="40"/>
  <c r="AE135" i="40"/>
  <c r="AT134" i="40"/>
  <c r="AT135" i="40"/>
  <c r="BB134" i="40"/>
  <c r="BB135" i="40"/>
  <c r="BJ134" i="40"/>
  <c r="BJ135" i="40"/>
  <c r="BR134" i="40"/>
  <c r="BR135" i="40"/>
  <c r="BZ134" i="40"/>
  <c r="BZ135" i="40"/>
  <c r="CH134" i="40"/>
  <c r="CH135" i="40"/>
  <c r="CP134" i="40"/>
  <c r="CP135" i="40"/>
  <c r="CX134" i="40"/>
  <c r="CX135" i="40"/>
  <c r="DF134" i="40"/>
  <c r="DF135" i="40"/>
  <c r="DN134" i="40"/>
  <c r="DN135" i="40"/>
  <c r="AO134" i="40"/>
  <c r="AO135" i="40"/>
  <c r="CK134" i="40"/>
  <c r="CK135" i="40"/>
  <c r="AI134" i="40"/>
  <c r="AI135" i="40"/>
  <c r="AM134" i="40"/>
  <c r="AM135" i="40"/>
  <c r="AU134" i="40"/>
  <c r="AU135" i="40"/>
  <c r="BC134" i="40"/>
  <c r="BC135" i="40"/>
  <c r="BK134" i="40"/>
  <c r="BK135" i="40"/>
  <c r="BS134" i="40"/>
  <c r="BS135" i="40"/>
  <c r="CA134" i="40"/>
  <c r="CA135" i="40"/>
  <c r="CI134" i="40"/>
  <c r="CI135" i="40"/>
  <c r="CQ134" i="40"/>
  <c r="CQ135" i="40"/>
  <c r="CY134" i="40"/>
  <c r="CY135" i="40"/>
  <c r="DG134" i="40"/>
  <c r="DG135" i="40"/>
  <c r="DO134" i="40"/>
  <c r="DO135" i="40"/>
  <c r="BU134" i="40"/>
  <c r="BU135" i="40"/>
  <c r="AJ134" i="40"/>
  <c r="AJ135" i="40"/>
  <c r="AN134" i="40"/>
  <c r="AN135" i="40"/>
  <c r="AV134" i="40"/>
  <c r="AV135" i="40"/>
  <c r="BD134" i="40"/>
  <c r="BD135" i="40"/>
  <c r="BL134" i="40"/>
  <c r="BL135" i="40"/>
  <c r="BT134" i="40"/>
  <c r="BT135" i="40"/>
  <c r="CB134" i="40"/>
  <c r="CB135" i="40"/>
  <c r="CJ134" i="40"/>
  <c r="CJ135" i="40"/>
  <c r="CR134" i="40"/>
  <c r="CR135" i="40"/>
  <c r="CZ134" i="40"/>
  <c r="CZ135" i="40"/>
  <c r="DH134" i="40"/>
  <c r="DH135" i="40"/>
  <c r="DP134" i="40"/>
  <c r="DP135" i="40"/>
  <c r="AW132" i="40"/>
  <c r="AW133" i="40"/>
  <c r="BE132" i="40"/>
  <c r="BE133" i="40"/>
  <c r="BM132" i="40"/>
  <c r="BM133" i="40"/>
  <c r="BU132" i="40"/>
  <c r="BU133" i="40"/>
  <c r="CC132" i="40"/>
  <c r="CC133" i="40"/>
  <c r="CK132" i="40"/>
  <c r="CK133" i="40"/>
  <c r="CS132" i="40"/>
  <c r="CS133" i="40"/>
  <c r="DA132" i="40"/>
  <c r="DA133" i="40"/>
  <c r="DI132" i="40"/>
  <c r="DI133" i="40"/>
  <c r="AQ132" i="40"/>
  <c r="AQ133" i="40"/>
  <c r="CM132" i="40"/>
  <c r="CM133" i="40"/>
  <c r="BP132" i="40"/>
  <c r="BP133" i="40"/>
  <c r="AJ132" i="40"/>
  <c r="AJ133" i="40"/>
  <c r="AN132" i="40"/>
  <c r="AN133" i="40"/>
  <c r="AV132" i="40"/>
  <c r="AV133" i="40"/>
  <c r="BL132" i="40"/>
  <c r="BL133" i="40"/>
  <c r="CB132" i="40"/>
  <c r="CB133" i="40"/>
  <c r="AK132" i="40"/>
  <c r="AK133" i="40"/>
  <c r="AO132" i="40"/>
  <c r="AO133" i="40"/>
  <c r="AA132" i="40"/>
  <c r="AA133" i="40"/>
  <c r="AP132" i="40"/>
  <c r="AP133" i="40"/>
  <c r="AX132" i="40"/>
  <c r="AX133" i="40"/>
  <c r="BF132" i="40"/>
  <c r="BF133" i="40"/>
  <c r="BN132" i="40"/>
  <c r="BN133" i="40"/>
  <c r="BV132" i="40"/>
  <c r="BV133" i="40"/>
  <c r="CD132" i="40"/>
  <c r="CD133" i="40"/>
  <c r="CL132" i="40"/>
  <c r="CL133" i="40"/>
  <c r="CT132" i="40"/>
  <c r="CT133" i="40"/>
  <c r="DB132" i="40"/>
  <c r="DB133" i="40"/>
  <c r="DJ132" i="40"/>
  <c r="DJ133" i="40"/>
  <c r="BG132" i="40"/>
  <c r="BG133" i="40"/>
  <c r="DC132" i="40"/>
  <c r="DC133" i="40"/>
  <c r="AR132" i="40"/>
  <c r="AR133" i="40"/>
  <c r="DL132" i="40"/>
  <c r="DL133" i="40"/>
  <c r="CE132" i="40"/>
  <c r="CE133" i="40"/>
  <c r="AC132" i="40"/>
  <c r="AC133" i="40"/>
  <c r="BX132" i="40"/>
  <c r="BX133" i="40"/>
  <c r="DD132" i="40"/>
  <c r="DD133" i="40"/>
  <c r="AG132" i="40"/>
  <c r="AG133" i="40"/>
  <c r="AD132" i="40"/>
  <c r="AD133" i="40"/>
  <c r="AS132" i="40"/>
  <c r="AS133" i="40"/>
  <c r="BA132" i="40"/>
  <c r="BA133" i="40"/>
  <c r="BI132" i="40"/>
  <c r="BI133" i="40"/>
  <c r="BQ132" i="40"/>
  <c r="BQ133" i="40"/>
  <c r="BY132" i="40"/>
  <c r="BY133" i="40"/>
  <c r="CG132" i="40"/>
  <c r="CG133" i="40"/>
  <c r="CO132" i="40"/>
  <c r="CO133" i="40"/>
  <c r="CW132" i="40"/>
  <c r="CW133" i="40"/>
  <c r="DE132" i="40"/>
  <c r="DE133" i="40"/>
  <c r="DM132" i="40"/>
  <c r="DM133" i="40"/>
  <c r="AB132" i="40"/>
  <c r="AB133" i="40"/>
  <c r="BW132" i="40"/>
  <c r="BW133" i="40"/>
  <c r="AZ132" i="40"/>
  <c r="AZ133" i="40"/>
  <c r="CN132" i="40"/>
  <c r="CN133" i="40"/>
  <c r="AT132" i="40"/>
  <c r="AT133" i="40"/>
  <c r="BJ132" i="40"/>
  <c r="BJ133" i="40"/>
  <c r="BZ132" i="40"/>
  <c r="BZ133" i="40"/>
  <c r="CP132" i="40"/>
  <c r="CP133" i="40"/>
  <c r="DN132" i="40"/>
  <c r="DN133" i="40"/>
  <c r="AL132" i="40"/>
  <c r="AL133" i="40"/>
  <c r="BO132" i="40"/>
  <c r="BO133" i="40"/>
  <c r="CU132" i="40"/>
  <c r="CU133" i="40"/>
  <c r="CF132" i="40"/>
  <c r="CF133" i="40"/>
  <c r="AH132" i="40"/>
  <c r="AH133" i="40"/>
  <c r="AE132" i="40"/>
  <c r="AE133" i="40"/>
  <c r="BB132" i="40"/>
  <c r="BB133" i="40"/>
  <c r="BR132" i="40"/>
  <c r="BR133" i="40"/>
  <c r="CH132" i="40"/>
  <c r="CH133" i="40"/>
  <c r="CX132" i="40"/>
  <c r="CX133" i="40"/>
  <c r="DF132" i="40"/>
  <c r="DF133" i="40"/>
  <c r="AI132" i="40"/>
  <c r="AI133" i="40"/>
  <c r="AM132" i="40"/>
  <c r="AM133" i="40"/>
  <c r="AU132" i="40"/>
  <c r="AU133" i="40"/>
  <c r="BC132" i="40"/>
  <c r="BC133" i="40"/>
  <c r="BK132" i="40"/>
  <c r="BK133" i="40"/>
  <c r="BS132" i="40"/>
  <c r="BS133" i="40"/>
  <c r="CA132" i="40"/>
  <c r="CA133" i="40"/>
  <c r="CI132" i="40"/>
  <c r="CI133" i="40"/>
  <c r="CQ132" i="40"/>
  <c r="CQ133" i="40"/>
  <c r="CY132" i="40"/>
  <c r="CY133" i="40"/>
  <c r="DG132" i="40"/>
  <c r="DG133" i="40"/>
  <c r="DO132" i="40"/>
  <c r="DO133" i="40"/>
  <c r="AY132" i="40"/>
  <c r="DK132" i="40"/>
  <c r="DK133" i="40"/>
  <c r="AF132" i="40"/>
  <c r="AF133" i="40"/>
  <c r="BH132" i="40"/>
  <c r="BH133" i="40"/>
  <c r="CV132" i="40"/>
  <c r="CV133" i="40"/>
  <c r="BD132" i="40"/>
  <c r="BD133" i="40"/>
  <c r="BT132" i="40"/>
  <c r="BT133" i="40"/>
  <c r="CJ132" i="40"/>
  <c r="CJ133" i="40"/>
  <c r="CR132" i="40"/>
  <c r="CR133" i="40"/>
  <c r="CZ132" i="40"/>
  <c r="CZ133" i="40"/>
  <c r="DH132" i="40"/>
  <c r="DH133" i="40"/>
  <c r="DP132" i="40"/>
  <c r="DP133" i="40"/>
  <c r="AW130" i="40"/>
  <c r="AW131" i="40"/>
  <c r="BE130" i="40"/>
  <c r="BE131" i="40"/>
  <c r="BM130" i="40"/>
  <c r="BM131" i="40"/>
  <c r="BU130" i="40"/>
  <c r="BU131" i="40"/>
  <c r="CC130" i="40"/>
  <c r="CC131" i="40"/>
  <c r="CK130" i="40"/>
  <c r="CK131" i="40"/>
  <c r="CS130" i="40"/>
  <c r="CS131" i="40"/>
  <c r="DA130" i="40"/>
  <c r="DA131" i="40"/>
  <c r="DI130" i="40"/>
  <c r="DI131" i="40"/>
  <c r="AK130" i="40"/>
  <c r="AK131" i="40"/>
  <c r="AO130" i="40"/>
  <c r="AO131" i="40"/>
  <c r="AA130" i="40"/>
  <c r="AA131" i="40"/>
  <c r="AP130" i="40"/>
  <c r="AP131" i="40"/>
  <c r="AX130" i="40"/>
  <c r="AX131" i="40"/>
  <c r="BF130" i="40"/>
  <c r="BF131" i="40"/>
  <c r="BN130" i="40"/>
  <c r="BN131" i="40"/>
  <c r="BV130" i="40"/>
  <c r="BV131" i="40"/>
  <c r="CD130" i="40"/>
  <c r="CD131" i="40"/>
  <c r="CL130" i="40"/>
  <c r="CL131" i="40"/>
  <c r="CT130" i="40"/>
  <c r="CT131" i="40"/>
  <c r="DB130" i="40"/>
  <c r="DB131" i="40"/>
  <c r="DJ130" i="40"/>
  <c r="DJ131" i="40"/>
  <c r="AN130" i="40"/>
  <c r="AN131" i="40"/>
  <c r="AL130" i="40"/>
  <c r="AL131" i="40"/>
  <c r="AB130" i="40"/>
  <c r="AB131" i="40"/>
  <c r="AQ130" i="40"/>
  <c r="AQ131" i="40"/>
  <c r="AY130" i="40"/>
  <c r="AY131" i="40"/>
  <c r="BG130" i="40"/>
  <c r="BG131" i="40"/>
  <c r="BO130" i="40"/>
  <c r="BO131" i="40"/>
  <c r="BW130" i="40"/>
  <c r="BW131" i="40"/>
  <c r="CE130" i="40"/>
  <c r="CE131" i="40"/>
  <c r="CM130" i="40"/>
  <c r="CM131" i="40"/>
  <c r="CU130" i="40"/>
  <c r="CU131" i="40"/>
  <c r="DC130" i="40"/>
  <c r="DC131" i="40"/>
  <c r="DK130" i="40"/>
  <c r="DK131" i="40"/>
  <c r="AV130" i="40"/>
  <c r="AV131" i="40"/>
  <c r="AF130" i="40"/>
  <c r="AF131" i="40"/>
  <c r="AC130" i="40"/>
  <c r="AC131" i="40"/>
  <c r="AR130" i="40"/>
  <c r="AR131" i="40"/>
  <c r="AZ130" i="40"/>
  <c r="AZ131" i="40"/>
  <c r="BH130" i="40"/>
  <c r="BH131" i="40"/>
  <c r="BP130" i="40"/>
  <c r="BP131" i="40"/>
  <c r="BX130" i="40"/>
  <c r="BX131" i="40"/>
  <c r="CF130" i="40"/>
  <c r="CF131" i="40"/>
  <c r="CN130" i="40"/>
  <c r="CN131" i="40"/>
  <c r="CV130" i="40"/>
  <c r="CV131" i="40"/>
  <c r="DD130" i="40"/>
  <c r="DD131" i="40"/>
  <c r="DL130" i="40"/>
  <c r="DL131" i="40"/>
  <c r="AJ130" i="40"/>
  <c r="AJ131" i="40"/>
  <c r="AG130" i="40"/>
  <c r="AG131" i="40"/>
  <c r="AD130" i="40"/>
  <c r="AD131" i="40"/>
  <c r="AS130" i="40"/>
  <c r="AS131" i="40"/>
  <c r="BI130" i="40"/>
  <c r="BI131" i="40"/>
  <c r="BQ130" i="40"/>
  <c r="BQ131" i="40"/>
  <c r="BY130" i="40"/>
  <c r="BY131" i="40"/>
  <c r="CG130" i="40"/>
  <c r="CG131" i="40"/>
  <c r="CO130" i="40"/>
  <c r="CO131" i="40"/>
  <c r="CW130" i="40"/>
  <c r="CW131" i="40"/>
  <c r="DE130" i="40"/>
  <c r="DE131" i="40"/>
  <c r="DM130" i="40"/>
  <c r="DM131" i="40"/>
  <c r="BB130" i="40"/>
  <c r="BB131" i="40"/>
  <c r="BJ130" i="40"/>
  <c r="BJ131" i="40"/>
  <c r="BR130" i="40"/>
  <c r="BR131" i="40"/>
  <c r="BZ130" i="40"/>
  <c r="BZ131" i="40"/>
  <c r="CH130" i="40"/>
  <c r="CH131" i="40"/>
  <c r="CP130" i="40"/>
  <c r="CP131" i="40"/>
  <c r="CX130" i="40"/>
  <c r="CX131" i="40"/>
  <c r="DF130" i="40"/>
  <c r="DF131" i="40"/>
  <c r="DN130" i="40"/>
  <c r="DN131" i="40"/>
  <c r="AH130" i="40"/>
  <c r="AH131" i="40"/>
  <c r="AE130" i="40"/>
  <c r="AE131" i="40"/>
  <c r="AT130" i="40"/>
  <c r="AT131" i="40"/>
  <c r="AI130" i="40"/>
  <c r="AI131" i="40"/>
  <c r="AM130" i="40"/>
  <c r="AM131" i="40"/>
  <c r="AU130" i="40"/>
  <c r="AU131" i="40"/>
  <c r="BC130" i="40"/>
  <c r="BC131" i="40"/>
  <c r="BK130" i="40"/>
  <c r="BK131" i="40"/>
  <c r="BS130" i="40"/>
  <c r="BS131" i="40"/>
  <c r="CA130" i="40"/>
  <c r="CA131" i="40"/>
  <c r="CI130" i="40"/>
  <c r="CI131" i="40"/>
  <c r="CQ130" i="40"/>
  <c r="CQ131" i="40"/>
  <c r="CY130" i="40"/>
  <c r="CY131" i="40"/>
  <c r="DG130" i="40"/>
  <c r="DG131" i="40"/>
  <c r="DO130" i="40"/>
  <c r="DO131" i="40"/>
  <c r="BD130" i="40"/>
  <c r="BD131" i="40"/>
  <c r="BL130" i="40"/>
  <c r="BL131" i="40"/>
  <c r="BT130" i="40"/>
  <c r="BT131" i="40"/>
  <c r="CB130" i="40"/>
  <c r="CB131" i="40"/>
  <c r="CJ130" i="40"/>
  <c r="CJ131" i="40"/>
  <c r="CR130" i="40"/>
  <c r="CR131" i="40"/>
  <c r="CZ130" i="40"/>
  <c r="CZ131" i="40"/>
  <c r="DH130" i="40"/>
  <c r="DH131" i="40"/>
  <c r="DP130" i="40"/>
  <c r="DP131" i="40"/>
  <c r="BD121" i="40"/>
  <c r="BD126" i="40"/>
  <c r="BD122" i="40"/>
  <c r="BD123" i="40"/>
  <c r="BD124" i="40"/>
  <c r="BD125" i="40"/>
  <c r="BT121" i="40"/>
  <c r="BT126" i="40"/>
  <c r="BT122" i="40"/>
  <c r="BT123" i="40"/>
  <c r="BT124" i="40"/>
  <c r="BT125" i="40"/>
  <c r="AK121" i="40"/>
  <c r="AK125" i="40"/>
  <c r="AK124" i="40"/>
  <c r="AK126" i="40"/>
  <c r="AK122" i="40"/>
  <c r="AK123" i="40"/>
  <c r="AO121" i="40"/>
  <c r="AO123" i="40"/>
  <c r="AO126" i="40"/>
  <c r="AO124" i="40"/>
  <c r="AO122" i="40"/>
  <c r="AO125" i="40"/>
  <c r="AW123" i="40"/>
  <c r="AW124" i="40"/>
  <c r="AW125" i="40"/>
  <c r="AW126" i="40"/>
  <c r="AW122" i="40"/>
  <c r="BE121" i="40"/>
  <c r="BE123" i="40"/>
  <c r="BE122" i="40"/>
  <c r="BE124" i="40"/>
  <c r="BE126" i="40"/>
  <c r="BE125" i="40"/>
  <c r="BM121" i="40"/>
  <c r="BM123" i="40"/>
  <c r="BM124" i="40"/>
  <c r="BM122" i="40"/>
  <c r="BM125" i="40"/>
  <c r="BM126" i="40"/>
  <c r="BU121" i="40"/>
  <c r="BU123" i="40"/>
  <c r="BU124" i="40"/>
  <c r="BU126" i="40"/>
  <c r="BU125" i="40"/>
  <c r="BU122" i="40"/>
  <c r="CC121" i="40"/>
  <c r="CC123" i="40"/>
  <c r="CC122" i="40"/>
  <c r="CC124" i="40"/>
  <c r="CC125" i="40"/>
  <c r="CC126" i="40"/>
  <c r="CK121" i="40"/>
  <c r="CK123" i="40"/>
  <c r="CK124" i="40"/>
  <c r="CK126" i="40"/>
  <c r="CK122" i="40"/>
  <c r="CK125" i="40"/>
  <c r="CS121" i="40"/>
  <c r="CS123" i="40"/>
  <c r="CS126" i="40"/>
  <c r="CS124" i="40"/>
  <c r="CS125" i="40"/>
  <c r="CS122" i="40"/>
  <c r="DA121" i="40"/>
  <c r="DA123" i="40"/>
  <c r="DA122" i="40"/>
  <c r="DA124" i="40"/>
  <c r="DA125" i="40"/>
  <c r="DA126" i="40"/>
  <c r="DI121" i="40"/>
  <c r="DI123" i="40"/>
  <c r="DI124" i="40"/>
  <c r="DI126" i="40"/>
  <c r="DI122" i="40"/>
  <c r="DI125" i="40"/>
  <c r="AJ121" i="40"/>
  <c r="AJ124" i="40"/>
  <c r="AJ125" i="40"/>
  <c r="AJ126" i="40"/>
  <c r="AJ122" i="40"/>
  <c r="AJ123" i="40"/>
  <c r="AA121" i="40"/>
  <c r="AA124" i="40"/>
  <c r="AA125" i="40"/>
  <c r="AA126" i="40"/>
  <c r="AA122" i="40"/>
  <c r="AA123" i="40"/>
  <c r="AP121" i="40"/>
  <c r="AP123" i="40"/>
  <c r="AP124" i="40"/>
  <c r="AP125" i="40"/>
  <c r="AP126" i="40"/>
  <c r="AP122" i="40"/>
  <c r="AX121" i="40"/>
  <c r="AX123" i="40"/>
  <c r="AX124" i="40"/>
  <c r="AX125" i="40"/>
  <c r="AX126" i="40"/>
  <c r="AX122" i="40"/>
  <c r="BF121" i="40"/>
  <c r="BF123" i="40"/>
  <c r="BF124" i="40"/>
  <c r="BF125" i="40"/>
  <c r="BF126" i="40"/>
  <c r="BF122" i="40"/>
  <c r="BN121" i="40"/>
  <c r="BN123" i="40"/>
  <c r="BN124" i="40"/>
  <c r="BN125" i="40"/>
  <c r="BN126" i="40"/>
  <c r="BN122" i="40"/>
  <c r="BV121" i="40"/>
  <c r="BV123" i="40"/>
  <c r="BV124" i="40"/>
  <c r="BV125" i="40"/>
  <c r="BV126" i="40"/>
  <c r="BV122" i="40"/>
  <c r="CD121" i="40"/>
  <c r="CD123" i="40"/>
  <c r="CD124" i="40"/>
  <c r="CD125" i="40"/>
  <c r="CD126" i="40"/>
  <c r="CD122" i="40"/>
  <c r="CL121" i="40"/>
  <c r="CL123" i="40"/>
  <c r="CL124" i="40"/>
  <c r="CL125" i="40"/>
  <c r="CL126" i="40"/>
  <c r="CL122" i="40"/>
  <c r="CT121" i="40"/>
  <c r="CT123" i="40"/>
  <c r="CT124" i="40"/>
  <c r="CT125" i="40"/>
  <c r="CT126" i="40"/>
  <c r="CT122" i="40"/>
  <c r="DB121" i="40"/>
  <c r="DB123" i="40"/>
  <c r="DB124" i="40"/>
  <c r="DB125" i="40"/>
  <c r="DB126" i="40"/>
  <c r="DB122" i="40"/>
  <c r="DJ121" i="40"/>
  <c r="DJ123" i="40"/>
  <c r="DJ124" i="40"/>
  <c r="DJ125" i="40"/>
  <c r="DJ126" i="40"/>
  <c r="DJ122" i="40"/>
  <c r="AM121" i="40"/>
  <c r="AM126" i="40"/>
  <c r="AM122" i="40"/>
  <c r="AM125" i="40"/>
  <c r="AM123" i="40"/>
  <c r="AM124" i="40"/>
  <c r="AL121" i="40"/>
  <c r="AL125" i="40"/>
  <c r="AL126" i="40"/>
  <c r="AL122" i="40"/>
  <c r="AL123" i="40"/>
  <c r="AL124" i="40"/>
  <c r="AB121" i="40"/>
  <c r="AB124" i="40"/>
  <c r="AB125" i="40"/>
  <c r="AB126" i="40"/>
  <c r="AB122" i="40"/>
  <c r="AB123" i="40"/>
  <c r="AQ121" i="40"/>
  <c r="AQ124" i="40"/>
  <c r="AQ125" i="40"/>
  <c r="AQ123" i="40"/>
  <c r="AQ126" i="40"/>
  <c r="AQ122" i="40"/>
  <c r="AY124" i="40"/>
  <c r="AY125" i="40"/>
  <c r="AY126" i="40"/>
  <c r="AY122" i="40"/>
  <c r="AY123" i="40"/>
  <c r="BG121" i="40"/>
  <c r="BG124" i="40"/>
  <c r="BG123" i="40"/>
  <c r="BG125" i="40"/>
  <c r="BG126" i="40"/>
  <c r="BG122" i="40"/>
  <c r="BO121" i="40"/>
  <c r="BO124" i="40"/>
  <c r="BO125" i="40"/>
  <c r="BO126" i="40"/>
  <c r="BO122" i="40"/>
  <c r="BO123" i="40"/>
  <c r="BW121" i="40"/>
  <c r="BW124" i="40"/>
  <c r="BW125" i="40"/>
  <c r="BW123" i="40"/>
  <c r="BW126" i="40"/>
  <c r="BW122" i="40"/>
  <c r="CE121" i="40"/>
  <c r="CE124" i="40"/>
  <c r="CE123" i="40"/>
  <c r="CE125" i="40"/>
  <c r="CE126" i="40"/>
  <c r="CE122" i="40"/>
  <c r="CM121" i="40"/>
  <c r="CM124" i="40"/>
  <c r="CM125" i="40"/>
  <c r="CM126" i="40"/>
  <c r="CM122" i="40"/>
  <c r="CM123" i="40"/>
  <c r="CU121" i="40"/>
  <c r="CU124" i="40"/>
  <c r="CU125" i="40"/>
  <c r="CU123" i="40"/>
  <c r="CU126" i="40"/>
  <c r="CU122" i="40"/>
  <c r="DC121" i="40"/>
  <c r="DC124" i="40"/>
  <c r="DC123" i="40"/>
  <c r="DC125" i="40"/>
  <c r="DC126" i="40"/>
  <c r="DC122" i="40"/>
  <c r="DK121" i="40"/>
  <c r="DK124" i="40"/>
  <c r="DK125" i="40"/>
  <c r="DK126" i="40"/>
  <c r="DK122" i="40"/>
  <c r="DK123" i="40"/>
  <c r="AI121" i="40"/>
  <c r="AI124" i="40"/>
  <c r="AI123" i="40"/>
  <c r="AI125" i="40"/>
  <c r="AI126" i="40"/>
  <c r="AI122" i="40"/>
  <c r="AF121" i="40"/>
  <c r="AF126" i="40"/>
  <c r="AF122" i="40"/>
  <c r="AF123" i="40"/>
  <c r="AF124" i="40"/>
  <c r="AF125" i="40"/>
  <c r="AC121" i="40"/>
  <c r="AC125" i="40"/>
  <c r="AC126" i="40"/>
  <c r="AC122" i="40"/>
  <c r="AC124" i="40"/>
  <c r="AC123" i="40"/>
  <c r="AR121" i="40"/>
  <c r="AR124" i="40"/>
  <c r="AR125" i="40"/>
  <c r="AR126" i="40"/>
  <c r="AR122" i="40"/>
  <c r="AR123" i="40"/>
  <c r="AZ121" i="40"/>
  <c r="AZ124" i="40"/>
  <c r="AZ125" i="40"/>
  <c r="AZ126" i="40"/>
  <c r="AZ122" i="40"/>
  <c r="AZ123" i="40"/>
  <c r="BH121" i="40"/>
  <c r="BH124" i="40"/>
  <c r="BH125" i="40"/>
  <c r="BH126" i="40"/>
  <c r="BH122" i="40"/>
  <c r="BH123" i="40"/>
  <c r="BP121" i="40"/>
  <c r="BP124" i="40"/>
  <c r="BP125" i="40"/>
  <c r="BP126" i="40"/>
  <c r="BP122" i="40"/>
  <c r="BP123" i="40"/>
  <c r="BX121" i="40"/>
  <c r="BX124" i="40"/>
  <c r="BX125" i="40"/>
  <c r="BX126" i="40"/>
  <c r="BX122" i="40"/>
  <c r="BX123" i="40"/>
  <c r="CF121" i="40"/>
  <c r="CF124" i="40"/>
  <c r="CF125" i="40"/>
  <c r="CF126" i="40"/>
  <c r="CF122" i="40"/>
  <c r="CF123" i="40"/>
  <c r="CN121" i="40"/>
  <c r="CN124" i="40"/>
  <c r="CN125" i="40"/>
  <c r="CN126" i="40"/>
  <c r="CN122" i="40"/>
  <c r="CN123" i="40"/>
  <c r="CV121" i="40"/>
  <c r="CV124" i="40"/>
  <c r="CV125" i="40"/>
  <c r="CV126" i="40"/>
  <c r="CV122" i="40"/>
  <c r="CV123" i="40"/>
  <c r="DD121" i="40"/>
  <c r="DD124" i="40"/>
  <c r="DD125" i="40"/>
  <c r="DD126" i="40"/>
  <c r="DD122" i="40"/>
  <c r="DD123" i="40"/>
  <c r="DL121" i="40"/>
  <c r="DL124" i="40"/>
  <c r="DL125" i="40"/>
  <c r="DL126" i="40"/>
  <c r="DL122" i="40"/>
  <c r="DL123" i="40"/>
  <c r="AU121" i="40"/>
  <c r="AU126" i="40"/>
  <c r="AU122" i="40"/>
  <c r="AU123" i="40"/>
  <c r="AU125" i="40"/>
  <c r="AU124" i="40"/>
  <c r="AG121" i="40"/>
  <c r="AG123" i="40"/>
  <c r="AG122" i="40"/>
  <c r="AG124" i="40"/>
  <c r="AG126" i="40"/>
  <c r="AG125" i="40"/>
  <c r="AD121" i="40"/>
  <c r="AD125" i="40"/>
  <c r="AD126" i="40"/>
  <c r="AD122" i="40"/>
  <c r="AD123" i="40"/>
  <c r="AD124" i="40"/>
  <c r="AS121" i="40"/>
  <c r="AS125" i="40"/>
  <c r="AS126" i="40"/>
  <c r="AS122" i="40"/>
  <c r="AS123" i="40"/>
  <c r="AS124" i="40"/>
  <c r="BA121" i="40"/>
  <c r="BI121" i="40"/>
  <c r="BI125" i="40"/>
  <c r="BI124" i="40"/>
  <c r="BI126" i="40"/>
  <c r="BI122" i="40"/>
  <c r="BI123" i="40"/>
  <c r="BQ121" i="40"/>
  <c r="BQ125" i="40"/>
  <c r="BQ126" i="40"/>
  <c r="BQ122" i="40"/>
  <c r="BQ123" i="40"/>
  <c r="BQ124" i="40"/>
  <c r="BY121" i="40"/>
  <c r="BY125" i="40"/>
  <c r="BY126" i="40"/>
  <c r="BY122" i="40"/>
  <c r="BY124" i="40"/>
  <c r="BY123" i="40"/>
  <c r="CG121" i="40"/>
  <c r="CG125" i="40"/>
  <c r="CG124" i="40"/>
  <c r="CG126" i="40"/>
  <c r="CG122" i="40"/>
  <c r="CG123" i="40"/>
  <c r="CO121" i="40"/>
  <c r="CO125" i="40"/>
  <c r="CO126" i="40"/>
  <c r="CO122" i="40"/>
  <c r="CO123" i="40"/>
  <c r="CO124" i="40"/>
  <c r="CW121" i="40"/>
  <c r="CW125" i="40"/>
  <c r="CW126" i="40"/>
  <c r="CW122" i="40"/>
  <c r="CW124" i="40"/>
  <c r="CW123" i="40"/>
  <c r="DE121" i="40"/>
  <c r="DE125" i="40"/>
  <c r="DE124" i="40"/>
  <c r="DE126" i="40"/>
  <c r="DE122" i="40"/>
  <c r="DE123" i="40"/>
  <c r="DM121" i="40"/>
  <c r="DM125" i="40"/>
  <c r="DM126" i="40"/>
  <c r="DM122" i="40"/>
  <c r="DM124" i="40"/>
  <c r="DM123" i="40"/>
  <c r="AN121" i="40"/>
  <c r="AN126" i="40"/>
  <c r="AN122" i="40"/>
  <c r="AN123" i="40"/>
  <c r="AN124" i="40"/>
  <c r="AN125" i="40"/>
  <c r="AH121" i="40"/>
  <c r="AH123" i="40"/>
  <c r="AH124" i="40"/>
  <c r="AH125" i="40"/>
  <c r="AH126" i="40"/>
  <c r="AH122" i="40"/>
  <c r="AE121" i="40"/>
  <c r="AE126" i="40"/>
  <c r="AE122" i="40"/>
  <c r="AE123" i="40"/>
  <c r="AE124" i="40"/>
  <c r="AE125" i="40"/>
  <c r="AT121" i="40"/>
  <c r="AT125" i="40"/>
  <c r="AT126" i="40"/>
  <c r="AT122" i="40"/>
  <c r="AT123" i="40"/>
  <c r="AT124" i="40"/>
  <c r="BB121" i="40"/>
  <c r="BB125" i="40"/>
  <c r="BB126" i="40"/>
  <c r="BB122" i="40"/>
  <c r="BB123" i="40"/>
  <c r="BB124" i="40"/>
  <c r="BJ121" i="40"/>
  <c r="BJ125" i="40"/>
  <c r="BJ126" i="40"/>
  <c r="BJ122" i="40"/>
  <c r="BJ123" i="40"/>
  <c r="BJ124" i="40"/>
  <c r="BR121" i="40"/>
  <c r="BR125" i="40"/>
  <c r="BR126" i="40"/>
  <c r="BR122" i="40"/>
  <c r="BR123" i="40"/>
  <c r="BR124" i="40"/>
  <c r="BZ121" i="40"/>
  <c r="BZ125" i="40"/>
  <c r="BZ126" i="40"/>
  <c r="BZ122" i="40"/>
  <c r="BZ123" i="40"/>
  <c r="BZ124" i="40"/>
  <c r="CH121" i="40"/>
  <c r="CH125" i="40"/>
  <c r="CH126" i="40"/>
  <c r="CH122" i="40"/>
  <c r="CH123" i="40"/>
  <c r="CH124" i="40"/>
  <c r="CP121" i="40"/>
  <c r="CP125" i="40"/>
  <c r="CP126" i="40"/>
  <c r="CP122" i="40"/>
  <c r="CP123" i="40"/>
  <c r="CP124" i="40"/>
  <c r="CX121" i="40"/>
  <c r="CX125" i="40"/>
  <c r="CX126" i="40"/>
  <c r="CX122" i="40"/>
  <c r="CX123" i="40"/>
  <c r="CX124" i="40"/>
  <c r="DF121" i="40"/>
  <c r="DF125" i="40"/>
  <c r="DF126" i="40"/>
  <c r="DF122" i="40"/>
  <c r="DF123" i="40"/>
  <c r="DF124" i="40"/>
  <c r="DN121" i="40"/>
  <c r="DN125" i="40"/>
  <c r="DN126" i="40"/>
  <c r="DN122" i="40"/>
  <c r="DN123" i="40"/>
  <c r="DN124" i="40"/>
  <c r="BC121" i="40"/>
  <c r="BC126" i="40"/>
  <c r="BC122" i="40"/>
  <c r="BC123" i="40"/>
  <c r="BC124" i="40"/>
  <c r="BC125" i="40"/>
  <c r="BK121" i="40"/>
  <c r="BK126" i="40"/>
  <c r="BK122" i="40"/>
  <c r="BK125" i="40"/>
  <c r="BK123" i="40"/>
  <c r="BK124" i="40"/>
  <c r="BS121" i="40"/>
  <c r="BS126" i="40"/>
  <c r="BS122" i="40"/>
  <c r="BS123" i="40"/>
  <c r="BS125" i="40"/>
  <c r="BS124" i="40"/>
  <c r="CA121" i="40"/>
  <c r="CA126" i="40"/>
  <c r="CA122" i="40"/>
  <c r="CA123" i="40"/>
  <c r="CA124" i="40"/>
  <c r="CA125" i="40"/>
  <c r="CI121" i="40"/>
  <c r="CI126" i="40"/>
  <c r="CI122" i="40"/>
  <c r="CI125" i="40"/>
  <c r="CI123" i="40"/>
  <c r="CI124" i="40"/>
  <c r="CQ121" i="40"/>
  <c r="CQ126" i="40"/>
  <c r="CQ122" i="40"/>
  <c r="CQ123" i="40"/>
  <c r="CQ124" i="40"/>
  <c r="CQ125" i="40"/>
  <c r="CY121" i="40"/>
  <c r="CY126" i="40"/>
  <c r="CY122" i="40"/>
  <c r="CY123" i="40"/>
  <c r="CY125" i="40"/>
  <c r="CY124" i="40"/>
  <c r="DG121" i="40"/>
  <c r="DG126" i="40"/>
  <c r="DG122" i="40"/>
  <c r="DG125" i="40"/>
  <c r="DG123" i="40"/>
  <c r="DG124" i="40"/>
  <c r="DO121" i="40"/>
  <c r="DO126" i="40"/>
  <c r="DO122" i="40"/>
  <c r="DO123" i="40"/>
  <c r="DO124" i="40"/>
  <c r="DO125" i="40"/>
  <c r="AV121" i="40"/>
  <c r="AV126" i="40"/>
  <c r="AV122" i="40"/>
  <c r="AV123" i="40"/>
  <c r="AV124" i="40"/>
  <c r="AV125" i="40"/>
  <c r="BL121" i="40"/>
  <c r="BL126" i="40"/>
  <c r="BL122" i="40"/>
  <c r="BL123" i="40"/>
  <c r="BL124" i="40"/>
  <c r="BL125" i="40"/>
  <c r="CB121" i="40"/>
  <c r="CB126" i="40"/>
  <c r="CB122" i="40"/>
  <c r="CB123" i="40"/>
  <c r="CB124" i="40"/>
  <c r="CB125" i="40"/>
  <c r="CJ121" i="40"/>
  <c r="CJ126" i="40"/>
  <c r="CJ122" i="40"/>
  <c r="CJ123" i="40"/>
  <c r="CJ124" i="40"/>
  <c r="CJ125" i="40"/>
  <c r="CR121" i="40"/>
  <c r="CR126" i="40"/>
  <c r="CR122" i="40"/>
  <c r="CR123" i="40"/>
  <c r="CR124" i="40"/>
  <c r="CR125" i="40"/>
  <c r="CZ121" i="40"/>
  <c r="CZ126" i="40"/>
  <c r="CZ122" i="40"/>
  <c r="CZ123" i="40"/>
  <c r="CZ124" i="40"/>
  <c r="CZ125" i="40"/>
  <c r="DH121" i="40"/>
  <c r="DH126" i="40"/>
  <c r="DH122" i="40"/>
  <c r="DH123" i="40"/>
  <c r="DH124" i="40"/>
  <c r="DH125" i="40"/>
  <c r="DP121" i="40"/>
  <c r="DP126" i="40"/>
  <c r="DP122" i="40"/>
  <c r="DP123" i="40"/>
  <c r="DP124" i="40"/>
  <c r="DP125" i="40"/>
  <c r="AW120" i="40"/>
  <c r="AW121" i="40"/>
  <c r="AY120" i="40"/>
  <c r="AY121" i="40"/>
  <c r="AO119" i="40"/>
  <c r="AO120" i="40"/>
  <c r="CC119" i="40"/>
  <c r="CC120" i="40"/>
  <c r="AA119" i="40"/>
  <c r="AA120" i="40"/>
  <c r="AP119" i="40"/>
  <c r="AP120" i="40"/>
  <c r="AX119" i="40"/>
  <c r="AX120" i="40"/>
  <c r="BF119" i="40"/>
  <c r="BF120" i="40"/>
  <c r="BN119" i="40"/>
  <c r="BN120" i="40"/>
  <c r="BV119" i="40"/>
  <c r="BV120" i="40"/>
  <c r="CD119" i="40"/>
  <c r="CD120" i="40"/>
  <c r="CL119" i="40"/>
  <c r="CL120" i="40"/>
  <c r="CT119" i="40"/>
  <c r="CT120" i="40"/>
  <c r="DB119" i="40"/>
  <c r="DB120" i="40"/>
  <c r="DJ119" i="40"/>
  <c r="DJ120" i="40"/>
  <c r="DI119" i="40"/>
  <c r="DI120" i="40"/>
  <c r="AB119" i="40"/>
  <c r="AB120" i="40"/>
  <c r="AQ119" i="40"/>
  <c r="AQ120" i="40"/>
  <c r="BG119" i="40"/>
  <c r="BG120" i="40"/>
  <c r="BO119" i="40"/>
  <c r="BO120" i="40"/>
  <c r="BW119" i="40"/>
  <c r="BW120" i="40"/>
  <c r="CE119" i="40"/>
  <c r="CE120" i="40"/>
  <c r="CM119" i="40"/>
  <c r="CM120" i="40"/>
  <c r="CU119" i="40"/>
  <c r="CU120" i="40"/>
  <c r="DC119" i="40"/>
  <c r="DC120" i="40"/>
  <c r="DK119" i="40"/>
  <c r="DK120" i="40"/>
  <c r="BE119" i="40"/>
  <c r="BE120" i="40"/>
  <c r="CS119" i="40"/>
  <c r="CS120" i="40"/>
  <c r="AL119" i="40"/>
  <c r="AL120" i="40"/>
  <c r="AF119" i="40"/>
  <c r="AF120" i="40"/>
  <c r="AC119" i="40"/>
  <c r="AC120" i="40"/>
  <c r="AR119" i="40"/>
  <c r="AR120" i="40"/>
  <c r="AZ119" i="40"/>
  <c r="BH119" i="40"/>
  <c r="BH120" i="40"/>
  <c r="BP119" i="40"/>
  <c r="BP120" i="40"/>
  <c r="BX119" i="40"/>
  <c r="BX120" i="40"/>
  <c r="CF119" i="40"/>
  <c r="CF120" i="40"/>
  <c r="CN119" i="40"/>
  <c r="CN120" i="40"/>
  <c r="CV119" i="40"/>
  <c r="CV120" i="40"/>
  <c r="DD119" i="40"/>
  <c r="DD120" i="40"/>
  <c r="DL119" i="40"/>
  <c r="DL120" i="40"/>
  <c r="AK119" i="40"/>
  <c r="AK120" i="40"/>
  <c r="CK119" i="40"/>
  <c r="CK120" i="40"/>
  <c r="AG119" i="40"/>
  <c r="AG120" i="40"/>
  <c r="AD119" i="40"/>
  <c r="AD120" i="40"/>
  <c r="AS119" i="40"/>
  <c r="AS120" i="40"/>
  <c r="BA119" i="40"/>
  <c r="BA120" i="40"/>
  <c r="BI119" i="40"/>
  <c r="BI120" i="40"/>
  <c r="BQ119" i="40"/>
  <c r="BQ120" i="40"/>
  <c r="BY119" i="40"/>
  <c r="BY120" i="40"/>
  <c r="CG119" i="40"/>
  <c r="CG120" i="40"/>
  <c r="CO119" i="40"/>
  <c r="CO120" i="40"/>
  <c r="CW119" i="40"/>
  <c r="CW120" i="40"/>
  <c r="DE119" i="40"/>
  <c r="DE120" i="40"/>
  <c r="DM119" i="40"/>
  <c r="DM120" i="40"/>
  <c r="AH119" i="40"/>
  <c r="AH120" i="40"/>
  <c r="AE119" i="40"/>
  <c r="AE120" i="40"/>
  <c r="AT119" i="40"/>
  <c r="AT120" i="40"/>
  <c r="BB119" i="40"/>
  <c r="BB120" i="40"/>
  <c r="BJ119" i="40"/>
  <c r="BJ120" i="40"/>
  <c r="BR119" i="40"/>
  <c r="BR120" i="40"/>
  <c r="BZ119" i="40"/>
  <c r="BZ120" i="40"/>
  <c r="CH119" i="40"/>
  <c r="CH120" i="40"/>
  <c r="CP119" i="40"/>
  <c r="CP120" i="40"/>
  <c r="CX119" i="40"/>
  <c r="CX120" i="40"/>
  <c r="DF119" i="40"/>
  <c r="DF120" i="40"/>
  <c r="DN119" i="40"/>
  <c r="DN120" i="40"/>
  <c r="BU119" i="40"/>
  <c r="BU120" i="40"/>
  <c r="AI119" i="40"/>
  <c r="AI120" i="40"/>
  <c r="AM119" i="40"/>
  <c r="AM120" i="40"/>
  <c r="AU119" i="40"/>
  <c r="AU120" i="40"/>
  <c r="BC119" i="40"/>
  <c r="BC120" i="40"/>
  <c r="BK119" i="40"/>
  <c r="BK120" i="40"/>
  <c r="BS119" i="40"/>
  <c r="BS120" i="40"/>
  <c r="CA119" i="40"/>
  <c r="CA120" i="40"/>
  <c r="CI119" i="40"/>
  <c r="CI120" i="40"/>
  <c r="CQ119" i="40"/>
  <c r="CQ120" i="40"/>
  <c r="CY119" i="40"/>
  <c r="CY120" i="40"/>
  <c r="DG119" i="40"/>
  <c r="DG120" i="40"/>
  <c r="DO119" i="40"/>
  <c r="DO120" i="40"/>
  <c r="BM119" i="40"/>
  <c r="BM120" i="40"/>
  <c r="DA119" i="40"/>
  <c r="DA120" i="40"/>
  <c r="AJ119" i="40"/>
  <c r="AJ120" i="40"/>
  <c r="AN119" i="40"/>
  <c r="AN120" i="40"/>
  <c r="AV119" i="40"/>
  <c r="AV120" i="40"/>
  <c r="BD119" i="40"/>
  <c r="BD120" i="40"/>
  <c r="BL119" i="40"/>
  <c r="BL120" i="40"/>
  <c r="BT119" i="40"/>
  <c r="BT120" i="40"/>
  <c r="CB119" i="40"/>
  <c r="CB120" i="40"/>
  <c r="CJ119" i="40"/>
  <c r="CJ120" i="40"/>
  <c r="CR119" i="40"/>
  <c r="CR120" i="40"/>
  <c r="CZ119" i="40"/>
  <c r="CZ120" i="40"/>
  <c r="DH119" i="40"/>
  <c r="DH120" i="40"/>
  <c r="DP119" i="40"/>
  <c r="DP120" i="40"/>
  <c r="AY118" i="40"/>
  <c r="AY119" i="40"/>
  <c r="AW117" i="40"/>
  <c r="AW118" i="40"/>
  <c r="BU117" i="40"/>
  <c r="BU118" i="40"/>
  <c r="CK117" i="40"/>
  <c r="CK118" i="40"/>
  <c r="DA117" i="40"/>
  <c r="DA118" i="40"/>
  <c r="AP117" i="40"/>
  <c r="AP118" i="40"/>
  <c r="BV117" i="40"/>
  <c r="BV118" i="40"/>
  <c r="CL117" i="40"/>
  <c r="CL118" i="40"/>
  <c r="DJ117" i="40"/>
  <c r="DJ118" i="40"/>
  <c r="AL117" i="40"/>
  <c r="AL118" i="40"/>
  <c r="AB117" i="40"/>
  <c r="AB118" i="40"/>
  <c r="AQ117" i="40"/>
  <c r="AQ118" i="40"/>
  <c r="BG117" i="40"/>
  <c r="BG118" i="40"/>
  <c r="BO117" i="40"/>
  <c r="BO118" i="40"/>
  <c r="BW117" i="40"/>
  <c r="BW118" i="40"/>
  <c r="CE117" i="40"/>
  <c r="CE118" i="40"/>
  <c r="CM117" i="40"/>
  <c r="CM118" i="40"/>
  <c r="CU117" i="40"/>
  <c r="CU118" i="40"/>
  <c r="DC117" i="40"/>
  <c r="DC118" i="40"/>
  <c r="DK117" i="40"/>
  <c r="DK118" i="40"/>
  <c r="AX117" i="40"/>
  <c r="AX118" i="40"/>
  <c r="BN117" i="40"/>
  <c r="BN118" i="40"/>
  <c r="CD117" i="40"/>
  <c r="CD118" i="40"/>
  <c r="DB117" i="40"/>
  <c r="DB118" i="40"/>
  <c r="AF117" i="40"/>
  <c r="AF118" i="40"/>
  <c r="AC117" i="40"/>
  <c r="AC118" i="40"/>
  <c r="AR117" i="40"/>
  <c r="AR118" i="40"/>
  <c r="AZ117" i="40"/>
  <c r="AZ118" i="40"/>
  <c r="BH117" i="40"/>
  <c r="BH118" i="40"/>
  <c r="BP117" i="40"/>
  <c r="BP118" i="40"/>
  <c r="BX117" i="40"/>
  <c r="BX118" i="40"/>
  <c r="CF117" i="40"/>
  <c r="CF118" i="40"/>
  <c r="CN117" i="40"/>
  <c r="CN118" i="40"/>
  <c r="CV117" i="40"/>
  <c r="CV118" i="40"/>
  <c r="DD117" i="40"/>
  <c r="DD118" i="40"/>
  <c r="DL117" i="40"/>
  <c r="DL118" i="40"/>
  <c r="AG117" i="40"/>
  <c r="AG118" i="40"/>
  <c r="AD117" i="40"/>
  <c r="AD118" i="40"/>
  <c r="AS117" i="40"/>
  <c r="AS118" i="40"/>
  <c r="BA117" i="40"/>
  <c r="BA118" i="40"/>
  <c r="BI117" i="40"/>
  <c r="BI118" i="40"/>
  <c r="BQ117" i="40"/>
  <c r="BQ118" i="40"/>
  <c r="BY117" i="40"/>
  <c r="BY118" i="40"/>
  <c r="CG117" i="40"/>
  <c r="CG118" i="40"/>
  <c r="CO117" i="40"/>
  <c r="CO118" i="40"/>
  <c r="CW117" i="40"/>
  <c r="CW118" i="40"/>
  <c r="DE117" i="40"/>
  <c r="DE118" i="40"/>
  <c r="DM117" i="40"/>
  <c r="DM118" i="40"/>
  <c r="AK117" i="40"/>
  <c r="AK118" i="40"/>
  <c r="AT117" i="40"/>
  <c r="AT118" i="40"/>
  <c r="AO117" i="40"/>
  <c r="AO118" i="40"/>
  <c r="BM117" i="40"/>
  <c r="BM118" i="40"/>
  <c r="CC117" i="40"/>
  <c r="CC118" i="40"/>
  <c r="CS117" i="40"/>
  <c r="CS118" i="40"/>
  <c r="DI117" i="40"/>
  <c r="DI118" i="40"/>
  <c r="AA117" i="40"/>
  <c r="AA118" i="40"/>
  <c r="BF117" i="40"/>
  <c r="BF118" i="40"/>
  <c r="CT117" i="40"/>
  <c r="CT118" i="40"/>
  <c r="AE117" i="40"/>
  <c r="AE118" i="40"/>
  <c r="BB117" i="40"/>
  <c r="BB118" i="40"/>
  <c r="BJ117" i="40"/>
  <c r="BJ118" i="40"/>
  <c r="BR117" i="40"/>
  <c r="BR118" i="40"/>
  <c r="BZ117" i="40"/>
  <c r="BZ118" i="40"/>
  <c r="CH117" i="40"/>
  <c r="CH118" i="40"/>
  <c r="CP117" i="40"/>
  <c r="CP118" i="40"/>
  <c r="CX117" i="40"/>
  <c r="CX118" i="40"/>
  <c r="DF117" i="40"/>
  <c r="DF118" i="40"/>
  <c r="DN117" i="40"/>
  <c r="DN118" i="40"/>
  <c r="AI117" i="40"/>
  <c r="AI118" i="40"/>
  <c r="AM117" i="40"/>
  <c r="AM118" i="40"/>
  <c r="AU117" i="40"/>
  <c r="AU118" i="40"/>
  <c r="BC117" i="40"/>
  <c r="BC118" i="40"/>
  <c r="BK117" i="40"/>
  <c r="BK118" i="40"/>
  <c r="BS117" i="40"/>
  <c r="BS118" i="40"/>
  <c r="CA117" i="40"/>
  <c r="CA118" i="40"/>
  <c r="CI117" i="40"/>
  <c r="CI118" i="40"/>
  <c r="CQ117" i="40"/>
  <c r="CQ118" i="40"/>
  <c r="CY117" i="40"/>
  <c r="CY118" i="40"/>
  <c r="DG117" i="40"/>
  <c r="DG118" i="40"/>
  <c r="DO117" i="40"/>
  <c r="DO118" i="40"/>
  <c r="BE117" i="40"/>
  <c r="BE118" i="40"/>
  <c r="AH117" i="40"/>
  <c r="AH118" i="40"/>
  <c r="AJ117" i="40"/>
  <c r="AJ118" i="40"/>
  <c r="AN117" i="40"/>
  <c r="AN118" i="40"/>
  <c r="AV118" i="40"/>
  <c r="BD117" i="40"/>
  <c r="BD118" i="40"/>
  <c r="BL117" i="40"/>
  <c r="BL118" i="40"/>
  <c r="BT117" i="40"/>
  <c r="BT118" i="40"/>
  <c r="CB117" i="40"/>
  <c r="CB118" i="40"/>
  <c r="CJ117" i="40"/>
  <c r="CJ118" i="40"/>
  <c r="CR117" i="40"/>
  <c r="CR118" i="40"/>
  <c r="CZ117" i="40"/>
  <c r="CZ118" i="40"/>
  <c r="DH117" i="40"/>
  <c r="DH118" i="40"/>
  <c r="DP117" i="40"/>
  <c r="DP118" i="40"/>
  <c r="AY116" i="40"/>
  <c r="AY117" i="40"/>
  <c r="AO114" i="40"/>
  <c r="AO116" i="40"/>
  <c r="AP114" i="40"/>
  <c r="AP116" i="40"/>
  <c r="CD114" i="40"/>
  <c r="CD116" i="40"/>
  <c r="AL114" i="40"/>
  <c r="AL116" i="40"/>
  <c r="AB114" i="40"/>
  <c r="AB116" i="40"/>
  <c r="AQ114" i="40"/>
  <c r="AQ116" i="40"/>
  <c r="BG114" i="40"/>
  <c r="BG116" i="40"/>
  <c r="BO114" i="40"/>
  <c r="BO116" i="40"/>
  <c r="BW114" i="40"/>
  <c r="BW116" i="40"/>
  <c r="CE114" i="40"/>
  <c r="CE116" i="40"/>
  <c r="CM114" i="40"/>
  <c r="CM116" i="40"/>
  <c r="CU114" i="40"/>
  <c r="CU116" i="40"/>
  <c r="DC114" i="40"/>
  <c r="DC116" i="40"/>
  <c r="DK114" i="40"/>
  <c r="DK116" i="40"/>
  <c r="BE114" i="40"/>
  <c r="BE116" i="40"/>
  <c r="CS114" i="40"/>
  <c r="CS116" i="40"/>
  <c r="AX114" i="40"/>
  <c r="AX116" i="40"/>
  <c r="CT114" i="40"/>
  <c r="CT116" i="40"/>
  <c r="AF114" i="40"/>
  <c r="AF116" i="40"/>
  <c r="AC114" i="40"/>
  <c r="AC116" i="40"/>
  <c r="AR114" i="40"/>
  <c r="AR116" i="40"/>
  <c r="AZ114" i="40"/>
  <c r="AZ116" i="40"/>
  <c r="BH114" i="40"/>
  <c r="BH116" i="40"/>
  <c r="BP114" i="40"/>
  <c r="BP116" i="40"/>
  <c r="BX114" i="40"/>
  <c r="BX116" i="40"/>
  <c r="CF114" i="40"/>
  <c r="CF116" i="40"/>
  <c r="CN114" i="40"/>
  <c r="CN116" i="40"/>
  <c r="CV114" i="40"/>
  <c r="CV116" i="40"/>
  <c r="DD114" i="40"/>
  <c r="DD116" i="40"/>
  <c r="DL114" i="40"/>
  <c r="DL116" i="40"/>
  <c r="BM114" i="40"/>
  <c r="BM116" i="40"/>
  <c r="DI114" i="40"/>
  <c r="DI116" i="40"/>
  <c r="AA114" i="40"/>
  <c r="AA116" i="40"/>
  <c r="BV114" i="40"/>
  <c r="BV116" i="40"/>
  <c r="DJ114" i="40"/>
  <c r="DJ116" i="40"/>
  <c r="AS114" i="40"/>
  <c r="AS116" i="40"/>
  <c r="BA114" i="40"/>
  <c r="BA116" i="40"/>
  <c r="BI114" i="40"/>
  <c r="BI116" i="40"/>
  <c r="BQ114" i="40"/>
  <c r="BQ116" i="40"/>
  <c r="BY114" i="40"/>
  <c r="BY116" i="40"/>
  <c r="CG114" i="40"/>
  <c r="CG116" i="40"/>
  <c r="CO114" i="40"/>
  <c r="CO116" i="40"/>
  <c r="CW114" i="40"/>
  <c r="CW116" i="40"/>
  <c r="DE114" i="40"/>
  <c r="DE116" i="40"/>
  <c r="DM114" i="40"/>
  <c r="DM116" i="40"/>
  <c r="CC114" i="40"/>
  <c r="CC116" i="40"/>
  <c r="AG114" i="40"/>
  <c r="AG116" i="40"/>
  <c r="AH114" i="40"/>
  <c r="AH116" i="40"/>
  <c r="AE114" i="40"/>
  <c r="AE116" i="40"/>
  <c r="AT114" i="40"/>
  <c r="AT116" i="40"/>
  <c r="BB114" i="40"/>
  <c r="BB116" i="40"/>
  <c r="BJ114" i="40"/>
  <c r="BJ116" i="40"/>
  <c r="BR114" i="40"/>
  <c r="BR116" i="40"/>
  <c r="BZ114" i="40"/>
  <c r="BZ116" i="40"/>
  <c r="CH114" i="40"/>
  <c r="CH116" i="40"/>
  <c r="CP114" i="40"/>
  <c r="CP116" i="40"/>
  <c r="CX114" i="40"/>
  <c r="CX116" i="40"/>
  <c r="DF114" i="40"/>
  <c r="DF116" i="40"/>
  <c r="DN114" i="40"/>
  <c r="DN116" i="40"/>
  <c r="AK114" i="40"/>
  <c r="AK116" i="40"/>
  <c r="BU114" i="40"/>
  <c r="BU116" i="40"/>
  <c r="DA114" i="40"/>
  <c r="DA116" i="40"/>
  <c r="BN114" i="40"/>
  <c r="BN116" i="40"/>
  <c r="DB114" i="40"/>
  <c r="DB116" i="40"/>
  <c r="AD114" i="40"/>
  <c r="AD116" i="40"/>
  <c r="AI114" i="40"/>
  <c r="AI116" i="40"/>
  <c r="AM114" i="40"/>
  <c r="AM116" i="40"/>
  <c r="AU114" i="40"/>
  <c r="AU116" i="40"/>
  <c r="BC114" i="40"/>
  <c r="BC116" i="40"/>
  <c r="BK114" i="40"/>
  <c r="BK116" i="40"/>
  <c r="BS114" i="40"/>
  <c r="BS116" i="40"/>
  <c r="CA114" i="40"/>
  <c r="CA116" i="40"/>
  <c r="CI114" i="40"/>
  <c r="CI116" i="40"/>
  <c r="CQ114" i="40"/>
  <c r="CQ116" i="40"/>
  <c r="CY114" i="40"/>
  <c r="CY116" i="40"/>
  <c r="DG114" i="40"/>
  <c r="DG116" i="40"/>
  <c r="DO114" i="40"/>
  <c r="DO116" i="40"/>
  <c r="AW114" i="40"/>
  <c r="AW116" i="40"/>
  <c r="CK114" i="40"/>
  <c r="CK116" i="40"/>
  <c r="BF114" i="40"/>
  <c r="BF116" i="40"/>
  <c r="CL114" i="40"/>
  <c r="CL116" i="40"/>
  <c r="AJ114" i="40"/>
  <c r="AJ116" i="40"/>
  <c r="AN114" i="40"/>
  <c r="AN116" i="40"/>
  <c r="BD114" i="40"/>
  <c r="BD116" i="40"/>
  <c r="BL114" i="40"/>
  <c r="BL116" i="40"/>
  <c r="BT114" i="40"/>
  <c r="BT116" i="40"/>
  <c r="CB114" i="40"/>
  <c r="CB116" i="40"/>
  <c r="CJ114" i="40"/>
  <c r="CJ116" i="40"/>
  <c r="CR114" i="40"/>
  <c r="CR116" i="40"/>
  <c r="CZ114" i="40"/>
  <c r="CZ116" i="40"/>
  <c r="DH114" i="40"/>
  <c r="DH116" i="40"/>
  <c r="DP114" i="40"/>
  <c r="DP116" i="40"/>
  <c r="AY638" i="40"/>
  <c r="AY114" i="40"/>
  <c r="AW637" i="40"/>
  <c r="AW638" i="40"/>
  <c r="CS637" i="40"/>
  <c r="CS638" i="40"/>
  <c r="AA637" i="40"/>
  <c r="AA638" i="40"/>
  <c r="AP637" i="40"/>
  <c r="AP638" i="40"/>
  <c r="AX637" i="40"/>
  <c r="AX638" i="40"/>
  <c r="BF637" i="40"/>
  <c r="BF638" i="40"/>
  <c r="BN637" i="40"/>
  <c r="BN638" i="40"/>
  <c r="BV637" i="40"/>
  <c r="BV638" i="40"/>
  <c r="CD637" i="40"/>
  <c r="CD638" i="40"/>
  <c r="CL637" i="40"/>
  <c r="CL638" i="40"/>
  <c r="CT637" i="40"/>
  <c r="CT638" i="40"/>
  <c r="DB637" i="40"/>
  <c r="DB638" i="40"/>
  <c r="DJ637" i="40"/>
  <c r="DJ638" i="40"/>
  <c r="DI637" i="40"/>
  <c r="DI638" i="40"/>
  <c r="AB637" i="40"/>
  <c r="AB638" i="40"/>
  <c r="AQ637" i="40"/>
  <c r="AQ638" i="40"/>
  <c r="BG637" i="40"/>
  <c r="BG638" i="40"/>
  <c r="BO637" i="40"/>
  <c r="BO638" i="40"/>
  <c r="BW637" i="40"/>
  <c r="BW638" i="40"/>
  <c r="CE637" i="40"/>
  <c r="CE638" i="40"/>
  <c r="CM637" i="40"/>
  <c r="CM638" i="40"/>
  <c r="CU637" i="40"/>
  <c r="CU638" i="40"/>
  <c r="DC637" i="40"/>
  <c r="DC638" i="40"/>
  <c r="DK637" i="40"/>
  <c r="DK638" i="40"/>
  <c r="BM637" i="40"/>
  <c r="BM638" i="40"/>
  <c r="AF637" i="40"/>
  <c r="AF638" i="40"/>
  <c r="AC637" i="40"/>
  <c r="AC638" i="40"/>
  <c r="AR637" i="40"/>
  <c r="AR638" i="40"/>
  <c r="AZ637" i="40"/>
  <c r="AZ638" i="40"/>
  <c r="BH637" i="40"/>
  <c r="BH638" i="40"/>
  <c r="BP637" i="40"/>
  <c r="BP638" i="40"/>
  <c r="BX637" i="40"/>
  <c r="BX638" i="40"/>
  <c r="CF637" i="40"/>
  <c r="CF638" i="40"/>
  <c r="CN637" i="40"/>
  <c r="CN638" i="40"/>
  <c r="CV637" i="40"/>
  <c r="CV638" i="40"/>
  <c r="DD637" i="40"/>
  <c r="DD638" i="40"/>
  <c r="DL637" i="40"/>
  <c r="DL638" i="40"/>
  <c r="AO637" i="40"/>
  <c r="AO638" i="40"/>
  <c r="CK637" i="40"/>
  <c r="CK638" i="40"/>
  <c r="AL637" i="40"/>
  <c r="AL638" i="40"/>
  <c r="AG637" i="40"/>
  <c r="AG638" i="40"/>
  <c r="AD637" i="40"/>
  <c r="AD638" i="40"/>
  <c r="AS637" i="40"/>
  <c r="AS638" i="40"/>
  <c r="BA637" i="40"/>
  <c r="BA638" i="40"/>
  <c r="BI637" i="40"/>
  <c r="BI638" i="40"/>
  <c r="BQ637" i="40"/>
  <c r="BQ638" i="40"/>
  <c r="BY637" i="40"/>
  <c r="BY638" i="40"/>
  <c r="CG637" i="40"/>
  <c r="CG638" i="40"/>
  <c r="CO637" i="40"/>
  <c r="CO638" i="40"/>
  <c r="CW637" i="40"/>
  <c r="CW638" i="40"/>
  <c r="DE637" i="40"/>
  <c r="DE638" i="40"/>
  <c r="DM637" i="40"/>
  <c r="DM638" i="40"/>
  <c r="BU637" i="40"/>
  <c r="BU638" i="40"/>
  <c r="AH637" i="40"/>
  <c r="AH638" i="40"/>
  <c r="AE637" i="40"/>
  <c r="AE638" i="40"/>
  <c r="AT637" i="40"/>
  <c r="AT638" i="40"/>
  <c r="BB637" i="40"/>
  <c r="BB638" i="40"/>
  <c r="BJ637" i="40"/>
  <c r="BJ638" i="40"/>
  <c r="BR637" i="40"/>
  <c r="BR638" i="40"/>
  <c r="BZ637" i="40"/>
  <c r="BZ638" i="40"/>
  <c r="CH637" i="40"/>
  <c r="CH638" i="40"/>
  <c r="CP637" i="40"/>
  <c r="CP638" i="40"/>
  <c r="CX637" i="40"/>
  <c r="CX638" i="40"/>
  <c r="DF637" i="40"/>
  <c r="DF638" i="40"/>
  <c r="DN637" i="40"/>
  <c r="DN638" i="40"/>
  <c r="BE637" i="40"/>
  <c r="BE638" i="40"/>
  <c r="DA637" i="40"/>
  <c r="DA638" i="40"/>
  <c r="AI637" i="40"/>
  <c r="AI638" i="40"/>
  <c r="AM637" i="40"/>
  <c r="AM638" i="40"/>
  <c r="AU637" i="40"/>
  <c r="AU638" i="40"/>
  <c r="BC637" i="40"/>
  <c r="BC638" i="40"/>
  <c r="BK637" i="40"/>
  <c r="BK638" i="40"/>
  <c r="BS637" i="40"/>
  <c r="BS638" i="40"/>
  <c r="CA637" i="40"/>
  <c r="CA638" i="40"/>
  <c r="CI637" i="40"/>
  <c r="CI638" i="40"/>
  <c r="CQ637" i="40"/>
  <c r="CQ638" i="40"/>
  <c r="CY637" i="40"/>
  <c r="CY638" i="40"/>
  <c r="DG637" i="40"/>
  <c r="DG638" i="40"/>
  <c r="DO637" i="40"/>
  <c r="DO638" i="40"/>
  <c r="AK637" i="40"/>
  <c r="AK638" i="40"/>
  <c r="CC637" i="40"/>
  <c r="CC638" i="40"/>
  <c r="AJ637" i="40"/>
  <c r="AJ638" i="40"/>
  <c r="AN637" i="40"/>
  <c r="AN638" i="40"/>
  <c r="AV637" i="40"/>
  <c r="AV638" i="40"/>
  <c r="BD637" i="40"/>
  <c r="BD638" i="40"/>
  <c r="BL637" i="40"/>
  <c r="BL638" i="40"/>
  <c r="BT637" i="40"/>
  <c r="BT638" i="40"/>
  <c r="CB637" i="40"/>
  <c r="CB638" i="40"/>
  <c r="CJ637" i="40"/>
  <c r="CJ638" i="40"/>
  <c r="CR637" i="40"/>
  <c r="CR638" i="40"/>
  <c r="CZ637" i="40"/>
  <c r="CZ638" i="40"/>
  <c r="DH637" i="40"/>
  <c r="DH638" i="40"/>
  <c r="DP637" i="40"/>
  <c r="DP638" i="40"/>
  <c r="AW632" i="40"/>
  <c r="BE632" i="40"/>
  <c r="BE636" i="40"/>
  <c r="BM632" i="40"/>
  <c r="BM636" i="40"/>
  <c r="BU632" i="40"/>
  <c r="BU636" i="40"/>
  <c r="CC632" i="40"/>
  <c r="CC636" i="40"/>
  <c r="CK632" i="40"/>
  <c r="CK636" i="40"/>
  <c r="CS632" i="40"/>
  <c r="CS636" i="40"/>
  <c r="DA632" i="40"/>
  <c r="DA636" i="40"/>
  <c r="DI632" i="40"/>
  <c r="DI636" i="40"/>
  <c r="AM632" i="40"/>
  <c r="AM636" i="40"/>
  <c r="AJ632" i="40"/>
  <c r="AJ636" i="40"/>
  <c r="AN632" i="40"/>
  <c r="AN636" i="40"/>
  <c r="AV632" i="40"/>
  <c r="AV636" i="40"/>
  <c r="BL632" i="40"/>
  <c r="BL636" i="40"/>
  <c r="CB632" i="40"/>
  <c r="CB636" i="40"/>
  <c r="CR632" i="40"/>
  <c r="CR636" i="40"/>
  <c r="CZ632" i="40"/>
  <c r="CZ636" i="40"/>
  <c r="DH632" i="40"/>
  <c r="DH636" i="40"/>
  <c r="AK632" i="40"/>
  <c r="AK636" i="40"/>
  <c r="AO632" i="40"/>
  <c r="AO636" i="40"/>
  <c r="AA632" i="40"/>
  <c r="AA636" i="40"/>
  <c r="AP632" i="40"/>
  <c r="AP636" i="40"/>
  <c r="AX632" i="40"/>
  <c r="AX636" i="40"/>
  <c r="BF632" i="40"/>
  <c r="BF636" i="40"/>
  <c r="BN632" i="40"/>
  <c r="BN636" i="40"/>
  <c r="BV632" i="40"/>
  <c r="BV636" i="40"/>
  <c r="CD632" i="40"/>
  <c r="CD636" i="40"/>
  <c r="CL632" i="40"/>
  <c r="CL636" i="40"/>
  <c r="CT632" i="40"/>
  <c r="CT636" i="40"/>
  <c r="DB632" i="40"/>
  <c r="DB636" i="40"/>
  <c r="DJ632" i="40"/>
  <c r="DJ636" i="40"/>
  <c r="AB632" i="40"/>
  <c r="AB636" i="40"/>
  <c r="BG632" i="40"/>
  <c r="BG636" i="40"/>
  <c r="CE632" i="40"/>
  <c r="CE636" i="40"/>
  <c r="DC632" i="40"/>
  <c r="DC636" i="40"/>
  <c r="AF632" i="40"/>
  <c r="AF636" i="40"/>
  <c r="AC632" i="40"/>
  <c r="AC636" i="40"/>
  <c r="AR632" i="40"/>
  <c r="AR636" i="40"/>
  <c r="AZ632" i="40"/>
  <c r="AZ636" i="40"/>
  <c r="BH632" i="40"/>
  <c r="BH636" i="40"/>
  <c r="BP632" i="40"/>
  <c r="BP636" i="40"/>
  <c r="BX632" i="40"/>
  <c r="BX636" i="40"/>
  <c r="CF632" i="40"/>
  <c r="CF636" i="40"/>
  <c r="CN632" i="40"/>
  <c r="CN636" i="40"/>
  <c r="CV632" i="40"/>
  <c r="CV636" i="40"/>
  <c r="DD632" i="40"/>
  <c r="DD636" i="40"/>
  <c r="DL632" i="40"/>
  <c r="DL636" i="40"/>
  <c r="AL632" i="40"/>
  <c r="AL636" i="40"/>
  <c r="AY632" i="40"/>
  <c r="AY636" i="40"/>
  <c r="BW632" i="40"/>
  <c r="BW636" i="40"/>
  <c r="CM632" i="40"/>
  <c r="CM636" i="40"/>
  <c r="DK632" i="40"/>
  <c r="DK636" i="40"/>
  <c r="AG632" i="40"/>
  <c r="AG636" i="40"/>
  <c r="AD632" i="40"/>
  <c r="AD636" i="40"/>
  <c r="AS632" i="40"/>
  <c r="AS636" i="40"/>
  <c r="BA632" i="40"/>
  <c r="BA636" i="40"/>
  <c r="BI632" i="40"/>
  <c r="BI636" i="40"/>
  <c r="BQ632" i="40"/>
  <c r="BQ636" i="40"/>
  <c r="BY632" i="40"/>
  <c r="BY636" i="40"/>
  <c r="CG632" i="40"/>
  <c r="CG636" i="40"/>
  <c r="CO632" i="40"/>
  <c r="CO636" i="40"/>
  <c r="CW632" i="40"/>
  <c r="CW636" i="40"/>
  <c r="DE632" i="40"/>
  <c r="DE636" i="40"/>
  <c r="DM632" i="40"/>
  <c r="DM636" i="40"/>
  <c r="AQ632" i="40"/>
  <c r="AQ636" i="40"/>
  <c r="BO632" i="40"/>
  <c r="BO636" i="40"/>
  <c r="CU632" i="40"/>
  <c r="CU636" i="40"/>
  <c r="AH632" i="40"/>
  <c r="AH636" i="40"/>
  <c r="AE632" i="40"/>
  <c r="AE636" i="40"/>
  <c r="AT632" i="40"/>
  <c r="AT636" i="40"/>
  <c r="BB632" i="40"/>
  <c r="BB636" i="40"/>
  <c r="BJ632" i="40"/>
  <c r="BJ636" i="40"/>
  <c r="BR632" i="40"/>
  <c r="BR636" i="40"/>
  <c r="BZ632" i="40"/>
  <c r="BZ636" i="40"/>
  <c r="CH632" i="40"/>
  <c r="CH636" i="40"/>
  <c r="CP632" i="40"/>
  <c r="CP636" i="40"/>
  <c r="CX632" i="40"/>
  <c r="CX636" i="40"/>
  <c r="DF632" i="40"/>
  <c r="DF636" i="40"/>
  <c r="DN632" i="40"/>
  <c r="DN636" i="40"/>
  <c r="AU632" i="40"/>
  <c r="AU636" i="40"/>
  <c r="BC632" i="40"/>
  <c r="BC636" i="40"/>
  <c r="BK632" i="40"/>
  <c r="BK636" i="40"/>
  <c r="BS632" i="40"/>
  <c r="BS636" i="40"/>
  <c r="CA632" i="40"/>
  <c r="CA636" i="40"/>
  <c r="CI632" i="40"/>
  <c r="CI636" i="40"/>
  <c r="CQ632" i="40"/>
  <c r="CQ636" i="40"/>
  <c r="CY632" i="40"/>
  <c r="CY636" i="40"/>
  <c r="DG632" i="40"/>
  <c r="DG636" i="40"/>
  <c r="DO632" i="40"/>
  <c r="DO636" i="40"/>
  <c r="AI632" i="40"/>
  <c r="AI636" i="40"/>
  <c r="BD632" i="40"/>
  <c r="BD636" i="40"/>
  <c r="BT632" i="40"/>
  <c r="BT636" i="40"/>
  <c r="CJ632" i="40"/>
  <c r="CJ636" i="40"/>
  <c r="DP632" i="40"/>
  <c r="DP636" i="40"/>
  <c r="CC109" i="40"/>
  <c r="CC777" i="40"/>
  <c r="AA109" i="40"/>
  <c r="AA777" i="40"/>
  <c r="AP109" i="40"/>
  <c r="AP777" i="40"/>
  <c r="AX109" i="40"/>
  <c r="AX777" i="40"/>
  <c r="BF109" i="40"/>
  <c r="BF777" i="40"/>
  <c r="BN109" i="40"/>
  <c r="BN777" i="40"/>
  <c r="BV109" i="40"/>
  <c r="BV777" i="40"/>
  <c r="CD109" i="40"/>
  <c r="CD777" i="40"/>
  <c r="CL109" i="40"/>
  <c r="CL777" i="40"/>
  <c r="CT109" i="40"/>
  <c r="CT777" i="40"/>
  <c r="DB109" i="40"/>
  <c r="DB777" i="40"/>
  <c r="DJ109" i="40"/>
  <c r="DJ777" i="40"/>
  <c r="AO109" i="40"/>
  <c r="AO777" i="40"/>
  <c r="BU109" i="40"/>
  <c r="BU777" i="40"/>
  <c r="AL109" i="40"/>
  <c r="AL777" i="40"/>
  <c r="AY109" i="40"/>
  <c r="AY777" i="40"/>
  <c r="CE109" i="40"/>
  <c r="CE777" i="40"/>
  <c r="DC109" i="40"/>
  <c r="DC777" i="40"/>
  <c r="AF109" i="40"/>
  <c r="AF777" i="40"/>
  <c r="AC109" i="40"/>
  <c r="AC777" i="40"/>
  <c r="AR109" i="40"/>
  <c r="AR777" i="40"/>
  <c r="AZ109" i="40"/>
  <c r="AZ777" i="40"/>
  <c r="BH109" i="40"/>
  <c r="BH777" i="40"/>
  <c r="BP109" i="40"/>
  <c r="BP777" i="40"/>
  <c r="BX109" i="40"/>
  <c r="BX777" i="40"/>
  <c r="CF109" i="40"/>
  <c r="CF777" i="40"/>
  <c r="CN109" i="40"/>
  <c r="CN777" i="40"/>
  <c r="CV109" i="40"/>
  <c r="CV777" i="40"/>
  <c r="DD109" i="40"/>
  <c r="DD777" i="40"/>
  <c r="DL109" i="40"/>
  <c r="DL777" i="40"/>
  <c r="AK109" i="40"/>
  <c r="AK777" i="40"/>
  <c r="CK109" i="40"/>
  <c r="CK777" i="40"/>
  <c r="CM109" i="40"/>
  <c r="CM777" i="40"/>
  <c r="AG109" i="40"/>
  <c r="AG777" i="40"/>
  <c r="AD109" i="40"/>
  <c r="AD777" i="40"/>
  <c r="AS109" i="40"/>
  <c r="AS777" i="40"/>
  <c r="BA109" i="40"/>
  <c r="BA777" i="40"/>
  <c r="BI109" i="40"/>
  <c r="BI777" i="40"/>
  <c r="BQ109" i="40"/>
  <c r="BQ777" i="40"/>
  <c r="BY109" i="40"/>
  <c r="BY777" i="40"/>
  <c r="CG109" i="40"/>
  <c r="CG777" i="40"/>
  <c r="CO109" i="40"/>
  <c r="CO777" i="40"/>
  <c r="CW109" i="40"/>
  <c r="CW777" i="40"/>
  <c r="DE109" i="40"/>
  <c r="DE777" i="40"/>
  <c r="DM109" i="40"/>
  <c r="DM777" i="40"/>
  <c r="BM109" i="40"/>
  <c r="BM777" i="40"/>
  <c r="DI109" i="40"/>
  <c r="DI777" i="40"/>
  <c r="BG109" i="40"/>
  <c r="BG777" i="40"/>
  <c r="CU109" i="40"/>
  <c r="CU777" i="40"/>
  <c r="AH109" i="40"/>
  <c r="AH777" i="40"/>
  <c r="AE109" i="40"/>
  <c r="AT109" i="40"/>
  <c r="AT777" i="40"/>
  <c r="BB109" i="40"/>
  <c r="BB777" i="40"/>
  <c r="BJ109" i="40"/>
  <c r="BJ777" i="40"/>
  <c r="BR109" i="40"/>
  <c r="BR777" i="40"/>
  <c r="BZ109" i="40"/>
  <c r="BZ777" i="40"/>
  <c r="CH109" i="40"/>
  <c r="CH777" i="40"/>
  <c r="CP109" i="40"/>
  <c r="CP777" i="40"/>
  <c r="CX109" i="40"/>
  <c r="CX777" i="40"/>
  <c r="DF109" i="40"/>
  <c r="DF777" i="40"/>
  <c r="DN109" i="40"/>
  <c r="DN777" i="40"/>
  <c r="AW109" i="40"/>
  <c r="AW777" i="40"/>
  <c r="CS109" i="40"/>
  <c r="CS777" i="40"/>
  <c r="AB109" i="40"/>
  <c r="AB777" i="40"/>
  <c r="BO109" i="40"/>
  <c r="BO777" i="40"/>
  <c r="DK109" i="40"/>
  <c r="DK777" i="40"/>
  <c r="AI109" i="40"/>
  <c r="AI777" i="40"/>
  <c r="AM109" i="40"/>
  <c r="AM777" i="40"/>
  <c r="AU109" i="40"/>
  <c r="AU777" i="40"/>
  <c r="BC109" i="40"/>
  <c r="BC777" i="40"/>
  <c r="BK109" i="40"/>
  <c r="BK777" i="40"/>
  <c r="BS109" i="40"/>
  <c r="BS777" i="40"/>
  <c r="CA109" i="40"/>
  <c r="CA777" i="40"/>
  <c r="CI109" i="40"/>
  <c r="CI777" i="40"/>
  <c r="CQ109" i="40"/>
  <c r="CQ777" i="40"/>
  <c r="CY109" i="40"/>
  <c r="CY777" i="40"/>
  <c r="DG109" i="40"/>
  <c r="DG777" i="40"/>
  <c r="DO109" i="40"/>
  <c r="DO777" i="40"/>
  <c r="BE109" i="40"/>
  <c r="BE777" i="40"/>
  <c r="DA109" i="40"/>
  <c r="DA777" i="40"/>
  <c r="AQ109" i="40"/>
  <c r="AQ777" i="40"/>
  <c r="BW109" i="40"/>
  <c r="BW777" i="40"/>
  <c r="AJ109" i="40"/>
  <c r="AJ777" i="40"/>
  <c r="AN109" i="40"/>
  <c r="AN777" i="40"/>
  <c r="AV109" i="40"/>
  <c r="AV777" i="40"/>
  <c r="BD109" i="40"/>
  <c r="BD777" i="40"/>
  <c r="BL109" i="40"/>
  <c r="BL777" i="40"/>
  <c r="BT109" i="40"/>
  <c r="BT777" i="40"/>
  <c r="CB109" i="40"/>
  <c r="CB777" i="40"/>
  <c r="CJ109" i="40"/>
  <c r="CJ777" i="40"/>
  <c r="CR109" i="40"/>
  <c r="CR777" i="40"/>
  <c r="CZ109" i="40"/>
  <c r="CZ777" i="40"/>
  <c r="DH109" i="40"/>
  <c r="DH777" i="40"/>
  <c r="DP109" i="40"/>
  <c r="DP777" i="40"/>
  <c r="BU626" i="40"/>
  <c r="BU108" i="40"/>
  <c r="BU105" i="40"/>
  <c r="BU107" i="40"/>
  <c r="BU106" i="40"/>
  <c r="BU104" i="40"/>
  <c r="AA626" i="40"/>
  <c r="AA108" i="40"/>
  <c r="AA105" i="40"/>
  <c r="AA107" i="40"/>
  <c r="AA106" i="40"/>
  <c r="AA104" i="40"/>
  <c r="AP626" i="40"/>
  <c r="AP108" i="40"/>
  <c r="AP105" i="40"/>
  <c r="AP107" i="40"/>
  <c r="AP106" i="40"/>
  <c r="AP104" i="40"/>
  <c r="AX626" i="40"/>
  <c r="AX108" i="40"/>
  <c r="AX105" i="40"/>
  <c r="AX107" i="40"/>
  <c r="AX106" i="40"/>
  <c r="AX104" i="40"/>
  <c r="BF626" i="40"/>
  <c r="BF108" i="40"/>
  <c r="BF105" i="40"/>
  <c r="BF107" i="40"/>
  <c r="BF106" i="40"/>
  <c r="BF104" i="40"/>
  <c r="BN626" i="40"/>
  <c r="BN108" i="40"/>
  <c r="BN105" i="40"/>
  <c r="BN107" i="40"/>
  <c r="BN106" i="40"/>
  <c r="BN104" i="40"/>
  <c r="BV626" i="40"/>
  <c r="BV108" i="40"/>
  <c r="BV105" i="40"/>
  <c r="BV107" i="40"/>
  <c r="BV106" i="40"/>
  <c r="BV104" i="40"/>
  <c r="CD626" i="40"/>
  <c r="CD108" i="40"/>
  <c r="CD105" i="40"/>
  <c r="CD107" i="40"/>
  <c r="CD106" i="40"/>
  <c r="CD104" i="40"/>
  <c r="CL626" i="40"/>
  <c r="CL108" i="40"/>
  <c r="CL105" i="40"/>
  <c r="CL107" i="40"/>
  <c r="CL106" i="40"/>
  <c r="CL104" i="40"/>
  <c r="CT626" i="40"/>
  <c r="CT108" i="40"/>
  <c r="CT105" i="40"/>
  <c r="CT107" i="40"/>
  <c r="CT106" i="40"/>
  <c r="CT104" i="40"/>
  <c r="DB626" i="40"/>
  <c r="DB108" i="40"/>
  <c r="DB105" i="40"/>
  <c r="DB107" i="40"/>
  <c r="DB106" i="40"/>
  <c r="DB104" i="40"/>
  <c r="DJ626" i="40"/>
  <c r="DJ108" i="40"/>
  <c r="DJ105" i="40"/>
  <c r="DJ107" i="40"/>
  <c r="DJ106" i="40"/>
  <c r="DJ104" i="40"/>
  <c r="AK626" i="40"/>
  <c r="AK107" i="40"/>
  <c r="AK106" i="40"/>
  <c r="AK108" i="40"/>
  <c r="AK105" i="40"/>
  <c r="AK104" i="40"/>
  <c r="DI626" i="40"/>
  <c r="DI108" i="40"/>
  <c r="DI105" i="40"/>
  <c r="DI107" i="40"/>
  <c r="DI106" i="40"/>
  <c r="DI104" i="40"/>
  <c r="AL626" i="40"/>
  <c r="AL106" i="40"/>
  <c r="AL108" i="40"/>
  <c r="AL105" i="40"/>
  <c r="AL107" i="40"/>
  <c r="AL104" i="40"/>
  <c r="AB626" i="40"/>
  <c r="AB107" i="40"/>
  <c r="AB106" i="40"/>
  <c r="AB108" i="40"/>
  <c r="AB105" i="40"/>
  <c r="AB104" i="40"/>
  <c r="AQ626" i="40"/>
  <c r="AQ108" i="40"/>
  <c r="AQ105" i="40"/>
  <c r="AQ107" i="40"/>
  <c r="AQ106" i="40"/>
  <c r="AQ104" i="40"/>
  <c r="AY626" i="40"/>
  <c r="AY108" i="40"/>
  <c r="AY105" i="40"/>
  <c r="AY107" i="40"/>
  <c r="AY106" i="40"/>
  <c r="AY104" i="40"/>
  <c r="BG626" i="40"/>
  <c r="BG108" i="40"/>
  <c r="BG105" i="40"/>
  <c r="BG107" i="40"/>
  <c r="BG106" i="40"/>
  <c r="BG104" i="40"/>
  <c r="BO626" i="40"/>
  <c r="BO108" i="40"/>
  <c r="BO105" i="40"/>
  <c r="BO107" i="40"/>
  <c r="BO106" i="40"/>
  <c r="BO104" i="40"/>
  <c r="BW626" i="40"/>
  <c r="BW108" i="40"/>
  <c r="BW105" i="40"/>
  <c r="BW107" i="40"/>
  <c r="BW106" i="40"/>
  <c r="BW104" i="40"/>
  <c r="CE626" i="40"/>
  <c r="CE108" i="40"/>
  <c r="CE105" i="40"/>
  <c r="CE107" i="40"/>
  <c r="CE106" i="40"/>
  <c r="CE104" i="40"/>
  <c r="CM626" i="40"/>
  <c r="CM108" i="40"/>
  <c r="CM105" i="40"/>
  <c r="CM107" i="40"/>
  <c r="CM106" i="40"/>
  <c r="CM104" i="40"/>
  <c r="CU626" i="40"/>
  <c r="CU108" i="40"/>
  <c r="CU105" i="40"/>
  <c r="CU107" i="40"/>
  <c r="CU106" i="40"/>
  <c r="CU104" i="40"/>
  <c r="DC626" i="40"/>
  <c r="DC108" i="40"/>
  <c r="DC105" i="40"/>
  <c r="DC107" i="40"/>
  <c r="DC106" i="40"/>
  <c r="DC104" i="40"/>
  <c r="DK626" i="40"/>
  <c r="DK108" i="40"/>
  <c r="DK105" i="40"/>
  <c r="DK107" i="40"/>
  <c r="DK106" i="40"/>
  <c r="DK104" i="40"/>
  <c r="CC626" i="40"/>
  <c r="CC108" i="40"/>
  <c r="CC105" i="40"/>
  <c r="CC107" i="40"/>
  <c r="CC106" i="40"/>
  <c r="CC104" i="40"/>
  <c r="AF626" i="40"/>
  <c r="AF106" i="40"/>
  <c r="AF108" i="40"/>
  <c r="AF105" i="40"/>
  <c r="AF107" i="40"/>
  <c r="AF104" i="40"/>
  <c r="AC626" i="40"/>
  <c r="AC107" i="40"/>
  <c r="AC106" i="40"/>
  <c r="AC108" i="40"/>
  <c r="AC105" i="40"/>
  <c r="AC104" i="40"/>
  <c r="AR626" i="40"/>
  <c r="AR107" i="40"/>
  <c r="AR106" i="40"/>
  <c r="AR108" i="40"/>
  <c r="AR105" i="40"/>
  <c r="AR104" i="40"/>
  <c r="AZ626" i="40"/>
  <c r="AZ107" i="40"/>
  <c r="AZ106" i="40"/>
  <c r="AZ108" i="40"/>
  <c r="AZ105" i="40"/>
  <c r="AZ104" i="40"/>
  <c r="BH626" i="40"/>
  <c r="BH107" i="40"/>
  <c r="BH106" i="40"/>
  <c r="BH108" i="40"/>
  <c r="BH105" i="40"/>
  <c r="BH104" i="40"/>
  <c r="BP626" i="40"/>
  <c r="BP107" i="40"/>
  <c r="BP106" i="40"/>
  <c r="BP108" i="40"/>
  <c r="BP105" i="40"/>
  <c r="BP104" i="40"/>
  <c r="BX626" i="40"/>
  <c r="BX107" i="40"/>
  <c r="BX106" i="40"/>
  <c r="BX108" i="40"/>
  <c r="BX105" i="40"/>
  <c r="BX104" i="40"/>
  <c r="CF626" i="40"/>
  <c r="CF107" i="40"/>
  <c r="CF106" i="40"/>
  <c r="CF108" i="40"/>
  <c r="CF105" i="40"/>
  <c r="CF104" i="40"/>
  <c r="CN626" i="40"/>
  <c r="CN107" i="40"/>
  <c r="CN106" i="40"/>
  <c r="CN108" i="40"/>
  <c r="CN105" i="40"/>
  <c r="CN104" i="40"/>
  <c r="CV626" i="40"/>
  <c r="CV107" i="40"/>
  <c r="CV106" i="40"/>
  <c r="CV108" i="40"/>
  <c r="CV105" i="40"/>
  <c r="CV104" i="40"/>
  <c r="DD626" i="40"/>
  <c r="DD107" i="40"/>
  <c r="DD106" i="40"/>
  <c r="DD108" i="40"/>
  <c r="DD105" i="40"/>
  <c r="DD104" i="40"/>
  <c r="DL626" i="40"/>
  <c r="DL107" i="40"/>
  <c r="DL106" i="40"/>
  <c r="DL108" i="40"/>
  <c r="DL105" i="40"/>
  <c r="DL104" i="40"/>
  <c r="AO626" i="40"/>
  <c r="AO108" i="40"/>
  <c r="AO105" i="40"/>
  <c r="AO107" i="40"/>
  <c r="AO106" i="40"/>
  <c r="AO104" i="40"/>
  <c r="CS626" i="40"/>
  <c r="CS108" i="40"/>
  <c r="CS105" i="40"/>
  <c r="CS107" i="40"/>
  <c r="CS106" i="40"/>
  <c r="CS104" i="40"/>
  <c r="AG626" i="40"/>
  <c r="AG108" i="40"/>
  <c r="AG105" i="40"/>
  <c r="AG107" i="40"/>
  <c r="AG106" i="40"/>
  <c r="AG104" i="40"/>
  <c r="AD626" i="40"/>
  <c r="AD106" i="40"/>
  <c r="AD108" i="40"/>
  <c r="AD105" i="40"/>
  <c r="AD107" i="40"/>
  <c r="AD104" i="40"/>
  <c r="AS626" i="40"/>
  <c r="AS107" i="40"/>
  <c r="AS106" i="40"/>
  <c r="AS108" i="40"/>
  <c r="AS105" i="40"/>
  <c r="AS104" i="40"/>
  <c r="BA626" i="40"/>
  <c r="BA107" i="40"/>
  <c r="BA106" i="40"/>
  <c r="BA108" i="40"/>
  <c r="BA105" i="40"/>
  <c r="BA104" i="40"/>
  <c r="BI626" i="40"/>
  <c r="BI107" i="40"/>
  <c r="BI106" i="40"/>
  <c r="BI108" i="40"/>
  <c r="BI105" i="40"/>
  <c r="BI104" i="40"/>
  <c r="BQ626" i="40"/>
  <c r="BQ107" i="40"/>
  <c r="BQ106" i="40"/>
  <c r="BQ108" i="40"/>
  <c r="BQ105" i="40"/>
  <c r="BQ104" i="40"/>
  <c r="BY626" i="40"/>
  <c r="BY107" i="40"/>
  <c r="BY106" i="40"/>
  <c r="BY108" i="40"/>
  <c r="BY105" i="40"/>
  <c r="BY104" i="40"/>
  <c r="CG626" i="40"/>
  <c r="CG107" i="40"/>
  <c r="CG106" i="40"/>
  <c r="CG108" i="40"/>
  <c r="CG105" i="40"/>
  <c r="CG104" i="40"/>
  <c r="CO626" i="40"/>
  <c r="CO107" i="40"/>
  <c r="CO106" i="40"/>
  <c r="CO108" i="40"/>
  <c r="CO105" i="40"/>
  <c r="CO104" i="40"/>
  <c r="CW626" i="40"/>
  <c r="CW107" i="40"/>
  <c r="CW106" i="40"/>
  <c r="CW108" i="40"/>
  <c r="CW105" i="40"/>
  <c r="CW104" i="40"/>
  <c r="DE626" i="40"/>
  <c r="DE107" i="40"/>
  <c r="DE106" i="40"/>
  <c r="DE108" i="40"/>
  <c r="DE105" i="40"/>
  <c r="DE104" i="40"/>
  <c r="DM626" i="40"/>
  <c r="DM107" i="40"/>
  <c r="DM106" i="40"/>
  <c r="DM108" i="40"/>
  <c r="DM105" i="40"/>
  <c r="DM104" i="40"/>
  <c r="AW626" i="40"/>
  <c r="AW108" i="40"/>
  <c r="AW105" i="40"/>
  <c r="AW107" i="40"/>
  <c r="AW106" i="40"/>
  <c r="AW104" i="40"/>
  <c r="DA626" i="40"/>
  <c r="DA108" i="40"/>
  <c r="DA105" i="40"/>
  <c r="DA107" i="40"/>
  <c r="DA106" i="40"/>
  <c r="DA104" i="40"/>
  <c r="AH626" i="40"/>
  <c r="AH108" i="40"/>
  <c r="AH105" i="40"/>
  <c r="AH107" i="40"/>
  <c r="AH106" i="40"/>
  <c r="AH104" i="40"/>
  <c r="AE626" i="40"/>
  <c r="AE106" i="40"/>
  <c r="AE108" i="40"/>
  <c r="AE105" i="40"/>
  <c r="AE107" i="40"/>
  <c r="AE104" i="40"/>
  <c r="AT626" i="40"/>
  <c r="AT106" i="40"/>
  <c r="AT108" i="40"/>
  <c r="AT105" i="40"/>
  <c r="AT107" i="40"/>
  <c r="AT104" i="40"/>
  <c r="BB626" i="40"/>
  <c r="BB106" i="40"/>
  <c r="BB108" i="40"/>
  <c r="BB105" i="40"/>
  <c r="BB107" i="40"/>
  <c r="BB104" i="40"/>
  <c r="BJ626" i="40"/>
  <c r="BJ106" i="40"/>
  <c r="BJ108" i="40"/>
  <c r="BJ105" i="40"/>
  <c r="BJ107" i="40"/>
  <c r="BJ104" i="40"/>
  <c r="BR626" i="40"/>
  <c r="BR106" i="40"/>
  <c r="BR108" i="40"/>
  <c r="BR105" i="40"/>
  <c r="BR107" i="40"/>
  <c r="BR104" i="40"/>
  <c r="BZ626" i="40"/>
  <c r="BZ106" i="40"/>
  <c r="BZ108" i="40"/>
  <c r="BZ105" i="40"/>
  <c r="BZ107" i="40"/>
  <c r="BZ104" i="40"/>
  <c r="CH626" i="40"/>
  <c r="CH106" i="40"/>
  <c r="CH108" i="40"/>
  <c r="CH105" i="40"/>
  <c r="CH107" i="40"/>
  <c r="CH104" i="40"/>
  <c r="CP626" i="40"/>
  <c r="CP106" i="40"/>
  <c r="CP108" i="40"/>
  <c r="CP105" i="40"/>
  <c r="CP107" i="40"/>
  <c r="CP104" i="40"/>
  <c r="CX626" i="40"/>
  <c r="CX106" i="40"/>
  <c r="CX108" i="40"/>
  <c r="CX105" i="40"/>
  <c r="CX107" i="40"/>
  <c r="CX104" i="40"/>
  <c r="DF626" i="40"/>
  <c r="DF106" i="40"/>
  <c r="DF108" i="40"/>
  <c r="DF105" i="40"/>
  <c r="DF107" i="40"/>
  <c r="DF104" i="40"/>
  <c r="DN626" i="40"/>
  <c r="DN106" i="40"/>
  <c r="DN108" i="40"/>
  <c r="DN105" i="40"/>
  <c r="DN107" i="40"/>
  <c r="DN104" i="40"/>
  <c r="BE626" i="40"/>
  <c r="BE108" i="40"/>
  <c r="BE105" i="40"/>
  <c r="BE107" i="40"/>
  <c r="BE106" i="40"/>
  <c r="BE104" i="40"/>
  <c r="CK626" i="40"/>
  <c r="CK108" i="40"/>
  <c r="CK105" i="40"/>
  <c r="CK107" i="40"/>
  <c r="CK106" i="40"/>
  <c r="CK104" i="40"/>
  <c r="AI626" i="40"/>
  <c r="AI108" i="40"/>
  <c r="AI105" i="40"/>
  <c r="AI107" i="40"/>
  <c r="AI106" i="40"/>
  <c r="AI104" i="40"/>
  <c r="AM626" i="40"/>
  <c r="AM106" i="40"/>
  <c r="AM108" i="40"/>
  <c r="AM105" i="40"/>
  <c r="AM107" i="40"/>
  <c r="AM104" i="40"/>
  <c r="AU626" i="40"/>
  <c r="AU106" i="40"/>
  <c r="AU108" i="40"/>
  <c r="AU105" i="40"/>
  <c r="AU107" i="40"/>
  <c r="AU104" i="40"/>
  <c r="BC626" i="40"/>
  <c r="BC106" i="40"/>
  <c r="BC108" i="40"/>
  <c r="BC105" i="40"/>
  <c r="BC107" i="40"/>
  <c r="BC104" i="40"/>
  <c r="BK626" i="40"/>
  <c r="BK106" i="40"/>
  <c r="BK108" i="40"/>
  <c r="BK105" i="40"/>
  <c r="BK107" i="40"/>
  <c r="BK104" i="40"/>
  <c r="BS626" i="40"/>
  <c r="BS106" i="40"/>
  <c r="BS108" i="40"/>
  <c r="BS105" i="40"/>
  <c r="BS107" i="40"/>
  <c r="BS104" i="40"/>
  <c r="CA626" i="40"/>
  <c r="CA106" i="40"/>
  <c r="CA108" i="40"/>
  <c r="CA105" i="40"/>
  <c r="CA107" i="40"/>
  <c r="CA104" i="40"/>
  <c r="CI626" i="40"/>
  <c r="CI106" i="40"/>
  <c r="CI108" i="40"/>
  <c r="CI105" i="40"/>
  <c r="CI107" i="40"/>
  <c r="CI104" i="40"/>
  <c r="CQ626" i="40"/>
  <c r="CQ106" i="40"/>
  <c r="CQ108" i="40"/>
  <c r="CQ105" i="40"/>
  <c r="CQ107" i="40"/>
  <c r="CQ104" i="40"/>
  <c r="CY626" i="40"/>
  <c r="CY106" i="40"/>
  <c r="CY108" i="40"/>
  <c r="CY105" i="40"/>
  <c r="CY107" i="40"/>
  <c r="CY104" i="40"/>
  <c r="DG626" i="40"/>
  <c r="DG106" i="40"/>
  <c r="DG108" i="40"/>
  <c r="DG105" i="40"/>
  <c r="DG107" i="40"/>
  <c r="DG104" i="40"/>
  <c r="DO626" i="40"/>
  <c r="DO106" i="40"/>
  <c r="DO108" i="40"/>
  <c r="DO105" i="40"/>
  <c r="DO107" i="40"/>
  <c r="DO104" i="40"/>
  <c r="BM626" i="40"/>
  <c r="BM108" i="40"/>
  <c r="BM105" i="40"/>
  <c r="BM107" i="40"/>
  <c r="BM106" i="40"/>
  <c r="BM104" i="40"/>
  <c r="AJ626" i="40"/>
  <c r="AJ107" i="40"/>
  <c r="AJ106" i="40"/>
  <c r="AJ108" i="40"/>
  <c r="AJ105" i="40"/>
  <c r="AJ104" i="40"/>
  <c r="AN626" i="40"/>
  <c r="AN106" i="40"/>
  <c r="AN108" i="40"/>
  <c r="AN105" i="40"/>
  <c r="AN107" i="40"/>
  <c r="AN104" i="40"/>
  <c r="AV626" i="40"/>
  <c r="AV106" i="40"/>
  <c r="AV108" i="40"/>
  <c r="AV105" i="40"/>
  <c r="AV107" i="40"/>
  <c r="AV104" i="40"/>
  <c r="BD626" i="40"/>
  <c r="BD106" i="40"/>
  <c r="BD108" i="40"/>
  <c r="BD105" i="40"/>
  <c r="BD107" i="40"/>
  <c r="BD104" i="40"/>
  <c r="BL626" i="40"/>
  <c r="BL106" i="40"/>
  <c r="BL108" i="40"/>
  <c r="BL105" i="40"/>
  <c r="BL107" i="40"/>
  <c r="BL104" i="40"/>
  <c r="BT626" i="40"/>
  <c r="BT106" i="40"/>
  <c r="BT108" i="40"/>
  <c r="BT105" i="40"/>
  <c r="BT107" i="40"/>
  <c r="BT104" i="40"/>
  <c r="CB626" i="40"/>
  <c r="CB106" i="40"/>
  <c r="CB108" i="40"/>
  <c r="CB105" i="40"/>
  <c r="CB107" i="40"/>
  <c r="CB104" i="40"/>
  <c r="CJ626" i="40"/>
  <c r="CJ106" i="40"/>
  <c r="CJ108" i="40"/>
  <c r="CJ105" i="40"/>
  <c r="CJ107" i="40"/>
  <c r="CJ104" i="40"/>
  <c r="CR626" i="40"/>
  <c r="CR106" i="40"/>
  <c r="CR108" i="40"/>
  <c r="CR105" i="40"/>
  <c r="CR107" i="40"/>
  <c r="CR104" i="40"/>
  <c r="CZ626" i="40"/>
  <c r="CZ106" i="40"/>
  <c r="CZ108" i="40"/>
  <c r="CZ105" i="40"/>
  <c r="CZ107" i="40"/>
  <c r="CZ104" i="40"/>
  <c r="DH626" i="40"/>
  <c r="DH106" i="40"/>
  <c r="DH108" i="40"/>
  <c r="DH105" i="40"/>
  <c r="DH107" i="40"/>
  <c r="DH104" i="40"/>
  <c r="DP626" i="40"/>
  <c r="DP106" i="40"/>
  <c r="DP108" i="40"/>
  <c r="DP105" i="40"/>
  <c r="DP107" i="40"/>
  <c r="DP104" i="40"/>
  <c r="AO623" i="40"/>
  <c r="AO625" i="40"/>
  <c r="CS623" i="40"/>
  <c r="CS625" i="40"/>
  <c r="AA623" i="40"/>
  <c r="AA625" i="40"/>
  <c r="AP623" i="40"/>
  <c r="AP625" i="40"/>
  <c r="AX623" i="40"/>
  <c r="AX625" i="40"/>
  <c r="BF623" i="40"/>
  <c r="BF625" i="40"/>
  <c r="BN623" i="40"/>
  <c r="BN625" i="40"/>
  <c r="BV623" i="40"/>
  <c r="BV625" i="40"/>
  <c r="CD623" i="40"/>
  <c r="CD625" i="40"/>
  <c r="CL623" i="40"/>
  <c r="CL625" i="40"/>
  <c r="CT623" i="40"/>
  <c r="CT625" i="40"/>
  <c r="DB623" i="40"/>
  <c r="DB625" i="40"/>
  <c r="DJ623" i="40"/>
  <c r="DJ625" i="40"/>
  <c r="AK623" i="40"/>
  <c r="AK625" i="40"/>
  <c r="BU623" i="40"/>
  <c r="BU625" i="40"/>
  <c r="AL623" i="40"/>
  <c r="AL625" i="40"/>
  <c r="AB623" i="40"/>
  <c r="AB625" i="40"/>
  <c r="AQ623" i="40"/>
  <c r="AQ625" i="40"/>
  <c r="AY623" i="40"/>
  <c r="AY625" i="40"/>
  <c r="BG623" i="40"/>
  <c r="BG625" i="40"/>
  <c r="BO623" i="40"/>
  <c r="BO625" i="40"/>
  <c r="BW623" i="40"/>
  <c r="BW625" i="40"/>
  <c r="CE623" i="40"/>
  <c r="CE625" i="40"/>
  <c r="CM623" i="40"/>
  <c r="CM625" i="40"/>
  <c r="CU623" i="40"/>
  <c r="CU625" i="40"/>
  <c r="DC623" i="40"/>
  <c r="DC625" i="40"/>
  <c r="DK623" i="40"/>
  <c r="DK625" i="40"/>
  <c r="BE623" i="40"/>
  <c r="BE625" i="40"/>
  <c r="DA623" i="40"/>
  <c r="DA625" i="40"/>
  <c r="AF623" i="40"/>
  <c r="AF625" i="40"/>
  <c r="AC623" i="40"/>
  <c r="AC625" i="40"/>
  <c r="AR623" i="40"/>
  <c r="AR625" i="40"/>
  <c r="AZ623" i="40"/>
  <c r="AZ625" i="40"/>
  <c r="BH623" i="40"/>
  <c r="BH625" i="40"/>
  <c r="BP623" i="40"/>
  <c r="BP625" i="40"/>
  <c r="BX623" i="40"/>
  <c r="BX625" i="40"/>
  <c r="CF623" i="40"/>
  <c r="CF625" i="40"/>
  <c r="CN623" i="40"/>
  <c r="CN625" i="40"/>
  <c r="CV623" i="40"/>
  <c r="CV625" i="40"/>
  <c r="DD623" i="40"/>
  <c r="DD625" i="40"/>
  <c r="DL623" i="40"/>
  <c r="DL625" i="40"/>
  <c r="AW623" i="40"/>
  <c r="AW625" i="40"/>
  <c r="DI623" i="40"/>
  <c r="DI625" i="40"/>
  <c r="AG623" i="40"/>
  <c r="AG625" i="40"/>
  <c r="AD623" i="40"/>
  <c r="AD625" i="40"/>
  <c r="AS623" i="40"/>
  <c r="AS625" i="40"/>
  <c r="BA623" i="40"/>
  <c r="BA625" i="40"/>
  <c r="BI623" i="40"/>
  <c r="BI625" i="40"/>
  <c r="BQ623" i="40"/>
  <c r="BQ625" i="40"/>
  <c r="BY623" i="40"/>
  <c r="BY625" i="40"/>
  <c r="CG623" i="40"/>
  <c r="CG625" i="40"/>
  <c r="CO623" i="40"/>
  <c r="CO625" i="40"/>
  <c r="CW623" i="40"/>
  <c r="CW625" i="40"/>
  <c r="DE623" i="40"/>
  <c r="DE625" i="40"/>
  <c r="DM623" i="40"/>
  <c r="DM625" i="40"/>
  <c r="CK623" i="40"/>
  <c r="CK625" i="40"/>
  <c r="AH623" i="40"/>
  <c r="AH625" i="40"/>
  <c r="AE623" i="40"/>
  <c r="AE625" i="40"/>
  <c r="AT623" i="40"/>
  <c r="AT625" i="40"/>
  <c r="BB623" i="40"/>
  <c r="BB625" i="40"/>
  <c r="BJ623" i="40"/>
  <c r="BJ625" i="40"/>
  <c r="BR623" i="40"/>
  <c r="BR625" i="40"/>
  <c r="BZ623" i="40"/>
  <c r="BZ625" i="40"/>
  <c r="CH623" i="40"/>
  <c r="CH625" i="40"/>
  <c r="CP623" i="40"/>
  <c r="CP625" i="40"/>
  <c r="CX623" i="40"/>
  <c r="CX625" i="40"/>
  <c r="DF623" i="40"/>
  <c r="DF625" i="40"/>
  <c r="DN623" i="40"/>
  <c r="DN625" i="40"/>
  <c r="CC623" i="40"/>
  <c r="CC625" i="40"/>
  <c r="AI623" i="40"/>
  <c r="AI625" i="40"/>
  <c r="AM623" i="40"/>
  <c r="AM625" i="40"/>
  <c r="AU623" i="40"/>
  <c r="AU625" i="40"/>
  <c r="BC623" i="40"/>
  <c r="BC625" i="40"/>
  <c r="BK623" i="40"/>
  <c r="BK625" i="40"/>
  <c r="BS623" i="40"/>
  <c r="BS625" i="40"/>
  <c r="CA623" i="40"/>
  <c r="CA625" i="40"/>
  <c r="CI623" i="40"/>
  <c r="CI625" i="40"/>
  <c r="CQ623" i="40"/>
  <c r="CQ625" i="40"/>
  <c r="CY623" i="40"/>
  <c r="CY625" i="40"/>
  <c r="DG623" i="40"/>
  <c r="DG625" i="40"/>
  <c r="DO623" i="40"/>
  <c r="DO625" i="40"/>
  <c r="BM623" i="40"/>
  <c r="BM625" i="40"/>
  <c r="AJ623" i="40"/>
  <c r="AJ625" i="40"/>
  <c r="AN623" i="40"/>
  <c r="AN625" i="40"/>
  <c r="AV623" i="40"/>
  <c r="AV625" i="40"/>
  <c r="BD623" i="40"/>
  <c r="BD625" i="40"/>
  <c r="BL623" i="40"/>
  <c r="BL625" i="40"/>
  <c r="BT623" i="40"/>
  <c r="BT625" i="40"/>
  <c r="CB623" i="40"/>
  <c r="CB625" i="40"/>
  <c r="CJ623" i="40"/>
  <c r="CJ625" i="40"/>
  <c r="CR623" i="40"/>
  <c r="CR625" i="40"/>
  <c r="CZ623" i="40"/>
  <c r="CZ625" i="40"/>
  <c r="DH623" i="40"/>
  <c r="DH625" i="40"/>
  <c r="DP623" i="40"/>
  <c r="DP625" i="40"/>
  <c r="BE99" i="40"/>
  <c r="BE101" i="40"/>
  <c r="CC99" i="40"/>
  <c r="CC101" i="40"/>
  <c r="DI99" i="40"/>
  <c r="DI101" i="40"/>
  <c r="AA99" i="40"/>
  <c r="AA101" i="40"/>
  <c r="AX99" i="40"/>
  <c r="AX101" i="40"/>
  <c r="BN99" i="40"/>
  <c r="BN101" i="40"/>
  <c r="CD99" i="40"/>
  <c r="CD101" i="40"/>
  <c r="CT99" i="40"/>
  <c r="CT101" i="40"/>
  <c r="DB99" i="40"/>
  <c r="DB101" i="40"/>
  <c r="AL99" i="40"/>
  <c r="AL101" i="40"/>
  <c r="AB99" i="40"/>
  <c r="AB101" i="40"/>
  <c r="AQ99" i="40"/>
  <c r="AQ101" i="40"/>
  <c r="AY99" i="40"/>
  <c r="AY101" i="40"/>
  <c r="BG99" i="40"/>
  <c r="BG101" i="40"/>
  <c r="BO99" i="40"/>
  <c r="BO101" i="40"/>
  <c r="BW99" i="40"/>
  <c r="BW101" i="40"/>
  <c r="CE99" i="40"/>
  <c r="CE101" i="40"/>
  <c r="CM99" i="40"/>
  <c r="CM101" i="40"/>
  <c r="CU99" i="40"/>
  <c r="CU101" i="40"/>
  <c r="DC99" i="40"/>
  <c r="DC101" i="40"/>
  <c r="DK99" i="40"/>
  <c r="DK101" i="40"/>
  <c r="AW99" i="40"/>
  <c r="AW101" i="40"/>
  <c r="CK99" i="40"/>
  <c r="CK101" i="40"/>
  <c r="AP99" i="40"/>
  <c r="AP101" i="40"/>
  <c r="BF99" i="40"/>
  <c r="BF101" i="40"/>
  <c r="BV99" i="40"/>
  <c r="BV101" i="40"/>
  <c r="CL99" i="40"/>
  <c r="CL101" i="40"/>
  <c r="DJ99" i="40"/>
  <c r="DJ101" i="40"/>
  <c r="AF99" i="40"/>
  <c r="AF101" i="40"/>
  <c r="AC99" i="40"/>
  <c r="AC101" i="40"/>
  <c r="AR99" i="40"/>
  <c r="AR101" i="40"/>
  <c r="AZ99" i="40"/>
  <c r="AZ101" i="40"/>
  <c r="BH99" i="40"/>
  <c r="BH101" i="40"/>
  <c r="BP99" i="40"/>
  <c r="BP101" i="40"/>
  <c r="BX99" i="40"/>
  <c r="BX101" i="40"/>
  <c r="CF99" i="40"/>
  <c r="CF101" i="40"/>
  <c r="CN99" i="40"/>
  <c r="CN101" i="40"/>
  <c r="CV99" i="40"/>
  <c r="CV101" i="40"/>
  <c r="DD99" i="40"/>
  <c r="DD101" i="40"/>
  <c r="DL99" i="40"/>
  <c r="DL101" i="40"/>
  <c r="CS99" i="40"/>
  <c r="CS101" i="40"/>
  <c r="AG99" i="40"/>
  <c r="AG101" i="40"/>
  <c r="BA99" i="40"/>
  <c r="BA101" i="40"/>
  <c r="BQ99" i="40"/>
  <c r="BQ101" i="40"/>
  <c r="BY99" i="40"/>
  <c r="BY101" i="40"/>
  <c r="CO99" i="40"/>
  <c r="CO101" i="40"/>
  <c r="DM99" i="40"/>
  <c r="DM101" i="40"/>
  <c r="AO99" i="40"/>
  <c r="AO101" i="40"/>
  <c r="BM99" i="40"/>
  <c r="BM101" i="40"/>
  <c r="DA99" i="40"/>
  <c r="DA101" i="40"/>
  <c r="AS99" i="40"/>
  <c r="CW99" i="40"/>
  <c r="CW101" i="40"/>
  <c r="AH99" i="40"/>
  <c r="AH101" i="40"/>
  <c r="AE99" i="40"/>
  <c r="AE101" i="40"/>
  <c r="AT99" i="40"/>
  <c r="AT101" i="40"/>
  <c r="BB99" i="40"/>
  <c r="BB101" i="40"/>
  <c r="BJ99" i="40"/>
  <c r="BJ101" i="40"/>
  <c r="BR99" i="40"/>
  <c r="BR101" i="40"/>
  <c r="BZ99" i="40"/>
  <c r="BZ101" i="40"/>
  <c r="CH99" i="40"/>
  <c r="CH101" i="40"/>
  <c r="CP99" i="40"/>
  <c r="CP101" i="40"/>
  <c r="CX99" i="40"/>
  <c r="CX101" i="40"/>
  <c r="DF99" i="40"/>
  <c r="DF101" i="40"/>
  <c r="DN99" i="40"/>
  <c r="DN101" i="40"/>
  <c r="AK99" i="40"/>
  <c r="AK101" i="40"/>
  <c r="BU99" i="40"/>
  <c r="BU101" i="40"/>
  <c r="AD99" i="40"/>
  <c r="AD101" i="40"/>
  <c r="BI99" i="40"/>
  <c r="BI101" i="40"/>
  <c r="CG99" i="40"/>
  <c r="CG101" i="40"/>
  <c r="DE99" i="40"/>
  <c r="DE101" i="40"/>
  <c r="AI99" i="40"/>
  <c r="AI101" i="40"/>
  <c r="AM99" i="40"/>
  <c r="AM101" i="40"/>
  <c r="AU99" i="40"/>
  <c r="AU101" i="40"/>
  <c r="BC99" i="40"/>
  <c r="BC101" i="40"/>
  <c r="BK99" i="40"/>
  <c r="BK101" i="40"/>
  <c r="BS99" i="40"/>
  <c r="BS101" i="40"/>
  <c r="CA99" i="40"/>
  <c r="CA101" i="40"/>
  <c r="CI99" i="40"/>
  <c r="CI101" i="40"/>
  <c r="CQ99" i="40"/>
  <c r="CQ101" i="40"/>
  <c r="CY99" i="40"/>
  <c r="CY101" i="40"/>
  <c r="DG99" i="40"/>
  <c r="DG101" i="40"/>
  <c r="DO99" i="40"/>
  <c r="DO101" i="40"/>
  <c r="AJ99" i="40"/>
  <c r="AJ101" i="40"/>
  <c r="AN99" i="40"/>
  <c r="AN101" i="40"/>
  <c r="AV99" i="40"/>
  <c r="AV101" i="40"/>
  <c r="BD99" i="40"/>
  <c r="BD101" i="40"/>
  <c r="BL99" i="40"/>
  <c r="BL101" i="40"/>
  <c r="BT99" i="40"/>
  <c r="BT101" i="40"/>
  <c r="CB99" i="40"/>
  <c r="CB101" i="40"/>
  <c r="CJ99" i="40"/>
  <c r="CJ101" i="40"/>
  <c r="CR99" i="40"/>
  <c r="CR101" i="40"/>
  <c r="CZ99" i="40"/>
  <c r="CZ101" i="40"/>
  <c r="DH99" i="40"/>
  <c r="DH101" i="40"/>
  <c r="DP99" i="40"/>
  <c r="DP101" i="40"/>
  <c r="AO97" i="40"/>
  <c r="AO98" i="40"/>
  <c r="BM97" i="40"/>
  <c r="BM98" i="40"/>
  <c r="DA97" i="40"/>
  <c r="DA98" i="40"/>
  <c r="AA97" i="40"/>
  <c r="AA98" i="40"/>
  <c r="AP97" i="40"/>
  <c r="AP98" i="40"/>
  <c r="AX97" i="40"/>
  <c r="AX98" i="40"/>
  <c r="BF97" i="40"/>
  <c r="BF98" i="40"/>
  <c r="BN97" i="40"/>
  <c r="BN98" i="40"/>
  <c r="BV97" i="40"/>
  <c r="BV98" i="40"/>
  <c r="CD97" i="40"/>
  <c r="CD98" i="40"/>
  <c r="CL97" i="40"/>
  <c r="CL98" i="40"/>
  <c r="CT97" i="40"/>
  <c r="CT98" i="40"/>
  <c r="DB97" i="40"/>
  <c r="DB98" i="40"/>
  <c r="DJ97" i="40"/>
  <c r="DJ98" i="40"/>
  <c r="AK97" i="40"/>
  <c r="AK98" i="40"/>
  <c r="BE97" i="40"/>
  <c r="BE98" i="40"/>
  <c r="CK97" i="40"/>
  <c r="CK98" i="40"/>
  <c r="AL97" i="40"/>
  <c r="AL98" i="40"/>
  <c r="AB97" i="40"/>
  <c r="AB98" i="40"/>
  <c r="AQ97" i="40"/>
  <c r="AQ98" i="40"/>
  <c r="AY97" i="40"/>
  <c r="AY98" i="40"/>
  <c r="BG97" i="40"/>
  <c r="BG98" i="40"/>
  <c r="BO97" i="40"/>
  <c r="BO98" i="40"/>
  <c r="BW97" i="40"/>
  <c r="BW98" i="40"/>
  <c r="CE97" i="40"/>
  <c r="CE98" i="40"/>
  <c r="CM97" i="40"/>
  <c r="CM98" i="40"/>
  <c r="CU97" i="40"/>
  <c r="CU98" i="40"/>
  <c r="DC97" i="40"/>
  <c r="DC98" i="40"/>
  <c r="DK97" i="40"/>
  <c r="DK98" i="40"/>
  <c r="AW97" i="40"/>
  <c r="AW98" i="40"/>
  <c r="BU97" i="40"/>
  <c r="BU98" i="40"/>
  <c r="DI97" i="40"/>
  <c r="DI98" i="40"/>
  <c r="AF97" i="40"/>
  <c r="AF98" i="40"/>
  <c r="AC97" i="40"/>
  <c r="AC98" i="40"/>
  <c r="AR97" i="40"/>
  <c r="AR98" i="40"/>
  <c r="AZ97" i="40"/>
  <c r="AZ98" i="40"/>
  <c r="BH97" i="40"/>
  <c r="BH98" i="40"/>
  <c r="BP97" i="40"/>
  <c r="BP98" i="40"/>
  <c r="BX97" i="40"/>
  <c r="BX98" i="40"/>
  <c r="CF97" i="40"/>
  <c r="CF98" i="40"/>
  <c r="CN97" i="40"/>
  <c r="CN98" i="40"/>
  <c r="CV97" i="40"/>
  <c r="CV98" i="40"/>
  <c r="DD97" i="40"/>
  <c r="DD98" i="40"/>
  <c r="DL97" i="40"/>
  <c r="DL98" i="40"/>
  <c r="CS97" i="40"/>
  <c r="CS98" i="40"/>
  <c r="AS97" i="40"/>
  <c r="AS98" i="40"/>
  <c r="DM97" i="40"/>
  <c r="DM98" i="40"/>
  <c r="AG97" i="40"/>
  <c r="AG98" i="40"/>
  <c r="BI97" i="40"/>
  <c r="BI98" i="40"/>
  <c r="BQ97" i="40"/>
  <c r="BQ98" i="40"/>
  <c r="CG97" i="40"/>
  <c r="CG98" i="40"/>
  <c r="CW97" i="40"/>
  <c r="CW98" i="40"/>
  <c r="AH97" i="40"/>
  <c r="AH98" i="40"/>
  <c r="AE97" i="40"/>
  <c r="AE98" i="40"/>
  <c r="AT97" i="40"/>
  <c r="AT98" i="40"/>
  <c r="BB97" i="40"/>
  <c r="BB98" i="40"/>
  <c r="BJ97" i="40"/>
  <c r="BJ98" i="40"/>
  <c r="BR97" i="40"/>
  <c r="BR98" i="40"/>
  <c r="BZ97" i="40"/>
  <c r="BZ98" i="40"/>
  <c r="CH97" i="40"/>
  <c r="CH98" i="40"/>
  <c r="CP97" i="40"/>
  <c r="CP98" i="40"/>
  <c r="CX97" i="40"/>
  <c r="CX98" i="40"/>
  <c r="DF97" i="40"/>
  <c r="DF98" i="40"/>
  <c r="DN97" i="40"/>
  <c r="DN98" i="40"/>
  <c r="CC97" i="40"/>
  <c r="CC98" i="40"/>
  <c r="AD97" i="40"/>
  <c r="AD98" i="40"/>
  <c r="BA97" i="40"/>
  <c r="BA98" i="40"/>
  <c r="BY97" i="40"/>
  <c r="BY98" i="40"/>
  <c r="CO97" i="40"/>
  <c r="CO98" i="40"/>
  <c r="DE97" i="40"/>
  <c r="DE98" i="40"/>
  <c r="AI97" i="40"/>
  <c r="AI98" i="40"/>
  <c r="AM97" i="40"/>
  <c r="AM98" i="40"/>
  <c r="AU97" i="40"/>
  <c r="AU98" i="40"/>
  <c r="BC97" i="40"/>
  <c r="BC98" i="40"/>
  <c r="BK97" i="40"/>
  <c r="BK98" i="40"/>
  <c r="BS97" i="40"/>
  <c r="BS98" i="40"/>
  <c r="CA97" i="40"/>
  <c r="CA98" i="40"/>
  <c r="CI97" i="40"/>
  <c r="CI98" i="40"/>
  <c r="CQ97" i="40"/>
  <c r="CQ98" i="40"/>
  <c r="CY97" i="40"/>
  <c r="CY98" i="40"/>
  <c r="DG97" i="40"/>
  <c r="DG98" i="40"/>
  <c r="DO97" i="40"/>
  <c r="DO98" i="40"/>
  <c r="AJ97" i="40"/>
  <c r="AJ98" i="40"/>
  <c r="AN97" i="40"/>
  <c r="AN98" i="40"/>
  <c r="AV97" i="40"/>
  <c r="AV98" i="40"/>
  <c r="BD97" i="40"/>
  <c r="BD98" i="40"/>
  <c r="BL97" i="40"/>
  <c r="BL98" i="40"/>
  <c r="BT97" i="40"/>
  <c r="BT98" i="40"/>
  <c r="CB97" i="40"/>
  <c r="CB98" i="40"/>
  <c r="CJ97" i="40"/>
  <c r="CJ98" i="40"/>
  <c r="CR97" i="40"/>
  <c r="CR98" i="40"/>
  <c r="CZ97" i="40"/>
  <c r="CZ98" i="40"/>
  <c r="DH97" i="40"/>
  <c r="DH98" i="40"/>
  <c r="DP97" i="40"/>
  <c r="DP98" i="40"/>
  <c r="DB95" i="40"/>
  <c r="DB96" i="40"/>
  <c r="AO95" i="40"/>
  <c r="AO96" i="40"/>
  <c r="CC95" i="40"/>
  <c r="CC96" i="40"/>
  <c r="AX95" i="40"/>
  <c r="AX96" i="40"/>
  <c r="BN95" i="40"/>
  <c r="BN96" i="40"/>
  <c r="CT95" i="40"/>
  <c r="CT96" i="40"/>
  <c r="AL95" i="40"/>
  <c r="AL96" i="40"/>
  <c r="AB95" i="40"/>
  <c r="AB96" i="40"/>
  <c r="AQ95" i="40"/>
  <c r="AQ96" i="40"/>
  <c r="AY95" i="40"/>
  <c r="AY96" i="40"/>
  <c r="BG95" i="40"/>
  <c r="BG96" i="40"/>
  <c r="BO95" i="40"/>
  <c r="BO96" i="40"/>
  <c r="BW95" i="40"/>
  <c r="BW96" i="40"/>
  <c r="CE95" i="40"/>
  <c r="CE96" i="40"/>
  <c r="CM95" i="40"/>
  <c r="CM96" i="40"/>
  <c r="CU95" i="40"/>
  <c r="CU96" i="40"/>
  <c r="DC95" i="40"/>
  <c r="DC96" i="40"/>
  <c r="DK95" i="40"/>
  <c r="DK96" i="40"/>
  <c r="AW95" i="40"/>
  <c r="AW96" i="40"/>
  <c r="BU95" i="40"/>
  <c r="BU96" i="40"/>
  <c r="DI95" i="40"/>
  <c r="DI96" i="40"/>
  <c r="AP95" i="40"/>
  <c r="AP96" i="40"/>
  <c r="BF95" i="40"/>
  <c r="BF96" i="40"/>
  <c r="DJ95" i="40"/>
  <c r="DJ96" i="40"/>
  <c r="AF95" i="40"/>
  <c r="AF96" i="40"/>
  <c r="AC95" i="40"/>
  <c r="AC96" i="40"/>
  <c r="AR95" i="40"/>
  <c r="AR96" i="40"/>
  <c r="AZ95" i="40"/>
  <c r="AZ96" i="40"/>
  <c r="BH95" i="40"/>
  <c r="BH96" i="40"/>
  <c r="BP95" i="40"/>
  <c r="BP96" i="40"/>
  <c r="BX95" i="40"/>
  <c r="BX96" i="40"/>
  <c r="CF95" i="40"/>
  <c r="CF96" i="40"/>
  <c r="CN95" i="40"/>
  <c r="CN96" i="40"/>
  <c r="CV95" i="40"/>
  <c r="CV96" i="40"/>
  <c r="DD95" i="40"/>
  <c r="DD96" i="40"/>
  <c r="DL95" i="40"/>
  <c r="DL96" i="40"/>
  <c r="AK95" i="40"/>
  <c r="AK96" i="40"/>
  <c r="BE95" i="40"/>
  <c r="BE96" i="40"/>
  <c r="CK95" i="40"/>
  <c r="CK96" i="40"/>
  <c r="AA95" i="40"/>
  <c r="AA96" i="40"/>
  <c r="BV95" i="40"/>
  <c r="BV96" i="40"/>
  <c r="AG95" i="40"/>
  <c r="AG96" i="40"/>
  <c r="AD95" i="40"/>
  <c r="AD96" i="40"/>
  <c r="AS95" i="40"/>
  <c r="AS96" i="40"/>
  <c r="BA95" i="40"/>
  <c r="BA96" i="40"/>
  <c r="BI95" i="40"/>
  <c r="BI96" i="40"/>
  <c r="BQ95" i="40"/>
  <c r="BQ96" i="40"/>
  <c r="BY95" i="40"/>
  <c r="BY96" i="40"/>
  <c r="CG95" i="40"/>
  <c r="CG96" i="40"/>
  <c r="CO95" i="40"/>
  <c r="CO96" i="40"/>
  <c r="CW95" i="40"/>
  <c r="CW96" i="40"/>
  <c r="DE95" i="40"/>
  <c r="DE96" i="40"/>
  <c r="DM95" i="40"/>
  <c r="DM96" i="40"/>
  <c r="AH95" i="40"/>
  <c r="AH96" i="40"/>
  <c r="AE95" i="40"/>
  <c r="AE96" i="40"/>
  <c r="AT95" i="40"/>
  <c r="AT96" i="40"/>
  <c r="BB95" i="40"/>
  <c r="BB96" i="40"/>
  <c r="BJ95" i="40"/>
  <c r="BJ96" i="40"/>
  <c r="BR95" i="40"/>
  <c r="BR96" i="40"/>
  <c r="BZ95" i="40"/>
  <c r="BZ96" i="40"/>
  <c r="CH95" i="40"/>
  <c r="CH96" i="40"/>
  <c r="CP95" i="40"/>
  <c r="CP96" i="40"/>
  <c r="CX95" i="40"/>
  <c r="CX96" i="40"/>
  <c r="DF95" i="40"/>
  <c r="DF96" i="40"/>
  <c r="DN95" i="40"/>
  <c r="DN96" i="40"/>
  <c r="BM95" i="40"/>
  <c r="BM96" i="40"/>
  <c r="DA95" i="40"/>
  <c r="DA96" i="40"/>
  <c r="CL95" i="40"/>
  <c r="CL96" i="40"/>
  <c r="AU95" i="40"/>
  <c r="AU96" i="40"/>
  <c r="BC95" i="40"/>
  <c r="BC96" i="40"/>
  <c r="BK95" i="40"/>
  <c r="BK96" i="40"/>
  <c r="BS95" i="40"/>
  <c r="BS96" i="40"/>
  <c r="CA95" i="40"/>
  <c r="CA96" i="40"/>
  <c r="CI95" i="40"/>
  <c r="CI96" i="40"/>
  <c r="CQ95" i="40"/>
  <c r="CQ96" i="40"/>
  <c r="CY95" i="40"/>
  <c r="CY96" i="40"/>
  <c r="DG95" i="40"/>
  <c r="DG96" i="40"/>
  <c r="DO95" i="40"/>
  <c r="DO96" i="40"/>
  <c r="CS95" i="40"/>
  <c r="CS96" i="40"/>
  <c r="CD95" i="40"/>
  <c r="CD96" i="40"/>
  <c r="AI95" i="40"/>
  <c r="AI96" i="40"/>
  <c r="AM95" i="40"/>
  <c r="AM96" i="40"/>
  <c r="AJ95" i="40"/>
  <c r="AJ96" i="40"/>
  <c r="AN95" i="40"/>
  <c r="AN96" i="40"/>
  <c r="AV95" i="40"/>
  <c r="AV96" i="40"/>
  <c r="BD95" i="40"/>
  <c r="BD96" i="40"/>
  <c r="BL95" i="40"/>
  <c r="BL96" i="40"/>
  <c r="BT95" i="40"/>
  <c r="BT96" i="40"/>
  <c r="CB95" i="40"/>
  <c r="CB96" i="40"/>
  <c r="CJ95" i="40"/>
  <c r="CJ96" i="40"/>
  <c r="CR95" i="40"/>
  <c r="CR96" i="40"/>
  <c r="CZ95" i="40"/>
  <c r="CZ96" i="40"/>
  <c r="DH95" i="40"/>
  <c r="DH96" i="40"/>
  <c r="DP95" i="40"/>
  <c r="DP96" i="40"/>
  <c r="AW93" i="40"/>
  <c r="AW94" i="40"/>
  <c r="BE93" i="40"/>
  <c r="BE94" i="40"/>
  <c r="BM93" i="40"/>
  <c r="BM94" i="40"/>
  <c r="BU93" i="40"/>
  <c r="BU94" i="40"/>
  <c r="CC93" i="40"/>
  <c r="CC94" i="40"/>
  <c r="CK93" i="40"/>
  <c r="CK94" i="40"/>
  <c r="CS93" i="40"/>
  <c r="CS94" i="40"/>
  <c r="DA93" i="40"/>
  <c r="DA94" i="40"/>
  <c r="DI93" i="40"/>
  <c r="DI94" i="40"/>
  <c r="BG93" i="40"/>
  <c r="BG94" i="40"/>
  <c r="DC93" i="40"/>
  <c r="DC94" i="40"/>
  <c r="AZ93" i="40"/>
  <c r="AZ94" i="40"/>
  <c r="AK93" i="40"/>
  <c r="AK94" i="40"/>
  <c r="AO93" i="40"/>
  <c r="AO94" i="40"/>
  <c r="AA93" i="40"/>
  <c r="AA94" i="40"/>
  <c r="AP93" i="40"/>
  <c r="AP94" i="40"/>
  <c r="AX93" i="40"/>
  <c r="AX94" i="40"/>
  <c r="BF93" i="40"/>
  <c r="BF94" i="40"/>
  <c r="BN93" i="40"/>
  <c r="BN94" i="40"/>
  <c r="BV93" i="40"/>
  <c r="BV94" i="40"/>
  <c r="CD93" i="40"/>
  <c r="CD94" i="40"/>
  <c r="CL93" i="40"/>
  <c r="CL94" i="40"/>
  <c r="CT93" i="40"/>
  <c r="CT94" i="40"/>
  <c r="DB93" i="40"/>
  <c r="DB94" i="40"/>
  <c r="DJ93" i="40"/>
  <c r="DJ94" i="40"/>
  <c r="AQ93" i="40"/>
  <c r="AQ94" i="40"/>
  <c r="DK93" i="40"/>
  <c r="DK94" i="40"/>
  <c r="DD93" i="40"/>
  <c r="DD94" i="40"/>
  <c r="AG93" i="40"/>
  <c r="AG94" i="40"/>
  <c r="AD93" i="40"/>
  <c r="AD94" i="40"/>
  <c r="AS93" i="40"/>
  <c r="AS94" i="40"/>
  <c r="BA93" i="40"/>
  <c r="BA94" i="40"/>
  <c r="BI93" i="40"/>
  <c r="BI94" i="40"/>
  <c r="BQ93" i="40"/>
  <c r="BQ94" i="40"/>
  <c r="BY93" i="40"/>
  <c r="BY94" i="40"/>
  <c r="CG93" i="40"/>
  <c r="CG94" i="40"/>
  <c r="CO93" i="40"/>
  <c r="CO94" i="40"/>
  <c r="CW93" i="40"/>
  <c r="CW94" i="40"/>
  <c r="DE93" i="40"/>
  <c r="DE94" i="40"/>
  <c r="DM93" i="40"/>
  <c r="DM94" i="40"/>
  <c r="AB93" i="40"/>
  <c r="AB94" i="40"/>
  <c r="CE93" i="40"/>
  <c r="CE94" i="40"/>
  <c r="AC93" i="40"/>
  <c r="AC94" i="40"/>
  <c r="BP93" i="40"/>
  <c r="BP94" i="40"/>
  <c r="CF93" i="40"/>
  <c r="CF94" i="40"/>
  <c r="DL93" i="40"/>
  <c r="DL94" i="40"/>
  <c r="AH93" i="40"/>
  <c r="AH94" i="40"/>
  <c r="AE93" i="40"/>
  <c r="AE94" i="40"/>
  <c r="AT93" i="40"/>
  <c r="AT94" i="40"/>
  <c r="BB93" i="40"/>
  <c r="BB94" i="40"/>
  <c r="BJ93" i="40"/>
  <c r="BJ94" i="40"/>
  <c r="BR93" i="40"/>
  <c r="BR94" i="40"/>
  <c r="BZ93" i="40"/>
  <c r="BZ94" i="40"/>
  <c r="CH93" i="40"/>
  <c r="CH94" i="40"/>
  <c r="CP93" i="40"/>
  <c r="CP94" i="40"/>
  <c r="CX93" i="40"/>
  <c r="CX94" i="40"/>
  <c r="DF93" i="40"/>
  <c r="DF94" i="40"/>
  <c r="DN93" i="40"/>
  <c r="DN94" i="40"/>
  <c r="AL93" i="40"/>
  <c r="AL94" i="40"/>
  <c r="BO93" i="40"/>
  <c r="BO94" i="40"/>
  <c r="CM93" i="40"/>
  <c r="CM94" i="40"/>
  <c r="AR93" i="40"/>
  <c r="AR94" i="40"/>
  <c r="CN93" i="40"/>
  <c r="CN94" i="40"/>
  <c r="AI93" i="40"/>
  <c r="AI94" i="40"/>
  <c r="AU93" i="40"/>
  <c r="AU94" i="40"/>
  <c r="BC93" i="40"/>
  <c r="BC94" i="40"/>
  <c r="BK93" i="40"/>
  <c r="BK94" i="40"/>
  <c r="BS93" i="40"/>
  <c r="BS94" i="40"/>
  <c r="CA93" i="40"/>
  <c r="CA94" i="40"/>
  <c r="CI93" i="40"/>
  <c r="CI94" i="40"/>
  <c r="CQ93" i="40"/>
  <c r="CQ94" i="40"/>
  <c r="CY93" i="40"/>
  <c r="CY94" i="40"/>
  <c r="DG93" i="40"/>
  <c r="DG94" i="40"/>
  <c r="DO93" i="40"/>
  <c r="DO94" i="40"/>
  <c r="AY93" i="40"/>
  <c r="AY94" i="40"/>
  <c r="BW93" i="40"/>
  <c r="BW94" i="40"/>
  <c r="CU93" i="40"/>
  <c r="CU94" i="40"/>
  <c r="AF93" i="40"/>
  <c r="AF94" i="40"/>
  <c r="BH93" i="40"/>
  <c r="BH94" i="40"/>
  <c r="BX93" i="40"/>
  <c r="BX94" i="40"/>
  <c r="CV93" i="40"/>
  <c r="CV94" i="40"/>
  <c r="AJ93" i="40"/>
  <c r="AJ94" i="40"/>
  <c r="AN93" i="40"/>
  <c r="AN94" i="40"/>
  <c r="AV93" i="40"/>
  <c r="AV94" i="40"/>
  <c r="BD93" i="40"/>
  <c r="BD94" i="40"/>
  <c r="BL93" i="40"/>
  <c r="BL94" i="40"/>
  <c r="BT93" i="40"/>
  <c r="BT94" i="40"/>
  <c r="CB93" i="40"/>
  <c r="CB94" i="40"/>
  <c r="CJ93" i="40"/>
  <c r="CJ94" i="40"/>
  <c r="CR93" i="40"/>
  <c r="CR94" i="40"/>
  <c r="CZ93" i="40"/>
  <c r="CZ94" i="40"/>
  <c r="DH93" i="40"/>
  <c r="DH94" i="40"/>
  <c r="DP93" i="40"/>
  <c r="DP94" i="40"/>
  <c r="AP622" i="40"/>
  <c r="AP620" i="40"/>
  <c r="AP619" i="40"/>
  <c r="AP621" i="40"/>
  <c r="AP618" i="40"/>
  <c r="AX622" i="40"/>
  <c r="AX619" i="40"/>
  <c r="AX620" i="40"/>
  <c r="AX621" i="40"/>
  <c r="AX618" i="40"/>
  <c r="BF622" i="40"/>
  <c r="BF619" i="40"/>
  <c r="BF621" i="40"/>
  <c r="BF618" i="40"/>
  <c r="BF620" i="40"/>
  <c r="BN622" i="40"/>
  <c r="BN620" i="40"/>
  <c r="BN619" i="40"/>
  <c r="BN621" i="40"/>
  <c r="BN618" i="40"/>
  <c r="BV622" i="40"/>
  <c r="BV619" i="40"/>
  <c r="BV621" i="40"/>
  <c r="BV618" i="40"/>
  <c r="BV620" i="40"/>
  <c r="CD622" i="40"/>
  <c r="CD619" i="40"/>
  <c r="CD620" i="40"/>
  <c r="CD621" i="40"/>
  <c r="CD618" i="40"/>
  <c r="CL622" i="40"/>
  <c r="CL620" i="40"/>
  <c r="CL619" i="40"/>
  <c r="CL621" i="40"/>
  <c r="CL618" i="40"/>
  <c r="CT622" i="40"/>
  <c r="CT619" i="40"/>
  <c r="CT621" i="40"/>
  <c r="CT618" i="40"/>
  <c r="CT620" i="40"/>
  <c r="DB622" i="40"/>
  <c r="DB619" i="40"/>
  <c r="DB620" i="40"/>
  <c r="DB621" i="40"/>
  <c r="DB618" i="40"/>
  <c r="DJ622" i="40"/>
  <c r="DJ619" i="40"/>
  <c r="DJ621" i="40"/>
  <c r="DJ618" i="40"/>
  <c r="DJ620" i="40"/>
  <c r="CK622" i="40"/>
  <c r="CK619" i="40"/>
  <c r="CK621" i="40"/>
  <c r="CK620" i="40"/>
  <c r="CK618" i="40"/>
  <c r="AL618" i="40"/>
  <c r="AL621" i="40"/>
  <c r="AL620" i="40"/>
  <c r="AL622" i="40"/>
  <c r="AL619" i="40"/>
  <c r="CM619" i="40"/>
  <c r="CM621" i="40"/>
  <c r="CM618" i="40"/>
  <c r="CM620" i="40"/>
  <c r="CM622" i="40"/>
  <c r="AF620" i="40"/>
  <c r="AF618" i="40"/>
  <c r="AF622" i="40"/>
  <c r="AF619" i="40"/>
  <c r="AF621" i="40"/>
  <c r="AC621" i="40"/>
  <c r="AC618" i="40"/>
  <c r="AC620" i="40"/>
  <c r="AC619" i="40"/>
  <c r="AC622" i="40"/>
  <c r="AR617" i="40"/>
  <c r="AR621" i="40"/>
  <c r="AR618" i="40"/>
  <c r="AR620" i="40"/>
  <c r="AR622" i="40"/>
  <c r="AR619" i="40"/>
  <c r="AZ621" i="40"/>
  <c r="AZ618" i="40"/>
  <c r="AZ620" i="40"/>
  <c r="AZ622" i="40"/>
  <c r="AZ619" i="40"/>
  <c r="BH622" i="40"/>
  <c r="BH621" i="40"/>
  <c r="BH618" i="40"/>
  <c r="BH620" i="40"/>
  <c r="BH619" i="40"/>
  <c r="BP621" i="40"/>
  <c r="BP618" i="40"/>
  <c r="BP620" i="40"/>
  <c r="BP622" i="40"/>
  <c r="BP619" i="40"/>
  <c r="BX621" i="40"/>
  <c r="BX618" i="40"/>
  <c r="BX620" i="40"/>
  <c r="BX622" i="40"/>
  <c r="BX619" i="40"/>
  <c r="CF622" i="40"/>
  <c r="CF621" i="40"/>
  <c r="CF618" i="40"/>
  <c r="CF620" i="40"/>
  <c r="CF619" i="40"/>
  <c r="CN621" i="40"/>
  <c r="CN618" i="40"/>
  <c r="CN620" i="40"/>
  <c r="CN622" i="40"/>
  <c r="CN619" i="40"/>
  <c r="CV621" i="40"/>
  <c r="CV618" i="40"/>
  <c r="CV620" i="40"/>
  <c r="CV622" i="40"/>
  <c r="CV619" i="40"/>
  <c r="DD622" i="40"/>
  <c r="DD621" i="40"/>
  <c r="DD618" i="40"/>
  <c r="DD620" i="40"/>
  <c r="DD619" i="40"/>
  <c r="DL621" i="40"/>
  <c r="DL622" i="40"/>
  <c r="DL618" i="40"/>
  <c r="DL620" i="40"/>
  <c r="DL619" i="40"/>
  <c r="BA621" i="40"/>
  <c r="BA618" i="40"/>
  <c r="BA620" i="40"/>
  <c r="BA619" i="40"/>
  <c r="BA622" i="40"/>
  <c r="BI621" i="40"/>
  <c r="BI619" i="40"/>
  <c r="BI618" i="40"/>
  <c r="BI620" i="40"/>
  <c r="BI622" i="40"/>
  <c r="BQ621" i="40"/>
  <c r="BQ618" i="40"/>
  <c r="BQ619" i="40"/>
  <c r="BQ620" i="40"/>
  <c r="BQ622" i="40"/>
  <c r="BY621" i="40"/>
  <c r="BY618" i="40"/>
  <c r="BY620" i="40"/>
  <c r="BY619" i="40"/>
  <c r="BY622" i="40"/>
  <c r="CG621" i="40"/>
  <c r="CG619" i="40"/>
  <c r="CG618" i="40"/>
  <c r="CG620" i="40"/>
  <c r="CG622" i="40"/>
  <c r="CO621" i="40"/>
  <c r="CO618" i="40"/>
  <c r="CO619" i="40"/>
  <c r="CO620" i="40"/>
  <c r="CO622" i="40"/>
  <c r="CW621" i="40"/>
  <c r="CW618" i="40"/>
  <c r="CW620" i="40"/>
  <c r="CW619" i="40"/>
  <c r="CW622" i="40"/>
  <c r="DE621" i="40"/>
  <c r="DE619" i="40"/>
  <c r="DE618" i="40"/>
  <c r="DE620" i="40"/>
  <c r="DE622" i="40"/>
  <c r="DM621" i="40"/>
  <c r="DM618" i="40"/>
  <c r="DM619" i="40"/>
  <c r="DM620" i="40"/>
  <c r="DM622" i="40"/>
  <c r="AO622" i="40"/>
  <c r="AO619" i="40"/>
  <c r="AO621" i="40"/>
  <c r="AO618" i="40"/>
  <c r="AO620" i="40"/>
  <c r="DA622" i="40"/>
  <c r="DA620" i="40"/>
  <c r="DA619" i="40"/>
  <c r="DA621" i="40"/>
  <c r="DA618" i="40"/>
  <c r="CE619" i="40"/>
  <c r="CE621" i="40"/>
  <c r="CE618" i="40"/>
  <c r="CE622" i="40"/>
  <c r="CE620" i="40"/>
  <c r="AH622" i="40"/>
  <c r="AH619" i="40"/>
  <c r="AH621" i="40"/>
  <c r="AH618" i="40"/>
  <c r="AH620" i="40"/>
  <c r="AE621" i="40"/>
  <c r="AE620" i="40"/>
  <c r="AE622" i="40"/>
  <c r="AE619" i="40"/>
  <c r="AE618" i="40"/>
  <c r="AT618" i="40"/>
  <c r="AT621" i="40"/>
  <c r="AT620" i="40"/>
  <c r="AT622" i="40"/>
  <c r="AT619" i="40"/>
  <c r="BB618" i="40"/>
  <c r="BB620" i="40"/>
  <c r="BB622" i="40"/>
  <c r="BB621" i="40"/>
  <c r="BB619" i="40"/>
  <c r="BJ618" i="40"/>
  <c r="BJ620" i="40"/>
  <c r="BJ622" i="40"/>
  <c r="BJ619" i="40"/>
  <c r="BJ621" i="40"/>
  <c r="BR618" i="40"/>
  <c r="BR621" i="40"/>
  <c r="BR620" i="40"/>
  <c r="BR622" i="40"/>
  <c r="BR619" i="40"/>
  <c r="BZ618" i="40"/>
  <c r="BZ621" i="40"/>
  <c r="BZ620" i="40"/>
  <c r="BZ622" i="40"/>
  <c r="BZ619" i="40"/>
  <c r="CH618" i="40"/>
  <c r="CH620" i="40"/>
  <c r="CH622" i="40"/>
  <c r="CH621" i="40"/>
  <c r="CH619" i="40"/>
  <c r="CP618" i="40"/>
  <c r="CP620" i="40"/>
  <c r="CP622" i="40"/>
  <c r="CP619" i="40"/>
  <c r="CP621" i="40"/>
  <c r="CX618" i="40"/>
  <c r="CX621" i="40"/>
  <c r="CX620" i="40"/>
  <c r="CX622" i="40"/>
  <c r="CX619" i="40"/>
  <c r="DF618" i="40"/>
  <c r="DF621" i="40"/>
  <c r="DF620" i="40"/>
  <c r="DF622" i="40"/>
  <c r="DF619" i="40"/>
  <c r="DN618" i="40"/>
  <c r="DN620" i="40"/>
  <c r="DN622" i="40"/>
  <c r="DN621" i="40"/>
  <c r="DN619" i="40"/>
  <c r="AK621" i="40"/>
  <c r="AK619" i="40"/>
  <c r="AK618" i="40"/>
  <c r="AK620" i="40"/>
  <c r="AK622" i="40"/>
  <c r="BE622" i="40"/>
  <c r="BE619" i="40"/>
  <c r="BE621" i="40"/>
  <c r="BE618" i="40"/>
  <c r="BE620" i="40"/>
  <c r="BU622" i="40"/>
  <c r="BU619" i="40"/>
  <c r="BU621" i="40"/>
  <c r="BU618" i="40"/>
  <c r="BU620" i="40"/>
  <c r="CC622" i="40"/>
  <c r="CC619" i="40"/>
  <c r="CC621" i="40"/>
  <c r="CC618" i="40"/>
  <c r="CC620" i="40"/>
  <c r="DI622" i="40"/>
  <c r="DI619" i="40"/>
  <c r="DI621" i="40"/>
  <c r="DI618" i="40"/>
  <c r="DI620" i="40"/>
  <c r="AB618" i="40"/>
  <c r="AB622" i="40"/>
  <c r="AB621" i="40"/>
  <c r="AB620" i="40"/>
  <c r="AB619" i="40"/>
  <c r="AY619" i="40"/>
  <c r="AY622" i="40"/>
  <c r="AY621" i="40"/>
  <c r="AY618" i="40"/>
  <c r="AY620" i="40"/>
  <c r="BO619" i="40"/>
  <c r="BO621" i="40"/>
  <c r="BO618" i="40"/>
  <c r="BO622" i="40"/>
  <c r="BO620" i="40"/>
  <c r="CU619" i="40"/>
  <c r="CU622" i="40"/>
  <c r="CU621" i="40"/>
  <c r="CU618" i="40"/>
  <c r="CU620" i="40"/>
  <c r="DK619" i="40"/>
  <c r="DK622" i="40"/>
  <c r="DK621" i="40"/>
  <c r="DK618" i="40"/>
  <c r="DK620" i="40"/>
  <c r="AG622" i="40"/>
  <c r="AG620" i="40"/>
  <c r="AG619" i="40"/>
  <c r="AG621" i="40"/>
  <c r="AG618" i="40"/>
  <c r="AS621" i="40"/>
  <c r="AS618" i="40"/>
  <c r="AS619" i="40"/>
  <c r="AS620" i="40"/>
  <c r="AS622" i="40"/>
  <c r="AI619" i="40"/>
  <c r="AI621" i="40"/>
  <c r="AI618" i="40"/>
  <c r="AI622" i="40"/>
  <c r="AI620" i="40"/>
  <c r="AM620" i="40"/>
  <c r="AM621" i="40"/>
  <c r="AM622" i="40"/>
  <c r="AM619" i="40"/>
  <c r="AM618" i="40"/>
  <c r="AU620" i="40"/>
  <c r="AU622" i="40"/>
  <c r="AU619" i="40"/>
  <c r="AU621" i="40"/>
  <c r="AU618" i="40"/>
  <c r="BC620" i="40"/>
  <c r="BC622" i="40"/>
  <c r="BC619" i="40"/>
  <c r="BC621" i="40"/>
  <c r="BC618" i="40"/>
  <c r="BK621" i="40"/>
  <c r="BK620" i="40"/>
  <c r="BK622" i="40"/>
  <c r="BK619" i="40"/>
  <c r="BK618" i="40"/>
  <c r="BS620" i="40"/>
  <c r="BS621" i="40"/>
  <c r="BS622" i="40"/>
  <c r="BS619" i="40"/>
  <c r="BS618" i="40"/>
  <c r="CA620" i="40"/>
  <c r="CA622" i="40"/>
  <c r="CA619" i="40"/>
  <c r="CA621" i="40"/>
  <c r="CA618" i="40"/>
  <c r="CI620" i="40"/>
  <c r="CI622" i="40"/>
  <c r="CI619" i="40"/>
  <c r="CI621" i="40"/>
  <c r="CI618" i="40"/>
  <c r="CQ621" i="40"/>
  <c r="CQ620" i="40"/>
  <c r="CQ622" i="40"/>
  <c r="CQ619" i="40"/>
  <c r="CQ618" i="40"/>
  <c r="CY620" i="40"/>
  <c r="CY621" i="40"/>
  <c r="CY622" i="40"/>
  <c r="CY619" i="40"/>
  <c r="CY618" i="40"/>
  <c r="DG620" i="40"/>
  <c r="DG622" i="40"/>
  <c r="DG619" i="40"/>
  <c r="DG621" i="40"/>
  <c r="DG618" i="40"/>
  <c r="DO620" i="40"/>
  <c r="DO622" i="40"/>
  <c r="DO619" i="40"/>
  <c r="DO621" i="40"/>
  <c r="DO618" i="40"/>
  <c r="AW622" i="40"/>
  <c r="AW619" i="40"/>
  <c r="AW621" i="40"/>
  <c r="AW618" i="40"/>
  <c r="AW620" i="40"/>
  <c r="BM622" i="40"/>
  <c r="BM620" i="40"/>
  <c r="BM619" i="40"/>
  <c r="BM621" i="40"/>
  <c r="BM618" i="40"/>
  <c r="CS620" i="40"/>
  <c r="CS622" i="40"/>
  <c r="CS619" i="40"/>
  <c r="CS621" i="40"/>
  <c r="CS618" i="40"/>
  <c r="AA619" i="40"/>
  <c r="AA621" i="40"/>
  <c r="AA618" i="40"/>
  <c r="AA620" i="40"/>
  <c r="AA622" i="40"/>
  <c r="AQ619" i="40"/>
  <c r="AQ622" i="40"/>
  <c r="AQ621" i="40"/>
  <c r="AQ618" i="40"/>
  <c r="AQ620" i="40"/>
  <c r="BG619" i="40"/>
  <c r="BG621" i="40"/>
  <c r="BG618" i="40"/>
  <c r="BG620" i="40"/>
  <c r="BG622" i="40"/>
  <c r="BW619" i="40"/>
  <c r="BW622" i="40"/>
  <c r="BW621" i="40"/>
  <c r="BW618" i="40"/>
  <c r="BW620" i="40"/>
  <c r="DC619" i="40"/>
  <c r="DC621" i="40"/>
  <c r="DC618" i="40"/>
  <c r="DC622" i="40"/>
  <c r="DC620" i="40"/>
  <c r="AD618" i="40"/>
  <c r="AD620" i="40"/>
  <c r="AD622" i="40"/>
  <c r="AD621" i="40"/>
  <c r="AD619" i="40"/>
  <c r="AJ618" i="40"/>
  <c r="AJ621" i="40"/>
  <c r="AJ622" i="40"/>
  <c r="AJ620" i="40"/>
  <c r="AJ619" i="40"/>
  <c r="AN620" i="40"/>
  <c r="AN618" i="40"/>
  <c r="AN622" i="40"/>
  <c r="AN619" i="40"/>
  <c r="AN621" i="40"/>
  <c r="AV620" i="40"/>
  <c r="AV622" i="40"/>
  <c r="AV619" i="40"/>
  <c r="AV618" i="40"/>
  <c r="AV621" i="40"/>
  <c r="BD620" i="40"/>
  <c r="BD622" i="40"/>
  <c r="BD619" i="40"/>
  <c r="BD621" i="40"/>
  <c r="BD618" i="40"/>
  <c r="BL620" i="40"/>
  <c r="BL618" i="40"/>
  <c r="BL622" i="40"/>
  <c r="BL619" i="40"/>
  <c r="BL621" i="40"/>
  <c r="BT620" i="40"/>
  <c r="BT622" i="40"/>
  <c r="BT619" i="40"/>
  <c r="BT618" i="40"/>
  <c r="BT621" i="40"/>
  <c r="CB620" i="40"/>
  <c r="CB618" i="40"/>
  <c r="CB622" i="40"/>
  <c r="CB619" i="40"/>
  <c r="CB621" i="40"/>
  <c r="CJ620" i="40"/>
  <c r="CJ618" i="40"/>
  <c r="CJ622" i="40"/>
  <c r="CJ619" i="40"/>
  <c r="CJ621" i="40"/>
  <c r="CR620" i="40"/>
  <c r="CR622" i="40"/>
  <c r="CR619" i="40"/>
  <c r="CR618" i="40"/>
  <c r="CR621" i="40"/>
  <c r="CZ620" i="40"/>
  <c r="CZ618" i="40"/>
  <c r="CZ622" i="40"/>
  <c r="CZ619" i="40"/>
  <c r="CZ621" i="40"/>
  <c r="DH620" i="40"/>
  <c r="DH622" i="40"/>
  <c r="DH619" i="40"/>
  <c r="DH621" i="40"/>
  <c r="DH618" i="40"/>
  <c r="DP620" i="40"/>
  <c r="DP618" i="40"/>
  <c r="DP622" i="40"/>
  <c r="DP619" i="40"/>
  <c r="DP621" i="40"/>
  <c r="BM86" i="40"/>
  <c r="BM617" i="40"/>
  <c r="DA86" i="40"/>
  <c r="DA617" i="40"/>
  <c r="AA86" i="40"/>
  <c r="AA617" i="40"/>
  <c r="AP86" i="40"/>
  <c r="AP617" i="40"/>
  <c r="AX86" i="40"/>
  <c r="AX617" i="40"/>
  <c r="BF86" i="40"/>
  <c r="BF617" i="40"/>
  <c r="BN86" i="40"/>
  <c r="BN617" i="40"/>
  <c r="BV86" i="40"/>
  <c r="BV617" i="40"/>
  <c r="CD86" i="40"/>
  <c r="CD617" i="40"/>
  <c r="CL86" i="40"/>
  <c r="CL617" i="40"/>
  <c r="CT86" i="40"/>
  <c r="CT617" i="40"/>
  <c r="DB86" i="40"/>
  <c r="DB617" i="40"/>
  <c r="DJ86" i="40"/>
  <c r="DJ617" i="40"/>
  <c r="AO86" i="40"/>
  <c r="AO617" i="40"/>
  <c r="CC86" i="40"/>
  <c r="CC617" i="40"/>
  <c r="AL86" i="40"/>
  <c r="AL617" i="40"/>
  <c r="AB86" i="40"/>
  <c r="AB617" i="40"/>
  <c r="AQ86" i="40"/>
  <c r="AQ617" i="40"/>
  <c r="AY86" i="40"/>
  <c r="AY617" i="40"/>
  <c r="BG86" i="40"/>
  <c r="BG617" i="40"/>
  <c r="BO86" i="40"/>
  <c r="BO617" i="40"/>
  <c r="BW86" i="40"/>
  <c r="BW617" i="40"/>
  <c r="CE86" i="40"/>
  <c r="CE617" i="40"/>
  <c r="CM86" i="40"/>
  <c r="CM617" i="40"/>
  <c r="CU86" i="40"/>
  <c r="CU617" i="40"/>
  <c r="DC86" i="40"/>
  <c r="DC617" i="40"/>
  <c r="DK86" i="40"/>
  <c r="DK617" i="40"/>
  <c r="AW86" i="40"/>
  <c r="AW617" i="40"/>
  <c r="DI86" i="40"/>
  <c r="DI617" i="40"/>
  <c r="AF86" i="40"/>
  <c r="AF617" i="40"/>
  <c r="AC86" i="40"/>
  <c r="AC617" i="40"/>
  <c r="AZ86" i="40"/>
  <c r="AZ617" i="40"/>
  <c r="BH86" i="40"/>
  <c r="BH617" i="40"/>
  <c r="BP86" i="40"/>
  <c r="BP617" i="40"/>
  <c r="BX86" i="40"/>
  <c r="BX617" i="40"/>
  <c r="CF86" i="40"/>
  <c r="CF617" i="40"/>
  <c r="CN86" i="40"/>
  <c r="CN617" i="40"/>
  <c r="CV86" i="40"/>
  <c r="CV617" i="40"/>
  <c r="DD86" i="40"/>
  <c r="DD617" i="40"/>
  <c r="DL86" i="40"/>
  <c r="DL617" i="40"/>
  <c r="AJ86" i="40"/>
  <c r="AJ617" i="40"/>
  <c r="BE86" i="40"/>
  <c r="BE617" i="40"/>
  <c r="CS86" i="40"/>
  <c r="CS617" i="40"/>
  <c r="AG86" i="40"/>
  <c r="AG617" i="40"/>
  <c r="AD86" i="40"/>
  <c r="AD617" i="40"/>
  <c r="AS86" i="40"/>
  <c r="AS617" i="40"/>
  <c r="BA86" i="40"/>
  <c r="BA617" i="40"/>
  <c r="BI86" i="40"/>
  <c r="BI617" i="40"/>
  <c r="BQ86" i="40"/>
  <c r="BQ617" i="40"/>
  <c r="BY86" i="40"/>
  <c r="BY617" i="40"/>
  <c r="CG86" i="40"/>
  <c r="CG617" i="40"/>
  <c r="CO86" i="40"/>
  <c r="CO617" i="40"/>
  <c r="CW86" i="40"/>
  <c r="CW617" i="40"/>
  <c r="DE86" i="40"/>
  <c r="DE617" i="40"/>
  <c r="DM86" i="40"/>
  <c r="DM617" i="40"/>
  <c r="AK86" i="40"/>
  <c r="AK617" i="40"/>
  <c r="BU86" i="40"/>
  <c r="BU617" i="40"/>
  <c r="AE86" i="40"/>
  <c r="AE617" i="40"/>
  <c r="BB86" i="40"/>
  <c r="BB617" i="40"/>
  <c r="BR86" i="40"/>
  <c r="BR617" i="40"/>
  <c r="CP86" i="40"/>
  <c r="CP617" i="40"/>
  <c r="DN86" i="40"/>
  <c r="DN617" i="40"/>
  <c r="CK86" i="40"/>
  <c r="CK617" i="40"/>
  <c r="AH86" i="40"/>
  <c r="AH617" i="40"/>
  <c r="AT86" i="40"/>
  <c r="AT617" i="40"/>
  <c r="BJ86" i="40"/>
  <c r="BJ617" i="40"/>
  <c r="BZ86" i="40"/>
  <c r="BZ617" i="40"/>
  <c r="CH86" i="40"/>
  <c r="CH617" i="40"/>
  <c r="CX86" i="40"/>
  <c r="CX617" i="40"/>
  <c r="DF86" i="40"/>
  <c r="DF617" i="40"/>
  <c r="AI86" i="40"/>
  <c r="AI617" i="40"/>
  <c r="AM86" i="40"/>
  <c r="AM617" i="40"/>
  <c r="AU86" i="40"/>
  <c r="AU617" i="40"/>
  <c r="BC86" i="40"/>
  <c r="BC617" i="40"/>
  <c r="BK86" i="40"/>
  <c r="BK617" i="40"/>
  <c r="BS86" i="40"/>
  <c r="BS617" i="40"/>
  <c r="CA86" i="40"/>
  <c r="CA617" i="40"/>
  <c r="CI86" i="40"/>
  <c r="CI617" i="40"/>
  <c r="CQ86" i="40"/>
  <c r="CQ617" i="40"/>
  <c r="CY86" i="40"/>
  <c r="CY617" i="40"/>
  <c r="DG86" i="40"/>
  <c r="DG617" i="40"/>
  <c r="DO86" i="40"/>
  <c r="DO617" i="40"/>
  <c r="AN86" i="40"/>
  <c r="AN617" i="40"/>
  <c r="AV86" i="40"/>
  <c r="AV617" i="40"/>
  <c r="BD86" i="40"/>
  <c r="BD617" i="40"/>
  <c r="BL86" i="40"/>
  <c r="BL617" i="40"/>
  <c r="BT86" i="40"/>
  <c r="BT617" i="40"/>
  <c r="CB86" i="40"/>
  <c r="CB617" i="40"/>
  <c r="CJ86" i="40"/>
  <c r="CJ617" i="40"/>
  <c r="CR86" i="40"/>
  <c r="CR617" i="40"/>
  <c r="CZ86" i="40"/>
  <c r="CZ617" i="40"/>
  <c r="DH86" i="40"/>
  <c r="DH617" i="40"/>
  <c r="DP86" i="40"/>
  <c r="DP617" i="40"/>
  <c r="AR85" i="40"/>
  <c r="AR86" i="40"/>
  <c r="BM615" i="40"/>
  <c r="BM85" i="40"/>
  <c r="DI615" i="40"/>
  <c r="DI85" i="40"/>
  <c r="AX615" i="40"/>
  <c r="AX85" i="40"/>
  <c r="CD615" i="40"/>
  <c r="CD85" i="40"/>
  <c r="DJ615" i="40"/>
  <c r="DJ85" i="40"/>
  <c r="AL615" i="40"/>
  <c r="AL85" i="40"/>
  <c r="AB615" i="40"/>
  <c r="AB85" i="40"/>
  <c r="AQ615" i="40"/>
  <c r="AQ85" i="40"/>
  <c r="AY615" i="40"/>
  <c r="AY85" i="40"/>
  <c r="BG615" i="40"/>
  <c r="BG85" i="40"/>
  <c r="BO615" i="40"/>
  <c r="BO85" i="40"/>
  <c r="BW615" i="40"/>
  <c r="BW85" i="40"/>
  <c r="CE615" i="40"/>
  <c r="CE85" i="40"/>
  <c r="CM615" i="40"/>
  <c r="CM85" i="40"/>
  <c r="CU615" i="40"/>
  <c r="CU85" i="40"/>
  <c r="DC615" i="40"/>
  <c r="DC85" i="40"/>
  <c r="DK615" i="40"/>
  <c r="DK85" i="40"/>
  <c r="AO615" i="40"/>
  <c r="AO85" i="40"/>
  <c r="CC615" i="40"/>
  <c r="CC85" i="40"/>
  <c r="AC615" i="40"/>
  <c r="AC85" i="40"/>
  <c r="BP615" i="40"/>
  <c r="BP85" i="40"/>
  <c r="DL615" i="40"/>
  <c r="DL85" i="40"/>
  <c r="CK615" i="40"/>
  <c r="CK85" i="40"/>
  <c r="CL615" i="40"/>
  <c r="CL85" i="40"/>
  <c r="AF615" i="40"/>
  <c r="AF85" i="40"/>
  <c r="BH615" i="40"/>
  <c r="BH85" i="40"/>
  <c r="CV615" i="40"/>
  <c r="CV85" i="40"/>
  <c r="AD615" i="40"/>
  <c r="AD85" i="40"/>
  <c r="AS615" i="40"/>
  <c r="AS85" i="40"/>
  <c r="BA615" i="40"/>
  <c r="BA85" i="40"/>
  <c r="BI615" i="40"/>
  <c r="BI85" i="40"/>
  <c r="BQ615" i="40"/>
  <c r="BQ85" i="40"/>
  <c r="BY615" i="40"/>
  <c r="BY85" i="40"/>
  <c r="CG615" i="40"/>
  <c r="CG85" i="40"/>
  <c r="CO615" i="40"/>
  <c r="CO85" i="40"/>
  <c r="CW615" i="40"/>
  <c r="CW85" i="40"/>
  <c r="DE615" i="40"/>
  <c r="DE85" i="40"/>
  <c r="DM615" i="40"/>
  <c r="DM85" i="40"/>
  <c r="AW615" i="40"/>
  <c r="AW85" i="40"/>
  <c r="BX615" i="40"/>
  <c r="BX85" i="40"/>
  <c r="CN615" i="40"/>
  <c r="CN85" i="40"/>
  <c r="DD615" i="40"/>
  <c r="DD85" i="40"/>
  <c r="AH615" i="40"/>
  <c r="AH85" i="40"/>
  <c r="AE615" i="40"/>
  <c r="AE85" i="40"/>
  <c r="AT615" i="40"/>
  <c r="BB615" i="40"/>
  <c r="BB85" i="40"/>
  <c r="BJ615" i="40"/>
  <c r="BJ85" i="40"/>
  <c r="BR615" i="40"/>
  <c r="BR85" i="40"/>
  <c r="BZ615" i="40"/>
  <c r="BZ85" i="40"/>
  <c r="CH615" i="40"/>
  <c r="CH85" i="40"/>
  <c r="CP615" i="40"/>
  <c r="CP85" i="40"/>
  <c r="CX615" i="40"/>
  <c r="CX85" i="40"/>
  <c r="DF615" i="40"/>
  <c r="DF85" i="40"/>
  <c r="DN615" i="40"/>
  <c r="DN85" i="40"/>
  <c r="AK615" i="40"/>
  <c r="AK85" i="40"/>
  <c r="BU615" i="40"/>
  <c r="BU85" i="40"/>
  <c r="DA615" i="40"/>
  <c r="DA85" i="40"/>
  <c r="AA615" i="40"/>
  <c r="AA85" i="40"/>
  <c r="BF615" i="40"/>
  <c r="BF85" i="40"/>
  <c r="BV615" i="40"/>
  <c r="BV85" i="40"/>
  <c r="DB615" i="40"/>
  <c r="DB85" i="40"/>
  <c r="AZ615" i="40"/>
  <c r="AZ85" i="40"/>
  <c r="CF615" i="40"/>
  <c r="CF85" i="40"/>
  <c r="AG615" i="40"/>
  <c r="AG85" i="40"/>
  <c r="AI615" i="40"/>
  <c r="AI85" i="40"/>
  <c r="AM615" i="40"/>
  <c r="AM85" i="40"/>
  <c r="AU615" i="40"/>
  <c r="AU85" i="40"/>
  <c r="BC615" i="40"/>
  <c r="BC85" i="40"/>
  <c r="BK615" i="40"/>
  <c r="BK85" i="40"/>
  <c r="BS615" i="40"/>
  <c r="BS85" i="40"/>
  <c r="CA615" i="40"/>
  <c r="CA85" i="40"/>
  <c r="CI615" i="40"/>
  <c r="CI85" i="40"/>
  <c r="CQ615" i="40"/>
  <c r="CQ85" i="40"/>
  <c r="CY615" i="40"/>
  <c r="CY85" i="40"/>
  <c r="DG615" i="40"/>
  <c r="DG85" i="40"/>
  <c r="DO615" i="40"/>
  <c r="DO85" i="40"/>
  <c r="BE615" i="40"/>
  <c r="BE85" i="40"/>
  <c r="CS615" i="40"/>
  <c r="CS85" i="40"/>
  <c r="AP615" i="40"/>
  <c r="AP85" i="40"/>
  <c r="BN615" i="40"/>
  <c r="BN85" i="40"/>
  <c r="CT615" i="40"/>
  <c r="CT85" i="40"/>
  <c r="AJ615" i="40"/>
  <c r="AJ85" i="40"/>
  <c r="AN615" i="40"/>
  <c r="AN85" i="40"/>
  <c r="AV615" i="40"/>
  <c r="AV85" i="40"/>
  <c r="BD615" i="40"/>
  <c r="BD85" i="40"/>
  <c r="BL615" i="40"/>
  <c r="BL85" i="40"/>
  <c r="BT615" i="40"/>
  <c r="BT85" i="40"/>
  <c r="CB615" i="40"/>
  <c r="CB85" i="40"/>
  <c r="CJ615" i="40"/>
  <c r="CJ85" i="40"/>
  <c r="CR615" i="40"/>
  <c r="CR85" i="40"/>
  <c r="CZ615" i="40"/>
  <c r="CZ85" i="40"/>
  <c r="DH615" i="40"/>
  <c r="DH85" i="40"/>
  <c r="DP615" i="40"/>
  <c r="DP85" i="40"/>
  <c r="AR613" i="40"/>
  <c r="AR615" i="40"/>
  <c r="AW614" i="40"/>
  <c r="AW613" i="40"/>
  <c r="DA614" i="40"/>
  <c r="DA613" i="40"/>
  <c r="AA614" i="40"/>
  <c r="AA613" i="40"/>
  <c r="AP614" i="40"/>
  <c r="AP613" i="40"/>
  <c r="AX614" i="40"/>
  <c r="AX613" i="40"/>
  <c r="BF614" i="40"/>
  <c r="BF613" i="40"/>
  <c r="BN614" i="40"/>
  <c r="BN613" i="40"/>
  <c r="BV614" i="40"/>
  <c r="BV613" i="40"/>
  <c r="CD614" i="40"/>
  <c r="CD613" i="40"/>
  <c r="CL614" i="40"/>
  <c r="CL613" i="40"/>
  <c r="CT614" i="40"/>
  <c r="CT613" i="40"/>
  <c r="DB614" i="40"/>
  <c r="DB613" i="40"/>
  <c r="DJ614" i="40"/>
  <c r="DJ613" i="40"/>
  <c r="AV614" i="40"/>
  <c r="AV613" i="40"/>
  <c r="BE614" i="40"/>
  <c r="BE613" i="40"/>
  <c r="CK614" i="40"/>
  <c r="CK613" i="40"/>
  <c r="DI614" i="40"/>
  <c r="DI613" i="40"/>
  <c r="AL614" i="40"/>
  <c r="AL613" i="40"/>
  <c r="AB614" i="40"/>
  <c r="AB613" i="40"/>
  <c r="AQ614" i="40"/>
  <c r="AQ613" i="40"/>
  <c r="AY614" i="40"/>
  <c r="AY613" i="40"/>
  <c r="BG614" i="40"/>
  <c r="BG613" i="40"/>
  <c r="BO614" i="40"/>
  <c r="BO613" i="40"/>
  <c r="BW614" i="40"/>
  <c r="BW613" i="40"/>
  <c r="CE614" i="40"/>
  <c r="CE613" i="40"/>
  <c r="CM614" i="40"/>
  <c r="CM613" i="40"/>
  <c r="CU614" i="40"/>
  <c r="CU613" i="40"/>
  <c r="DC614" i="40"/>
  <c r="DC613" i="40"/>
  <c r="DK614" i="40"/>
  <c r="DK613" i="40"/>
  <c r="AN614" i="40"/>
  <c r="AN613" i="40"/>
  <c r="BM614" i="40"/>
  <c r="BM613" i="40"/>
  <c r="CS614" i="40"/>
  <c r="CS613" i="40"/>
  <c r="AF614" i="40"/>
  <c r="AF613" i="40"/>
  <c r="AC614" i="40"/>
  <c r="AC613" i="40"/>
  <c r="AZ614" i="40"/>
  <c r="AZ613" i="40"/>
  <c r="BH614" i="40"/>
  <c r="BH613" i="40"/>
  <c r="BP614" i="40"/>
  <c r="BP613" i="40"/>
  <c r="BX614" i="40"/>
  <c r="BX613" i="40"/>
  <c r="CF614" i="40"/>
  <c r="CF613" i="40"/>
  <c r="CN614" i="40"/>
  <c r="CN613" i="40"/>
  <c r="CV614" i="40"/>
  <c r="CV613" i="40"/>
  <c r="DD614" i="40"/>
  <c r="DD613" i="40"/>
  <c r="DL614" i="40"/>
  <c r="DL613" i="40"/>
  <c r="AD614" i="40"/>
  <c r="AD613" i="40"/>
  <c r="BY614" i="40"/>
  <c r="BY613" i="40"/>
  <c r="DM614" i="40"/>
  <c r="DM613" i="40"/>
  <c r="AO614" i="40"/>
  <c r="AO613" i="40"/>
  <c r="CC614" i="40"/>
  <c r="CC613" i="40"/>
  <c r="AS614" i="40"/>
  <c r="AS613" i="40"/>
  <c r="BI614" i="40"/>
  <c r="BI613" i="40"/>
  <c r="CG614" i="40"/>
  <c r="CG613" i="40"/>
  <c r="DE614" i="40"/>
  <c r="DE613" i="40"/>
  <c r="AH614" i="40"/>
  <c r="AH613" i="40"/>
  <c r="AE614" i="40"/>
  <c r="AE613" i="40"/>
  <c r="AT614" i="40"/>
  <c r="AT613" i="40"/>
  <c r="BB614" i="40"/>
  <c r="BB613" i="40"/>
  <c r="BJ614" i="40"/>
  <c r="BJ613" i="40"/>
  <c r="BR614" i="40"/>
  <c r="BR613" i="40"/>
  <c r="BZ614" i="40"/>
  <c r="BZ613" i="40"/>
  <c r="CH614" i="40"/>
  <c r="CH613" i="40"/>
  <c r="CP614" i="40"/>
  <c r="CP613" i="40"/>
  <c r="CX614" i="40"/>
  <c r="CX613" i="40"/>
  <c r="DF614" i="40"/>
  <c r="DF613" i="40"/>
  <c r="DN614" i="40"/>
  <c r="DN613" i="40"/>
  <c r="AK614" i="40"/>
  <c r="AK613" i="40"/>
  <c r="BU614" i="40"/>
  <c r="BU613" i="40"/>
  <c r="AG614" i="40"/>
  <c r="AG613" i="40"/>
  <c r="BA614" i="40"/>
  <c r="BA613" i="40"/>
  <c r="BQ614" i="40"/>
  <c r="BQ613" i="40"/>
  <c r="CO614" i="40"/>
  <c r="CO613" i="40"/>
  <c r="CW614" i="40"/>
  <c r="CW613" i="40"/>
  <c r="AI614" i="40"/>
  <c r="AI613" i="40"/>
  <c r="AM614" i="40"/>
  <c r="AM613" i="40"/>
  <c r="AU614" i="40"/>
  <c r="AU613" i="40"/>
  <c r="BC614" i="40"/>
  <c r="BC613" i="40"/>
  <c r="BK614" i="40"/>
  <c r="BK613" i="40"/>
  <c r="BS614" i="40"/>
  <c r="BS613" i="40"/>
  <c r="CA614" i="40"/>
  <c r="CA613" i="40"/>
  <c r="CI614" i="40"/>
  <c r="CI613" i="40"/>
  <c r="CQ614" i="40"/>
  <c r="CQ613" i="40"/>
  <c r="CY614" i="40"/>
  <c r="CY613" i="40"/>
  <c r="DG614" i="40"/>
  <c r="DG613" i="40"/>
  <c r="DO614" i="40"/>
  <c r="DO613" i="40"/>
  <c r="AJ614" i="40"/>
  <c r="AJ613" i="40"/>
  <c r="BD614" i="40"/>
  <c r="BD613" i="40"/>
  <c r="BL614" i="40"/>
  <c r="BL613" i="40"/>
  <c r="BT614" i="40"/>
  <c r="BT613" i="40"/>
  <c r="CB614" i="40"/>
  <c r="CB613" i="40"/>
  <c r="CJ614" i="40"/>
  <c r="CJ613" i="40"/>
  <c r="CR614" i="40"/>
  <c r="CR613" i="40"/>
  <c r="CZ614" i="40"/>
  <c r="CZ613" i="40"/>
  <c r="DH614" i="40"/>
  <c r="DH613" i="40"/>
  <c r="DP614" i="40"/>
  <c r="DP613" i="40"/>
  <c r="AR612" i="40"/>
  <c r="AR614" i="40"/>
  <c r="AK607" i="40"/>
  <c r="AK612" i="40"/>
  <c r="AX607" i="40"/>
  <c r="AX612" i="40"/>
  <c r="AL607" i="40"/>
  <c r="AL612" i="40"/>
  <c r="AB607" i="40"/>
  <c r="AB612" i="40"/>
  <c r="AQ607" i="40"/>
  <c r="AQ612" i="40"/>
  <c r="AY607" i="40"/>
  <c r="AY612" i="40"/>
  <c r="BG607" i="40"/>
  <c r="BG612" i="40"/>
  <c r="BO607" i="40"/>
  <c r="BO612" i="40"/>
  <c r="BW607" i="40"/>
  <c r="BW612" i="40"/>
  <c r="CE607" i="40"/>
  <c r="CE612" i="40"/>
  <c r="CM607" i="40"/>
  <c r="CM612" i="40"/>
  <c r="CU607" i="40"/>
  <c r="CU612" i="40"/>
  <c r="DC607" i="40"/>
  <c r="DC612" i="40"/>
  <c r="DK607" i="40"/>
  <c r="DK612" i="40"/>
  <c r="AO607" i="40"/>
  <c r="AO612" i="40"/>
  <c r="BU607" i="40"/>
  <c r="BU612" i="40"/>
  <c r="CK607" i="40"/>
  <c r="CK612" i="40"/>
  <c r="BF607" i="40"/>
  <c r="BF612" i="40"/>
  <c r="CT607" i="40"/>
  <c r="CT612" i="40"/>
  <c r="AC607" i="40"/>
  <c r="AC612" i="40"/>
  <c r="AZ607" i="40"/>
  <c r="AZ612" i="40"/>
  <c r="BH607" i="40"/>
  <c r="BH612" i="40"/>
  <c r="BP607" i="40"/>
  <c r="BP612" i="40"/>
  <c r="BX607" i="40"/>
  <c r="BX612" i="40"/>
  <c r="CF607" i="40"/>
  <c r="CF612" i="40"/>
  <c r="CN607" i="40"/>
  <c r="CN612" i="40"/>
  <c r="CV607" i="40"/>
  <c r="CV612" i="40"/>
  <c r="DD607" i="40"/>
  <c r="DD612" i="40"/>
  <c r="DL607" i="40"/>
  <c r="DL612" i="40"/>
  <c r="BM607" i="40"/>
  <c r="BM612" i="40"/>
  <c r="DA607" i="40"/>
  <c r="DA612" i="40"/>
  <c r="AA607" i="40"/>
  <c r="AA612" i="40"/>
  <c r="CD607" i="40"/>
  <c r="CD612" i="40"/>
  <c r="CL607" i="40"/>
  <c r="CL612" i="40"/>
  <c r="AF607" i="40"/>
  <c r="AF612" i="40"/>
  <c r="AG607" i="40"/>
  <c r="AG612" i="40"/>
  <c r="AD607" i="40"/>
  <c r="AD612" i="40"/>
  <c r="AS607" i="40"/>
  <c r="AS612" i="40"/>
  <c r="BA607" i="40"/>
  <c r="BA612" i="40"/>
  <c r="BI607" i="40"/>
  <c r="BI612" i="40"/>
  <c r="BQ607" i="40"/>
  <c r="BQ612" i="40"/>
  <c r="BY607" i="40"/>
  <c r="BY612" i="40"/>
  <c r="CG607" i="40"/>
  <c r="CG612" i="40"/>
  <c r="CO607" i="40"/>
  <c r="CO612" i="40"/>
  <c r="CW607" i="40"/>
  <c r="CW612" i="40"/>
  <c r="DE607" i="40"/>
  <c r="DE612" i="40"/>
  <c r="DM607" i="40"/>
  <c r="DM612" i="40"/>
  <c r="AP607" i="40"/>
  <c r="AP612" i="40"/>
  <c r="AH607" i="40"/>
  <c r="AH612" i="40"/>
  <c r="AE607" i="40"/>
  <c r="AE612" i="40"/>
  <c r="AT607" i="40"/>
  <c r="AT612" i="40"/>
  <c r="BB607" i="40"/>
  <c r="BB612" i="40"/>
  <c r="BJ607" i="40"/>
  <c r="BJ612" i="40"/>
  <c r="BR607" i="40"/>
  <c r="BR612" i="40"/>
  <c r="BZ607" i="40"/>
  <c r="BZ612" i="40"/>
  <c r="CH607" i="40"/>
  <c r="CH612" i="40"/>
  <c r="CP607" i="40"/>
  <c r="CP612" i="40"/>
  <c r="CX607" i="40"/>
  <c r="CX612" i="40"/>
  <c r="DF607" i="40"/>
  <c r="DF612" i="40"/>
  <c r="DN607" i="40"/>
  <c r="DN612" i="40"/>
  <c r="BE607" i="40"/>
  <c r="BE612" i="40"/>
  <c r="CS607" i="40"/>
  <c r="CS612" i="40"/>
  <c r="BV607" i="40"/>
  <c r="BV612" i="40"/>
  <c r="DJ607" i="40"/>
  <c r="DJ612" i="40"/>
  <c r="AI607" i="40"/>
  <c r="AI612" i="40"/>
  <c r="AM607" i="40"/>
  <c r="AM612" i="40"/>
  <c r="AU607" i="40"/>
  <c r="AU612" i="40"/>
  <c r="BC607" i="40"/>
  <c r="BC612" i="40"/>
  <c r="BK607" i="40"/>
  <c r="BK612" i="40"/>
  <c r="BS607" i="40"/>
  <c r="BS612" i="40"/>
  <c r="CA607" i="40"/>
  <c r="CA612" i="40"/>
  <c r="CI607" i="40"/>
  <c r="CI612" i="40"/>
  <c r="CQ607" i="40"/>
  <c r="CQ612" i="40"/>
  <c r="CY607" i="40"/>
  <c r="CY612" i="40"/>
  <c r="DG607" i="40"/>
  <c r="DG612" i="40"/>
  <c r="DO607" i="40"/>
  <c r="DO612" i="40"/>
  <c r="AW607" i="40"/>
  <c r="AW612" i="40"/>
  <c r="CC607" i="40"/>
  <c r="CC612" i="40"/>
  <c r="DI607" i="40"/>
  <c r="DI612" i="40"/>
  <c r="BN607" i="40"/>
  <c r="BN612" i="40"/>
  <c r="DB607" i="40"/>
  <c r="DB612" i="40"/>
  <c r="AJ607" i="40"/>
  <c r="AJ612" i="40"/>
  <c r="AN607" i="40"/>
  <c r="AN612" i="40"/>
  <c r="AV607" i="40"/>
  <c r="AV612" i="40"/>
  <c r="BD607" i="40"/>
  <c r="BD612" i="40"/>
  <c r="BL607" i="40"/>
  <c r="BL612" i="40"/>
  <c r="BT607" i="40"/>
  <c r="BT612" i="40"/>
  <c r="CB607" i="40"/>
  <c r="CB612" i="40"/>
  <c r="CJ607" i="40"/>
  <c r="CJ612" i="40"/>
  <c r="CR607" i="40"/>
  <c r="CR612" i="40"/>
  <c r="CZ607" i="40"/>
  <c r="CZ612" i="40"/>
  <c r="DH607" i="40"/>
  <c r="DH612" i="40"/>
  <c r="DP607" i="40"/>
  <c r="DP612" i="40"/>
  <c r="AR606" i="40"/>
  <c r="AR607" i="40"/>
  <c r="AK605" i="40"/>
  <c r="AK606" i="40"/>
  <c r="BE605" i="40"/>
  <c r="BE606" i="40"/>
  <c r="DI605" i="40"/>
  <c r="DI606" i="40"/>
  <c r="BN605" i="40"/>
  <c r="BN606" i="40"/>
  <c r="DB605" i="40"/>
  <c r="DB606" i="40"/>
  <c r="AL605" i="40"/>
  <c r="AL606" i="40"/>
  <c r="AB605" i="40"/>
  <c r="AB606" i="40"/>
  <c r="AQ605" i="40"/>
  <c r="AQ606" i="40"/>
  <c r="AY605" i="40"/>
  <c r="AY606" i="40"/>
  <c r="BG605" i="40"/>
  <c r="BG606" i="40"/>
  <c r="BO605" i="40"/>
  <c r="BO606" i="40"/>
  <c r="BW605" i="40"/>
  <c r="BW606" i="40"/>
  <c r="CE605" i="40"/>
  <c r="CE606" i="40"/>
  <c r="CM605" i="40"/>
  <c r="CM606" i="40"/>
  <c r="CU605" i="40"/>
  <c r="CU606" i="40"/>
  <c r="DC605" i="40"/>
  <c r="DC606" i="40"/>
  <c r="DK605" i="40"/>
  <c r="DK606" i="40"/>
  <c r="CS605" i="40"/>
  <c r="CS606" i="40"/>
  <c r="AP605" i="40"/>
  <c r="AP606" i="40"/>
  <c r="CD605" i="40"/>
  <c r="CD606" i="40"/>
  <c r="DJ605" i="40"/>
  <c r="DJ606" i="40"/>
  <c r="AC605" i="40"/>
  <c r="AC606" i="40"/>
  <c r="AZ605" i="40"/>
  <c r="AZ606" i="40"/>
  <c r="BH605" i="40"/>
  <c r="BH606" i="40"/>
  <c r="BP605" i="40"/>
  <c r="BP606" i="40"/>
  <c r="BX605" i="40"/>
  <c r="BX606" i="40"/>
  <c r="CF605" i="40"/>
  <c r="CF606" i="40"/>
  <c r="CN605" i="40"/>
  <c r="CN606" i="40"/>
  <c r="CV605" i="40"/>
  <c r="CV606" i="40"/>
  <c r="DD605" i="40"/>
  <c r="DD606" i="40"/>
  <c r="DL605" i="40"/>
  <c r="DL606" i="40"/>
  <c r="CC605" i="40"/>
  <c r="CC606" i="40"/>
  <c r="AX605" i="40"/>
  <c r="AX606" i="40"/>
  <c r="CL605" i="40"/>
  <c r="CL606" i="40"/>
  <c r="AF605" i="40"/>
  <c r="AF606" i="40"/>
  <c r="AG605" i="40"/>
  <c r="AG606" i="40"/>
  <c r="AD605" i="40"/>
  <c r="AD606" i="40"/>
  <c r="AS605" i="40"/>
  <c r="AS606" i="40"/>
  <c r="BA605" i="40"/>
  <c r="BA606" i="40"/>
  <c r="BI605" i="40"/>
  <c r="BI606" i="40"/>
  <c r="BQ605" i="40"/>
  <c r="BQ606" i="40"/>
  <c r="BY605" i="40"/>
  <c r="BY606" i="40"/>
  <c r="CG605" i="40"/>
  <c r="CG606" i="40"/>
  <c r="CO605" i="40"/>
  <c r="CO606" i="40"/>
  <c r="CW605" i="40"/>
  <c r="CW606" i="40"/>
  <c r="DE605" i="40"/>
  <c r="DE606" i="40"/>
  <c r="DM605" i="40"/>
  <c r="DM606" i="40"/>
  <c r="AW605" i="40"/>
  <c r="AW606" i="40"/>
  <c r="CK605" i="40"/>
  <c r="CK606" i="40"/>
  <c r="AT605" i="40"/>
  <c r="AT606" i="40"/>
  <c r="BJ605" i="40"/>
  <c r="BJ606" i="40"/>
  <c r="BZ605" i="40"/>
  <c r="BZ606" i="40"/>
  <c r="CP605" i="40"/>
  <c r="CP606" i="40"/>
  <c r="DN605" i="40"/>
  <c r="DN606" i="40"/>
  <c r="BM605" i="40"/>
  <c r="BM606" i="40"/>
  <c r="DA605" i="40"/>
  <c r="DA606" i="40"/>
  <c r="BV605" i="40"/>
  <c r="BV606" i="40"/>
  <c r="AH605" i="40"/>
  <c r="AH606" i="40"/>
  <c r="AE605" i="40"/>
  <c r="AE606" i="40"/>
  <c r="BB605" i="40"/>
  <c r="BB606" i="40"/>
  <c r="BR605" i="40"/>
  <c r="BR606" i="40"/>
  <c r="CH605" i="40"/>
  <c r="CH606" i="40"/>
  <c r="CX605" i="40"/>
  <c r="CX606" i="40"/>
  <c r="DF605" i="40"/>
  <c r="DF606" i="40"/>
  <c r="AI605" i="40"/>
  <c r="AI606" i="40"/>
  <c r="AM605" i="40"/>
  <c r="AM606" i="40"/>
  <c r="AU605" i="40"/>
  <c r="AU606" i="40"/>
  <c r="BC605" i="40"/>
  <c r="BC606" i="40"/>
  <c r="BK605" i="40"/>
  <c r="BK606" i="40"/>
  <c r="BS605" i="40"/>
  <c r="BS606" i="40"/>
  <c r="CA605" i="40"/>
  <c r="CA606" i="40"/>
  <c r="CI605" i="40"/>
  <c r="CI606" i="40"/>
  <c r="CQ605" i="40"/>
  <c r="CQ606" i="40"/>
  <c r="CY605" i="40"/>
  <c r="CY606" i="40"/>
  <c r="DG605" i="40"/>
  <c r="DG606" i="40"/>
  <c r="DO605" i="40"/>
  <c r="DO606" i="40"/>
  <c r="AO605" i="40"/>
  <c r="AO606" i="40"/>
  <c r="BU605" i="40"/>
  <c r="BU606" i="40"/>
  <c r="AA605" i="40"/>
  <c r="AA606" i="40"/>
  <c r="BF605" i="40"/>
  <c r="BF606" i="40"/>
  <c r="CT605" i="40"/>
  <c r="CT606" i="40"/>
  <c r="AJ605" i="40"/>
  <c r="AJ606" i="40"/>
  <c r="AN605" i="40"/>
  <c r="AN606" i="40"/>
  <c r="AV605" i="40"/>
  <c r="AV606" i="40"/>
  <c r="BD605" i="40"/>
  <c r="BD606" i="40"/>
  <c r="BL605" i="40"/>
  <c r="BL606" i="40"/>
  <c r="BT605" i="40"/>
  <c r="BT606" i="40"/>
  <c r="CB605" i="40"/>
  <c r="CB606" i="40"/>
  <c r="CJ605" i="40"/>
  <c r="CJ606" i="40"/>
  <c r="CR605" i="40"/>
  <c r="CR606" i="40"/>
  <c r="CZ605" i="40"/>
  <c r="CZ606" i="40"/>
  <c r="DH605" i="40"/>
  <c r="DH606" i="40"/>
  <c r="DP605" i="40"/>
  <c r="DP606" i="40"/>
  <c r="AR81" i="40"/>
  <c r="AR605" i="40"/>
  <c r="AW80" i="40"/>
  <c r="AW81" i="40"/>
  <c r="BE80" i="40"/>
  <c r="BE81" i="40"/>
  <c r="BM80" i="40"/>
  <c r="BM81" i="40"/>
  <c r="BU80" i="40"/>
  <c r="BU81" i="40"/>
  <c r="CC80" i="40"/>
  <c r="CC81" i="40"/>
  <c r="CK80" i="40"/>
  <c r="CK81" i="40"/>
  <c r="CS80" i="40"/>
  <c r="CS81" i="40"/>
  <c r="DA80" i="40"/>
  <c r="DA81" i="40"/>
  <c r="DI80" i="40"/>
  <c r="DI81" i="40"/>
  <c r="AL80" i="40"/>
  <c r="AL81" i="40"/>
  <c r="BO80" i="40"/>
  <c r="BO81" i="40"/>
  <c r="DC80" i="40"/>
  <c r="DC81" i="40"/>
  <c r="BP80" i="40"/>
  <c r="BP81" i="40"/>
  <c r="CF80" i="40"/>
  <c r="CF81" i="40"/>
  <c r="AK80" i="40"/>
  <c r="AK81" i="40"/>
  <c r="AO80" i="40"/>
  <c r="AO81" i="40"/>
  <c r="AA80" i="40"/>
  <c r="AA81" i="40"/>
  <c r="AP80" i="40"/>
  <c r="AP81" i="40"/>
  <c r="AX80" i="40"/>
  <c r="AX81" i="40"/>
  <c r="BF80" i="40"/>
  <c r="BF81" i="40"/>
  <c r="BN80" i="40"/>
  <c r="BN81" i="40"/>
  <c r="BV80" i="40"/>
  <c r="BV81" i="40"/>
  <c r="CD80" i="40"/>
  <c r="CD81" i="40"/>
  <c r="CL80" i="40"/>
  <c r="CL81" i="40"/>
  <c r="CT80" i="40"/>
  <c r="CT81" i="40"/>
  <c r="DB80" i="40"/>
  <c r="DB81" i="40"/>
  <c r="DJ80" i="40"/>
  <c r="DJ81" i="40"/>
  <c r="BG80" i="40"/>
  <c r="BG81" i="40"/>
  <c r="CN80" i="40"/>
  <c r="CN81" i="40"/>
  <c r="AB80" i="40"/>
  <c r="AB81" i="40"/>
  <c r="CM80" i="40"/>
  <c r="CM81" i="40"/>
  <c r="AF80" i="40"/>
  <c r="AF81" i="40"/>
  <c r="AZ80" i="40"/>
  <c r="AZ81" i="40"/>
  <c r="BX80" i="40"/>
  <c r="BX81" i="40"/>
  <c r="DD80" i="40"/>
  <c r="DD81" i="40"/>
  <c r="AG80" i="40"/>
  <c r="AG81" i="40"/>
  <c r="AD80" i="40"/>
  <c r="AD81" i="40"/>
  <c r="AS80" i="40"/>
  <c r="AS81" i="40"/>
  <c r="BA80" i="40"/>
  <c r="BA81" i="40"/>
  <c r="BI80" i="40"/>
  <c r="BI81" i="40"/>
  <c r="BQ80" i="40"/>
  <c r="BQ81" i="40"/>
  <c r="BY80" i="40"/>
  <c r="BY81" i="40"/>
  <c r="CG80" i="40"/>
  <c r="CG81" i="40"/>
  <c r="CO80" i="40"/>
  <c r="CO81" i="40"/>
  <c r="CW80" i="40"/>
  <c r="CW81" i="40"/>
  <c r="DE80" i="40"/>
  <c r="DE81" i="40"/>
  <c r="DM80" i="40"/>
  <c r="DM81" i="40"/>
  <c r="AQ80" i="40"/>
  <c r="AQ81" i="40"/>
  <c r="BW80" i="40"/>
  <c r="BW81" i="40"/>
  <c r="DK80" i="40"/>
  <c r="DK81" i="40"/>
  <c r="BH80" i="40"/>
  <c r="BH81" i="40"/>
  <c r="DL80" i="40"/>
  <c r="DL81" i="40"/>
  <c r="AH80" i="40"/>
  <c r="AH81" i="40"/>
  <c r="AE80" i="40"/>
  <c r="AE81" i="40"/>
  <c r="BB80" i="40"/>
  <c r="BB81" i="40"/>
  <c r="BJ80" i="40"/>
  <c r="BJ81" i="40"/>
  <c r="BR80" i="40"/>
  <c r="BR81" i="40"/>
  <c r="BZ80" i="40"/>
  <c r="BZ81" i="40"/>
  <c r="CH80" i="40"/>
  <c r="CH81" i="40"/>
  <c r="CP80" i="40"/>
  <c r="CP81" i="40"/>
  <c r="CX80" i="40"/>
  <c r="CX81" i="40"/>
  <c r="DF80" i="40"/>
  <c r="DF81" i="40"/>
  <c r="DN80" i="40"/>
  <c r="DN81" i="40"/>
  <c r="AY80" i="40"/>
  <c r="AY81" i="40"/>
  <c r="CU80" i="40"/>
  <c r="CU81" i="40"/>
  <c r="AC80" i="40"/>
  <c r="AC81" i="40"/>
  <c r="CV80" i="40"/>
  <c r="CV81" i="40"/>
  <c r="AI80" i="40"/>
  <c r="AI81" i="40"/>
  <c r="AM80" i="40"/>
  <c r="AM81" i="40"/>
  <c r="AU80" i="40"/>
  <c r="AU81" i="40"/>
  <c r="BC80" i="40"/>
  <c r="BC81" i="40"/>
  <c r="BK80" i="40"/>
  <c r="BK81" i="40"/>
  <c r="BS80" i="40"/>
  <c r="BS81" i="40"/>
  <c r="CA80" i="40"/>
  <c r="CA81" i="40"/>
  <c r="CI80" i="40"/>
  <c r="CI81" i="40"/>
  <c r="CQ80" i="40"/>
  <c r="CQ81" i="40"/>
  <c r="CY80" i="40"/>
  <c r="CY81" i="40"/>
  <c r="DG80" i="40"/>
  <c r="DG81" i="40"/>
  <c r="DO80" i="40"/>
  <c r="DO81" i="40"/>
  <c r="CE80" i="40"/>
  <c r="CE81" i="40"/>
  <c r="AJ80" i="40"/>
  <c r="AJ81" i="40"/>
  <c r="AN80" i="40"/>
  <c r="AN81" i="40"/>
  <c r="AV80" i="40"/>
  <c r="AV81" i="40"/>
  <c r="BD80" i="40"/>
  <c r="BD81" i="40"/>
  <c r="BL80" i="40"/>
  <c r="BL81" i="40"/>
  <c r="BT80" i="40"/>
  <c r="BT81" i="40"/>
  <c r="CB80" i="40"/>
  <c r="CB81" i="40"/>
  <c r="CJ80" i="40"/>
  <c r="CJ81" i="40"/>
  <c r="CR80" i="40"/>
  <c r="CR81" i="40"/>
  <c r="CZ80" i="40"/>
  <c r="CZ81" i="40"/>
  <c r="DH80" i="40"/>
  <c r="DH81" i="40"/>
  <c r="DP80" i="40"/>
  <c r="DP81" i="40"/>
  <c r="AR79" i="40"/>
  <c r="AR80" i="40"/>
  <c r="AB77" i="40"/>
  <c r="AB79" i="40"/>
  <c r="CM77" i="40"/>
  <c r="CM79" i="40"/>
  <c r="AK77" i="40"/>
  <c r="AK79" i="40"/>
  <c r="AO77" i="40"/>
  <c r="AO79" i="40"/>
  <c r="AW77" i="40"/>
  <c r="AW79" i="40"/>
  <c r="BE77" i="40"/>
  <c r="BE79" i="40"/>
  <c r="BM77" i="40"/>
  <c r="BM79" i="40"/>
  <c r="BU77" i="40"/>
  <c r="BU79" i="40"/>
  <c r="CC77" i="40"/>
  <c r="CC79" i="40"/>
  <c r="CK77" i="40"/>
  <c r="CK79" i="40"/>
  <c r="CS77" i="40"/>
  <c r="CS79" i="40"/>
  <c r="DA77" i="40"/>
  <c r="DA79" i="40"/>
  <c r="DI77" i="40"/>
  <c r="DI79" i="40"/>
  <c r="AL77" i="40"/>
  <c r="AL79" i="40"/>
  <c r="BO77" i="40"/>
  <c r="BO79" i="40"/>
  <c r="DC77" i="40"/>
  <c r="DC79" i="40"/>
  <c r="AC77" i="40"/>
  <c r="AC79" i="40"/>
  <c r="CF77" i="40"/>
  <c r="CF79" i="40"/>
  <c r="DD77" i="40"/>
  <c r="DD79" i="40"/>
  <c r="AA77" i="40"/>
  <c r="AA79" i="40"/>
  <c r="AP77" i="40"/>
  <c r="AP79" i="40"/>
  <c r="AX77" i="40"/>
  <c r="AX79" i="40"/>
  <c r="BF77" i="40"/>
  <c r="BF79" i="40"/>
  <c r="BN77" i="40"/>
  <c r="BN79" i="40"/>
  <c r="BV77" i="40"/>
  <c r="BV79" i="40"/>
  <c r="CD77" i="40"/>
  <c r="CD79" i="40"/>
  <c r="CL77" i="40"/>
  <c r="CL79" i="40"/>
  <c r="CT77" i="40"/>
  <c r="CT79" i="40"/>
  <c r="DB77" i="40"/>
  <c r="DB79" i="40"/>
  <c r="DJ77" i="40"/>
  <c r="DJ79" i="40"/>
  <c r="BG77" i="40"/>
  <c r="BG79" i="40"/>
  <c r="CE77" i="40"/>
  <c r="CE79" i="40"/>
  <c r="DK77" i="40"/>
  <c r="DK79" i="40"/>
  <c r="BH77" i="40"/>
  <c r="BH79" i="40"/>
  <c r="CN77" i="40"/>
  <c r="CN79" i="40"/>
  <c r="AG77" i="40"/>
  <c r="AG79" i="40"/>
  <c r="AD77" i="40"/>
  <c r="AD79" i="40"/>
  <c r="AS77" i="40"/>
  <c r="AS79" i="40"/>
  <c r="BA77" i="40"/>
  <c r="BA79" i="40"/>
  <c r="BI77" i="40"/>
  <c r="BI79" i="40"/>
  <c r="BQ77" i="40"/>
  <c r="BQ79" i="40"/>
  <c r="BY77" i="40"/>
  <c r="BY79" i="40"/>
  <c r="CG77" i="40"/>
  <c r="CG79" i="40"/>
  <c r="CO77" i="40"/>
  <c r="CO79" i="40"/>
  <c r="CW77" i="40"/>
  <c r="CW79" i="40"/>
  <c r="DE77" i="40"/>
  <c r="DE79" i="40"/>
  <c r="DM77" i="40"/>
  <c r="DM79" i="40"/>
  <c r="AQ77" i="40"/>
  <c r="AQ79" i="40"/>
  <c r="CU77" i="40"/>
  <c r="CU79" i="40"/>
  <c r="BX77" i="40"/>
  <c r="BX79" i="40"/>
  <c r="DL77" i="40"/>
  <c r="DL79" i="40"/>
  <c r="AH77" i="40"/>
  <c r="AH79" i="40"/>
  <c r="AE77" i="40"/>
  <c r="AE79" i="40"/>
  <c r="AT77" i="40"/>
  <c r="AT79" i="40"/>
  <c r="BB77" i="40"/>
  <c r="BB79" i="40"/>
  <c r="BJ77" i="40"/>
  <c r="BJ79" i="40"/>
  <c r="BR77" i="40"/>
  <c r="BR79" i="40"/>
  <c r="BZ77" i="40"/>
  <c r="BZ79" i="40"/>
  <c r="CH77" i="40"/>
  <c r="CH79" i="40"/>
  <c r="CP77" i="40"/>
  <c r="CP79" i="40"/>
  <c r="CX77" i="40"/>
  <c r="CX79" i="40"/>
  <c r="DF77" i="40"/>
  <c r="DF79" i="40"/>
  <c r="DN77" i="40"/>
  <c r="DN79" i="40"/>
  <c r="AY77" i="40"/>
  <c r="AY79" i="40"/>
  <c r="AZ77" i="40"/>
  <c r="AZ79" i="40"/>
  <c r="AI77" i="40"/>
  <c r="AI79" i="40"/>
  <c r="AM77" i="40"/>
  <c r="AM79" i="40"/>
  <c r="AU77" i="40"/>
  <c r="AU79" i="40"/>
  <c r="BC77" i="40"/>
  <c r="BC79" i="40"/>
  <c r="BK77" i="40"/>
  <c r="BK79" i="40"/>
  <c r="BS77" i="40"/>
  <c r="BS79" i="40"/>
  <c r="CA77" i="40"/>
  <c r="CA79" i="40"/>
  <c r="CI77" i="40"/>
  <c r="CI79" i="40"/>
  <c r="CQ77" i="40"/>
  <c r="CQ79" i="40"/>
  <c r="CY77" i="40"/>
  <c r="CY79" i="40"/>
  <c r="DG77" i="40"/>
  <c r="DG79" i="40"/>
  <c r="DO77" i="40"/>
  <c r="DO79" i="40"/>
  <c r="BW77" i="40"/>
  <c r="BW79" i="40"/>
  <c r="AF77" i="40"/>
  <c r="AF79" i="40"/>
  <c r="BP77" i="40"/>
  <c r="BP79" i="40"/>
  <c r="CV77" i="40"/>
  <c r="CV79" i="40"/>
  <c r="AJ77" i="40"/>
  <c r="AJ79" i="40"/>
  <c r="AN77" i="40"/>
  <c r="AN79" i="40"/>
  <c r="AV77" i="40"/>
  <c r="AV79" i="40"/>
  <c r="BD77" i="40"/>
  <c r="BD79" i="40"/>
  <c r="BL77" i="40"/>
  <c r="BL79" i="40"/>
  <c r="BT77" i="40"/>
  <c r="BT79" i="40"/>
  <c r="CB77" i="40"/>
  <c r="CB79" i="40"/>
  <c r="CJ77" i="40"/>
  <c r="CJ79" i="40"/>
  <c r="CR77" i="40"/>
  <c r="CR79" i="40"/>
  <c r="CZ77" i="40"/>
  <c r="CZ79" i="40"/>
  <c r="DH77" i="40"/>
  <c r="DH79" i="40"/>
  <c r="DP77" i="40"/>
  <c r="DP79" i="40"/>
  <c r="AR78" i="40"/>
  <c r="BS76" i="40"/>
  <c r="BS78" i="40"/>
  <c r="AV76" i="40"/>
  <c r="AV78" i="40"/>
  <c r="CB76" i="40"/>
  <c r="CB78" i="40"/>
  <c r="AK76" i="40"/>
  <c r="AK78" i="40"/>
  <c r="BM76" i="40"/>
  <c r="BM78" i="40"/>
  <c r="DI76" i="40"/>
  <c r="DI78" i="40"/>
  <c r="AA76" i="40"/>
  <c r="AA78" i="40"/>
  <c r="AP76" i="40"/>
  <c r="AP78" i="40"/>
  <c r="AX76" i="40"/>
  <c r="AX78" i="40"/>
  <c r="BF76" i="40"/>
  <c r="BF78" i="40"/>
  <c r="BN76" i="40"/>
  <c r="BN78" i="40"/>
  <c r="BV76" i="40"/>
  <c r="BV78" i="40"/>
  <c r="CD76" i="40"/>
  <c r="CD78" i="40"/>
  <c r="CL76" i="40"/>
  <c r="CL78" i="40"/>
  <c r="CT76" i="40"/>
  <c r="CT78" i="40"/>
  <c r="DB76" i="40"/>
  <c r="DB78" i="40"/>
  <c r="DJ76" i="40"/>
  <c r="DJ78" i="40"/>
  <c r="AM76" i="40"/>
  <c r="AM78" i="40"/>
  <c r="AJ76" i="40"/>
  <c r="AJ78" i="40"/>
  <c r="BL76" i="40"/>
  <c r="BL78" i="40"/>
  <c r="CZ76" i="40"/>
  <c r="CZ78" i="40"/>
  <c r="AW76" i="40"/>
  <c r="AW78" i="40"/>
  <c r="BU76" i="40"/>
  <c r="BU78" i="40"/>
  <c r="CS76" i="40"/>
  <c r="CS78" i="40"/>
  <c r="AL76" i="40"/>
  <c r="AL78" i="40"/>
  <c r="AB76" i="40"/>
  <c r="AB78" i="40"/>
  <c r="AQ76" i="40"/>
  <c r="AQ78" i="40"/>
  <c r="AY76" i="40"/>
  <c r="AY78" i="40"/>
  <c r="BG76" i="40"/>
  <c r="BG78" i="40"/>
  <c r="BO76" i="40"/>
  <c r="BO78" i="40"/>
  <c r="BW76" i="40"/>
  <c r="BW78" i="40"/>
  <c r="CE76" i="40"/>
  <c r="CE78" i="40"/>
  <c r="CM76" i="40"/>
  <c r="CM78" i="40"/>
  <c r="CU76" i="40"/>
  <c r="CU78" i="40"/>
  <c r="DC76" i="40"/>
  <c r="DC78" i="40"/>
  <c r="DK76" i="40"/>
  <c r="DK78" i="40"/>
  <c r="AU76" i="40"/>
  <c r="AU78" i="40"/>
  <c r="CQ76" i="40"/>
  <c r="CQ78" i="40"/>
  <c r="DG76" i="40"/>
  <c r="DG78" i="40"/>
  <c r="BT76" i="40"/>
  <c r="BT78" i="40"/>
  <c r="DH76" i="40"/>
  <c r="DH78" i="40"/>
  <c r="BE76" i="40"/>
  <c r="BE78" i="40"/>
  <c r="CK76" i="40"/>
  <c r="CK78" i="40"/>
  <c r="AF76" i="40"/>
  <c r="AF78" i="40"/>
  <c r="AC76" i="40"/>
  <c r="AC78" i="40"/>
  <c r="AZ76" i="40"/>
  <c r="AZ78" i="40"/>
  <c r="BH76" i="40"/>
  <c r="BH78" i="40"/>
  <c r="BP76" i="40"/>
  <c r="BP78" i="40"/>
  <c r="BX76" i="40"/>
  <c r="BX78" i="40"/>
  <c r="CF76" i="40"/>
  <c r="CF78" i="40"/>
  <c r="CN76" i="40"/>
  <c r="CN78" i="40"/>
  <c r="CV76" i="40"/>
  <c r="CV78" i="40"/>
  <c r="DD76" i="40"/>
  <c r="DD78" i="40"/>
  <c r="DL76" i="40"/>
  <c r="DL78" i="40"/>
  <c r="BK76" i="40"/>
  <c r="BK78" i="40"/>
  <c r="AN76" i="40"/>
  <c r="AN78" i="40"/>
  <c r="CR76" i="40"/>
  <c r="CR78" i="40"/>
  <c r="AO76" i="40"/>
  <c r="AO78" i="40"/>
  <c r="CC76" i="40"/>
  <c r="CC78" i="40"/>
  <c r="DA76" i="40"/>
  <c r="DA78" i="40"/>
  <c r="AG76" i="40"/>
  <c r="AG78" i="40"/>
  <c r="AD76" i="40"/>
  <c r="AD78" i="40"/>
  <c r="AS76" i="40"/>
  <c r="AS78" i="40"/>
  <c r="BA76" i="40"/>
  <c r="BA78" i="40"/>
  <c r="BI76" i="40"/>
  <c r="BI78" i="40"/>
  <c r="BQ76" i="40"/>
  <c r="BQ78" i="40"/>
  <c r="BY76" i="40"/>
  <c r="BY78" i="40"/>
  <c r="CG76" i="40"/>
  <c r="CG78" i="40"/>
  <c r="CO76" i="40"/>
  <c r="CO78" i="40"/>
  <c r="CW76" i="40"/>
  <c r="CW78" i="40"/>
  <c r="DE76" i="40"/>
  <c r="DE78" i="40"/>
  <c r="DM76" i="40"/>
  <c r="DM78" i="40"/>
  <c r="AI76" i="40"/>
  <c r="AI78" i="40"/>
  <c r="CI76" i="40"/>
  <c r="CI78" i="40"/>
  <c r="CY76" i="40"/>
  <c r="CY78" i="40"/>
  <c r="BD76" i="40"/>
  <c r="BD78" i="40"/>
  <c r="DP76" i="40"/>
  <c r="DP78" i="40"/>
  <c r="AH76" i="40"/>
  <c r="AH78" i="40"/>
  <c r="AE76" i="40"/>
  <c r="AE78" i="40"/>
  <c r="AT76" i="40"/>
  <c r="AT78" i="40"/>
  <c r="BB76" i="40"/>
  <c r="BB78" i="40"/>
  <c r="BJ76" i="40"/>
  <c r="BJ78" i="40"/>
  <c r="BR76" i="40"/>
  <c r="BR78" i="40"/>
  <c r="BZ76" i="40"/>
  <c r="BZ78" i="40"/>
  <c r="CH76" i="40"/>
  <c r="CH78" i="40"/>
  <c r="CP76" i="40"/>
  <c r="CP78" i="40"/>
  <c r="CX76" i="40"/>
  <c r="CX78" i="40"/>
  <c r="DF76" i="40"/>
  <c r="DF78" i="40"/>
  <c r="DN76" i="40"/>
  <c r="DN78" i="40"/>
  <c r="CA76" i="40"/>
  <c r="CA78" i="40"/>
  <c r="DO76" i="40"/>
  <c r="DO78" i="40"/>
  <c r="BC76" i="40"/>
  <c r="BC78" i="40"/>
  <c r="CJ76" i="40"/>
  <c r="CJ78" i="40"/>
  <c r="AO73" i="40"/>
  <c r="AO75" i="40"/>
  <c r="BE73" i="40"/>
  <c r="BE75" i="40"/>
  <c r="DA73" i="40"/>
  <c r="DA75" i="40"/>
  <c r="AA73" i="40"/>
  <c r="AA75" i="40"/>
  <c r="AP73" i="40"/>
  <c r="AP75" i="40"/>
  <c r="AX73" i="40"/>
  <c r="AX75" i="40"/>
  <c r="BF73" i="40"/>
  <c r="BF75" i="40"/>
  <c r="BN73" i="40"/>
  <c r="BN75" i="40"/>
  <c r="BV73" i="40"/>
  <c r="BV75" i="40"/>
  <c r="CD73" i="40"/>
  <c r="CD75" i="40"/>
  <c r="CL73" i="40"/>
  <c r="CL75" i="40"/>
  <c r="CT73" i="40"/>
  <c r="CT75" i="40"/>
  <c r="DB73" i="40"/>
  <c r="DB75" i="40"/>
  <c r="DJ73" i="40"/>
  <c r="DJ75" i="40"/>
  <c r="AW73" i="40"/>
  <c r="AW75" i="40"/>
  <c r="CS73" i="40"/>
  <c r="CS75" i="40"/>
  <c r="AL73" i="40"/>
  <c r="AL75" i="40"/>
  <c r="AB73" i="40"/>
  <c r="AB75" i="40"/>
  <c r="AQ73" i="40"/>
  <c r="AQ75" i="40"/>
  <c r="AY73" i="40"/>
  <c r="AY75" i="40"/>
  <c r="BG73" i="40"/>
  <c r="BG75" i="40"/>
  <c r="BO73" i="40"/>
  <c r="BO75" i="40"/>
  <c r="BW73" i="40"/>
  <c r="BW75" i="40"/>
  <c r="CE73" i="40"/>
  <c r="CE75" i="40"/>
  <c r="CM73" i="40"/>
  <c r="CM75" i="40"/>
  <c r="CU73" i="40"/>
  <c r="CU75" i="40"/>
  <c r="DC73" i="40"/>
  <c r="DC75" i="40"/>
  <c r="DK73" i="40"/>
  <c r="DK75" i="40"/>
  <c r="BU73" i="40"/>
  <c r="BU75" i="40"/>
  <c r="AF73" i="40"/>
  <c r="AF75" i="40"/>
  <c r="AC73" i="40"/>
  <c r="AC75" i="40"/>
  <c r="AZ73" i="40"/>
  <c r="AZ75" i="40"/>
  <c r="BH73" i="40"/>
  <c r="BH75" i="40"/>
  <c r="BP73" i="40"/>
  <c r="BP75" i="40"/>
  <c r="BX73" i="40"/>
  <c r="BX75" i="40"/>
  <c r="CF73" i="40"/>
  <c r="CF75" i="40"/>
  <c r="CN73" i="40"/>
  <c r="CN75" i="40"/>
  <c r="CV73" i="40"/>
  <c r="CV75" i="40"/>
  <c r="DD73" i="40"/>
  <c r="DD75" i="40"/>
  <c r="DL73" i="40"/>
  <c r="DL75" i="40"/>
  <c r="AK73" i="40"/>
  <c r="AK75" i="40"/>
  <c r="BM73" i="40"/>
  <c r="BM75" i="40"/>
  <c r="DI73" i="40"/>
  <c r="DI75" i="40"/>
  <c r="AG73" i="40"/>
  <c r="AG75" i="40"/>
  <c r="AD73" i="40"/>
  <c r="AD75" i="40"/>
  <c r="AS73" i="40"/>
  <c r="AS75" i="40"/>
  <c r="BA73" i="40"/>
  <c r="BA75" i="40"/>
  <c r="BI73" i="40"/>
  <c r="BI75" i="40"/>
  <c r="BQ73" i="40"/>
  <c r="BQ75" i="40"/>
  <c r="BY73" i="40"/>
  <c r="BY75" i="40"/>
  <c r="CG73" i="40"/>
  <c r="CG75" i="40"/>
  <c r="CO73" i="40"/>
  <c r="CO75" i="40"/>
  <c r="CW73" i="40"/>
  <c r="CW75" i="40"/>
  <c r="DE73" i="40"/>
  <c r="DE75" i="40"/>
  <c r="DM73" i="40"/>
  <c r="DM75" i="40"/>
  <c r="CC73" i="40"/>
  <c r="CC75" i="40"/>
  <c r="AT73" i="40"/>
  <c r="AT75" i="40"/>
  <c r="BJ73" i="40"/>
  <c r="BJ75" i="40"/>
  <c r="BZ73" i="40"/>
  <c r="BZ75" i="40"/>
  <c r="CH73" i="40"/>
  <c r="CH75" i="40"/>
  <c r="CP73" i="40"/>
  <c r="CP75" i="40"/>
  <c r="CX73" i="40"/>
  <c r="CX75" i="40"/>
  <c r="DF73" i="40"/>
  <c r="DF75" i="40"/>
  <c r="DN73" i="40"/>
  <c r="DN75" i="40"/>
  <c r="AH73" i="40"/>
  <c r="AH75" i="40"/>
  <c r="AE73" i="40"/>
  <c r="AE75" i="40"/>
  <c r="BB73" i="40"/>
  <c r="BB75" i="40"/>
  <c r="BR73" i="40"/>
  <c r="BR75" i="40"/>
  <c r="AI73" i="40"/>
  <c r="AI75" i="40"/>
  <c r="AM73" i="40"/>
  <c r="AM75" i="40"/>
  <c r="AU73" i="40"/>
  <c r="AU75" i="40"/>
  <c r="BC73" i="40"/>
  <c r="BC75" i="40"/>
  <c r="BK73" i="40"/>
  <c r="BK75" i="40"/>
  <c r="BS73" i="40"/>
  <c r="BS75" i="40"/>
  <c r="CA73" i="40"/>
  <c r="CA75" i="40"/>
  <c r="CI73" i="40"/>
  <c r="CI75" i="40"/>
  <c r="CQ73" i="40"/>
  <c r="CQ75" i="40"/>
  <c r="CY73" i="40"/>
  <c r="CY75" i="40"/>
  <c r="DG73" i="40"/>
  <c r="DG75" i="40"/>
  <c r="DO73" i="40"/>
  <c r="DO75" i="40"/>
  <c r="CK73" i="40"/>
  <c r="CK75" i="40"/>
  <c r="AJ73" i="40"/>
  <c r="AJ75" i="40"/>
  <c r="AN73" i="40"/>
  <c r="AN75" i="40"/>
  <c r="AV73" i="40"/>
  <c r="AV75" i="40"/>
  <c r="BD73" i="40"/>
  <c r="BD75" i="40"/>
  <c r="BL73" i="40"/>
  <c r="BL75" i="40"/>
  <c r="BT73" i="40"/>
  <c r="BT75" i="40"/>
  <c r="CB73" i="40"/>
  <c r="CB75" i="40"/>
  <c r="CJ73" i="40"/>
  <c r="CJ75" i="40"/>
  <c r="CR73" i="40"/>
  <c r="CR75" i="40"/>
  <c r="CZ73" i="40"/>
  <c r="CZ75" i="40"/>
  <c r="DH73" i="40"/>
  <c r="DH75" i="40"/>
  <c r="DP73" i="40"/>
  <c r="DP75" i="40"/>
  <c r="AW71" i="40"/>
  <c r="AW72" i="40"/>
  <c r="CK71" i="40"/>
  <c r="CK72" i="40"/>
  <c r="AX71" i="40"/>
  <c r="AX72" i="40"/>
  <c r="CT71" i="40"/>
  <c r="CT72" i="40"/>
  <c r="AL71" i="40"/>
  <c r="AL72" i="40"/>
  <c r="AB71" i="40"/>
  <c r="AB72" i="40"/>
  <c r="AQ71" i="40"/>
  <c r="AQ72" i="40"/>
  <c r="AY71" i="40"/>
  <c r="AY72" i="40"/>
  <c r="BG71" i="40"/>
  <c r="BG72" i="40"/>
  <c r="BO71" i="40"/>
  <c r="BO72" i="40"/>
  <c r="BW71" i="40"/>
  <c r="BW72" i="40"/>
  <c r="CE71" i="40"/>
  <c r="CE72" i="40"/>
  <c r="CM71" i="40"/>
  <c r="CM72" i="40"/>
  <c r="CU71" i="40"/>
  <c r="CU72" i="40"/>
  <c r="DC71" i="40"/>
  <c r="DC72" i="40"/>
  <c r="DK71" i="40"/>
  <c r="DK72" i="40"/>
  <c r="AK71" i="40"/>
  <c r="AK72" i="40"/>
  <c r="BM71" i="40"/>
  <c r="BM72" i="40"/>
  <c r="CS71" i="40"/>
  <c r="CS72" i="40"/>
  <c r="BN71" i="40"/>
  <c r="BN72" i="40"/>
  <c r="DJ71" i="40"/>
  <c r="DJ72" i="40"/>
  <c r="AF71" i="40"/>
  <c r="AF72" i="40"/>
  <c r="AC71" i="40"/>
  <c r="AC72" i="40"/>
  <c r="AR71" i="40"/>
  <c r="AR72" i="40"/>
  <c r="AZ71" i="40"/>
  <c r="AZ72" i="40"/>
  <c r="BH71" i="40"/>
  <c r="BH72" i="40"/>
  <c r="BP71" i="40"/>
  <c r="BP72" i="40"/>
  <c r="BX71" i="40"/>
  <c r="BX72" i="40"/>
  <c r="CF71" i="40"/>
  <c r="CF72" i="40"/>
  <c r="CN71" i="40"/>
  <c r="CN72" i="40"/>
  <c r="CV71" i="40"/>
  <c r="CV72" i="40"/>
  <c r="DD71" i="40"/>
  <c r="DD72" i="40"/>
  <c r="DL71" i="40"/>
  <c r="DL72" i="40"/>
  <c r="CC71" i="40"/>
  <c r="CC72" i="40"/>
  <c r="AA71" i="40"/>
  <c r="AA72" i="40"/>
  <c r="CD71" i="40"/>
  <c r="CD72" i="40"/>
  <c r="AG71" i="40"/>
  <c r="AG72" i="40"/>
  <c r="AD71" i="40"/>
  <c r="AD72" i="40"/>
  <c r="AS71" i="40"/>
  <c r="AS72" i="40"/>
  <c r="BA71" i="40"/>
  <c r="BA72" i="40"/>
  <c r="BI71" i="40"/>
  <c r="BI72" i="40"/>
  <c r="BQ71" i="40"/>
  <c r="BQ72" i="40"/>
  <c r="BY71" i="40"/>
  <c r="BY72" i="40"/>
  <c r="CG71" i="40"/>
  <c r="CG72" i="40"/>
  <c r="CO71" i="40"/>
  <c r="CO72" i="40"/>
  <c r="CW71" i="40"/>
  <c r="CW72" i="40"/>
  <c r="DE71" i="40"/>
  <c r="DE72" i="40"/>
  <c r="DM71" i="40"/>
  <c r="DM72" i="40"/>
  <c r="AP71" i="40"/>
  <c r="AP72" i="40"/>
  <c r="AH71" i="40"/>
  <c r="AH72" i="40"/>
  <c r="AE71" i="40"/>
  <c r="AE72" i="40"/>
  <c r="AT71" i="40"/>
  <c r="AT72" i="40"/>
  <c r="BB71" i="40"/>
  <c r="BB72" i="40"/>
  <c r="BJ71" i="40"/>
  <c r="BJ72" i="40"/>
  <c r="BR71" i="40"/>
  <c r="BR72" i="40"/>
  <c r="BZ71" i="40"/>
  <c r="BZ72" i="40"/>
  <c r="CH71" i="40"/>
  <c r="CH72" i="40"/>
  <c r="CP71" i="40"/>
  <c r="CP72" i="40"/>
  <c r="CX71" i="40"/>
  <c r="CX72" i="40"/>
  <c r="DF71" i="40"/>
  <c r="DF72" i="40"/>
  <c r="DN71" i="40"/>
  <c r="DN72" i="40"/>
  <c r="BE71" i="40"/>
  <c r="BE72" i="40"/>
  <c r="DA71" i="40"/>
  <c r="DA72" i="40"/>
  <c r="BV71" i="40"/>
  <c r="BV72" i="40"/>
  <c r="DB71" i="40"/>
  <c r="DB72" i="40"/>
  <c r="AI71" i="40"/>
  <c r="AI72" i="40"/>
  <c r="AM71" i="40"/>
  <c r="AM72" i="40"/>
  <c r="AU71" i="40"/>
  <c r="AU72" i="40"/>
  <c r="BC71" i="40"/>
  <c r="BC72" i="40"/>
  <c r="BK71" i="40"/>
  <c r="BK72" i="40"/>
  <c r="BS71" i="40"/>
  <c r="BS72" i="40"/>
  <c r="CA71" i="40"/>
  <c r="CA72" i="40"/>
  <c r="CI71" i="40"/>
  <c r="CI72" i="40"/>
  <c r="CQ71" i="40"/>
  <c r="CQ72" i="40"/>
  <c r="CY71" i="40"/>
  <c r="CY72" i="40"/>
  <c r="DG71" i="40"/>
  <c r="DG72" i="40"/>
  <c r="DO71" i="40"/>
  <c r="DO72" i="40"/>
  <c r="AO71" i="40"/>
  <c r="AO72" i="40"/>
  <c r="BU71" i="40"/>
  <c r="BU72" i="40"/>
  <c r="DI71" i="40"/>
  <c r="DI72" i="40"/>
  <c r="BF71" i="40"/>
  <c r="BF72" i="40"/>
  <c r="CL71" i="40"/>
  <c r="CL72" i="40"/>
  <c r="AJ71" i="40"/>
  <c r="AJ72" i="40"/>
  <c r="AN71" i="40"/>
  <c r="AN72" i="40"/>
  <c r="AV71" i="40"/>
  <c r="AV72" i="40"/>
  <c r="BD71" i="40"/>
  <c r="BD72" i="40"/>
  <c r="BL71" i="40"/>
  <c r="BL72" i="40"/>
  <c r="BT71" i="40"/>
  <c r="BT72" i="40"/>
  <c r="CB71" i="40"/>
  <c r="CB72" i="40"/>
  <c r="CJ71" i="40"/>
  <c r="CJ72" i="40"/>
  <c r="CR71" i="40"/>
  <c r="CR72" i="40"/>
  <c r="CZ71" i="40"/>
  <c r="CZ72" i="40"/>
  <c r="DH71" i="40"/>
  <c r="DH72" i="40"/>
  <c r="DP71" i="40"/>
  <c r="DP72" i="40"/>
  <c r="AO69" i="40"/>
  <c r="AO70" i="40"/>
  <c r="AW69" i="40"/>
  <c r="AW70" i="40"/>
  <c r="BE69" i="40"/>
  <c r="BE70" i="40"/>
  <c r="BM69" i="40"/>
  <c r="BM70" i="40"/>
  <c r="BU69" i="40"/>
  <c r="BU70" i="40"/>
  <c r="CC69" i="40"/>
  <c r="CC70" i="40"/>
  <c r="CK69" i="40"/>
  <c r="CK70" i="40"/>
  <c r="CS69" i="40"/>
  <c r="CS70" i="40"/>
  <c r="DA69" i="40"/>
  <c r="DA70" i="40"/>
  <c r="DI69" i="40"/>
  <c r="DI70" i="40"/>
  <c r="AA69" i="40"/>
  <c r="AA70" i="40"/>
  <c r="AP69" i="40"/>
  <c r="AP70" i="40"/>
  <c r="AX69" i="40"/>
  <c r="AX70" i="40"/>
  <c r="BF69" i="40"/>
  <c r="BF70" i="40"/>
  <c r="BN69" i="40"/>
  <c r="BN70" i="40"/>
  <c r="BV69" i="40"/>
  <c r="BV70" i="40"/>
  <c r="CD69" i="40"/>
  <c r="CD70" i="40"/>
  <c r="CL69" i="40"/>
  <c r="CL70" i="40"/>
  <c r="CT69" i="40"/>
  <c r="CT70" i="40"/>
  <c r="DB69" i="40"/>
  <c r="DB70" i="40"/>
  <c r="DJ69" i="40"/>
  <c r="DJ70" i="40"/>
  <c r="AL69" i="40"/>
  <c r="AL70" i="40"/>
  <c r="AC69" i="40"/>
  <c r="AC70" i="40"/>
  <c r="BP69" i="40"/>
  <c r="BP70" i="40"/>
  <c r="CV69" i="40"/>
  <c r="CV70" i="40"/>
  <c r="AG69" i="40"/>
  <c r="AG70" i="40"/>
  <c r="AD69" i="40"/>
  <c r="AD70" i="40"/>
  <c r="AS69" i="40"/>
  <c r="AS70" i="40"/>
  <c r="BA69" i="40"/>
  <c r="BA70" i="40"/>
  <c r="BI69" i="40"/>
  <c r="BI70" i="40"/>
  <c r="BQ69" i="40"/>
  <c r="BQ70" i="40"/>
  <c r="BY69" i="40"/>
  <c r="BY70" i="40"/>
  <c r="CG69" i="40"/>
  <c r="CG70" i="40"/>
  <c r="CO69" i="40"/>
  <c r="CO70" i="40"/>
  <c r="CW69" i="40"/>
  <c r="CW70" i="40"/>
  <c r="DE69" i="40"/>
  <c r="DE70" i="40"/>
  <c r="DM69" i="40"/>
  <c r="DM70" i="40"/>
  <c r="AQ69" i="40"/>
  <c r="AQ70" i="40"/>
  <c r="BG69" i="40"/>
  <c r="BG70" i="40"/>
  <c r="BO69" i="40"/>
  <c r="BO70" i="40"/>
  <c r="CE69" i="40"/>
  <c r="CE70" i="40"/>
  <c r="CU69" i="40"/>
  <c r="CU70" i="40"/>
  <c r="DK69" i="40"/>
  <c r="DK70" i="40"/>
  <c r="AR69" i="40"/>
  <c r="AR70" i="40"/>
  <c r="CF69" i="40"/>
  <c r="CF70" i="40"/>
  <c r="DL69" i="40"/>
  <c r="DL70" i="40"/>
  <c r="AH69" i="40"/>
  <c r="AH70" i="40"/>
  <c r="AE69" i="40"/>
  <c r="AE70" i="40"/>
  <c r="AT69" i="40"/>
  <c r="AT70" i="40"/>
  <c r="BB69" i="40"/>
  <c r="BB70" i="40"/>
  <c r="BJ69" i="40"/>
  <c r="BJ70" i="40"/>
  <c r="BR69" i="40"/>
  <c r="BR70" i="40"/>
  <c r="BZ69" i="40"/>
  <c r="BZ70" i="40"/>
  <c r="CH69" i="40"/>
  <c r="CH70" i="40"/>
  <c r="CP69" i="40"/>
  <c r="CP70" i="40"/>
  <c r="CX69" i="40"/>
  <c r="CX70" i="40"/>
  <c r="DF69" i="40"/>
  <c r="DF70" i="40"/>
  <c r="DN69" i="40"/>
  <c r="DN70" i="40"/>
  <c r="AK70" i="40"/>
  <c r="AB69" i="40"/>
  <c r="AB70" i="40"/>
  <c r="AY69" i="40"/>
  <c r="AY70" i="40"/>
  <c r="BW69" i="40"/>
  <c r="BW70" i="40"/>
  <c r="CM69" i="40"/>
  <c r="CM70" i="40"/>
  <c r="DC69" i="40"/>
  <c r="DC70" i="40"/>
  <c r="AF69" i="40"/>
  <c r="AF70" i="40"/>
  <c r="BH69" i="40"/>
  <c r="BH70" i="40"/>
  <c r="DD69" i="40"/>
  <c r="DD70" i="40"/>
  <c r="AI69" i="40"/>
  <c r="AI70" i="40"/>
  <c r="AM69" i="40"/>
  <c r="AM70" i="40"/>
  <c r="AU69" i="40"/>
  <c r="AU70" i="40"/>
  <c r="BC69" i="40"/>
  <c r="BC70" i="40"/>
  <c r="BK69" i="40"/>
  <c r="BK70" i="40"/>
  <c r="BS69" i="40"/>
  <c r="BS70" i="40"/>
  <c r="CA69" i="40"/>
  <c r="CA70" i="40"/>
  <c r="CI69" i="40"/>
  <c r="CI70" i="40"/>
  <c r="CQ69" i="40"/>
  <c r="CQ70" i="40"/>
  <c r="CY69" i="40"/>
  <c r="CY70" i="40"/>
  <c r="DG69" i="40"/>
  <c r="DG70" i="40"/>
  <c r="DO69" i="40"/>
  <c r="DO70" i="40"/>
  <c r="AZ69" i="40"/>
  <c r="AZ70" i="40"/>
  <c r="BX69" i="40"/>
  <c r="BX70" i="40"/>
  <c r="CN69" i="40"/>
  <c r="CN70" i="40"/>
  <c r="AJ69" i="40"/>
  <c r="AJ70" i="40"/>
  <c r="AN69" i="40"/>
  <c r="AN70" i="40"/>
  <c r="AV69" i="40"/>
  <c r="AV70" i="40"/>
  <c r="BD69" i="40"/>
  <c r="BD70" i="40"/>
  <c r="BL69" i="40"/>
  <c r="BL70" i="40"/>
  <c r="BT69" i="40"/>
  <c r="BT70" i="40"/>
  <c r="CB69" i="40"/>
  <c r="CB70" i="40"/>
  <c r="CJ69" i="40"/>
  <c r="CJ70" i="40"/>
  <c r="CR69" i="40"/>
  <c r="CR70" i="40"/>
  <c r="CZ69" i="40"/>
  <c r="CZ70" i="40"/>
  <c r="DH69" i="40"/>
  <c r="DH70" i="40"/>
  <c r="DP69" i="40"/>
  <c r="DP70" i="40"/>
  <c r="AU60" i="40"/>
  <c r="AU61" i="40"/>
  <c r="CI60" i="40"/>
  <c r="CI61" i="40"/>
  <c r="AJ60" i="40"/>
  <c r="AJ61" i="40"/>
  <c r="AV60" i="40"/>
  <c r="AV61" i="40"/>
  <c r="BL60" i="40"/>
  <c r="BL61" i="40"/>
  <c r="CB60" i="40"/>
  <c r="CB61" i="40"/>
  <c r="CR60" i="40"/>
  <c r="CR61" i="40"/>
  <c r="AK60" i="40"/>
  <c r="AK61" i="40"/>
  <c r="AO60" i="40"/>
  <c r="AO61" i="40"/>
  <c r="AW60" i="40"/>
  <c r="AW61" i="40"/>
  <c r="BE60" i="40"/>
  <c r="BE61" i="40"/>
  <c r="BM60" i="40"/>
  <c r="BM61" i="40"/>
  <c r="BU60" i="40"/>
  <c r="BU61" i="40"/>
  <c r="CC60" i="40"/>
  <c r="CC61" i="40"/>
  <c r="CK60" i="40"/>
  <c r="CK61" i="40"/>
  <c r="CS60" i="40"/>
  <c r="CS61" i="40"/>
  <c r="DA60" i="40"/>
  <c r="DA61" i="40"/>
  <c r="DI60" i="40"/>
  <c r="DI61" i="40"/>
  <c r="AM60" i="40"/>
  <c r="AM61" i="40"/>
  <c r="CA60" i="40"/>
  <c r="CA61" i="40"/>
  <c r="CY60" i="40"/>
  <c r="CY61" i="40"/>
  <c r="DG60" i="40"/>
  <c r="DG61" i="40"/>
  <c r="DO60" i="40"/>
  <c r="DO61" i="40"/>
  <c r="AN60" i="40"/>
  <c r="AN61" i="40"/>
  <c r="BD60" i="40"/>
  <c r="BD61" i="40"/>
  <c r="BT60" i="40"/>
  <c r="BT61" i="40"/>
  <c r="CJ60" i="40"/>
  <c r="CJ61" i="40"/>
  <c r="CZ60" i="40"/>
  <c r="CZ61" i="40"/>
  <c r="DH60" i="40"/>
  <c r="DH61" i="40"/>
  <c r="DP60" i="40"/>
  <c r="DP61" i="40"/>
  <c r="AA60" i="40"/>
  <c r="AA61" i="40"/>
  <c r="AP60" i="40"/>
  <c r="AP61" i="40"/>
  <c r="AX60" i="40"/>
  <c r="AX61" i="40"/>
  <c r="BF60" i="40"/>
  <c r="BF61" i="40"/>
  <c r="BN60" i="40"/>
  <c r="BN61" i="40"/>
  <c r="BV60" i="40"/>
  <c r="BV61" i="40"/>
  <c r="CD60" i="40"/>
  <c r="CD61" i="40"/>
  <c r="CL60" i="40"/>
  <c r="CL61" i="40"/>
  <c r="CT60" i="40"/>
  <c r="CT61" i="40"/>
  <c r="DB60" i="40"/>
  <c r="DB61" i="40"/>
  <c r="DJ60" i="40"/>
  <c r="DJ61" i="40"/>
  <c r="BS60" i="40"/>
  <c r="BS61" i="40"/>
  <c r="AQ60" i="40"/>
  <c r="AQ61" i="40"/>
  <c r="BW60" i="40"/>
  <c r="BW61" i="40"/>
  <c r="AF60" i="40"/>
  <c r="AF61" i="40"/>
  <c r="AC60" i="40"/>
  <c r="AC61" i="40"/>
  <c r="AR60" i="40"/>
  <c r="AR61" i="40"/>
  <c r="AZ60" i="40"/>
  <c r="AZ61" i="40"/>
  <c r="BH60" i="40"/>
  <c r="BH61" i="40"/>
  <c r="BP60" i="40"/>
  <c r="BP61" i="40"/>
  <c r="BX60" i="40"/>
  <c r="BX61" i="40"/>
  <c r="CF60" i="40"/>
  <c r="CF61" i="40"/>
  <c r="CN60" i="40"/>
  <c r="CN61" i="40"/>
  <c r="CV60" i="40"/>
  <c r="CV61" i="40"/>
  <c r="DD60" i="40"/>
  <c r="DD61" i="40"/>
  <c r="DL60" i="40"/>
  <c r="DL61" i="40"/>
  <c r="AI60" i="40"/>
  <c r="AI61" i="40"/>
  <c r="BK60" i="40"/>
  <c r="BK61" i="40"/>
  <c r="AL60" i="40"/>
  <c r="AL61" i="40"/>
  <c r="AY60" i="40"/>
  <c r="AY61" i="40"/>
  <c r="BO60" i="40"/>
  <c r="BO61" i="40"/>
  <c r="CE60" i="40"/>
  <c r="CE61" i="40"/>
  <c r="CU60" i="40"/>
  <c r="CU61" i="40"/>
  <c r="DC60" i="40"/>
  <c r="DC61" i="40"/>
  <c r="AG60" i="40"/>
  <c r="AG61" i="40"/>
  <c r="AD60" i="40"/>
  <c r="AD61" i="40"/>
  <c r="AS60" i="40"/>
  <c r="AS61" i="40"/>
  <c r="BA60" i="40"/>
  <c r="BA61" i="40"/>
  <c r="BI60" i="40"/>
  <c r="BI61" i="40"/>
  <c r="BQ60" i="40"/>
  <c r="BQ61" i="40"/>
  <c r="BY60" i="40"/>
  <c r="BY61" i="40"/>
  <c r="CG60" i="40"/>
  <c r="CG61" i="40"/>
  <c r="CO60" i="40"/>
  <c r="CO61" i="40"/>
  <c r="CW60" i="40"/>
  <c r="CW61" i="40"/>
  <c r="DE60" i="40"/>
  <c r="DE61" i="40"/>
  <c r="DM60" i="40"/>
  <c r="DM61" i="40"/>
  <c r="BC60" i="40"/>
  <c r="BC61" i="40"/>
  <c r="CQ60" i="40"/>
  <c r="CQ61" i="40"/>
  <c r="AB60" i="40"/>
  <c r="AB61" i="40"/>
  <c r="BG60" i="40"/>
  <c r="BG61" i="40"/>
  <c r="CM60" i="40"/>
  <c r="CM61" i="40"/>
  <c r="DK60" i="40"/>
  <c r="DK61" i="40"/>
  <c r="AH60" i="40"/>
  <c r="AH61" i="40"/>
  <c r="AE60" i="40"/>
  <c r="AE61" i="40"/>
  <c r="AT60" i="40"/>
  <c r="AT61" i="40"/>
  <c r="BB60" i="40"/>
  <c r="BB61" i="40"/>
  <c r="BJ60" i="40"/>
  <c r="BJ61" i="40"/>
  <c r="BR60" i="40"/>
  <c r="BR61" i="40"/>
  <c r="BZ60" i="40"/>
  <c r="BZ61" i="40"/>
  <c r="CH60" i="40"/>
  <c r="CH61" i="40"/>
  <c r="CP60" i="40"/>
  <c r="CP61" i="40"/>
  <c r="CX60" i="40"/>
  <c r="CX61" i="40"/>
  <c r="DF60" i="40"/>
  <c r="DF61" i="40"/>
  <c r="DN60" i="40"/>
  <c r="DN61" i="40"/>
  <c r="DG58" i="40"/>
  <c r="DG57" i="40"/>
  <c r="DG56" i="40"/>
  <c r="DG59" i="40"/>
  <c r="AV56" i="40"/>
  <c r="AV58" i="40"/>
  <c r="AV57" i="40"/>
  <c r="AV59" i="40"/>
  <c r="CR59" i="40"/>
  <c r="CR58" i="40"/>
  <c r="CR57" i="40"/>
  <c r="CR56" i="40"/>
  <c r="DP58" i="40"/>
  <c r="DP59" i="40"/>
  <c r="DP56" i="40"/>
  <c r="DP57" i="40"/>
  <c r="AK56" i="40"/>
  <c r="AK58" i="40"/>
  <c r="AK59" i="40"/>
  <c r="AK57" i="40"/>
  <c r="AO58" i="40"/>
  <c r="AO57" i="40"/>
  <c r="AO56" i="40"/>
  <c r="AO59" i="40"/>
  <c r="AW58" i="40"/>
  <c r="AW57" i="40"/>
  <c r="AW56" i="40"/>
  <c r="AW59" i="40"/>
  <c r="BE58" i="40"/>
  <c r="BE57" i="40"/>
  <c r="BE56" i="40"/>
  <c r="BE59" i="40"/>
  <c r="BM58" i="40"/>
  <c r="BM57" i="40"/>
  <c r="BM56" i="40"/>
  <c r="BM59" i="40"/>
  <c r="BU58" i="40"/>
  <c r="BU57" i="40"/>
  <c r="BU56" i="40"/>
  <c r="BU59" i="40"/>
  <c r="CC58" i="40"/>
  <c r="CC57" i="40"/>
  <c r="CC56" i="40"/>
  <c r="CC59" i="40"/>
  <c r="CK58" i="40"/>
  <c r="CK57" i="40"/>
  <c r="CK56" i="40"/>
  <c r="CK59" i="40"/>
  <c r="CS58" i="40"/>
  <c r="CS57" i="40"/>
  <c r="CS56" i="40"/>
  <c r="CS59" i="40"/>
  <c r="DA58" i="40"/>
  <c r="DA56" i="40"/>
  <c r="DA59" i="40"/>
  <c r="DA57" i="40"/>
  <c r="DI58" i="40"/>
  <c r="DI57" i="40"/>
  <c r="DI56" i="40"/>
  <c r="DI59" i="40"/>
  <c r="AI57" i="40"/>
  <c r="AI56" i="40"/>
  <c r="AI58" i="40"/>
  <c r="AI59" i="40"/>
  <c r="BD58" i="40"/>
  <c r="BD59" i="40"/>
  <c r="BD57" i="40"/>
  <c r="BD56" i="40"/>
  <c r="CJ58" i="40"/>
  <c r="CJ57" i="40"/>
  <c r="CJ56" i="40"/>
  <c r="CJ59" i="40"/>
  <c r="CZ58" i="40"/>
  <c r="CZ57" i="40"/>
  <c r="CZ56" i="40"/>
  <c r="CZ59" i="40"/>
  <c r="AA57" i="40"/>
  <c r="AA58" i="40"/>
  <c r="AA59" i="40"/>
  <c r="AP57" i="40"/>
  <c r="AP59" i="40"/>
  <c r="AP56" i="40"/>
  <c r="AP58" i="40"/>
  <c r="AX57" i="40"/>
  <c r="AX56" i="40"/>
  <c r="AX59" i="40"/>
  <c r="AX58" i="40"/>
  <c r="BF59" i="40"/>
  <c r="BF57" i="40"/>
  <c r="BF56" i="40"/>
  <c r="BF58" i="40"/>
  <c r="BN57" i="40"/>
  <c r="BN56" i="40"/>
  <c r="BN59" i="40"/>
  <c r="BN58" i="40"/>
  <c r="BV57" i="40"/>
  <c r="BV56" i="40"/>
  <c r="BV59" i="40"/>
  <c r="BV58" i="40"/>
  <c r="CD57" i="40"/>
  <c r="CD59" i="40"/>
  <c r="CD56" i="40"/>
  <c r="CD58" i="40"/>
  <c r="CL57" i="40"/>
  <c r="CL56" i="40"/>
  <c r="CL59" i="40"/>
  <c r="CL58" i="40"/>
  <c r="CT59" i="40"/>
  <c r="CT57" i="40"/>
  <c r="CT56" i="40"/>
  <c r="CT58" i="40"/>
  <c r="DB57" i="40"/>
  <c r="DB59" i="40"/>
  <c r="DB56" i="40"/>
  <c r="DB58" i="40"/>
  <c r="DJ57" i="40"/>
  <c r="DJ56" i="40"/>
  <c r="DJ59" i="40"/>
  <c r="DJ58" i="40"/>
  <c r="BC58" i="40"/>
  <c r="BC57" i="40"/>
  <c r="BC56" i="40"/>
  <c r="BC59" i="40"/>
  <c r="CA58" i="40"/>
  <c r="CA57" i="40"/>
  <c r="CA56" i="40"/>
  <c r="CA59" i="40"/>
  <c r="CY58" i="40"/>
  <c r="CY57" i="40"/>
  <c r="CY56" i="40"/>
  <c r="CY59" i="40"/>
  <c r="BT59" i="40"/>
  <c r="BT58" i="40"/>
  <c r="BT57" i="40"/>
  <c r="BT56" i="40"/>
  <c r="AL58" i="40"/>
  <c r="AL59" i="40"/>
  <c r="AL57" i="40"/>
  <c r="AL56" i="40"/>
  <c r="AB59" i="40"/>
  <c r="AB58" i="40"/>
  <c r="AB57" i="40"/>
  <c r="AB56" i="40"/>
  <c r="AQ57" i="40"/>
  <c r="AQ56" i="40"/>
  <c r="AQ58" i="40"/>
  <c r="AQ59" i="40"/>
  <c r="AY57" i="40"/>
  <c r="AY56" i="40"/>
  <c r="AY58" i="40"/>
  <c r="AY59" i="40"/>
  <c r="BG57" i="40"/>
  <c r="BG56" i="40"/>
  <c r="BG58" i="40"/>
  <c r="BG59" i="40"/>
  <c r="BO57" i="40"/>
  <c r="BO56" i="40"/>
  <c r="BO58" i="40"/>
  <c r="BO59" i="40"/>
  <c r="BW57" i="40"/>
  <c r="BW56" i="40"/>
  <c r="BW58" i="40"/>
  <c r="BW59" i="40"/>
  <c r="CE57" i="40"/>
  <c r="CE56" i="40"/>
  <c r="CE58" i="40"/>
  <c r="CE59" i="40"/>
  <c r="CM57" i="40"/>
  <c r="CM56" i="40"/>
  <c r="CM58" i="40"/>
  <c r="CM59" i="40"/>
  <c r="CU57" i="40"/>
  <c r="CU56" i="40"/>
  <c r="CU58" i="40"/>
  <c r="CU59" i="40"/>
  <c r="DC57" i="40"/>
  <c r="DC56" i="40"/>
  <c r="DC58" i="40"/>
  <c r="DC59" i="40"/>
  <c r="DK59" i="40"/>
  <c r="DK57" i="40"/>
  <c r="DK56" i="40"/>
  <c r="DK58" i="40"/>
  <c r="AU58" i="40"/>
  <c r="AU57" i="40"/>
  <c r="AU56" i="40"/>
  <c r="AU59" i="40"/>
  <c r="BS58" i="40"/>
  <c r="BS57" i="40"/>
  <c r="BS56" i="40"/>
  <c r="BS59" i="40"/>
  <c r="BL58" i="40"/>
  <c r="BL56" i="40"/>
  <c r="BL57" i="40"/>
  <c r="BL59" i="40"/>
  <c r="AF59" i="40"/>
  <c r="AF57" i="40"/>
  <c r="AF56" i="40"/>
  <c r="AC56" i="40"/>
  <c r="AC59" i="40"/>
  <c r="AC58" i="40"/>
  <c r="AC57" i="40"/>
  <c r="AR56" i="40"/>
  <c r="AR59" i="40"/>
  <c r="AR58" i="40"/>
  <c r="AR57" i="40"/>
  <c r="AZ56" i="40"/>
  <c r="AZ59" i="40"/>
  <c r="AZ58" i="40"/>
  <c r="AZ57" i="40"/>
  <c r="BH59" i="40"/>
  <c r="BH56" i="40"/>
  <c r="BH58" i="40"/>
  <c r="BH57" i="40"/>
  <c r="BP56" i="40"/>
  <c r="BP59" i="40"/>
  <c r="BP58" i="40"/>
  <c r="BP57" i="40"/>
  <c r="BX56" i="40"/>
  <c r="BX58" i="40"/>
  <c r="BX59" i="40"/>
  <c r="BX57" i="40"/>
  <c r="CF59" i="40"/>
  <c r="CF58" i="40"/>
  <c r="CF57" i="40"/>
  <c r="CF56" i="40"/>
  <c r="CN56" i="40"/>
  <c r="CN59" i="40"/>
  <c r="CN58" i="40"/>
  <c r="CN57" i="40"/>
  <c r="CV56" i="40"/>
  <c r="CV58" i="40"/>
  <c r="CV59" i="40"/>
  <c r="CV57" i="40"/>
  <c r="DD57" i="40"/>
  <c r="DD56" i="40"/>
  <c r="DD59" i="40"/>
  <c r="DD58" i="40"/>
  <c r="DL57" i="40"/>
  <c r="DL56" i="40"/>
  <c r="DL59" i="40"/>
  <c r="DL58" i="40"/>
  <c r="AM58" i="40"/>
  <c r="AM57" i="40"/>
  <c r="AM56" i="40"/>
  <c r="AM59" i="40"/>
  <c r="BK58" i="40"/>
  <c r="BK57" i="40"/>
  <c r="BK56" i="40"/>
  <c r="BK59" i="40"/>
  <c r="CI58" i="40"/>
  <c r="CI56" i="40"/>
  <c r="CI57" i="40"/>
  <c r="CI59" i="40"/>
  <c r="AN58" i="40"/>
  <c r="AN57" i="40"/>
  <c r="AN56" i="40"/>
  <c r="AN59" i="40"/>
  <c r="AG58" i="40"/>
  <c r="AG57" i="40"/>
  <c r="AG56" i="40"/>
  <c r="AG59" i="40"/>
  <c r="AD59" i="40"/>
  <c r="AD58" i="40"/>
  <c r="AD57" i="40"/>
  <c r="AD56" i="40"/>
  <c r="AS56" i="40"/>
  <c r="AS59" i="40"/>
  <c r="AS58" i="40"/>
  <c r="AS57" i="40"/>
  <c r="BA56" i="40"/>
  <c r="BA59" i="40"/>
  <c r="BA58" i="40"/>
  <c r="BA57" i="40"/>
  <c r="BI56" i="40"/>
  <c r="BI58" i="40"/>
  <c r="BI57" i="40"/>
  <c r="BI59" i="40"/>
  <c r="BQ56" i="40"/>
  <c r="BQ59" i="40"/>
  <c r="BQ58" i="40"/>
  <c r="BQ57" i="40"/>
  <c r="BY56" i="40"/>
  <c r="BY58" i="40"/>
  <c r="BY59" i="40"/>
  <c r="BY57" i="40"/>
  <c r="CG59" i="40"/>
  <c r="CG56" i="40"/>
  <c r="CG58" i="40"/>
  <c r="CG57" i="40"/>
  <c r="CO56" i="40"/>
  <c r="CO59" i="40"/>
  <c r="CO58" i="40"/>
  <c r="CO57" i="40"/>
  <c r="CW56" i="40"/>
  <c r="CW58" i="40"/>
  <c r="CW59" i="40"/>
  <c r="CW57" i="40"/>
  <c r="DE56" i="40"/>
  <c r="DE59" i="40"/>
  <c r="DE58" i="40"/>
  <c r="DE57" i="40"/>
  <c r="DM57" i="40"/>
  <c r="DM56" i="40"/>
  <c r="DM59" i="40"/>
  <c r="DM58" i="40"/>
  <c r="CQ58" i="40"/>
  <c r="CQ57" i="40"/>
  <c r="CQ56" i="40"/>
  <c r="CQ59" i="40"/>
  <c r="DO58" i="40"/>
  <c r="DO57" i="40"/>
  <c r="DO56" i="40"/>
  <c r="DO59" i="40"/>
  <c r="AJ56" i="40"/>
  <c r="AJ58" i="40"/>
  <c r="AJ59" i="40"/>
  <c r="AJ57" i="40"/>
  <c r="CB58" i="40"/>
  <c r="CB59" i="40"/>
  <c r="CB57" i="40"/>
  <c r="CB56" i="40"/>
  <c r="DH58" i="40"/>
  <c r="DH56" i="40"/>
  <c r="DH57" i="40"/>
  <c r="DH59" i="40"/>
  <c r="AH59" i="40"/>
  <c r="AH57" i="40"/>
  <c r="AH56" i="40"/>
  <c r="AH58" i="40"/>
  <c r="AE58" i="40"/>
  <c r="AE57" i="40"/>
  <c r="AE56" i="40"/>
  <c r="AE59" i="40"/>
  <c r="AT59" i="40"/>
  <c r="AT58" i="40"/>
  <c r="AT57" i="40"/>
  <c r="AT56" i="40"/>
  <c r="BB59" i="40"/>
  <c r="BB58" i="40"/>
  <c r="BB57" i="40"/>
  <c r="BB56" i="40"/>
  <c r="BJ58" i="40"/>
  <c r="BJ57" i="40"/>
  <c r="BJ59" i="40"/>
  <c r="BJ56" i="40"/>
  <c r="BR59" i="40"/>
  <c r="BR58" i="40"/>
  <c r="BR57" i="40"/>
  <c r="BR56" i="40"/>
  <c r="BZ58" i="40"/>
  <c r="BZ59" i="40"/>
  <c r="BZ57" i="40"/>
  <c r="BZ56" i="40"/>
  <c r="CH58" i="40"/>
  <c r="CH57" i="40"/>
  <c r="CH59" i="40"/>
  <c r="CH56" i="40"/>
  <c r="CP59" i="40"/>
  <c r="CP58" i="40"/>
  <c r="CP57" i="40"/>
  <c r="CP56" i="40"/>
  <c r="CX58" i="40"/>
  <c r="CX59" i="40"/>
  <c r="CX57" i="40"/>
  <c r="CX56" i="40"/>
  <c r="DF59" i="40"/>
  <c r="DF58" i="40"/>
  <c r="DF57" i="40"/>
  <c r="DF56" i="40"/>
  <c r="DN59" i="40"/>
  <c r="DN58" i="40"/>
  <c r="DN57" i="40"/>
  <c r="DN56" i="40"/>
  <c r="AM48" i="40"/>
  <c r="AM44" i="40"/>
  <c r="AM49" i="40"/>
  <c r="AM45" i="40"/>
  <c r="AM46" i="40"/>
  <c r="AM47" i="40"/>
  <c r="CA48" i="40"/>
  <c r="CA44" i="40"/>
  <c r="CA49" i="40"/>
  <c r="CA45" i="40"/>
  <c r="CA46" i="40"/>
  <c r="CA47" i="40"/>
  <c r="CY48" i="40"/>
  <c r="CY44" i="40"/>
  <c r="CY49" i="40"/>
  <c r="CY45" i="40"/>
  <c r="CY46" i="40"/>
  <c r="CY47" i="40"/>
  <c r="BK48" i="40"/>
  <c r="BK44" i="40"/>
  <c r="BK49" i="40"/>
  <c r="BK45" i="40"/>
  <c r="BK46" i="40"/>
  <c r="BK47" i="40"/>
  <c r="AV48" i="40"/>
  <c r="AV49" i="40"/>
  <c r="AV46" i="40"/>
  <c r="AV44" i="40"/>
  <c r="AV47" i="40"/>
  <c r="AV45" i="40"/>
  <c r="CJ48" i="40"/>
  <c r="CJ49" i="40"/>
  <c r="CJ46" i="40"/>
  <c r="CJ47" i="40"/>
  <c r="CJ44" i="40"/>
  <c r="CJ45" i="40"/>
  <c r="BE49" i="40"/>
  <c r="BE45" i="40"/>
  <c r="BE46" i="40"/>
  <c r="BE47" i="40"/>
  <c r="BE48" i="40"/>
  <c r="BE44" i="40"/>
  <c r="CS49" i="40"/>
  <c r="CS45" i="40"/>
  <c r="CS46" i="40"/>
  <c r="CS47" i="40"/>
  <c r="CS44" i="40"/>
  <c r="CS48" i="40"/>
  <c r="AA46" i="40"/>
  <c r="AA47" i="40"/>
  <c r="AA48" i="40"/>
  <c r="AA49" i="40"/>
  <c r="AA45" i="40"/>
  <c r="AA44" i="40"/>
  <c r="AP49" i="40"/>
  <c r="AP47" i="40"/>
  <c r="AP46" i="40"/>
  <c r="AP45" i="40"/>
  <c r="AP48" i="40"/>
  <c r="AP44" i="40"/>
  <c r="AX49" i="40"/>
  <c r="AX47" i="40"/>
  <c r="AX48" i="40"/>
  <c r="AX44" i="40"/>
  <c r="AX45" i="40"/>
  <c r="AX46" i="40"/>
  <c r="BF49" i="40"/>
  <c r="BF45" i="40"/>
  <c r="BF47" i="40"/>
  <c r="BF48" i="40"/>
  <c r="BF44" i="40"/>
  <c r="BF46" i="40"/>
  <c r="BN49" i="40"/>
  <c r="BN45" i="40"/>
  <c r="BN47" i="40"/>
  <c r="BN46" i="40"/>
  <c r="BN44" i="40"/>
  <c r="BN48" i="40"/>
  <c r="BV49" i="40"/>
  <c r="BV45" i="40"/>
  <c r="BV47" i="40"/>
  <c r="BV44" i="40"/>
  <c r="BV48" i="40"/>
  <c r="BV46" i="40"/>
  <c r="CD49" i="40"/>
  <c r="CD45" i="40"/>
  <c r="CD47" i="40"/>
  <c r="CD48" i="40"/>
  <c r="CD46" i="40"/>
  <c r="CD44" i="40"/>
  <c r="CL49" i="40"/>
  <c r="CL45" i="40"/>
  <c r="CL47" i="40"/>
  <c r="CL48" i="40"/>
  <c r="CL46" i="40"/>
  <c r="CL44" i="40"/>
  <c r="CT49" i="40"/>
  <c r="CT45" i="40"/>
  <c r="CT47" i="40"/>
  <c r="CT44" i="40"/>
  <c r="CT46" i="40"/>
  <c r="CT48" i="40"/>
  <c r="DB49" i="40"/>
  <c r="DB45" i="40"/>
  <c r="DB47" i="40"/>
  <c r="DB46" i="40"/>
  <c r="DB48" i="40"/>
  <c r="DB44" i="40"/>
  <c r="DJ49" i="40"/>
  <c r="DJ45" i="40"/>
  <c r="DJ47" i="40"/>
  <c r="DJ48" i="40"/>
  <c r="DJ46" i="40"/>
  <c r="DJ44" i="40"/>
  <c r="BS48" i="40"/>
  <c r="BS44" i="40"/>
  <c r="BS49" i="40"/>
  <c r="BS45" i="40"/>
  <c r="BS46" i="40"/>
  <c r="BS47" i="40"/>
  <c r="DO48" i="40"/>
  <c r="DO44" i="40"/>
  <c r="DO49" i="40"/>
  <c r="DO45" i="40"/>
  <c r="DO46" i="40"/>
  <c r="DO47" i="40"/>
  <c r="BD48" i="40"/>
  <c r="BD49" i="40"/>
  <c r="BD46" i="40"/>
  <c r="BD47" i="40"/>
  <c r="BD45" i="40"/>
  <c r="BD44" i="40"/>
  <c r="CB48" i="40"/>
  <c r="CB49" i="40"/>
  <c r="CB46" i="40"/>
  <c r="CB47" i="40"/>
  <c r="CB45" i="40"/>
  <c r="CB44" i="40"/>
  <c r="BM49" i="40"/>
  <c r="BM45" i="40"/>
  <c r="BM46" i="40"/>
  <c r="BM47" i="40"/>
  <c r="BM48" i="40"/>
  <c r="BM44" i="40"/>
  <c r="CK49" i="40"/>
  <c r="CK45" i="40"/>
  <c r="CK46" i="40"/>
  <c r="CK47" i="40"/>
  <c r="CK48" i="40"/>
  <c r="CK44" i="40"/>
  <c r="AL47" i="40"/>
  <c r="AL48" i="40"/>
  <c r="AL49" i="40"/>
  <c r="AL45" i="40"/>
  <c r="AL46" i="40"/>
  <c r="AL44" i="40"/>
  <c r="AB46" i="40"/>
  <c r="AB48" i="40"/>
  <c r="AB44" i="40"/>
  <c r="AB49" i="40"/>
  <c r="AB45" i="40"/>
  <c r="AB47" i="40"/>
  <c r="AQ46" i="40"/>
  <c r="AQ47" i="40"/>
  <c r="AQ48" i="40"/>
  <c r="AQ45" i="40"/>
  <c r="AQ44" i="40"/>
  <c r="AQ49" i="40"/>
  <c r="AY46" i="40"/>
  <c r="AY47" i="40"/>
  <c r="AY48" i="40"/>
  <c r="AY49" i="40"/>
  <c r="AY45" i="40"/>
  <c r="AY44" i="40"/>
  <c r="BG46" i="40"/>
  <c r="BG47" i="40"/>
  <c r="BG48" i="40"/>
  <c r="BG45" i="40"/>
  <c r="BG49" i="40"/>
  <c r="BG44" i="40"/>
  <c r="BO46" i="40"/>
  <c r="BO47" i="40"/>
  <c r="BO48" i="40"/>
  <c r="BO45" i="40"/>
  <c r="BO44" i="40"/>
  <c r="BO49" i="40"/>
  <c r="BW46" i="40"/>
  <c r="BW47" i="40"/>
  <c r="BW48" i="40"/>
  <c r="BW45" i="40"/>
  <c r="BW44" i="40"/>
  <c r="BW49" i="40"/>
  <c r="CE46" i="40"/>
  <c r="CE47" i="40"/>
  <c r="CE48" i="40"/>
  <c r="CE44" i="40"/>
  <c r="CE49" i="40"/>
  <c r="CE45" i="40"/>
  <c r="CM46" i="40"/>
  <c r="CM47" i="40"/>
  <c r="CM48" i="40"/>
  <c r="CM45" i="40"/>
  <c r="CM49" i="40"/>
  <c r="CM44" i="40"/>
  <c r="CU46" i="40"/>
  <c r="CU47" i="40"/>
  <c r="CU48" i="40"/>
  <c r="CU44" i="40"/>
  <c r="CU49" i="40"/>
  <c r="CU45" i="40"/>
  <c r="DC46" i="40"/>
  <c r="DC47" i="40"/>
  <c r="DC48" i="40"/>
  <c r="DC45" i="40"/>
  <c r="DC44" i="40"/>
  <c r="DC49" i="40"/>
  <c r="DK46" i="40"/>
  <c r="DK47" i="40"/>
  <c r="DK48" i="40"/>
  <c r="DK49" i="40"/>
  <c r="DK45" i="40"/>
  <c r="DK44" i="40"/>
  <c r="BC48" i="40"/>
  <c r="BC44" i="40"/>
  <c r="BC49" i="40"/>
  <c r="BC45" i="40"/>
  <c r="BC46" i="40"/>
  <c r="BC47" i="40"/>
  <c r="CQ48" i="40"/>
  <c r="CQ44" i="40"/>
  <c r="CQ49" i="40"/>
  <c r="CQ45" i="40"/>
  <c r="CQ46" i="40"/>
  <c r="CQ47" i="40"/>
  <c r="DG48" i="40"/>
  <c r="DG44" i="40"/>
  <c r="DG49" i="40"/>
  <c r="DG45" i="40"/>
  <c r="DG46" i="40"/>
  <c r="DG47" i="40"/>
  <c r="DH48" i="40"/>
  <c r="DH49" i="40"/>
  <c r="DH46" i="40"/>
  <c r="DH44" i="40"/>
  <c r="DH47" i="40"/>
  <c r="DH45" i="40"/>
  <c r="AW49" i="40"/>
  <c r="AW45" i="40"/>
  <c r="AW46" i="40"/>
  <c r="AW47" i="40"/>
  <c r="AW44" i="40"/>
  <c r="AW48" i="40"/>
  <c r="AF48" i="40"/>
  <c r="AF49" i="40"/>
  <c r="AF46" i="40"/>
  <c r="AF45" i="40"/>
  <c r="AF47" i="40"/>
  <c r="AF44" i="40"/>
  <c r="AC47" i="40"/>
  <c r="AC48" i="40"/>
  <c r="AC44" i="40"/>
  <c r="AC49" i="40"/>
  <c r="AC46" i="40"/>
  <c r="AC45" i="40"/>
  <c r="AR46" i="40"/>
  <c r="AR48" i="40"/>
  <c r="AR44" i="40"/>
  <c r="AR45" i="40"/>
  <c r="AR49" i="40"/>
  <c r="AR47" i="40"/>
  <c r="AZ46" i="40"/>
  <c r="AZ48" i="40"/>
  <c r="AZ44" i="40"/>
  <c r="AZ49" i="40"/>
  <c r="AZ47" i="40"/>
  <c r="AZ45" i="40"/>
  <c r="BH46" i="40"/>
  <c r="BH47" i="40"/>
  <c r="BH48" i="40"/>
  <c r="BH44" i="40"/>
  <c r="BH49" i="40"/>
  <c r="BH45" i="40"/>
  <c r="BP46" i="40"/>
  <c r="BP47" i="40"/>
  <c r="BP48" i="40"/>
  <c r="BP44" i="40"/>
  <c r="BP45" i="40"/>
  <c r="BP49" i="40"/>
  <c r="BX46" i="40"/>
  <c r="BX47" i="40"/>
  <c r="BX48" i="40"/>
  <c r="BX44" i="40"/>
  <c r="BX45" i="40"/>
  <c r="BX49" i="40"/>
  <c r="CF46" i="40"/>
  <c r="CF47" i="40"/>
  <c r="CF48" i="40"/>
  <c r="CF44" i="40"/>
  <c r="CF49" i="40"/>
  <c r="CF45" i="40"/>
  <c r="CN46" i="40"/>
  <c r="CN47" i="40"/>
  <c r="CN48" i="40"/>
  <c r="CN44" i="40"/>
  <c r="CN49" i="40"/>
  <c r="CN45" i="40"/>
  <c r="CV46" i="40"/>
  <c r="CV47" i="40"/>
  <c r="CV48" i="40"/>
  <c r="CV44" i="40"/>
  <c r="CV45" i="40"/>
  <c r="CV49" i="40"/>
  <c r="DD46" i="40"/>
  <c r="DD47" i="40"/>
  <c r="DD48" i="40"/>
  <c r="DD44" i="40"/>
  <c r="DD49" i="40"/>
  <c r="DD45" i="40"/>
  <c r="DL46" i="40"/>
  <c r="DL47" i="40"/>
  <c r="DL48" i="40"/>
  <c r="DL44" i="40"/>
  <c r="DL49" i="40"/>
  <c r="DL45" i="40"/>
  <c r="AU48" i="40"/>
  <c r="AU44" i="40"/>
  <c r="AU49" i="40"/>
  <c r="AU45" i="40"/>
  <c r="AU46" i="40"/>
  <c r="AU47" i="40"/>
  <c r="AN48" i="40"/>
  <c r="AN49" i="40"/>
  <c r="AN46" i="40"/>
  <c r="AN45" i="40"/>
  <c r="AN47" i="40"/>
  <c r="AN44" i="40"/>
  <c r="BT48" i="40"/>
  <c r="BT49" i="40"/>
  <c r="BT46" i="40"/>
  <c r="BT45" i="40"/>
  <c r="BT44" i="40"/>
  <c r="BT47" i="40"/>
  <c r="AK47" i="40"/>
  <c r="AK48" i="40"/>
  <c r="AK44" i="40"/>
  <c r="AK49" i="40"/>
  <c r="AK46" i="40"/>
  <c r="AK45" i="40"/>
  <c r="BU49" i="40"/>
  <c r="BU45" i="40"/>
  <c r="BU46" i="40"/>
  <c r="BU47" i="40"/>
  <c r="BU44" i="40"/>
  <c r="BU48" i="40"/>
  <c r="DA49" i="40"/>
  <c r="DA45" i="40"/>
  <c r="DA46" i="40"/>
  <c r="DA47" i="40"/>
  <c r="DA48" i="40"/>
  <c r="DA44" i="40"/>
  <c r="AG49" i="40"/>
  <c r="AG45" i="40"/>
  <c r="AG46" i="40"/>
  <c r="AG47" i="40"/>
  <c r="AG44" i="40"/>
  <c r="AG48" i="40"/>
  <c r="AD47" i="40"/>
  <c r="AD48" i="40"/>
  <c r="AD49" i="40"/>
  <c r="AD45" i="40"/>
  <c r="AD44" i="40"/>
  <c r="AD46" i="40"/>
  <c r="AS47" i="40"/>
  <c r="AS48" i="40"/>
  <c r="AS44" i="40"/>
  <c r="AS49" i="40"/>
  <c r="AS46" i="40"/>
  <c r="AS45" i="40"/>
  <c r="BA47" i="40"/>
  <c r="BA48" i="40"/>
  <c r="BA44" i="40"/>
  <c r="BA49" i="40"/>
  <c r="BA45" i="40"/>
  <c r="BA46" i="40"/>
  <c r="BI47" i="40"/>
  <c r="BI48" i="40"/>
  <c r="BI44" i="40"/>
  <c r="BI49" i="40"/>
  <c r="BI46" i="40"/>
  <c r="BI45" i="40"/>
  <c r="BQ47" i="40"/>
  <c r="BQ48" i="40"/>
  <c r="BQ44" i="40"/>
  <c r="BQ49" i="40"/>
  <c r="BQ45" i="40"/>
  <c r="BQ46" i="40"/>
  <c r="BY47" i="40"/>
  <c r="BY48" i="40"/>
  <c r="BY44" i="40"/>
  <c r="BY49" i="40"/>
  <c r="BY46" i="40"/>
  <c r="BY45" i="40"/>
  <c r="CG47" i="40"/>
  <c r="CG48" i="40"/>
  <c r="CG44" i="40"/>
  <c r="CG49" i="40"/>
  <c r="CG46" i="40"/>
  <c r="CG45" i="40"/>
  <c r="CO47" i="40"/>
  <c r="CO48" i="40"/>
  <c r="CO44" i="40"/>
  <c r="CO49" i="40"/>
  <c r="CO46" i="40"/>
  <c r="CO45" i="40"/>
  <c r="CW47" i="40"/>
  <c r="CW48" i="40"/>
  <c r="CW44" i="40"/>
  <c r="CW49" i="40"/>
  <c r="CW45" i="40"/>
  <c r="CW46" i="40"/>
  <c r="DE47" i="40"/>
  <c r="DE48" i="40"/>
  <c r="DE44" i="40"/>
  <c r="DE49" i="40"/>
  <c r="DE46" i="40"/>
  <c r="DE45" i="40"/>
  <c r="DM47" i="40"/>
  <c r="DM48" i="40"/>
  <c r="DM44" i="40"/>
  <c r="DM49" i="40"/>
  <c r="DM45" i="40"/>
  <c r="DM46" i="40"/>
  <c r="AI46" i="40"/>
  <c r="AI47" i="40"/>
  <c r="AI48" i="40"/>
  <c r="AI44" i="40"/>
  <c r="AI49" i="40"/>
  <c r="AI45" i="40"/>
  <c r="CI48" i="40"/>
  <c r="CI44" i="40"/>
  <c r="CI49" i="40"/>
  <c r="CI45" i="40"/>
  <c r="CI46" i="40"/>
  <c r="CI47" i="40"/>
  <c r="BL48" i="40"/>
  <c r="BL49" i="40"/>
  <c r="BL46" i="40"/>
  <c r="BL45" i="40"/>
  <c r="BL47" i="40"/>
  <c r="BL44" i="40"/>
  <c r="CR48" i="40"/>
  <c r="CR49" i="40"/>
  <c r="CR46" i="40"/>
  <c r="CR44" i="40"/>
  <c r="CR45" i="40"/>
  <c r="CR47" i="40"/>
  <c r="CZ48" i="40"/>
  <c r="CZ49" i="40"/>
  <c r="CZ46" i="40"/>
  <c r="CZ45" i="40"/>
  <c r="CZ47" i="40"/>
  <c r="CZ44" i="40"/>
  <c r="DP48" i="40"/>
  <c r="DP49" i="40"/>
  <c r="DP46" i="40"/>
  <c r="DP47" i="40"/>
  <c r="DP45" i="40"/>
  <c r="DP44" i="40"/>
  <c r="AO49" i="40"/>
  <c r="AO45" i="40"/>
  <c r="AO46" i="40"/>
  <c r="AO47" i="40"/>
  <c r="AO48" i="40"/>
  <c r="AO44" i="40"/>
  <c r="CC49" i="40"/>
  <c r="CC45" i="40"/>
  <c r="CC46" i="40"/>
  <c r="CC47" i="40"/>
  <c r="CC48" i="40"/>
  <c r="CC44" i="40"/>
  <c r="DI49" i="40"/>
  <c r="DI45" i="40"/>
  <c r="DI46" i="40"/>
  <c r="DI47" i="40"/>
  <c r="DI44" i="40"/>
  <c r="DI48" i="40"/>
  <c r="AH49" i="40"/>
  <c r="AH47" i="40"/>
  <c r="AH44" i="40"/>
  <c r="AH45" i="40"/>
  <c r="AH46" i="40"/>
  <c r="AH48" i="40"/>
  <c r="AE48" i="40"/>
  <c r="AE44" i="40"/>
  <c r="AE49" i="40"/>
  <c r="AE45" i="40"/>
  <c r="AE47" i="40"/>
  <c r="AE46" i="40"/>
  <c r="AT47" i="40"/>
  <c r="AT48" i="40"/>
  <c r="AT49" i="40"/>
  <c r="AT45" i="40"/>
  <c r="AT44" i="40"/>
  <c r="AT46" i="40"/>
  <c r="BB47" i="40"/>
  <c r="BB48" i="40"/>
  <c r="BB49" i="40"/>
  <c r="BB45" i="40"/>
  <c r="BB46" i="40"/>
  <c r="BB44" i="40"/>
  <c r="BJ47" i="40"/>
  <c r="BJ48" i="40"/>
  <c r="BJ49" i="40"/>
  <c r="BJ45" i="40"/>
  <c r="BJ44" i="40"/>
  <c r="BJ46" i="40"/>
  <c r="BR47" i="40"/>
  <c r="BR48" i="40"/>
  <c r="BR49" i="40"/>
  <c r="BR45" i="40"/>
  <c r="BR44" i="40"/>
  <c r="BR46" i="40"/>
  <c r="BZ47" i="40"/>
  <c r="BZ48" i="40"/>
  <c r="BZ49" i="40"/>
  <c r="BZ45" i="40"/>
  <c r="BZ46" i="40"/>
  <c r="BZ44" i="40"/>
  <c r="CH47" i="40"/>
  <c r="CH48" i="40"/>
  <c r="CH49" i="40"/>
  <c r="CH45" i="40"/>
  <c r="CH46" i="40"/>
  <c r="CH44" i="40"/>
  <c r="CP47" i="40"/>
  <c r="CP48" i="40"/>
  <c r="CP49" i="40"/>
  <c r="CP45" i="40"/>
  <c r="CP44" i="40"/>
  <c r="CP46" i="40"/>
  <c r="CX47" i="40"/>
  <c r="CX48" i="40"/>
  <c r="CX49" i="40"/>
  <c r="CX45" i="40"/>
  <c r="CX46" i="40"/>
  <c r="CX44" i="40"/>
  <c r="DF47" i="40"/>
  <c r="DF48" i="40"/>
  <c r="DF49" i="40"/>
  <c r="DF45" i="40"/>
  <c r="DF44" i="40"/>
  <c r="DF46" i="40"/>
  <c r="DN47" i="40"/>
  <c r="DN48" i="40"/>
  <c r="DN49" i="40"/>
  <c r="DN45" i="40"/>
  <c r="DN46" i="40"/>
  <c r="DN44" i="40"/>
  <c r="AM599" i="40"/>
  <c r="AM43" i="40"/>
  <c r="CI599" i="40"/>
  <c r="CI43" i="40"/>
  <c r="BL599" i="40"/>
  <c r="BL43" i="40"/>
  <c r="AK599" i="40"/>
  <c r="AK43" i="40"/>
  <c r="AO599" i="40"/>
  <c r="AO43" i="40"/>
  <c r="AW599" i="40"/>
  <c r="AW43" i="40"/>
  <c r="BE599" i="40"/>
  <c r="BE43" i="40"/>
  <c r="BM599" i="40"/>
  <c r="BM43" i="40"/>
  <c r="BU599" i="40"/>
  <c r="BU43" i="40"/>
  <c r="CC599" i="40"/>
  <c r="CC43" i="40"/>
  <c r="CK599" i="40"/>
  <c r="CK43" i="40"/>
  <c r="CS599" i="40"/>
  <c r="CS43" i="40"/>
  <c r="DA599" i="40"/>
  <c r="DA43" i="40"/>
  <c r="DI599" i="40"/>
  <c r="DI43" i="40"/>
  <c r="AI599" i="40"/>
  <c r="AI43" i="40"/>
  <c r="BS599" i="40"/>
  <c r="BS43" i="40"/>
  <c r="DG599" i="40"/>
  <c r="DG43" i="40"/>
  <c r="AV599" i="40"/>
  <c r="AV43" i="40"/>
  <c r="AA599" i="40"/>
  <c r="AA43" i="40"/>
  <c r="AP599" i="40"/>
  <c r="AP43" i="40"/>
  <c r="AX599" i="40"/>
  <c r="AX43" i="40"/>
  <c r="BF599" i="40"/>
  <c r="BF43" i="40"/>
  <c r="BN599" i="40"/>
  <c r="BN43" i="40"/>
  <c r="BV599" i="40"/>
  <c r="BV43" i="40"/>
  <c r="CD599" i="40"/>
  <c r="CD43" i="40"/>
  <c r="CL599" i="40"/>
  <c r="CL43" i="40"/>
  <c r="CT599" i="40"/>
  <c r="CT43" i="40"/>
  <c r="DB599" i="40"/>
  <c r="DB43" i="40"/>
  <c r="DJ599" i="40"/>
  <c r="DJ43" i="40"/>
  <c r="AU599" i="40"/>
  <c r="AU43" i="40"/>
  <c r="CA599" i="40"/>
  <c r="CA43" i="40"/>
  <c r="DO599" i="40"/>
  <c r="DO43" i="40"/>
  <c r="BD599" i="40"/>
  <c r="BD43" i="40"/>
  <c r="AL599" i="40"/>
  <c r="AL43" i="40"/>
  <c r="AB599" i="40"/>
  <c r="AB43" i="40"/>
  <c r="AQ599" i="40"/>
  <c r="AQ43" i="40"/>
  <c r="AY599" i="40"/>
  <c r="AY43" i="40"/>
  <c r="BG599" i="40"/>
  <c r="BG43" i="40"/>
  <c r="BO599" i="40"/>
  <c r="BO43" i="40"/>
  <c r="BW599" i="40"/>
  <c r="BW43" i="40"/>
  <c r="CE599" i="40"/>
  <c r="CE43" i="40"/>
  <c r="CM599" i="40"/>
  <c r="CM43" i="40"/>
  <c r="CU599" i="40"/>
  <c r="CU43" i="40"/>
  <c r="DC599" i="40"/>
  <c r="DC43" i="40"/>
  <c r="DK599" i="40"/>
  <c r="DK43" i="40"/>
  <c r="CQ599" i="40"/>
  <c r="CQ43" i="40"/>
  <c r="CJ599" i="40"/>
  <c r="CJ43" i="40"/>
  <c r="AF599" i="40"/>
  <c r="AF43" i="40"/>
  <c r="AC599" i="40"/>
  <c r="AC43" i="40"/>
  <c r="AR599" i="40"/>
  <c r="AR43" i="40"/>
  <c r="AZ599" i="40"/>
  <c r="AZ43" i="40"/>
  <c r="BH599" i="40"/>
  <c r="BH43" i="40"/>
  <c r="BP599" i="40"/>
  <c r="BP43" i="40"/>
  <c r="BX599" i="40"/>
  <c r="BX43" i="40"/>
  <c r="CF599" i="40"/>
  <c r="CF43" i="40"/>
  <c r="CN599" i="40"/>
  <c r="CN43" i="40"/>
  <c r="CV599" i="40"/>
  <c r="CV43" i="40"/>
  <c r="DD599" i="40"/>
  <c r="DD43" i="40"/>
  <c r="DL599" i="40"/>
  <c r="DL43" i="40"/>
  <c r="BC599" i="40"/>
  <c r="BC43" i="40"/>
  <c r="CY599" i="40"/>
  <c r="CY43" i="40"/>
  <c r="AJ599" i="40"/>
  <c r="BT599" i="40"/>
  <c r="BT43" i="40"/>
  <c r="CR599" i="40"/>
  <c r="CR43" i="40"/>
  <c r="DH599" i="40"/>
  <c r="DH43" i="40"/>
  <c r="AG599" i="40"/>
  <c r="AG43" i="40"/>
  <c r="AD599" i="40"/>
  <c r="AD43" i="40"/>
  <c r="AS599" i="40"/>
  <c r="AS43" i="40"/>
  <c r="BA599" i="40"/>
  <c r="BA43" i="40"/>
  <c r="BI599" i="40"/>
  <c r="BI43" i="40"/>
  <c r="BQ599" i="40"/>
  <c r="BQ43" i="40"/>
  <c r="BY599" i="40"/>
  <c r="BY43" i="40"/>
  <c r="CG599" i="40"/>
  <c r="CG43" i="40"/>
  <c r="CO599" i="40"/>
  <c r="CO43" i="40"/>
  <c r="CW599" i="40"/>
  <c r="CW43" i="40"/>
  <c r="DE599" i="40"/>
  <c r="DE43" i="40"/>
  <c r="DM599" i="40"/>
  <c r="DM43" i="40"/>
  <c r="BK599" i="40"/>
  <c r="BK43" i="40"/>
  <c r="AN599" i="40"/>
  <c r="AN43" i="40"/>
  <c r="CB599" i="40"/>
  <c r="CB43" i="40"/>
  <c r="CZ599" i="40"/>
  <c r="CZ43" i="40"/>
  <c r="DP599" i="40"/>
  <c r="DP43" i="40"/>
  <c r="AH599" i="40"/>
  <c r="AH43" i="40"/>
  <c r="AE599" i="40"/>
  <c r="AE43" i="40"/>
  <c r="AT599" i="40"/>
  <c r="AT43" i="40"/>
  <c r="BB599" i="40"/>
  <c r="BB43" i="40"/>
  <c r="BJ599" i="40"/>
  <c r="BJ43" i="40"/>
  <c r="BR599" i="40"/>
  <c r="BR43" i="40"/>
  <c r="BZ599" i="40"/>
  <c r="BZ43" i="40"/>
  <c r="CH599" i="40"/>
  <c r="CH43" i="40"/>
  <c r="CP599" i="40"/>
  <c r="CP43" i="40"/>
  <c r="CX599" i="40"/>
  <c r="CX43" i="40"/>
  <c r="DF599" i="40"/>
  <c r="DF43" i="40"/>
  <c r="DN599" i="40"/>
  <c r="DN43" i="40"/>
  <c r="AI597" i="40"/>
  <c r="AI598" i="40"/>
  <c r="CY598" i="40"/>
  <c r="CY597" i="40"/>
  <c r="BD598" i="40"/>
  <c r="BD597" i="40"/>
  <c r="CJ598" i="40"/>
  <c r="CJ597" i="40"/>
  <c r="CZ598" i="40"/>
  <c r="CZ597" i="40"/>
  <c r="DP598" i="40"/>
  <c r="DP597" i="40"/>
  <c r="AK597" i="40"/>
  <c r="AK598" i="40"/>
  <c r="AO598" i="40"/>
  <c r="AO597" i="40"/>
  <c r="AW598" i="40"/>
  <c r="AW597" i="40"/>
  <c r="BE598" i="40"/>
  <c r="BE597" i="40"/>
  <c r="BM598" i="40"/>
  <c r="BM597" i="40"/>
  <c r="BU598" i="40"/>
  <c r="BU597" i="40"/>
  <c r="CC598" i="40"/>
  <c r="CC597" i="40"/>
  <c r="CK598" i="40"/>
  <c r="CK597" i="40"/>
  <c r="CS598" i="40"/>
  <c r="CS597" i="40"/>
  <c r="DA598" i="40"/>
  <c r="DA597" i="40"/>
  <c r="DI598" i="40"/>
  <c r="DI597" i="40"/>
  <c r="BK598" i="40"/>
  <c r="BK597" i="40"/>
  <c r="BS598" i="40"/>
  <c r="BS597" i="40"/>
  <c r="CQ598" i="40"/>
  <c r="CQ597" i="40"/>
  <c r="DG598" i="40"/>
  <c r="DG597" i="40"/>
  <c r="DO598" i="40"/>
  <c r="DO597" i="40"/>
  <c r="BL598" i="40"/>
  <c r="BL597" i="40"/>
  <c r="CR598" i="40"/>
  <c r="CR597" i="40"/>
  <c r="DH598" i="40"/>
  <c r="DH597" i="40"/>
  <c r="AA598" i="40"/>
  <c r="AA597" i="40"/>
  <c r="AP598" i="40"/>
  <c r="AP597" i="40"/>
  <c r="AX598" i="40"/>
  <c r="AX597" i="40"/>
  <c r="BF598" i="40"/>
  <c r="BF597" i="40"/>
  <c r="BN598" i="40"/>
  <c r="BN597" i="40"/>
  <c r="BV598" i="40"/>
  <c r="BV597" i="40"/>
  <c r="CD598" i="40"/>
  <c r="CD597" i="40"/>
  <c r="CL598" i="40"/>
  <c r="CL597" i="40"/>
  <c r="CT598" i="40"/>
  <c r="CT597" i="40"/>
  <c r="DB598" i="40"/>
  <c r="DB597" i="40"/>
  <c r="DJ598" i="40"/>
  <c r="DJ597" i="40"/>
  <c r="AU598" i="40"/>
  <c r="AU597" i="40"/>
  <c r="CA598" i="40"/>
  <c r="CA597" i="40"/>
  <c r="AJ597" i="40"/>
  <c r="AJ598" i="40"/>
  <c r="AQ598" i="40"/>
  <c r="AQ597" i="40"/>
  <c r="BO598" i="40"/>
  <c r="BO597" i="40"/>
  <c r="CM598" i="40"/>
  <c r="CM597" i="40"/>
  <c r="DC597" i="40"/>
  <c r="DC598" i="40"/>
  <c r="AF598" i="40"/>
  <c r="AC597" i="40"/>
  <c r="AC598" i="40"/>
  <c r="AR597" i="40"/>
  <c r="AR598" i="40"/>
  <c r="AZ597" i="40"/>
  <c r="AZ598" i="40"/>
  <c r="BH597" i="40"/>
  <c r="BH598" i="40"/>
  <c r="BP597" i="40"/>
  <c r="BP598" i="40"/>
  <c r="BX597" i="40"/>
  <c r="BX598" i="40"/>
  <c r="CF597" i="40"/>
  <c r="CF598" i="40"/>
  <c r="CN597" i="40"/>
  <c r="CN598" i="40"/>
  <c r="CV597" i="40"/>
  <c r="CV598" i="40"/>
  <c r="DD597" i="40"/>
  <c r="DD598" i="40"/>
  <c r="DL597" i="40"/>
  <c r="DL598" i="40"/>
  <c r="AM598" i="40"/>
  <c r="AM597" i="40"/>
  <c r="CI598" i="40"/>
  <c r="CI597" i="40"/>
  <c r="AN598" i="40"/>
  <c r="AN597" i="40"/>
  <c r="BT598" i="40"/>
  <c r="BT597" i="40"/>
  <c r="AB597" i="40"/>
  <c r="AB598" i="40"/>
  <c r="BG598" i="40"/>
  <c r="BG597" i="40"/>
  <c r="CE597" i="40"/>
  <c r="CE598" i="40"/>
  <c r="DK598" i="40"/>
  <c r="DK597" i="40"/>
  <c r="AG598" i="40"/>
  <c r="AG597" i="40"/>
  <c r="AD597" i="40"/>
  <c r="AD598" i="40"/>
  <c r="AS597" i="40"/>
  <c r="AS598" i="40"/>
  <c r="BA597" i="40"/>
  <c r="BA598" i="40"/>
  <c r="BI597" i="40"/>
  <c r="BI598" i="40"/>
  <c r="BQ597" i="40"/>
  <c r="BQ598" i="40"/>
  <c r="BY597" i="40"/>
  <c r="BY598" i="40"/>
  <c r="CG597" i="40"/>
  <c r="CG598" i="40"/>
  <c r="CO597" i="40"/>
  <c r="CO598" i="40"/>
  <c r="CW597" i="40"/>
  <c r="CW598" i="40"/>
  <c r="DE597" i="40"/>
  <c r="DE598" i="40"/>
  <c r="DM597" i="40"/>
  <c r="DM598" i="40"/>
  <c r="BC598" i="40"/>
  <c r="BC597" i="40"/>
  <c r="AV598" i="40"/>
  <c r="AV597" i="40"/>
  <c r="CB598" i="40"/>
  <c r="CB597" i="40"/>
  <c r="AL598" i="40"/>
  <c r="AL597" i="40"/>
  <c r="AY597" i="40"/>
  <c r="AY598" i="40"/>
  <c r="BW597" i="40"/>
  <c r="BW598" i="40"/>
  <c r="CU597" i="40"/>
  <c r="CU598" i="40"/>
  <c r="AH598" i="40"/>
  <c r="AH597" i="40"/>
  <c r="AE598" i="40"/>
  <c r="AE597" i="40"/>
  <c r="AT597" i="40"/>
  <c r="AT598" i="40"/>
  <c r="BB597" i="40"/>
  <c r="BB598" i="40"/>
  <c r="BJ597" i="40"/>
  <c r="BJ598" i="40"/>
  <c r="BR597" i="40"/>
  <c r="BR598" i="40"/>
  <c r="BZ597" i="40"/>
  <c r="BZ598" i="40"/>
  <c r="CH597" i="40"/>
  <c r="CH598" i="40"/>
  <c r="CP597" i="40"/>
  <c r="CP598" i="40"/>
  <c r="CX597" i="40"/>
  <c r="CX598" i="40"/>
  <c r="DF597" i="40"/>
  <c r="DF598" i="40"/>
  <c r="DN597" i="40"/>
  <c r="DN598" i="40"/>
  <c r="AI593" i="40"/>
  <c r="AI595" i="40"/>
  <c r="AI596" i="40"/>
  <c r="BK593" i="40"/>
  <c r="BK595" i="40"/>
  <c r="BK596" i="40"/>
  <c r="CY593" i="40"/>
  <c r="CY595" i="40"/>
  <c r="CY596" i="40"/>
  <c r="AJ593" i="40"/>
  <c r="AJ596" i="40"/>
  <c r="AJ595" i="40"/>
  <c r="AV593" i="40"/>
  <c r="AV595" i="40"/>
  <c r="AV596" i="40"/>
  <c r="BL593" i="40"/>
  <c r="BL595" i="40"/>
  <c r="BL596" i="40"/>
  <c r="CB593" i="40"/>
  <c r="CB595" i="40"/>
  <c r="CB596" i="40"/>
  <c r="CR593" i="40"/>
  <c r="CR595" i="40"/>
  <c r="CR596" i="40"/>
  <c r="DH593" i="40"/>
  <c r="DH595" i="40"/>
  <c r="DH596" i="40"/>
  <c r="DP593" i="40"/>
  <c r="DP595" i="40"/>
  <c r="DP596" i="40"/>
  <c r="AK593" i="40"/>
  <c r="AK596" i="40"/>
  <c r="AK595" i="40"/>
  <c r="AO593" i="40"/>
  <c r="AO595" i="40"/>
  <c r="AO596" i="40"/>
  <c r="AW593" i="40"/>
  <c r="AW595" i="40"/>
  <c r="AW596" i="40"/>
  <c r="BE593" i="40"/>
  <c r="BE595" i="40"/>
  <c r="BE596" i="40"/>
  <c r="BM593" i="40"/>
  <c r="BM595" i="40"/>
  <c r="BM596" i="40"/>
  <c r="BU593" i="40"/>
  <c r="BU595" i="40"/>
  <c r="BU596" i="40"/>
  <c r="CC593" i="40"/>
  <c r="CC595" i="40"/>
  <c r="CC596" i="40"/>
  <c r="CK593" i="40"/>
  <c r="CK595" i="40"/>
  <c r="CK596" i="40"/>
  <c r="CS593" i="40"/>
  <c r="CS595" i="40"/>
  <c r="CS596" i="40"/>
  <c r="DA593" i="40"/>
  <c r="DA595" i="40"/>
  <c r="DA596" i="40"/>
  <c r="DI593" i="40"/>
  <c r="DI595" i="40"/>
  <c r="DI596" i="40"/>
  <c r="AU593" i="40"/>
  <c r="AU595" i="40"/>
  <c r="AU596" i="40"/>
  <c r="CA593" i="40"/>
  <c r="CA595" i="40"/>
  <c r="CA596" i="40"/>
  <c r="DG593" i="40"/>
  <c r="DG595" i="40"/>
  <c r="DG596" i="40"/>
  <c r="AN593" i="40"/>
  <c r="AN595" i="40"/>
  <c r="AN596" i="40"/>
  <c r="BD593" i="40"/>
  <c r="BD595" i="40"/>
  <c r="BD596" i="40"/>
  <c r="BT593" i="40"/>
  <c r="BT595" i="40"/>
  <c r="BT596" i="40"/>
  <c r="CJ593" i="40"/>
  <c r="CJ595" i="40"/>
  <c r="CJ596" i="40"/>
  <c r="CZ593" i="40"/>
  <c r="CZ595" i="40"/>
  <c r="CZ596" i="40"/>
  <c r="AA595" i="40"/>
  <c r="AA596" i="40"/>
  <c r="AP593" i="40"/>
  <c r="AP595" i="40"/>
  <c r="AP596" i="40"/>
  <c r="AX593" i="40"/>
  <c r="AX595" i="40"/>
  <c r="AX596" i="40"/>
  <c r="BF593" i="40"/>
  <c r="BF595" i="40"/>
  <c r="BF596" i="40"/>
  <c r="BN593" i="40"/>
  <c r="BN595" i="40"/>
  <c r="BN596" i="40"/>
  <c r="BV593" i="40"/>
  <c r="BV595" i="40"/>
  <c r="BV596" i="40"/>
  <c r="CD593" i="40"/>
  <c r="CD595" i="40"/>
  <c r="CD596" i="40"/>
  <c r="CL593" i="40"/>
  <c r="CL595" i="40"/>
  <c r="CL596" i="40"/>
  <c r="CT593" i="40"/>
  <c r="CT595" i="40"/>
  <c r="CT596" i="40"/>
  <c r="DB593" i="40"/>
  <c r="DB595" i="40"/>
  <c r="DB596" i="40"/>
  <c r="DJ593" i="40"/>
  <c r="DJ595" i="40"/>
  <c r="DJ596" i="40"/>
  <c r="BC593" i="40"/>
  <c r="BC595" i="40"/>
  <c r="BC596" i="40"/>
  <c r="CQ593" i="40"/>
  <c r="CQ595" i="40"/>
  <c r="CQ596" i="40"/>
  <c r="AL593" i="40"/>
  <c r="AL596" i="40"/>
  <c r="AL595" i="40"/>
  <c r="AQ593" i="40"/>
  <c r="AQ595" i="40"/>
  <c r="AQ596" i="40"/>
  <c r="BG593" i="40"/>
  <c r="BG595" i="40"/>
  <c r="BG596" i="40"/>
  <c r="BW593" i="40"/>
  <c r="BW595" i="40"/>
  <c r="BW596" i="40"/>
  <c r="CE593" i="40"/>
  <c r="CE595" i="40"/>
  <c r="CE596" i="40"/>
  <c r="DC593" i="40"/>
  <c r="DC595" i="40"/>
  <c r="DC596" i="40"/>
  <c r="AF593" i="40"/>
  <c r="AF595" i="40"/>
  <c r="AF596" i="40"/>
  <c r="AC596" i="40"/>
  <c r="AC595" i="40"/>
  <c r="AR593" i="40"/>
  <c r="AR596" i="40"/>
  <c r="AR595" i="40"/>
  <c r="AZ593" i="40"/>
  <c r="AZ596" i="40"/>
  <c r="AZ595" i="40"/>
  <c r="BH593" i="40"/>
  <c r="BH596" i="40"/>
  <c r="BH595" i="40"/>
  <c r="BP593" i="40"/>
  <c r="BP596" i="40"/>
  <c r="BP595" i="40"/>
  <c r="BX593" i="40"/>
  <c r="BX596" i="40"/>
  <c r="BX595" i="40"/>
  <c r="CF593" i="40"/>
  <c r="CF596" i="40"/>
  <c r="CF595" i="40"/>
  <c r="CN593" i="40"/>
  <c r="CN596" i="40"/>
  <c r="CN595" i="40"/>
  <c r="CV593" i="40"/>
  <c r="CV596" i="40"/>
  <c r="CV595" i="40"/>
  <c r="DD593" i="40"/>
  <c r="DD596" i="40"/>
  <c r="DD595" i="40"/>
  <c r="DL593" i="40"/>
  <c r="DL596" i="40"/>
  <c r="DL595" i="40"/>
  <c r="CU593" i="40"/>
  <c r="CU595" i="40"/>
  <c r="CU596" i="40"/>
  <c r="AG593" i="40"/>
  <c r="AG595" i="40"/>
  <c r="AG596" i="40"/>
  <c r="AD596" i="40"/>
  <c r="AD595" i="40"/>
  <c r="AS593" i="40"/>
  <c r="AS596" i="40"/>
  <c r="AS595" i="40"/>
  <c r="BA593" i="40"/>
  <c r="BA596" i="40"/>
  <c r="BA595" i="40"/>
  <c r="BI593" i="40"/>
  <c r="BI596" i="40"/>
  <c r="BI595" i="40"/>
  <c r="BQ593" i="40"/>
  <c r="BQ596" i="40"/>
  <c r="BQ595" i="40"/>
  <c r="BY593" i="40"/>
  <c r="BY596" i="40"/>
  <c r="BY595" i="40"/>
  <c r="CG593" i="40"/>
  <c r="CG596" i="40"/>
  <c r="CG595" i="40"/>
  <c r="CO593" i="40"/>
  <c r="CO596" i="40"/>
  <c r="CO595" i="40"/>
  <c r="CW593" i="40"/>
  <c r="CW596" i="40"/>
  <c r="CW595" i="40"/>
  <c r="DE593" i="40"/>
  <c r="DE596" i="40"/>
  <c r="DE595" i="40"/>
  <c r="DM593" i="40"/>
  <c r="DM596" i="40"/>
  <c r="DM595" i="40"/>
  <c r="AM593" i="40"/>
  <c r="AM595" i="40"/>
  <c r="AM596" i="40"/>
  <c r="BS593" i="40"/>
  <c r="BS595" i="40"/>
  <c r="BS596" i="40"/>
  <c r="CI593" i="40"/>
  <c r="CI595" i="40"/>
  <c r="CI596" i="40"/>
  <c r="DO593" i="40"/>
  <c r="DO595" i="40"/>
  <c r="DO596" i="40"/>
  <c r="AB596" i="40"/>
  <c r="AB595" i="40"/>
  <c r="AY593" i="40"/>
  <c r="AY595" i="40"/>
  <c r="AY596" i="40"/>
  <c r="BO593" i="40"/>
  <c r="BO595" i="40"/>
  <c r="BO596" i="40"/>
  <c r="CM593" i="40"/>
  <c r="CM595" i="40"/>
  <c r="CM596" i="40"/>
  <c r="DK593" i="40"/>
  <c r="DK595" i="40"/>
  <c r="DK596" i="40"/>
  <c r="AH593" i="40"/>
  <c r="AH595" i="40"/>
  <c r="AH596" i="40"/>
  <c r="AE593" i="40"/>
  <c r="AE595" i="40"/>
  <c r="AE596" i="40"/>
  <c r="AT593" i="40"/>
  <c r="AT596" i="40"/>
  <c r="AT595" i="40"/>
  <c r="BB593" i="40"/>
  <c r="BB596" i="40"/>
  <c r="BB595" i="40"/>
  <c r="BJ593" i="40"/>
  <c r="BJ596" i="40"/>
  <c r="BJ595" i="40"/>
  <c r="BR593" i="40"/>
  <c r="BR596" i="40"/>
  <c r="BR595" i="40"/>
  <c r="BZ593" i="40"/>
  <c r="BZ596" i="40"/>
  <c r="BZ595" i="40"/>
  <c r="CH593" i="40"/>
  <c r="CH596" i="40"/>
  <c r="CH595" i="40"/>
  <c r="CP593" i="40"/>
  <c r="CP596" i="40"/>
  <c r="CP595" i="40"/>
  <c r="CX593" i="40"/>
  <c r="CX596" i="40"/>
  <c r="CX595" i="40"/>
  <c r="DF593" i="40"/>
  <c r="DF596" i="40"/>
  <c r="DF595" i="40"/>
  <c r="DN593" i="40"/>
  <c r="DN596" i="40"/>
  <c r="DN595" i="40"/>
  <c r="AB772" i="40"/>
  <c r="AB593" i="40"/>
  <c r="AD772" i="40"/>
  <c r="AD593" i="40"/>
  <c r="AA772" i="40"/>
  <c r="AA593" i="40"/>
  <c r="AC772" i="40"/>
  <c r="AC593" i="40"/>
  <c r="AB34" i="40"/>
  <c r="AC34" i="40"/>
  <c r="AD34" i="40"/>
  <c r="AE34" i="40"/>
  <c r="AV34" i="40"/>
  <c r="AV772" i="40"/>
  <c r="CB34" i="40"/>
  <c r="CB772" i="40"/>
  <c r="DH34" i="40"/>
  <c r="DH772" i="40"/>
  <c r="AW34" i="40"/>
  <c r="AW772" i="40"/>
  <c r="AP34" i="40"/>
  <c r="AP772" i="40"/>
  <c r="BN34" i="40"/>
  <c r="BN772" i="40"/>
  <c r="CD34" i="40"/>
  <c r="CD772" i="40"/>
  <c r="CT34" i="40"/>
  <c r="CT772" i="40"/>
  <c r="AL34" i="40"/>
  <c r="AL772" i="40"/>
  <c r="AQ34" i="40"/>
  <c r="AQ772" i="40"/>
  <c r="AY34" i="40"/>
  <c r="AY772" i="40"/>
  <c r="BG34" i="40"/>
  <c r="BG772" i="40"/>
  <c r="BO34" i="40"/>
  <c r="BO772" i="40"/>
  <c r="BW34" i="40"/>
  <c r="BW772" i="40"/>
  <c r="CE34" i="40"/>
  <c r="CE772" i="40"/>
  <c r="CM34" i="40"/>
  <c r="CM772" i="40"/>
  <c r="CU34" i="40"/>
  <c r="CU772" i="40"/>
  <c r="DC34" i="40"/>
  <c r="DC772" i="40"/>
  <c r="DK34" i="40"/>
  <c r="DK772" i="40"/>
  <c r="BD34" i="40"/>
  <c r="BD772" i="40"/>
  <c r="CJ34" i="40"/>
  <c r="CJ772" i="40"/>
  <c r="CZ34" i="40"/>
  <c r="CZ772" i="40"/>
  <c r="AO34" i="40"/>
  <c r="AO772" i="40"/>
  <c r="AX34" i="40"/>
  <c r="AX772" i="40"/>
  <c r="BF34" i="40"/>
  <c r="BF772" i="40"/>
  <c r="BV34" i="40"/>
  <c r="BV772" i="40"/>
  <c r="CL34" i="40"/>
  <c r="CL772" i="40"/>
  <c r="DB34" i="40"/>
  <c r="DB772" i="40"/>
  <c r="DJ34" i="40"/>
  <c r="DJ772" i="40"/>
  <c r="AF34" i="40"/>
  <c r="AF772" i="40"/>
  <c r="AR34" i="40"/>
  <c r="AR772" i="40"/>
  <c r="AZ34" i="40"/>
  <c r="AZ772" i="40"/>
  <c r="BH34" i="40"/>
  <c r="BH772" i="40"/>
  <c r="BP34" i="40"/>
  <c r="BP772" i="40"/>
  <c r="BX34" i="40"/>
  <c r="BX772" i="40"/>
  <c r="CF34" i="40"/>
  <c r="CF772" i="40"/>
  <c r="CN34" i="40"/>
  <c r="CN772" i="40"/>
  <c r="CV34" i="40"/>
  <c r="CV772" i="40"/>
  <c r="DD34" i="40"/>
  <c r="DD772" i="40"/>
  <c r="DL34" i="40"/>
  <c r="DL772" i="40"/>
  <c r="AN34" i="40"/>
  <c r="AN772" i="40"/>
  <c r="CR34" i="40"/>
  <c r="CR772" i="40"/>
  <c r="BM34" i="40"/>
  <c r="BM772" i="40"/>
  <c r="AG34" i="40"/>
  <c r="AG772" i="40"/>
  <c r="AS34" i="40"/>
  <c r="AS772" i="40"/>
  <c r="BY34" i="40"/>
  <c r="BY772" i="40"/>
  <c r="BL34" i="40"/>
  <c r="BL772" i="40"/>
  <c r="BA34" i="40"/>
  <c r="BA772" i="40"/>
  <c r="BI34" i="40"/>
  <c r="BI772" i="40"/>
  <c r="BQ34" i="40"/>
  <c r="BQ772" i="40"/>
  <c r="CG34" i="40"/>
  <c r="CG772" i="40"/>
  <c r="CO34" i="40"/>
  <c r="CO772" i="40"/>
  <c r="CW34" i="40"/>
  <c r="CW772" i="40"/>
  <c r="DE34" i="40"/>
  <c r="DE772" i="40"/>
  <c r="DM34" i="40"/>
  <c r="DM772" i="40"/>
  <c r="AH34" i="40"/>
  <c r="AH772" i="40"/>
  <c r="AT34" i="40"/>
  <c r="AT772" i="40"/>
  <c r="BB34" i="40"/>
  <c r="BB772" i="40"/>
  <c r="BJ34" i="40"/>
  <c r="BJ772" i="40"/>
  <c r="BR34" i="40"/>
  <c r="BR772" i="40"/>
  <c r="BZ34" i="40"/>
  <c r="BZ772" i="40"/>
  <c r="CH34" i="40"/>
  <c r="CH772" i="40"/>
  <c r="CP34" i="40"/>
  <c r="CP772" i="40"/>
  <c r="CX34" i="40"/>
  <c r="CX772" i="40"/>
  <c r="DF34" i="40"/>
  <c r="DF772" i="40"/>
  <c r="DN34" i="40"/>
  <c r="DN772" i="40"/>
  <c r="AI34" i="40"/>
  <c r="AI772" i="40"/>
  <c r="AM34" i="40"/>
  <c r="AM772" i="40"/>
  <c r="AU34" i="40"/>
  <c r="AU772" i="40"/>
  <c r="BC34" i="40"/>
  <c r="BC772" i="40"/>
  <c r="BK34" i="40"/>
  <c r="BK772" i="40"/>
  <c r="BS34" i="40"/>
  <c r="BS772" i="40"/>
  <c r="CA34" i="40"/>
  <c r="CA772" i="40"/>
  <c r="CI34" i="40"/>
  <c r="CI772" i="40"/>
  <c r="CQ34" i="40"/>
  <c r="CQ772" i="40"/>
  <c r="CY34" i="40"/>
  <c r="CY772" i="40"/>
  <c r="DG34" i="40"/>
  <c r="DG772" i="40"/>
  <c r="DO34" i="40"/>
  <c r="DO772" i="40"/>
  <c r="DP34" i="40"/>
  <c r="DP772" i="40"/>
  <c r="AJ34" i="40"/>
  <c r="AJ772" i="40"/>
  <c r="BT34" i="40"/>
  <c r="BT772" i="40"/>
  <c r="AK34" i="40"/>
  <c r="AK772" i="40"/>
  <c r="BE34" i="40"/>
  <c r="BE772" i="40"/>
  <c r="BU34" i="40"/>
  <c r="BU772" i="40"/>
  <c r="CC34" i="40"/>
  <c r="CC772" i="40"/>
  <c r="CK34" i="40"/>
  <c r="CK772" i="40"/>
  <c r="CS34" i="40"/>
  <c r="CS772" i="40"/>
  <c r="DA34" i="40"/>
  <c r="DA772" i="40"/>
  <c r="DI34" i="40"/>
  <c r="DI772" i="40"/>
  <c r="AK31" i="40"/>
  <c r="AJ31" i="40"/>
  <c r="AJ580" i="40"/>
  <c r="AJ587" i="40"/>
  <c r="AN580" i="40"/>
  <c r="AN587" i="40"/>
  <c r="AO580" i="40"/>
  <c r="AO587" i="40"/>
  <c r="CS580" i="40"/>
  <c r="CS587" i="40"/>
  <c r="BF580" i="40"/>
  <c r="BF587" i="40"/>
  <c r="CL580" i="40"/>
  <c r="CL587" i="40"/>
  <c r="AB580" i="40"/>
  <c r="AB587" i="40"/>
  <c r="BO580" i="40"/>
  <c r="BO587" i="40"/>
  <c r="CM580" i="40"/>
  <c r="CM587" i="40"/>
  <c r="DK580" i="40"/>
  <c r="DK587" i="40"/>
  <c r="AV580" i="40"/>
  <c r="AV587" i="40"/>
  <c r="CB580" i="40"/>
  <c r="CB587" i="40"/>
  <c r="CZ580" i="40"/>
  <c r="CZ587" i="40"/>
  <c r="AK580" i="40"/>
  <c r="AK587" i="40"/>
  <c r="AQ580" i="40"/>
  <c r="AQ587" i="40"/>
  <c r="CE580" i="40"/>
  <c r="CE587" i="40"/>
  <c r="DC580" i="40"/>
  <c r="DC587" i="40"/>
  <c r="AZ580" i="40"/>
  <c r="AZ587" i="40"/>
  <c r="CF580" i="40"/>
  <c r="CF587" i="40"/>
  <c r="DL580" i="40"/>
  <c r="DL587" i="40"/>
  <c r="BD580" i="40"/>
  <c r="BD587" i="40"/>
  <c r="BT580" i="40"/>
  <c r="BT587" i="40"/>
  <c r="DH580" i="40"/>
  <c r="DH587" i="40"/>
  <c r="BE580" i="40"/>
  <c r="BE587" i="40"/>
  <c r="CC580" i="40"/>
  <c r="CC587" i="40"/>
  <c r="DA580" i="40"/>
  <c r="DA587" i="40"/>
  <c r="AA580" i="40"/>
  <c r="AA587" i="40"/>
  <c r="BN580" i="40"/>
  <c r="BN587" i="40"/>
  <c r="DB580" i="40"/>
  <c r="DB587" i="40"/>
  <c r="BW580" i="40"/>
  <c r="BW587" i="40"/>
  <c r="AF580" i="40"/>
  <c r="AF587" i="40"/>
  <c r="BP580" i="40"/>
  <c r="BP587" i="40"/>
  <c r="AG580" i="40"/>
  <c r="AG587" i="40"/>
  <c r="AD580" i="40"/>
  <c r="AD587" i="40"/>
  <c r="AS580" i="40"/>
  <c r="AS587" i="40"/>
  <c r="BA580" i="40"/>
  <c r="BA587" i="40"/>
  <c r="BI580" i="40"/>
  <c r="BI587" i="40"/>
  <c r="BQ580" i="40"/>
  <c r="BQ587" i="40"/>
  <c r="BY580" i="40"/>
  <c r="BY587" i="40"/>
  <c r="CG580" i="40"/>
  <c r="CG587" i="40"/>
  <c r="CO580" i="40"/>
  <c r="CO587" i="40"/>
  <c r="CW580" i="40"/>
  <c r="CW587" i="40"/>
  <c r="DE580" i="40"/>
  <c r="DE587" i="40"/>
  <c r="DM580" i="40"/>
  <c r="DM587" i="40"/>
  <c r="CR580" i="40"/>
  <c r="CR587" i="40"/>
  <c r="AW580" i="40"/>
  <c r="AW587" i="40"/>
  <c r="CK580" i="40"/>
  <c r="CK587" i="40"/>
  <c r="AP580" i="40"/>
  <c r="AP587" i="40"/>
  <c r="BV580" i="40"/>
  <c r="BV587" i="40"/>
  <c r="CD580" i="40"/>
  <c r="CD587" i="40"/>
  <c r="DJ580" i="40"/>
  <c r="DJ587" i="40"/>
  <c r="AL580" i="40"/>
  <c r="AL587" i="40"/>
  <c r="AY580" i="40"/>
  <c r="AY587" i="40"/>
  <c r="CU580" i="40"/>
  <c r="CU587" i="40"/>
  <c r="AR580" i="40"/>
  <c r="AR587" i="40"/>
  <c r="BX580" i="40"/>
  <c r="BX587" i="40"/>
  <c r="CV580" i="40"/>
  <c r="CV587" i="40"/>
  <c r="AH580" i="40"/>
  <c r="AH587" i="40"/>
  <c r="AE580" i="40"/>
  <c r="AE587" i="40"/>
  <c r="AT580" i="40"/>
  <c r="AT587" i="40"/>
  <c r="BB580" i="40"/>
  <c r="BB587" i="40"/>
  <c r="BJ580" i="40"/>
  <c r="BJ587" i="40"/>
  <c r="BR580" i="40"/>
  <c r="BR587" i="40"/>
  <c r="BZ580" i="40"/>
  <c r="BZ587" i="40"/>
  <c r="CH580" i="40"/>
  <c r="CH587" i="40"/>
  <c r="CP580" i="40"/>
  <c r="CP587" i="40"/>
  <c r="CX580" i="40"/>
  <c r="CX587" i="40"/>
  <c r="DF580" i="40"/>
  <c r="DF587" i="40"/>
  <c r="DN580" i="40"/>
  <c r="DN587" i="40"/>
  <c r="AM588" i="40"/>
  <c r="BL580" i="40"/>
  <c r="BL587" i="40"/>
  <c r="CJ580" i="40"/>
  <c r="CJ587" i="40"/>
  <c r="DP580" i="40"/>
  <c r="DP587" i="40"/>
  <c r="BM580" i="40"/>
  <c r="BM587" i="40"/>
  <c r="BU580" i="40"/>
  <c r="BU587" i="40"/>
  <c r="DI580" i="40"/>
  <c r="DI587" i="40"/>
  <c r="AX580" i="40"/>
  <c r="AX587" i="40"/>
  <c r="CT580" i="40"/>
  <c r="CT587" i="40"/>
  <c r="BG580" i="40"/>
  <c r="BG587" i="40"/>
  <c r="AC580" i="40"/>
  <c r="AC587" i="40"/>
  <c r="BH580" i="40"/>
  <c r="BH587" i="40"/>
  <c r="CN580" i="40"/>
  <c r="CN587" i="40"/>
  <c r="DD580" i="40"/>
  <c r="DD587" i="40"/>
  <c r="AI580" i="40"/>
  <c r="AI587" i="40"/>
  <c r="AM580" i="40"/>
  <c r="AM587" i="40"/>
  <c r="AU580" i="40"/>
  <c r="AU587" i="40"/>
  <c r="BC580" i="40"/>
  <c r="BC587" i="40"/>
  <c r="BK580" i="40"/>
  <c r="BK587" i="40"/>
  <c r="BS580" i="40"/>
  <c r="BS587" i="40"/>
  <c r="CA580" i="40"/>
  <c r="CA587" i="40"/>
  <c r="CI580" i="40"/>
  <c r="CI587" i="40"/>
  <c r="CQ580" i="40"/>
  <c r="CQ587" i="40"/>
  <c r="CY580" i="40"/>
  <c r="CY587" i="40"/>
  <c r="DG580" i="40"/>
  <c r="DG587" i="40"/>
  <c r="DO580" i="40"/>
  <c r="DO587" i="40"/>
  <c r="AM569" i="40"/>
  <c r="AL31" i="40"/>
  <c r="AK576" i="40"/>
  <c r="AJ576" i="40"/>
  <c r="AK577" i="40"/>
  <c r="AJ577" i="40"/>
  <c r="AL569" i="40"/>
  <c r="AL588" i="40"/>
  <c r="AJ575" i="40"/>
  <c r="AJ579" i="40"/>
  <c r="AJ578" i="40"/>
  <c r="AJ572" i="40"/>
  <c r="AJ573" i="40"/>
  <c r="AJ36" i="40"/>
  <c r="AJ568" i="40"/>
  <c r="AJ19" i="40"/>
  <c r="AJ33" i="40"/>
  <c r="AJ23" i="40"/>
  <c r="AJ24" i="40"/>
  <c r="AJ22" i="40"/>
  <c r="AJ30" i="40"/>
  <c r="AJ29" i="40"/>
  <c r="AJ27" i="40"/>
  <c r="AJ26" i="40"/>
  <c r="AJ25" i="40"/>
  <c r="AJ17" i="40"/>
  <c r="AJ18" i="40"/>
  <c r="AJ15" i="40"/>
  <c r="AJ16" i="40"/>
  <c r="AJ12" i="40"/>
  <c r="AJ14" i="40"/>
  <c r="BB575" i="40"/>
  <c r="BB574" i="40"/>
  <c r="AU575" i="40"/>
  <c r="AU574" i="40"/>
  <c r="CI575" i="40"/>
  <c r="CI574" i="40"/>
  <c r="DG575" i="40"/>
  <c r="DG574" i="40"/>
  <c r="AJ574" i="40"/>
  <c r="AN575" i="40"/>
  <c r="AN574" i="40"/>
  <c r="AV575" i="40"/>
  <c r="AV574" i="40"/>
  <c r="BD575" i="40"/>
  <c r="BD574" i="40"/>
  <c r="BL575" i="40"/>
  <c r="BL574" i="40"/>
  <c r="BT575" i="40"/>
  <c r="BT574" i="40"/>
  <c r="CB575" i="40"/>
  <c r="CB574" i="40"/>
  <c r="CJ575" i="40"/>
  <c r="CJ574" i="40"/>
  <c r="CR575" i="40"/>
  <c r="CR574" i="40"/>
  <c r="CZ575" i="40"/>
  <c r="CZ574" i="40"/>
  <c r="DH575" i="40"/>
  <c r="DH574" i="40"/>
  <c r="DP575" i="40"/>
  <c r="DP574" i="40"/>
  <c r="AE575" i="40"/>
  <c r="AE574" i="40"/>
  <c r="BR575" i="40"/>
  <c r="BR574" i="40"/>
  <c r="CX575" i="40"/>
  <c r="CX574" i="40"/>
  <c r="DN575" i="40"/>
  <c r="DN574" i="40"/>
  <c r="AM575" i="40"/>
  <c r="AM574" i="40"/>
  <c r="BS575" i="40"/>
  <c r="BS574" i="40"/>
  <c r="CQ575" i="40"/>
  <c r="CQ574" i="40"/>
  <c r="DO575" i="40"/>
  <c r="DO574" i="40"/>
  <c r="AO575" i="40"/>
  <c r="AO574" i="40"/>
  <c r="BM574" i="40"/>
  <c r="BM575" i="40"/>
  <c r="CS575" i="40"/>
  <c r="CS574" i="40"/>
  <c r="AA575" i="40"/>
  <c r="AA574" i="40"/>
  <c r="AP575" i="40"/>
  <c r="AP574" i="40"/>
  <c r="AX575" i="40"/>
  <c r="AX574" i="40"/>
  <c r="BF575" i="40"/>
  <c r="BF574" i="40"/>
  <c r="BN575" i="40"/>
  <c r="BN574" i="40"/>
  <c r="BV575" i="40"/>
  <c r="BV574" i="40"/>
  <c r="CD575" i="40"/>
  <c r="CD574" i="40"/>
  <c r="CL575" i="40"/>
  <c r="CL574" i="40"/>
  <c r="CT575" i="40"/>
  <c r="CT574" i="40"/>
  <c r="DB575" i="40"/>
  <c r="DB574" i="40"/>
  <c r="DJ575" i="40"/>
  <c r="DJ574" i="40"/>
  <c r="AT575" i="40"/>
  <c r="AT574" i="40"/>
  <c r="BZ575" i="40"/>
  <c r="BZ574" i="40"/>
  <c r="CP575" i="40"/>
  <c r="CP574" i="40"/>
  <c r="DF575" i="40"/>
  <c r="DF574" i="40"/>
  <c r="BK575" i="40"/>
  <c r="BK574" i="40"/>
  <c r="AK574" i="40"/>
  <c r="AK575" i="40"/>
  <c r="CC574" i="40"/>
  <c r="CC575" i="40"/>
  <c r="AL575" i="40"/>
  <c r="AL574" i="40"/>
  <c r="AQ575" i="40"/>
  <c r="AQ574" i="40"/>
  <c r="AY575" i="40"/>
  <c r="AY574" i="40"/>
  <c r="BG575" i="40"/>
  <c r="BG574" i="40"/>
  <c r="BO575" i="40"/>
  <c r="BO574" i="40"/>
  <c r="BW575" i="40"/>
  <c r="BW574" i="40"/>
  <c r="CE575" i="40"/>
  <c r="CE574" i="40"/>
  <c r="CM575" i="40"/>
  <c r="CM574" i="40"/>
  <c r="CU575" i="40"/>
  <c r="CU574" i="40"/>
  <c r="DC575" i="40"/>
  <c r="DC574" i="40"/>
  <c r="DK575" i="40"/>
  <c r="DK574" i="40"/>
  <c r="BJ575" i="40"/>
  <c r="BJ574" i="40"/>
  <c r="CA575" i="40"/>
  <c r="CA574" i="40"/>
  <c r="AW575" i="40"/>
  <c r="AW574" i="40"/>
  <c r="BU575" i="40"/>
  <c r="BU574" i="40"/>
  <c r="DA575" i="40"/>
  <c r="DA574" i="40"/>
  <c r="AF575" i="40"/>
  <c r="AF574" i="40"/>
  <c r="AR575" i="40"/>
  <c r="AR574" i="40"/>
  <c r="BH575" i="40"/>
  <c r="BH574" i="40"/>
  <c r="BX575" i="40"/>
  <c r="BX574" i="40"/>
  <c r="CN575" i="40"/>
  <c r="CN574" i="40"/>
  <c r="CV575" i="40"/>
  <c r="CV574" i="40"/>
  <c r="DD575" i="40"/>
  <c r="DD574" i="40"/>
  <c r="DL575" i="40"/>
  <c r="DL574" i="40"/>
  <c r="AH575" i="40"/>
  <c r="AH574" i="40"/>
  <c r="CH575" i="40"/>
  <c r="CH574" i="40"/>
  <c r="AI575" i="40"/>
  <c r="AI574" i="40"/>
  <c r="BC575" i="40"/>
  <c r="BC574" i="40"/>
  <c r="CY575" i="40"/>
  <c r="CY574" i="40"/>
  <c r="BE575" i="40"/>
  <c r="BE574" i="40"/>
  <c r="CK574" i="40"/>
  <c r="CK575" i="40"/>
  <c r="DI575" i="40"/>
  <c r="DI574" i="40"/>
  <c r="AB575" i="40"/>
  <c r="AB574" i="40"/>
  <c r="AC574" i="40"/>
  <c r="AC575" i="40"/>
  <c r="AZ575" i="40"/>
  <c r="AZ574" i="40"/>
  <c r="BP575" i="40"/>
  <c r="BP574" i="40"/>
  <c r="CF575" i="40"/>
  <c r="CF574" i="40"/>
  <c r="AG574" i="40"/>
  <c r="AG575" i="40"/>
  <c r="AD575" i="40"/>
  <c r="AD574" i="40"/>
  <c r="AS574" i="40"/>
  <c r="AS575" i="40"/>
  <c r="BA574" i="40"/>
  <c r="BA575" i="40"/>
  <c r="BI574" i="40"/>
  <c r="BI575" i="40"/>
  <c r="BQ574" i="40"/>
  <c r="BQ575" i="40"/>
  <c r="BY574" i="40"/>
  <c r="BY575" i="40"/>
  <c r="CG574" i="40"/>
  <c r="CG575" i="40"/>
  <c r="CO574" i="40"/>
  <c r="CO575" i="40"/>
  <c r="CW574" i="40"/>
  <c r="CW575" i="40"/>
  <c r="DE574" i="40"/>
  <c r="DE575" i="40"/>
  <c r="DM574" i="40"/>
  <c r="DM575" i="40"/>
  <c r="AI36" i="40"/>
  <c r="AI573" i="40"/>
  <c r="CA36" i="40"/>
  <c r="CA573" i="40"/>
  <c r="DG36" i="40"/>
  <c r="DG573" i="40"/>
  <c r="AN36" i="40"/>
  <c r="AN573" i="40"/>
  <c r="AV36" i="40"/>
  <c r="AV573" i="40"/>
  <c r="BD36" i="40"/>
  <c r="BD573" i="40"/>
  <c r="BL36" i="40"/>
  <c r="BL573" i="40"/>
  <c r="BT36" i="40"/>
  <c r="BT573" i="40"/>
  <c r="CB36" i="40"/>
  <c r="CB573" i="40"/>
  <c r="CJ36" i="40"/>
  <c r="CJ573" i="40"/>
  <c r="CR36" i="40"/>
  <c r="CR573" i="40"/>
  <c r="CZ36" i="40"/>
  <c r="CZ573" i="40"/>
  <c r="DH36" i="40"/>
  <c r="DH573" i="40"/>
  <c r="DP36" i="40"/>
  <c r="DP573" i="40"/>
  <c r="BK36" i="40"/>
  <c r="BK573" i="40"/>
  <c r="CQ36" i="40"/>
  <c r="CQ573" i="40"/>
  <c r="AK36" i="40"/>
  <c r="AK573" i="40"/>
  <c r="AO36" i="40"/>
  <c r="AO573" i="40"/>
  <c r="AW36" i="40"/>
  <c r="AW573" i="40"/>
  <c r="BE36" i="40"/>
  <c r="BE573" i="40"/>
  <c r="BM36" i="40"/>
  <c r="BM573" i="40"/>
  <c r="BU36" i="40"/>
  <c r="BU573" i="40"/>
  <c r="CC36" i="40"/>
  <c r="CC573" i="40"/>
  <c r="CK36" i="40"/>
  <c r="CK573" i="40"/>
  <c r="CS36" i="40"/>
  <c r="CS573" i="40"/>
  <c r="DA36" i="40"/>
  <c r="DA573" i="40"/>
  <c r="DI36" i="40"/>
  <c r="DI573" i="40"/>
  <c r="BC36" i="40"/>
  <c r="BC573" i="40"/>
  <c r="AA36" i="40"/>
  <c r="AA573" i="40"/>
  <c r="AP36" i="40"/>
  <c r="AP573" i="40"/>
  <c r="AX36" i="40"/>
  <c r="AX573" i="40"/>
  <c r="BF36" i="40"/>
  <c r="BF573" i="40"/>
  <c r="BN36" i="40"/>
  <c r="BN573" i="40"/>
  <c r="BV36" i="40"/>
  <c r="BV573" i="40"/>
  <c r="CD36" i="40"/>
  <c r="CD573" i="40"/>
  <c r="CL36" i="40"/>
  <c r="CL573" i="40"/>
  <c r="CT36" i="40"/>
  <c r="CT573" i="40"/>
  <c r="DB36" i="40"/>
  <c r="DB573" i="40"/>
  <c r="DJ36" i="40"/>
  <c r="DJ573" i="40"/>
  <c r="AL36" i="40"/>
  <c r="AL573" i="40"/>
  <c r="AB36" i="40"/>
  <c r="AB573" i="40"/>
  <c r="AQ36" i="40"/>
  <c r="AQ573" i="40"/>
  <c r="AY36" i="40"/>
  <c r="AY573" i="40"/>
  <c r="BG36" i="40"/>
  <c r="BG573" i="40"/>
  <c r="BO36" i="40"/>
  <c r="BO573" i="40"/>
  <c r="BW36" i="40"/>
  <c r="BW573" i="40"/>
  <c r="CE36" i="40"/>
  <c r="CE573" i="40"/>
  <c r="CM36" i="40"/>
  <c r="CM573" i="40"/>
  <c r="CU36" i="40"/>
  <c r="CU573" i="40"/>
  <c r="DC36" i="40"/>
  <c r="DC573" i="40"/>
  <c r="DK36" i="40"/>
  <c r="DK573" i="40"/>
  <c r="AM36" i="40"/>
  <c r="AM573" i="40"/>
  <c r="BS36" i="40"/>
  <c r="BS573" i="40"/>
  <c r="CY36" i="40"/>
  <c r="CY573" i="40"/>
  <c r="AF36" i="40"/>
  <c r="AF573" i="40"/>
  <c r="AC36" i="40"/>
  <c r="AC573" i="40"/>
  <c r="AR36" i="40"/>
  <c r="AR573" i="40"/>
  <c r="AZ36" i="40"/>
  <c r="AZ573" i="40"/>
  <c r="BH36" i="40"/>
  <c r="BH573" i="40"/>
  <c r="BP36" i="40"/>
  <c r="BP573" i="40"/>
  <c r="BX36" i="40"/>
  <c r="BX573" i="40"/>
  <c r="CF36" i="40"/>
  <c r="CF573" i="40"/>
  <c r="CN36" i="40"/>
  <c r="CN573" i="40"/>
  <c r="CV36" i="40"/>
  <c r="CV573" i="40"/>
  <c r="DD36" i="40"/>
  <c r="DD573" i="40"/>
  <c r="DL36" i="40"/>
  <c r="DL573" i="40"/>
  <c r="AD36" i="40"/>
  <c r="AD573" i="40"/>
  <c r="BA36" i="40"/>
  <c r="BA573" i="40"/>
  <c r="BQ36" i="40"/>
  <c r="BQ573" i="40"/>
  <c r="BY36" i="40"/>
  <c r="BY573" i="40"/>
  <c r="CG36" i="40"/>
  <c r="CG573" i="40"/>
  <c r="CO36" i="40"/>
  <c r="CO573" i="40"/>
  <c r="CW36" i="40"/>
  <c r="CW573" i="40"/>
  <c r="DE36" i="40"/>
  <c r="DE573" i="40"/>
  <c r="DM36" i="40"/>
  <c r="DM573" i="40"/>
  <c r="AU36" i="40"/>
  <c r="AU573" i="40"/>
  <c r="CI36" i="40"/>
  <c r="CI573" i="40"/>
  <c r="DO36" i="40"/>
  <c r="DO573" i="40"/>
  <c r="AG36" i="40"/>
  <c r="AG573" i="40"/>
  <c r="AS36" i="40"/>
  <c r="AS573" i="40"/>
  <c r="BI36" i="40"/>
  <c r="BI573" i="40"/>
  <c r="AH36" i="40"/>
  <c r="AH573" i="40"/>
  <c r="AE36" i="40"/>
  <c r="AE573" i="40"/>
  <c r="AT586" i="40"/>
  <c r="AT573" i="40"/>
  <c r="BB578" i="40"/>
  <c r="BB573" i="40"/>
  <c r="BJ578" i="40"/>
  <c r="BJ573" i="40"/>
  <c r="BR36" i="40"/>
  <c r="BR573" i="40"/>
  <c r="BZ36" i="40"/>
  <c r="BZ573" i="40"/>
  <c r="CH36" i="40"/>
  <c r="CH573" i="40"/>
  <c r="CP36" i="40"/>
  <c r="CP573" i="40"/>
  <c r="CX36" i="40"/>
  <c r="CX573" i="40"/>
  <c r="DF578" i="40"/>
  <c r="DF573" i="40"/>
  <c r="DN578" i="40"/>
  <c r="DN573" i="40"/>
  <c r="AA570" i="40"/>
  <c r="DL579" i="40"/>
  <c r="AZ579" i="40"/>
  <c r="CL578" i="40"/>
  <c r="BH579" i="40"/>
  <c r="AD586" i="40"/>
  <c r="DI572" i="40"/>
  <c r="CT578" i="40"/>
  <c r="BP579" i="40"/>
  <c r="AL586" i="40"/>
  <c r="AP578" i="40"/>
  <c r="DB578" i="40"/>
  <c r="BX579" i="40"/>
  <c r="AX578" i="40"/>
  <c r="DJ578" i="40"/>
  <c r="CF579" i="40"/>
  <c r="CD578" i="40"/>
  <c r="BF578" i="40"/>
  <c r="AB579" i="40"/>
  <c r="CN579" i="40"/>
  <c r="BN578" i="40"/>
  <c r="CV579" i="40"/>
  <c r="BV578" i="40"/>
  <c r="AR579" i="40"/>
  <c r="DD579" i="40"/>
  <c r="BB586" i="40"/>
  <c r="CP586" i="40"/>
  <c r="AA578" i="40"/>
  <c r="AI578" i="40"/>
  <c r="AQ578" i="40"/>
  <c r="AY578" i="40"/>
  <c r="BG578" i="40"/>
  <c r="BO578" i="40"/>
  <c r="BW578" i="40"/>
  <c r="CE578" i="40"/>
  <c r="CM578" i="40"/>
  <c r="CU578" i="40"/>
  <c r="DC578" i="40"/>
  <c r="DK578" i="40"/>
  <c r="AC579" i="40"/>
  <c r="AK579" i="40"/>
  <c r="AS579" i="40"/>
  <c r="BA579" i="40"/>
  <c r="BI579" i="40"/>
  <c r="BQ579" i="40"/>
  <c r="BY579" i="40"/>
  <c r="CG579" i="40"/>
  <c r="CO579" i="40"/>
  <c r="CW579" i="40"/>
  <c r="DE579" i="40"/>
  <c r="DM579" i="40"/>
  <c r="AE586" i="40"/>
  <c r="AM586" i="40"/>
  <c r="AU586" i="40"/>
  <c r="BC586" i="40"/>
  <c r="BK586" i="40"/>
  <c r="BS586" i="40"/>
  <c r="CA586" i="40"/>
  <c r="CI586" i="40"/>
  <c r="CQ586" i="40"/>
  <c r="CY586" i="40"/>
  <c r="DG586" i="40"/>
  <c r="DO586" i="40"/>
  <c r="AH578" i="40"/>
  <c r="BR586" i="40"/>
  <c r="DF586" i="40"/>
  <c r="AB578" i="40"/>
  <c r="AR578" i="40"/>
  <c r="AZ578" i="40"/>
  <c r="BH578" i="40"/>
  <c r="BP578" i="40"/>
  <c r="BX578" i="40"/>
  <c r="CF578" i="40"/>
  <c r="CN578" i="40"/>
  <c r="CV578" i="40"/>
  <c r="DD578" i="40"/>
  <c r="DL578" i="40"/>
  <c r="AD579" i="40"/>
  <c r="AL579" i="40"/>
  <c r="AT579" i="40"/>
  <c r="BB579" i="40"/>
  <c r="BJ579" i="40"/>
  <c r="BR579" i="40"/>
  <c r="BZ579" i="40"/>
  <c r="CH579" i="40"/>
  <c r="CP579" i="40"/>
  <c r="CX579" i="40"/>
  <c r="DF579" i="40"/>
  <c r="DN579" i="40"/>
  <c r="AF586" i="40"/>
  <c r="AN586" i="40"/>
  <c r="AV586" i="40"/>
  <c r="BD586" i="40"/>
  <c r="BL586" i="40"/>
  <c r="BT586" i="40"/>
  <c r="CB586" i="40"/>
  <c r="CJ586" i="40"/>
  <c r="CR586" i="40"/>
  <c r="CZ586" i="40"/>
  <c r="DH586" i="40"/>
  <c r="DP586" i="40"/>
  <c r="BJ586" i="40"/>
  <c r="DN586" i="40"/>
  <c r="AC578" i="40"/>
  <c r="AK578" i="40"/>
  <c r="AS578" i="40"/>
  <c r="BA578" i="40"/>
  <c r="BI578" i="40"/>
  <c r="BQ578" i="40"/>
  <c r="BY578" i="40"/>
  <c r="CG578" i="40"/>
  <c r="CO578" i="40"/>
  <c r="CW578" i="40"/>
  <c r="DE578" i="40"/>
  <c r="DM578" i="40"/>
  <c r="AE579" i="40"/>
  <c r="AM579" i="40"/>
  <c r="AU579" i="40"/>
  <c r="BC579" i="40"/>
  <c r="BK579" i="40"/>
  <c r="BS579" i="40"/>
  <c r="CA579" i="40"/>
  <c r="CI579" i="40"/>
  <c r="CQ579" i="40"/>
  <c r="CY579" i="40"/>
  <c r="DG579" i="40"/>
  <c r="DO579" i="40"/>
  <c r="AG586" i="40"/>
  <c r="AO586" i="40"/>
  <c r="AW586" i="40"/>
  <c r="BE586" i="40"/>
  <c r="BM586" i="40"/>
  <c r="BU586" i="40"/>
  <c r="CC586" i="40"/>
  <c r="CK586" i="40"/>
  <c r="CS586" i="40"/>
  <c r="DA586" i="40"/>
  <c r="DI586" i="40"/>
  <c r="CX586" i="40"/>
  <c r="AD578" i="40"/>
  <c r="AL578" i="40"/>
  <c r="AT578" i="40"/>
  <c r="BR578" i="40"/>
  <c r="BZ578" i="40"/>
  <c r="CH578" i="40"/>
  <c r="CP578" i="40"/>
  <c r="CX578" i="40"/>
  <c r="AF579" i="40"/>
  <c r="AN579" i="40"/>
  <c r="AV579" i="40"/>
  <c r="BD579" i="40"/>
  <c r="BL579" i="40"/>
  <c r="BT579" i="40"/>
  <c r="CB579" i="40"/>
  <c r="CJ579" i="40"/>
  <c r="CR579" i="40"/>
  <c r="CZ579" i="40"/>
  <c r="DH579" i="40"/>
  <c r="DP579" i="40"/>
  <c r="AH586" i="40"/>
  <c r="AP586" i="40"/>
  <c r="AX586" i="40"/>
  <c r="BF586" i="40"/>
  <c r="BN586" i="40"/>
  <c r="BV586" i="40"/>
  <c r="CD586" i="40"/>
  <c r="CL586" i="40"/>
  <c r="CT586" i="40"/>
  <c r="DB586" i="40"/>
  <c r="DJ586" i="40"/>
  <c r="AE578" i="40"/>
  <c r="AM578" i="40"/>
  <c r="AU578" i="40"/>
  <c r="BC578" i="40"/>
  <c r="BK578" i="40"/>
  <c r="BS578" i="40"/>
  <c r="CA578" i="40"/>
  <c r="CI578" i="40"/>
  <c r="CQ578" i="40"/>
  <c r="CY578" i="40"/>
  <c r="DG578" i="40"/>
  <c r="DO578" i="40"/>
  <c r="AG579" i="40"/>
  <c r="AO579" i="40"/>
  <c r="AW579" i="40"/>
  <c r="BE579" i="40"/>
  <c r="BM579" i="40"/>
  <c r="BU579" i="40"/>
  <c r="CC579" i="40"/>
  <c r="CK579" i="40"/>
  <c r="CS579" i="40"/>
  <c r="DA579" i="40"/>
  <c r="DI579" i="40"/>
  <c r="AA586" i="40"/>
  <c r="AI586" i="40"/>
  <c r="AQ586" i="40"/>
  <c r="AY586" i="40"/>
  <c r="BG586" i="40"/>
  <c r="BO586" i="40"/>
  <c r="BW586" i="40"/>
  <c r="CE586" i="40"/>
  <c r="CM586" i="40"/>
  <c r="CU586" i="40"/>
  <c r="DC586" i="40"/>
  <c r="DK586" i="40"/>
  <c r="CH586" i="40"/>
  <c r="AW572" i="40"/>
  <c r="AF578" i="40"/>
  <c r="AN578" i="40"/>
  <c r="AV578" i="40"/>
  <c r="BD578" i="40"/>
  <c r="BL578" i="40"/>
  <c r="BT578" i="40"/>
  <c r="CB578" i="40"/>
  <c r="CJ578" i="40"/>
  <c r="CR578" i="40"/>
  <c r="CZ578" i="40"/>
  <c r="DH578" i="40"/>
  <c r="DP578" i="40"/>
  <c r="AH579" i="40"/>
  <c r="AP579" i="40"/>
  <c r="AX579" i="40"/>
  <c r="BF579" i="40"/>
  <c r="BN579" i="40"/>
  <c r="BV579" i="40"/>
  <c r="CD579" i="40"/>
  <c r="CL579" i="40"/>
  <c r="CT579" i="40"/>
  <c r="DB579" i="40"/>
  <c r="DJ579" i="40"/>
  <c r="AB586" i="40"/>
  <c r="AJ586" i="40"/>
  <c r="AR586" i="40"/>
  <c r="AZ586" i="40"/>
  <c r="BH586" i="40"/>
  <c r="BP586" i="40"/>
  <c r="BX586" i="40"/>
  <c r="CF586" i="40"/>
  <c r="CN586" i="40"/>
  <c r="CV586" i="40"/>
  <c r="DD586" i="40"/>
  <c r="DL586" i="40"/>
  <c r="BZ586" i="40"/>
  <c r="BM572" i="40"/>
  <c r="AG578" i="40"/>
  <c r="AO578" i="40"/>
  <c r="AW578" i="40"/>
  <c r="BE578" i="40"/>
  <c r="BM578" i="40"/>
  <c r="BU578" i="40"/>
  <c r="CC578" i="40"/>
  <c r="CK578" i="40"/>
  <c r="CS578" i="40"/>
  <c r="DA578" i="40"/>
  <c r="DI578" i="40"/>
  <c r="AA579" i="40"/>
  <c r="AI579" i="40"/>
  <c r="AQ579" i="40"/>
  <c r="AY579" i="40"/>
  <c r="BG579" i="40"/>
  <c r="BO579" i="40"/>
  <c r="BW579" i="40"/>
  <c r="CE579" i="40"/>
  <c r="CM579" i="40"/>
  <c r="CU579" i="40"/>
  <c r="DC579" i="40"/>
  <c r="DK579" i="40"/>
  <c r="AC586" i="40"/>
  <c r="AK586" i="40"/>
  <c r="AS586" i="40"/>
  <c r="BA586" i="40"/>
  <c r="BI586" i="40"/>
  <c r="BQ586" i="40"/>
  <c r="BY586" i="40"/>
  <c r="CG586" i="40"/>
  <c r="CO586" i="40"/>
  <c r="CW586" i="40"/>
  <c r="DE586" i="40"/>
  <c r="DM586" i="40"/>
  <c r="BE572" i="40"/>
  <c r="BU572" i="40"/>
  <c r="CC572" i="40"/>
  <c r="CK572" i="40"/>
  <c r="CS572" i="40"/>
  <c r="AO572" i="40"/>
  <c r="DA572" i="40"/>
  <c r="AL33" i="40"/>
  <c r="CX33" i="40"/>
  <c r="AT33" i="40"/>
  <c r="AT36" i="40"/>
  <c r="BB33" i="40"/>
  <c r="BB36" i="40"/>
  <c r="DF33" i="40"/>
  <c r="DF36" i="40"/>
  <c r="DN33" i="40"/>
  <c r="DN36" i="40"/>
  <c r="BJ33" i="40"/>
  <c r="BJ36" i="40"/>
  <c r="AX29" i="40"/>
  <c r="AX35" i="40"/>
  <c r="BV29" i="40"/>
  <c r="BV35" i="40"/>
  <c r="DB29" i="40"/>
  <c r="DB35" i="40"/>
  <c r="AL29" i="40"/>
  <c r="AL35" i="40"/>
  <c r="AB29" i="40"/>
  <c r="AB35" i="40"/>
  <c r="AQ29" i="40"/>
  <c r="AQ35" i="40"/>
  <c r="AY29" i="40"/>
  <c r="AY35" i="40"/>
  <c r="BG29" i="40"/>
  <c r="BG35" i="40"/>
  <c r="BO29" i="40"/>
  <c r="BO35" i="40"/>
  <c r="BW29" i="40"/>
  <c r="BW35" i="40"/>
  <c r="CE29" i="40"/>
  <c r="CE35" i="40"/>
  <c r="CM29" i="40"/>
  <c r="CM35" i="40"/>
  <c r="CU29" i="40"/>
  <c r="CU35" i="40"/>
  <c r="DC29" i="40"/>
  <c r="DC35" i="40"/>
  <c r="DK29" i="40"/>
  <c r="DK35" i="40"/>
  <c r="CD29" i="40"/>
  <c r="CD35" i="40"/>
  <c r="AR29" i="40"/>
  <c r="AR35" i="40"/>
  <c r="AG29" i="40"/>
  <c r="AG35" i="40"/>
  <c r="AD29" i="40"/>
  <c r="AD35" i="40"/>
  <c r="AS29" i="40"/>
  <c r="AS35" i="40"/>
  <c r="BA29" i="40"/>
  <c r="BA35" i="40"/>
  <c r="BI29" i="40"/>
  <c r="BI35" i="40"/>
  <c r="BQ29" i="40"/>
  <c r="BQ35" i="40"/>
  <c r="BY29" i="40"/>
  <c r="BY35" i="40"/>
  <c r="CG29" i="40"/>
  <c r="CG35" i="40"/>
  <c r="CO29" i="40"/>
  <c r="CO35" i="40"/>
  <c r="CW29" i="40"/>
  <c r="CW35" i="40"/>
  <c r="DE29" i="40"/>
  <c r="DE35" i="40"/>
  <c r="DM29" i="40"/>
  <c r="DM35" i="40"/>
  <c r="AP29" i="40"/>
  <c r="AP35" i="40"/>
  <c r="BN29" i="40"/>
  <c r="BN35" i="40"/>
  <c r="CT29" i="40"/>
  <c r="CT35" i="40"/>
  <c r="DJ29" i="40"/>
  <c r="DJ35" i="40"/>
  <c r="AZ29" i="40"/>
  <c r="AZ35" i="40"/>
  <c r="CF29" i="40"/>
  <c r="CF35" i="40"/>
  <c r="CV29" i="40"/>
  <c r="CV35" i="40"/>
  <c r="DL29" i="40"/>
  <c r="DL35" i="40"/>
  <c r="AH29" i="40"/>
  <c r="AH35" i="40"/>
  <c r="AE29" i="40"/>
  <c r="AE35" i="40"/>
  <c r="AT29" i="40"/>
  <c r="AT35" i="40"/>
  <c r="BB29" i="40"/>
  <c r="BB35" i="40"/>
  <c r="BJ29" i="40"/>
  <c r="BJ35" i="40"/>
  <c r="BR29" i="40"/>
  <c r="BR35" i="40"/>
  <c r="BZ29" i="40"/>
  <c r="BZ35" i="40"/>
  <c r="CH29" i="40"/>
  <c r="CH35" i="40"/>
  <c r="CP29" i="40"/>
  <c r="CP35" i="40"/>
  <c r="CX29" i="40"/>
  <c r="CX35" i="40"/>
  <c r="DF29" i="40"/>
  <c r="DF35" i="40"/>
  <c r="DN29" i="40"/>
  <c r="DN35" i="40"/>
  <c r="BR33" i="40"/>
  <c r="AA29" i="40"/>
  <c r="AA35" i="40"/>
  <c r="CL29" i="40"/>
  <c r="CL35" i="40"/>
  <c r="AF30" i="40"/>
  <c r="AF35" i="40"/>
  <c r="BP29" i="40"/>
  <c r="BP35" i="40"/>
  <c r="AI29" i="40"/>
  <c r="AI35" i="40"/>
  <c r="AM29" i="40"/>
  <c r="AM35" i="40"/>
  <c r="AU29" i="40"/>
  <c r="AU35" i="40"/>
  <c r="BC29" i="40"/>
  <c r="BC35" i="40"/>
  <c r="BK29" i="40"/>
  <c r="BK35" i="40"/>
  <c r="BS29" i="40"/>
  <c r="BS35" i="40"/>
  <c r="CA29" i="40"/>
  <c r="CA35" i="40"/>
  <c r="CI29" i="40"/>
  <c r="CI35" i="40"/>
  <c r="CQ29" i="40"/>
  <c r="CQ35" i="40"/>
  <c r="CY29" i="40"/>
  <c r="CY35" i="40"/>
  <c r="DG29" i="40"/>
  <c r="DG35" i="40"/>
  <c r="DO29" i="40"/>
  <c r="DO35" i="40"/>
  <c r="BZ33" i="40"/>
  <c r="BF29" i="40"/>
  <c r="BF35" i="40"/>
  <c r="BX29" i="40"/>
  <c r="BX35" i="40"/>
  <c r="AJ35" i="40"/>
  <c r="AN29" i="40"/>
  <c r="AN35" i="40"/>
  <c r="AV29" i="40"/>
  <c r="AV35" i="40"/>
  <c r="BD29" i="40"/>
  <c r="BD35" i="40"/>
  <c r="BL29" i="40"/>
  <c r="BL35" i="40"/>
  <c r="BT29" i="40"/>
  <c r="BT35" i="40"/>
  <c r="CB29" i="40"/>
  <c r="CB35" i="40"/>
  <c r="CJ29" i="40"/>
  <c r="CJ35" i="40"/>
  <c r="CR29" i="40"/>
  <c r="CR35" i="40"/>
  <c r="CZ29" i="40"/>
  <c r="CZ35" i="40"/>
  <c r="DH29" i="40"/>
  <c r="DH35" i="40"/>
  <c r="DP29" i="40"/>
  <c r="DP35" i="40"/>
  <c r="CH33" i="40"/>
  <c r="AC29" i="40"/>
  <c r="AC35" i="40"/>
  <c r="BH29" i="40"/>
  <c r="BH35" i="40"/>
  <c r="CN29" i="40"/>
  <c r="CN35" i="40"/>
  <c r="DD29" i="40"/>
  <c r="DD35" i="40"/>
  <c r="AK29" i="40"/>
  <c r="AK35" i="40"/>
  <c r="AO29" i="40"/>
  <c r="AO35" i="40"/>
  <c r="AW29" i="40"/>
  <c r="AW35" i="40"/>
  <c r="BE29" i="40"/>
  <c r="BE35" i="40"/>
  <c r="BM29" i="40"/>
  <c r="BM35" i="40"/>
  <c r="BU29" i="40"/>
  <c r="BU35" i="40"/>
  <c r="CC29" i="40"/>
  <c r="CC35" i="40"/>
  <c r="CK29" i="40"/>
  <c r="CK35" i="40"/>
  <c r="CS29" i="40"/>
  <c r="CS35" i="40"/>
  <c r="DA29" i="40"/>
  <c r="DA35" i="40"/>
  <c r="DI29" i="40"/>
  <c r="DI35" i="40"/>
  <c r="CP33" i="40"/>
  <c r="AD33" i="40"/>
  <c r="AE33" i="40"/>
  <c r="AM33" i="40"/>
  <c r="AU33" i="40"/>
  <c r="BC33" i="40"/>
  <c r="BK33" i="40"/>
  <c r="BS33" i="40"/>
  <c r="CA33" i="40"/>
  <c r="CI33" i="40"/>
  <c r="CQ33" i="40"/>
  <c r="CY33" i="40"/>
  <c r="DG33" i="40"/>
  <c r="DO33" i="40"/>
  <c r="AF33" i="40"/>
  <c r="AN33" i="40"/>
  <c r="AV33" i="40"/>
  <c r="BD33" i="40"/>
  <c r="BL33" i="40"/>
  <c r="BT33" i="40"/>
  <c r="CB33" i="40"/>
  <c r="CJ33" i="40"/>
  <c r="CR33" i="40"/>
  <c r="CZ33" i="40"/>
  <c r="DH33" i="40"/>
  <c r="DP33" i="40"/>
  <c r="AG33" i="40"/>
  <c r="AO33" i="40"/>
  <c r="AW33" i="40"/>
  <c r="BE33" i="40"/>
  <c r="BM33" i="40"/>
  <c r="BU33" i="40"/>
  <c r="CC33" i="40"/>
  <c r="CK33" i="40"/>
  <c r="CS33" i="40"/>
  <c r="DA33" i="40"/>
  <c r="DI33" i="40"/>
  <c r="AH33" i="40"/>
  <c r="AP33" i="40"/>
  <c r="AX33" i="40"/>
  <c r="BF33" i="40"/>
  <c r="BN33" i="40"/>
  <c r="BV33" i="40"/>
  <c r="CD33" i="40"/>
  <c r="CL33" i="40"/>
  <c r="CT33" i="40"/>
  <c r="DB33" i="40"/>
  <c r="DJ33" i="40"/>
  <c r="AA33" i="40"/>
  <c r="AI33" i="40"/>
  <c r="AQ33" i="40"/>
  <c r="AY33" i="40"/>
  <c r="BG33" i="40"/>
  <c r="BO33" i="40"/>
  <c r="BW33" i="40"/>
  <c r="CE33" i="40"/>
  <c r="CM33" i="40"/>
  <c r="CU33" i="40"/>
  <c r="DC33" i="40"/>
  <c r="DK33" i="40"/>
  <c r="AB33" i="40"/>
  <c r="AR33" i="40"/>
  <c r="AZ33" i="40"/>
  <c r="BH33" i="40"/>
  <c r="BP33" i="40"/>
  <c r="BX33" i="40"/>
  <c r="CF33" i="40"/>
  <c r="CN33" i="40"/>
  <c r="CV33" i="40"/>
  <c r="DD33" i="40"/>
  <c r="DL33" i="40"/>
  <c r="AC33" i="40"/>
  <c r="AK33" i="40"/>
  <c r="AS33" i="40"/>
  <c r="BA33" i="40"/>
  <c r="BI33" i="40"/>
  <c r="BQ33" i="40"/>
  <c r="BY33" i="40"/>
  <c r="CG33" i="40"/>
  <c r="CO33" i="40"/>
  <c r="CW33" i="40"/>
  <c r="DE33" i="40"/>
  <c r="DM33" i="40"/>
  <c r="AD30" i="40"/>
  <c r="AL30" i="40"/>
  <c r="BB30" i="40"/>
  <c r="DN30" i="40"/>
  <c r="AE30" i="40"/>
  <c r="AM30" i="40"/>
  <c r="AU30" i="40"/>
  <c r="BC30" i="40"/>
  <c r="BK30" i="40"/>
  <c r="BS30" i="40"/>
  <c r="CA30" i="40"/>
  <c r="CI30" i="40"/>
  <c r="CQ30" i="40"/>
  <c r="CY30" i="40"/>
  <c r="DG30" i="40"/>
  <c r="DO30" i="40"/>
  <c r="AN30" i="40"/>
  <c r="AV30" i="40"/>
  <c r="BD30" i="40"/>
  <c r="BL30" i="40"/>
  <c r="BT30" i="40"/>
  <c r="CB30" i="40"/>
  <c r="CJ30" i="40"/>
  <c r="CR30" i="40"/>
  <c r="CZ30" i="40"/>
  <c r="DH30" i="40"/>
  <c r="DP30" i="40"/>
  <c r="BJ30" i="40"/>
  <c r="BZ30" i="40"/>
  <c r="CX30" i="40"/>
  <c r="AG30" i="40"/>
  <c r="AO30" i="40"/>
  <c r="AW30" i="40"/>
  <c r="BE30" i="40"/>
  <c r="BM30" i="40"/>
  <c r="BU30" i="40"/>
  <c r="CC30" i="40"/>
  <c r="CK30" i="40"/>
  <c r="CS30" i="40"/>
  <c r="DA30" i="40"/>
  <c r="DI30" i="40"/>
  <c r="AT30" i="40"/>
  <c r="BR30" i="40"/>
  <c r="CH30" i="40"/>
  <c r="DF30" i="40"/>
  <c r="AH30" i="40"/>
  <c r="AP30" i="40"/>
  <c r="AX30" i="40"/>
  <c r="BF30" i="40"/>
  <c r="BN30" i="40"/>
  <c r="BV30" i="40"/>
  <c r="CD30" i="40"/>
  <c r="CL30" i="40"/>
  <c r="CT30" i="40"/>
  <c r="DB30" i="40"/>
  <c r="DJ30" i="40"/>
  <c r="CP30" i="40"/>
  <c r="AA30" i="40"/>
  <c r="AI30" i="40"/>
  <c r="AQ30" i="40"/>
  <c r="AY30" i="40"/>
  <c r="BG30" i="40"/>
  <c r="BO30" i="40"/>
  <c r="BW30" i="40"/>
  <c r="CE30" i="40"/>
  <c r="CM30" i="40"/>
  <c r="CU30" i="40"/>
  <c r="DC30" i="40"/>
  <c r="DK30" i="40"/>
  <c r="AB30" i="40"/>
  <c r="AR30" i="40"/>
  <c r="AZ30" i="40"/>
  <c r="BH30" i="40"/>
  <c r="BP30" i="40"/>
  <c r="BX30" i="40"/>
  <c r="CF30" i="40"/>
  <c r="CN30" i="40"/>
  <c r="CV30" i="40"/>
  <c r="DD30" i="40"/>
  <c r="DL30" i="40"/>
  <c r="AC30" i="40"/>
  <c r="AK30" i="40"/>
  <c r="AS30" i="40"/>
  <c r="BA30" i="40"/>
  <c r="BI30" i="40"/>
  <c r="BQ30" i="40"/>
  <c r="BY30" i="40"/>
  <c r="CG30" i="40"/>
  <c r="CO30" i="40"/>
  <c r="CW30" i="40"/>
  <c r="DE30" i="40"/>
  <c r="DM30" i="40"/>
  <c r="AF28" i="40"/>
  <c r="AF29" i="40"/>
  <c r="BL27" i="40"/>
  <c r="BL28" i="40"/>
  <c r="CJ27" i="40"/>
  <c r="CJ28" i="40"/>
  <c r="CZ27" i="40"/>
  <c r="CZ28" i="40"/>
  <c r="DH27" i="40"/>
  <c r="DH28" i="40"/>
  <c r="AH27" i="40"/>
  <c r="AH28" i="40"/>
  <c r="AE27" i="40"/>
  <c r="AE28" i="40"/>
  <c r="AT27" i="40"/>
  <c r="AT28" i="40"/>
  <c r="BB27" i="40"/>
  <c r="BB28" i="40"/>
  <c r="BJ27" i="40"/>
  <c r="BJ28" i="40"/>
  <c r="BR27" i="40"/>
  <c r="BR28" i="40"/>
  <c r="BZ27" i="40"/>
  <c r="BZ28" i="40"/>
  <c r="CH27" i="40"/>
  <c r="CH28" i="40"/>
  <c r="CP27" i="40"/>
  <c r="CP28" i="40"/>
  <c r="CX27" i="40"/>
  <c r="CX28" i="40"/>
  <c r="DF27" i="40"/>
  <c r="DF28" i="40"/>
  <c r="DN27" i="40"/>
  <c r="DN28" i="40"/>
  <c r="AN27" i="40"/>
  <c r="AN28" i="40"/>
  <c r="AI27" i="40"/>
  <c r="AI28" i="40"/>
  <c r="AM27" i="40"/>
  <c r="AM28" i="40"/>
  <c r="AU27" i="40"/>
  <c r="AU28" i="40"/>
  <c r="BC27" i="40"/>
  <c r="BC28" i="40"/>
  <c r="BK27" i="40"/>
  <c r="BK28" i="40"/>
  <c r="BS27" i="40"/>
  <c r="BS28" i="40"/>
  <c r="CA27" i="40"/>
  <c r="CA28" i="40"/>
  <c r="CI27" i="40"/>
  <c r="CI28" i="40"/>
  <c r="CQ27" i="40"/>
  <c r="CQ28" i="40"/>
  <c r="CY27" i="40"/>
  <c r="CY28" i="40"/>
  <c r="DG27" i="40"/>
  <c r="DG28" i="40"/>
  <c r="DO27" i="40"/>
  <c r="DO28" i="40"/>
  <c r="BD27" i="40"/>
  <c r="BD28" i="40"/>
  <c r="CR27" i="40"/>
  <c r="CR28" i="40"/>
  <c r="AK27" i="40"/>
  <c r="AK28" i="40"/>
  <c r="AO27" i="40"/>
  <c r="AO28" i="40"/>
  <c r="AW27" i="40"/>
  <c r="AW28" i="40"/>
  <c r="BE27" i="40"/>
  <c r="BE28" i="40"/>
  <c r="BM27" i="40"/>
  <c r="BM28" i="40"/>
  <c r="BU27" i="40"/>
  <c r="BU28" i="40"/>
  <c r="CC27" i="40"/>
  <c r="CC28" i="40"/>
  <c r="CK27" i="40"/>
  <c r="CK28" i="40"/>
  <c r="CS27" i="40"/>
  <c r="CS28" i="40"/>
  <c r="DA27" i="40"/>
  <c r="DA28" i="40"/>
  <c r="DI27" i="40"/>
  <c r="DI28" i="40"/>
  <c r="CB27" i="40"/>
  <c r="CB28" i="40"/>
  <c r="AA27" i="40"/>
  <c r="AA28" i="40"/>
  <c r="AP27" i="40"/>
  <c r="AP28" i="40"/>
  <c r="AX27" i="40"/>
  <c r="AX28" i="40"/>
  <c r="BF27" i="40"/>
  <c r="BF28" i="40"/>
  <c r="BN27" i="40"/>
  <c r="BN28" i="40"/>
  <c r="BV27" i="40"/>
  <c r="BV28" i="40"/>
  <c r="CD27" i="40"/>
  <c r="CD28" i="40"/>
  <c r="CL27" i="40"/>
  <c r="CL28" i="40"/>
  <c r="CT27" i="40"/>
  <c r="CT28" i="40"/>
  <c r="DB27" i="40"/>
  <c r="DB28" i="40"/>
  <c r="DJ27" i="40"/>
  <c r="DJ28" i="40"/>
  <c r="BT27" i="40"/>
  <c r="BT28" i="40"/>
  <c r="AL27" i="40"/>
  <c r="AL28" i="40"/>
  <c r="AB27" i="40"/>
  <c r="AB28" i="40"/>
  <c r="AQ27" i="40"/>
  <c r="AQ28" i="40"/>
  <c r="AY27" i="40"/>
  <c r="AY28" i="40"/>
  <c r="BG27" i="40"/>
  <c r="BG28" i="40"/>
  <c r="BO27" i="40"/>
  <c r="BO28" i="40"/>
  <c r="BW27" i="40"/>
  <c r="BW28" i="40"/>
  <c r="CE27" i="40"/>
  <c r="CE28" i="40"/>
  <c r="CM27" i="40"/>
  <c r="CM28" i="40"/>
  <c r="CU27" i="40"/>
  <c r="CU28" i="40"/>
  <c r="DC27" i="40"/>
  <c r="DC28" i="40"/>
  <c r="DK27" i="40"/>
  <c r="DK28" i="40"/>
  <c r="AJ28" i="40"/>
  <c r="AC27" i="40"/>
  <c r="AC28" i="40"/>
  <c r="AR27" i="40"/>
  <c r="AR28" i="40"/>
  <c r="AZ27" i="40"/>
  <c r="AZ28" i="40"/>
  <c r="BH27" i="40"/>
  <c r="BH28" i="40"/>
  <c r="BP27" i="40"/>
  <c r="BP28" i="40"/>
  <c r="BX27" i="40"/>
  <c r="BX28" i="40"/>
  <c r="CF27" i="40"/>
  <c r="CF28" i="40"/>
  <c r="CN27" i="40"/>
  <c r="CN28" i="40"/>
  <c r="CV27" i="40"/>
  <c r="CV28" i="40"/>
  <c r="DD27" i="40"/>
  <c r="DD28" i="40"/>
  <c r="DL27" i="40"/>
  <c r="DL28" i="40"/>
  <c r="AV27" i="40"/>
  <c r="AV28" i="40"/>
  <c r="DP27" i="40"/>
  <c r="DP28" i="40"/>
  <c r="AG27" i="40"/>
  <c r="AG28" i="40"/>
  <c r="AD27" i="40"/>
  <c r="AD28" i="40"/>
  <c r="AS27" i="40"/>
  <c r="AS28" i="40"/>
  <c r="BA27" i="40"/>
  <c r="BA28" i="40"/>
  <c r="BI27" i="40"/>
  <c r="BI28" i="40"/>
  <c r="BQ27" i="40"/>
  <c r="BQ28" i="40"/>
  <c r="BY27" i="40"/>
  <c r="BY28" i="40"/>
  <c r="CG27" i="40"/>
  <c r="CG28" i="40"/>
  <c r="CO27" i="40"/>
  <c r="CO28" i="40"/>
  <c r="CW27" i="40"/>
  <c r="CW28" i="40"/>
  <c r="DE27" i="40"/>
  <c r="DE28" i="40"/>
  <c r="DM27" i="40"/>
  <c r="DM28" i="40"/>
  <c r="AW568" i="40"/>
  <c r="AW26" i="40"/>
  <c r="BU568" i="40"/>
  <c r="BU26" i="40"/>
  <c r="CS568" i="40"/>
  <c r="CS26" i="40"/>
  <c r="DI568" i="40"/>
  <c r="DI26" i="40"/>
  <c r="AA568" i="40"/>
  <c r="AA26" i="40"/>
  <c r="BN568" i="40"/>
  <c r="BN26" i="40"/>
  <c r="CD568" i="40"/>
  <c r="CD26" i="40"/>
  <c r="DB568" i="40"/>
  <c r="DB26" i="40"/>
  <c r="AL568" i="40"/>
  <c r="AL26" i="40"/>
  <c r="AB572" i="40"/>
  <c r="AB26" i="40"/>
  <c r="AQ568" i="40"/>
  <c r="AQ26" i="40"/>
  <c r="AY568" i="40"/>
  <c r="AY26" i="40"/>
  <c r="BG568" i="40"/>
  <c r="BG26" i="40"/>
  <c r="BO568" i="40"/>
  <c r="BO26" i="40"/>
  <c r="BW568" i="40"/>
  <c r="BW26" i="40"/>
  <c r="CE568" i="40"/>
  <c r="CE26" i="40"/>
  <c r="CM568" i="40"/>
  <c r="CM26" i="40"/>
  <c r="CU568" i="40"/>
  <c r="CU26" i="40"/>
  <c r="DC568" i="40"/>
  <c r="DC26" i="40"/>
  <c r="DK568" i="40"/>
  <c r="DK26" i="40"/>
  <c r="AO568" i="40"/>
  <c r="AO26" i="40"/>
  <c r="BM568" i="40"/>
  <c r="BM26" i="40"/>
  <c r="CK568" i="40"/>
  <c r="CK26" i="40"/>
  <c r="AP568" i="40"/>
  <c r="AP26" i="40"/>
  <c r="BV568" i="40"/>
  <c r="BV26" i="40"/>
  <c r="CL568" i="40"/>
  <c r="CL26" i="40"/>
  <c r="CT568" i="40"/>
  <c r="CT26" i="40"/>
  <c r="DJ568" i="40"/>
  <c r="DJ26" i="40"/>
  <c r="AF568" i="40"/>
  <c r="AF26" i="40"/>
  <c r="AC572" i="40"/>
  <c r="AC26" i="40"/>
  <c r="AR568" i="40"/>
  <c r="AR26" i="40"/>
  <c r="AZ572" i="40"/>
  <c r="AZ26" i="40"/>
  <c r="BH568" i="40"/>
  <c r="BH26" i="40"/>
  <c r="BP572" i="40"/>
  <c r="BP26" i="40"/>
  <c r="BX572" i="40"/>
  <c r="BX26" i="40"/>
  <c r="CF568" i="40"/>
  <c r="CF26" i="40"/>
  <c r="CN572" i="40"/>
  <c r="CN26" i="40"/>
  <c r="CV568" i="40"/>
  <c r="CV26" i="40"/>
  <c r="DD568" i="40"/>
  <c r="DD26" i="40"/>
  <c r="DL572" i="40"/>
  <c r="DL26" i="40"/>
  <c r="AK572" i="40"/>
  <c r="AK26" i="40"/>
  <c r="BF568" i="40"/>
  <c r="BF26" i="40"/>
  <c r="AG568" i="40"/>
  <c r="AG26" i="40"/>
  <c r="BA572" i="40"/>
  <c r="BA26" i="40"/>
  <c r="BQ572" i="40"/>
  <c r="BQ26" i="40"/>
  <c r="CG568" i="40"/>
  <c r="CG26" i="40"/>
  <c r="CW568" i="40"/>
  <c r="CW26" i="40"/>
  <c r="DM572" i="40"/>
  <c r="DM26" i="40"/>
  <c r="AH568" i="40"/>
  <c r="AH26" i="40"/>
  <c r="AE568" i="40"/>
  <c r="AE26" i="40"/>
  <c r="AT572" i="40"/>
  <c r="AT26" i="40"/>
  <c r="BB572" i="40"/>
  <c r="BB26" i="40"/>
  <c r="BJ568" i="40"/>
  <c r="BJ26" i="40"/>
  <c r="BR572" i="40"/>
  <c r="BR26" i="40"/>
  <c r="BZ572" i="40"/>
  <c r="BZ26" i="40"/>
  <c r="CH572" i="40"/>
  <c r="CH26" i="40"/>
  <c r="CP572" i="40"/>
  <c r="CP26" i="40"/>
  <c r="CX568" i="40"/>
  <c r="CX26" i="40"/>
  <c r="DF572" i="40"/>
  <c r="DF26" i="40"/>
  <c r="DN572" i="40"/>
  <c r="DN26" i="40"/>
  <c r="BE568" i="40"/>
  <c r="BE26" i="40"/>
  <c r="DA568" i="40"/>
  <c r="DA26" i="40"/>
  <c r="AS572" i="40"/>
  <c r="AS26" i="40"/>
  <c r="AI568" i="40"/>
  <c r="AI26" i="40"/>
  <c r="AM568" i="40"/>
  <c r="AM26" i="40"/>
  <c r="AU568" i="40"/>
  <c r="AU26" i="40"/>
  <c r="BC568" i="40"/>
  <c r="BC26" i="40"/>
  <c r="BK568" i="40"/>
  <c r="BK26" i="40"/>
  <c r="BS568" i="40"/>
  <c r="BS26" i="40"/>
  <c r="CA568" i="40"/>
  <c r="CA26" i="40"/>
  <c r="CI568" i="40"/>
  <c r="CI26" i="40"/>
  <c r="CQ568" i="40"/>
  <c r="CQ26" i="40"/>
  <c r="CY568" i="40"/>
  <c r="CY26" i="40"/>
  <c r="DG568" i="40"/>
  <c r="DG26" i="40"/>
  <c r="DO568" i="40"/>
  <c r="DO26" i="40"/>
  <c r="CC568" i="40"/>
  <c r="CC26" i="40"/>
  <c r="AX568" i="40"/>
  <c r="AX26" i="40"/>
  <c r="AD572" i="40"/>
  <c r="AD26" i="40"/>
  <c r="BI568" i="40"/>
  <c r="BI26" i="40"/>
  <c r="BY572" i="40"/>
  <c r="BY26" i="40"/>
  <c r="CO572" i="40"/>
  <c r="CO26" i="40"/>
  <c r="DE572" i="40"/>
  <c r="DE26" i="40"/>
  <c r="AN568" i="40"/>
  <c r="AN26" i="40"/>
  <c r="AV568" i="40"/>
  <c r="AV26" i="40"/>
  <c r="BD568" i="40"/>
  <c r="BD26" i="40"/>
  <c r="BL568" i="40"/>
  <c r="BL26" i="40"/>
  <c r="BT568" i="40"/>
  <c r="BT26" i="40"/>
  <c r="CB568" i="40"/>
  <c r="CB26" i="40"/>
  <c r="CJ568" i="40"/>
  <c r="CJ26" i="40"/>
  <c r="CR568" i="40"/>
  <c r="CR26" i="40"/>
  <c r="CZ568" i="40"/>
  <c r="CZ26" i="40"/>
  <c r="DH568" i="40"/>
  <c r="DH26" i="40"/>
  <c r="DP568" i="40"/>
  <c r="DP26" i="40"/>
  <c r="CF25" i="40"/>
  <c r="CN25" i="40"/>
  <c r="AB25" i="40"/>
  <c r="CV25" i="40"/>
  <c r="AR25" i="40"/>
  <c r="DD25" i="40"/>
  <c r="AZ25" i="40"/>
  <c r="DL25" i="40"/>
  <c r="BH25" i="40"/>
  <c r="BP25" i="40"/>
  <c r="BX25" i="40"/>
  <c r="AC25" i="40"/>
  <c r="AK25" i="40"/>
  <c r="AS25" i="40"/>
  <c r="BA25" i="40"/>
  <c r="BI25" i="40"/>
  <c r="BQ25" i="40"/>
  <c r="BY25" i="40"/>
  <c r="CG25" i="40"/>
  <c r="CO25" i="40"/>
  <c r="CW25" i="40"/>
  <c r="DE25" i="40"/>
  <c r="DM25" i="40"/>
  <c r="AD25" i="40"/>
  <c r="AL25" i="40"/>
  <c r="AT25" i="40"/>
  <c r="BB25" i="40"/>
  <c r="BJ25" i="40"/>
  <c r="BR25" i="40"/>
  <c r="BZ25" i="40"/>
  <c r="CH25" i="40"/>
  <c r="CP25" i="40"/>
  <c r="CX25" i="40"/>
  <c r="DF25" i="40"/>
  <c r="DN25" i="40"/>
  <c r="AE25" i="40"/>
  <c r="AM25" i="40"/>
  <c r="AU25" i="40"/>
  <c r="BC25" i="40"/>
  <c r="BK25" i="40"/>
  <c r="BS25" i="40"/>
  <c r="CA25" i="40"/>
  <c r="CI25" i="40"/>
  <c r="CQ25" i="40"/>
  <c r="CY25" i="40"/>
  <c r="DG25" i="40"/>
  <c r="DO25" i="40"/>
  <c r="AF25" i="40"/>
  <c r="AN25" i="40"/>
  <c r="AV25" i="40"/>
  <c r="BD25" i="40"/>
  <c r="BL25" i="40"/>
  <c r="BT25" i="40"/>
  <c r="CB25" i="40"/>
  <c r="CJ25" i="40"/>
  <c r="CR25" i="40"/>
  <c r="CZ25" i="40"/>
  <c r="DH25" i="40"/>
  <c r="DP25" i="40"/>
  <c r="AG25" i="40"/>
  <c r="AO25" i="40"/>
  <c r="AW25" i="40"/>
  <c r="BE25" i="40"/>
  <c r="BM25" i="40"/>
  <c r="BU25" i="40"/>
  <c r="CC25" i="40"/>
  <c r="CK25" i="40"/>
  <c r="CS25" i="40"/>
  <c r="DA25" i="40"/>
  <c r="DI25" i="40"/>
  <c r="AH25" i="40"/>
  <c r="AP25" i="40"/>
  <c r="AX25" i="40"/>
  <c r="BF25" i="40"/>
  <c r="BN25" i="40"/>
  <c r="BV25" i="40"/>
  <c r="CD25" i="40"/>
  <c r="CL25" i="40"/>
  <c r="CT25" i="40"/>
  <c r="DB25" i="40"/>
  <c r="DJ25" i="40"/>
  <c r="AA25" i="40"/>
  <c r="AI25" i="40"/>
  <c r="AQ25" i="40"/>
  <c r="AY25" i="40"/>
  <c r="BG25" i="40"/>
  <c r="BO25" i="40"/>
  <c r="BW25" i="40"/>
  <c r="CE25" i="40"/>
  <c r="CM25" i="40"/>
  <c r="CU25" i="40"/>
  <c r="DC25" i="40"/>
  <c r="DK25" i="40"/>
  <c r="CI24" i="40"/>
  <c r="BN23" i="40"/>
  <c r="CT23" i="40"/>
  <c r="DO24" i="40"/>
  <c r="AI23" i="40"/>
  <c r="BC24" i="40"/>
  <c r="BO23" i="40"/>
  <c r="CU23" i="40"/>
  <c r="BD24" i="40"/>
  <c r="CJ24" i="40"/>
  <c r="DP24" i="40"/>
  <c r="AP23" i="40"/>
  <c r="BV23" i="40"/>
  <c r="DB23" i="40"/>
  <c r="BK24" i="40"/>
  <c r="CQ24" i="40"/>
  <c r="AQ23" i="40"/>
  <c r="BW23" i="40"/>
  <c r="DC23" i="40"/>
  <c r="AE24" i="40"/>
  <c r="BL24" i="40"/>
  <c r="CR24" i="40"/>
  <c r="AX23" i="40"/>
  <c r="CD23" i="40"/>
  <c r="DJ23" i="40"/>
  <c r="AM24" i="40"/>
  <c r="BS24" i="40"/>
  <c r="CY24" i="40"/>
  <c r="AI571" i="40"/>
  <c r="AA23" i="40"/>
  <c r="AY23" i="40"/>
  <c r="CE23" i="40"/>
  <c r="DK23" i="40"/>
  <c r="AN24" i="40"/>
  <c r="BT24" i="40"/>
  <c r="CZ24" i="40"/>
  <c r="AB23" i="40"/>
  <c r="BF23" i="40"/>
  <c r="CL23" i="40"/>
  <c r="AU24" i="40"/>
  <c r="CA24" i="40"/>
  <c r="DG24" i="40"/>
  <c r="AH23" i="40"/>
  <c r="BG23" i="40"/>
  <c r="CM23" i="40"/>
  <c r="AV24" i="40"/>
  <c r="CB24" i="40"/>
  <c r="DH24" i="40"/>
  <c r="AG24" i="40"/>
  <c r="AO24" i="40"/>
  <c r="AW24" i="40"/>
  <c r="BE24" i="40"/>
  <c r="BM24" i="40"/>
  <c r="BU24" i="40"/>
  <c r="CC24" i="40"/>
  <c r="CK24" i="40"/>
  <c r="CS24" i="40"/>
  <c r="DA24" i="40"/>
  <c r="DI24" i="40"/>
  <c r="AF24" i="40"/>
  <c r="AR23" i="40"/>
  <c r="CV23" i="40"/>
  <c r="AC23" i="40"/>
  <c r="AK23" i="40"/>
  <c r="AS23" i="40"/>
  <c r="BA23" i="40"/>
  <c r="BI23" i="40"/>
  <c r="BQ23" i="40"/>
  <c r="BY23" i="40"/>
  <c r="CG23" i="40"/>
  <c r="CO23" i="40"/>
  <c r="CW23" i="40"/>
  <c r="DE23" i="40"/>
  <c r="DM23" i="40"/>
  <c r="AH24" i="40"/>
  <c r="AP24" i="40"/>
  <c r="AX24" i="40"/>
  <c r="BF24" i="40"/>
  <c r="BN24" i="40"/>
  <c r="BV24" i="40"/>
  <c r="CD24" i="40"/>
  <c r="CL24" i="40"/>
  <c r="CT24" i="40"/>
  <c r="DB24" i="40"/>
  <c r="DJ24" i="40"/>
  <c r="BX23" i="40"/>
  <c r="CN23" i="40"/>
  <c r="AD23" i="40"/>
  <c r="AL23" i="40"/>
  <c r="AT23" i="40"/>
  <c r="BB23" i="40"/>
  <c r="BJ23" i="40"/>
  <c r="BR23" i="40"/>
  <c r="BZ23" i="40"/>
  <c r="CH23" i="40"/>
  <c r="CP23" i="40"/>
  <c r="CX23" i="40"/>
  <c r="DF23" i="40"/>
  <c r="DN23" i="40"/>
  <c r="AA24" i="40"/>
  <c r="AI24" i="40"/>
  <c r="AQ24" i="40"/>
  <c r="AY24" i="40"/>
  <c r="BG24" i="40"/>
  <c r="BO24" i="40"/>
  <c r="BW24" i="40"/>
  <c r="CE24" i="40"/>
  <c r="CM24" i="40"/>
  <c r="CU24" i="40"/>
  <c r="DC24" i="40"/>
  <c r="DK24" i="40"/>
  <c r="BH23" i="40"/>
  <c r="DL23" i="40"/>
  <c r="AE23" i="40"/>
  <c r="AM23" i="40"/>
  <c r="AU23" i="40"/>
  <c r="BC23" i="40"/>
  <c r="BK23" i="40"/>
  <c r="BS23" i="40"/>
  <c r="CA23" i="40"/>
  <c r="CI23" i="40"/>
  <c r="CQ23" i="40"/>
  <c r="CY23" i="40"/>
  <c r="DG23" i="40"/>
  <c r="DO23" i="40"/>
  <c r="AB24" i="40"/>
  <c r="AR24" i="40"/>
  <c r="AZ24" i="40"/>
  <c r="BH24" i="40"/>
  <c r="BP24" i="40"/>
  <c r="BX24" i="40"/>
  <c r="CF24" i="40"/>
  <c r="CN24" i="40"/>
  <c r="CV24" i="40"/>
  <c r="DD24" i="40"/>
  <c r="DL24" i="40"/>
  <c r="BP23" i="40"/>
  <c r="DD23" i="40"/>
  <c r="AF23" i="40"/>
  <c r="AN23" i="40"/>
  <c r="AV23" i="40"/>
  <c r="BD23" i="40"/>
  <c r="BL23" i="40"/>
  <c r="BT23" i="40"/>
  <c r="CB23" i="40"/>
  <c r="CJ23" i="40"/>
  <c r="CR23" i="40"/>
  <c r="CZ23" i="40"/>
  <c r="DH23" i="40"/>
  <c r="DP23" i="40"/>
  <c r="AC24" i="40"/>
  <c r="AK24" i="40"/>
  <c r="AS24" i="40"/>
  <c r="BA24" i="40"/>
  <c r="BI24" i="40"/>
  <c r="BQ24" i="40"/>
  <c r="BY24" i="40"/>
  <c r="CG24" i="40"/>
  <c r="CO24" i="40"/>
  <c r="CW24" i="40"/>
  <c r="DE24" i="40"/>
  <c r="DM24" i="40"/>
  <c r="AZ23" i="40"/>
  <c r="CF23" i="40"/>
  <c r="AG23" i="40"/>
  <c r="AO23" i="40"/>
  <c r="AW23" i="40"/>
  <c r="BE23" i="40"/>
  <c r="BM23" i="40"/>
  <c r="BU23" i="40"/>
  <c r="CC23" i="40"/>
  <c r="CK23" i="40"/>
  <c r="CS23" i="40"/>
  <c r="DA23" i="40"/>
  <c r="DI23" i="40"/>
  <c r="AD24" i="40"/>
  <c r="AL24" i="40"/>
  <c r="AT24" i="40"/>
  <c r="BB24" i="40"/>
  <c r="BJ24" i="40"/>
  <c r="BR24" i="40"/>
  <c r="BZ24" i="40"/>
  <c r="CH24" i="40"/>
  <c r="CP24" i="40"/>
  <c r="CX24" i="40"/>
  <c r="DF24" i="40"/>
  <c r="DN24" i="40"/>
  <c r="CO22" i="40"/>
  <c r="AS22" i="40"/>
  <c r="DE22" i="40"/>
  <c r="AK22" i="40"/>
  <c r="CW22" i="40"/>
  <c r="BA22" i="40"/>
  <c r="DM22" i="40"/>
  <c r="BI22" i="40"/>
  <c r="BQ22" i="40"/>
  <c r="BY22" i="40"/>
  <c r="CG22" i="40"/>
  <c r="AC22" i="40"/>
  <c r="AD22" i="40"/>
  <c r="AL22" i="40"/>
  <c r="AT22" i="40"/>
  <c r="BB22" i="40"/>
  <c r="BJ22" i="40"/>
  <c r="BR22" i="40"/>
  <c r="BZ22" i="40"/>
  <c r="CH22" i="40"/>
  <c r="CP22" i="40"/>
  <c r="CX22" i="40"/>
  <c r="DF22" i="40"/>
  <c r="DN22" i="40"/>
  <c r="AE22" i="40"/>
  <c r="AM22" i="40"/>
  <c r="AU22" i="40"/>
  <c r="BC22" i="40"/>
  <c r="BK22" i="40"/>
  <c r="BS22" i="40"/>
  <c r="CA22" i="40"/>
  <c r="CI22" i="40"/>
  <c r="CQ22" i="40"/>
  <c r="CY22" i="40"/>
  <c r="DG22" i="40"/>
  <c r="DO22" i="40"/>
  <c r="AF22" i="40"/>
  <c r="AN22" i="40"/>
  <c r="AV22" i="40"/>
  <c r="BD22" i="40"/>
  <c r="BL22" i="40"/>
  <c r="BT22" i="40"/>
  <c r="CB22" i="40"/>
  <c r="CJ22" i="40"/>
  <c r="CR22" i="40"/>
  <c r="CZ22" i="40"/>
  <c r="DH22" i="40"/>
  <c r="DP22" i="40"/>
  <c r="AG22" i="40"/>
  <c r="AO22" i="40"/>
  <c r="AW22" i="40"/>
  <c r="BE22" i="40"/>
  <c r="BM22" i="40"/>
  <c r="BU22" i="40"/>
  <c r="CC22" i="40"/>
  <c r="CK22" i="40"/>
  <c r="CS22" i="40"/>
  <c r="DA22" i="40"/>
  <c r="DI22" i="40"/>
  <c r="AH22" i="40"/>
  <c r="AP22" i="40"/>
  <c r="AX22" i="40"/>
  <c r="BF22" i="40"/>
  <c r="BN22" i="40"/>
  <c r="BV22" i="40"/>
  <c r="CD22" i="40"/>
  <c r="CL22" i="40"/>
  <c r="CT22" i="40"/>
  <c r="DB22" i="40"/>
  <c r="DJ22" i="40"/>
  <c r="AA22" i="40"/>
  <c r="AI22" i="40"/>
  <c r="AQ22" i="40"/>
  <c r="AY22" i="40"/>
  <c r="BG22" i="40"/>
  <c r="BO22" i="40"/>
  <c r="BW22" i="40"/>
  <c r="CE22" i="40"/>
  <c r="CM22" i="40"/>
  <c r="CU22" i="40"/>
  <c r="DC22" i="40"/>
  <c r="DK22" i="40"/>
  <c r="AB22" i="40"/>
  <c r="AR22" i="40"/>
  <c r="AZ22" i="40"/>
  <c r="BH22" i="40"/>
  <c r="BP22" i="40"/>
  <c r="BX22" i="40"/>
  <c r="CF22" i="40"/>
  <c r="CN22" i="40"/>
  <c r="CV22" i="40"/>
  <c r="DD22" i="40"/>
  <c r="DL22" i="40"/>
  <c r="AU18" i="40"/>
  <c r="DG18" i="40"/>
  <c r="AB19" i="40"/>
  <c r="AR19" i="40"/>
  <c r="AZ19" i="40"/>
  <c r="BH19" i="40"/>
  <c r="BP19" i="40"/>
  <c r="BX19" i="40"/>
  <c r="CF19" i="40"/>
  <c r="CN19" i="40"/>
  <c r="CV19" i="40"/>
  <c r="DD19" i="40"/>
  <c r="DL19" i="40"/>
  <c r="BC18" i="40"/>
  <c r="DO18" i="40"/>
  <c r="AC19" i="40"/>
  <c r="AK19" i="40"/>
  <c r="AS19" i="40"/>
  <c r="BA19" i="40"/>
  <c r="BI19" i="40"/>
  <c r="BQ19" i="40"/>
  <c r="BY19" i="40"/>
  <c r="CG19" i="40"/>
  <c r="CO19" i="40"/>
  <c r="CW19" i="40"/>
  <c r="DE19" i="40"/>
  <c r="DM19" i="40"/>
  <c r="BK18" i="40"/>
  <c r="AD19" i="40"/>
  <c r="AL19" i="40"/>
  <c r="AT19" i="40"/>
  <c r="BB19" i="40"/>
  <c r="BJ19" i="40"/>
  <c r="BR19" i="40"/>
  <c r="BZ19" i="40"/>
  <c r="CH19" i="40"/>
  <c r="CP19" i="40"/>
  <c r="CX19" i="40"/>
  <c r="DF19" i="40"/>
  <c r="DN19" i="40"/>
  <c r="BS18" i="40"/>
  <c r="AE19" i="40"/>
  <c r="AM19" i="40"/>
  <c r="AU19" i="40"/>
  <c r="BC19" i="40"/>
  <c r="BK19" i="40"/>
  <c r="BS19" i="40"/>
  <c r="CA19" i="40"/>
  <c r="CI19" i="40"/>
  <c r="CQ19" i="40"/>
  <c r="CY19" i="40"/>
  <c r="DG19" i="40"/>
  <c r="DO19" i="40"/>
  <c r="CA18" i="40"/>
  <c r="AF19" i="40"/>
  <c r="AN19" i="40"/>
  <c r="AV19" i="40"/>
  <c r="BD19" i="40"/>
  <c r="BL19" i="40"/>
  <c r="BT19" i="40"/>
  <c r="CB19" i="40"/>
  <c r="CJ19" i="40"/>
  <c r="CR19" i="40"/>
  <c r="CZ19" i="40"/>
  <c r="DH19" i="40"/>
  <c r="DP19" i="40"/>
  <c r="CI18" i="40"/>
  <c r="AG19" i="40"/>
  <c r="AO19" i="40"/>
  <c r="AW19" i="40"/>
  <c r="BE19" i="40"/>
  <c r="BM19" i="40"/>
  <c r="BU19" i="40"/>
  <c r="CC19" i="40"/>
  <c r="CK19" i="40"/>
  <c r="CS19" i="40"/>
  <c r="DA19" i="40"/>
  <c r="DI19" i="40"/>
  <c r="AE18" i="40"/>
  <c r="CQ18" i="40"/>
  <c r="AH19" i="40"/>
  <c r="AP19" i="40"/>
  <c r="AX19" i="40"/>
  <c r="BF19" i="40"/>
  <c r="BN19" i="40"/>
  <c r="BV19" i="40"/>
  <c r="CD19" i="40"/>
  <c r="CL19" i="40"/>
  <c r="CT19" i="40"/>
  <c r="DB19" i="40"/>
  <c r="DJ19" i="40"/>
  <c r="AM18" i="40"/>
  <c r="CY18" i="40"/>
  <c r="AA19" i="40"/>
  <c r="AI19" i="40"/>
  <c r="AQ19" i="40"/>
  <c r="AY19" i="40"/>
  <c r="BG19" i="40"/>
  <c r="BO19" i="40"/>
  <c r="BW19" i="40"/>
  <c r="CE19" i="40"/>
  <c r="CM19" i="40"/>
  <c r="CU19" i="40"/>
  <c r="DC19" i="40"/>
  <c r="DK19" i="40"/>
  <c r="AF18" i="40"/>
  <c r="AN18" i="40"/>
  <c r="AV18" i="40"/>
  <c r="BD18" i="40"/>
  <c r="BL18" i="40"/>
  <c r="BT18" i="40"/>
  <c r="CB18" i="40"/>
  <c r="CJ18" i="40"/>
  <c r="CR18" i="40"/>
  <c r="CZ18" i="40"/>
  <c r="DH18" i="40"/>
  <c r="DP18" i="40"/>
  <c r="AG18" i="40"/>
  <c r="AO18" i="40"/>
  <c r="AW18" i="40"/>
  <c r="BE18" i="40"/>
  <c r="BM18" i="40"/>
  <c r="BU18" i="40"/>
  <c r="CC18" i="40"/>
  <c r="CK18" i="40"/>
  <c r="CS18" i="40"/>
  <c r="DA18" i="40"/>
  <c r="DI18" i="40"/>
  <c r="AH18" i="40"/>
  <c r="AP18" i="40"/>
  <c r="AX18" i="40"/>
  <c r="BF18" i="40"/>
  <c r="BN18" i="40"/>
  <c r="BV18" i="40"/>
  <c r="CD18" i="40"/>
  <c r="CL18" i="40"/>
  <c r="CT18" i="40"/>
  <c r="DB18" i="40"/>
  <c r="DJ18" i="40"/>
  <c r="AA18" i="40"/>
  <c r="AI18" i="40"/>
  <c r="AQ18" i="40"/>
  <c r="AY18" i="40"/>
  <c r="BG18" i="40"/>
  <c r="BO18" i="40"/>
  <c r="BW18" i="40"/>
  <c r="CE18" i="40"/>
  <c r="CM18" i="40"/>
  <c r="CU18" i="40"/>
  <c r="DC18" i="40"/>
  <c r="DK18" i="40"/>
  <c r="AB18" i="40"/>
  <c r="AR18" i="40"/>
  <c r="AZ18" i="40"/>
  <c r="BH18" i="40"/>
  <c r="BP18" i="40"/>
  <c r="BX18" i="40"/>
  <c r="CF18" i="40"/>
  <c r="CN18" i="40"/>
  <c r="CV18" i="40"/>
  <c r="DD18" i="40"/>
  <c r="DL18" i="40"/>
  <c r="AC18" i="40"/>
  <c r="AK18" i="40"/>
  <c r="AS18" i="40"/>
  <c r="BA18" i="40"/>
  <c r="BI18" i="40"/>
  <c r="BQ18" i="40"/>
  <c r="BY18" i="40"/>
  <c r="CG18" i="40"/>
  <c r="CO18" i="40"/>
  <c r="CW18" i="40"/>
  <c r="DE18" i="40"/>
  <c r="DM18" i="40"/>
  <c r="AD18" i="40"/>
  <c r="AL18" i="40"/>
  <c r="AT18" i="40"/>
  <c r="BB18" i="40"/>
  <c r="BJ18" i="40"/>
  <c r="BR18" i="40"/>
  <c r="BZ18" i="40"/>
  <c r="CH18" i="40"/>
  <c r="CP18" i="40"/>
  <c r="CX18" i="40"/>
  <c r="DF18" i="40"/>
  <c r="DN18" i="40"/>
  <c r="CX15" i="40"/>
  <c r="AS16" i="40"/>
  <c r="BY16" i="40"/>
  <c r="DE16" i="40"/>
  <c r="AH17" i="40"/>
  <c r="AP17" i="40"/>
  <c r="AX17" i="40"/>
  <c r="BF17" i="40"/>
  <c r="BN17" i="40"/>
  <c r="BV17" i="40"/>
  <c r="CD17" i="40"/>
  <c r="CL17" i="40"/>
  <c r="CT17" i="40"/>
  <c r="DB17" i="40"/>
  <c r="DJ17" i="40"/>
  <c r="DF15" i="40"/>
  <c r="AT16" i="40"/>
  <c r="BZ16" i="40"/>
  <c r="DF16" i="40"/>
  <c r="AA17" i="40"/>
  <c r="AI17" i="40"/>
  <c r="AQ17" i="40"/>
  <c r="AY17" i="40"/>
  <c r="BG17" i="40"/>
  <c r="BO17" i="40"/>
  <c r="BW17" i="40"/>
  <c r="CE17" i="40"/>
  <c r="CM17" i="40"/>
  <c r="CU17" i="40"/>
  <c r="DC17" i="40"/>
  <c r="DK17" i="40"/>
  <c r="BA16" i="40"/>
  <c r="CG16" i="40"/>
  <c r="DM16" i="40"/>
  <c r="AB17" i="40"/>
  <c r="AR17" i="40"/>
  <c r="AZ17" i="40"/>
  <c r="BH17" i="40"/>
  <c r="BP17" i="40"/>
  <c r="BX17" i="40"/>
  <c r="CF17" i="40"/>
  <c r="CN17" i="40"/>
  <c r="CV17" i="40"/>
  <c r="DD17" i="40"/>
  <c r="DL17" i="40"/>
  <c r="BB16" i="40"/>
  <c r="CH16" i="40"/>
  <c r="DN16" i="40"/>
  <c r="AC17" i="40"/>
  <c r="AK17" i="40"/>
  <c r="AS17" i="40"/>
  <c r="BA17" i="40"/>
  <c r="BI17" i="40"/>
  <c r="BQ17" i="40"/>
  <c r="BY17" i="40"/>
  <c r="CG17" i="40"/>
  <c r="CO17" i="40"/>
  <c r="CW17" i="40"/>
  <c r="DE17" i="40"/>
  <c r="DM17" i="40"/>
  <c r="BI16" i="40"/>
  <c r="CO16" i="40"/>
  <c r="AD17" i="40"/>
  <c r="AL17" i="40"/>
  <c r="AT17" i="40"/>
  <c r="BB17" i="40"/>
  <c r="BJ17" i="40"/>
  <c r="BR17" i="40"/>
  <c r="BZ17" i="40"/>
  <c r="CH17" i="40"/>
  <c r="CP17" i="40"/>
  <c r="CX17" i="40"/>
  <c r="DF17" i="40"/>
  <c r="DN17" i="40"/>
  <c r="AC16" i="40"/>
  <c r="BJ16" i="40"/>
  <c r="CP16" i="40"/>
  <c r="AE17" i="40"/>
  <c r="AM17" i="40"/>
  <c r="AU17" i="40"/>
  <c r="BC17" i="40"/>
  <c r="BK17" i="40"/>
  <c r="BS17" i="40"/>
  <c r="CA17" i="40"/>
  <c r="CI17" i="40"/>
  <c r="CQ17" i="40"/>
  <c r="CY17" i="40"/>
  <c r="DG17" i="40"/>
  <c r="DO17" i="40"/>
  <c r="AD16" i="40"/>
  <c r="BQ16" i="40"/>
  <c r="CW16" i="40"/>
  <c r="AF17" i="40"/>
  <c r="AN17" i="40"/>
  <c r="AV17" i="40"/>
  <c r="BD17" i="40"/>
  <c r="BL17" i="40"/>
  <c r="BT17" i="40"/>
  <c r="CB17" i="40"/>
  <c r="CJ17" i="40"/>
  <c r="CR17" i="40"/>
  <c r="CZ17" i="40"/>
  <c r="DH17" i="40"/>
  <c r="DP17" i="40"/>
  <c r="AT15" i="40"/>
  <c r="AK16" i="40"/>
  <c r="BR16" i="40"/>
  <c r="CX16" i="40"/>
  <c r="AG17" i="40"/>
  <c r="AO17" i="40"/>
  <c r="AW17" i="40"/>
  <c r="BE17" i="40"/>
  <c r="BM17" i="40"/>
  <c r="BU17" i="40"/>
  <c r="CC17" i="40"/>
  <c r="CK17" i="40"/>
  <c r="CS17" i="40"/>
  <c r="DA17" i="40"/>
  <c r="DI17" i="40"/>
  <c r="BB15" i="40"/>
  <c r="DN15" i="40"/>
  <c r="AE16" i="40"/>
  <c r="AM16" i="40"/>
  <c r="AU16" i="40"/>
  <c r="BC16" i="40"/>
  <c r="BK16" i="40"/>
  <c r="BS16" i="40"/>
  <c r="CA16" i="40"/>
  <c r="CI16" i="40"/>
  <c r="CQ16" i="40"/>
  <c r="CY16" i="40"/>
  <c r="DG16" i="40"/>
  <c r="DO16" i="40"/>
  <c r="BJ15" i="40"/>
  <c r="AF16" i="40"/>
  <c r="AN16" i="40"/>
  <c r="AV16" i="40"/>
  <c r="BD16" i="40"/>
  <c r="BL16" i="40"/>
  <c r="BT16" i="40"/>
  <c r="CB16" i="40"/>
  <c r="CJ16" i="40"/>
  <c r="CR16" i="40"/>
  <c r="CZ16" i="40"/>
  <c r="DH16" i="40"/>
  <c r="DP16" i="40"/>
  <c r="AK14" i="40"/>
  <c r="BR15" i="40"/>
  <c r="AG16" i="40"/>
  <c r="AO16" i="40"/>
  <c r="AW16" i="40"/>
  <c r="BE16" i="40"/>
  <c r="BM16" i="40"/>
  <c r="BU16" i="40"/>
  <c r="CC16" i="40"/>
  <c r="CK16" i="40"/>
  <c r="CS16" i="40"/>
  <c r="DA16" i="40"/>
  <c r="DI16" i="40"/>
  <c r="AL15" i="40"/>
  <c r="BQ14" i="40"/>
  <c r="BZ15" i="40"/>
  <c r="AH16" i="40"/>
  <c r="AP16" i="40"/>
  <c r="AX16" i="40"/>
  <c r="BF16" i="40"/>
  <c r="BN16" i="40"/>
  <c r="BV16" i="40"/>
  <c r="CD16" i="40"/>
  <c r="CL16" i="40"/>
  <c r="CT16" i="40"/>
  <c r="DB16" i="40"/>
  <c r="DJ16" i="40"/>
  <c r="CW14" i="40"/>
  <c r="CH15" i="40"/>
  <c r="AA16" i="40"/>
  <c r="AI16" i="40"/>
  <c r="AQ16" i="40"/>
  <c r="AY16" i="40"/>
  <c r="BG16" i="40"/>
  <c r="BO16" i="40"/>
  <c r="BW16" i="40"/>
  <c r="CE16" i="40"/>
  <c r="CM16" i="40"/>
  <c r="CU16" i="40"/>
  <c r="DC16" i="40"/>
  <c r="DK16" i="40"/>
  <c r="AL16" i="40"/>
  <c r="AD15" i="40"/>
  <c r="CP15" i="40"/>
  <c r="AB16" i="40"/>
  <c r="AR16" i="40"/>
  <c r="AZ16" i="40"/>
  <c r="BH16" i="40"/>
  <c r="BP16" i="40"/>
  <c r="BX16" i="40"/>
  <c r="CF16" i="40"/>
  <c r="CN16" i="40"/>
  <c r="CV16" i="40"/>
  <c r="DD16" i="40"/>
  <c r="DL16" i="40"/>
  <c r="AR14" i="40"/>
  <c r="BX14" i="40"/>
  <c r="DD14" i="40"/>
  <c r="AE15" i="40"/>
  <c r="AM15" i="40"/>
  <c r="AU15" i="40"/>
  <c r="BC15" i="40"/>
  <c r="BK15" i="40"/>
  <c r="BS15" i="40"/>
  <c r="CA15" i="40"/>
  <c r="CI15" i="40"/>
  <c r="CQ15" i="40"/>
  <c r="CY15" i="40"/>
  <c r="DG15" i="40"/>
  <c r="DO15" i="40"/>
  <c r="AS14" i="40"/>
  <c r="BY14" i="40"/>
  <c r="DE14" i="40"/>
  <c r="AF15" i="40"/>
  <c r="AN15" i="40"/>
  <c r="AV15" i="40"/>
  <c r="BD15" i="40"/>
  <c r="BL15" i="40"/>
  <c r="BT15" i="40"/>
  <c r="CB15" i="40"/>
  <c r="CJ15" i="40"/>
  <c r="CR15" i="40"/>
  <c r="CZ15" i="40"/>
  <c r="DH15" i="40"/>
  <c r="DP15" i="40"/>
  <c r="AZ14" i="40"/>
  <c r="CF14" i="40"/>
  <c r="DL14" i="40"/>
  <c r="AG15" i="40"/>
  <c r="AO15" i="40"/>
  <c r="AW15" i="40"/>
  <c r="BE15" i="40"/>
  <c r="BM15" i="40"/>
  <c r="BU15" i="40"/>
  <c r="CC15" i="40"/>
  <c r="CK15" i="40"/>
  <c r="CS15" i="40"/>
  <c r="DA15" i="40"/>
  <c r="DI15" i="40"/>
  <c r="BA14" i="40"/>
  <c r="CG14" i="40"/>
  <c r="DM14" i="40"/>
  <c r="AH15" i="40"/>
  <c r="AP15" i="40"/>
  <c r="AX15" i="40"/>
  <c r="BF15" i="40"/>
  <c r="BN15" i="40"/>
  <c r="BV15" i="40"/>
  <c r="CD15" i="40"/>
  <c r="CL15" i="40"/>
  <c r="CT15" i="40"/>
  <c r="DB15" i="40"/>
  <c r="DJ15" i="40"/>
  <c r="AB14" i="40"/>
  <c r="BH14" i="40"/>
  <c r="CN14" i="40"/>
  <c r="AI15" i="40"/>
  <c r="AQ15" i="40"/>
  <c r="AY15" i="40"/>
  <c r="BG15" i="40"/>
  <c r="BO15" i="40"/>
  <c r="BW15" i="40"/>
  <c r="CE15" i="40"/>
  <c r="CM15" i="40"/>
  <c r="CU15" i="40"/>
  <c r="DC15" i="40"/>
  <c r="DK15" i="40"/>
  <c r="AC14" i="40"/>
  <c r="BI14" i="40"/>
  <c r="CO14" i="40"/>
  <c r="AB15" i="40"/>
  <c r="AR15" i="40"/>
  <c r="AZ15" i="40"/>
  <c r="BH15" i="40"/>
  <c r="BP15" i="40"/>
  <c r="BX15" i="40"/>
  <c r="CF15" i="40"/>
  <c r="CN15" i="40"/>
  <c r="CV15" i="40"/>
  <c r="DD15" i="40"/>
  <c r="DL15" i="40"/>
  <c r="BP14" i="40"/>
  <c r="CV14" i="40"/>
  <c r="AC15" i="40"/>
  <c r="AK15" i="40"/>
  <c r="AS15" i="40"/>
  <c r="BA15" i="40"/>
  <c r="BI15" i="40"/>
  <c r="BQ15" i="40"/>
  <c r="BY15" i="40"/>
  <c r="CG15" i="40"/>
  <c r="CO15" i="40"/>
  <c r="CW15" i="40"/>
  <c r="DE15" i="40"/>
  <c r="DM15" i="40"/>
  <c r="BD12" i="40"/>
  <c r="BK12" i="40"/>
  <c r="CQ12" i="40"/>
  <c r="AD14" i="40"/>
  <c r="AL14" i="40"/>
  <c r="AT14" i="40"/>
  <c r="BB14" i="40"/>
  <c r="BJ14" i="40"/>
  <c r="BR14" i="40"/>
  <c r="BZ14" i="40"/>
  <c r="CH14" i="40"/>
  <c r="CP14" i="40"/>
  <c r="CX14" i="40"/>
  <c r="DF14" i="40"/>
  <c r="DN14" i="40"/>
  <c r="CI12" i="40"/>
  <c r="AF12" i="40"/>
  <c r="BL12" i="40"/>
  <c r="CR12" i="40"/>
  <c r="AE14" i="40"/>
  <c r="AM14" i="40"/>
  <c r="AU14" i="40"/>
  <c r="BC14" i="40"/>
  <c r="BK14" i="40"/>
  <c r="BS14" i="40"/>
  <c r="CA14" i="40"/>
  <c r="CI14" i="40"/>
  <c r="CQ14" i="40"/>
  <c r="CY14" i="40"/>
  <c r="DG14" i="40"/>
  <c r="DO14" i="40"/>
  <c r="AM12" i="40"/>
  <c r="BS12" i="40"/>
  <c r="CY12" i="40"/>
  <c r="AF14" i="40"/>
  <c r="AN14" i="40"/>
  <c r="AV14" i="40"/>
  <c r="BD14" i="40"/>
  <c r="BL14" i="40"/>
  <c r="BT14" i="40"/>
  <c r="CB14" i="40"/>
  <c r="CJ14" i="40"/>
  <c r="CR14" i="40"/>
  <c r="CZ14" i="40"/>
  <c r="DH14" i="40"/>
  <c r="DP14" i="40"/>
  <c r="DO12" i="40"/>
  <c r="DP12" i="40"/>
  <c r="AN12" i="40"/>
  <c r="BT12" i="40"/>
  <c r="CZ12" i="40"/>
  <c r="AG14" i="40"/>
  <c r="AO14" i="40"/>
  <c r="AW14" i="40"/>
  <c r="BE14" i="40"/>
  <c r="BM14" i="40"/>
  <c r="BU14" i="40"/>
  <c r="CC14" i="40"/>
  <c r="CK14" i="40"/>
  <c r="CS14" i="40"/>
  <c r="DA14" i="40"/>
  <c r="DI14" i="40"/>
  <c r="BC12" i="40"/>
  <c r="CJ12" i="40"/>
  <c r="AU12" i="40"/>
  <c r="CA12" i="40"/>
  <c r="DG12" i="40"/>
  <c r="AH14" i="40"/>
  <c r="AP14" i="40"/>
  <c r="AX14" i="40"/>
  <c r="BF14" i="40"/>
  <c r="BN14" i="40"/>
  <c r="BV14" i="40"/>
  <c r="CD14" i="40"/>
  <c r="CL14" i="40"/>
  <c r="CT14" i="40"/>
  <c r="DB14" i="40"/>
  <c r="DJ14" i="40"/>
  <c r="AV12" i="40"/>
  <c r="CB12" i="40"/>
  <c r="DH12" i="40"/>
  <c r="AI14" i="40"/>
  <c r="AQ14" i="40"/>
  <c r="AY14" i="40"/>
  <c r="BG14" i="40"/>
  <c r="BO14" i="40"/>
  <c r="BW14" i="40"/>
  <c r="CE14" i="40"/>
  <c r="CM14" i="40"/>
  <c r="CU14" i="40"/>
  <c r="DC14" i="40"/>
  <c r="DK14" i="40"/>
  <c r="AG12" i="40"/>
  <c r="AO12" i="40"/>
  <c r="AW12" i="40"/>
  <c r="BE12" i="40"/>
  <c r="BM12" i="40"/>
  <c r="BU12" i="40"/>
  <c r="CC12" i="40"/>
  <c r="CK12" i="40"/>
  <c r="CS12" i="40"/>
  <c r="DA12" i="40"/>
  <c r="DI12" i="40"/>
  <c r="AH12" i="40"/>
  <c r="AP12" i="40"/>
  <c r="AX12" i="40"/>
  <c r="BF12" i="40"/>
  <c r="BN12" i="40"/>
  <c r="BV12" i="40"/>
  <c r="CD12" i="40"/>
  <c r="CL12" i="40"/>
  <c r="CT12" i="40"/>
  <c r="DB12" i="40"/>
  <c r="DJ12" i="40"/>
  <c r="AI12" i="40"/>
  <c r="AQ12" i="40"/>
  <c r="AY12" i="40"/>
  <c r="BG12" i="40"/>
  <c r="BO12" i="40"/>
  <c r="BW12" i="40"/>
  <c r="CE12" i="40"/>
  <c r="CM12" i="40"/>
  <c r="CU12" i="40"/>
  <c r="DC12" i="40"/>
  <c r="DK12" i="40"/>
  <c r="AE12" i="40"/>
  <c r="AB12" i="40"/>
  <c r="AR12" i="40"/>
  <c r="AZ12" i="40"/>
  <c r="BH12" i="40"/>
  <c r="BP12" i="40"/>
  <c r="BX12" i="40"/>
  <c r="CF12" i="40"/>
  <c r="CN12" i="40"/>
  <c r="CV12" i="40"/>
  <c r="DD12" i="40"/>
  <c r="DL12" i="40"/>
  <c r="AC12" i="40"/>
  <c r="AK12" i="40"/>
  <c r="AS12" i="40"/>
  <c r="BA12" i="40"/>
  <c r="BI12" i="40"/>
  <c r="BQ12" i="40"/>
  <c r="BY12" i="40"/>
  <c r="CG12" i="40"/>
  <c r="CO12" i="40"/>
  <c r="CW12" i="40"/>
  <c r="DE12" i="40"/>
  <c r="DM12" i="40"/>
  <c r="AD12" i="40"/>
  <c r="AL12" i="40"/>
  <c r="AT12" i="40"/>
  <c r="BB12" i="40"/>
  <c r="BJ12" i="40"/>
  <c r="BR12" i="40"/>
  <c r="BZ12" i="40"/>
  <c r="CH12" i="40"/>
  <c r="CP12" i="40"/>
  <c r="CX12" i="40"/>
  <c r="DF12" i="40"/>
  <c r="DN12" i="40"/>
  <c r="X22" i="40"/>
  <c r="X30" i="40"/>
  <c r="X25" i="40"/>
  <c r="W18" i="40"/>
  <c r="W24" i="40"/>
  <c r="W20" i="40"/>
  <c r="W23" i="40"/>
  <c r="W16" i="40"/>
  <c r="X23" i="40"/>
  <c r="W25" i="40"/>
  <c r="W30" i="40"/>
  <c r="W22" i="40"/>
  <c r="CI767" i="40"/>
  <c r="W19" i="40"/>
  <c r="W21" i="40"/>
  <c r="X24" i="40"/>
  <c r="W33" i="40"/>
  <c r="X21" i="40"/>
  <c r="X33" i="40"/>
  <c r="W31" i="40"/>
  <c r="O19" i="40"/>
  <c r="X31" i="40"/>
  <c r="W17" i="40"/>
  <c r="O21" i="40"/>
  <c r="O22" i="40"/>
  <c r="O23" i="40"/>
  <c r="O24" i="40"/>
  <c r="O25" i="40"/>
  <c r="O30" i="40"/>
  <c r="O31" i="40"/>
  <c r="O33" i="40"/>
  <c r="O18" i="40"/>
  <c r="O20" i="40"/>
  <c r="O16" i="40"/>
  <c r="O17" i="40"/>
  <c r="DO767" i="40"/>
  <c r="X16" i="40"/>
  <c r="X17" i="40"/>
  <c r="X18" i="40"/>
  <c r="X19" i="40"/>
  <c r="X20" i="40"/>
  <c r="CE765" i="40"/>
  <c r="AT766" i="40"/>
  <c r="BZ766" i="40"/>
  <c r="AB765" i="40"/>
  <c r="DF766" i="40"/>
  <c r="BC767" i="40"/>
  <c r="AI765" i="40"/>
  <c r="CM765" i="40"/>
  <c r="BA766" i="40"/>
  <c r="CG766" i="40"/>
  <c r="DM766" i="40"/>
  <c r="BD767" i="40"/>
  <c r="CJ767" i="40"/>
  <c r="DP767" i="40"/>
  <c r="AJ765" i="40"/>
  <c r="CU765" i="40"/>
  <c r="BB766" i="40"/>
  <c r="CH766" i="40"/>
  <c r="DN766" i="40"/>
  <c r="BK767" i="40"/>
  <c r="CQ767" i="40"/>
  <c r="AQ765" i="40"/>
  <c r="DC765" i="40"/>
  <c r="BI766" i="40"/>
  <c r="CO766" i="40"/>
  <c r="BL767" i="40"/>
  <c r="CR767" i="40"/>
  <c r="AY765" i="40"/>
  <c r="DK765" i="40"/>
  <c r="BJ766" i="40"/>
  <c r="CP766" i="40"/>
  <c r="AM767" i="40"/>
  <c r="BS767" i="40"/>
  <c r="CY767" i="40"/>
  <c r="BG765" i="40"/>
  <c r="AK766" i="40"/>
  <c r="BQ766" i="40"/>
  <c r="CW766" i="40"/>
  <c r="AN767" i="40"/>
  <c r="BT767" i="40"/>
  <c r="CZ767" i="40"/>
  <c r="BO765" i="40"/>
  <c r="AL766" i="40"/>
  <c r="BR766" i="40"/>
  <c r="CX766" i="40"/>
  <c r="AU767" i="40"/>
  <c r="CA767" i="40"/>
  <c r="DG767" i="40"/>
  <c r="AA765" i="40"/>
  <c r="BW765" i="40"/>
  <c r="AS766" i="40"/>
  <c r="BY766" i="40"/>
  <c r="DE766" i="40"/>
  <c r="AV767" i="40"/>
  <c r="CB767" i="40"/>
  <c r="DH767" i="40"/>
  <c r="AC766" i="40"/>
  <c r="AC765" i="40"/>
  <c r="AK765" i="40"/>
  <c r="AS765" i="40"/>
  <c r="BA765" i="40"/>
  <c r="BI765" i="40"/>
  <c r="BQ765" i="40"/>
  <c r="BY765" i="40"/>
  <c r="CG765" i="40"/>
  <c r="CO765" i="40"/>
  <c r="CW765" i="40"/>
  <c r="DE765" i="40"/>
  <c r="DM765" i="40"/>
  <c r="AE766" i="40"/>
  <c r="AM766" i="40"/>
  <c r="AU766" i="40"/>
  <c r="BC766" i="40"/>
  <c r="BK766" i="40"/>
  <c r="BS766" i="40"/>
  <c r="CA766" i="40"/>
  <c r="CI766" i="40"/>
  <c r="CQ766" i="40"/>
  <c r="CY766" i="40"/>
  <c r="DG766" i="40"/>
  <c r="DO766" i="40"/>
  <c r="AG767" i="40"/>
  <c r="AO767" i="40"/>
  <c r="AW767" i="40"/>
  <c r="BE767" i="40"/>
  <c r="BM767" i="40"/>
  <c r="BU767" i="40"/>
  <c r="CC767" i="40"/>
  <c r="CK767" i="40"/>
  <c r="CS767" i="40"/>
  <c r="DA767" i="40"/>
  <c r="DI767" i="40"/>
  <c r="AZ765" i="40"/>
  <c r="BX765" i="40"/>
  <c r="CV765" i="40"/>
  <c r="DD765" i="40"/>
  <c r="AF767" i="40"/>
  <c r="AD765" i="40"/>
  <c r="AL765" i="40"/>
  <c r="AT765" i="40"/>
  <c r="BB765" i="40"/>
  <c r="BJ765" i="40"/>
  <c r="BR765" i="40"/>
  <c r="BZ765" i="40"/>
  <c r="CH765" i="40"/>
  <c r="CP765" i="40"/>
  <c r="CX765" i="40"/>
  <c r="DF765" i="40"/>
  <c r="DN765" i="40"/>
  <c r="AF766" i="40"/>
  <c r="AN766" i="40"/>
  <c r="AV766" i="40"/>
  <c r="BD766" i="40"/>
  <c r="BL766" i="40"/>
  <c r="BT766" i="40"/>
  <c r="CB766" i="40"/>
  <c r="CJ766" i="40"/>
  <c r="CR766" i="40"/>
  <c r="CZ766" i="40"/>
  <c r="DH766" i="40"/>
  <c r="DP766" i="40"/>
  <c r="AH767" i="40"/>
  <c r="AP767" i="40"/>
  <c r="AX767" i="40"/>
  <c r="BF767" i="40"/>
  <c r="BN767" i="40"/>
  <c r="BV767" i="40"/>
  <c r="CD767" i="40"/>
  <c r="CL767" i="40"/>
  <c r="CT767" i="40"/>
  <c r="DB767" i="40"/>
  <c r="DJ767" i="40"/>
  <c r="AR765" i="40"/>
  <c r="BP765" i="40"/>
  <c r="CN765" i="40"/>
  <c r="AD766" i="40"/>
  <c r="AM765" i="40"/>
  <c r="AU765" i="40"/>
  <c r="BC765" i="40"/>
  <c r="BK765" i="40"/>
  <c r="BS765" i="40"/>
  <c r="CA765" i="40"/>
  <c r="CI765" i="40"/>
  <c r="CQ765" i="40"/>
  <c r="CY765" i="40"/>
  <c r="DG765" i="40"/>
  <c r="DO765" i="40"/>
  <c r="AG766" i="40"/>
  <c r="AO766" i="40"/>
  <c r="AW766" i="40"/>
  <c r="BE766" i="40"/>
  <c r="BM766" i="40"/>
  <c r="BU766" i="40"/>
  <c r="CC766" i="40"/>
  <c r="CK766" i="40"/>
  <c r="CS766" i="40"/>
  <c r="DA766" i="40"/>
  <c r="DI766" i="40"/>
  <c r="AA767" i="40"/>
  <c r="AI767" i="40"/>
  <c r="AQ767" i="40"/>
  <c r="AY767" i="40"/>
  <c r="BG767" i="40"/>
  <c r="BO767" i="40"/>
  <c r="BW767" i="40"/>
  <c r="CE767" i="40"/>
  <c r="CM767" i="40"/>
  <c r="CU767" i="40"/>
  <c r="DC767" i="40"/>
  <c r="DK767" i="40"/>
  <c r="BH765" i="40"/>
  <c r="CF765" i="40"/>
  <c r="DL765" i="40"/>
  <c r="AF765" i="40"/>
  <c r="AN765" i="40"/>
  <c r="AV765" i="40"/>
  <c r="BD765" i="40"/>
  <c r="BL765" i="40"/>
  <c r="BT765" i="40"/>
  <c r="CB765" i="40"/>
  <c r="CJ765" i="40"/>
  <c r="CR765" i="40"/>
  <c r="CZ765" i="40"/>
  <c r="DH765" i="40"/>
  <c r="DP765" i="40"/>
  <c r="AH766" i="40"/>
  <c r="AP766" i="40"/>
  <c r="AX766" i="40"/>
  <c r="BF766" i="40"/>
  <c r="BN766" i="40"/>
  <c r="BV766" i="40"/>
  <c r="CD766" i="40"/>
  <c r="CL766" i="40"/>
  <c r="CT766" i="40"/>
  <c r="DB766" i="40"/>
  <c r="DJ766" i="40"/>
  <c r="AB767" i="40"/>
  <c r="AJ767" i="40"/>
  <c r="AR767" i="40"/>
  <c r="AZ767" i="40"/>
  <c r="BH767" i="40"/>
  <c r="BP767" i="40"/>
  <c r="BX767" i="40"/>
  <c r="CF767" i="40"/>
  <c r="CN767" i="40"/>
  <c r="CV767" i="40"/>
  <c r="DD767" i="40"/>
  <c r="DL767" i="40"/>
  <c r="AG765" i="40"/>
  <c r="AO765" i="40"/>
  <c r="AW765" i="40"/>
  <c r="BE765" i="40"/>
  <c r="BM765" i="40"/>
  <c r="BU765" i="40"/>
  <c r="CC765" i="40"/>
  <c r="CK765" i="40"/>
  <c r="CS765" i="40"/>
  <c r="DA765" i="40"/>
  <c r="DI765" i="40"/>
  <c r="AA766" i="40"/>
  <c r="AI766" i="40"/>
  <c r="AQ766" i="40"/>
  <c r="AY766" i="40"/>
  <c r="BG766" i="40"/>
  <c r="BO766" i="40"/>
  <c r="BW766" i="40"/>
  <c r="CE766" i="40"/>
  <c r="CM766" i="40"/>
  <c r="CU766" i="40"/>
  <c r="DC766" i="40"/>
  <c r="DK766" i="40"/>
  <c r="AC767" i="40"/>
  <c r="AK767" i="40"/>
  <c r="AS767" i="40"/>
  <c r="BA767" i="40"/>
  <c r="BI767" i="40"/>
  <c r="BQ767" i="40"/>
  <c r="BY767" i="40"/>
  <c r="CG767" i="40"/>
  <c r="CO767" i="40"/>
  <c r="CW767" i="40"/>
  <c r="DE767" i="40"/>
  <c r="DM767" i="40"/>
  <c r="AH765" i="40"/>
  <c r="AP765" i="40"/>
  <c r="AX765" i="40"/>
  <c r="BF765" i="40"/>
  <c r="BN765" i="40"/>
  <c r="BV765" i="40"/>
  <c r="CD765" i="40"/>
  <c r="CL765" i="40"/>
  <c r="CT765" i="40"/>
  <c r="DB765" i="40"/>
  <c r="DJ765" i="40"/>
  <c r="AB766" i="40"/>
  <c r="AJ766" i="40"/>
  <c r="AR766" i="40"/>
  <c r="AZ766" i="40"/>
  <c r="BH766" i="40"/>
  <c r="BP766" i="40"/>
  <c r="BX766" i="40"/>
  <c r="CF766" i="40"/>
  <c r="CN766" i="40"/>
  <c r="CV766" i="40"/>
  <c r="DD766" i="40"/>
  <c r="DL766" i="40"/>
  <c r="AD767" i="40"/>
  <c r="AL767" i="40"/>
  <c r="AT767" i="40"/>
  <c r="BB767" i="40"/>
  <c r="BJ767" i="40"/>
  <c r="BR767" i="40"/>
  <c r="BZ767" i="40"/>
  <c r="CH767" i="40"/>
  <c r="CP767" i="40"/>
  <c r="CX767" i="40"/>
  <c r="DF767" i="40"/>
  <c r="DN767" i="40"/>
  <c r="AS568" i="40"/>
  <c r="CH568" i="40"/>
  <c r="DE568" i="40"/>
  <c r="AB568" i="40"/>
  <c r="AT568" i="40"/>
  <c r="BQ568" i="40"/>
  <c r="CN568" i="40"/>
  <c r="DF568" i="40"/>
  <c r="AG572" i="40"/>
  <c r="AP572" i="40"/>
  <c r="AX572" i="40"/>
  <c r="BF572" i="40"/>
  <c r="BN572" i="40"/>
  <c r="BV572" i="40"/>
  <c r="CD572" i="40"/>
  <c r="CL572" i="40"/>
  <c r="CT572" i="40"/>
  <c r="DB572" i="40"/>
  <c r="DJ572" i="40"/>
  <c r="AL572" i="40"/>
  <c r="AZ568" i="40"/>
  <c r="BR568" i="40"/>
  <c r="CO568" i="40"/>
  <c r="DL568" i="40"/>
  <c r="AH572" i="40"/>
  <c r="AQ572" i="40"/>
  <c r="AY572" i="40"/>
  <c r="BG572" i="40"/>
  <c r="BO572" i="40"/>
  <c r="BW572" i="40"/>
  <c r="CE572" i="40"/>
  <c r="CM572" i="40"/>
  <c r="CU572" i="40"/>
  <c r="DC572" i="40"/>
  <c r="DK572" i="40"/>
  <c r="BP568" i="40"/>
  <c r="AF572" i="40"/>
  <c r="AD568" i="40"/>
  <c r="BA568" i="40"/>
  <c r="BX568" i="40"/>
  <c r="CP568" i="40"/>
  <c r="DM568" i="40"/>
  <c r="AR572" i="40"/>
  <c r="BH572" i="40"/>
  <c r="CF572" i="40"/>
  <c r="CV572" i="40"/>
  <c r="DD572" i="40"/>
  <c r="BB568" i="40"/>
  <c r="BY568" i="40"/>
  <c r="DN568" i="40"/>
  <c r="BI572" i="40"/>
  <c r="CG572" i="40"/>
  <c r="CW572" i="40"/>
  <c r="AK568" i="40"/>
  <c r="BZ568" i="40"/>
  <c r="BJ572" i="40"/>
  <c r="CX572" i="40"/>
  <c r="AM572" i="40"/>
  <c r="AU572" i="40"/>
  <c r="BC572" i="40"/>
  <c r="BK572" i="40"/>
  <c r="BS572" i="40"/>
  <c r="CA572" i="40"/>
  <c r="CI572" i="40"/>
  <c r="CQ572" i="40"/>
  <c r="CY572" i="40"/>
  <c r="DG572" i="40"/>
  <c r="DO572" i="40"/>
  <c r="AE572" i="40"/>
  <c r="AN572" i="40"/>
  <c r="AV572" i="40"/>
  <c r="BD572" i="40"/>
  <c r="BL572" i="40"/>
  <c r="BT572" i="40"/>
  <c r="CB572" i="40"/>
  <c r="CJ572" i="40"/>
  <c r="CR572" i="40"/>
  <c r="CZ572" i="40"/>
  <c r="DH572" i="40"/>
  <c r="DP572" i="40"/>
  <c r="T569" i="40"/>
  <c r="X586" i="40"/>
  <c r="T588" i="40"/>
  <c r="W588" i="40"/>
  <c r="O577" i="40"/>
  <c r="T579" i="40"/>
  <c r="T585" i="40"/>
  <c r="T578" i="40"/>
  <c r="V578" i="40"/>
  <c r="W586" i="40"/>
  <c r="V585" i="40"/>
  <c r="W578" i="40"/>
  <c r="O586" i="40"/>
  <c r="O588" i="40"/>
  <c r="X570" i="40"/>
  <c r="O569" i="40"/>
  <c r="X571" i="40"/>
  <c r="O570" i="40"/>
  <c r="X576" i="40"/>
  <c r="V571" i="40"/>
  <c r="O579" i="40"/>
  <c r="O571" i="40"/>
  <c r="T576" i="40"/>
  <c r="V570" i="40"/>
  <c r="W576" i="40"/>
  <c r="T571" i="40"/>
  <c r="W571" i="40"/>
  <c r="W569" i="40"/>
  <c r="O585" i="40"/>
  <c r="V577" i="40"/>
  <c r="V586" i="40"/>
  <c r="V588" i="40"/>
  <c r="W570" i="40"/>
  <c r="W577" i="40"/>
  <c r="X577" i="40"/>
  <c r="V569" i="40"/>
  <c r="O576" i="40"/>
  <c r="O578" i="40"/>
  <c r="W585" i="40"/>
  <c r="T570" i="40"/>
  <c r="X585" i="40"/>
  <c r="W579" i="40"/>
  <c r="X579" i="40"/>
  <c r="T766" i="40"/>
  <c r="W766" i="40"/>
  <c r="V766" i="40"/>
  <c r="P1076" i="40"/>
  <c r="R1075" i="40"/>
  <c r="R1074" i="40"/>
  <c r="P1075" i="40"/>
  <c r="U1075" i="40" s="1"/>
  <c r="P1074" i="40"/>
  <c r="Q1074" i="40" s="1"/>
  <c r="R1073" i="40"/>
  <c r="P1073" i="40"/>
  <c r="O1075" i="40"/>
  <c r="I1075" i="40"/>
  <c r="O1074" i="40"/>
  <c r="I1074" i="40"/>
  <c r="X1057" i="40"/>
  <c r="W1057" i="40"/>
  <c r="U1057" i="40"/>
  <c r="T1057" i="40"/>
  <c r="V1057" i="40"/>
  <c r="M1057" i="40"/>
  <c r="P1030" i="40"/>
  <c r="R1029" i="40"/>
  <c r="R1028" i="40"/>
  <c r="R1027" i="40"/>
  <c r="P1029" i="40"/>
  <c r="Q1029" i="40" s="1"/>
  <c r="P1028" i="40"/>
  <c r="Q1028" i="40" s="1"/>
  <c r="P1027" i="40"/>
  <c r="O1028" i="40"/>
  <c r="I1028" i="40"/>
  <c r="O1029" i="40"/>
  <c r="I1029" i="40"/>
  <c r="X1011" i="40"/>
  <c r="W1011" i="40"/>
  <c r="U1011" i="40"/>
  <c r="T1011" i="40"/>
  <c r="V1011" i="40"/>
  <c r="M1011" i="40"/>
  <c r="M1012" i="40"/>
  <c r="O1012" i="40"/>
  <c r="T1012" i="40"/>
  <c r="U1012" i="40"/>
  <c r="W1012" i="40"/>
  <c r="X1012" i="40"/>
  <c r="M1071" i="40"/>
  <c r="M1070" i="40"/>
  <c r="M1069" i="40"/>
  <c r="M1068" i="40"/>
  <c r="M1067" i="40"/>
  <c r="M1066" i="40"/>
  <c r="M1065" i="40"/>
  <c r="M1064" i="40"/>
  <c r="M1063" i="40"/>
  <c r="M1062" i="40"/>
  <c r="M1061" i="40"/>
  <c r="M1060" i="40"/>
  <c r="M1059" i="40"/>
  <c r="M1058" i="40"/>
  <c r="R1076" i="40"/>
  <c r="M1056" i="40"/>
  <c r="M1025" i="40"/>
  <c r="M1024" i="40"/>
  <c r="M1023" i="40"/>
  <c r="M1022" i="40"/>
  <c r="M1021" i="40"/>
  <c r="M1020" i="40"/>
  <c r="M1019" i="40"/>
  <c r="M1018" i="40"/>
  <c r="M1017" i="40"/>
  <c r="M1016" i="40"/>
  <c r="M1015" i="40"/>
  <c r="M1014" i="40"/>
  <c r="M1013" i="40"/>
  <c r="R1030" i="40"/>
  <c r="M1010" i="40"/>
  <c r="M1115" i="40"/>
  <c r="U1074" i="40" l="1"/>
  <c r="Q1075" i="40"/>
  <c r="T1075" i="40"/>
  <c r="X1075" i="40"/>
  <c r="W1075" i="40"/>
  <c r="V1075" i="40"/>
  <c r="T1074" i="40"/>
  <c r="X1074" i="40"/>
  <c r="W1074" i="40"/>
  <c r="V1074" i="40"/>
  <c r="O1057" i="40"/>
  <c r="X1028" i="40"/>
  <c r="W1028" i="40"/>
  <c r="V1028" i="40"/>
  <c r="T1028" i="40"/>
  <c r="U1029" i="40"/>
  <c r="U1028" i="40"/>
  <c r="X1029" i="40"/>
  <c r="W1029" i="40"/>
  <c r="T1029" i="40"/>
  <c r="V1029" i="40"/>
  <c r="O1011" i="40"/>
  <c r="V1012" i="40"/>
  <c r="C28" i="21" l="1"/>
  <c r="E28" i="21" s="1"/>
  <c r="X2230" i="40"/>
  <c r="W2230" i="40"/>
  <c r="V2230" i="40"/>
  <c r="U2230" i="40"/>
  <c r="T2230" i="40"/>
  <c r="Q2230" i="40"/>
  <c r="O2230" i="40"/>
  <c r="M2230" i="40"/>
  <c r="I2230" i="40"/>
  <c r="G2230" i="40"/>
  <c r="R2082" i="40"/>
  <c r="R2071" i="40"/>
  <c r="X2073" i="40"/>
  <c r="W2073" i="40"/>
  <c r="V2073" i="40"/>
  <c r="U2073" i="40"/>
  <c r="T2073" i="40"/>
  <c r="Q2073" i="40"/>
  <c r="O2073" i="40"/>
  <c r="M2073" i="40"/>
  <c r="I2073" i="40"/>
  <c r="G2073" i="40"/>
  <c r="X2072" i="40"/>
  <c r="W2072" i="40"/>
  <c r="V2072" i="40"/>
  <c r="U2072" i="40"/>
  <c r="T2072" i="40"/>
  <c r="Q2072" i="40"/>
  <c r="O2072" i="40"/>
  <c r="M2072" i="40"/>
  <c r="I2072" i="40"/>
  <c r="G2072" i="40"/>
  <c r="R2004" i="40"/>
  <c r="X2004" i="40" s="1"/>
  <c r="O2004" i="40"/>
  <c r="M2004" i="40"/>
  <c r="X2002" i="40"/>
  <c r="W2002" i="40"/>
  <c r="V2002" i="40"/>
  <c r="U2002" i="40"/>
  <c r="T2002" i="40"/>
  <c r="Q2002" i="40"/>
  <c r="O2002" i="40"/>
  <c r="M2002" i="40"/>
  <c r="I2002" i="40"/>
  <c r="G2002" i="40"/>
  <c r="X2001" i="40"/>
  <c r="W2001" i="40"/>
  <c r="V2001" i="40"/>
  <c r="U2001" i="40"/>
  <c r="T2001" i="40"/>
  <c r="Q2001" i="40"/>
  <c r="O2001" i="40"/>
  <c r="M2001" i="40"/>
  <c r="I2001" i="40"/>
  <c r="G2001" i="40"/>
  <c r="X2000" i="40"/>
  <c r="W2000" i="40"/>
  <c r="V2000" i="40"/>
  <c r="U2000" i="40"/>
  <c r="T2000" i="40"/>
  <c r="Q2000" i="40"/>
  <c r="O2000" i="40"/>
  <c r="M2000" i="40"/>
  <c r="I2000" i="40"/>
  <c r="G2000" i="40"/>
  <c r="X1999" i="40"/>
  <c r="W1999" i="40"/>
  <c r="V1999" i="40"/>
  <c r="U1999" i="40"/>
  <c r="T1999" i="40"/>
  <c r="Q1999" i="40"/>
  <c r="O1999" i="40"/>
  <c r="M1999" i="40"/>
  <c r="I1999" i="40"/>
  <c r="G1999" i="40"/>
  <c r="X1998" i="40"/>
  <c r="W1998" i="40"/>
  <c r="V1998" i="40"/>
  <c r="U1998" i="40"/>
  <c r="T1998" i="40"/>
  <c r="Q1998" i="40"/>
  <c r="O1998" i="40"/>
  <c r="M1998" i="40"/>
  <c r="I1998" i="40"/>
  <c r="G1998" i="40"/>
  <c r="X1997" i="40"/>
  <c r="W1997" i="40"/>
  <c r="V1997" i="40"/>
  <c r="U1997" i="40"/>
  <c r="T1997" i="40"/>
  <c r="Q1997" i="40"/>
  <c r="O1997" i="40"/>
  <c r="M1997" i="40"/>
  <c r="I1997" i="40"/>
  <c r="G1997" i="40"/>
  <c r="X1996" i="40"/>
  <c r="W1996" i="40"/>
  <c r="V1996" i="40"/>
  <c r="U1996" i="40"/>
  <c r="T1996" i="40"/>
  <c r="Q1996" i="40"/>
  <c r="O1996" i="40"/>
  <c r="M1996" i="40"/>
  <c r="I1996" i="40"/>
  <c r="G1996" i="40"/>
  <c r="X1995" i="40"/>
  <c r="W1995" i="40"/>
  <c r="V1995" i="40"/>
  <c r="U1995" i="40"/>
  <c r="T1995" i="40"/>
  <c r="Q1995" i="40"/>
  <c r="O1995" i="40"/>
  <c r="M1995" i="40"/>
  <c r="I1995" i="40"/>
  <c r="G1995" i="40"/>
  <c r="X1994" i="40"/>
  <c r="W1994" i="40"/>
  <c r="V1994" i="40"/>
  <c r="U1994" i="40"/>
  <c r="T1994" i="40"/>
  <c r="Q1994" i="40"/>
  <c r="O1994" i="40"/>
  <c r="M1994" i="40"/>
  <c r="I1994" i="40"/>
  <c r="G1994" i="40"/>
  <c r="X1993" i="40"/>
  <c r="W1993" i="40"/>
  <c r="V1993" i="40"/>
  <c r="U1993" i="40"/>
  <c r="T1993" i="40"/>
  <c r="Q1993" i="40"/>
  <c r="O1993" i="40"/>
  <c r="M1993" i="40"/>
  <c r="I1993" i="40"/>
  <c r="G1993" i="40"/>
  <c r="X1992" i="40"/>
  <c r="W1992" i="40"/>
  <c r="V1992" i="40"/>
  <c r="U1992" i="40"/>
  <c r="T1992" i="40"/>
  <c r="Q1992" i="40"/>
  <c r="O1992" i="40"/>
  <c r="M1992" i="40"/>
  <c r="I1992" i="40"/>
  <c r="G1992" i="40"/>
  <c r="X1991" i="40"/>
  <c r="W1991" i="40"/>
  <c r="V1991" i="40"/>
  <c r="U1991" i="40"/>
  <c r="T1991" i="40"/>
  <c r="Q1991" i="40"/>
  <c r="O1991" i="40"/>
  <c r="M1991" i="40"/>
  <c r="I1991" i="40"/>
  <c r="G1991" i="40"/>
  <c r="X1990" i="40"/>
  <c r="W1990" i="40"/>
  <c r="V1990" i="40"/>
  <c r="U1990" i="40"/>
  <c r="T1990" i="40"/>
  <c r="Q1990" i="40"/>
  <c r="O1990" i="40"/>
  <c r="M1990" i="40"/>
  <c r="I1990" i="40"/>
  <c r="G1990" i="40"/>
  <c r="X1989" i="40"/>
  <c r="W1989" i="40"/>
  <c r="V1989" i="40"/>
  <c r="U1989" i="40"/>
  <c r="T1989" i="40"/>
  <c r="Q1989" i="40"/>
  <c r="O1989" i="40"/>
  <c r="M1989" i="40"/>
  <c r="I1989" i="40"/>
  <c r="G1989" i="40"/>
  <c r="R1804" i="40"/>
  <c r="R1803" i="40"/>
  <c r="R1802" i="40"/>
  <c r="R1801" i="40"/>
  <c r="R1800" i="40"/>
  <c r="W1800" i="40" s="1"/>
  <c r="R1799" i="40"/>
  <c r="R1798" i="40"/>
  <c r="R1797" i="40"/>
  <c r="R1796" i="40"/>
  <c r="R1795" i="40"/>
  <c r="O1804" i="40"/>
  <c r="M1804" i="40"/>
  <c r="Q1803" i="40"/>
  <c r="O1803" i="40"/>
  <c r="M1803" i="40"/>
  <c r="O1802" i="40"/>
  <c r="M1802" i="40"/>
  <c r="O1801" i="40"/>
  <c r="M1801" i="40"/>
  <c r="U1800" i="40"/>
  <c r="Q1800" i="40"/>
  <c r="O1800" i="40"/>
  <c r="M1800" i="40"/>
  <c r="X1793" i="40"/>
  <c r="W1793" i="40"/>
  <c r="V1793" i="40"/>
  <c r="U1793" i="40"/>
  <c r="T1793" i="40"/>
  <c r="Q1793" i="40"/>
  <c r="O1793" i="40"/>
  <c r="M1793" i="40"/>
  <c r="I1793" i="40"/>
  <c r="G1793" i="40"/>
  <c r="X1792" i="40"/>
  <c r="W1792" i="40"/>
  <c r="V1792" i="40"/>
  <c r="U1792" i="40"/>
  <c r="T1792" i="40"/>
  <c r="Q1792" i="40"/>
  <c r="O1792" i="40"/>
  <c r="M1792" i="40"/>
  <c r="I1792" i="40"/>
  <c r="G1792" i="40"/>
  <c r="X1791" i="40"/>
  <c r="W1791" i="40"/>
  <c r="V1791" i="40"/>
  <c r="U1791" i="40"/>
  <c r="T1791" i="40"/>
  <c r="Q1791" i="40"/>
  <c r="O1791" i="40"/>
  <c r="M1791" i="40"/>
  <c r="I1791" i="40"/>
  <c r="G1791" i="40"/>
  <c r="X1794" i="40"/>
  <c r="W1794" i="40"/>
  <c r="V1794" i="40"/>
  <c r="U1794" i="40"/>
  <c r="T1794" i="40"/>
  <c r="Q1794" i="40"/>
  <c r="O1794" i="40"/>
  <c r="M1794" i="40"/>
  <c r="I1794" i="40"/>
  <c r="G1794" i="40"/>
  <c r="X1790" i="40"/>
  <c r="W1790" i="40"/>
  <c r="V1790" i="40"/>
  <c r="U1790" i="40"/>
  <c r="T1790" i="40"/>
  <c r="Q1790" i="40"/>
  <c r="O1790" i="40"/>
  <c r="M1790" i="40"/>
  <c r="I1790" i="40"/>
  <c r="G1790" i="40"/>
  <c r="X1789" i="40"/>
  <c r="W1789" i="40"/>
  <c r="V1789" i="40"/>
  <c r="U1789" i="40"/>
  <c r="T1789" i="40"/>
  <c r="Q1789" i="40"/>
  <c r="O1789" i="40"/>
  <c r="M1789" i="40"/>
  <c r="I1789" i="40"/>
  <c r="G1789" i="40"/>
  <c r="K1737" i="40"/>
  <c r="K1736" i="40"/>
  <c r="J1735" i="40"/>
  <c r="O1735" i="40" s="1"/>
  <c r="J1734" i="40"/>
  <c r="R1737" i="40"/>
  <c r="U1735" i="40"/>
  <c r="T1735" i="40"/>
  <c r="Q1735" i="40"/>
  <c r="R1557" i="40"/>
  <c r="V1557" i="40" s="1"/>
  <c r="R1556" i="40"/>
  <c r="R1555" i="40"/>
  <c r="R1554" i="40"/>
  <c r="R1553" i="40"/>
  <c r="R1552" i="40"/>
  <c r="R1551" i="40"/>
  <c r="R1550" i="40"/>
  <c r="R1549" i="40"/>
  <c r="R1548" i="40"/>
  <c r="U1557" i="40"/>
  <c r="Q1557" i="40"/>
  <c r="O1557" i="40"/>
  <c r="M1557" i="40"/>
  <c r="U1556" i="40"/>
  <c r="T1556" i="40"/>
  <c r="Q1556" i="40"/>
  <c r="O1556" i="40"/>
  <c r="M1556" i="40"/>
  <c r="U1555" i="40"/>
  <c r="T1555" i="40"/>
  <c r="Q1555" i="40"/>
  <c r="O1555" i="40"/>
  <c r="M1555" i="40"/>
  <c r="X1547" i="40"/>
  <c r="W1547" i="40"/>
  <c r="V1547" i="40"/>
  <c r="U1547" i="40"/>
  <c r="T1547" i="40"/>
  <c r="Q1547" i="40"/>
  <c r="O1547" i="40"/>
  <c r="M1547" i="40"/>
  <c r="I1547" i="40"/>
  <c r="G1547" i="40"/>
  <c r="X1546" i="40"/>
  <c r="W1546" i="40"/>
  <c r="V1546" i="40"/>
  <c r="U1546" i="40"/>
  <c r="T1546" i="40"/>
  <c r="Q1546" i="40"/>
  <c r="O1546" i="40"/>
  <c r="M1546" i="40"/>
  <c r="I1546" i="40"/>
  <c r="G1546" i="40"/>
  <c r="X1545" i="40"/>
  <c r="W1545" i="40"/>
  <c r="V1545" i="40"/>
  <c r="U1545" i="40"/>
  <c r="T1545" i="40"/>
  <c r="Q1545" i="40"/>
  <c r="O1545" i="40"/>
  <c r="M1545" i="40"/>
  <c r="I1545" i="40"/>
  <c r="G1545" i="40"/>
  <c r="R1510" i="40"/>
  <c r="X1509" i="40"/>
  <c r="W1509" i="40"/>
  <c r="V1509" i="40"/>
  <c r="U1509" i="40"/>
  <c r="T1509" i="40"/>
  <c r="Q1509" i="40"/>
  <c r="O1509" i="40"/>
  <c r="M1509" i="40"/>
  <c r="I1509" i="40"/>
  <c r="G1509" i="40"/>
  <c r="X1508" i="40"/>
  <c r="W1508" i="40"/>
  <c r="V1508" i="40"/>
  <c r="U1508" i="40"/>
  <c r="T1508" i="40"/>
  <c r="Q1508" i="40"/>
  <c r="O1508" i="40"/>
  <c r="M1508" i="40"/>
  <c r="I1508" i="40"/>
  <c r="G1508" i="40"/>
  <c r="R1489" i="40"/>
  <c r="V1489" i="40" s="1"/>
  <c r="R1488" i="40"/>
  <c r="V1488" i="40" s="1"/>
  <c r="R1487" i="40"/>
  <c r="V1487" i="40" s="1"/>
  <c r="R1486" i="40"/>
  <c r="V1486" i="40" s="1"/>
  <c r="R1485" i="40"/>
  <c r="V1485" i="40" s="1"/>
  <c r="R1484" i="40"/>
  <c r="R1483" i="40"/>
  <c r="V1483" i="40" s="1"/>
  <c r="R1481" i="40"/>
  <c r="V1481" i="40" s="1"/>
  <c r="R1480" i="40"/>
  <c r="X1477" i="40"/>
  <c r="W1477" i="40"/>
  <c r="V1477" i="40"/>
  <c r="U1477" i="40"/>
  <c r="T1477" i="40"/>
  <c r="Q1477" i="40"/>
  <c r="O1477" i="40"/>
  <c r="M1477" i="40"/>
  <c r="I1477" i="40"/>
  <c r="G1477" i="40"/>
  <c r="X1476" i="40"/>
  <c r="W1476" i="40"/>
  <c r="V1476" i="40"/>
  <c r="U1476" i="40"/>
  <c r="T1476" i="40"/>
  <c r="Q1476" i="40"/>
  <c r="O1476" i="40"/>
  <c r="M1476" i="40"/>
  <c r="I1476" i="40"/>
  <c r="G1476" i="40"/>
  <c r="X1475" i="40"/>
  <c r="W1475" i="40"/>
  <c r="V1475" i="40"/>
  <c r="U1475" i="40"/>
  <c r="T1475" i="40"/>
  <c r="Q1475" i="40"/>
  <c r="O1475" i="40"/>
  <c r="M1475" i="40"/>
  <c r="I1475" i="40"/>
  <c r="G1475" i="40"/>
  <c r="X1474" i="40"/>
  <c r="W1474" i="40"/>
  <c r="V1474" i="40"/>
  <c r="U1474" i="40"/>
  <c r="T1474" i="40"/>
  <c r="Q1474" i="40"/>
  <c r="O1474" i="40"/>
  <c r="M1474" i="40"/>
  <c r="I1474" i="40"/>
  <c r="G1474" i="40"/>
  <c r="X1473" i="40"/>
  <c r="W1473" i="40"/>
  <c r="V1473" i="40"/>
  <c r="U1473" i="40"/>
  <c r="T1473" i="40"/>
  <c r="Q1473" i="40"/>
  <c r="O1473" i="40"/>
  <c r="M1473" i="40"/>
  <c r="I1473" i="40"/>
  <c r="G1473" i="40"/>
  <c r="X1472" i="40"/>
  <c r="W1472" i="40"/>
  <c r="V1472" i="40"/>
  <c r="U1472" i="40"/>
  <c r="T1472" i="40"/>
  <c r="Q1472" i="40"/>
  <c r="O1472" i="40"/>
  <c r="M1472" i="40"/>
  <c r="I1472" i="40"/>
  <c r="G1472" i="40"/>
  <c r="X1471" i="40"/>
  <c r="W1471" i="40"/>
  <c r="V1471" i="40"/>
  <c r="U1471" i="40"/>
  <c r="T1471" i="40"/>
  <c r="Q1471" i="40"/>
  <c r="O1471" i="40"/>
  <c r="M1471" i="40"/>
  <c r="I1471" i="40"/>
  <c r="G1471" i="40"/>
  <c r="X1470" i="40"/>
  <c r="W1470" i="40"/>
  <c r="V1470" i="40"/>
  <c r="U1470" i="40"/>
  <c r="T1470" i="40"/>
  <c r="Q1470" i="40"/>
  <c r="O1470" i="40"/>
  <c r="M1470" i="40"/>
  <c r="I1470" i="40"/>
  <c r="G1470" i="40"/>
  <c r="X1469" i="40"/>
  <c r="W1469" i="40"/>
  <c r="V1469" i="40"/>
  <c r="U1469" i="40"/>
  <c r="T1469" i="40"/>
  <c r="Q1469" i="40"/>
  <c r="O1469" i="40"/>
  <c r="M1469" i="40"/>
  <c r="I1469" i="40"/>
  <c r="G1469" i="40"/>
  <c r="X1468" i="40"/>
  <c r="W1468" i="40"/>
  <c r="V1468" i="40"/>
  <c r="U1468" i="40"/>
  <c r="T1468" i="40"/>
  <c r="Q1468" i="40"/>
  <c r="O1468" i="40"/>
  <c r="M1468" i="40"/>
  <c r="I1468" i="40"/>
  <c r="G1468" i="40"/>
  <c r="X1467" i="40"/>
  <c r="W1467" i="40"/>
  <c r="V1467" i="40"/>
  <c r="U1467" i="40"/>
  <c r="T1467" i="40"/>
  <c r="Q1467" i="40"/>
  <c r="O1467" i="40"/>
  <c r="M1467" i="40"/>
  <c r="I1467" i="40"/>
  <c r="G1467" i="40"/>
  <c r="X1466" i="40"/>
  <c r="W1466" i="40"/>
  <c r="V1466" i="40"/>
  <c r="U1466" i="40"/>
  <c r="T1466" i="40"/>
  <c r="Q1466" i="40"/>
  <c r="O1466" i="40"/>
  <c r="M1466" i="40"/>
  <c r="I1466" i="40"/>
  <c r="G1466" i="40"/>
  <c r="X1465" i="40"/>
  <c r="W1465" i="40"/>
  <c r="V1465" i="40"/>
  <c r="U1465" i="40"/>
  <c r="T1465" i="40"/>
  <c r="Q1465" i="40"/>
  <c r="O1465" i="40"/>
  <c r="M1465" i="40"/>
  <c r="I1465" i="40"/>
  <c r="G1465" i="40"/>
  <c r="M1480" i="40"/>
  <c r="O1480" i="40"/>
  <c r="Q1480" i="40"/>
  <c r="T1480" i="40"/>
  <c r="U1480" i="40"/>
  <c r="M1481" i="40"/>
  <c r="O1481" i="40"/>
  <c r="Q1481" i="40"/>
  <c r="U1481" i="40"/>
  <c r="M1483" i="40"/>
  <c r="O1483" i="40"/>
  <c r="Q1483" i="40"/>
  <c r="U1483" i="40"/>
  <c r="M1484" i="40"/>
  <c r="O1484" i="40"/>
  <c r="Q1484" i="40"/>
  <c r="T1484" i="40"/>
  <c r="U1484" i="40"/>
  <c r="V1484" i="40"/>
  <c r="M1485" i="40"/>
  <c r="O1485" i="40"/>
  <c r="Q1485" i="40"/>
  <c r="T1485" i="40"/>
  <c r="U1485" i="40"/>
  <c r="M1486" i="40"/>
  <c r="O1486" i="40"/>
  <c r="Q1486" i="40"/>
  <c r="T1486" i="40"/>
  <c r="U1486" i="40"/>
  <c r="M1487" i="40"/>
  <c r="O1487" i="40"/>
  <c r="Q1487" i="40"/>
  <c r="U1487" i="40"/>
  <c r="M1488" i="40"/>
  <c r="O1488" i="40"/>
  <c r="Q1488" i="40"/>
  <c r="U1488" i="40"/>
  <c r="M1489" i="40"/>
  <c r="O1489" i="40"/>
  <c r="Q1489" i="40"/>
  <c r="U1489" i="40"/>
  <c r="M1490" i="40"/>
  <c r="O1490" i="40"/>
  <c r="Q1490" i="40"/>
  <c r="T1490" i="40"/>
  <c r="U1490" i="40"/>
  <c r="V1490" i="40"/>
  <c r="T1324" i="40"/>
  <c r="I1322" i="40"/>
  <c r="H1322" i="40"/>
  <c r="G1322" i="40"/>
  <c r="F1322" i="40"/>
  <c r="F1321" i="40"/>
  <c r="I1291" i="40"/>
  <c r="H1291" i="40"/>
  <c r="G1291" i="40"/>
  <c r="F1291" i="40"/>
  <c r="F1290" i="40"/>
  <c r="T1283" i="40"/>
  <c r="I1224" i="40"/>
  <c r="H1224" i="40"/>
  <c r="G1224" i="40"/>
  <c r="F1224" i="40"/>
  <c r="F1223" i="40"/>
  <c r="I1189" i="40"/>
  <c r="H1189" i="40"/>
  <c r="G1189" i="40"/>
  <c r="F1189" i="40"/>
  <c r="F1188" i="40"/>
  <c r="R1143" i="40"/>
  <c r="R1142" i="40"/>
  <c r="R1141" i="40"/>
  <c r="R1140" i="40"/>
  <c r="R1139" i="40"/>
  <c r="R1138" i="40"/>
  <c r="R1137" i="40"/>
  <c r="X1106" i="40"/>
  <c r="W1106" i="40"/>
  <c r="V1106" i="40"/>
  <c r="U1106" i="40"/>
  <c r="T1106" i="40"/>
  <c r="Q1106" i="40"/>
  <c r="O1106" i="40"/>
  <c r="M1106" i="40"/>
  <c r="I1106" i="40"/>
  <c r="G1106" i="40"/>
  <c r="X1105" i="40"/>
  <c r="W1105" i="40"/>
  <c r="V1105" i="40"/>
  <c r="U1105" i="40"/>
  <c r="T1105" i="40"/>
  <c r="Q1105" i="40"/>
  <c r="O1105" i="40"/>
  <c r="M1105" i="40"/>
  <c r="I1105" i="40"/>
  <c r="G1105" i="40"/>
  <c r="G1085" i="40"/>
  <c r="G1054" i="40"/>
  <c r="G1053" i="40"/>
  <c r="G1052" i="40"/>
  <c r="X1054" i="40"/>
  <c r="W1054" i="40"/>
  <c r="V1054" i="40"/>
  <c r="U1054" i="40"/>
  <c r="T1054" i="40"/>
  <c r="O1054" i="40"/>
  <c r="I1054" i="40"/>
  <c r="X1053" i="40"/>
  <c r="W1053" i="40"/>
  <c r="V1053" i="40"/>
  <c r="U1053" i="40"/>
  <c r="T1053" i="40"/>
  <c r="O1053" i="40"/>
  <c r="I1053" i="40"/>
  <c r="G1048" i="40"/>
  <c r="G1002" i="40"/>
  <c r="G1001" i="40"/>
  <c r="G1007" i="40"/>
  <c r="G1006" i="40"/>
  <c r="G1008" i="40"/>
  <c r="G1040" i="40"/>
  <c r="X1008" i="40"/>
  <c r="W1008" i="40"/>
  <c r="V1008" i="40"/>
  <c r="U1008" i="40"/>
  <c r="T1008" i="40"/>
  <c r="O1008" i="40"/>
  <c r="I1008" i="40"/>
  <c r="X1007" i="40"/>
  <c r="W1007" i="40"/>
  <c r="V1007" i="40"/>
  <c r="U1007" i="40"/>
  <c r="T1007" i="40"/>
  <c r="O1007" i="40"/>
  <c r="I1007" i="40"/>
  <c r="F902" i="40"/>
  <c r="I919" i="40"/>
  <c r="I918" i="40"/>
  <c r="F837" i="40"/>
  <c r="Q511" i="40"/>
  <c r="X9" i="40"/>
  <c r="W9" i="40"/>
  <c r="V9" i="40"/>
  <c r="U9" i="40"/>
  <c r="T9" i="40"/>
  <c r="Q9" i="40"/>
  <c r="O9" i="40"/>
  <c r="M9" i="40"/>
  <c r="I9" i="40"/>
  <c r="G9" i="40"/>
  <c r="AB9" i="40" s="1"/>
  <c r="Q2004" i="40" l="1"/>
  <c r="T2004" i="40"/>
  <c r="U2004" i="40"/>
  <c r="V2004" i="40"/>
  <c r="W2004" i="40"/>
  <c r="X1804" i="40"/>
  <c r="W1803" i="40"/>
  <c r="T1800" i="40"/>
  <c r="V1802" i="40"/>
  <c r="T1804" i="40"/>
  <c r="X1801" i="40"/>
  <c r="X1802" i="40"/>
  <c r="X1803" i="40"/>
  <c r="Q1804" i="40"/>
  <c r="Q1801" i="40"/>
  <c r="Q1802" i="40"/>
  <c r="W1801" i="40"/>
  <c r="V1800" i="40"/>
  <c r="T1801" i="40"/>
  <c r="T1802" i="40"/>
  <c r="V1803" i="40"/>
  <c r="U1804" i="40"/>
  <c r="V1804" i="40"/>
  <c r="X1800" i="40"/>
  <c r="W1804" i="40"/>
  <c r="W1802" i="40"/>
  <c r="U1802" i="40"/>
  <c r="U1801" i="40"/>
  <c r="T1803" i="40"/>
  <c r="V1801" i="40"/>
  <c r="U1803" i="40"/>
  <c r="V1735" i="40"/>
  <c r="G1735" i="40"/>
  <c r="W1735" i="40"/>
  <c r="I1735" i="40"/>
  <c r="X1735" i="40"/>
  <c r="M1735" i="40"/>
  <c r="J1737" i="40"/>
  <c r="O1737" i="40" s="1"/>
  <c r="Q1737" i="40"/>
  <c r="T1737" i="40"/>
  <c r="U1737" i="40"/>
  <c r="X1555" i="40"/>
  <c r="X1556" i="40"/>
  <c r="X1557" i="40"/>
  <c r="V1555" i="40"/>
  <c r="V1556" i="40"/>
  <c r="T1557" i="40"/>
  <c r="W1556" i="40"/>
  <c r="W1555" i="40"/>
  <c r="W1557" i="40"/>
  <c r="W1483" i="40"/>
  <c r="W1489" i="40"/>
  <c r="W1488" i="40"/>
  <c r="W1487" i="40"/>
  <c r="W1481" i="40"/>
  <c r="T1488" i="40"/>
  <c r="W1486" i="40"/>
  <c r="W1485" i="40"/>
  <c r="W1480" i="40"/>
  <c r="T1487" i="40"/>
  <c r="X1486" i="40"/>
  <c r="X1485" i="40"/>
  <c r="T1483" i="40"/>
  <c r="X1490" i="40"/>
  <c r="W1490" i="40"/>
  <c r="V1480" i="40"/>
  <c r="X1487" i="40"/>
  <c r="T1489" i="40"/>
  <c r="T1481" i="40"/>
  <c r="X1484" i="40"/>
  <c r="W1484" i="40"/>
  <c r="X1483" i="40"/>
  <c r="X1489" i="40"/>
  <c r="X1481" i="40"/>
  <c r="X1488" i="40"/>
  <c r="X1480" i="40"/>
  <c r="M1737" i="40" l="1"/>
  <c r="X1737" i="40"/>
  <c r="W1737" i="40"/>
  <c r="V1737" i="40"/>
  <c r="P85" i="41" l="1"/>
  <c r="P87" i="41" s="1"/>
  <c r="O85" i="41"/>
  <c r="O87" i="41" s="1"/>
  <c r="N85" i="41"/>
  <c r="N87" i="41" s="1"/>
  <c r="M85" i="41"/>
  <c r="M87" i="41" s="1"/>
  <c r="L85" i="41"/>
  <c r="L87" i="41" s="1"/>
  <c r="K85" i="41"/>
  <c r="K87" i="41" s="1"/>
  <c r="J85" i="41"/>
  <c r="J87" i="41" s="1"/>
  <c r="I85" i="41"/>
  <c r="I87" i="41" s="1"/>
  <c r="H85" i="41"/>
  <c r="H87" i="41" s="1"/>
  <c r="G85" i="41"/>
  <c r="G87" i="41" s="1"/>
  <c r="F85" i="41"/>
  <c r="E85" i="41"/>
  <c r="Q83" i="41"/>
  <c r="Q82" i="41"/>
  <c r="P78" i="41"/>
  <c r="P80" i="41" s="1"/>
  <c r="O78" i="41"/>
  <c r="O80" i="41" s="1"/>
  <c r="N78" i="41"/>
  <c r="N80" i="41" s="1"/>
  <c r="M78" i="41"/>
  <c r="M80" i="41" s="1"/>
  <c r="L78" i="41"/>
  <c r="L80" i="41" s="1"/>
  <c r="K78" i="41"/>
  <c r="K80" i="41" s="1"/>
  <c r="J78" i="41"/>
  <c r="J80" i="41" s="1"/>
  <c r="I78" i="41"/>
  <c r="H78" i="41"/>
  <c r="H80" i="41" s="1"/>
  <c r="G78" i="41"/>
  <c r="G80" i="41" s="1"/>
  <c r="F78" i="41"/>
  <c r="F80" i="41" s="1"/>
  <c r="E78" i="41"/>
  <c r="Q76" i="41"/>
  <c r="Q75" i="41"/>
  <c r="H79" i="41" l="1"/>
  <c r="M79" i="41"/>
  <c r="L79" i="41"/>
  <c r="Q85" i="41"/>
  <c r="F79" i="41"/>
  <c r="N79" i="41"/>
  <c r="I80" i="41"/>
  <c r="G79" i="41"/>
  <c r="O79" i="41"/>
  <c r="K86" i="41"/>
  <c r="P79" i="41"/>
  <c r="L86" i="41"/>
  <c r="I79" i="41"/>
  <c r="J79" i="41"/>
  <c r="E80" i="41"/>
  <c r="K79" i="41"/>
  <c r="F86" i="41"/>
  <c r="G86" i="41"/>
  <c r="O86" i="41"/>
  <c r="N86" i="41"/>
  <c r="H86" i="41"/>
  <c r="P86" i="41"/>
  <c r="I86" i="41"/>
  <c r="E87" i="41"/>
  <c r="M86" i="41"/>
  <c r="J86" i="41"/>
  <c r="F87" i="41"/>
  <c r="C136" i="45" l="1"/>
  <c r="C135" i="45"/>
  <c r="B136" i="45"/>
  <c r="B135" i="45"/>
  <c r="U919" i="40"/>
  <c r="T919" i="40"/>
  <c r="I35" i="45"/>
  <c r="D35" i="45"/>
  <c r="F35" i="45" s="1"/>
  <c r="C35" i="45"/>
  <c r="I29" i="45"/>
  <c r="D29" i="45"/>
  <c r="F29" i="45" s="1"/>
  <c r="V919" i="40" l="1"/>
  <c r="P825" i="40" l="1"/>
  <c r="L825" i="40"/>
  <c r="C27" i="21"/>
  <c r="AG760" i="40"/>
  <c r="AF760" i="40"/>
  <c r="AE760" i="40"/>
  <c r="AD760" i="40"/>
  <c r="AC760" i="40"/>
  <c r="AB760" i="40"/>
  <c r="AA760" i="40"/>
  <c r="DP760" i="40"/>
  <c r="DO760" i="40"/>
  <c r="DN760" i="40"/>
  <c r="DM760" i="40"/>
  <c r="DL760" i="40"/>
  <c r="DK760" i="40"/>
  <c r="DJ760" i="40"/>
  <c r="DH760" i="40"/>
  <c r="DG760" i="40"/>
  <c r="DF760" i="40"/>
  <c r="DE760" i="40"/>
  <c r="DD760" i="40"/>
  <c r="DC760" i="40"/>
  <c r="DB760" i="40"/>
  <c r="DA760" i="40"/>
  <c r="CZ760" i="40"/>
  <c r="CY760" i="40"/>
  <c r="CX760" i="40"/>
  <c r="CW760" i="40"/>
  <c r="CV760" i="40"/>
  <c r="CU760" i="40"/>
  <c r="CT760" i="40"/>
  <c r="CS760" i="40"/>
  <c r="CR760" i="40"/>
  <c r="CQ760" i="40"/>
  <c r="CP760" i="40"/>
  <c r="CO760" i="40"/>
  <c r="CN760" i="40"/>
  <c r="CM760" i="40"/>
  <c r="CL760" i="40"/>
  <c r="CK760" i="40"/>
  <c r="CJ760" i="40"/>
  <c r="CI760" i="40"/>
  <c r="CH760" i="40"/>
  <c r="CG760" i="40"/>
  <c r="CF760" i="40"/>
  <c r="CE760" i="40"/>
  <c r="CD760" i="40"/>
  <c r="CC760" i="40"/>
  <c r="CB760" i="40"/>
  <c r="CA760" i="40"/>
  <c r="BZ760" i="40"/>
  <c r="BY760" i="40"/>
  <c r="BX760" i="40"/>
  <c r="BW760" i="40"/>
  <c r="BV760" i="40"/>
  <c r="BU760" i="40"/>
  <c r="BT760" i="40"/>
  <c r="BS760" i="40"/>
  <c r="BR760" i="40"/>
  <c r="BQ760" i="40"/>
  <c r="BP760" i="40"/>
  <c r="BO760" i="40"/>
  <c r="BN760" i="40"/>
  <c r="BM760" i="40"/>
  <c r="BL760" i="40"/>
  <c r="BK760" i="40"/>
  <c r="BJ760" i="40"/>
  <c r="BI760" i="40"/>
  <c r="BH760" i="40"/>
  <c r="BG760" i="40"/>
  <c r="BF760" i="40"/>
  <c r="BE760" i="40"/>
  <c r="BD760" i="40"/>
  <c r="BC760" i="40"/>
  <c r="BB760" i="40"/>
  <c r="BA760" i="40"/>
  <c r="AZ760" i="40"/>
  <c r="AY760" i="40"/>
  <c r="AX760" i="40"/>
  <c r="AW760" i="40"/>
  <c r="AV760" i="40"/>
  <c r="AU760" i="40"/>
  <c r="AT760" i="40"/>
  <c r="AS760" i="40"/>
  <c r="AR760" i="40"/>
  <c r="AQ760" i="40"/>
  <c r="AP760" i="40"/>
  <c r="AO760" i="40"/>
  <c r="AN760" i="40"/>
  <c r="AM760" i="40"/>
  <c r="AL760" i="40"/>
  <c r="AK760" i="40"/>
  <c r="AJ760" i="40"/>
  <c r="AI760" i="40"/>
  <c r="AH760" i="40"/>
  <c r="DI760" i="40"/>
  <c r="X823" i="40"/>
  <c r="Q823" i="40"/>
  <c r="CP823" i="40" s="1"/>
  <c r="V823" i="40"/>
  <c r="U823" i="40"/>
  <c r="O823" i="40"/>
  <c r="M823" i="40"/>
  <c r="P761" i="40"/>
  <c r="L761" i="40"/>
  <c r="J761" i="40"/>
  <c r="T762" i="40"/>
  <c r="S762" i="40"/>
  <c r="R762" i="40"/>
  <c r="Q762" i="40"/>
  <c r="P762" i="40"/>
  <c r="O762" i="40"/>
  <c r="N762" i="40"/>
  <c r="M762" i="40"/>
  <c r="L762" i="40"/>
  <c r="K762" i="40"/>
  <c r="J762" i="40"/>
  <c r="I762" i="40"/>
  <c r="H762" i="40"/>
  <c r="G762" i="40"/>
  <c r="F762" i="40"/>
  <c r="F761" i="40"/>
  <c r="I825" i="40"/>
  <c r="F825" i="40"/>
  <c r="X822" i="40"/>
  <c r="W822" i="40"/>
  <c r="V822" i="40"/>
  <c r="U822" i="40"/>
  <c r="T822" i="40"/>
  <c r="O822" i="40"/>
  <c r="M822" i="40"/>
  <c r="CP822" i="40" s="1"/>
  <c r="X821" i="40"/>
  <c r="W821" i="40"/>
  <c r="V821" i="40"/>
  <c r="U821" i="40"/>
  <c r="T821" i="40"/>
  <c r="O821" i="40"/>
  <c r="M821" i="40"/>
  <c r="P819" i="40"/>
  <c r="L819" i="40"/>
  <c r="I819" i="40"/>
  <c r="F819" i="40"/>
  <c r="X818" i="40"/>
  <c r="W818" i="40"/>
  <c r="V818" i="40"/>
  <c r="U818" i="40"/>
  <c r="T818" i="40"/>
  <c r="O818" i="40"/>
  <c r="X817" i="40"/>
  <c r="W817" i="40"/>
  <c r="V817" i="40"/>
  <c r="U817" i="40"/>
  <c r="T817" i="40"/>
  <c r="O817" i="40"/>
  <c r="M817" i="40"/>
  <c r="CM817" i="40" s="1"/>
  <c r="X816" i="40"/>
  <c r="W816" i="40"/>
  <c r="V816" i="40"/>
  <c r="U816" i="40"/>
  <c r="T816" i="40"/>
  <c r="O816" i="40"/>
  <c r="M816" i="40"/>
  <c r="CK816" i="40" s="1"/>
  <c r="P814" i="40"/>
  <c r="L814" i="40"/>
  <c r="I814" i="40"/>
  <c r="F814" i="40"/>
  <c r="X812" i="40"/>
  <c r="W812" i="40"/>
  <c r="V812" i="40"/>
  <c r="U812" i="40"/>
  <c r="T812" i="40"/>
  <c r="O812" i="40"/>
  <c r="M812" i="40"/>
  <c r="CC812" i="40" s="1"/>
  <c r="X811" i="40"/>
  <c r="W811" i="40"/>
  <c r="V811" i="40"/>
  <c r="U811" i="40"/>
  <c r="T811" i="40"/>
  <c r="O811" i="40"/>
  <c r="M811" i="40"/>
  <c r="CB811" i="40" s="1"/>
  <c r="P809" i="40"/>
  <c r="L809" i="40"/>
  <c r="I809" i="40"/>
  <c r="F809" i="40"/>
  <c r="X807" i="40"/>
  <c r="W807" i="40"/>
  <c r="V807" i="40"/>
  <c r="U807" i="40"/>
  <c r="T807" i="40"/>
  <c r="O807" i="40"/>
  <c r="M807" i="40"/>
  <c r="BZ807" i="40" s="1"/>
  <c r="X806" i="40"/>
  <c r="W806" i="40"/>
  <c r="V806" i="40"/>
  <c r="U806" i="40"/>
  <c r="T806" i="40"/>
  <c r="O806" i="40"/>
  <c r="M806" i="40"/>
  <c r="BZ806" i="40" s="1"/>
  <c r="P804" i="40"/>
  <c r="L804" i="40"/>
  <c r="I804" i="40"/>
  <c r="F804" i="40"/>
  <c r="X803" i="40"/>
  <c r="W803" i="40"/>
  <c r="V803" i="40"/>
  <c r="U803" i="40"/>
  <c r="T803" i="40"/>
  <c r="O803" i="40"/>
  <c r="X802" i="40"/>
  <c r="W802" i="40"/>
  <c r="V802" i="40"/>
  <c r="U802" i="40"/>
  <c r="T802" i="40"/>
  <c r="Q802" i="40"/>
  <c r="BM802" i="40" s="1"/>
  <c r="O802" i="40"/>
  <c r="X801" i="40"/>
  <c r="W801" i="40"/>
  <c r="V801" i="40"/>
  <c r="U801" i="40"/>
  <c r="T801" i="40"/>
  <c r="O801" i="40"/>
  <c r="M801" i="40"/>
  <c r="BS801" i="40" s="1"/>
  <c r="P799" i="40"/>
  <c r="L799" i="40"/>
  <c r="I799" i="40"/>
  <c r="F799" i="40"/>
  <c r="X797" i="40"/>
  <c r="W797" i="40"/>
  <c r="V797" i="40"/>
  <c r="U797" i="40"/>
  <c r="T797" i="40"/>
  <c r="O797" i="40"/>
  <c r="X796" i="40"/>
  <c r="W796" i="40"/>
  <c r="V796" i="40"/>
  <c r="U796" i="40"/>
  <c r="T796" i="40"/>
  <c r="O796" i="40"/>
  <c r="M796" i="40"/>
  <c r="BO796" i="40" s="1"/>
  <c r="P794" i="40"/>
  <c r="L794" i="40"/>
  <c r="I794" i="40"/>
  <c r="F794" i="40"/>
  <c r="X792" i="40"/>
  <c r="W792" i="40"/>
  <c r="V792" i="40"/>
  <c r="U792" i="40"/>
  <c r="T792" i="40"/>
  <c r="O792" i="40"/>
  <c r="M792" i="40"/>
  <c r="BG792" i="40" s="1"/>
  <c r="X791" i="40"/>
  <c r="W791" i="40"/>
  <c r="V791" i="40"/>
  <c r="U791" i="40"/>
  <c r="T791" i="40"/>
  <c r="O791" i="40"/>
  <c r="M791" i="40"/>
  <c r="BE791" i="40" s="1"/>
  <c r="DP789" i="40"/>
  <c r="DP794" i="40" s="1"/>
  <c r="DP799" i="40" s="1"/>
  <c r="DP804" i="40" s="1"/>
  <c r="DP809" i="40" s="1"/>
  <c r="DP814" i="40" s="1"/>
  <c r="DP819" i="40" s="1"/>
  <c r="DO789" i="40"/>
  <c r="DO794" i="40" s="1"/>
  <c r="DO799" i="40" s="1"/>
  <c r="DO804" i="40" s="1"/>
  <c r="DO809" i="40" s="1"/>
  <c r="DO814" i="40" s="1"/>
  <c r="DO819" i="40" s="1"/>
  <c r="DN789" i="40"/>
  <c r="DN794" i="40" s="1"/>
  <c r="DN799" i="40" s="1"/>
  <c r="DN804" i="40" s="1"/>
  <c r="DN809" i="40" s="1"/>
  <c r="DN814" i="40" s="1"/>
  <c r="DN819" i="40" s="1"/>
  <c r="DM789" i="40"/>
  <c r="DM794" i="40" s="1"/>
  <c r="DM799" i="40" s="1"/>
  <c r="DM804" i="40" s="1"/>
  <c r="DM809" i="40" s="1"/>
  <c r="DM814" i="40" s="1"/>
  <c r="DM819" i="40" s="1"/>
  <c r="DM825" i="40" s="1"/>
  <c r="DL789" i="40"/>
  <c r="DL794" i="40" s="1"/>
  <c r="DL799" i="40" s="1"/>
  <c r="DL804" i="40" s="1"/>
  <c r="DL809" i="40" s="1"/>
  <c r="DL814" i="40" s="1"/>
  <c r="DL819" i="40" s="1"/>
  <c r="DL825" i="40" s="1"/>
  <c r="DK789" i="40"/>
  <c r="DK794" i="40" s="1"/>
  <c r="DK799" i="40" s="1"/>
  <c r="DK804" i="40" s="1"/>
  <c r="DK809" i="40" s="1"/>
  <c r="DK814" i="40" s="1"/>
  <c r="DK819" i="40" s="1"/>
  <c r="DK825" i="40" s="1"/>
  <c r="DJ789" i="40"/>
  <c r="DJ794" i="40" s="1"/>
  <c r="DJ799" i="40" s="1"/>
  <c r="DJ804" i="40" s="1"/>
  <c r="DJ809" i="40" s="1"/>
  <c r="DJ814" i="40" s="1"/>
  <c r="DJ819" i="40" s="1"/>
  <c r="DJ825" i="40" s="1"/>
  <c r="DI789" i="40"/>
  <c r="DI794" i="40" s="1"/>
  <c r="DI799" i="40" s="1"/>
  <c r="DI804" i="40" s="1"/>
  <c r="DI809" i="40" s="1"/>
  <c r="DI814" i="40" s="1"/>
  <c r="DI819" i="40" s="1"/>
  <c r="DI825" i="40" s="1"/>
  <c r="DH789" i="40"/>
  <c r="DH794" i="40" s="1"/>
  <c r="DH799" i="40" s="1"/>
  <c r="DH804" i="40" s="1"/>
  <c r="DH809" i="40" s="1"/>
  <c r="DH814" i="40" s="1"/>
  <c r="DH819" i="40" s="1"/>
  <c r="DG789" i="40"/>
  <c r="DG794" i="40" s="1"/>
  <c r="DG799" i="40" s="1"/>
  <c r="DG804" i="40" s="1"/>
  <c r="DG809" i="40" s="1"/>
  <c r="DG814" i="40" s="1"/>
  <c r="DG819" i="40" s="1"/>
  <c r="DF789" i="40"/>
  <c r="DF794" i="40" s="1"/>
  <c r="DF799" i="40" s="1"/>
  <c r="DF804" i="40" s="1"/>
  <c r="DF809" i="40" s="1"/>
  <c r="DF814" i="40" s="1"/>
  <c r="DF819" i="40" s="1"/>
  <c r="DE789" i="40"/>
  <c r="DE794" i="40" s="1"/>
  <c r="DE799" i="40" s="1"/>
  <c r="DE804" i="40" s="1"/>
  <c r="DE809" i="40" s="1"/>
  <c r="DE814" i="40" s="1"/>
  <c r="DE819" i="40" s="1"/>
  <c r="DE825" i="40" s="1"/>
  <c r="DD789" i="40"/>
  <c r="DD794" i="40" s="1"/>
  <c r="DD799" i="40" s="1"/>
  <c r="DD804" i="40" s="1"/>
  <c r="DD809" i="40" s="1"/>
  <c r="DD814" i="40" s="1"/>
  <c r="DD819" i="40" s="1"/>
  <c r="DD825" i="40" s="1"/>
  <c r="DC789" i="40"/>
  <c r="DC794" i="40" s="1"/>
  <c r="DC799" i="40" s="1"/>
  <c r="DC804" i="40" s="1"/>
  <c r="DC809" i="40" s="1"/>
  <c r="DC814" i="40" s="1"/>
  <c r="DC819" i="40" s="1"/>
  <c r="DC825" i="40" s="1"/>
  <c r="DB789" i="40"/>
  <c r="DB794" i="40" s="1"/>
  <c r="DB799" i="40" s="1"/>
  <c r="DB804" i="40" s="1"/>
  <c r="DB809" i="40" s="1"/>
  <c r="DB814" i="40" s="1"/>
  <c r="DB819" i="40" s="1"/>
  <c r="DB825" i="40" s="1"/>
  <c r="DA789" i="40"/>
  <c r="DA794" i="40" s="1"/>
  <c r="DA799" i="40" s="1"/>
  <c r="DA804" i="40" s="1"/>
  <c r="DA809" i="40" s="1"/>
  <c r="DA814" i="40" s="1"/>
  <c r="DA819" i="40" s="1"/>
  <c r="DA825" i="40" s="1"/>
  <c r="CZ789" i="40"/>
  <c r="CZ794" i="40" s="1"/>
  <c r="CZ799" i="40" s="1"/>
  <c r="CZ804" i="40" s="1"/>
  <c r="CZ809" i="40" s="1"/>
  <c r="CZ814" i="40" s="1"/>
  <c r="CZ819" i="40" s="1"/>
  <c r="CY789" i="40"/>
  <c r="CY794" i="40" s="1"/>
  <c r="CY799" i="40" s="1"/>
  <c r="CY804" i="40" s="1"/>
  <c r="CY809" i="40" s="1"/>
  <c r="CY814" i="40" s="1"/>
  <c r="CY819" i="40" s="1"/>
  <c r="CX789" i="40"/>
  <c r="CX794" i="40" s="1"/>
  <c r="CX799" i="40" s="1"/>
  <c r="CX804" i="40" s="1"/>
  <c r="CX809" i="40" s="1"/>
  <c r="CX814" i="40" s="1"/>
  <c r="CX819" i="40" s="1"/>
  <c r="CW789" i="40"/>
  <c r="CW794" i="40" s="1"/>
  <c r="CW799" i="40" s="1"/>
  <c r="CW804" i="40" s="1"/>
  <c r="CW809" i="40" s="1"/>
  <c r="CW814" i="40" s="1"/>
  <c r="CW819" i="40" s="1"/>
  <c r="CW825" i="40" s="1"/>
  <c r="CV789" i="40"/>
  <c r="CV794" i="40" s="1"/>
  <c r="CV799" i="40" s="1"/>
  <c r="CV804" i="40" s="1"/>
  <c r="CV809" i="40" s="1"/>
  <c r="CV814" i="40" s="1"/>
  <c r="CV819" i="40" s="1"/>
  <c r="CV825" i="40" s="1"/>
  <c r="CU789" i="40"/>
  <c r="CU794" i="40" s="1"/>
  <c r="CU799" i="40" s="1"/>
  <c r="CU804" i="40" s="1"/>
  <c r="CU809" i="40" s="1"/>
  <c r="CU814" i="40" s="1"/>
  <c r="CU819" i="40" s="1"/>
  <c r="CU825" i="40" s="1"/>
  <c r="CT789" i="40"/>
  <c r="CT794" i="40" s="1"/>
  <c r="CT799" i="40" s="1"/>
  <c r="CT804" i="40" s="1"/>
  <c r="CT809" i="40" s="1"/>
  <c r="CT814" i="40" s="1"/>
  <c r="CT819" i="40" s="1"/>
  <c r="CT825" i="40" s="1"/>
  <c r="CS789" i="40"/>
  <c r="CS794" i="40" s="1"/>
  <c r="CS799" i="40" s="1"/>
  <c r="CS804" i="40" s="1"/>
  <c r="CS809" i="40" s="1"/>
  <c r="CS814" i="40" s="1"/>
  <c r="CS819" i="40" s="1"/>
  <c r="CS825" i="40" s="1"/>
  <c r="CR789" i="40"/>
  <c r="CR794" i="40" s="1"/>
  <c r="CR799" i="40" s="1"/>
  <c r="CR804" i="40" s="1"/>
  <c r="CR809" i="40" s="1"/>
  <c r="CR814" i="40" s="1"/>
  <c r="CR819" i="40" s="1"/>
  <c r="CQ789" i="40"/>
  <c r="CQ794" i="40" s="1"/>
  <c r="CQ799" i="40" s="1"/>
  <c r="CQ804" i="40" s="1"/>
  <c r="CQ809" i="40" s="1"/>
  <c r="CQ814" i="40" s="1"/>
  <c r="CQ819" i="40" s="1"/>
  <c r="CP789" i="40"/>
  <c r="CP794" i="40" s="1"/>
  <c r="CP799" i="40" s="1"/>
  <c r="CP804" i="40" s="1"/>
  <c r="CP809" i="40" s="1"/>
  <c r="CP814" i="40" s="1"/>
  <c r="CP819" i="40" s="1"/>
  <c r="CO789" i="40"/>
  <c r="CO794" i="40" s="1"/>
  <c r="CO799" i="40" s="1"/>
  <c r="CO804" i="40" s="1"/>
  <c r="CO809" i="40" s="1"/>
  <c r="CO814" i="40" s="1"/>
  <c r="CO819" i="40" s="1"/>
  <c r="CO825" i="40" s="1"/>
  <c r="P789" i="40"/>
  <c r="L789" i="40"/>
  <c r="I789" i="40"/>
  <c r="F789" i="40"/>
  <c r="X788" i="40"/>
  <c r="W788" i="40"/>
  <c r="V788" i="40"/>
  <c r="U788" i="40"/>
  <c r="T788" i="40"/>
  <c r="O788" i="40"/>
  <c r="V787" i="40"/>
  <c r="U787" i="40"/>
  <c r="X787" i="40"/>
  <c r="Q787" i="40"/>
  <c r="AJ787" i="40" s="1"/>
  <c r="O787" i="40"/>
  <c r="X786" i="40"/>
  <c r="W786" i="40"/>
  <c r="V786" i="40"/>
  <c r="U786" i="40"/>
  <c r="T786" i="40"/>
  <c r="O786" i="40"/>
  <c r="M786" i="40"/>
  <c r="P784" i="40"/>
  <c r="L784" i="40"/>
  <c r="I784" i="40"/>
  <c r="F784" i="40"/>
  <c r="X783" i="40"/>
  <c r="W783" i="40"/>
  <c r="V783" i="40"/>
  <c r="U783" i="40"/>
  <c r="T783" i="40"/>
  <c r="O783" i="40"/>
  <c r="V782" i="40"/>
  <c r="U782" i="40"/>
  <c r="T782" i="40"/>
  <c r="Q782" i="40"/>
  <c r="AI782" i="40" s="1"/>
  <c r="O782" i="40"/>
  <c r="M782" i="40"/>
  <c r="X781" i="40"/>
  <c r="W781" i="40"/>
  <c r="U781" i="40"/>
  <c r="T781" i="40"/>
  <c r="O781" i="40"/>
  <c r="M781" i="40"/>
  <c r="BK781" i="40" s="1"/>
  <c r="P779" i="40"/>
  <c r="L779" i="40"/>
  <c r="I779" i="40"/>
  <c r="F779" i="40"/>
  <c r="X778" i="40"/>
  <c r="W778" i="40"/>
  <c r="V778" i="40"/>
  <c r="U778" i="40"/>
  <c r="T778" i="40"/>
  <c r="Q778" i="40"/>
  <c r="O778" i="40"/>
  <c r="M778" i="40"/>
  <c r="V777" i="40"/>
  <c r="U777" i="40"/>
  <c r="W777" i="40"/>
  <c r="Q777" i="40"/>
  <c r="AE777" i="40" s="1"/>
  <c r="O777" i="40"/>
  <c r="M777" i="40"/>
  <c r="X776" i="40"/>
  <c r="W776" i="40"/>
  <c r="U776" i="40"/>
  <c r="T776" i="40"/>
  <c r="O776" i="40"/>
  <c r="M776" i="40"/>
  <c r="P774" i="40"/>
  <c r="L774" i="40"/>
  <c r="I774" i="40"/>
  <c r="F774" i="40"/>
  <c r="X773" i="40"/>
  <c r="W773" i="40"/>
  <c r="V773" i="40"/>
  <c r="U773" i="40"/>
  <c r="T773" i="40"/>
  <c r="Q773" i="40"/>
  <c r="O773" i="40"/>
  <c r="M773" i="40"/>
  <c r="V772" i="40"/>
  <c r="U772" i="40"/>
  <c r="T772" i="40"/>
  <c r="Q772" i="40"/>
  <c r="AE772" i="40" s="1"/>
  <c r="O772" i="40"/>
  <c r="M772" i="40"/>
  <c r="X771" i="40"/>
  <c r="W771" i="40"/>
  <c r="U771" i="40"/>
  <c r="T771" i="40"/>
  <c r="Q771" i="40"/>
  <c r="V771" i="40"/>
  <c r="M771" i="40"/>
  <c r="AA769" i="40"/>
  <c r="AA774" i="40" s="1"/>
  <c r="AA779" i="40" s="1"/>
  <c r="AA784" i="40" s="1"/>
  <c r="AA789" i="40" s="1"/>
  <c r="AA794" i="40" s="1"/>
  <c r="AA799" i="40" s="1"/>
  <c r="AA804" i="40" s="1"/>
  <c r="AA809" i="40" s="1"/>
  <c r="AA814" i="40" s="1"/>
  <c r="L769" i="40"/>
  <c r="I769" i="40"/>
  <c r="F769" i="40"/>
  <c r="X768" i="40"/>
  <c r="W768" i="40"/>
  <c r="V768" i="40"/>
  <c r="U768" i="40"/>
  <c r="T768" i="40"/>
  <c r="Q768" i="40"/>
  <c r="O768" i="40"/>
  <c r="M768" i="40"/>
  <c r="X767" i="40"/>
  <c r="W767" i="40"/>
  <c r="U767" i="40"/>
  <c r="T767" i="40"/>
  <c r="Q767" i="40"/>
  <c r="AE767" i="40" s="1"/>
  <c r="V767" i="40"/>
  <c r="M767" i="40"/>
  <c r="X765" i="40"/>
  <c r="W765" i="40"/>
  <c r="U765" i="40"/>
  <c r="T765" i="40"/>
  <c r="Q765" i="40"/>
  <c r="AE765" i="40" s="1"/>
  <c r="O765" i="40"/>
  <c r="M765" i="40"/>
  <c r="X764" i="40"/>
  <c r="W764" i="40"/>
  <c r="V764" i="40"/>
  <c r="U764" i="40"/>
  <c r="T764" i="40"/>
  <c r="Q764" i="40"/>
  <c r="O764" i="40"/>
  <c r="M764" i="40"/>
  <c r="X763" i="40"/>
  <c r="W763" i="40"/>
  <c r="V763" i="40"/>
  <c r="U763" i="40"/>
  <c r="T763" i="40"/>
  <c r="Q763" i="40"/>
  <c r="O763" i="40"/>
  <c r="M763" i="40"/>
  <c r="I763" i="40"/>
  <c r="G763" i="40"/>
  <c r="AE763" i="40" s="1"/>
  <c r="AB769" i="40"/>
  <c r="AB774" i="40" s="1"/>
  <c r="AB779" i="40" s="1"/>
  <c r="AB784" i="40" s="1"/>
  <c r="AB789" i="40" s="1"/>
  <c r="AB794" i="40" s="1"/>
  <c r="AB799" i="40" s="1"/>
  <c r="AB804" i="40" s="1"/>
  <c r="AB809" i="40" s="1"/>
  <c r="AB814" i="40" s="1"/>
  <c r="V451" i="40"/>
  <c r="U451" i="40"/>
  <c r="X451" i="40"/>
  <c r="Q451" i="40"/>
  <c r="DN451" i="40" s="1"/>
  <c r="O451" i="40"/>
  <c r="M451" i="40"/>
  <c r="V450" i="40"/>
  <c r="U450" i="40"/>
  <c r="X450" i="40"/>
  <c r="Q450" i="40"/>
  <c r="DM450" i="40" s="1"/>
  <c r="O450" i="40"/>
  <c r="M450" i="40"/>
  <c r="V449" i="40"/>
  <c r="U449" i="40"/>
  <c r="X449" i="40"/>
  <c r="Q449" i="40"/>
  <c r="DL449" i="40" s="1"/>
  <c r="O449" i="40"/>
  <c r="M449" i="40"/>
  <c r="V448" i="40"/>
  <c r="U448" i="40"/>
  <c r="X448" i="40"/>
  <c r="Q448" i="40"/>
  <c r="DK448" i="40" s="1"/>
  <c r="O448" i="40"/>
  <c r="M448" i="40"/>
  <c r="V439" i="40"/>
  <c r="U439" i="40"/>
  <c r="X439" i="40"/>
  <c r="Q439" i="40"/>
  <c r="DJ439" i="40" s="1"/>
  <c r="O439" i="40"/>
  <c r="M439" i="40"/>
  <c r="M440" i="40"/>
  <c r="O440" i="40"/>
  <c r="Q440" i="40"/>
  <c r="DJ440" i="40" s="1"/>
  <c r="W440" i="40"/>
  <c r="U440" i="40"/>
  <c r="V440" i="40"/>
  <c r="V431" i="40"/>
  <c r="U431" i="40"/>
  <c r="X431" i="40"/>
  <c r="Q431" i="40"/>
  <c r="DI431" i="40" s="1"/>
  <c r="O431" i="40"/>
  <c r="M431" i="40"/>
  <c r="V430" i="40"/>
  <c r="U430" i="40"/>
  <c r="X430" i="40"/>
  <c r="Q430" i="40"/>
  <c r="DD430" i="40" s="1"/>
  <c r="O430" i="40"/>
  <c r="M430" i="40"/>
  <c r="V429" i="40"/>
  <c r="U429" i="40"/>
  <c r="X429" i="40"/>
  <c r="Q429" i="40"/>
  <c r="CX429" i="40" s="1"/>
  <c r="O429" i="40"/>
  <c r="M429" i="40"/>
  <c r="V428" i="40"/>
  <c r="U428" i="40"/>
  <c r="X428" i="40"/>
  <c r="Q428" i="40"/>
  <c r="CT428" i="40" s="1"/>
  <c r="O428" i="40"/>
  <c r="M428" i="40"/>
  <c r="V414" i="40"/>
  <c r="U414" i="40"/>
  <c r="X414" i="40"/>
  <c r="Q414" i="40"/>
  <c r="CS414" i="40" s="1"/>
  <c r="O414" i="40"/>
  <c r="M414" i="40"/>
  <c r="V413" i="40"/>
  <c r="U413" i="40"/>
  <c r="X413" i="40"/>
  <c r="Q413" i="40"/>
  <c r="CR413" i="40" s="1"/>
  <c r="O413" i="40"/>
  <c r="M413" i="40"/>
  <c r="V454" i="40"/>
  <c r="O453" i="40"/>
  <c r="V446" i="40"/>
  <c r="V445" i="40"/>
  <c r="O442" i="40"/>
  <c r="V441" i="40"/>
  <c r="V437" i="40"/>
  <c r="V436" i="40"/>
  <c r="O433" i="40"/>
  <c r="V432" i="40"/>
  <c r="O425" i="40"/>
  <c r="O424" i="40"/>
  <c r="O422" i="40"/>
  <c r="O421" i="40"/>
  <c r="V420" i="40"/>
  <c r="O419" i="40"/>
  <c r="V418" i="40"/>
  <c r="O417" i="40"/>
  <c r="O416" i="40"/>
  <c r="O411" i="40"/>
  <c r="V410" i="40"/>
  <c r="T454" i="40"/>
  <c r="X453" i="40"/>
  <c r="W452" i="40"/>
  <c r="X447" i="40"/>
  <c r="X445" i="40"/>
  <c r="T444" i="40"/>
  <c r="T443" i="40"/>
  <c r="X442" i="40"/>
  <c r="X441" i="40"/>
  <c r="W438" i="40"/>
  <c r="W437" i="40"/>
  <c r="W436" i="40"/>
  <c r="W435" i="40"/>
  <c r="W434" i="40"/>
  <c r="X432" i="40"/>
  <c r="X427" i="40"/>
  <c r="X426" i="40"/>
  <c r="T425" i="40"/>
  <c r="T424" i="40"/>
  <c r="X423" i="40"/>
  <c r="X422" i="40"/>
  <c r="X421" i="40"/>
  <c r="X420" i="40"/>
  <c r="T419" i="40"/>
  <c r="X418" i="40"/>
  <c r="X417" i="40"/>
  <c r="T416" i="40"/>
  <c r="T415" i="40"/>
  <c r="T412" i="40"/>
  <c r="T410" i="40"/>
  <c r="Q459" i="40"/>
  <c r="DN459" i="40" s="1"/>
  <c r="Q458" i="40"/>
  <c r="DN458" i="40" s="1"/>
  <c r="Q457" i="40"/>
  <c r="DN457" i="40" s="1"/>
  <c r="Q456" i="40"/>
  <c r="Q455" i="40"/>
  <c r="DN455" i="40" s="1"/>
  <c r="Q454" i="40"/>
  <c r="DN454" i="40" s="1"/>
  <c r="Q453" i="40"/>
  <c r="DN453" i="40" s="1"/>
  <c r="Q452" i="40"/>
  <c r="DN452" i="40" s="1"/>
  <c r="Q447" i="40"/>
  <c r="DJ447" i="40" s="1"/>
  <c r="Q446" i="40"/>
  <c r="Q445" i="40"/>
  <c r="DJ445" i="40" s="1"/>
  <c r="Q444" i="40"/>
  <c r="DJ444" i="40" s="1"/>
  <c r="Q443" i="40"/>
  <c r="DJ443" i="40" s="1"/>
  <c r="Q442" i="40"/>
  <c r="DJ442" i="40" s="1"/>
  <c r="Q441" i="40"/>
  <c r="DJ441" i="40" s="1"/>
  <c r="Q438" i="40"/>
  <c r="DI438" i="40" s="1"/>
  <c r="Q437" i="40"/>
  <c r="DI437" i="40" s="1"/>
  <c r="Q436" i="40"/>
  <c r="DI436" i="40" s="1"/>
  <c r="Q435" i="40"/>
  <c r="DI435" i="40" s="1"/>
  <c r="Q434" i="40"/>
  <c r="DI434" i="40" s="1"/>
  <c r="Q433" i="40"/>
  <c r="Q432" i="40"/>
  <c r="DI432" i="40" s="1"/>
  <c r="Q427" i="40"/>
  <c r="CS427" i="40" s="1"/>
  <c r="Q426" i="40"/>
  <c r="CS426" i="40" s="1"/>
  <c r="Q425" i="40"/>
  <c r="CS425" i="40" s="1"/>
  <c r="Q424" i="40"/>
  <c r="CS424" i="40" s="1"/>
  <c r="Q423" i="40"/>
  <c r="CS423" i="40" s="1"/>
  <c r="Q422" i="40"/>
  <c r="Q421" i="40"/>
  <c r="CS421" i="40" s="1"/>
  <c r="Q420" i="40"/>
  <c r="CS420" i="40" s="1"/>
  <c r="Q419" i="40"/>
  <c r="CS419" i="40" s="1"/>
  <c r="Q418" i="40"/>
  <c r="Q417" i="40"/>
  <c r="Q416" i="40"/>
  <c r="Q415" i="40"/>
  <c r="CS415" i="40" s="1"/>
  <c r="Q411" i="40"/>
  <c r="Q410" i="40"/>
  <c r="CP410" i="40" s="1"/>
  <c r="Q409" i="40"/>
  <c r="M459" i="40"/>
  <c r="M458" i="40"/>
  <c r="M457" i="40"/>
  <c r="M456" i="40"/>
  <c r="DO456" i="40" s="1"/>
  <c r="M455" i="40"/>
  <c r="M454" i="40"/>
  <c r="M453" i="40"/>
  <c r="M452" i="40"/>
  <c r="M447" i="40"/>
  <c r="M446" i="40"/>
  <c r="DN446" i="40" s="1"/>
  <c r="M445" i="40"/>
  <c r="M444" i="40"/>
  <c r="M443" i="40"/>
  <c r="M442" i="40"/>
  <c r="M441" i="40"/>
  <c r="M438" i="40"/>
  <c r="M437" i="40"/>
  <c r="M436" i="40"/>
  <c r="M435" i="40"/>
  <c r="M434" i="40"/>
  <c r="M433" i="40"/>
  <c r="DM433" i="40" s="1"/>
  <c r="M432" i="40"/>
  <c r="M427" i="40"/>
  <c r="M426" i="40"/>
  <c r="M425" i="40"/>
  <c r="M424" i="40"/>
  <c r="M423" i="40"/>
  <c r="M422" i="40"/>
  <c r="DL422" i="40" s="1"/>
  <c r="M421" i="40"/>
  <c r="M420" i="40"/>
  <c r="M419" i="40"/>
  <c r="M418" i="40"/>
  <c r="DK418" i="40" s="1"/>
  <c r="M417" i="40"/>
  <c r="DJ417" i="40" s="1"/>
  <c r="M416" i="40"/>
  <c r="DJ416" i="40" s="1"/>
  <c r="M415" i="40"/>
  <c r="M412" i="40"/>
  <c r="U422" i="40"/>
  <c r="T422" i="40"/>
  <c r="V421" i="40"/>
  <c r="U421" i="40"/>
  <c r="U420" i="40"/>
  <c r="V419" i="40"/>
  <c r="U419" i="40"/>
  <c r="U418" i="40"/>
  <c r="U417" i="40"/>
  <c r="X416" i="40"/>
  <c r="W416" i="40"/>
  <c r="U416" i="40"/>
  <c r="V415" i="40"/>
  <c r="U415" i="40"/>
  <c r="O415" i="40"/>
  <c r="V412" i="40"/>
  <c r="U412" i="40"/>
  <c r="Q412" i="40"/>
  <c r="CP412" i="40" s="1"/>
  <c r="O412" i="40"/>
  <c r="X411" i="40"/>
  <c r="W411" i="40"/>
  <c r="U411" i="40"/>
  <c r="T411" i="40"/>
  <c r="M411" i="40"/>
  <c r="DI411" i="40" s="1"/>
  <c r="U437" i="40"/>
  <c r="U436" i="40"/>
  <c r="V435" i="40"/>
  <c r="U435" i="40"/>
  <c r="O435" i="40"/>
  <c r="V434" i="40"/>
  <c r="U434" i="40"/>
  <c r="O434" i="40"/>
  <c r="X433" i="40"/>
  <c r="W433" i="40"/>
  <c r="U433" i="40"/>
  <c r="T433" i="40"/>
  <c r="U432" i="40"/>
  <c r="V427" i="40"/>
  <c r="U427" i="40"/>
  <c r="O427" i="40"/>
  <c r="V426" i="40"/>
  <c r="U426" i="40"/>
  <c r="O426" i="40"/>
  <c r="U425" i="40"/>
  <c r="U424" i="40"/>
  <c r="V423" i="40"/>
  <c r="U423" i="40"/>
  <c r="O423" i="40"/>
  <c r="U410" i="40"/>
  <c r="M410" i="40"/>
  <c r="U454" i="40"/>
  <c r="U453" i="40"/>
  <c r="V452" i="40"/>
  <c r="U452" i="40"/>
  <c r="O452" i="40"/>
  <c r="V447" i="40"/>
  <c r="U447" i="40"/>
  <c r="O447" i="40"/>
  <c r="X446" i="40"/>
  <c r="W446" i="40"/>
  <c r="U446" i="40"/>
  <c r="T446" i="40"/>
  <c r="U445" i="40"/>
  <c r="V444" i="40"/>
  <c r="U444" i="40"/>
  <c r="O444" i="40"/>
  <c r="V443" i="40"/>
  <c r="U443" i="40"/>
  <c r="O443" i="40"/>
  <c r="V442" i="40"/>
  <c r="U442" i="40"/>
  <c r="U441" i="40"/>
  <c r="V438" i="40"/>
  <c r="U438" i="40"/>
  <c r="O438" i="40"/>
  <c r="DP660" i="40"/>
  <c r="DP685" i="40" s="1"/>
  <c r="DP691" i="40" s="1"/>
  <c r="DP719" i="40" s="1"/>
  <c r="DP727" i="40" s="1"/>
  <c r="DP735" i="40" s="1"/>
  <c r="DP750" i="40" s="1"/>
  <c r="DP756" i="40" s="1"/>
  <c r="DP758" i="40" s="1"/>
  <c r="DP520" i="40"/>
  <c r="DP525" i="40" s="1"/>
  <c r="DP531" i="40" s="1"/>
  <c r="DP536" i="40" s="1"/>
  <c r="DP541" i="40" s="1"/>
  <c r="DP546" i="40" s="1"/>
  <c r="DP551" i="40" s="1"/>
  <c r="DP556" i="40" s="1"/>
  <c r="DP558" i="40" s="1"/>
  <c r="DN660" i="40"/>
  <c r="DN685" i="40" s="1"/>
  <c r="DN691" i="40" s="1"/>
  <c r="DN719" i="40" s="1"/>
  <c r="DN727" i="40" s="1"/>
  <c r="DN735" i="40" s="1"/>
  <c r="DN750" i="40" s="1"/>
  <c r="DN756" i="40" s="1"/>
  <c r="DN758" i="40" s="1"/>
  <c r="DN520" i="40"/>
  <c r="DN525" i="40" s="1"/>
  <c r="DN531" i="40" s="1"/>
  <c r="DN536" i="40" s="1"/>
  <c r="DN541" i="40" s="1"/>
  <c r="DN546" i="40" s="1"/>
  <c r="DN551" i="40" s="1"/>
  <c r="DN556" i="40" s="1"/>
  <c r="DN558" i="40" s="1"/>
  <c r="DO660" i="40"/>
  <c r="DO685" i="40" s="1"/>
  <c r="DO691" i="40" s="1"/>
  <c r="DO719" i="40" s="1"/>
  <c r="DO727" i="40" s="1"/>
  <c r="DO735" i="40" s="1"/>
  <c r="DO750" i="40" s="1"/>
  <c r="DO756" i="40" s="1"/>
  <c r="DO758" i="40" s="1"/>
  <c r="DO520" i="40"/>
  <c r="DO525" i="40" s="1"/>
  <c r="DO531" i="40" s="1"/>
  <c r="DO536" i="40" s="1"/>
  <c r="DO541" i="40" s="1"/>
  <c r="DO546" i="40" s="1"/>
  <c r="DO551" i="40" s="1"/>
  <c r="DO556" i="40" s="1"/>
  <c r="DO558" i="40" s="1"/>
  <c r="F827" i="40" l="1"/>
  <c r="I827" i="40"/>
  <c r="E27" i="21"/>
  <c r="F27" i="21" s="1"/>
  <c r="J29" i="45" s="1"/>
  <c r="K29" i="45" s="1"/>
  <c r="L29" i="45" s="1"/>
  <c r="O29" i="45" s="1"/>
  <c r="DO562" i="40"/>
  <c r="U825" i="40"/>
  <c r="DN562" i="40"/>
  <c r="DP562" i="40"/>
  <c r="DJ761" i="40"/>
  <c r="DI761" i="40"/>
  <c r="DK761" i="40"/>
  <c r="DL761" i="40"/>
  <c r="DM761" i="40"/>
  <c r="V825" i="40"/>
  <c r="CP825" i="40"/>
  <c r="CP827" i="40" s="1"/>
  <c r="O825" i="40"/>
  <c r="X825" i="40"/>
  <c r="DP761" i="40"/>
  <c r="CT827" i="40"/>
  <c r="DB827" i="40"/>
  <c r="DJ827" i="40"/>
  <c r="CX825" i="40"/>
  <c r="CX827" i="40" s="1"/>
  <c r="DF825" i="40"/>
  <c r="DF827" i="40" s="1"/>
  <c r="DN825" i="40"/>
  <c r="DN827" i="40" s="1"/>
  <c r="CU827" i="40"/>
  <c r="DC827" i="40"/>
  <c r="DK827" i="40"/>
  <c r="CQ825" i="40"/>
  <c r="CQ827" i="40" s="1"/>
  <c r="CY825" i="40"/>
  <c r="CY827" i="40" s="1"/>
  <c r="DG825" i="40"/>
  <c r="DG827" i="40" s="1"/>
  <c r="DO825" i="40"/>
  <c r="DO827" i="40" s="1"/>
  <c r="CV827" i="40"/>
  <c r="DD827" i="40"/>
  <c r="DL827" i="40"/>
  <c r="DN761" i="40"/>
  <c r="CR825" i="40"/>
  <c r="CR827" i="40" s="1"/>
  <c r="CZ825" i="40"/>
  <c r="CZ827" i="40" s="1"/>
  <c r="DH825" i="40"/>
  <c r="DH827" i="40" s="1"/>
  <c r="DP825" i="40"/>
  <c r="DP827" i="40" s="1"/>
  <c r="L827" i="40"/>
  <c r="CO827" i="40"/>
  <c r="CW827" i="40"/>
  <c r="DE827" i="40"/>
  <c r="DM827" i="40"/>
  <c r="DO761" i="40"/>
  <c r="CS827" i="40"/>
  <c r="DA827" i="40"/>
  <c r="DI827" i="40"/>
  <c r="T794" i="40"/>
  <c r="U794" i="40"/>
  <c r="V819" i="40"/>
  <c r="T823" i="40"/>
  <c r="T825" i="40" s="1"/>
  <c r="W823" i="40"/>
  <c r="W825" i="40" s="1"/>
  <c r="V433" i="40"/>
  <c r="O418" i="40"/>
  <c r="W809" i="40"/>
  <c r="U814" i="40"/>
  <c r="X794" i="40"/>
  <c r="V809" i="40"/>
  <c r="T814" i="40"/>
  <c r="W794" i="40"/>
  <c r="U809" i="40"/>
  <c r="W799" i="40"/>
  <c r="W804" i="40"/>
  <c r="O819" i="40"/>
  <c r="X809" i="40"/>
  <c r="V814" i="40"/>
  <c r="W772" i="40"/>
  <c r="W774" i="40" s="1"/>
  <c r="T774" i="40"/>
  <c r="T799" i="40"/>
  <c r="X819" i="40"/>
  <c r="O779" i="40"/>
  <c r="O814" i="40"/>
  <c r="V799" i="40"/>
  <c r="O794" i="40"/>
  <c r="W814" i="40"/>
  <c r="X772" i="40"/>
  <c r="X774" i="40" s="1"/>
  <c r="V776" i="40"/>
  <c r="V779" i="40" s="1"/>
  <c r="U774" i="40"/>
  <c r="V794" i="40"/>
  <c r="O809" i="40"/>
  <c r="U799" i="40"/>
  <c r="W787" i="40"/>
  <c r="W782" i="40"/>
  <c r="W784" i="40" s="1"/>
  <c r="U789" i="40"/>
  <c r="X799" i="40"/>
  <c r="T809" i="40"/>
  <c r="X814" i="40"/>
  <c r="X782" i="40"/>
  <c r="X784" i="40" s="1"/>
  <c r="V804" i="40"/>
  <c r="U779" i="40"/>
  <c r="O799" i="40"/>
  <c r="X804" i="40"/>
  <c r="W819" i="40"/>
  <c r="O784" i="40"/>
  <c r="O804" i="40"/>
  <c r="W779" i="40"/>
  <c r="T787" i="40"/>
  <c r="V774" i="40"/>
  <c r="U784" i="40"/>
  <c r="T784" i="40"/>
  <c r="AC769" i="40"/>
  <c r="AC774" i="40" s="1"/>
  <c r="AC779" i="40" s="1"/>
  <c r="AC784" i="40" s="1"/>
  <c r="AC789" i="40" s="1"/>
  <c r="AC794" i="40" s="1"/>
  <c r="AC799" i="40" s="1"/>
  <c r="AC804" i="40" s="1"/>
  <c r="AC809" i="40" s="1"/>
  <c r="AC814" i="40" s="1"/>
  <c r="AC827" i="40" s="1"/>
  <c r="AD769" i="40"/>
  <c r="AD774" i="40" s="1"/>
  <c r="AD779" i="40" s="1"/>
  <c r="AD784" i="40" s="1"/>
  <c r="AD789" i="40" s="1"/>
  <c r="AD794" i="40" s="1"/>
  <c r="AD799" i="40" s="1"/>
  <c r="AD804" i="40" s="1"/>
  <c r="AD809" i="40" s="1"/>
  <c r="AD814" i="40" s="1"/>
  <c r="AD819" i="40" s="1"/>
  <c r="AD825" i="40" s="1"/>
  <c r="V765" i="40"/>
  <c r="AE769" i="40"/>
  <c r="AE774" i="40" s="1"/>
  <c r="AE779" i="40" s="1"/>
  <c r="AE784" i="40" s="1"/>
  <c r="AE789" i="40" s="1"/>
  <c r="AE794" i="40" s="1"/>
  <c r="AE799" i="40" s="1"/>
  <c r="AE804" i="40" s="1"/>
  <c r="AE809" i="40" s="1"/>
  <c r="AE814" i="40" s="1"/>
  <c r="AB827" i="40"/>
  <c r="AB819" i="40"/>
  <c r="AB825" i="40" s="1"/>
  <c r="X777" i="40"/>
  <c r="X779" i="40" s="1"/>
  <c r="O789" i="40"/>
  <c r="O767" i="40"/>
  <c r="X769" i="40"/>
  <c r="U769" i="40"/>
  <c r="V781" i="40"/>
  <c r="V784" i="40" s="1"/>
  <c r="AA827" i="40"/>
  <c r="AA819" i="40"/>
  <c r="AA825" i="40" s="1"/>
  <c r="T769" i="40"/>
  <c r="O771" i="40"/>
  <c r="O774" i="40" s="1"/>
  <c r="T777" i="40"/>
  <c r="T779" i="40" s="1"/>
  <c r="P769" i="40"/>
  <c r="P827" i="40" s="1"/>
  <c r="T819" i="40"/>
  <c r="V789" i="40"/>
  <c r="U819" i="40"/>
  <c r="T804" i="40"/>
  <c r="U804" i="40"/>
  <c r="T437" i="40"/>
  <c r="W424" i="40"/>
  <c r="X424" i="40"/>
  <c r="W447" i="40"/>
  <c r="X444" i="40"/>
  <c r="W444" i="40"/>
  <c r="T440" i="40"/>
  <c r="T451" i="40"/>
  <c r="X454" i="40"/>
  <c r="W451" i="40"/>
  <c r="T450" i="40"/>
  <c r="W450" i="40"/>
  <c r="T449" i="40"/>
  <c r="T447" i="40"/>
  <c r="W449" i="40"/>
  <c r="T448" i="40"/>
  <c r="W448" i="40"/>
  <c r="X435" i="40"/>
  <c r="T439" i="40"/>
  <c r="X440" i="40"/>
  <c r="W439" i="40"/>
  <c r="T435" i="40"/>
  <c r="T423" i="40"/>
  <c r="T431" i="40"/>
  <c r="X436" i="40"/>
  <c r="T445" i="40"/>
  <c r="T436" i="40"/>
  <c r="W445" i="40"/>
  <c r="T429" i="40"/>
  <c r="W431" i="40"/>
  <c r="T430" i="40"/>
  <c r="X437" i="40"/>
  <c r="W429" i="40"/>
  <c r="W430" i="40"/>
  <c r="T428" i="40"/>
  <c r="T426" i="40"/>
  <c r="V411" i="40"/>
  <c r="W428" i="40"/>
  <c r="W426" i="40"/>
  <c r="T438" i="40"/>
  <c r="W454" i="40"/>
  <c r="V422" i="40"/>
  <c r="V416" i="40"/>
  <c r="T414" i="40"/>
  <c r="X452" i="40"/>
  <c r="W425" i="40"/>
  <c r="W443" i="40"/>
  <c r="X425" i="40"/>
  <c r="W414" i="40"/>
  <c r="X438" i="40"/>
  <c r="T442" i="40"/>
  <c r="W421" i="40"/>
  <c r="X434" i="40"/>
  <c r="T421" i="40"/>
  <c r="W442" i="40"/>
  <c r="W415" i="40"/>
  <c r="T413" i="40"/>
  <c r="W413" i="40"/>
  <c r="W423" i="40"/>
  <c r="X443" i="40"/>
  <c r="V425" i="40"/>
  <c r="W417" i="40"/>
  <c r="X410" i="40"/>
  <c r="O437" i="40"/>
  <c r="W412" i="40"/>
  <c r="T418" i="40"/>
  <c r="W422" i="40"/>
  <c r="O446" i="40"/>
  <c r="T434" i="40"/>
  <c r="X412" i="40"/>
  <c r="V417" i="40"/>
  <c r="W418" i="40"/>
  <c r="W419" i="40"/>
  <c r="O445" i="40"/>
  <c r="O436" i="40"/>
  <c r="X419" i="40"/>
  <c r="V424" i="40"/>
  <c r="T427" i="40"/>
  <c r="DN466" i="40"/>
  <c r="T452" i="40"/>
  <c r="W427" i="40"/>
  <c r="DP466" i="40"/>
  <c r="V453" i="40"/>
  <c r="O441" i="40"/>
  <c r="O454" i="40"/>
  <c r="O410" i="40"/>
  <c r="O432" i="40"/>
  <c r="O420" i="40"/>
  <c r="X415" i="40"/>
  <c r="T417" i="40"/>
  <c r="T441" i="40"/>
  <c r="T453" i="40"/>
  <c r="W410" i="40"/>
  <c r="W441" i="40"/>
  <c r="W453" i="40"/>
  <c r="W420" i="40"/>
  <c r="T432" i="40"/>
  <c r="T420" i="40"/>
  <c r="W432" i="40"/>
  <c r="DO466" i="40"/>
  <c r="DI769" i="40" l="1"/>
  <c r="DI774" i="40" s="1"/>
  <c r="DK769" i="40"/>
  <c r="DK774" i="40" s="1"/>
  <c r="DL769" i="40"/>
  <c r="DL774" i="40" s="1"/>
  <c r="DN769" i="40"/>
  <c r="DN774" i="40" s="1"/>
  <c r="DP769" i="40"/>
  <c r="DP774" i="40" s="1"/>
  <c r="DO769" i="40"/>
  <c r="DO774" i="40" s="1"/>
  <c r="DJ769" i="40"/>
  <c r="DJ774" i="40" s="1"/>
  <c r="DM769" i="40"/>
  <c r="DM774" i="40" s="1"/>
  <c r="U827" i="40"/>
  <c r="U828" i="40" s="1"/>
  <c r="AD827" i="40"/>
  <c r="T789" i="40"/>
  <c r="T827" i="40" s="1"/>
  <c r="X789" i="40"/>
  <c r="X827" i="40" s="1"/>
  <c r="W789" i="40"/>
  <c r="W769" i="40"/>
  <c r="V769" i="40"/>
  <c r="V827" i="40" s="1"/>
  <c r="D28" i="21" s="1"/>
  <c r="F28" i="21" s="1"/>
  <c r="AC819" i="40"/>
  <c r="AC825" i="40" s="1"/>
  <c r="O769" i="40"/>
  <c r="O827" i="40" s="1"/>
  <c r="AE827" i="40"/>
  <c r="AE819" i="40"/>
  <c r="AE825" i="40" s="1"/>
  <c r="J30" i="45" l="1"/>
  <c r="K30" i="45" s="1"/>
  <c r="L30" i="45" s="1"/>
  <c r="O30" i="45" s="1"/>
  <c r="W827" i="40"/>
  <c r="T2235" i="40"/>
  <c r="Q2087" i="40"/>
  <c r="P2014" i="40"/>
  <c r="X2016" i="40"/>
  <c r="W2016" i="40"/>
  <c r="T2016" i="40"/>
  <c r="Q2016" i="40"/>
  <c r="O2016" i="40"/>
  <c r="M2016" i="40"/>
  <c r="X2013" i="40"/>
  <c r="W2013" i="40"/>
  <c r="U2013" i="40"/>
  <c r="T2013" i="40"/>
  <c r="Q2013" i="40"/>
  <c r="M2013" i="40"/>
  <c r="X2012" i="40"/>
  <c r="W2012" i="40"/>
  <c r="U2012" i="40"/>
  <c r="T2012" i="40"/>
  <c r="Q2012" i="40"/>
  <c r="M2012" i="40"/>
  <c r="X2011" i="40"/>
  <c r="W2011" i="40"/>
  <c r="U2011" i="40"/>
  <c r="T2011" i="40"/>
  <c r="Q2011" i="40"/>
  <c r="M2011" i="40"/>
  <c r="X2010" i="40"/>
  <c r="W2010" i="40"/>
  <c r="U2010" i="40"/>
  <c r="T2010" i="40"/>
  <c r="Q2010" i="40"/>
  <c r="O2010" i="40"/>
  <c r="M2010" i="40"/>
  <c r="K2048" i="40"/>
  <c r="P2048" i="40"/>
  <c r="U2047" i="40"/>
  <c r="T2047" i="40"/>
  <c r="Q2047" i="40"/>
  <c r="R2048" i="40"/>
  <c r="J2047" i="40"/>
  <c r="X2047" i="40" s="1"/>
  <c r="P1898" i="40"/>
  <c r="K1898" i="40"/>
  <c r="U1897" i="40"/>
  <c r="T1897" i="40"/>
  <c r="Q1897" i="40"/>
  <c r="R1898" i="40"/>
  <c r="J1897" i="40"/>
  <c r="J1898" i="40" s="1"/>
  <c r="I1899" i="40"/>
  <c r="M1899" i="40"/>
  <c r="O1899" i="40"/>
  <c r="Q1899" i="40"/>
  <c r="T1899" i="40"/>
  <c r="U1899" i="40"/>
  <c r="V1899" i="40"/>
  <c r="W1899" i="40"/>
  <c r="X1899" i="40"/>
  <c r="W1900" i="40"/>
  <c r="X1900" i="40"/>
  <c r="J1511" i="40"/>
  <c r="J1510" i="40"/>
  <c r="U1512" i="40"/>
  <c r="T1512" i="40"/>
  <c r="Q1512" i="40"/>
  <c r="U1511" i="40"/>
  <c r="T1511" i="40"/>
  <c r="Q1511" i="40"/>
  <c r="U1513" i="40"/>
  <c r="T1513" i="40"/>
  <c r="Q1513" i="40"/>
  <c r="V2010" i="40" l="1"/>
  <c r="T2048" i="40"/>
  <c r="Q2048" i="40"/>
  <c r="J2048" i="40"/>
  <c r="V2048" i="40" s="1"/>
  <c r="U2048" i="40"/>
  <c r="O2047" i="40"/>
  <c r="V2047" i="40"/>
  <c r="W2047" i="40"/>
  <c r="M2047" i="40"/>
  <c r="O1897" i="40"/>
  <c r="M1897" i="40"/>
  <c r="X1898" i="40"/>
  <c r="X1897" i="40"/>
  <c r="O1898" i="40"/>
  <c r="M1898" i="40"/>
  <c r="V1897" i="40"/>
  <c r="Q1898" i="40"/>
  <c r="W1897" i="40"/>
  <c r="T1898" i="40"/>
  <c r="U1898" i="40"/>
  <c r="V1898" i="40"/>
  <c r="W1898" i="40"/>
  <c r="M1511" i="40"/>
  <c r="X1511" i="40"/>
  <c r="W1511" i="40"/>
  <c r="V1512" i="40"/>
  <c r="O1512" i="40"/>
  <c r="X1513" i="40"/>
  <c r="V1513" i="40"/>
  <c r="W1513" i="40"/>
  <c r="O1513" i="40"/>
  <c r="M1513" i="40"/>
  <c r="W1512" i="40"/>
  <c r="X1512" i="40"/>
  <c r="M1512" i="40"/>
  <c r="O1511" i="40"/>
  <c r="V1511" i="40"/>
  <c r="C32" i="21"/>
  <c r="P1434" i="40"/>
  <c r="T1434" i="40" s="1"/>
  <c r="O1434" i="40"/>
  <c r="M1434" i="40"/>
  <c r="X1433" i="40"/>
  <c r="W1433" i="40"/>
  <c r="U1433" i="40"/>
  <c r="T1433" i="40"/>
  <c r="Q1433" i="40"/>
  <c r="V1433" i="40"/>
  <c r="M1433" i="40"/>
  <c r="J1394" i="40"/>
  <c r="X1395" i="40"/>
  <c r="W1395" i="40"/>
  <c r="V1395" i="40"/>
  <c r="U1395" i="40"/>
  <c r="T1395" i="40"/>
  <c r="S1395" i="40"/>
  <c r="R1395" i="40"/>
  <c r="Q1395" i="40"/>
  <c r="P1395" i="40"/>
  <c r="O1395" i="40"/>
  <c r="N1395" i="40"/>
  <c r="M1395" i="40"/>
  <c r="L1395" i="40"/>
  <c r="K1395" i="40"/>
  <c r="J1395" i="40"/>
  <c r="I1395" i="40"/>
  <c r="H1395" i="40"/>
  <c r="G1395" i="40"/>
  <c r="F1395" i="40"/>
  <c r="P1394" i="40"/>
  <c r="L1394" i="40"/>
  <c r="F1394" i="40"/>
  <c r="M1429" i="40"/>
  <c r="P1352" i="40"/>
  <c r="N1352" i="40"/>
  <c r="L1352" i="40"/>
  <c r="F1352" i="40"/>
  <c r="U1351" i="40"/>
  <c r="U1352" i="40" s="1"/>
  <c r="T1351" i="40"/>
  <c r="O1351" i="40"/>
  <c r="I1351" i="40"/>
  <c r="V1350" i="40"/>
  <c r="T1349" i="40"/>
  <c r="V1349" i="40" s="1"/>
  <c r="O1348" i="40"/>
  <c r="V1348" i="40" s="1"/>
  <c r="X1347" i="40"/>
  <c r="W1347" i="40"/>
  <c r="O1347" i="40"/>
  <c r="I1347" i="40"/>
  <c r="X1346" i="40"/>
  <c r="W1346" i="40"/>
  <c r="O1346" i="40"/>
  <c r="I1346" i="40"/>
  <c r="X1345" i="40"/>
  <c r="W1345" i="40"/>
  <c r="O1345" i="40"/>
  <c r="I1345" i="40"/>
  <c r="X1344" i="40"/>
  <c r="W1344" i="40"/>
  <c r="O1344" i="40"/>
  <c r="I1344" i="40"/>
  <c r="X1343" i="40"/>
  <c r="W1343" i="40"/>
  <c r="V1343" i="40"/>
  <c r="X1342" i="40"/>
  <c r="W1342" i="40"/>
  <c r="T1342" i="40"/>
  <c r="V1342" i="40" s="1"/>
  <c r="X1341" i="40"/>
  <c r="W1341" i="40"/>
  <c r="T1341" i="40"/>
  <c r="V1341" i="40" s="1"/>
  <c r="X1340" i="40"/>
  <c r="W1340" i="40"/>
  <c r="T1340" i="40"/>
  <c r="V1340" i="40" s="1"/>
  <c r="X1339" i="40"/>
  <c r="W1339" i="40"/>
  <c r="T1339" i="40"/>
  <c r="V1339" i="40" s="1"/>
  <c r="X1338" i="40"/>
  <c r="W1338" i="40"/>
  <c r="T1338" i="40"/>
  <c r="V1338" i="40" s="1"/>
  <c r="X1337" i="40"/>
  <c r="W1337" i="40"/>
  <c r="T1337" i="40"/>
  <c r="V1337" i="40" s="1"/>
  <c r="X1336" i="40"/>
  <c r="W1336" i="40"/>
  <c r="T1336" i="40"/>
  <c r="V1336" i="40" s="1"/>
  <c r="X1335" i="40"/>
  <c r="W1335" i="40"/>
  <c r="T1335" i="40"/>
  <c r="V1335" i="40" s="1"/>
  <c r="X1334" i="40"/>
  <c r="W1334" i="40"/>
  <c r="T1334" i="40"/>
  <c r="V1334" i="40" s="1"/>
  <c r="X1333" i="40"/>
  <c r="W1333" i="40"/>
  <c r="T1333" i="40"/>
  <c r="V1333" i="40" s="1"/>
  <c r="X1332" i="40"/>
  <c r="W1332" i="40"/>
  <c r="T1332" i="40"/>
  <c r="V1332" i="40" s="1"/>
  <c r="X1331" i="40"/>
  <c r="W1331" i="40"/>
  <c r="T1331" i="40"/>
  <c r="V1331" i="40" s="1"/>
  <c r="X1330" i="40"/>
  <c r="W1330" i="40"/>
  <c r="T1330" i="40"/>
  <c r="V1330" i="40" s="1"/>
  <c r="X1329" i="40"/>
  <c r="W1329" i="40"/>
  <c r="T1329" i="40"/>
  <c r="V1329" i="40" s="1"/>
  <c r="X1328" i="40"/>
  <c r="W1328" i="40"/>
  <c r="T1328" i="40"/>
  <c r="V1328" i="40" s="1"/>
  <c r="X1327" i="40"/>
  <c r="W1327" i="40"/>
  <c r="T1327" i="40"/>
  <c r="V1327" i="40" s="1"/>
  <c r="V1326" i="40"/>
  <c r="I1325" i="40"/>
  <c r="O1324" i="40"/>
  <c r="I1324" i="40"/>
  <c r="T1323" i="40"/>
  <c r="O1323" i="40"/>
  <c r="X1322" i="40"/>
  <c r="W1322" i="40"/>
  <c r="V1322" i="40"/>
  <c r="U1322" i="40"/>
  <c r="T1322" i="40"/>
  <c r="S1322" i="40"/>
  <c r="R1322" i="40"/>
  <c r="Q1322" i="40"/>
  <c r="P1322" i="40"/>
  <c r="O1322" i="40"/>
  <c r="N1322" i="40"/>
  <c r="M1322" i="40"/>
  <c r="L1322" i="40"/>
  <c r="K1322" i="40"/>
  <c r="J1322" i="40"/>
  <c r="P1321" i="40"/>
  <c r="L1321" i="40"/>
  <c r="J1321" i="40"/>
  <c r="X1308" i="40"/>
  <c r="W1308" i="40"/>
  <c r="V1308" i="40"/>
  <c r="X1277" i="40"/>
  <c r="W1277" i="40"/>
  <c r="V1277" i="40"/>
  <c r="P1046" i="40"/>
  <c r="L1046" i="40"/>
  <c r="E32" i="21" l="1"/>
  <c r="W2048" i="40"/>
  <c r="O2048" i="40"/>
  <c r="M2048" i="40"/>
  <c r="X2048" i="40"/>
  <c r="V1344" i="40"/>
  <c r="Q1434" i="40"/>
  <c r="R1434" i="40"/>
  <c r="X1434" i="40" s="1"/>
  <c r="U1434" i="40"/>
  <c r="O1433" i="40"/>
  <c r="V1351" i="40"/>
  <c r="V1345" i="40"/>
  <c r="O1352" i="40"/>
  <c r="W1352" i="40"/>
  <c r="V1347" i="40"/>
  <c r="I1352" i="40"/>
  <c r="X1352" i="40"/>
  <c r="V1346" i="40"/>
  <c r="T1352" i="40"/>
  <c r="V1323" i="40"/>
  <c r="V1324" i="40"/>
  <c r="W1434" i="40" l="1"/>
  <c r="V1434" i="40"/>
  <c r="V1352" i="40"/>
  <c r="V1354" i="40" s="1"/>
  <c r="F1459" i="40" l="1"/>
  <c r="X1458" i="40"/>
  <c r="W1458" i="40"/>
  <c r="T1458" i="40"/>
  <c r="O1458" i="40"/>
  <c r="I1458" i="40"/>
  <c r="U1453" i="40"/>
  <c r="T1453" i="40"/>
  <c r="O1453" i="40"/>
  <c r="I1453" i="40"/>
  <c r="U1452" i="40"/>
  <c r="T1452" i="40"/>
  <c r="O1452" i="40"/>
  <c r="I1452" i="40"/>
  <c r="U1451" i="40"/>
  <c r="T1451" i="40"/>
  <c r="O1451" i="40"/>
  <c r="I1451" i="40"/>
  <c r="U1450" i="40"/>
  <c r="I1450" i="40"/>
  <c r="U1449" i="40"/>
  <c r="I1449" i="40"/>
  <c r="U1448" i="40"/>
  <c r="I1448" i="40"/>
  <c r="U1447" i="40"/>
  <c r="I1447" i="40"/>
  <c r="U1446" i="40"/>
  <c r="I1446" i="40"/>
  <c r="U1445" i="40"/>
  <c r="T1445" i="40"/>
  <c r="O1445" i="40"/>
  <c r="X1444" i="40"/>
  <c r="W1444" i="40"/>
  <c r="X1443" i="40"/>
  <c r="W1443" i="40"/>
  <c r="V1443" i="40"/>
  <c r="U1443" i="40"/>
  <c r="T1443" i="40"/>
  <c r="O1443" i="40"/>
  <c r="P1442" i="40"/>
  <c r="O1442" i="40"/>
  <c r="U1441" i="40"/>
  <c r="T1441" i="40"/>
  <c r="O1441" i="40"/>
  <c r="X1440" i="40"/>
  <c r="W1440" i="40"/>
  <c r="V1440" i="40"/>
  <c r="U1440" i="40"/>
  <c r="T1440" i="40"/>
  <c r="O1440" i="40"/>
  <c r="X1439" i="40"/>
  <c r="W1439" i="40"/>
  <c r="V1439" i="40"/>
  <c r="U1439" i="40"/>
  <c r="T1439" i="40"/>
  <c r="Q1439" i="40"/>
  <c r="O1439" i="40"/>
  <c r="M1439" i="40"/>
  <c r="R1438" i="40"/>
  <c r="P1438" i="40"/>
  <c r="T1438" i="40" s="1"/>
  <c r="J1438" i="40"/>
  <c r="G1438" i="40" s="1"/>
  <c r="X1437" i="40"/>
  <c r="W1437" i="40"/>
  <c r="V1437" i="40"/>
  <c r="U1437" i="40"/>
  <c r="T1437" i="40"/>
  <c r="Q1437" i="40"/>
  <c r="O1437" i="40"/>
  <c r="M1437" i="40"/>
  <c r="I1437" i="40"/>
  <c r="G1437" i="40"/>
  <c r="X1436" i="40"/>
  <c r="W1436" i="40"/>
  <c r="V1436" i="40"/>
  <c r="U1436" i="40"/>
  <c r="T1436" i="40"/>
  <c r="Q1436" i="40"/>
  <c r="O1436" i="40"/>
  <c r="M1436" i="40"/>
  <c r="X1435" i="40"/>
  <c r="W1435" i="40"/>
  <c r="V1435" i="40"/>
  <c r="U1435" i="40"/>
  <c r="T1435" i="40"/>
  <c r="Q1435" i="40"/>
  <c r="O1435" i="40"/>
  <c r="M1435" i="40"/>
  <c r="X1431" i="40"/>
  <c r="W1431" i="40"/>
  <c r="V1431" i="40"/>
  <c r="U1431" i="40"/>
  <c r="T1431" i="40"/>
  <c r="Q1431" i="40"/>
  <c r="O1431" i="40"/>
  <c r="M1431" i="40"/>
  <c r="V1429" i="40"/>
  <c r="U1429" i="40"/>
  <c r="T1429" i="40"/>
  <c r="Q1429" i="40"/>
  <c r="O1429" i="40"/>
  <c r="X1428" i="40"/>
  <c r="W1428" i="40"/>
  <c r="V1428" i="40"/>
  <c r="T1428" i="40"/>
  <c r="Q1428" i="40"/>
  <c r="O1428" i="40"/>
  <c r="M1428" i="40"/>
  <c r="X1411" i="40"/>
  <c r="W1411" i="40"/>
  <c r="V1411" i="40"/>
  <c r="U1411" i="40"/>
  <c r="T1411" i="40"/>
  <c r="Q1411" i="40"/>
  <c r="O1411" i="40"/>
  <c r="M1411" i="40"/>
  <c r="I1411" i="40"/>
  <c r="G1411" i="40"/>
  <c r="V1445" i="40" l="1"/>
  <c r="W1441" i="40"/>
  <c r="W1429" i="40"/>
  <c r="I1438" i="40"/>
  <c r="I1459" i="40" s="1"/>
  <c r="U1438" i="40"/>
  <c r="V1441" i="40"/>
  <c r="R1442" i="40"/>
  <c r="V1442" i="40" s="1"/>
  <c r="L1459" i="40"/>
  <c r="X1429" i="40"/>
  <c r="V1438" i="40"/>
  <c r="M1438" i="40"/>
  <c r="W1438" i="40"/>
  <c r="X1441" i="40"/>
  <c r="T1442" i="40"/>
  <c r="P1459" i="40"/>
  <c r="O1438" i="40"/>
  <c r="X1438" i="40"/>
  <c r="U1442" i="40"/>
  <c r="Q1438" i="40"/>
  <c r="D103" i="45"/>
  <c r="D104" i="45"/>
  <c r="D105" i="45"/>
  <c r="D110" i="45"/>
  <c r="O1459" i="40" l="1"/>
  <c r="U1459" i="40"/>
  <c r="W1442" i="40"/>
  <c r="X1442" i="40"/>
  <c r="T1459" i="40"/>
  <c r="DH761" i="40" l="1"/>
  <c r="X1459" i="40"/>
  <c r="W1459" i="40"/>
  <c r="V1459" i="40"/>
  <c r="D32" i="21" s="1"/>
  <c r="F32" i="21" s="1"/>
  <c r="V394" i="40"/>
  <c r="U394" i="40"/>
  <c r="V393" i="40"/>
  <c r="U393" i="40"/>
  <c r="V392" i="40"/>
  <c r="U392" i="40"/>
  <c r="V391" i="40"/>
  <c r="U391" i="40"/>
  <c r="V390" i="40"/>
  <c r="U390" i="40"/>
  <c r="Q396" i="40"/>
  <c r="DE396" i="40" s="1"/>
  <c r="V402" i="40"/>
  <c r="U402" i="40"/>
  <c r="X402" i="40"/>
  <c r="Q402" i="40"/>
  <c r="O402" i="40"/>
  <c r="V401" i="40"/>
  <c r="U401" i="40"/>
  <c r="X401" i="40"/>
  <c r="Q401" i="40"/>
  <c r="O401" i="40"/>
  <c r="V400" i="40"/>
  <c r="U400" i="40"/>
  <c r="X400" i="40"/>
  <c r="Q400" i="40"/>
  <c r="O400" i="40"/>
  <c r="V399" i="40"/>
  <c r="U399" i="40"/>
  <c r="X399" i="40"/>
  <c r="Q399" i="40"/>
  <c r="CP399" i="40" s="1"/>
  <c r="O399" i="40"/>
  <c r="V398" i="40"/>
  <c r="U398" i="40"/>
  <c r="X398" i="40"/>
  <c r="Q398" i="40"/>
  <c r="DG398" i="40" s="1"/>
  <c r="O398" i="40"/>
  <c r="V397" i="40"/>
  <c r="U397" i="40"/>
  <c r="X397" i="40"/>
  <c r="Q397" i="40"/>
  <c r="DF397" i="40" s="1"/>
  <c r="O397" i="40"/>
  <c r="V376" i="40"/>
  <c r="U376" i="40"/>
  <c r="X376" i="40"/>
  <c r="Q376" i="40"/>
  <c r="CK376" i="40" s="1"/>
  <c r="O376" i="40"/>
  <c r="V375" i="40"/>
  <c r="U375" i="40"/>
  <c r="X375" i="40"/>
  <c r="Q375" i="40"/>
  <c r="CB375" i="40" s="1"/>
  <c r="O375" i="40"/>
  <c r="V378" i="40"/>
  <c r="U378" i="40"/>
  <c r="X378" i="40"/>
  <c r="Q378" i="40"/>
  <c r="DE378" i="40" s="1"/>
  <c r="O378" i="40"/>
  <c r="V377" i="40"/>
  <c r="U377" i="40"/>
  <c r="X377" i="40"/>
  <c r="Q377" i="40"/>
  <c r="DD377" i="40" s="1"/>
  <c r="O377" i="40"/>
  <c r="V374" i="40"/>
  <c r="U374" i="40"/>
  <c r="X374" i="40"/>
  <c r="Q374" i="40"/>
  <c r="BS374" i="40" s="1"/>
  <c r="O374" i="40"/>
  <c r="O394" i="40"/>
  <c r="O393" i="40"/>
  <c r="O392" i="40"/>
  <c r="O391" i="40"/>
  <c r="M394" i="40"/>
  <c r="DD394" i="40" s="1"/>
  <c r="M393" i="40"/>
  <c r="CX393" i="40" s="1"/>
  <c r="M392" i="40"/>
  <c r="CT392" i="40" s="1"/>
  <c r="M391" i="40"/>
  <c r="CS391" i="40" s="1"/>
  <c r="V404" i="40"/>
  <c r="U404" i="40"/>
  <c r="W404" i="40"/>
  <c r="Q404" i="40"/>
  <c r="CX404" i="40" s="1"/>
  <c r="O404" i="40"/>
  <c r="X395" i="40"/>
  <c r="W395" i="40"/>
  <c r="V395" i="40"/>
  <c r="U395" i="40"/>
  <c r="T395" i="40"/>
  <c r="O395" i="40"/>
  <c r="X388" i="40"/>
  <c r="W388" i="40"/>
  <c r="V388" i="40"/>
  <c r="U388" i="40"/>
  <c r="T388" i="40"/>
  <c r="O388" i="40"/>
  <c r="X390" i="40"/>
  <c r="W390" i="40"/>
  <c r="T390" i="40"/>
  <c r="M390" i="40"/>
  <c r="CR390" i="40" s="1"/>
  <c r="X389" i="40"/>
  <c r="W389" i="40"/>
  <c r="U389" i="40"/>
  <c r="T389" i="40"/>
  <c r="V389" i="40"/>
  <c r="M389" i="40"/>
  <c r="CP389" i="40" s="1"/>
  <c r="V387" i="40"/>
  <c r="M387" i="40"/>
  <c r="DG387" i="40" s="1"/>
  <c r="O385" i="40"/>
  <c r="M385" i="40"/>
  <c r="DF385" i="40" s="1"/>
  <c r="V370" i="40"/>
  <c r="M370" i="40"/>
  <c r="DE370" i="40" s="1"/>
  <c r="V369" i="40"/>
  <c r="M369" i="40"/>
  <c r="DE369" i="40" s="1"/>
  <c r="O368" i="40"/>
  <c r="M368" i="40"/>
  <c r="DE368" i="40" s="1"/>
  <c r="V367" i="40"/>
  <c r="M367" i="40"/>
  <c r="DE367" i="40" s="1"/>
  <c r="V366" i="40"/>
  <c r="M366" i="40"/>
  <c r="DE366" i="40" s="1"/>
  <c r="V365" i="40"/>
  <c r="M365" i="40"/>
  <c r="DE365" i="40" s="1"/>
  <c r="T396" i="40"/>
  <c r="W387" i="40"/>
  <c r="W386" i="40"/>
  <c r="Q386" i="40"/>
  <c r="DE386" i="40" s="1"/>
  <c r="T385" i="40"/>
  <c r="T384" i="40"/>
  <c r="Q384" i="40"/>
  <c r="DE384" i="40" s="1"/>
  <c r="W383" i="40"/>
  <c r="Q383" i="40"/>
  <c r="DE383" i="40" s="1"/>
  <c r="X382" i="40"/>
  <c r="Q382" i="40"/>
  <c r="DE382" i="40" s="1"/>
  <c r="X381" i="40"/>
  <c r="Q381" i="40"/>
  <c r="DE381" i="40" s="1"/>
  <c r="X380" i="40"/>
  <c r="Q380" i="40"/>
  <c r="DE380" i="40" s="1"/>
  <c r="W379" i="40"/>
  <c r="Q379" i="40"/>
  <c r="DE379" i="40" s="1"/>
  <c r="W373" i="40"/>
  <c r="Q373" i="40"/>
  <c r="BO373" i="40" s="1"/>
  <c r="T372" i="40"/>
  <c r="Q372" i="40"/>
  <c r="BO372" i="40" s="1"/>
  <c r="X371" i="40"/>
  <c r="Q371" i="40"/>
  <c r="BO371" i="40" s="1"/>
  <c r="X364" i="40"/>
  <c r="Q364" i="40"/>
  <c r="BO364" i="40" s="1"/>
  <c r="X363" i="40"/>
  <c r="Q363" i="40"/>
  <c r="BO363" i="40" s="1"/>
  <c r="W362" i="40"/>
  <c r="Q362" i="40"/>
  <c r="BO362" i="40" s="1"/>
  <c r="O361" i="40"/>
  <c r="M361" i="40"/>
  <c r="DD361" i="40" s="1"/>
  <c r="O362" i="40"/>
  <c r="V381" i="40"/>
  <c r="U381" i="40"/>
  <c r="O381" i="40"/>
  <c r="V380" i="40"/>
  <c r="U380" i="40"/>
  <c r="O380" i="40"/>
  <c r="V379" i="40"/>
  <c r="U379" i="40"/>
  <c r="O379" i="40"/>
  <c r="V373" i="40"/>
  <c r="U373" i="40"/>
  <c r="O373" i="40"/>
  <c r="V372" i="40"/>
  <c r="U372" i="40"/>
  <c r="O372" i="40"/>
  <c r="V371" i="40"/>
  <c r="U371" i="40"/>
  <c r="O371" i="40"/>
  <c r="X370" i="40"/>
  <c r="W370" i="40"/>
  <c r="U370" i="40"/>
  <c r="T370" i="40"/>
  <c r="X369" i="40"/>
  <c r="W369" i="40"/>
  <c r="U369" i="40"/>
  <c r="T369" i="40"/>
  <c r="X368" i="40"/>
  <c r="W368" i="40"/>
  <c r="U368" i="40"/>
  <c r="T368" i="40"/>
  <c r="X367" i="40"/>
  <c r="W367" i="40"/>
  <c r="U367" i="40"/>
  <c r="T367" i="40"/>
  <c r="X366" i="40"/>
  <c r="W366" i="40"/>
  <c r="U366" i="40"/>
  <c r="T366" i="40"/>
  <c r="X365" i="40"/>
  <c r="W365" i="40"/>
  <c r="U365" i="40"/>
  <c r="T365" i="40"/>
  <c r="V364" i="40"/>
  <c r="U364" i="40"/>
  <c r="O364" i="40"/>
  <c r="V363" i="40"/>
  <c r="U363" i="40"/>
  <c r="O363" i="40"/>
  <c r="X361" i="40"/>
  <c r="W361" i="40"/>
  <c r="U361" i="40"/>
  <c r="T361" i="40"/>
  <c r="U362" i="40"/>
  <c r="V396" i="40"/>
  <c r="U396" i="40"/>
  <c r="O396" i="40"/>
  <c r="X387" i="40"/>
  <c r="U387" i="40"/>
  <c r="T387" i="40"/>
  <c r="V386" i="40"/>
  <c r="U386" i="40"/>
  <c r="O386" i="40"/>
  <c r="X385" i="40"/>
  <c r="W385" i="40"/>
  <c r="U385" i="40"/>
  <c r="V384" i="40"/>
  <c r="U384" i="40"/>
  <c r="O384" i="40"/>
  <c r="V383" i="40"/>
  <c r="U383" i="40"/>
  <c r="O383" i="40"/>
  <c r="V382" i="40"/>
  <c r="U382" i="40"/>
  <c r="O382" i="40"/>
  <c r="X403" i="40"/>
  <c r="W403" i="40"/>
  <c r="V403" i="40"/>
  <c r="U403" i="40"/>
  <c r="T403" i="40"/>
  <c r="O403" i="40"/>
  <c r="X747" i="40"/>
  <c r="W747" i="40"/>
  <c r="V747" i="40"/>
  <c r="U747" i="40"/>
  <c r="T747" i="40"/>
  <c r="Q747" i="40"/>
  <c r="DD747" i="40" s="1"/>
  <c r="O747" i="40"/>
  <c r="M747" i="40"/>
  <c r="X746" i="40"/>
  <c r="W746" i="40"/>
  <c r="V746" i="40"/>
  <c r="U746" i="40"/>
  <c r="T746" i="40"/>
  <c r="Q746" i="40"/>
  <c r="CX746" i="40" s="1"/>
  <c r="O746" i="40"/>
  <c r="M746" i="40"/>
  <c r="X745" i="40"/>
  <c r="W745" i="40"/>
  <c r="V745" i="40"/>
  <c r="U745" i="40"/>
  <c r="T745" i="40"/>
  <c r="Q745" i="40"/>
  <c r="CT745" i="40" s="1"/>
  <c r="O745" i="40"/>
  <c r="M745" i="40"/>
  <c r="X744" i="40"/>
  <c r="W744" i="40"/>
  <c r="V744" i="40"/>
  <c r="U744" i="40"/>
  <c r="T744" i="40"/>
  <c r="Q744" i="40"/>
  <c r="CS744" i="40" s="1"/>
  <c r="O744" i="40"/>
  <c r="M744" i="40"/>
  <c r="X743" i="40"/>
  <c r="W743" i="40"/>
  <c r="V743" i="40"/>
  <c r="U743" i="40"/>
  <c r="T743" i="40"/>
  <c r="Q743" i="40"/>
  <c r="CR743" i="40" s="1"/>
  <c r="O743" i="40"/>
  <c r="M743" i="40"/>
  <c r="M737" i="40"/>
  <c r="DD737" i="40" s="1"/>
  <c r="Q742" i="40"/>
  <c r="CP742" i="40" s="1"/>
  <c r="Q740" i="40"/>
  <c r="CP740" i="40" s="1"/>
  <c r="M739" i="40"/>
  <c r="DD739" i="40" s="1"/>
  <c r="DH769" i="40" l="1"/>
  <c r="DH774" i="40" s="1"/>
  <c r="DD761" i="40"/>
  <c r="DE761" i="40"/>
  <c r="DG761" i="40"/>
  <c r="DF761" i="40"/>
  <c r="W398" i="40"/>
  <c r="T399" i="40"/>
  <c r="T400" i="40"/>
  <c r="T401" i="40"/>
  <c r="T402" i="40"/>
  <c r="W399" i="40"/>
  <c r="W400" i="40"/>
  <c r="W401" i="40"/>
  <c r="W402" i="40"/>
  <c r="T398" i="40"/>
  <c r="T397" i="40"/>
  <c r="W397" i="40"/>
  <c r="T375" i="40"/>
  <c r="T376" i="40"/>
  <c r="W375" i="40"/>
  <c r="W376" i="40"/>
  <c r="T377" i="40"/>
  <c r="T378" i="40"/>
  <c r="W377" i="40"/>
  <c r="W378" i="40"/>
  <c r="T374" i="40"/>
  <c r="V368" i="40"/>
  <c r="W374" i="40"/>
  <c r="X384" i="40"/>
  <c r="T404" i="40"/>
  <c r="X404" i="40"/>
  <c r="W380" i="40"/>
  <c r="W384" i="40"/>
  <c r="W371" i="40"/>
  <c r="W372" i="40"/>
  <c r="T371" i="40"/>
  <c r="X372" i="40"/>
  <c r="T380" i="40"/>
  <c r="W381" i="40"/>
  <c r="O389" i="40"/>
  <c r="T381" i="40"/>
  <c r="O390" i="40"/>
  <c r="X386" i="40"/>
  <c r="W396" i="40"/>
  <c r="O367" i="40"/>
  <c r="X396" i="40"/>
  <c r="O366" i="40"/>
  <c r="T383" i="40"/>
  <c r="X383" i="40"/>
  <c r="O387" i="40"/>
  <c r="V385" i="40"/>
  <c r="O369" i="40"/>
  <c r="O365" i="40"/>
  <c r="O370" i="40"/>
  <c r="T382" i="40"/>
  <c r="X373" i="40"/>
  <c r="T386" i="40"/>
  <c r="X379" i="40"/>
  <c r="T379" i="40"/>
  <c r="W382" i="40"/>
  <c r="T373" i="40"/>
  <c r="T363" i="40"/>
  <c r="T364" i="40"/>
  <c r="W364" i="40"/>
  <c r="W363" i="40"/>
  <c r="T362" i="40"/>
  <c r="X362" i="40"/>
  <c r="V361" i="40"/>
  <c r="V362" i="40"/>
  <c r="DG769" i="40" l="1"/>
  <c r="DG774" i="40" s="1"/>
  <c r="DF769" i="40"/>
  <c r="DF774" i="40" s="1"/>
  <c r="DE769" i="40"/>
  <c r="DE774" i="40" s="1"/>
  <c r="DD769" i="40"/>
  <c r="DD774" i="40" s="1"/>
  <c r="X2087" i="40"/>
  <c r="W2087" i="40"/>
  <c r="U2087" i="40"/>
  <c r="T2087" i="40"/>
  <c r="V2087" i="40"/>
  <c r="M2087" i="40"/>
  <c r="M2093" i="40"/>
  <c r="O2093" i="40"/>
  <c r="Q2093" i="40"/>
  <c r="T2093" i="40"/>
  <c r="U2093" i="40"/>
  <c r="V2093" i="40"/>
  <c r="W2093" i="40"/>
  <c r="X2093" i="40"/>
  <c r="M2094" i="40"/>
  <c r="O2094" i="40"/>
  <c r="Q2094" i="40"/>
  <c r="T2094" i="40"/>
  <c r="W2094" i="40"/>
  <c r="X2094" i="40"/>
  <c r="U1807" i="40"/>
  <c r="U1808" i="40"/>
  <c r="U1809" i="40"/>
  <c r="X1809" i="40"/>
  <c r="W1809" i="40"/>
  <c r="T1809" i="40"/>
  <c r="Q1809" i="40"/>
  <c r="V1809" i="40"/>
  <c r="M1809" i="40"/>
  <c r="X1808" i="40"/>
  <c r="W1808" i="40"/>
  <c r="T1808" i="40"/>
  <c r="Q1808" i="40"/>
  <c r="V1808" i="40"/>
  <c r="M1808" i="40"/>
  <c r="X1811" i="40"/>
  <c r="W1811" i="40"/>
  <c r="U1811" i="40"/>
  <c r="T1811" i="40"/>
  <c r="Q1811" i="40"/>
  <c r="V1811" i="40"/>
  <c r="M1811" i="40"/>
  <c r="X1563" i="40"/>
  <c r="W1563" i="40"/>
  <c r="U1563" i="40"/>
  <c r="T1563" i="40"/>
  <c r="Q1563" i="40"/>
  <c r="V1563" i="40"/>
  <c r="M1563" i="40"/>
  <c r="X1568" i="40"/>
  <c r="W1568" i="40"/>
  <c r="U1568" i="40"/>
  <c r="T1568" i="40"/>
  <c r="Q1568" i="40"/>
  <c r="V1568" i="40"/>
  <c r="M1568" i="40"/>
  <c r="O2087" i="40" l="1"/>
  <c r="O1808" i="40"/>
  <c r="O1809" i="40"/>
  <c r="O1811" i="40"/>
  <c r="O1568" i="40"/>
  <c r="O1563" i="40"/>
  <c r="F70" i="45" l="1"/>
  <c r="D92" i="45" l="1"/>
  <c r="D90" i="45"/>
  <c r="C132" i="45" l="1"/>
  <c r="B132" i="45"/>
  <c r="D124" i="45"/>
  <c r="E27" i="7" l="1"/>
  <c r="C27" i="7"/>
  <c r="D27" i="7" l="1"/>
  <c r="V355" i="40"/>
  <c r="M355" i="40"/>
  <c r="CX355" i="40" s="1"/>
  <c r="U355" i="40"/>
  <c r="X355" i="40"/>
  <c r="Q355" i="40"/>
  <c r="V353" i="40"/>
  <c r="U353" i="40"/>
  <c r="X353" i="40"/>
  <c r="Q353" i="40"/>
  <c r="BO353" i="40" s="1"/>
  <c r="O353" i="40"/>
  <c r="Q348" i="40"/>
  <c r="BC348" i="40" s="1"/>
  <c r="Q346" i="40"/>
  <c r="AL346" i="40" s="1"/>
  <c r="U731" i="40"/>
  <c r="V351" i="40"/>
  <c r="U351" i="40"/>
  <c r="X351" i="40"/>
  <c r="Q351" i="40"/>
  <c r="BK351" i="40" s="1"/>
  <c r="O351" i="40"/>
  <c r="V350" i="40"/>
  <c r="U350" i="40"/>
  <c r="X350" i="40"/>
  <c r="Q350" i="40"/>
  <c r="BI350" i="40" s="1"/>
  <c r="O350" i="40"/>
  <c r="V349" i="40"/>
  <c r="U349" i="40"/>
  <c r="X349" i="40"/>
  <c r="Q349" i="40"/>
  <c r="BD349" i="40" s="1"/>
  <c r="O349" i="40"/>
  <c r="V348" i="40"/>
  <c r="U348" i="40"/>
  <c r="X348" i="40"/>
  <c r="O348" i="40"/>
  <c r="V347" i="40"/>
  <c r="U347" i="40"/>
  <c r="X347" i="40"/>
  <c r="Q347" i="40"/>
  <c r="AY347" i="40" s="1"/>
  <c r="O347" i="40"/>
  <c r="V346" i="40"/>
  <c r="U346" i="40"/>
  <c r="X346" i="40"/>
  <c r="O346" i="40"/>
  <c r="V345" i="40"/>
  <c r="U345" i="40"/>
  <c r="X345" i="40"/>
  <c r="Q345" i="40"/>
  <c r="DB345" i="40" s="1"/>
  <c r="O345" i="40"/>
  <c r="V344" i="40"/>
  <c r="U344" i="40"/>
  <c r="X344" i="40"/>
  <c r="Q344" i="40"/>
  <c r="DA344" i="40" s="1"/>
  <c r="O344" i="40"/>
  <c r="V335" i="40"/>
  <c r="U335" i="40"/>
  <c r="X335" i="40"/>
  <c r="Q335" i="40"/>
  <c r="CY335" i="40" s="1"/>
  <c r="O335" i="40"/>
  <c r="W354" i="40"/>
  <c r="T352" i="40"/>
  <c r="T343" i="40"/>
  <c r="W341" i="40"/>
  <c r="Q343" i="40"/>
  <c r="CY343" i="40" s="1"/>
  <c r="Q332" i="40"/>
  <c r="CX332" i="40" s="1"/>
  <c r="Q336" i="40"/>
  <c r="CY336" i="40" s="1"/>
  <c r="Q334" i="40"/>
  <c r="CX334" i="40" s="1"/>
  <c r="V342" i="40"/>
  <c r="O340" i="40"/>
  <c r="M333" i="40"/>
  <c r="CY333" i="40" s="1"/>
  <c r="V354" i="40"/>
  <c r="U354" i="40"/>
  <c r="Q354" i="40"/>
  <c r="BO354" i="40" s="1"/>
  <c r="O354" i="40"/>
  <c r="V352" i="40"/>
  <c r="U352" i="40"/>
  <c r="Q352" i="40"/>
  <c r="BK352" i="40" s="1"/>
  <c r="O352" i="40"/>
  <c r="V343" i="40"/>
  <c r="U343" i="40"/>
  <c r="O343" i="40"/>
  <c r="X342" i="40"/>
  <c r="W342" i="40"/>
  <c r="U342" i="40"/>
  <c r="T342" i="40"/>
  <c r="M342" i="40"/>
  <c r="DB342" i="40" s="1"/>
  <c r="V341" i="40"/>
  <c r="U341" i="40"/>
  <c r="Q341" i="40"/>
  <c r="CY341" i="40" s="1"/>
  <c r="O341" i="40"/>
  <c r="X340" i="40"/>
  <c r="W340" i="40"/>
  <c r="U340" i="40"/>
  <c r="T340" i="40"/>
  <c r="M340" i="40"/>
  <c r="DA340" i="40" s="1"/>
  <c r="Q732" i="40"/>
  <c r="CP732" i="40" s="1"/>
  <c r="M729" i="40"/>
  <c r="CX729" i="40" s="1"/>
  <c r="X2234" i="40"/>
  <c r="W2234" i="40"/>
  <c r="U2234" i="40"/>
  <c r="T2234" i="40"/>
  <c r="Q2234" i="40"/>
  <c r="M2234" i="40"/>
  <c r="X2115" i="40"/>
  <c r="W2115" i="40"/>
  <c r="T2115" i="40"/>
  <c r="Q2115" i="40"/>
  <c r="O2115" i="40"/>
  <c r="M2115" i="40"/>
  <c r="V1499" i="40"/>
  <c r="U1499" i="40"/>
  <c r="X1499" i="40"/>
  <c r="Q1499" i="40"/>
  <c r="O1499" i="40"/>
  <c r="P1081" i="40"/>
  <c r="Q1081" i="40" s="1"/>
  <c r="Q1080" i="40"/>
  <c r="Q1079" i="40"/>
  <c r="Q1078" i="40"/>
  <c r="O1069" i="40"/>
  <c r="R1081" i="40"/>
  <c r="X1069" i="40"/>
  <c r="W1069" i="40"/>
  <c r="U1069" i="40"/>
  <c r="T1069" i="40"/>
  <c r="P1036" i="40"/>
  <c r="U1036" i="40" s="1"/>
  <c r="P1035" i="40"/>
  <c r="Q1035" i="40" s="1"/>
  <c r="Q1034" i="40"/>
  <c r="Q1033" i="40"/>
  <c r="R1036" i="40"/>
  <c r="O1023" i="40"/>
  <c r="X1023" i="40"/>
  <c r="W1023" i="40"/>
  <c r="U1023" i="40"/>
  <c r="T1023" i="40"/>
  <c r="DA761" i="40" l="1"/>
  <c r="DB761" i="40"/>
  <c r="DC761" i="40"/>
  <c r="CX761" i="40"/>
  <c r="CY761" i="40"/>
  <c r="CZ761" i="40"/>
  <c r="V2234" i="40"/>
  <c r="F27" i="7"/>
  <c r="O355" i="40"/>
  <c r="T355" i="40"/>
  <c r="W355" i="40"/>
  <c r="X341" i="40"/>
  <c r="X354" i="40"/>
  <c r="T353" i="40"/>
  <c r="W353" i="40"/>
  <c r="W352" i="40"/>
  <c r="T341" i="40"/>
  <c r="T351" i="40"/>
  <c r="W351" i="40"/>
  <c r="T347" i="40"/>
  <c r="T348" i="40"/>
  <c r="T349" i="40"/>
  <c r="T350" i="40"/>
  <c r="T354" i="40"/>
  <c r="W347" i="40"/>
  <c r="W348" i="40"/>
  <c r="W349" i="40"/>
  <c r="W350" i="40"/>
  <c r="V1036" i="40"/>
  <c r="T345" i="40"/>
  <c r="T346" i="40"/>
  <c r="W345" i="40"/>
  <c r="W346" i="40"/>
  <c r="X352" i="40"/>
  <c r="T344" i="40"/>
  <c r="W344" i="40"/>
  <c r="W343" i="40"/>
  <c r="X343" i="40"/>
  <c r="T335" i="40"/>
  <c r="W335" i="40"/>
  <c r="O342" i="40"/>
  <c r="V340" i="40"/>
  <c r="O2234" i="40"/>
  <c r="T1499" i="40"/>
  <c r="W1499" i="40"/>
  <c r="Q1036" i="40"/>
  <c r="V1069" i="40"/>
  <c r="X1036" i="40"/>
  <c r="T1036" i="40"/>
  <c r="W1036" i="40"/>
  <c r="V1023" i="40"/>
  <c r="DA769" i="40" l="1"/>
  <c r="DA774" i="40" s="1"/>
  <c r="DC769" i="40"/>
  <c r="DC774" i="40" s="1"/>
  <c r="CX769" i="40"/>
  <c r="CX774" i="40" s="1"/>
  <c r="CY769" i="40"/>
  <c r="CY774" i="40" s="1"/>
  <c r="CZ769" i="40"/>
  <c r="CZ774" i="40" s="1"/>
  <c r="DB769" i="40"/>
  <c r="DB774" i="40" s="1"/>
  <c r="C27" i="41"/>
  <c r="L66" i="41" l="1"/>
  <c r="K66" i="41"/>
  <c r="J66" i="41"/>
  <c r="I66" i="41"/>
  <c r="H66" i="41"/>
  <c r="G66" i="41"/>
  <c r="F66" i="41"/>
  <c r="E66" i="41"/>
  <c r="F67" i="41" l="1"/>
  <c r="L67" i="41"/>
  <c r="K67" i="41"/>
  <c r="J67" i="41"/>
  <c r="I67" i="41"/>
  <c r="H67" i="41"/>
  <c r="G67" i="41"/>
  <c r="Q314" i="40"/>
  <c r="AL314" i="40" s="1"/>
  <c r="V312" i="40"/>
  <c r="U312" i="40"/>
  <c r="X312" i="40"/>
  <c r="Q312" i="40"/>
  <c r="CR312" i="40" s="1"/>
  <c r="O312" i="40"/>
  <c r="V325" i="40"/>
  <c r="U325" i="40"/>
  <c r="X325" i="40"/>
  <c r="Q325" i="40"/>
  <c r="AL325" i="40" s="1"/>
  <c r="O325" i="40"/>
  <c r="O326" i="40"/>
  <c r="Q326" i="40"/>
  <c r="AL326" i="40" s="1"/>
  <c r="T326" i="40"/>
  <c r="U326" i="40"/>
  <c r="V326" i="40"/>
  <c r="V323" i="40"/>
  <c r="U323" i="40"/>
  <c r="X323" i="40"/>
  <c r="Q323" i="40"/>
  <c r="CV323" i="40" s="1"/>
  <c r="O323" i="40"/>
  <c r="O324" i="40"/>
  <c r="Q324" i="40"/>
  <c r="CV324" i="40" s="1"/>
  <c r="T324" i="40"/>
  <c r="U324" i="40"/>
  <c r="V324" i="40"/>
  <c r="V311" i="40"/>
  <c r="U311" i="40"/>
  <c r="X311" i="40"/>
  <c r="Q311" i="40"/>
  <c r="CQ311" i="40" s="1"/>
  <c r="O311" i="40"/>
  <c r="O314" i="40"/>
  <c r="Q322" i="40"/>
  <c r="CU322" i="40" s="1"/>
  <c r="Q321" i="40"/>
  <c r="Q320" i="40"/>
  <c r="Q319" i="40"/>
  <c r="Q318" i="40"/>
  <c r="AL318" i="40" s="1"/>
  <c r="Q317" i="40"/>
  <c r="AL317" i="40" s="1"/>
  <c r="Q316" i="40"/>
  <c r="AL316" i="40" s="1"/>
  <c r="Q315" i="40"/>
  <c r="AL315" i="40" s="1"/>
  <c r="M321" i="40"/>
  <c r="CV321" i="40" s="1"/>
  <c r="M320" i="40"/>
  <c r="CV320" i="40" s="1"/>
  <c r="M319" i="40"/>
  <c r="CU319" i="40" s="1"/>
  <c r="M723" i="40"/>
  <c r="CT723" i="40" s="1"/>
  <c r="M722" i="40"/>
  <c r="CS722" i="40" s="1"/>
  <c r="T724" i="40"/>
  <c r="V724" i="40"/>
  <c r="Q724" i="40"/>
  <c r="CP724" i="40" s="1"/>
  <c r="X725" i="40"/>
  <c r="W725" i="40"/>
  <c r="V725" i="40"/>
  <c r="U725" i="40"/>
  <c r="T725" i="40"/>
  <c r="O725" i="40"/>
  <c r="U724" i="40"/>
  <c r="O724" i="40"/>
  <c r="P66" i="41"/>
  <c r="O66" i="41"/>
  <c r="N66" i="41"/>
  <c r="M66" i="41"/>
  <c r="P67" i="41" l="1"/>
  <c r="CR761" i="40"/>
  <c r="CW761" i="40"/>
  <c r="CS761" i="40"/>
  <c r="CT761" i="40"/>
  <c r="CU761" i="40"/>
  <c r="CV761" i="40"/>
  <c r="O67" i="41"/>
  <c r="M67" i="41"/>
  <c r="N67" i="41"/>
  <c r="X314" i="40"/>
  <c r="V314" i="40"/>
  <c r="U314" i="40"/>
  <c r="T312" i="40"/>
  <c r="W312" i="40"/>
  <c r="T325" i="40"/>
  <c r="W325" i="40"/>
  <c r="X326" i="40"/>
  <c r="W326" i="40"/>
  <c r="T323" i="40"/>
  <c r="W323" i="40"/>
  <c r="X324" i="40"/>
  <c r="W324" i="40"/>
  <c r="T311" i="40"/>
  <c r="W311" i="40"/>
  <c r="T314" i="40"/>
  <c r="W314" i="40"/>
  <c r="W724" i="40"/>
  <c r="X724" i="40"/>
  <c r="CS769" i="40" l="1"/>
  <c r="CS774" i="40" s="1"/>
  <c r="CU769" i="40"/>
  <c r="CU774" i="40" s="1"/>
  <c r="CT769" i="40"/>
  <c r="CT774" i="40" s="1"/>
  <c r="CV769" i="40"/>
  <c r="CV774" i="40" s="1"/>
  <c r="CR769" i="40"/>
  <c r="CR774" i="40" s="1"/>
  <c r="CW769" i="40"/>
  <c r="CW774" i="40" s="1"/>
  <c r="O2203" i="40"/>
  <c r="M2203" i="40"/>
  <c r="Q2203" i="40"/>
  <c r="T2203" i="40"/>
  <c r="U2203" i="40"/>
  <c r="W2203" i="40"/>
  <c r="X2203" i="40"/>
  <c r="T2006" i="40"/>
  <c r="Q2006" i="40"/>
  <c r="X1291" i="40"/>
  <c r="W1291" i="40"/>
  <c r="V1291" i="40"/>
  <c r="U1291" i="40"/>
  <c r="T1291" i="40"/>
  <c r="S1291" i="40"/>
  <c r="R1291" i="40"/>
  <c r="Q1291" i="40"/>
  <c r="P1291" i="40"/>
  <c r="O1291" i="40"/>
  <c r="N1291" i="40"/>
  <c r="M1291" i="40"/>
  <c r="L1291" i="40"/>
  <c r="K1291" i="40"/>
  <c r="J1291" i="40"/>
  <c r="P1290" i="40"/>
  <c r="L1290" i="40"/>
  <c r="J1290" i="40"/>
  <c r="X1224" i="40"/>
  <c r="W1224" i="40"/>
  <c r="V1224" i="40"/>
  <c r="U1224" i="40"/>
  <c r="T1224" i="40"/>
  <c r="S1224" i="40"/>
  <c r="R1224" i="40"/>
  <c r="Q1224" i="40"/>
  <c r="P1224" i="40"/>
  <c r="P1223" i="40"/>
  <c r="L1223" i="40"/>
  <c r="O1224" i="40"/>
  <c r="N1224" i="40"/>
  <c r="M1224" i="40"/>
  <c r="L1224" i="40"/>
  <c r="K1224" i="40"/>
  <c r="J1224" i="40"/>
  <c r="J1223" i="40"/>
  <c r="X1189" i="40"/>
  <c r="W1189" i="40"/>
  <c r="V1189" i="40"/>
  <c r="U1189" i="40"/>
  <c r="T1189" i="40"/>
  <c r="S1189" i="40"/>
  <c r="R1189" i="40"/>
  <c r="Q1189" i="40"/>
  <c r="P1189" i="40"/>
  <c r="P1188" i="40"/>
  <c r="J1188" i="40"/>
  <c r="L1188" i="40"/>
  <c r="O1189" i="40"/>
  <c r="N1189" i="40"/>
  <c r="M1189" i="40"/>
  <c r="L1189" i="40"/>
  <c r="K1189" i="40"/>
  <c r="J1189" i="40"/>
  <c r="M1041" i="40"/>
  <c r="R1035" i="40"/>
  <c r="V2203" i="40" l="1"/>
  <c r="Q63" i="41" l="1"/>
  <c r="Q64" i="41"/>
  <c r="E69" i="45" l="1"/>
  <c r="F69" i="45" s="1"/>
  <c r="D35" i="7"/>
  <c r="E68" i="45"/>
  <c r="F68" i="45" s="1"/>
  <c r="E6" i="7"/>
  <c r="V304" i="40"/>
  <c r="U304" i="40"/>
  <c r="X304" i="40"/>
  <c r="Q304" i="40"/>
  <c r="CQ304" i="40" s="1"/>
  <c r="O304" i="40"/>
  <c r="M304" i="40"/>
  <c r="X298" i="40"/>
  <c r="W298" i="40"/>
  <c r="V298" i="40"/>
  <c r="U298" i="40"/>
  <c r="T298" i="40"/>
  <c r="O298" i="40"/>
  <c r="M298" i="40"/>
  <c r="CP298" i="40" s="1"/>
  <c r="X714" i="40"/>
  <c r="W714" i="40"/>
  <c r="V714" i="40"/>
  <c r="U714" i="40"/>
  <c r="T714" i="40"/>
  <c r="Q714" i="40"/>
  <c r="CP714" i="40" s="1"/>
  <c r="O714" i="40"/>
  <c r="M714" i="40"/>
  <c r="V707" i="40"/>
  <c r="U707" i="40"/>
  <c r="Q707" i="40"/>
  <c r="CN707" i="40" s="1"/>
  <c r="O707" i="40"/>
  <c r="M707" i="40"/>
  <c r="N62" i="45"/>
  <c r="T304" i="40" l="1"/>
  <c r="W304" i="40"/>
  <c r="X707" i="40"/>
  <c r="T707" i="40"/>
  <c r="W707" i="40"/>
  <c r="C48" i="7" l="1"/>
  <c r="E48" i="7" s="1"/>
  <c r="D120" i="45"/>
  <c r="U844" i="40" l="1"/>
  <c r="T844" i="40"/>
  <c r="Q844" i="40"/>
  <c r="X843" i="40"/>
  <c r="W843" i="40"/>
  <c r="U843" i="40"/>
  <c r="T843" i="40"/>
  <c r="V302" i="40"/>
  <c r="U302" i="40"/>
  <c r="W302" i="40"/>
  <c r="Q302" i="40"/>
  <c r="CP302" i="40" s="1"/>
  <c r="O302" i="40"/>
  <c r="M302" i="40"/>
  <c r="V301" i="40"/>
  <c r="U301" i="40"/>
  <c r="X301" i="40"/>
  <c r="Q301" i="40"/>
  <c r="CP301" i="40" s="1"/>
  <c r="O301" i="40"/>
  <c r="M301" i="40"/>
  <c r="V300" i="40"/>
  <c r="U300" i="40"/>
  <c r="X300" i="40"/>
  <c r="Q300" i="40"/>
  <c r="CO300" i="40" s="1"/>
  <c r="O300" i="40"/>
  <c r="M300" i="40"/>
  <c r="X297" i="40"/>
  <c r="W297" i="40"/>
  <c r="V297" i="40"/>
  <c r="U297" i="40"/>
  <c r="T297" i="40"/>
  <c r="O297" i="40"/>
  <c r="M297" i="40"/>
  <c r="CN297" i="40" s="1"/>
  <c r="X296" i="40"/>
  <c r="W296" i="40"/>
  <c r="V296" i="40"/>
  <c r="U296" i="40"/>
  <c r="T296" i="40"/>
  <c r="O296" i="40"/>
  <c r="M296" i="40"/>
  <c r="AL296" i="40" s="1"/>
  <c r="X713" i="40"/>
  <c r="W713" i="40"/>
  <c r="V713" i="40"/>
  <c r="U713" i="40"/>
  <c r="T713" i="40"/>
  <c r="Q713" i="40"/>
  <c r="CN713" i="40" s="1"/>
  <c r="O713" i="40"/>
  <c r="M713" i="40"/>
  <c r="X712" i="40"/>
  <c r="W712" i="40"/>
  <c r="V712" i="40"/>
  <c r="U712" i="40"/>
  <c r="T712" i="40"/>
  <c r="Q712" i="40"/>
  <c r="AL712" i="40" s="1"/>
  <c r="O712" i="40"/>
  <c r="M712" i="40"/>
  <c r="V706" i="40"/>
  <c r="U706" i="40"/>
  <c r="X706" i="40"/>
  <c r="Q706" i="40"/>
  <c r="CM706" i="40" s="1"/>
  <c r="O706" i="40"/>
  <c r="M706" i="40"/>
  <c r="V705" i="40"/>
  <c r="U705" i="40"/>
  <c r="X705" i="40"/>
  <c r="Q705" i="40"/>
  <c r="CL705" i="40" s="1"/>
  <c r="O705" i="40"/>
  <c r="M705" i="40"/>
  <c r="V704" i="40"/>
  <c r="U704" i="40"/>
  <c r="X704" i="40"/>
  <c r="Q704" i="40"/>
  <c r="CF704" i="40" s="1"/>
  <c r="O704" i="40"/>
  <c r="M704" i="40"/>
  <c r="V703" i="40"/>
  <c r="U703" i="40"/>
  <c r="X703" i="40"/>
  <c r="Q703" i="40"/>
  <c r="CC703" i="40" s="1"/>
  <c r="O703" i="40"/>
  <c r="M703" i="40"/>
  <c r="V702" i="40"/>
  <c r="U702" i="40"/>
  <c r="W702" i="40"/>
  <c r="Q702" i="40"/>
  <c r="O702" i="40"/>
  <c r="M702" i="40"/>
  <c r="X695" i="40"/>
  <c r="W695" i="40"/>
  <c r="V695" i="40"/>
  <c r="U695" i="40"/>
  <c r="T695" i="40"/>
  <c r="Q695" i="40"/>
  <c r="O695" i="40"/>
  <c r="M695" i="40"/>
  <c r="AL695" i="40" s="1"/>
  <c r="V284" i="40"/>
  <c r="U284" i="40"/>
  <c r="X284" i="40"/>
  <c r="Q284" i="40"/>
  <c r="AL284" i="40" s="1"/>
  <c r="O284" i="40"/>
  <c r="M284" i="40"/>
  <c r="M285" i="40"/>
  <c r="O285" i="40"/>
  <c r="Q285" i="40"/>
  <c r="AL285" i="40" s="1"/>
  <c r="W285" i="40"/>
  <c r="U285" i="40"/>
  <c r="V285" i="40"/>
  <c r="V280" i="40"/>
  <c r="U280" i="40"/>
  <c r="X280" i="40"/>
  <c r="Q280" i="40"/>
  <c r="AB280" i="40" s="1"/>
  <c r="O280" i="40"/>
  <c r="X844" i="40" l="1"/>
  <c r="W844" i="40"/>
  <c r="V844" i="40"/>
  <c r="V843" i="40"/>
  <c r="T301" i="40"/>
  <c r="X302" i="40"/>
  <c r="T302" i="40"/>
  <c r="W301" i="40"/>
  <c r="T300" i="40"/>
  <c r="W300" i="40"/>
  <c r="T705" i="40"/>
  <c r="T706" i="40"/>
  <c r="W705" i="40"/>
  <c r="W706" i="40"/>
  <c r="T704" i="40"/>
  <c r="T703" i="40"/>
  <c r="W703" i="40"/>
  <c r="W704" i="40"/>
  <c r="X702" i="40"/>
  <c r="T702" i="40"/>
  <c r="T285" i="40"/>
  <c r="T284" i="40"/>
  <c r="X285" i="40"/>
  <c r="W284" i="40"/>
  <c r="T280" i="40"/>
  <c r="W280" i="40"/>
  <c r="V305" i="40" l="1"/>
  <c r="O291" i="40"/>
  <c r="O290" i="40"/>
  <c r="X303" i="40"/>
  <c r="Q303" i="40"/>
  <c r="CP303" i="40" s="1"/>
  <c r="W299" i="40"/>
  <c r="Q299" i="40"/>
  <c r="CN299" i="40" s="1"/>
  <c r="X294" i="40"/>
  <c r="Q294" i="40"/>
  <c r="CO294" i="40" s="1"/>
  <c r="X293" i="40"/>
  <c r="Q293" i="40"/>
  <c r="CO293" i="40" s="1"/>
  <c r="W292" i="40"/>
  <c r="Q292" i="40"/>
  <c r="CO292" i="40" s="1"/>
  <c r="Q289" i="40"/>
  <c r="AL289" i="40" s="1"/>
  <c r="Q288" i="40"/>
  <c r="AL288" i="40" s="1"/>
  <c r="Q287" i="40"/>
  <c r="AL287" i="40" s="1"/>
  <c r="Q286" i="40"/>
  <c r="AL286" i="40" s="1"/>
  <c r="Q283" i="40"/>
  <c r="AB283" i="40" s="1"/>
  <c r="Q282" i="40"/>
  <c r="AB282" i="40" s="1"/>
  <c r="Q281" i="40"/>
  <c r="AB281" i="40" s="1"/>
  <c r="Q279" i="40"/>
  <c r="CL279" i="40" s="1"/>
  <c r="X305" i="40"/>
  <c r="W305" i="40"/>
  <c r="U305" i="40"/>
  <c r="T305" i="40"/>
  <c r="M305" i="40"/>
  <c r="CQ305" i="40" s="1"/>
  <c r="V303" i="40"/>
  <c r="U303" i="40"/>
  <c r="O303" i="40"/>
  <c r="M303" i="40"/>
  <c r="O306" i="40"/>
  <c r="T306" i="40"/>
  <c r="U306" i="40"/>
  <c r="V306" i="40"/>
  <c r="W306" i="40"/>
  <c r="X306" i="40"/>
  <c r="V299" i="40"/>
  <c r="U299" i="40"/>
  <c r="O299" i="40"/>
  <c r="M299" i="40"/>
  <c r="X295" i="40"/>
  <c r="W295" i="40"/>
  <c r="V295" i="40"/>
  <c r="U295" i="40"/>
  <c r="T295" i="40"/>
  <c r="O295" i="40"/>
  <c r="M295" i="40"/>
  <c r="AB295" i="40" s="1"/>
  <c r="V294" i="40"/>
  <c r="U294" i="40"/>
  <c r="O294" i="40"/>
  <c r="M294" i="40"/>
  <c r="V293" i="40"/>
  <c r="U293" i="40"/>
  <c r="O293" i="40"/>
  <c r="M293" i="40"/>
  <c r="V292" i="40"/>
  <c r="U292" i="40"/>
  <c r="O292" i="40"/>
  <c r="M292" i="40"/>
  <c r="X291" i="40"/>
  <c r="W291" i="40"/>
  <c r="U291" i="40"/>
  <c r="T291" i="40"/>
  <c r="M291" i="40"/>
  <c r="CO291" i="40" s="1"/>
  <c r="X290" i="40"/>
  <c r="W290" i="40"/>
  <c r="U290" i="40"/>
  <c r="T290" i="40"/>
  <c r="M290" i="40"/>
  <c r="CO290" i="40" s="1"/>
  <c r="X701" i="40"/>
  <c r="V710" i="40"/>
  <c r="O709" i="40"/>
  <c r="O708" i="40"/>
  <c r="V700" i="40"/>
  <c r="O699" i="40"/>
  <c r="O698" i="40"/>
  <c r="O697" i="40"/>
  <c r="V696" i="40"/>
  <c r="X715" i="40"/>
  <c r="W715" i="40"/>
  <c r="V715" i="40"/>
  <c r="U715" i="40"/>
  <c r="T715" i="40"/>
  <c r="Q715" i="40"/>
  <c r="O715" i="40"/>
  <c r="M715" i="40"/>
  <c r="X711" i="40"/>
  <c r="W711" i="40"/>
  <c r="V711" i="40"/>
  <c r="U711" i="40"/>
  <c r="T711" i="40"/>
  <c r="Q711" i="40"/>
  <c r="AB711" i="40" s="1"/>
  <c r="O711" i="40"/>
  <c r="M711" i="40"/>
  <c r="X710" i="40"/>
  <c r="W710" i="40"/>
  <c r="U710" i="40"/>
  <c r="T710" i="40"/>
  <c r="Q710" i="40"/>
  <c r="M710" i="40"/>
  <c r="CP710" i="40" s="1"/>
  <c r="X709" i="40"/>
  <c r="W709" i="40"/>
  <c r="U709" i="40"/>
  <c r="T709" i="40"/>
  <c r="Q709" i="40"/>
  <c r="M709" i="40"/>
  <c r="CP709" i="40" s="1"/>
  <c r="O716" i="40"/>
  <c r="T716" i="40"/>
  <c r="U716" i="40"/>
  <c r="V716" i="40"/>
  <c r="W716" i="40"/>
  <c r="X716" i="40"/>
  <c r="O717" i="40"/>
  <c r="T717" i="40"/>
  <c r="U717" i="40"/>
  <c r="V717" i="40"/>
  <c r="W717" i="40"/>
  <c r="X717" i="40"/>
  <c r="T718" i="40"/>
  <c r="U718" i="40"/>
  <c r="V718" i="40"/>
  <c r="F719" i="40"/>
  <c r="I719" i="40"/>
  <c r="L719" i="40"/>
  <c r="P719" i="40"/>
  <c r="X708" i="40"/>
  <c r="W708" i="40"/>
  <c r="U708" i="40"/>
  <c r="T708" i="40"/>
  <c r="Q708" i="40"/>
  <c r="M708" i="40"/>
  <c r="CN708" i="40" s="1"/>
  <c r="V701" i="40"/>
  <c r="U701" i="40"/>
  <c r="Q701" i="40"/>
  <c r="O701" i="40"/>
  <c r="M701" i="40"/>
  <c r="X700" i="40"/>
  <c r="W700" i="40"/>
  <c r="U700" i="40"/>
  <c r="T700" i="40"/>
  <c r="Q700" i="40"/>
  <c r="M700" i="40"/>
  <c r="CM700" i="40" s="1"/>
  <c r="X699" i="40"/>
  <c r="W699" i="40"/>
  <c r="U699" i="40"/>
  <c r="T699" i="40"/>
  <c r="Q699" i="40"/>
  <c r="M699" i="40"/>
  <c r="CM699" i="40" s="1"/>
  <c r="X696" i="40"/>
  <c r="W696" i="40"/>
  <c r="U696" i="40"/>
  <c r="T696" i="40"/>
  <c r="Q696" i="40"/>
  <c r="M696" i="40"/>
  <c r="CM696" i="40" s="1"/>
  <c r="X694" i="40"/>
  <c r="W694" i="40"/>
  <c r="V694" i="40"/>
  <c r="U694" i="40"/>
  <c r="T694" i="40"/>
  <c r="Q694" i="40"/>
  <c r="O694" i="40"/>
  <c r="M694" i="40"/>
  <c r="AB694" i="40" s="1"/>
  <c r="X698" i="40"/>
  <c r="W698" i="40"/>
  <c r="U698" i="40"/>
  <c r="T698" i="40"/>
  <c r="Q698" i="40"/>
  <c r="M698" i="40"/>
  <c r="CM698" i="40" s="1"/>
  <c r="M697" i="40"/>
  <c r="CM697" i="40" s="1"/>
  <c r="U697" i="40"/>
  <c r="X697" i="40"/>
  <c r="Q697" i="40"/>
  <c r="CL761" i="40" l="1"/>
  <c r="CM761" i="40"/>
  <c r="CN761" i="40"/>
  <c r="CO761" i="40"/>
  <c r="CQ761" i="40"/>
  <c r="CP761" i="40"/>
  <c r="O305" i="40"/>
  <c r="V290" i="40"/>
  <c r="V291" i="40"/>
  <c r="T303" i="40"/>
  <c r="X299" i="40"/>
  <c r="T299" i="40"/>
  <c r="W303" i="40"/>
  <c r="X292" i="40"/>
  <c r="T294" i="40"/>
  <c r="T293" i="40"/>
  <c r="T292" i="40"/>
  <c r="W294" i="40"/>
  <c r="W293" i="40"/>
  <c r="T701" i="40"/>
  <c r="W701" i="40"/>
  <c r="V708" i="40"/>
  <c r="O710" i="40"/>
  <c r="V709" i="40"/>
  <c r="O696" i="40"/>
  <c r="O700" i="40"/>
  <c r="V698" i="40"/>
  <c r="V699" i="40"/>
  <c r="V697" i="40"/>
  <c r="T697" i="40"/>
  <c r="W697" i="40"/>
  <c r="CM769" i="40" l="1"/>
  <c r="CM774" i="40" s="1"/>
  <c r="CM779" i="40" s="1"/>
  <c r="CM784" i="40" s="1"/>
  <c r="CM789" i="40" s="1"/>
  <c r="CM794" i="40" s="1"/>
  <c r="CM799" i="40" s="1"/>
  <c r="CM804" i="40" s="1"/>
  <c r="CM809" i="40" s="1"/>
  <c r="CM814" i="40" s="1"/>
  <c r="CM819" i="40" s="1"/>
  <c r="CM825" i="40" s="1"/>
  <c r="CM827" i="40" s="1"/>
  <c r="CP769" i="40"/>
  <c r="CP774" i="40" s="1"/>
  <c r="CO769" i="40"/>
  <c r="CO774" i="40" s="1"/>
  <c r="CQ769" i="40"/>
  <c r="CQ774" i="40" s="1"/>
  <c r="CL769" i="40"/>
  <c r="CL774" i="40" s="1"/>
  <c r="CL779" i="40" s="1"/>
  <c r="CL784" i="40" s="1"/>
  <c r="CL789" i="40" s="1"/>
  <c r="CL794" i="40" s="1"/>
  <c r="CL799" i="40" s="1"/>
  <c r="CL804" i="40" s="1"/>
  <c r="CL809" i="40" s="1"/>
  <c r="CL814" i="40" s="1"/>
  <c r="CL819" i="40" s="1"/>
  <c r="CL825" i="40" s="1"/>
  <c r="CL827" i="40" s="1"/>
  <c r="CN769" i="40"/>
  <c r="CN774" i="40" s="1"/>
  <c r="CN779" i="40" s="1"/>
  <c r="CN784" i="40" s="1"/>
  <c r="CN789" i="40" s="1"/>
  <c r="CN794" i="40" s="1"/>
  <c r="CN799" i="40" s="1"/>
  <c r="CN804" i="40" s="1"/>
  <c r="CN809" i="40" s="1"/>
  <c r="CN814" i="40" s="1"/>
  <c r="CN819" i="40" s="1"/>
  <c r="CN825" i="40" s="1"/>
  <c r="CN827" i="40" s="1"/>
  <c r="X1812" i="40"/>
  <c r="W1812" i="40"/>
  <c r="U1812" i="40"/>
  <c r="T1812" i="40"/>
  <c r="Q1812" i="40"/>
  <c r="V1812" i="40"/>
  <c r="M1812" i="40"/>
  <c r="M1763" i="40"/>
  <c r="O1763" i="40"/>
  <c r="Q1763" i="40"/>
  <c r="T1763" i="40"/>
  <c r="U1763" i="40"/>
  <c r="V1763" i="40"/>
  <c r="W1763" i="40"/>
  <c r="X1763" i="40"/>
  <c r="O1764" i="40"/>
  <c r="T1764" i="40"/>
  <c r="W1764" i="40"/>
  <c r="X1764" i="40"/>
  <c r="M1741" i="40"/>
  <c r="O1741" i="40"/>
  <c r="Q1741" i="40"/>
  <c r="T1741" i="40"/>
  <c r="U1741" i="40"/>
  <c r="V1741" i="40"/>
  <c r="W1741" i="40"/>
  <c r="X1741" i="40"/>
  <c r="O1812" i="40" l="1"/>
  <c r="D106" i="45"/>
  <c r="N141" i="45"/>
  <c r="K2100" i="40" l="1"/>
  <c r="P2100" i="40"/>
  <c r="R2100" i="40"/>
  <c r="J2099" i="40"/>
  <c r="P2046" i="40"/>
  <c r="K2046" i="40"/>
  <c r="J2045" i="40"/>
  <c r="J2046" i="40" s="1"/>
  <c r="X1819" i="40"/>
  <c r="W1819" i="40"/>
  <c r="U1819" i="40"/>
  <c r="T1819" i="40"/>
  <c r="Q1819" i="40"/>
  <c r="V1819" i="40"/>
  <c r="M1819" i="40"/>
  <c r="M1732" i="40"/>
  <c r="O1732" i="40"/>
  <c r="Q1732" i="40"/>
  <c r="T1732" i="40"/>
  <c r="U1732" i="40"/>
  <c r="V1732" i="40"/>
  <c r="W1732" i="40"/>
  <c r="X1732" i="40"/>
  <c r="Q2100" i="40" l="1"/>
  <c r="J2100" i="40"/>
  <c r="V2100" i="40" s="1"/>
  <c r="T2100" i="40"/>
  <c r="U2100" i="40"/>
  <c r="O1819" i="40"/>
  <c r="W2100" i="40" l="1"/>
  <c r="O2100" i="40"/>
  <c r="M2100" i="40"/>
  <c r="X2100" i="40"/>
  <c r="V272" i="40" l="1"/>
  <c r="U272" i="40"/>
  <c r="X272" i="40"/>
  <c r="Q272" i="40"/>
  <c r="AB272" i="40" s="1"/>
  <c r="O272" i="40"/>
  <c r="M272" i="40"/>
  <c r="V269" i="40"/>
  <c r="U269" i="40"/>
  <c r="X269" i="40"/>
  <c r="Q269" i="40"/>
  <c r="CJ269" i="40" s="1"/>
  <c r="O269" i="40"/>
  <c r="M269" i="40"/>
  <c r="V262" i="40"/>
  <c r="U262" i="40"/>
  <c r="X262" i="40"/>
  <c r="Q262" i="40"/>
  <c r="AB262" i="40" s="1"/>
  <c r="O262" i="40"/>
  <c r="M262" i="40"/>
  <c r="V254" i="40"/>
  <c r="U254" i="40"/>
  <c r="X254" i="40"/>
  <c r="Q254" i="40"/>
  <c r="AB254" i="40" s="1"/>
  <c r="O254" i="40"/>
  <c r="M254" i="40"/>
  <c r="T272" i="40" l="1"/>
  <c r="W272" i="40"/>
  <c r="T269" i="40"/>
  <c r="W269" i="40"/>
  <c r="T262" i="40"/>
  <c r="W262" i="40"/>
  <c r="T254" i="40"/>
  <c r="W254" i="40"/>
  <c r="V248" i="40"/>
  <c r="U248" i="40"/>
  <c r="X248" i="40"/>
  <c r="Q248" i="40"/>
  <c r="AB248" i="40" s="1"/>
  <c r="O248" i="40"/>
  <c r="M248" i="40"/>
  <c r="X247" i="40"/>
  <c r="U247" i="40"/>
  <c r="Q247" i="40"/>
  <c r="CE247" i="40" s="1"/>
  <c r="V247" i="40"/>
  <c r="M247" i="40"/>
  <c r="W266" i="40"/>
  <c r="O267" i="40"/>
  <c r="O265" i="40"/>
  <c r="O264" i="40"/>
  <c r="O260" i="40"/>
  <c r="T274" i="40"/>
  <c r="Q274" i="40"/>
  <c r="AB274" i="40" s="1"/>
  <c r="T273" i="40"/>
  <c r="Q273" i="40"/>
  <c r="AB273" i="40" s="1"/>
  <c r="W271" i="40"/>
  <c r="Q271" i="40"/>
  <c r="CJ271" i="40" s="1"/>
  <c r="X270" i="40"/>
  <c r="Q270" i="40"/>
  <c r="CJ270" i="40" s="1"/>
  <c r="W268" i="40"/>
  <c r="Q268" i="40"/>
  <c r="CI268" i="40" s="1"/>
  <c r="X267" i="40"/>
  <c r="Q267" i="40"/>
  <c r="Q266" i="40"/>
  <c r="CI266" i="40" s="1"/>
  <c r="Q265" i="40"/>
  <c r="T264" i="40"/>
  <c r="Q264" i="40"/>
  <c r="T263" i="40"/>
  <c r="Q263" i="40"/>
  <c r="AB263" i="40" s="1"/>
  <c r="X261" i="40"/>
  <c r="Q261" i="40"/>
  <c r="CH261" i="40" s="1"/>
  <c r="X260" i="40"/>
  <c r="Q260" i="40"/>
  <c r="W259" i="40"/>
  <c r="Q259" i="40"/>
  <c r="AB259" i="40" s="1"/>
  <c r="W258" i="40"/>
  <c r="Q258" i="40"/>
  <c r="AB258" i="40" s="1"/>
  <c r="W257" i="40"/>
  <c r="Q257" i="40"/>
  <c r="AB257" i="40" s="1"/>
  <c r="W256" i="40"/>
  <c r="Q256" i="40"/>
  <c r="AB256" i="40" s="1"/>
  <c r="X255" i="40"/>
  <c r="Q255" i="40"/>
  <c r="AB255" i="40" s="1"/>
  <c r="X253" i="40"/>
  <c r="Q253" i="40"/>
  <c r="CG253" i="40" s="1"/>
  <c r="W252" i="40"/>
  <c r="Q252" i="40"/>
  <c r="CG252" i="40" s="1"/>
  <c r="T251" i="40"/>
  <c r="Q251" i="40"/>
  <c r="CG251" i="40" s="1"/>
  <c r="Q250" i="40"/>
  <c r="CG250" i="40" s="1"/>
  <c r="Q249" i="40"/>
  <c r="Q246" i="40"/>
  <c r="CD246" i="40" s="1"/>
  <c r="M274" i="40"/>
  <c r="M273" i="40"/>
  <c r="M271" i="40"/>
  <c r="M270" i="40"/>
  <c r="M268" i="40"/>
  <c r="M267" i="40"/>
  <c r="CK267" i="40" s="1"/>
  <c r="M266" i="40"/>
  <c r="M265" i="40"/>
  <c r="CJ265" i="40" s="1"/>
  <c r="M264" i="40"/>
  <c r="CI264" i="40" s="1"/>
  <c r="M263" i="40"/>
  <c r="M261" i="40"/>
  <c r="M260" i="40"/>
  <c r="CH260" i="40" s="1"/>
  <c r="M259" i="40"/>
  <c r="M258" i="40"/>
  <c r="M257" i="40"/>
  <c r="M256" i="40"/>
  <c r="M255" i="40"/>
  <c r="M253" i="40"/>
  <c r="M252" i="40"/>
  <c r="M251" i="40"/>
  <c r="M250" i="40"/>
  <c r="M249" i="40"/>
  <c r="CG249" i="40" s="1"/>
  <c r="V274" i="40"/>
  <c r="U274" i="40"/>
  <c r="O274" i="40"/>
  <c r="V273" i="40"/>
  <c r="U273" i="40"/>
  <c r="O273" i="40"/>
  <c r="V271" i="40"/>
  <c r="U271" i="40"/>
  <c r="O271" i="40"/>
  <c r="V270" i="40"/>
  <c r="U270" i="40"/>
  <c r="O270" i="40"/>
  <c r="V268" i="40"/>
  <c r="U268" i="40"/>
  <c r="O268" i="40"/>
  <c r="U267" i="40"/>
  <c r="V266" i="40"/>
  <c r="U266" i="40"/>
  <c r="O266" i="40"/>
  <c r="X265" i="40"/>
  <c r="W265" i="40"/>
  <c r="U265" i="40"/>
  <c r="T265" i="40"/>
  <c r="W264" i="40"/>
  <c r="U264" i="40"/>
  <c r="V263" i="40"/>
  <c r="U263" i="40"/>
  <c r="O263" i="40"/>
  <c r="V261" i="40"/>
  <c r="U261" i="40"/>
  <c r="O261" i="40"/>
  <c r="W260" i="40"/>
  <c r="U260" i="40"/>
  <c r="V259" i="40"/>
  <c r="U259" i="40"/>
  <c r="O259" i="40"/>
  <c r="V258" i="40"/>
  <c r="U258" i="40"/>
  <c r="O258" i="40"/>
  <c r="V257" i="40"/>
  <c r="U257" i="40"/>
  <c r="O257" i="40"/>
  <c r="V256" i="40"/>
  <c r="U256" i="40"/>
  <c r="O256" i="40"/>
  <c r="V255" i="40"/>
  <c r="U255" i="40"/>
  <c r="O255" i="40"/>
  <c r="V253" i="40"/>
  <c r="U253" i="40"/>
  <c r="O253" i="40"/>
  <c r="V252" i="40"/>
  <c r="U252" i="40"/>
  <c r="O252" i="40"/>
  <c r="V251" i="40"/>
  <c r="U251" i="40"/>
  <c r="O251" i="40"/>
  <c r="Q688" i="40"/>
  <c r="CC688" i="40" s="1"/>
  <c r="CF761" i="40" l="1"/>
  <c r="CG761" i="40"/>
  <c r="CH761" i="40"/>
  <c r="CI761" i="40"/>
  <c r="CJ761" i="40"/>
  <c r="CK761" i="40"/>
  <c r="W270" i="40"/>
  <c r="X251" i="40"/>
  <c r="T248" i="40"/>
  <c r="W248" i="40"/>
  <c r="W261" i="40"/>
  <c r="T247" i="40"/>
  <c r="W247" i="40"/>
  <c r="X257" i="40"/>
  <c r="O247" i="40"/>
  <c r="T261" i="40"/>
  <c r="T271" i="40"/>
  <c r="X256" i="40"/>
  <c r="W251" i="40"/>
  <c r="X271" i="40"/>
  <c r="T270" i="40"/>
  <c r="T257" i="40"/>
  <c r="W274" i="40"/>
  <c r="X252" i="40"/>
  <c r="T268" i="40"/>
  <c r="X274" i="40"/>
  <c r="X268" i="40"/>
  <c r="X259" i="40"/>
  <c r="T256" i="40"/>
  <c r="X266" i="40"/>
  <c r="T266" i="40"/>
  <c r="V267" i="40"/>
  <c r="V265" i="40"/>
  <c r="V264" i="40"/>
  <c r="V260" i="40"/>
  <c r="T255" i="40"/>
  <c r="T253" i="40"/>
  <c r="T260" i="40"/>
  <c r="W263" i="40"/>
  <c r="X264" i="40"/>
  <c r="T267" i="40"/>
  <c r="X273" i="40"/>
  <c r="X258" i="40"/>
  <c r="W273" i="40"/>
  <c r="T252" i="40"/>
  <c r="W255" i="40"/>
  <c r="T259" i="40"/>
  <c r="X263" i="40"/>
  <c r="T258" i="40"/>
  <c r="W253" i="40"/>
  <c r="W267" i="40"/>
  <c r="CG769" i="40" l="1"/>
  <c r="CG774" i="40" s="1"/>
  <c r="CG779" i="40" s="1"/>
  <c r="CG784" i="40" s="1"/>
  <c r="CG789" i="40" s="1"/>
  <c r="CG794" i="40" s="1"/>
  <c r="CG799" i="40" s="1"/>
  <c r="CG804" i="40" s="1"/>
  <c r="CG809" i="40" s="1"/>
  <c r="CG814" i="40" s="1"/>
  <c r="CG819" i="40" s="1"/>
  <c r="CG825" i="40" s="1"/>
  <c r="CG827" i="40" s="1"/>
  <c r="CF769" i="40"/>
  <c r="CF774" i="40" s="1"/>
  <c r="CF779" i="40" s="1"/>
  <c r="CF784" i="40" s="1"/>
  <c r="CF789" i="40" s="1"/>
  <c r="CF794" i="40" s="1"/>
  <c r="CF799" i="40" s="1"/>
  <c r="CF804" i="40" s="1"/>
  <c r="CF809" i="40" s="1"/>
  <c r="CF814" i="40" s="1"/>
  <c r="CF819" i="40" s="1"/>
  <c r="CF825" i="40" s="1"/>
  <c r="CF827" i="40" s="1"/>
  <c r="CJ769" i="40"/>
  <c r="CJ774" i="40" s="1"/>
  <c r="CJ779" i="40" s="1"/>
  <c r="CJ784" i="40" s="1"/>
  <c r="CJ789" i="40" s="1"/>
  <c r="CJ794" i="40" s="1"/>
  <c r="CJ799" i="40" s="1"/>
  <c r="CJ804" i="40" s="1"/>
  <c r="CJ809" i="40" s="1"/>
  <c r="CJ814" i="40" s="1"/>
  <c r="CJ819" i="40" s="1"/>
  <c r="CJ825" i="40" s="1"/>
  <c r="CJ827" i="40" s="1"/>
  <c r="CH769" i="40"/>
  <c r="CH774" i="40" s="1"/>
  <c r="CH779" i="40" s="1"/>
  <c r="CH784" i="40" s="1"/>
  <c r="CH789" i="40" s="1"/>
  <c r="CH794" i="40" s="1"/>
  <c r="CH799" i="40" s="1"/>
  <c r="CH804" i="40" s="1"/>
  <c r="CH809" i="40" s="1"/>
  <c r="CH814" i="40" s="1"/>
  <c r="CH819" i="40" s="1"/>
  <c r="CH825" i="40" s="1"/>
  <c r="CH827" i="40" s="1"/>
  <c r="CK769" i="40"/>
  <c r="CK774" i="40" s="1"/>
  <c r="CK779" i="40" s="1"/>
  <c r="CK784" i="40" s="1"/>
  <c r="CK789" i="40" s="1"/>
  <c r="CK794" i="40" s="1"/>
  <c r="CK799" i="40" s="1"/>
  <c r="CK804" i="40" s="1"/>
  <c r="CK809" i="40" s="1"/>
  <c r="CK814" i="40" s="1"/>
  <c r="CK819" i="40" s="1"/>
  <c r="CK825" i="40" s="1"/>
  <c r="CK827" i="40" s="1"/>
  <c r="CI769" i="40"/>
  <c r="CI774" i="40" s="1"/>
  <c r="CI779" i="40" s="1"/>
  <c r="CI784" i="40" s="1"/>
  <c r="CI789" i="40" s="1"/>
  <c r="CI794" i="40" s="1"/>
  <c r="CI799" i="40" s="1"/>
  <c r="CI804" i="40" s="1"/>
  <c r="CI809" i="40" s="1"/>
  <c r="CI814" i="40" s="1"/>
  <c r="CI819" i="40" s="1"/>
  <c r="CI825" i="40" s="1"/>
  <c r="CI827" i="40" s="1"/>
  <c r="U1498" i="40"/>
  <c r="X1501" i="40"/>
  <c r="W1501" i="40"/>
  <c r="V1501" i="40"/>
  <c r="U1501" i="40"/>
  <c r="T1501" i="40"/>
  <c r="Q1501" i="40"/>
  <c r="O1501" i="40"/>
  <c r="M1501" i="40"/>
  <c r="X1498" i="40"/>
  <c r="W1498" i="40"/>
  <c r="T1498" i="40"/>
  <c r="Q1498" i="40"/>
  <c r="P1517" i="40"/>
  <c r="P1534" i="40" s="1"/>
  <c r="R1517" i="40"/>
  <c r="K1517" i="40"/>
  <c r="J1516" i="40"/>
  <c r="J1517" i="40" s="1"/>
  <c r="Q1077" i="40"/>
  <c r="Q1076" i="40"/>
  <c r="Q1073" i="40"/>
  <c r="O1064" i="40"/>
  <c r="X1064" i="40"/>
  <c r="W1064" i="40"/>
  <c r="U1064" i="40"/>
  <c r="T1064" i="40"/>
  <c r="Q1032" i="40"/>
  <c r="Q1031" i="40"/>
  <c r="Q1030" i="40"/>
  <c r="Q1027" i="40"/>
  <c r="V1018" i="40"/>
  <c r="X1018" i="40"/>
  <c r="W1018" i="40"/>
  <c r="U1018" i="40"/>
  <c r="T1018" i="40"/>
  <c r="O1019" i="40" l="1"/>
  <c r="Q1088" i="40"/>
  <c r="M1498" i="40"/>
  <c r="V1498" i="40"/>
  <c r="O1498" i="40"/>
  <c r="M1516" i="40"/>
  <c r="Q1517" i="40"/>
  <c r="V1064" i="40"/>
  <c r="Q1043" i="40"/>
  <c r="O1018" i="40"/>
  <c r="C54" i="7" l="1"/>
  <c r="K75" i="21" s="1"/>
  <c r="C29" i="7"/>
  <c r="C133" i="45"/>
  <c r="B133" i="45"/>
  <c r="D6" i="41"/>
  <c r="F95" i="7"/>
  <c r="L141" i="45" l="1"/>
  <c r="I141" i="45"/>
  <c r="P68" i="41"/>
  <c r="O68" i="41"/>
  <c r="N68" i="41"/>
  <c r="M68" i="41"/>
  <c r="L68" i="41"/>
  <c r="K68" i="41"/>
  <c r="J68" i="41"/>
  <c r="D29" i="7" l="1"/>
  <c r="C25" i="7"/>
  <c r="D25" i="7" s="1"/>
  <c r="D125" i="45"/>
  <c r="D78" i="45"/>
  <c r="P2243" i="40"/>
  <c r="O2243" i="40"/>
  <c r="M2243" i="40"/>
  <c r="X2242" i="40"/>
  <c r="W2242" i="40"/>
  <c r="U2242" i="40"/>
  <c r="T2242" i="40"/>
  <c r="Q2242" i="40"/>
  <c r="V2242" i="40"/>
  <c r="M2242" i="40"/>
  <c r="S2113" i="40"/>
  <c r="P2113" i="40"/>
  <c r="O2113" i="40"/>
  <c r="M2113" i="40"/>
  <c r="O1504" i="40"/>
  <c r="M1504" i="40"/>
  <c r="X1503" i="40"/>
  <c r="W1503" i="40"/>
  <c r="U1503" i="40"/>
  <c r="T1503" i="40"/>
  <c r="Q1503" i="40"/>
  <c r="V1503" i="40"/>
  <c r="M1503" i="40"/>
  <c r="E29" i="7" l="1"/>
  <c r="F29" i="7" s="1"/>
  <c r="F25" i="7"/>
  <c r="Q2243" i="40"/>
  <c r="R2243" i="40"/>
  <c r="X2243" i="40" s="1"/>
  <c r="T2243" i="40"/>
  <c r="U2243" i="40"/>
  <c r="O2242" i="40"/>
  <c r="Q2113" i="40"/>
  <c r="T2113" i="40"/>
  <c r="U2113" i="40"/>
  <c r="Q1504" i="40"/>
  <c r="X1504" i="40"/>
  <c r="T1504" i="40"/>
  <c r="U1504" i="40"/>
  <c r="O1503" i="40"/>
  <c r="C29" i="41" l="1"/>
  <c r="C25" i="41"/>
  <c r="W2243" i="40"/>
  <c r="V2243" i="40"/>
  <c r="W1504" i="40"/>
  <c r="V1504" i="40"/>
  <c r="X1270" i="40" l="1"/>
  <c r="W1270" i="40"/>
  <c r="V1270" i="40"/>
  <c r="Q675" i="40" l="1"/>
  <c r="BU675" i="40" s="1"/>
  <c r="X675" i="40"/>
  <c r="V680" i="40"/>
  <c r="U680" i="40"/>
  <c r="X680" i="40"/>
  <c r="Q680" i="40"/>
  <c r="CA680" i="40" s="1"/>
  <c r="O680" i="40"/>
  <c r="V681" i="40"/>
  <c r="U681" i="40"/>
  <c r="X681" i="40"/>
  <c r="Q681" i="40"/>
  <c r="CC681" i="40" s="1"/>
  <c r="O681" i="40"/>
  <c r="V679" i="40"/>
  <c r="U679" i="40"/>
  <c r="X679" i="40"/>
  <c r="Q679" i="40"/>
  <c r="BY679" i="40" s="1"/>
  <c r="O679" i="40"/>
  <c r="V678" i="40"/>
  <c r="U678" i="40"/>
  <c r="X678" i="40"/>
  <c r="Q678" i="40"/>
  <c r="BX678" i="40" s="1"/>
  <c r="O678" i="40"/>
  <c r="V677" i="40"/>
  <c r="U677" i="40"/>
  <c r="X677" i="40"/>
  <c r="Q677" i="40"/>
  <c r="BW677" i="40" s="1"/>
  <c r="O677" i="40"/>
  <c r="V676" i="40"/>
  <c r="U676" i="40"/>
  <c r="X676" i="40"/>
  <c r="Q676" i="40"/>
  <c r="BV676" i="40" s="1"/>
  <c r="O676" i="40"/>
  <c r="V675" i="40"/>
  <c r="U675" i="40"/>
  <c r="O675" i="40"/>
  <c r="V674" i="40"/>
  <c r="U674" i="40"/>
  <c r="W674" i="40"/>
  <c r="Q674" i="40"/>
  <c r="BZ674" i="40" s="1"/>
  <c r="O674" i="40"/>
  <c r="O682" i="40"/>
  <c r="M682" i="40"/>
  <c r="CC682" i="40" s="1"/>
  <c r="X673" i="40"/>
  <c r="Q673" i="40"/>
  <c r="BS673" i="40" s="1"/>
  <c r="V671" i="40"/>
  <c r="M671" i="40"/>
  <c r="CC671" i="40" s="1"/>
  <c r="V670" i="40"/>
  <c r="M670" i="40"/>
  <c r="CA670" i="40" s="1"/>
  <c r="V669" i="40"/>
  <c r="M669" i="40"/>
  <c r="BY669" i="40" s="1"/>
  <c r="V668" i="40"/>
  <c r="M668" i="40"/>
  <c r="BX668" i="40" s="1"/>
  <c r="O667" i="40"/>
  <c r="M667" i="40"/>
  <c r="BX667" i="40" s="1"/>
  <c r="O666" i="40"/>
  <c r="M666" i="40"/>
  <c r="BW666" i="40" s="1"/>
  <c r="O665" i="40"/>
  <c r="M665" i="40"/>
  <c r="BW665" i="40" s="1"/>
  <c r="O664" i="40"/>
  <c r="M664" i="40"/>
  <c r="BV664" i="40" s="1"/>
  <c r="V663" i="40"/>
  <c r="M663" i="40"/>
  <c r="BU663" i="40" s="1"/>
  <c r="X671" i="40"/>
  <c r="W671" i="40"/>
  <c r="U671" i="40"/>
  <c r="T671" i="40"/>
  <c r="Q671" i="40"/>
  <c r="X670" i="40"/>
  <c r="W670" i="40"/>
  <c r="U670" i="40"/>
  <c r="T670" i="40"/>
  <c r="Q670" i="40"/>
  <c r="X669" i="40"/>
  <c r="W669" i="40"/>
  <c r="U669" i="40"/>
  <c r="T669" i="40"/>
  <c r="Q669" i="40"/>
  <c r="X668" i="40"/>
  <c r="W668" i="40"/>
  <c r="U668" i="40"/>
  <c r="T668" i="40"/>
  <c r="Q668" i="40"/>
  <c r="X667" i="40"/>
  <c r="W667" i="40"/>
  <c r="U667" i="40"/>
  <c r="T667" i="40"/>
  <c r="Q667" i="40"/>
  <c r="X666" i="40"/>
  <c r="W666" i="40"/>
  <c r="U666" i="40"/>
  <c r="T666" i="40"/>
  <c r="Q666" i="40"/>
  <c r="X665" i="40"/>
  <c r="W665" i="40"/>
  <c r="U665" i="40"/>
  <c r="T665" i="40"/>
  <c r="Q665" i="40"/>
  <c r="X664" i="40"/>
  <c r="W664" i="40"/>
  <c r="U664" i="40"/>
  <c r="T664" i="40"/>
  <c r="Q664" i="40"/>
  <c r="X663" i="40"/>
  <c r="W663" i="40"/>
  <c r="U663" i="40"/>
  <c r="T663" i="40"/>
  <c r="Q663" i="40"/>
  <c r="M662" i="40"/>
  <c r="BZ662" i="40" s="1"/>
  <c r="X682" i="40"/>
  <c r="W682" i="40"/>
  <c r="U682" i="40"/>
  <c r="T682" i="40"/>
  <c r="U673" i="40"/>
  <c r="O673" i="40"/>
  <c r="V672" i="40"/>
  <c r="U672" i="40"/>
  <c r="X672" i="40"/>
  <c r="Q672" i="40"/>
  <c r="BS672" i="40" s="1"/>
  <c r="O672" i="40"/>
  <c r="Q231" i="40"/>
  <c r="CC231" i="40" s="1"/>
  <c r="Q230" i="40"/>
  <c r="CC230" i="40" s="1"/>
  <c r="Q229" i="40"/>
  <c r="CA229" i="40" s="1"/>
  <c r="Q228" i="40"/>
  <c r="BY228" i="40" s="1"/>
  <c r="Q227" i="40"/>
  <c r="BX227" i="40" s="1"/>
  <c r="Q226" i="40"/>
  <c r="BX226" i="40" s="1"/>
  <c r="Q225" i="40"/>
  <c r="BX225" i="40" s="1"/>
  <c r="Q224" i="40"/>
  <c r="Q223" i="40"/>
  <c r="Q222" i="40"/>
  <c r="BX222" i="40" s="1"/>
  <c r="Q221" i="40"/>
  <c r="BX221" i="40" s="1"/>
  <c r="Q220" i="40"/>
  <c r="Q219" i="40"/>
  <c r="BX219" i="40" s="1"/>
  <c r="Q239" i="40"/>
  <c r="Q238" i="40"/>
  <c r="Q237" i="40"/>
  <c r="CC237" i="40" s="1"/>
  <c r="Q236" i="40"/>
  <c r="CC236" i="40" s="1"/>
  <c r="Q235" i="40"/>
  <c r="Q234" i="40"/>
  <c r="Q233" i="40"/>
  <c r="CC233" i="40" s="1"/>
  <c r="Q232" i="40"/>
  <c r="CC232" i="40" s="1"/>
  <c r="V221" i="40"/>
  <c r="U221" i="40"/>
  <c r="X221" i="40"/>
  <c r="O221" i="40"/>
  <c r="M221" i="40"/>
  <c r="V240" i="40"/>
  <c r="U240" i="40"/>
  <c r="W240" i="40"/>
  <c r="Q240" i="40"/>
  <c r="CD240" i="40" s="1"/>
  <c r="O240" i="40"/>
  <c r="M240" i="40"/>
  <c r="V230" i="40"/>
  <c r="U230" i="40"/>
  <c r="X230" i="40"/>
  <c r="O230" i="40"/>
  <c r="M230" i="40"/>
  <c r="V229" i="40"/>
  <c r="U229" i="40"/>
  <c r="X229" i="40"/>
  <c r="O229" i="40"/>
  <c r="M229" i="40"/>
  <c r="V228" i="40"/>
  <c r="U228" i="40"/>
  <c r="W228" i="40"/>
  <c r="O228" i="40"/>
  <c r="M228" i="40"/>
  <c r="V219" i="40"/>
  <c r="U219" i="40"/>
  <c r="W219" i="40"/>
  <c r="O219" i="40"/>
  <c r="M219" i="40"/>
  <c r="V217" i="40"/>
  <c r="U217" i="40"/>
  <c r="X217" i="40"/>
  <c r="Q217" i="40"/>
  <c r="BW217" i="40" s="1"/>
  <c r="O217" i="40"/>
  <c r="M217" i="40"/>
  <c r="V216" i="40"/>
  <c r="U216" i="40"/>
  <c r="X216" i="40"/>
  <c r="Q216" i="40"/>
  <c r="BV216" i="40" s="1"/>
  <c r="O216" i="40"/>
  <c r="M216" i="40"/>
  <c r="T675" i="40" l="1"/>
  <c r="T680" i="40"/>
  <c r="W680" i="40"/>
  <c r="T677" i="40"/>
  <c r="T678" i="40"/>
  <c r="T679" i="40"/>
  <c r="T681" i="40"/>
  <c r="W677" i="40"/>
  <c r="W678" i="40"/>
  <c r="W679" i="40"/>
  <c r="W681" i="40"/>
  <c r="T676" i="40"/>
  <c r="W675" i="40"/>
  <c r="W676" i="40"/>
  <c r="X674" i="40"/>
  <c r="T674" i="40"/>
  <c r="V682" i="40"/>
  <c r="T673" i="40"/>
  <c r="W673" i="40"/>
  <c r="O671" i="40"/>
  <c r="O670" i="40"/>
  <c r="O669" i="40"/>
  <c r="O668" i="40"/>
  <c r="O663" i="40"/>
  <c r="V667" i="40"/>
  <c r="V666" i="40"/>
  <c r="V665" i="40"/>
  <c r="V664" i="40"/>
  <c r="W672" i="40"/>
  <c r="V673" i="40"/>
  <c r="T672" i="40"/>
  <c r="T221" i="40"/>
  <c r="W221" i="40"/>
  <c r="X240" i="40"/>
  <c r="T240" i="40"/>
  <c r="T230" i="40"/>
  <c r="T229" i="40"/>
  <c r="W229" i="40"/>
  <c r="W230" i="40"/>
  <c r="X228" i="40"/>
  <c r="T228" i="40"/>
  <c r="X219" i="40"/>
  <c r="T219" i="40"/>
  <c r="T217" i="40"/>
  <c r="W217" i="40"/>
  <c r="T216" i="40"/>
  <c r="W216" i="40"/>
  <c r="X233" i="40" l="1"/>
  <c r="T232" i="40"/>
  <c r="T231" i="40"/>
  <c r="X227" i="40"/>
  <c r="X226" i="40"/>
  <c r="X225" i="40"/>
  <c r="W222" i="40"/>
  <c r="X220" i="40"/>
  <c r="T218" i="40"/>
  <c r="V224" i="40"/>
  <c r="V223" i="40"/>
  <c r="U238" i="40"/>
  <c r="Q241" i="40"/>
  <c r="AB241" i="40" s="1"/>
  <c r="CD239" i="40"/>
  <c r="AB220" i="40"/>
  <c r="Q218" i="40"/>
  <c r="BW218" i="40" s="1"/>
  <c r="Q215" i="40"/>
  <c r="BU215" i="40" s="1"/>
  <c r="M241" i="40"/>
  <c r="M239" i="40"/>
  <c r="M238" i="40"/>
  <c r="CE238" i="40" s="1"/>
  <c r="M237" i="40"/>
  <c r="M236" i="40"/>
  <c r="M235" i="40"/>
  <c r="CD235" i="40" s="1"/>
  <c r="M234" i="40"/>
  <c r="CD234" i="40" s="1"/>
  <c r="M233" i="40"/>
  <c r="M232" i="40"/>
  <c r="M231" i="40"/>
  <c r="M227" i="40"/>
  <c r="M226" i="40"/>
  <c r="M225" i="40"/>
  <c r="M224" i="40"/>
  <c r="CC224" i="40" s="1"/>
  <c r="M223" i="40"/>
  <c r="CB223" i="40" s="1"/>
  <c r="M222" i="40"/>
  <c r="M220" i="40"/>
  <c r="M218" i="40"/>
  <c r="V233" i="40"/>
  <c r="U233" i="40"/>
  <c r="O233" i="40"/>
  <c r="V232" i="40"/>
  <c r="U232" i="40"/>
  <c r="O232" i="40"/>
  <c r="V231" i="40"/>
  <c r="U231" i="40"/>
  <c r="O231" i="40"/>
  <c r="V227" i="40"/>
  <c r="U227" i="40"/>
  <c r="O227" i="40"/>
  <c r="V226" i="40"/>
  <c r="U226" i="40"/>
  <c r="O226" i="40"/>
  <c r="V225" i="40"/>
  <c r="U225" i="40"/>
  <c r="O225" i="40"/>
  <c r="X224" i="40"/>
  <c r="W224" i="40"/>
  <c r="U224" i="40"/>
  <c r="T224" i="40"/>
  <c r="X223" i="40"/>
  <c r="W223" i="40"/>
  <c r="U223" i="40"/>
  <c r="T223" i="40"/>
  <c r="V222" i="40"/>
  <c r="U222" i="40"/>
  <c r="O222" i="40"/>
  <c r="V220" i="40"/>
  <c r="U220" i="40"/>
  <c r="O220" i="40"/>
  <c r="V218" i="40"/>
  <c r="U218" i="40"/>
  <c r="O218" i="40"/>
  <c r="CC761" i="40" l="1"/>
  <c r="CB761" i="40"/>
  <c r="CD761" i="40"/>
  <c r="CE761" i="40"/>
  <c r="BZ761" i="40"/>
  <c r="CA761" i="40"/>
  <c r="T227" i="40"/>
  <c r="W232" i="40"/>
  <c r="X232" i="40"/>
  <c r="T226" i="40"/>
  <c r="W231" i="40"/>
  <c r="T225" i="40"/>
  <c r="W227" i="40"/>
  <c r="X231" i="40"/>
  <c r="T233" i="40"/>
  <c r="W226" i="40"/>
  <c r="W225" i="40"/>
  <c r="W233" i="40"/>
  <c r="X222" i="40"/>
  <c r="W218" i="40"/>
  <c r="X218" i="40"/>
  <c r="T222" i="40"/>
  <c r="T220" i="40"/>
  <c r="W220" i="40"/>
  <c r="O224" i="40"/>
  <c r="O223" i="40"/>
  <c r="BZ769" i="40" l="1"/>
  <c r="BZ774" i="40" s="1"/>
  <c r="BZ779" i="40" s="1"/>
  <c r="BZ784" i="40" s="1"/>
  <c r="BZ789" i="40" s="1"/>
  <c r="BZ794" i="40" s="1"/>
  <c r="BZ799" i="40" s="1"/>
  <c r="BZ804" i="40" s="1"/>
  <c r="BZ809" i="40" s="1"/>
  <c r="BZ814" i="40" s="1"/>
  <c r="BZ819" i="40" s="1"/>
  <c r="BZ825" i="40" s="1"/>
  <c r="BZ827" i="40" s="1"/>
  <c r="CD769" i="40"/>
  <c r="CD774" i="40" s="1"/>
  <c r="CD779" i="40" s="1"/>
  <c r="CD784" i="40" s="1"/>
  <c r="CD789" i="40" s="1"/>
  <c r="CD794" i="40" s="1"/>
  <c r="CD799" i="40" s="1"/>
  <c r="CD804" i="40" s="1"/>
  <c r="CD809" i="40" s="1"/>
  <c r="CD814" i="40" s="1"/>
  <c r="CD819" i="40" s="1"/>
  <c r="CD825" i="40" s="1"/>
  <c r="CD827" i="40" s="1"/>
  <c r="CC769" i="40"/>
  <c r="CC774" i="40" s="1"/>
  <c r="CC779" i="40" s="1"/>
  <c r="CC784" i="40" s="1"/>
  <c r="CC789" i="40" s="1"/>
  <c r="CC794" i="40" s="1"/>
  <c r="CC799" i="40" s="1"/>
  <c r="CC804" i="40" s="1"/>
  <c r="CC809" i="40" s="1"/>
  <c r="CC814" i="40" s="1"/>
  <c r="CC819" i="40" s="1"/>
  <c r="CC825" i="40" s="1"/>
  <c r="CC827" i="40" s="1"/>
  <c r="CE769" i="40"/>
  <c r="CE774" i="40" s="1"/>
  <c r="CE779" i="40" s="1"/>
  <c r="CE784" i="40" s="1"/>
  <c r="CE789" i="40" s="1"/>
  <c r="CE794" i="40" s="1"/>
  <c r="CE799" i="40" s="1"/>
  <c r="CE804" i="40" s="1"/>
  <c r="CE809" i="40" s="1"/>
  <c r="CE814" i="40" s="1"/>
  <c r="CE819" i="40" s="1"/>
  <c r="CE825" i="40" s="1"/>
  <c r="CE827" i="40" s="1"/>
  <c r="CA769" i="40"/>
  <c r="CA774" i="40" s="1"/>
  <c r="CA779" i="40" s="1"/>
  <c r="CA784" i="40" s="1"/>
  <c r="CA789" i="40" s="1"/>
  <c r="CA794" i="40" s="1"/>
  <c r="CA799" i="40" s="1"/>
  <c r="CA804" i="40" s="1"/>
  <c r="CA809" i="40" s="1"/>
  <c r="CA814" i="40" s="1"/>
  <c r="CA819" i="40" s="1"/>
  <c r="CA825" i="40" s="1"/>
  <c r="CA827" i="40" s="1"/>
  <c r="CB769" i="40"/>
  <c r="CB774" i="40" s="1"/>
  <c r="CB779" i="40" s="1"/>
  <c r="CB784" i="40" s="1"/>
  <c r="CB789" i="40" s="1"/>
  <c r="CB794" i="40" s="1"/>
  <c r="CB799" i="40" s="1"/>
  <c r="CB804" i="40" s="1"/>
  <c r="CB809" i="40" s="1"/>
  <c r="CB814" i="40" s="1"/>
  <c r="CB819" i="40" s="1"/>
  <c r="CB825" i="40" s="1"/>
  <c r="CB827" i="40" s="1"/>
  <c r="D118" i="45"/>
  <c r="I68" i="41" l="1"/>
  <c r="U2006" i="40" l="1"/>
  <c r="M2006" i="40"/>
  <c r="X841" i="40"/>
  <c r="W841" i="40"/>
  <c r="C21" i="7"/>
  <c r="K76" i="21" s="1"/>
  <c r="U842" i="40"/>
  <c r="U841" i="40"/>
  <c r="Y771" i="45"/>
  <c r="T842" i="40"/>
  <c r="Q842" i="40"/>
  <c r="AC331" i="45"/>
  <c r="AB331" i="45"/>
  <c r="CB205" i="45"/>
  <c r="CB204" i="45"/>
  <c r="CB203" i="45"/>
  <c r="CA202" i="45"/>
  <c r="BX200" i="45"/>
  <c r="BW199" i="45"/>
  <c r="BU198" i="45"/>
  <c r="BS197" i="45"/>
  <c r="BQ196" i="45"/>
  <c r="BO195" i="45"/>
  <c r="BM194" i="45"/>
  <c r="BL193" i="45"/>
  <c r="BI192" i="45"/>
  <c r="BZ201" i="45"/>
  <c r="V196" i="40"/>
  <c r="U196" i="40"/>
  <c r="X196" i="40"/>
  <c r="Q196" i="40"/>
  <c r="BP196" i="40" s="1"/>
  <c r="O196" i="40"/>
  <c r="M196" i="40"/>
  <c r="V195" i="40"/>
  <c r="U195" i="40"/>
  <c r="X195" i="40"/>
  <c r="Q195" i="40"/>
  <c r="BN195" i="40" s="1"/>
  <c r="O195" i="40"/>
  <c r="M195" i="40"/>
  <c r="V194" i="40"/>
  <c r="U194" i="40"/>
  <c r="X194" i="40"/>
  <c r="Q194" i="40"/>
  <c r="BL194" i="40" s="1"/>
  <c r="O194" i="40"/>
  <c r="M194" i="40"/>
  <c r="V193" i="40"/>
  <c r="U193" i="40"/>
  <c r="X193" i="40"/>
  <c r="Q193" i="40"/>
  <c r="BJ193" i="40" s="1"/>
  <c r="O193" i="40"/>
  <c r="M193" i="40"/>
  <c r="V192" i="40"/>
  <c r="U192" i="40"/>
  <c r="X192" i="40"/>
  <c r="Q192" i="40"/>
  <c r="BH192" i="40" s="1"/>
  <c r="O192" i="40"/>
  <c r="M192" i="40"/>
  <c r="V191" i="40"/>
  <c r="U191" i="40"/>
  <c r="X191" i="40"/>
  <c r="Q191" i="40"/>
  <c r="BF191" i="40" s="1"/>
  <c r="O191" i="40"/>
  <c r="M191" i="40"/>
  <c r="V190" i="40"/>
  <c r="U190" i="40"/>
  <c r="X190" i="40"/>
  <c r="Q190" i="40"/>
  <c r="BE190" i="40" s="1"/>
  <c r="O190" i="40"/>
  <c r="M190" i="40"/>
  <c r="V189" i="40"/>
  <c r="U189" i="40"/>
  <c r="X189" i="40"/>
  <c r="Q189" i="40"/>
  <c r="BB189" i="40" s="1"/>
  <c r="O189" i="40"/>
  <c r="M189" i="40"/>
  <c r="V200" i="40"/>
  <c r="U200" i="40"/>
  <c r="X200" i="40"/>
  <c r="Q200" i="40"/>
  <c r="BU200" i="40" s="1"/>
  <c r="O200" i="40"/>
  <c r="M200" i="40"/>
  <c r="V199" i="40"/>
  <c r="U199" i="40"/>
  <c r="X199" i="40"/>
  <c r="Q199" i="40"/>
  <c r="BT199" i="40" s="1"/>
  <c r="O199" i="40"/>
  <c r="M199" i="40"/>
  <c r="V198" i="40"/>
  <c r="U198" i="40"/>
  <c r="X198" i="40"/>
  <c r="Q198" i="40"/>
  <c r="BS198" i="40" s="1"/>
  <c r="O198" i="40"/>
  <c r="M198" i="40"/>
  <c r="V177" i="40"/>
  <c r="U177" i="40"/>
  <c r="X177" i="40"/>
  <c r="Q177" i="40"/>
  <c r="AJ177" i="40" s="1"/>
  <c r="O177" i="40"/>
  <c r="M177" i="40"/>
  <c r="V178" i="40"/>
  <c r="U178" i="40"/>
  <c r="X178" i="40"/>
  <c r="Q178" i="40"/>
  <c r="BB178" i="40" s="1"/>
  <c r="O178" i="40"/>
  <c r="M178" i="40"/>
  <c r="X168" i="40"/>
  <c r="W168" i="40"/>
  <c r="V168" i="40"/>
  <c r="U168" i="40"/>
  <c r="T168" i="40"/>
  <c r="Q168" i="40"/>
  <c r="O168" i="40"/>
  <c r="M168" i="40"/>
  <c r="BH168" i="40" s="1"/>
  <c r="X167" i="40"/>
  <c r="W167" i="40"/>
  <c r="V167" i="40"/>
  <c r="U167" i="40"/>
  <c r="T167" i="40"/>
  <c r="Q167" i="40"/>
  <c r="O167" i="40"/>
  <c r="M167" i="40"/>
  <c r="BF167" i="40" s="1"/>
  <c r="X166" i="40"/>
  <c r="W166" i="40"/>
  <c r="V166" i="40"/>
  <c r="U166" i="40"/>
  <c r="T166" i="40"/>
  <c r="Q166" i="40"/>
  <c r="O166" i="40"/>
  <c r="M166" i="40"/>
  <c r="BE166" i="40" s="1"/>
  <c r="X165" i="40"/>
  <c r="W165" i="40"/>
  <c r="V165" i="40"/>
  <c r="U165" i="40"/>
  <c r="T165" i="40"/>
  <c r="Q165" i="40"/>
  <c r="O165" i="40"/>
  <c r="M165" i="40"/>
  <c r="BB165" i="40" s="1"/>
  <c r="X170" i="40"/>
  <c r="W170" i="40"/>
  <c r="V170" i="40"/>
  <c r="U170" i="40"/>
  <c r="T170" i="40"/>
  <c r="Q170" i="40"/>
  <c r="O170" i="40"/>
  <c r="M170" i="40"/>
  <c r="BN170" i="40" s="1"/>
  <c r="X169" i="40"/>
  <c r="W169" i="40"/>
  <c r="V169" i="40"/>
  <c r="U169" i="40"/>
  <c r="T169" i="40"/>
  <c r="Q169" i="40"/>
  <c r="O169" i="40"/>
  <c r="M169" i="40"/>
  <c r="BJ169" i="40" s="1"/>
  <c r="X171" i="40"/>
  <c r="W171" i="40"/>
  <c r="V171" i="40"/>
  <c r="U171" i="40"/>
  <c r="T171" i="40"/>
  <c r="Q171" i="40"/>
  <c r="O171" i="40"/>
  <c r="M171" i="40"/>
  <c r="BP171" i="40" s="1"/>
  <c r="V204" i="40"/>
  <c r="O203" i="40"/>
  <c r="O186" i="40"/>
  <c r="V182" i="40"/>
  <c r="V181" i="40"/>
  <c r="O180" i="40"/>
  <c r="O175" i="40"/>
  <c r="V174" i="40"/>
  <c r="V173" i="40"/>
  <c r="O172" i="40"/>
  <c r="X175" i="40"/>
  <c r="W175" i="40"/>
  <c r="U175" i="40"/>
  <c r="T175" i="40"/>
  <c r="Q175" i="40"/>
  <c r="M175" i="40"/>
  <c r="BV175" i="40" s="1"/>
  <c r="X174" i="40"/>
  <c r="W174" i="40"/>
  <c r="U174" i="40"/>
  <c r="T174" i="40"/>
  <c r="Q174" i="40"/>
  <c r="M174" i="40"/>
  <c r="BV174" i="40" s="1"/>
  <c r="U173" i="40"/>
  <c r="X173" i="40"/>
  <c r="Q173" i="40"/>
  <c r="M173" i="40"/>
  <c r="BV173" i="40" s="1"/>
  <c r="U172" i="40"/>
  <c r="X172" i="40"/>
  <c r="Q172" i="40"/>
  <c r="M172" i="40"/>
  <c r="BS172" i="40" s="1"/>
  <c r="U186" i="40"/>
  <c r="X186" i="40"/>
  <c r="Q186" i="40"/>
  <c r="M186" i="40"/>
  <c r="BX186" i="40" s="1"/>
  <c r="V185" i="40"/>
  <c r="U185" i="40"/>
  <c r="X185" i="40"/>
  <c r="Q185" i="40"/>
  <c r="BB185" i="40" s="1"/>
  <c r="O185" i="40"/>
  <c r="M185" i="40"/>
  <c r="V184" i="40"/>
  <c r="U184" i="40"/>
  <c r="X184" i="40"/>
  <c r="Q184" i="40"/>
  <c r="BB184" i="40" s="1"/>
  <c r="O184" i="40"/>
  <c r="M184" i="40"/>
  <c r="V183" i="40"/>
  <c r="U183" i="40"/>
  <c r="X183" i="40"/>
  <c r="Q183" i="40"/>
  <c r="O183" i="40"/>
  <c r="M183" i="40"/>
  <c r="BS183" i="40" s="1"/>
  <c r="U182" i="40"/>
  <c r="X182" i="40"/>
  <c r="Q182" i="40"/>
  <c r="M182" i="40"/>
  <c r="BW182" i="40" s="1"/>
  <c r="U181" i="40"/>
  <c r="X181" i="40"/>
  <c r="Q181" i="40"/>
  <c r="M181" i="40"/>
  <c r="BW181" i="40" s="1"/>
  <c r="U180" i="40"/>
  <c r="X180" i="40"/>
  <c r="Q180" i="40"/>
  <c r="M180" i="40"/>
  <c r="BW180" i="40" s="1"/>
  <c r="V179" i="40"/>
  <c r="U179" i="40"/>
  <c r="X179" i="40"/>
  <c r="Q179" i="40"/>
  <c r="BB179" i="40" s="1"/>
  <c r="O179" i="40"/>
  <c r="M179" i="40"/>
  <c r="V176" i="40"/>
  <c r="U176" i="40"/>
  <c r="X176" i="40"/>
  <c r="Q176" i="40"/>
  <c r="AI176" i="40" s="1"/>
  <c r="O176" i="40"/>
  <c r="M176" i="40"/>
  <c r="V161" i="40"/>
  <c r="V160" i="40"/>
  <c r="O159" i="40"/>
  <c r="V158" i="40"/>
  <c r="Q145" i="40"/>
  <c r="Q151" i="40"/>
  <c r="Q150" i="40"/>
  <c r="Q154" i="40"/>
  <c r="Q153" i="40"/>
  <c r="O157" i="40"/>
  <c r="O155" i="40"/>
  <c r="T206" i="40"/>
  <c r="Q206" i="40"/>
  <c r="X205" i="40"/>
  <c r="Q205" i="40"/>
  <c r="T204" i="40"/>
  <c r="Q204" i="40"/>
  <c r="W203" i="40"/>
  <c r="Q203" i="40"/>
  <c r="X202" i="40"/>
  <c r="Q202" i="40"/>
  <c r="BU202" i="40" s="1"/>
  <c r="W201" i="40"/>
  <c r="Q201" i="40"/>
  <c r="BU201" i="40" s="1"/>
  <c r="Q197" i="40"/>
  <c r="BQ197" i="40" s="1"/>
  <c r="Q188" i="40"/>
  <c r="Q187" i="40"/>
  <c r="Q164" i="40"/>
  <c r="Q163" i="40"/>
  <c r="Q162" i="40"/>
  <c r="X161" i="40"/>
  <c r="Q161" i="40"/>
  <c r="X160" i="40"/>
  <c r="Q160" i="40"/>
  <c r="W159" i="40"/>
  <c r="Q159" i="40"/>
  <c r="W158" i="40"/>
  <c r="Q158" i="40"/>
  <c r="T157" i="40"/>
  <c r="Q157" i="40"/>
  <c r="T156" i="40"/>
  <c r="Q156" i="40"/>
  <c r="AI156" i="40" s="1"/>
  <c r="W155" i="40"/>
  <c r="Q155" i="40"/>
  <c r="W152" i="40"/>
  <c r="Q152" i="40"/>
  <c r="AI152" i="40" s="1"/>
  <c r="V154" i="40"/>
  <c r="O153" i="40"/>
  <c r="U161" i="40"/>
  <c r="M161" i="40"/>
  <c r="BU161" i="40" s="1"/>
  <c r="U160" i="40"/>
  <c r="M160" i="40"/>
  <c r="BU160" i="40" s="1"/>
  <c r="U159" i="40"/>
  <c r="M159" i="40"/>
  <c r="BU159" i="40" s="1"/>
  <c r="U158" i="40"/>
  <c r="M158" i="40"/>
  <c r="BU158" i="40" s="1"/>
  <c r="U157" i="40"/>
  <c r="M157" i="40"/>
  <c r="BT157" i="40" s="1"/>
  <c r="V156" i="40"/>
  <c r="U156" i="40"/>
  <c r="O156" i="40"/>
  <c r="M156" i="40"/>
  <c r="U155" i="40"/>
  <c r="M155" i="40"/>
  <c r="BS155" i="40" s="1"/>
  <c r="X154" i="40"/>
  <c r="W154" i="40"/>
  <c r="U154" i="40"/>
  <c r="T154" i="40"/>
  <c r="M154" i="40"/>
  <c r="BQ154" i="40" s="1"/>
  <c r="X153" i="40"/>
  <c r="W153" i="40"/>
  <c r="U153" i="40"/>
  <c r="T153" i="40"/>
  <c r="M153" i="40"/>
  <c r="BQ153" i="40" s="1"/>
  <c r="V152" i="40"/>
  <c r="U152" i="40"/>
  <c r="O152" i="40"/>
  <c r="M152" i="40"/>
  <c r="X151" i="40"/>
  <c r="W151" i="40"/>
  <c r="V151" i="40"/>
  <c r="U151" i="40"/>
  <c r="T151" i="40"/>
  <c r="O151" i="40"/>
  <c r="M151" i="40"/>
  <c r="AJ151" i="40" s="1"/>
  <c r="X150" i="40"/>
  <c r="W150" i="40"/>
  <c r="V150" i="40"/>
  <c r="U150" i="40"/>
  <c r="T150" i="40"/>
  <c r="O150" i="40"/>
  <c r="M150" i="40"/>
  <c r="AI150" i="40" s="1"/>
  <c r="X206" i="40"/>
  <c r="W206" i="40"/>
  <c r="V206" i="40"/>
  <c r="U206" i="40"/>
  <c r="O206" i="40"/>
  <c r="M206" i="40"/>
  <c r="V205" i="40"/>
  <c r="U205" i="40"/>
  <c r="O205" i="40"/>
  <c r="M205" i="40"/>
  <c r="U204" i="40"/>
  <c r="M204" i="40"/>
  <c r="BY204" i="40" s="1"/>
  <c r="X203" i="40"/>
  <c r="U203" i="40"/>
  <c r="T203" i="40"/>
  <c r="M203" i="40"/>
  <c r="BY203" i="40" s="1"/>
  <c r="V202" i="40"/>
  <c r="U202" i="40"/>
  <c r="O202" i="40"/>
  <c r="M202" i="40"/>
  <c r="V201" i="40"/>
  <c r="U201" i="40"/>
  <c r="O201" i="40"/>
  <c r="M201" i="40"/>
  <c r="Q149" i="40"/>
  <c r="BB149" i="40" s="1"/>
  <c r="Q148" i="40"/>
  <c r="BB148" i="40" s="1"/>
  <c r="Q147" i="40"/>
  <c r="BB147" i="40" s="1"/>
  <c r="Q146" i="40"/>
  <c r="BB146" i="40" s="1"/>
  <c r="Q144" i="40"/>
  <c r="BB144" i="40" s="1"/>
  <c r="Q143" i="40"/>
  <c r="BB143" i="40" s="1"/>
  <c r="Q142" i="40"/>
  <c r="BB142" i="40" s="1"/>
  <c r="BY761" i="40" l="1"/>
  <c r="W2006" i="40"/>
  <c r="X2006" i="40"/>
  <c r="V2006" i="40"/>
  <c r="O2006" i="40"/>
  <c r="T193" i="40"/>
  <c r="D21" i="7"/>
  <c r="T195" i="40"/>
  <c r="T191" i="40"/>
  <c r="W193" i="40"/>
  <c r="T196" i="40"/>
  <c r="T194" i="40"/>
  <c r="W194" i="40"/>
  <c r="W195" i="40"/>
  <c r="T189" i="40"/>
  <c r="W196" i="40"/>
  <c r="T190" i="40"/>
  <c r="T199" i="40"/>
  <c r="W189" i="40"/>
  <c r="T192" i="40"/>
  <c r="W190" i="40"/>
  <c r="W191" i="40"/>
  <c r="W192" i="40"/>
  <c r="T200" i="40"/>
  <c r="W199" i="40"/>
  <c r="W200" i="40"/>
  <c r="T198" i="40"/>
  <c r="W198" i="40"/>
  <c r="O161" i="40"/>
  <c r="T177" i="40"/>
  <c r="W177" i="40"/>
  <c r="T178" i="40"/>
  <c r="W178" i="40"/>
  <c r="O204" i="40"/>
  <c r="V203" i="40"/>
  <c r="V186" i="40"/>
  <c r="O182" i="40"/>
  <c r="V180" i="40"/>
  <c r="O181" i="40"/>
  <c r="V172" i="40"/>
  <c r="O174" i="40"/>
  <c r="O173" i="40"/>
  <c r="V175" i="40"/>
  <c r="T172" i="40"/>
  <c r="T179" i="40"/>
  <c r="T173" i="40"/>
  <c r="W172" i="40"/>
  <c r="W173" i="40"/>
  <c r="T201" i="40"/>
  <c r="T180" i="40"/>
  <c r="W179" i="40"/>
  <c r="T182" i="40"/>
  <c r="T183" i="40"/>
  <c r="T202" i="40"/>
  <c r="W180" i="40"/>
  <c r="T181" i="40"/>
  <c r="W181" i="40"/>
  <c r="W182" i="40"/>
  <c r="T185" i="40"/>
  <c r="X204" i="40"/>
  <c r="W202" i="40"/>
  <c r="T205" i="40"/>
  <c r="O158" i="40"/>
  <c r="O160" i="40"/>
  <c r="T176" i="40"/>
  <c r="W183" i="40"/>
  <c r="T186" i="40"/>
  <c r="T184" i="40"/>
  <c r="W184" i="40"/>
  <c r="X201" i="40"/>
  <c r="W185" i="40"/>
  <c r="W205" i="40"/>
  <c r="W176" i="40"/>
  <c r="W186" i="40"/>
  <c r="V159" i="40"/>
  <c r="W160" i="40"/>
  <c r="W204" i="40"/>
  <c r="T160" i="40"/>
  <c r="X159" i="40"/>
  <c r="T159" i="40"/>
  <c r="V157" i="40"/>
  <c r="V155" i="40"/>
  <c r="T155" i="40"/>
  <c r="W157" i="40"/>
  <c r="X158" i="40"/>
  <c r="W156" i="40"/>
  <c r="X157" i="40"/>
  <c r="T161" i="40"/>
  <c r="X156" i="40"/>
  <c r="X155" i="40"/>
  <c r="T158" i="40"/>
  <c r="W161" i="40"/>
  <c r="X152" i="40"/>
  <c r="T152" i="40"/>
  <c r="V153" i="40"/>
  <c r="O154" i="40"/>
  <c r="BY769" i="40" l="1"/>
  <c r="BY774" i="40" s="1"/>
  <c r="BY779" i="40" s="1"/>
  <c r="BY784" i="40" s="1"/>
  <c r="BY789" i="40" s="1"/>
  <c r="BY794" i="40" s="1"/>
  <c r="BY799" i="40" s="1"/>
  <c r="BY804" i="40" s="1"/>
  <c r="BY809" i="40" s="1"/>
  <c r="BY814" i="40" s="1"/>
  <c r="BY819" i="40" s="1"/>
  <c r="BY825" i="40" s="1"/>
  <c r="BY827" i="40" s="1"/>
  <c r="X648" i="40"/>
  <c r="W648" i="40"/>
  <c r="V648" i="40"/>
  <c r="U648" i="40"/>
  <c r="T648" i="40"/>
  <c r="Q648" i="40"/>
  <c r="O648" i="40"/>
  <c r="X656" i="40"/>
  <c r="W656" i="40"/>
  <c r="V656" i="40"/>
  <c r="U656" i="40"/>
  <c r="T656" i="40"/>
  <c r="Q656" i="40"/>
  <c r="BS656" i="40" s="1"/>
  <c r="O656" i="40"/>
  <c r="X655" i="40"/>
  <c r="W655" i="40"/>
  <c r="V655" i="40"/>
  <c r="U655" i="40"/>
  <c r="T655" i="40"/>
  <c r="Q655" i="40"/>
  <c r="BP655" i="40" s="1"/>
  <c r="O655" i="40"/>
  <c r="X654" i="40"/>
  <c r="W654" i="40"/>
  <c r="V654" i="40"/>
  <c r="U654" i="40"/>
  <c r="T654" i="40"/>
  <c r="Q654" i="40"/>
  <c r="BN654" i="40" s="1"/>
  <c r="O654" i="40"/>
  <c r="X653" i="40"/>
  <c r="W653" i="40"/>
  <c r="V653" i="40"/>
  <c r="U653" i="40"/>
  <c r="T653" i="40"/>
  <c r="Q653" i="40"/>
  <c r="BJ653" i="40" s="1"/>
  <c r="O653" i="40"/>
  <c r="X652" i="40"/>
  <c r="W652" i="40"/>
  <c r="V652" i="40"/>
  <c r="U652" i="40"/>
  <c r="T652" i="40"/>
  <c r="Q652" i="40"/>
  <c r="BH652" i="40" s="1"/>
  <c r="O652" i="40"/>
  <c r="X651" i="40"/>
  <c r="W651" i="40"/>
  <c r="V651" i="40"/>
  <c r="U651" i="40"/>
  <c r="T651" i="40"/>
  <c r="Q651" i="40"/>
  <c r="BF651" i="40" s="1"/>
  <c r="O651" i="40"/>
  <c r="X650" i="40"/>
  <c r="W650" i="40"/>
  <c r="V650" i="40"/>
  <c r="U650" i="40"/>
  <c r="T650" i="40"/>
  <c r="Q650" i="40"/>
  <c r="BE650" i="40" s="1"/>
  <c r="O650" i="40"/>
  <c r="Q658" i="40"/>
  <c r="BS658" i="40" s="1"/>
  <c r="Q657" i="40"/>
  <c r="BS657" i="40" s="1"/>
  <c r="Q649" i="40"/>
  <c r="BB649" i="40" s="1"/>
  <c r="Q644" i="40"/>
  <c r="V647" i="40"/>
  <c r="M647" i="40"/>
  <c r="BS647" i="40" s="1"/>
  <c r="V646" i="40"/>
  <c r="M646" i="40"/>
  <c r="BS646" i="40" s="1"/>
  <c r="V645" i="40"/>
  <c r="M645" i="40"/>
  <c r="BS645" i="40" s="1"/>
  <c r="M643" i="40"/>
  <c r="BP643" i="40" s="1"/>
  <c r="X658" i="40"/>
  <c r="W658" i="40"/>
  <c r="V658" i="40"/>
  <c r="U658" i="40"/>
  <c r="T658" i="40"/>
  <c r="O658" i="40"/>
  <c r="X657" i="40"/>
  <c r="W657" i="40"/>
  <c r="V657" i="40"/>
  <c r="U657" i="40"/>
  <c r="T657" i="40"/>
  <c r="O657" i="40"/>
  <c r="X649" i="40"/>
  <c r="W649" i="40"/>
  <c r="V649" i="40"/>
  <c r="U649" i="40"/>
  <c r="T649" i="40"/>
  <c r="O649" i="40"/>
  <c r="X647" i="40"/>
  <c r="W647" i="40"/>
  <c r="U647" i="40"/>
  <c r="T647" i="40"/>
  <c r="X646" i="40"/>
  <c r="W646" i="40"/>
  <c r="U646" i="40"/>
  <c r="T646" i="40"/>
  <c r="X645" i="40"/>
  <c r="W645" i="40"/>
  <c r="U645" i="40"/>
  <c r="T645" i="40"/>
  <c r="U509" i="40"/>
  <c r="U510" i="40"/>
  <c r="U511" i="40"/>
  <c r="U512" i="40"/>
  <c r="U513" i="40"/>
  <c r="U514" i="40"/>
  <c r="U515" i="40"/>
  <c r="U516" i="40"/>
  <c r="U517" i="40"/>
  <c r="U518" i="40"/>
  <c r="U519" i="40"/>
  <c r="V516" i="40"/>
  <c r="X516" i="40"/>
  <c r="Q516" i="40"/>
  <c r="BK516" i="40" s="1"/>
  <c r="O516" i="40"/>
  <c r="V515" i="40"/>
  <c r="X515" i="40"/>
  <c r="Q515" i="40"/>
  <c r="BE515" i="40" s="1"/>
  <c r="O515" i="40"/>
  <c r="V514" i="40"/>
  <c r="X514" i="40"/>
  <c r="Q514" i="40"/>
  <c r="AW514" i="40" s="1"/>
  <c r="O514" i="40"/>
  <c r="V513" i="40"/>
  <c r="X513" i="40"/>
  <c r="Q513" i="40"/>
  <c r="AQ513" i="40" s="1"/>
  <c r="O513" i="40"/>
  <c r="AJ511" i="40"/>
  <c r="Q518" i="40"/>
  <c r="BR518" i="40" s="1"/>
  <c r="X511" i="40"/>
  <c r="Q510" i="40"/>
  <c r="AI510" i="40" s="1"/>
  <c r="V511" i="40"/>
  <c r="O511" i="40"/>
  <c r="M517" i="40"/>
  <c r="BR517" i="40" s="1"/>
  <c r="BT761" i="40" l="1"/>
  <c r="BM761" i="40"/>
  <c r="BU761" i="40"/>
  <c r="BO761" i="40"/>
  <c r="BW761" i="40"/>
  <c r="BN761" i="40"/>
  <c r="BX761" i="40"/>
  <c r="BP761" i="40"/>
  <c r="BQ761" i="40"/>
  <c r="BV761" i="40"/>
  <c r="BR761" i="40"/>
  <c r="BS761" i="40"/>
  <c r="Q660" i="40"/>
  <c r="BB644" i="40"/>
  <c r="O647" i="40"/>
  <c r="O646" i="40"/>
  <c r="O645" i="40"/>
  <c r="T516" i="40"/>
  <c r="W516" i="40"/>
  <c r="T514" i="40"/>
  <c r="T515" i="40"/>
  <c r="W514" i="40"/>
  <c r="W515" i="40"/>
  <c r="T513" i="40"/>
  <c r="W513" i="40"/>
  <c r="W511" i="40"/>
  <c r="T511" i="40"/>
  <c r="BV769" i="40" l="1"/>
  <c r="BV774" i="40" s="1"/>
  <c r="BV779" i="40" s="1"/>
  <c r="BV784" i="40" s="1"/>
  <c r="BV789" i="40" s="1"/>
  <c r="BV794" i="40" s="1"/>
  <c r="BV799" i="40" s="1"/>
  <c r="BV804" i="40" s="1"/>
  <c r="BV809" i="40" s="1"/>
  <c r="BV814" i="40" s="1"/>
  <c r="BV819" i="40" s="1"/>
  <c r="BV825" i="40" s="1"/>
  <c r="BV827" i="40" s="1"/>
  <c r="BW769" i="40"/>
  <c r="BW774" i="40" s="1"/>
  <c r="BW779" i="40" s="1"/>
  <c r="BW784" i="40" s="1"/>
  <c r="BW789" i="40" s="1"/>
  <c r="BW794" i="40" s="1"/>
  <c r="BW799" i="40" s="1"/>
  <c r="BW804" i="40" s="1"/>
  <c r="BW809" i="40" s="1"/>
  <c r="BW814" i="40" s="1"/>
  <c r="BW819" i="40" s="1"/>
  <c r="BW825" i="40" s="1"/>
  <c r="BW827" i="40" s="1"/>
  <c r="BS769" i="40"/>
  <c r="BS774" i="40" s="1"/>
  <c r="BS779" i="40" s="1"/>
  <c r="BS784" i="40" s="1"/>
  <c r="BS789" i="40" s="1"/>
  <c r="BS794" i="40" s="1"/>
  <c r="BS799" i="40" s="1"/>
  <c r="BS804" i="40" s="1"/>
  <c r="BS809" i="40" s="1"/>
  <c r="BS814" i="40" s="1"/>
  <c r="BS819" i="40" s="1"/>
  <c r="BS825" i="40" s="1"/>
  <c r="BS827" i="40" s="1"/>
  <c r="BO769" i="40"/>
  <c r="BO774" i="40" s="1"/>
  <c r="BO779" i="40" s="1"/>
  <c r="BO784" i="40" s="1"/>
  <c r="BO789" i="40" s="1"/>
  <c r="BO794" i="40" s="1"/>
  <c r="BO799" i="40" s="1"/>
  <c r="BO804" i="40" s="1"/>
  <c r="BO809" i="40" s="1"/>
  <c r="BO814" i="40" s="1"/>
  <c r="BO819" i="40" s="1"/>
  <c r="BO825" i="40" s="1"/>
  <c r="BO827" i="40" s="1"/>
  <c r="BM769" i="40"/>
  <c r="BM774" i="40" s="1"/>
  <c r="BM779" i="40" s="1"/>
  <c r="BM784" i="40" s="1"/>
  <c r="BM789" i="40" s="1"/>
  <c r="BM794" i="40" s="1"/>
  <c r="BM799" i="40" s="1"/>
  <c r="BM804" i="40" s="1"/>
  <c r="BM809" i="40" s="1"/>
  <c r="BM814" i="40" s="1"/>
  <c r="BM819" i="40" s="1"/>
  <c r="BM825" i="40" s="1"/>
  <c r="BM827" i="40" s="1"/>
  <c r="BN769" i="40"/>
  <c r="BN774" i="40" s="1"/>
  <c r="BN779" i="40" s="1"/>
  <c r="BN784" i="40" s="1"/>
  <c r="BN789" i="40" s="1"/>
  <c r="BN794" i="40" s="1"/>
  <c r="BN799" i="40" s="1"/>
  <c r="BN804" i="40" s="1"/>
  <c r="BN809" i="40" s="1"/>
  <c r="BN814" i="40" s="1"/>
  <c r="BN819" i="40" s="1"/>
  <c r="BN825" i="40" s="1"/>
  <c r="BN827" i="40" s="1"/>
  <c r="BX769" i="40"/>
  <c r="BX774" i="40" s="1"/>
  <c r="BX779" i="40" s="1"/>
  <c r="BX784" i="40" s="1"/>
  <c r="BX789" i="40" s="1"/>
  <c r="BX794" i="40" s="1"/>
  <c r="BX799" i="40" s="1"/>
  <c r="BX804" i="40" s="1"/>
  <c r="BX809" i="40" s="1"/>
  <c r="BX814" i="40" s="1"/>
  <c r="BX819" i="40" s="1"/>
  <c r="BX825" i="40" s="1"/>
  <c r="BX827" i="40" s="1"/>
  <c r="BT769" i="40"/>
  <c r="BT774" i="40" s="1"/>
  <c r="BT779" i="40" s="1"/>
  <c r="BT784" i="40" s="1"/>
  <c r="BT789" i="40" s="1"/>
  <c r="BT794" i="40" s="1"/>
  <c r="BT799" i="40" s="1"/>
  <c r="BT804" i="40" s="1"/>
  <c r="BT809" i="40" s="1"/>
  <c r="BT814" i="40" s="1"/>
  <c r="BT819" i="40" s="1"/>
  <c r="BT825" i="40" s="1"/>
  <c r="BT827" i="40" s="1"/>
  <c r="BR769" i="40"/>
  <c r="BR774" i="40" s="1"/>
  <c r="BR779" i="40" s="1"/>
  <c r="BR784" i="40" s="1"/>
  <c r="BR789" i="40" s="1"/>
  <c r="BR794" i="40" s="1"/>
  <c r="BR799" i="40" s="1"/>
  <c r="BR804" i="40" s="1"/>
  <c r="BR809" i="40" s="1"/>
  <c r="BR814" i="40" s="1"/>
  <c r="BR819" i="40" s="1"/>
  <c r="BR825" i="40" s="1"/>
  <c r="BR827" i="40" s="1"/>
  <c r="BU769" i="40"/>
  <c r="BU774" i="40" s="1"/>
  <c r="BU779" i="40" s="1"/>
  <c r="BU784" i="40" s="1"/>
  <c r="BU789" i="40" s="1"/>
  <c r="BU794" i="40" s="1"/>
  <c r="BU799" i="40" s="1"/>
  <c r="BU804" i="40" s="1"/>
  <c r="BU809" i="40" s="1"/>
  <c r="BU814" i="40" s="1"/>
  <c r="BU819" i="40" s="1"/>
  <c r="BU825" i="40" s="1"/>
  <c r="BU827" i="40" s="1"/>
  <c r="BP769" i="40"/>
  <c r="BP774" i="40" s="1"/>
  <c r="BP779" i="40" s="1"/>
  <c r="BP784" i="40" s="1"/>
  <c r="BP789" i="40" s="1"/>
  <c r="BP794" i="40" s="1"/>
  <c r="BP799" i="40" s="1"/>
  <c r="BP804" i="40" s="1"/>
  <c r="BP809" i="40" s="1"/>
  <c r="BP814" i="40" s="1"/>
  <c r="BP819" i="40" s="1"/>
  <c r="BP825" i="40" s="1"/>
  <c r="BP827" i="40" s="1"/>
  <c r="BQ769" i="40"/>
  <c r="BQ774" i="40" s="1"/>
  <c r="BQ779" i="40" s="1"/>
  <c r="BQ784" i="40" s="1"/>
  <c r="BQ789" i="40" s="1"/>
  <c r="BQ794" i="40" s="1"/>
  <c r="BQ799" i="40" s="1"/>
  <c r="BQ804" i="40" s="1"/>
  <c r="BQ809" i="40" s="1"/>
  <c r="BQ814" i="40" s="1"/>
  <c r="BQ819" i="40" s="1"/>
  <c r="BQ825" i="40" s="1"/>
  <c r="BQ827" i="40" s="1"/>
  <c r="P1318" i="40"/>
  <c r="N1318" i="40"/>
  <c r="L1318" i="40"/>
  <c r="F1318" i="40"/>
  <c r="U1317" i="40"/>
  <c r="U1318" i="40" s="1"/>
  <c r="U1320" i="40" s="1"/>
  <c r="T1317" i="40"/>
  <c r="O1317" i="40"/>
  <c r="I1317" i="40"/>
  <c r="V1316" i="40"/>
  <c r="V1315" i="40"/>
  <c r="T1314" i="40"/>
  <c r="V1314" i="40" s="1"/>
  <c r="T1313" i="40"/>
  <c r="O1313" i="40"/>
  <c r="X1312" i="40"/>
  <c r="W1312" i="40"/>
  <c r="O1312" i="40"/>
  <c r="I1312" i="40"/>
  <c r="X1311" i="40"/>
  <c r="W1311" i="40"/>
  <c r="O1311" i="40"/>
  <c r="I1311" i="40"/>
  <c r="X1310" i="40"/>
  <c r="W1310" i="40"/>
  <c r="X1309" i="40"/>
  <c r="W1309" i="40"/>
  <c r="V1309" i="40"/>
  <c r="X1307" i="40"/>
  <c r="W1307" i="40"/>
  <c r="V1307" i="40"/>
  <c r="X1306" i="40"/>
  <c r="W1306" i="40"/>
  <c r="V1306" i="40"/>
  <c r="X1305" i="40"/>
  <c r="W1305" i="40"/>
  <c r="V1305" i="40"/>
  <c r="X1304" i="40"/>
  <c r="W1304" i="40"/>
  <c r="V1304" i="40"/>
  <c r="X1303" i="40"/>
  <c r="W1303" i="40"/>
  <c r="V1303" i="40"/>
  <c r="X1302" i="40"/>
  <c r="W1302" i="40"/>
  <c r="V1302" i="40"/>
  <c r="X1301" i="40"/>
  <c r="W1301" i="40"/>
  <c r="V1301" i="40"/>
  <c r="X1300" i="40"/>
  <c r="W1300" i="40"/>
  <c r="V1300" i="40"/>
  <c r="X1299" i="40"/>
  <c r="W1299" i="40"/>
  <c r="V1299" i="40"/>
  <c r="X1298" i="40"/>
  <c r="W1298" i="40"/>
  <c r="V1298" i="40"/>
  <c r="X1297" i="40"/>
  <c r="W1297" i="40"/>
  <c r="V1297" i="40"/>
  <c r="V1296" i="40"/>
  <c r="O1295" i="40"/>
  <c r="I1295" i="40"/>
  <c r="O1294" i="40"/>
  <c r="I1294" i="40"/>
  <c r="O1293" i="40"/>
  <c r="I1293" i="40"/>
  <c r="T1292" i="40"/>
  <c r="O1292" i="40"/>
  <c r="O1225" i="40"/>
  <c r="P1254" i="40"/>
  <c r="N1254" i="40"/>
  <c r="L1254" i="40"/>
  <c r="F1254" i="40"/>
  <c r="U1253" i="40"/>
  <c r="U1254" i="40" s="1"/>
  <c r="T1253" i="40"/>
  <c r="O1253" i="40"/>
  <c r="I1253" i="40"/>
  <c r="V1252" i="40"/>
  <c r="T1251" i="40"/>
  <c r="V1251" i="40" s="1"/>
  <c r="O1250" i="40"/>
  <c r="V1250" i="40" s="1"/>
  <c r="X1249" i="40"/>
  <c r="W1249" i="40"/>
  <c r="O1249" i="40"/>
  <c r="I1249" i="40"/>
  <c r="X1248" i="40"/>
  <c r="W1248" i="40"/>
  <c r="O1248" i="40"/>
  <c r="I1248" i="40"/>
  <c r="X1247" i="40"/>
  <c r="W1247" i="40"/>
  <c r="O1247" i="40"/>
  <c r="I1247" i="40"/>
  <c r="X1246" i="40"/>
  <c r="W1246" i="40"/>
  <c r="O1246" i="40"/>
  <c r="I1246" i="40"/>
  <c r="X1245" i="40"/>
  <c r="W1245" i="40"/>
  <c r="V1245" i="40"/>
  <c r="X1244" i="40"/>
  <c r="W1244" i="40"/>
  <c r="T1244" i="40"/>
  <c r="V1244" i="40" s="1"/>
  <c r="X1243" i="40"/>
  <c r="W1243" i="40"/>
  <c r="T1243" i="40"/>
  <c r="V1243" i="40" s="1"/>
  <c r="X1242" i="40"/>
  <c r="W1242" i="40"/>
  <c r="T1242" i="40"/>
  <c r="V1242" i="40" s="1"/>
  <c r="X1241" i="40"/>
  <c r="W1241" i="40"/>
  <c r="T1241" i="40"/>
  <c r="V1241" i="40" s="1"/>
  <c r="X1240" i="40"/>
  <c r="W1240" i="40"/>
  <c r="T1240" i="40"/>
  <c r="V1240" i="40" s="1"/>
  <c r="X1239" i="40"/>
  <c r="W1239" i="40"/>
  <c r="T1239" i="40"/>
  <c r="V1239" i="40" s="1"/>
  <c r="X1238" i="40"/>
  <c r="W1238" i="40"/>
  <c r="T1238" i="40"/>
  <c r="V1238" i="40" s="1"/>
  <c r="X1237" i="40"/>
  <c r="W1237" i="40"/>
  <c r="T1237" i="40"/>
  <c r="V1237" i="40" s="1"/>
  <c r="X1236" i="40"/>
  <c r="W1236" i="40"/>
  <c r="T1236" i="40"/>
  <c r="V1236" i="40" s="1"/>
  <c r="X1235" i="40"/>
  <c r="W1235" i="40"/>
  <c r="T1235" i="40"/>
  <c r="V1235" i="40" s="1"/>
  <c r="X1234" i="40"/>
  <c r="W1234" i="40"/>
  <c r="T1234" i="40"/>
  <c r="V1234" i="40" s="1"/>
  <c r="X1233" i="40"/>
  <c r="W1233" i="40"/>
  <c r="T1233" i="40"/>
  <c r="V1233" i="40" s="1"/>
  <c r="X1232" i="40"/>
  <c r="W1232" i="40"/>
  <c r="T1232" i="40"/>
  <c r="V1232" i="40" s="1"/>
  <c r="X1231" i="40"/>
  <c r="W1231" i="40"/>
  <c r="T1231" i="40"/>
  <c r="V1231" i="40" s="1"/>
  <c r="X1230" i="40"/>
  <c r="W1230" i="40"/>
  <c r="T1230" i="40"/>
  <c r="V1230" i="40" s="1"/>
  <c r="X1229" i="40"/>
  <c r="W1229" i="40"/>
  <c r="T1229" i="40"/>
  <c r="V1229" i="40" s="1"/>
  <c r="V1228" i="40"/>
  <c r="T1227" i="40"/>
  <c r="O1227" i="40"/>
  <c r="I1227" i="40"/>
  <c r="O1226" i="40"/>
  <c r="I1226" i="40"/>
  <c r="T1225" i="40"/>
  <c r="V1248" i="40" l="1"/>
  <c r="V1312" i="40"/>
  <c r="I1318" i="40"/>
  <c r="T1318" i="40"/>
  <c r="V1249" i="40"/>
  <c r="V1317" i="40"/>
  <c r="V1311" i="40"/>
  <c r="V1293" i="40"/>
  <c r="X1318" i="40"/>
  <c r="V1294" i="40"/>
  <c r="V1246" i="40"/>
  <c r="W1318" i="40"/>
  <c r="O1318" i="40"/>
  <c r="V1253" i="40"/>
  <c r="O1254" i="40"/>
  <c r="X1254" i="40"/>
  <c r="V1227" i="40"/>
  <c r="V1247" i="40"/>
  <c r="V1292" i="40"/>
  <c r="I1254" i="40"/>
  <c r="W1254" i="40"/>
  <c r="V1225" i="40"/>
  <c r="T1254" i="40"/>
  <c r="V1226" i="40"/>
  <c r="V1254" i="40" l="1"/>
  <c r="V1256" i="40" s="1"/>
  <c r="V1318" i="40"/>
  <c r="V1320" i="40" s="1"/>
  <c r="L1088" i="40" l="1"/>
  <c r="F1088" i="40"/>
  <c r="X1087" i="40"/>
  <c r="W1087" i="40"/>
  <c r="V1087" i="40"/>
  <c r="U1087" i="40"/>
  <c r="T1087" i="40"/>
  <c r="O1087" i="40"/>
  <c r="I1087" i="40"/>
  <c r="X1086" i="40"/>
  <c r="W1086" i="40"/>
  <c r="U1086" i="40"/>
  <c r="T1086" i="40"/>
  <c r="M1086" i="40"/>
  <c r="I1086" i="40"/>
  <c r="R1085" i="40"/>
  <c r="S1085" i="40" s="1"/>
  <c r="W1085" i="40" s="1"/>
  <c r="P1085" i="40"/>
  <c r="O1085" i="40"/>
  <c r="I1085" i="40"/>
  <c r="V1084" i="40"/>
  <c r="U1084" i="40"/>
  <c r="I1084" i="40"/>
  <c r="X1081" i="40"/>
  <c r="W1081" i="40"/>
  <c r="V1081" i="40"/>
  <c r="U1081" i="40"/>
  <c r="T1081" i="40"/>
  <c r="X1080" i="40"/>
  <c r="W1080" i="40"/>
  <c r="V1080" i="40"/>
  <c r="U1080" i="40"/>
  <c r="T1080" i="40"/>
  <c r="X1079" i="40"/>
  <c r="W1079" i="40"/>
  <c r="V1079" i="40"/>
  <c r="U1079" i="40"/>
  <c r="T1079" i="40"/>
  <c r="O1079" i="40"/>
  <c r="I1079" i="40"/>
  <c r="X1078" i="40"/>
  <c r="W1078" i="40"/>
  <c r="V1078" i="40"/>
  <c r="U1078" i="40"/>
  <c r="T1078" i="40"/>
  <c r="O1078" i="40"/>
  <c r="I1078" i="40"/>
  <c r="X1077" i="40"/>
  <c r="W1077" i="40"/>
  <c r="V1077" i="40"/>
  <c r="U1077" i="40"/>
  <c r="T1077" i="40"/>
  <c r="O1077" i="40"/>
  <c r="I1077" i="40"/>
  <c r="X1076" i="40"/>
  <c r="W1076" i="40"/>
  <c r="V1076" i="40"/>
  <c r="U1076" i="40"/>
  <c r="T1076" i="40"/>
  <c r="O1076" i="40"/>
  <c r="I1076" i="40"/>
  <c r="U1073" i="40"/>
  <c r="T1073" i="40"/>
  <c r="O1073" i="40"/>
  <c r="I1073" i="40"/>
  <c r="X1072" i="40"/>
  <c r="W1072" i="40"/>
  <c r="V1072" i="40"/>
  <c r="U1072" i="40"/>
  <c r="T1072" i="40"/>
  <c r="O1072" i="40"/>
  <c r="X1071" i="40"/>
  <c r="W1071" i="40"/>
  <c r="V1071" i="40"/>
  <c r="U1071" i="40"/>
  <c r="T1071" i="40"/>
  <c r="O1071" i="40"/>
  <c r="X1070" i="40"/>
  <c r="W1070" i="40"/>
  <c r="V1070" i="40"/>
  <c r="U1070" i="40"/>
  <c r="T1070" i="40"/>
  <c r="O1070" i="40"/>
  <c r="X1068" i="40"/>
  <c r="W1068" i="40"/>
  <c r="V1068" i="40"/>
  <c r="U1068" i="40"/>
  <c r="T1068" i="40"/>
  <c r="O1068" i="40"/>
  <c r="X1067" i="40"/>
  <c r="W1067" i="40"/>
  <c r="V1067" i="40"/>
  <c r="U1067" i="40"/>
  <c r="T1067" i="40"/>
  <c r="O1067" i="40"/>
  <c r="X1066" i="40"/>
  <c r="W1066" i="40"/>
  <c r="V1066" i="40"/>
  <c r="U1066" i="40"/>
  <c r="T1066" i="40"/>
  <c r="O1066" i="40"/>
  <c r="X1065" i="40"/>
  <c r="W1065" i="40"/>
  <c r="V1065" i="40"/>
  <c r="U1065" i="40"/>
  <c r="T1065" i="40"/>
  <c r="O1065" i="40"/>
  <c r="X1063" i="40"/>
  <c r="W1063" i="40"/>
  <c r="V1063" i="40"/>
  <c r="U1063" i="40"/>
  <c r="T1063" i="40"/>
  <c r="O1063" i="40"/>
  <c r="X1062" i="40"/>
  <c r="W1062" i="40"/>
  <c r="U1062" i="40"/>
  <c r="T1062" i="40"/>
  <c r="X1061" i="40"/>
  <c r="W1061" i="40"/>
  <c r="U1061" i="40"/>
  <c r="T1061" i="40"/>
  <c r="V1061" i="40"/>
  <c r="X1060" i="40"/>
  <c r="W1060" i="40"/>
  <c r="V1060" i="40"/>
  <c r="U1060" i="40"/>
  <c r="T1060" i="40"/>
  <c r="O1060" i="40"/>
  <c r="X1059" i="40"/>
  <c r="W1059" i="40"/>
  <c r="V1059" i="40"/>
  <c r="U1059" i="40"/>
  <c r="T1059" i="40"/>
  <c r="O1059" i="40"/>
  <c r="X1058" i="40"/>
  <c r="W1058" i="40"/>
  <c r="V1058" i="40"/>
  <c r="U1058" i="40"/>
  <c r="T1058" i="40"/>
  <c r="O1058" i="40"/>
  <c r="X1056" i="40"/>
  <c r="W1056" i="40"/>
  <c r="V1056" i="40"/>
  <c r="U1056" i="40"/>
  <c r="T1056" i="40"/>
  <c r="O1056" i="40"/>
  <c r="X1055" i="40"/>
  <c r="W1055" i="40"/>
  <c r="V1055" i="40"/>
  <c r="U1055" i="40"/>
  <c r="T1055" i="40"/>
  <c r="O1055" i="40"/>
  <c r="X1052" i="40"/>
  <c r="W1052" i="40"/>
  <c r="V1052" i="40"/>
  <c r="U1052" i="40"/>
  <c r="T1052" i="40"/>
  <c r="O1052" i="40"/>
  <c r="I1052" i="40"/>
  <c r="X1051" i="40"/>
  <c r="W1051" i="40"/>
  <c r="V1051" i="40"/>
  <c r="U1051" i="40"/>
  <c r="T1051" i="40"/>
  <c r="O1051" i="40"/>
  <c r="I1051" i="40"/>
  <c r="X1050" i="40"/>
  <c r="W1050" i="40"/>
  <c r="V1050" i="40"/>
  <c r="U1050" i="40"/>
  <c r="T1050" i="40"/>
  <c r="O1050" i="40"/>
  <c r="I1050" i="40"/>
  <c r="X1049" i="40"/>
  <c r="W1049" i="40"/>
  <c r="V1049" i="40"/>
  <c r="U1049" i="40"/>
  <c r="T1049" i="40"/>
  <c r="O1049" i="40"/>
  <c r="I1049" i="40"/>
  <c r="X1048" i="40"/>
  <c r="W1048" i="40"/>
  <c r="U1048" i="40"/>
  <c r="T1048" i="40"/>
  <c r="M1048" i="40"/>
  <c r="I1048" i="40"/>
  <c r="F1046" i="40"/>
  <c r="O1002" i="40"/>
  <c r="M1002" i="40"/>
  <c r="X1002" i="40"/>
  <c r="W1002" i="40"/>
  <c r="U1002" i="40"/>
  <c r="T1002" i="40"/>
  <c r="I1002" i="40"/>
  <c r="M1088" i="40" l="1"/>
  <c r="O1062" i="40"/>
  <c r="T1085" i="40"/>
  <c r="T1088" i="40" s="1"/>
  <c r="V1062" i="40"/>
  <c r="I1088" i="40"/>
  <c r="U1085" i="40"/>
  <c r="U1088" i="40" s="1"/>
  <c r="U1090" i="40" s="1"/>
  <c r="V1085" i="40"/>
  <c r="P1088" i="40"/>
  <c r="X1085" i="40"/>
  <c r="V1048" i="40"/>
  <c r="O1061" i="40"/>
  <c r="O1048" i="40"/>
  <c r="V1002" i="40"/>
  <c r="V1073" i="40" l="1"/>
  <c r="X1073" i="40"/>
  <c r="X1088" i="40" s="1"/>
  <c r="W1073" i="40"/>
  <c r="W1088" i="40" s="1"/>
  <c r="C64" i="41"/>
  <c r="H68" i="41"/>
  <c r="G68" i="41"/>
  <c r="F68" i="41"/>
  <c r="E68" i="41"/>
  <c r="D81" i="45" l="1"/>
  <c r="D86" i="45"/>
  <c r="D77" i="45"/>
  <c r="D119" i="45"/>
  <c r="C22" i="7"/>
  <c r="D97" i="45"/>
  <c r="D64" i="41" l="1"/>
  <c r="E22" i="7"/>
  <c r="D22" i="7"/>
  <c r="K2170" i="40"/>
  <c r="J2169" i="40"/>
  <c r="J2170" i="40" s="1"/>
  <c r="M2165" i="40"/>
  <c r="U2165" i="40"/>
  <c r="T2165" i="40"/>
  <c r="Q2165" i="40"/>
  <c r="K1919" i="40"/>
  <c r="J1919" i="40"/>
  <c r="J1918" i="40"/>
  <c r="P1918" i="40"/>
  <c r="L1918" i="40"/>
  <c r="X1807" i="40"/>
  <c r="W1807" i="40"/>
  <c r="T1807" i="40"/>
  <c r="Q1807" i="40"/>
  <c r="V1807" i="40"/>
  <c r="M1807" i="40"/>
  <c r="F22" i="7" l="1"/>
  <c r="O2165" i="40"/>
  <c r="V2165" i="40"/>
  <c r="W2165" i="40"/>
  <c r="X2165" i="40"/>
  <c r="O1807" i="40"/>
  <c r="C22" i="41" l="1"/>
  <c r="U1514" i="40" l="1"/>
  <c r="T1514" i="40"/>
  <c r="Q1514" i="40"/>
  <c r="M1514" i="40"/>
  <c r="V139" i="40"/>
  <c r="P140" i="40"/>
  <c r="V76" i="40"/>
  <c r="U76" i="40"/>
  <c r="X76" i="40"/>
  <c r="Q76" i="40"/>
  <c r="AR76" i="40" s="1"/>
  <c r="O76" i="40"/>
  <c r="M76" i="40"/>
  <c r="O135" i="40"/>
  <c r="X127" i="40"/>
  <c r="W127" i="40"/>
  <c r="U127" i="40"/>
  <c r="T127" i="40"/>
  <c r="Q127" i="40"/>
  <c r="O127" i="40"/>
  <c r="X633" i="40"/>
  <c r="W633" i="40"/>
  <c r="U633" i="40"/>
  <c r="T633" i="40"/>
  <c r="V633" i="40"/>
  <c r="M633" i="40"/>
  <c r="BB633" i="40" s="1"/>
  <c r="X632" i="40"/>
  <c r="W632" i="40"/>
  <c r="U632" i="40"/>
  <c r="T632" i="40"/>
  <c r="V632" i="40"/>
  <c r="M632" i="40"/>
  <c r="U117" i="40"/>
  <c r="X117" i="40"/>
  <c r="Q117" i="40"/>
  <c r="AV117" i="40" s="1"/>
  <c r="O117" i="40"/>
  <c r="M117" i="40"/>
  <c r="U116" i="40"/>
  <c r="X116" i="40"/>
  <c r="Q116" i="40"/>
  <c r="AV116" i="40" s="1"/>
  <c r="O116" i="40"/>
  <c r="M116" i="40"/>
  <c r="Q138" i="40"/>
  <c r="Q137" i="40"/>
  <c r="Q136" i="40"/>
  <c r="Q135" i="40"/>
  <c r="BA135" i="40" s="1"/>
  <c r="Q131" i="40"/>
  <c r="BA131" i="40" s="1"/>
  <c r="Q130" i="40"/>
  <c r="BA130" i="40" s="1"/>
  <c r="Q126" i="40"/>
  <c r="BA126" i="40" s="1"/>
  <c r="Q125" i="40"/>
  <c r="BA125" i="40" s="1"/>
  <c r="Q124" i="40"/>
  <c r="BA124" i="40" s="1"/>
  <c r="Q123" i="40"/>
  <c r="BA123" i="40" s="1"/>
  <c r="Q119" i="40"/>
  <c r="AW119" i="40" s="1"/>
  <c r="T137" i="40"/>
  <c r="X131" i="40"/>
  <c r="T130" i="40"/>
  <c r="T126" i="40"/>
  <c r="X125" i="40"/>
  <c r="T123" i="40"/>
  <c r="W122" i="40"/>
  <c r="U137" i="40"/>
  <c r="O137" i="40"/>
  <c r="M137" i="40"/>
  <c r="U136" i="40"/>
  <c r="O136" i="40"/>
  <c r="M136" i="40"/>
  <c r="X135" i="40"/>
  <c r="W135" i="40"/>
  <c r="U135" i="40"/>
  <c r="T135" i="40"/>
  <c r="M135" i="40"/>
  <c r="X138" i="40"/>
  <c r="W138" i="40"/>
  <c r="U138" i="40"/>
  <c r="T138" i="40"/>
  <c r="M138" i="40"/>
  <c r="U126" i="40"/>
  <c r="O126" i="40"/>
  <c r="M126" i="40"/>
  <c r="U125" i="40"/>
  <c r="O125" i="40"/>
  <c r="M125" i="40"/>
  <c r="X124" i="40"/>
  <c r="W124" i="40"/>
  <c r="U124" i="40"/>
  <c r="T124" i="40"/>
  <c r="O124" i="40"/>
  <c r="M124" i="40"/>
  <c r="U131" i="40"/>
  <c r="O131" i="40"/>
  <c r="M131" i="40"/>
  <c r="U130" i="40"/>
  <c r="O130" i="40"/>
  <c r="M130" i="40"/>
  <c r="U123" i="40"/>
  <c r="O123" i="40"/>
  <c r="M123" i="40"/>
  <c r="U122" i="40"/>
  <c r="Q122" i="40"/>
  <c r="BA122" i="40" s="1"/>
  <c r="O122" i="40"/>
  <c r="M122" i="40"/>
  <c r="Q636" i="40"/>
  <c r="AW636" i="40" s="1"/>
  <c r="X635" i="40"/>
  <c r="Q635" i="40"/>
  <c r="O631" i="40"/>
  <c r="V634" i="40"/>
  <c r="M635" i="40"/>
  <c r="BC635" i="40" s="1"/>
  <c r="M631" i="40"/>
  <c r="BA631" i="40" s="1"/>
  <c r="M636" i="40"/>
  <c r="M634" i="40"/>
  <c r="BB634" i="40" s="1"/>
  <c r="V635" i="40"/>
  <c r="U635" i="40"/>
  <c r="O635" i="40"/>
  <c r="X634" i="40"/>
  <c r="W634" i="40"/>
  <c r="U634" i="40"/>
  <c r="T634" i="40"/>
  <c r="X631" i="40"/>
  <c r="W631" i="40"/>
  <c r="U631" i="40"/>
  <c r="T631" i="40"/>
  <c r="Q114" i="40"/>
  <c r="AV114" i="40" s="1"/>
  <c r="Q113" i="40"/>
  <c r="BK761" i="40" l="1"/>
  <c r="BL761" i="40"/>
  <c r="BF761" i="40"/>
  <c r="BG761" i="40"/>
  <c r="BH761" i="40"/>
  <c r="BI761" i="40"/>
  <c r="BJ761" i="40"/>
  <c r="Q640" i="40"/>
  <c r="X136" i="40"/>
  <c r="V126" i="40"/>
  <c r="V135" i="40"/>
  <c r="V1514" i="40"/>
  <c r="W1514" i="40"/>
  <c r="X1514" i="40"/>
  <c r="V116" i="40"/>
  <c r="V130" i="40"/>
  <c r="O1514" i="40"/>
  <c r="V127" i="40"/>
  <c r="V124" i="40"/>
  <c r="V138" i="40"/>
  <c r="V117" i="40"/>
  <c r="V131" i="40"/>
  <c r="V122" i="40"/>
  <c r="V123" i="40"/>
  <c r="V136" i="40"/>
  <c r="V113" i="40"/>
  <c r="V137" i="40"/>
  <c r="V125" i="40"/>
  <c r="T76" i="40"/>
  <c r="W76" i="40"/>
  <c r="O138" i="40"/>
  <c r="O633" i="40"/>
  <c r="W136" i="40"/>
  <c r="O632" i="40"/>
  <c r="T125" i="40"/>
  <c r="W125" i="40"/>
  <c r="T117" i="40"/>
  <c r="T116" i="40"/>
  <c r="T136" i="40"/>
  <c r="W117" i="40"/>
  <c r="X137" i="40"/>
  <c r="W137" i="40"/>
  <c r="W116" i="40"/>
  <c r="X130" i="40"/>
  <c r="W130" i="40"/>
  <c r="T131" i="40"/>
  <c r="W131" i="40"/>
  <c r="W126" i="40"/>
  <c r="X126" i="40"/>
  <c r="X122" i="40"/>
  <c r="W123" i="40"/>
  <c r="X123" i="40"/>
  <c r="T122" i="40"/>
  <c r="V631" i="40"/>
  <c r="T635" i="40"/>
  <c r="W635" i="40"/>
  <c r="O634" i="40"/>
  <c r="BK769" i="40" l="1"/>
  <c r="BK774" i="40" s="1"/>
  <c r="BK779" i="40" s="1"/>
  <c r="BK784" i="40" s="1"/>
  <c r="BK789" i="40" s="1"/>
  <c r="BK794" i="40" s="1"/>
  <c r="BK799" i="40" s="1"/>
  <c r="BK804" i="40" s="1"/>
  <c r="BK809" i="40" s="1"/>
  <c r="BK814" i="40" s="1"/>
  <c r="BK819" i="40" s="1"/>
  <c r="BK825" i="40" s="1"/>
  <c r="BK827" i="40" s="1"/>
  <c r="BF769" i="40"/>
  <c r="BF774" i="40" s="1"/>
  <c r="BF779" i="40" s="1"/>
  <c r="BF784" i="40" s="1"/>
  <c r="BF789" i="40" s="1"/>
  <c r="BF794" i="40" s="1"/>
  <c r="BF799" i="40" s="1"/>
  <c r="BF804" i="40" s="1"/>
  <c r="BF809" i="40" s="1"/>
  <c r="BF814" i="40" s="1"/>
  <c r="BF819" i="40" s="1"/>
  <c r="BF825" i="40" s="1"/>
  <c r="BF827" i="40" s="1"/>
  <c r="BH769" i="40"/>
  <c r="BH774" i="40" s="1"/>
  <c r="BH779" i="40" s="1"/>
  <c r="BH784" i="40" s="1"/>
  <c r="BH789" i="40" s="1"/>
  <c r="BH794" i="40" s="1"/>
  <c r="BH799" i="40" s="1"/>
  <c r="BH804" i="40" s="1"/>
  <c r="BH809" i="40" s="1"/>
  <c r="BH814" i="40" s="1"/>
  <c r="BH819" i="40" s="1"/>
  <c r="BH825" i="40" s="1"/>
  <c r="BH827" i="40" s="1"/>
  <c r="BI769" i="40"/>
  <c r="BI774" i="40" s="1"/>
  <c r="BI779" i="40" s="1"/>
  <c r="BI784" i="40" s="1"/>
  <c r="BI789" i="40" s="1"/>
  <c r="BI794" i="40" s="1"/>
  <c r="BI799" i="40" s="1"/>
  <c r="BI804" i="40" s="1"/>
  <c r="BI809" i="40" s="1"/>
  <c r="BI814" i="40" s="1"/>
  <c r="BI819" i="40" s="1"/>
  <c r="BI825" i="40" s="1"/>
  <c r="BI827" i="40" s="1"/>
  <c r="BG769" i="40"/>
  <c r="BG774" i="40" s="1"/>
  <c r="BG779" i="40" s="1"/>
  <c r="BG784" i="40" s="1"/>
  <c r="BG789" i="40" s="1"/>
  <c r="BG794" i="40" s="1"/>
  <c r="BG799" i="40" s="1"/>
  <c r="BG804" i="40" s="1"/>
  <c r="BG809" i="40" s="1"/>
  <c r="BG814" i="40" s="1"/>
  <c r="BG819" i="40" s="1"/>
  <c r="BG825" i="40" s="1"/>
  <c r="BG827" i="40" s="1"/>
  <c r="BJ769" i="40"/>
  <c r="BJ774" i="40" s="1"/>
  <c r="BJ779" i="40" s="1"/>
  <c r="BJ784" i="40" s="1"/>
  <c r="BJ789" i="40" s="1"/>
  <c r="BJ794" i="40" s="1"/>
  <c r="BJ799" i="40" s="1"/>
  <c r="BJ804" i="40" s="1"/>
  <c r="BJ809" i="40" s="1"/>
  <c r="BJ814" i="40" s="1"/>
  <c r="BJ819" i="40" s="1"/>
  <c r="BJ825" i="40" s="1"/>
  <c r="BJ827" i="40" s="1"/>
  <c r="BL769" i="40"/>
  <c r="BL774" i="40" s="1"/>
  <c r="BL779" i="40" s="1"/>
  <c r="BL784" i="40" s="1"/>
  <c r="BL789" i="40" s="1"/>
  <c r="BL794" i="40" s="1"/>
  <c r="BL799" i="40" s="1"/>
  <c r="BL804" i="40" s="1"/>
  <c r="BL809" i="40" s="1"/>
  <c r="BL814" i="40" s="1"/>
  <c r="BL819" i="40" s="1"/>
  <c r="BL825" i="40" s="1"/>
  <c r="BL827" i="40" s="1"/>
  <c r="M1001" i="40"/>
  <c r="M1043" i="40" l="1"/>
  <c r="C63" i="41"/>
  <c r="D63" i="41" s="1"/>
  <c r="N81" i="21" l="1"/>
  <c r="I33" i="45" l="1"/>
  <c r="I32" i="45"/>
  <c r="F33" i="45"/>
  <c r="F32" i="45"/>
  <c r="D34" i="45"/>
  <c r="C31" i="21"/>
  <c r="E31" i="21" s="1"/>
  <c r="C30" i="21"/>
  <c r="M841" i="40"/>
  <c r="L854" i="40"/>
  <c r="L857" i="40" s="1"/>
  <c r="F854" i="40"/>
  <c r="F857" i="40" s="1"/>
  <c r="X853" i="40"/>
  <c r="W853" i="40"/>
  <c r="V853" i="40"/>
  <c r="U853" i="40"/>
  <c r="T853" i="40"/>
  <c r="O853" i="40"/>
  <c r="U851" i="40"/>
  <c r="T851" i="40"/>
  <c r="P850" i="40"/>
  <c r="O850" i="40"/>
  <c r="T849" i="40"/>
  <c r="T841" i="40"/>
  <c r="I841" i="40"/>
  <c r="V839" i="40"/>
  <c r="U839" i="40"/>
  <c r="T839" i="40"/>
  <c r="O839" i="40"/>
  <c r="I839" i="40"/>
  <c r="C76" i="21" l="1"/>
  <c r="V841" i="40"/>
  <c r="F31" i="21"/>
  <c r="J33" i="45" s="1"/>
  <c r="K33" i="45" s="1"/>
  <c r="L33" i="45" s="1"/>
  <c r="O33" i="45" s="1"/>
  <c r="E30" i="21"/>
  <c r="V850" i="40"/>
  <c r="O841" i="40"/>
  <c r="W850" i="40"/>
  <c r="X850" i="40"/>
  <c r="P854" i="40"/>
  <c r="P857" i="40" s="1"/>
  <c r="I854" i="40"/>
  <c r="I857" i="40" s="1"/>
  <c r="T850" i="40"/>
  <c r="U850" i="40"/>
  <c r="W842" i="40" l="1"/>
  <c r="W854" i="40" s="1"/>
  <c r="V842" i="40"/>
  <c r="X842" i="40"/>
  <c r="X854" i="40" s="1"/>
  <c r="E76" i="21"/>
  <c r="U854" i="40"/>
  <c r="U856" i="40" s="1"/>
  <c r="T854" i="40"/>
  <c r="T857" i="40" s="1"/>
  <c r="W857" i="40" l="1"/>
  <c r="D48" i="7"/>
  <c r="X857" i="40"/>
  <c r="E21" i="7"/>
  <c r="U857" i="40"/>
  <c r="V859" i="40" s="1"/>
  <c r="F48" i="7" l="1"/>
  <c r="F21" i="7"/>
  <c r="D121" i="45"/>
  <c r="D122" i="45" l="1"/>
  <c r="C48" i="41"/>
  <c r="C21" i="41"/>
  <c r="C49" i="7"/>
  <c r="C76" i="7" s="1"/>
  <c r="V625" i="40"/>
  <c r="M625" i="40"/>
  <c r="V624" i="40"/>
  <c r="M624" i="40"/>
  <c r="V617" i="40"/>
  <c r="M617" i="40"/>
  <c r="V616" i="40"/>
  <c r="M616" i="40"/>
  <c r="V623" i="40"/>
  <c r="M623" i="40"/>
  <c r="O613" i="40"/>
  <c r="M613" i="40"/>
  <c r="V612" i="40"/>
  <c r="M612" i="40"/>
  <c r="V609" i="40"/>
  <c r="V608" i="40"/>
  <c r="M608" i="40"/>
  <c r="V607" i="40"/>
  <c r="M607" i="40"/>
  <c r="M605" i="40"/>
  <c r="X625" i="40"/>
  <c r="W625" i="40"/>
  <c r="U625" i="40"/>
  <c r="T625" i="40"/>
  <c r="X624" i="40"/>
  <c r="W624" i="40"/>
  <c r="U624" i="40"/>
  <c r="T624" i="40"/>
  <c r="X617" i="40"/>
  <c r="W617" i="40"/>
  <c r="U617" i="40"/>
  <c r="T617" i="40"/>
  <c r="X616" i="40"/>
  <c r="W616" i="40"/>
  <c r="U616" i="40"/>
  <c r="T616" i="40"/>
  <c r="X623" i="40"/>
  <c r="W623" i="40"/>
  <c r="U623" i="40"/>
  <c r="T623" i="40"/>
  <c r="X613" i="40"/>
  <c r="W613" i="40"/>
  <c r="U613" i="40"/>
  <c r="T613" i="40"/>
  <c r="X612" i="40"/>
  <c r="W612" i="40"/>
  <c r="U612" i="40"/>
  <c r="T612" i="40"/>
  <c r="X609" i="40"/>
  <c r="W609" i="40"/>
  <c r="U609" i="40"/>
  <c r="T609" i="40"/>
  <c r="X608" i="40"/>
  <c r="W608" i="40"/>
  <c r="U608" i="40"/>
  <c r="T608" i="40"/>
  <c r="X607" i="40"/>
  <c r="W607" i="40"/>
  <c r="U607" i="40"/>
  <c r="T607" i="40"/>
  <c r="V94" i="40"/>
  <c r="U94" i="40"/>
  <c r="X94" i="40"/>
  <c r="Q94" i="40"/>
  <c r="AM94" i="40" s="1"/>
  <c r="O94" i="40"/>
  <c r="M94" i="40"/>
  <c r="V74" i="40"/>
  <c r="U74" i="40"/>
  <c r="X74" i="40"/>
  <c r="Q74" i="40"/>
  <c r="O74" i="40"/>
  <c r="M74" i="40"/>
  <c r="AT74" i="40" s="1"/>
  <c r="V73" i="40"/>
  <c r="U73" i="40"/>
  <c r="X73" i="40"/>
  <c r="Q73" i="40"/>
  <c r="AR73" i="40" s="1"/>
  <c r="O73" i="40"/>
  <c r="M73" i="40"/>
  <c r="W101" i="40"/>
  <c r="W95" i="40"/>
  <c r="V102" i="40"/>
  <c r="V100" i="40"/>
  <c r="O104" i="40"/>
  <c r="M104" i="40"/>
  <c r="X102" i="40"/>
  <c r="W102" i="40"/>
  <c r="U102" i="40"/>
  <c r="T102" i="40"/>
  <c r="Q102" i="40"/>
  <c r="M102" i="40"/>
  <c r="AV102" i="40" s="1"/>
  <c r="V101" i="40"/>
  <c r="U101" i="40"/>
  <c r="Q101" i="40"/>
  <c r="AS101" i="40" s="1"/>
  <c r="O101" i="40"/>
  <c r="M101" i="40"/>
  <c r="X100" i="40"/>
  <c r="W100" i="40"/>
  <c r="U100" i="40"/>
  <c r="T100" i="40"/>
  <c r="Q100" i="40"/>
  <c r="M100" i="40"/>
  <c r="AW100" i="40" s="1"/>
  <c r="V95" i="40"/>
  <c r="U95" i="40"/>
  <c r="O95" i="40"/>
  <c r="M95" i="40"/>
  <c r="M497" i="40"/>
  <c r="BE497" i="40" s="1"/>
  <c r="DL624" i="40" l="1"/>
  <c r="DD624" i="40"/>
  <c r="CV624" i="40"/>
  <c r="CN624" i="40"/>
  <c r="CF624" i="40"/>
  <c r="BX624" i="40"/>
  <c r="BP624" i="40"/>
  <c r="BH624" i="40"/>
  <c r="AZ624" i="40"/>
  <c r="AR624" i="40"/>
  <c r="CW624" i="40"/>
  <c r="CG624" i="40"/>
  <c r="BQ624" i="40"/>
  <c r="DK624" i="40"/>
  <c r="DC624" i="40"/>
  <c r="CU624" i="40"/>
  <c r="CM624" i="40"/>
  <c r="CE624" i="40"/>
  <c r="BW624" i="40"/>
  <c r="BO624" i="40"/>
  <c r="BG624" i="40"/>
  <c r="AY624" i="40"/>
  <c r="DM624" i="40"/>
  <c r="BI624" i="40"/>
  <c r="DJ624" i="40"/>
  <c r="DB624" i="40"/>
  <c r="CT624" i="40"/>
  <c r="CL624" i="40"/>
  <c r="CD624" i="40"/>
  <c r="BV624" i="40"/>
  <c r="BN624" i="40"/>
  <c r="BF624" i="40"/>
  <c r="AX624" i="40"/>
  <c r="DI624" i="40"/>
  <c r="DA624" i="40"/>
  <c r="CS624" i="40"/>
  <c r="CK624" i="40"/>
  <c r="CC624" i="40"/>
  <c r="BU624" i="40"/>
  <c r="BM624" i="40"/>
  <c r="BE624" i="40"/>
  <c r="AW624" i="40"/>
  <c r="DE624" i="40"/>
  <c r="BY624" i="40"/>
  <c r="BA624" i="40"/>
  <c r="DP624" i="40"/>
  <c r="DH624" i="40"/>
  <c r="CZ624" i="40"/>
  <c r="CR624" i="40"/>
  <c r="CJ624" i="40"/>
  <c r="CB624" i="40"/>
  <c r="BT624" i="40"/>
  <c r="BL624" i="40"/>
  <c r="BD624" i="40"/>
  <c r="AV624" i="40"/>
  <c r="DO624" i="40"/>
  <c r="DG624" i="40"/>
  <c r="CY624" i="40"/>
  <c r="CQ624" i="40"/>
  <c r="CI624" i="40"/>
  <c r="CA624" i="40"/>
  <c r="BS624" i="40"/>
  <c r="BK624" i="40"/>
  <c r="BC624" i="40"/>
  <c r="AU624" i="40"/>
  <c r="CO624" i="40"/>
  <c r="AS624" i="40"/>
  <c r="DN624" i="40"/>
  <c r="DF624" i="40"/>
  <c r="CX624" i="40"/>
  <c r="CP624" i="40"/>
  <c r="CH624" i="40"/>
  <c r="BZ624" i="40"/>
  <c r="BR624" i="40"/>
  <c r="BJ624" i="40"/>
  <c r="BB624" i="40"/>
  <c r="AT624" i="40"/>
  <c r="DN616" i="40"/>
  <c r="DF616" i="40"/>
  <c r="CX616" i="40"/>
  <c r="CP616" i="40"/>
  <c r="CH616" i="40"/>
  <c r="BZ616" i="40"/>
  <c r="BR616" i="40"/>
  <c r="BJ616" i="40"/>
  <c r="BB616" i="40"/>
  <c r="AT616" i="40"/>
  <c r="DM616" i="40"/>
  <c r="DE616" i="40"/>
  <c r="CW616" i="40"/>
  <c r="CO616" i="40"/>
  <c r="CG616" i="40"/>
  <c r="BY616" i="40"/>
  <c r="BQ616" i="40"/>
  <c r="BI616" i="40"/>
  <c r="BA616" i="40"/>
  <c r="AS616" i="40"/>
  <c r="DL616" i="40"/>
  <c r="DD616" i="40"/>
  <c r="CV616" i="40"/>
  <c r="CN616" i="40"/>
  <c r="CF616" i="40"/>
  <c r="BX616" i="40"/>
  <c r="BP616" i="40"/>
  <c r="BH616" i="40"/>
  <c r="AZ616" i="40"/>
  <c r="AR616" i="40"/>
  <c r="DG616" i="40"/>
  <c r="BS616" i="40"/>
  <c r="BK616" i="40"/>
  <c r="AU616" i="40"/>
  <c r="DK616" i="40"/>
  <c r="DC616" i="40"/>
  <c r="CU616" i="40"/>
  <c r="CM616" i="40"/>
  <c r="CE616" i="40"/>
  <c r="BW616" i="40"/>
  <c r="BO616" i="40"/>
  <c r="BG616" i="40"/>
  <c r="AY616" i="40"/>
  <c r="DO616" i="40"/>
  <c r="CA616" i="40"/>
  <c r="BC616" i="40"/>
  <c r="DJ616" i="40"/>
  <c r="DB616" i="40"/>
  <c r="CT616" i="40"/>
  <c r="CL616" i="40"/>
  <c r="CD616" i="40"/>
  <c r="BV616" i="40"/>
  <c r="BN616" i="40"/>
  <c r="BF616" i="40"/>
  <c r="AX616" i="40"/>
  <c r="CQ616" i="40"/>
  <c r="DI616" i="40"/>
  <c r="DA616" i="40"/>
  <c r="CS616" i="40"/>
  <c r="CK616" i="40"/>
  <c r="CC616" i="40"/>
  <c r="BU616" i="40"/>
  <c r="BM616" i="40"/>
  <c r="BE616" i="40"/>
  <c r="AW616" i="40"/>
  <c r="CI616" i="40"/>
  <c r="DP616" i="40"/>
  <c r="DH616" i="40"/>
  <c r="CZ616" i="40"/>
  <c r="CR616" i="40"/>
  <c r="CJ616" i="40"/>
  <c r="CB616" i="40"/>
  <c r="BT616" i="40"/>
  <c r="BL616" i="40"/>
  <c r="BD616" i="40"/>
  <c r="AV616" i="40"/>
  <c r="CY616" i="40"/>
  <c r="DP609" i="40"/>
  <c r="DH609" i="40"/>
  <c r="CZ609" i="40"/>
  <c r="CR609" i="40"/>
  <c r="CJ609" i="40"/>
  <c r="CB609" i="40"/>
  <c r="BT609" i="40"/>
  <c r="BL609" i="40"/>
  <c r="BD609" i="40"/>
  <c r="AV609" i="40"/>
  <c r="DA609" i="40"/>
  <c r="CS609" i="40"/>
  <c r="BU609" i="40"/>
  <c r="DO609" i="40"/>
  <c r="DG609" i="40"/>
  <c r="CY609" i="40"/>
  <c r="CQ609" i="40"/>
  <c r="CI609" i="40"/>
  <c r="CA609" i="40"/>
  <c r="BS609" i="40"/>
  <c r="BK609" i="40"/>
  <c r="BC609" i="40"/>
  <c r="AU609" i="40"/>
  <c r="CC609" i="40"/>
  <c r="DN609" i="40"/>
  <c r="DF609" i="40"/>
  <c r="CX609" i="40"/>
  <c r="CP609" i="40"/>
  <c r="CH609" i="40"/>
  <c r="BZ609" i="40"/>
  <c r="BR609" i="40"/>
  <c r="BJ609" i="40"/>
  <c r="BB609" i="40"/>
  <c r="AT609" i="40"/>
  <c r="DM609" i="40"/>
  <c r="DE609" i="40"/>
  <c r="CW609" i="40"/>
  <c r="CO609" i="40"/>
  <c r="CG609" i="40"/>
  <c r="BY609" i="40"/>
  <c r="BQ609" i="40"/>
  <c r="BI609" i="40"/>
  <c r="BA609" i="40"/>
  <c r="AS609" i="40"/>
  <c r="DL609" i="40"/>
  <c r="DD609" i="40"/>
  <c r="CV609" i="40"/>
  <c r="CN609" i="40"/>
  <c r="CF609" i="40"/>
  <c r="BX609" i="40"/>
  <c r="BP609" i="40"/>
  <c r="BH609" i="40"/>
  <c r="AZ609" i="40"/>
  <c r="AR609" i="40"/>
  <c r="BE609" i="40"/>
  <c r="DK609" i="40"/>
  <c r="DC609" i="40"/>
  <c r="CU609" i="40"/>
  <c r="CM609" i="40"/>
  <c r="CE609" i="40"/>
  <c r="BW609" i="40"/>
  <c r="BO609" i="40"/>
  <c r="BG609" i="40"/>
  <c r="AY609" i="40"/>
  <c r="DJ609" i="40"/>
  <c r="DB609" i="40"/>
  <c r="CT609" i="40"/>
  <c r="CL609" i="40"/>
  <c r="CD609" i="40"/>
  <c r="BV609" i="40"/>
  <c r="BN609" i="40"/>
  <c r="BF609" i="40"/>
  <c r="AX609" i="40"/>
  <c r="DI609" i="40"/>
  <c r="CK609" i="40"/>
  <c r="BM609" i="40"/>
  <c r="AW609" i="40"/>
  <c r="DN608" i="40"/>
  <c r="DF608" i="40"/>
  <c r="CX608" i="40"/>
  <c r="CP608" i="40"/>
  <c r="CH608" i="40"/>
  <c r="BZ608" i="40"/>
  <c r="BR608" i="40"/>
  <c r="BJ608" i="40"/>
  <c r="BB608" i="40"/>
  <c r="AT608" i="40"/>
  <c r="DM608" i="40"/>
  <c r="DE608" i="40"/>
  <c r="CW608" i="40"/>
  <c r="CO608" i="40"/>
  <c r="CG608" i="40"/>
  <c r="BY608" i="40"/>
  <c r="BQ608" i="40"/>
  <c r="BI608" i="40"/>
  <c r="BA608" i="40"/>
  <c r="AS608" i="40"/>
  <c r="DL608" i="40"/>
  <c r="DD608" i="40"/>
  <c r="CV608" i="40"/>
  <c r="CN608" i="40"/>
  <c r="CF608" i="40"/>
  <c r="BX608" i="40"/>
  <c r="BP608" i="40"/>
  <c r="BH608" i="40"/>
  <c r="AZ608" i="40"/>
  <c r="AR608" i="40"/>
  <c r="DK608" i="40"/>
  <c r="DC608" i="40"/>
  <c r="CU608" i="40"/>
  <c r="CM608" i="40"/>
  <c r="CE608" i="40"/>
  <c r="BW608" i="40"/>
  <c r="BO608" i="40"/>
  <c r="BG608" i="40"/>
  <c r="AY608" i="40"/>
  <c r="DJ608" i="40"/>
  <c r="DB608" i="40"/>
  <c r="CT608" i="40"/>
  <c r="CL608" i="40"/>
  <c r="CD608" i="40"/>
  <c r="BV608" i="40"/>
  <c r="BN608" i="40"/>
  <c r="BF608" i="40"/>
  <c r="AX608" i="40"/>
  <c r="DI608" i="40"/>
  <c r="DA608" i="40"/>
  <c r="CS608" i="40"/>
  <c r="CK608" i="40"/>
  <c r="CC608" i="40"/>
  <c r="BU608" i="40"/>
  <c r="BM608" i="40"/>
  <c r="BE608" i="40"/>
  <c r="AW608" i="40"/>
  <c r="DP608" i="40"/>
  <c r="DH608" i="40"/>
  <c r="CZ608" i="40"/>
  <c r="CR608" i="40"/>
  <c r="CJ608" i="40"/>
  <c r="CB608" i="40"/>
  <c r="BT608" i="40"/>
  <c r="BL608" i="40"/>
  <c r="BD608" i="40"/>
  <c r="AV608" i="40"/>
  <c r="DO608" i="40"/>
  <c r="DG608" i="40"/>
  <c r="CY608" i="40"/>
  <c r="CQ608" i="40"/>
  <c r="CI608" i="40"/>
  <c r="CA608" i="40"/>
  <c r="BS608" i="40"/>
  <c r="BK608" i="40"/>
  <c r="BC608" i="40"/>
  <c r="AU608" i="40"/>
  <c r="BD761" i="40"/>
  <c r="BE761" i="40"/>
  <c r="AY761" i="40"/>
  <c r="AZ761" i="40"/>
  <c r="AX761" i="40"/>
  <c r="BA761" i="40"/>
  <c r="BB761" i="40"/>
  <c r="BC761" i="40"/>
  <c r="J76" i="21"/>
  <c r="L76" i="21" s="1"/>
  <c r="D49" i="7"/>
  <c r="D76" i="7" s="1"/>
  <c r="E49" i="7"/>
  <c r="E76" i="7" s="1"/>
  <c r="Q628" i="40"/>
  <c r="O612" i="40"/>
  <c r="O623" i="40"/>
  <c r="O625" i="40"/>
  <c r="O608" i="40"/>
  <c r="V613" i="40"/>
  <c r="O607" i="40"/>
  <c r="O624" i="40"/>
  <c r="W104" i="40"/>
  <c r="X104" i="40"/>
  <c r="O617" i="40"/>
  <c r="O616" i="40"/>
  <c r="O609" i="40"/>
  <c r="T94" i="40"/>
  <c r="T101" i="40"/>
  <c r="W94" i="40"/>
  <c r="X101" i="40"/>
  <c r="T74" i="40"/>
  <c r="W74" i="40"/>
  <c r="T73" i="40"/>
  <c r="W73" i="40"/>
  <c r="T95" i="40"/>
  <c r="X95" i="40"/>
  <c r="O102" i="40"/>
  <c r="O100" i="40"/>
  <c r="AZ769" i="40" l="1"/>
  <c r="AZ774" i="40" s="1"/>
  <c r="AZ779" i="40" s="1"/>
  <c r="AZ784" i="40" s="1"/>
  <c r="AZ789" i="40" s="1"/>
  <c r="AZ794" i="40" s="1"/>
  <c r="AZ799" i="40" s="1"/>
  <c r="AZ804" i="40" s="1"/>
  <c r="AZ809" i="40" s="1"/>
  <c r="AZ814" i="40" s="1"/>
  <c r="AZ819" i="40" s="1"/>
  <c r="AZ825" i="40" s="1"/>
  <c r="AZ827" i="40" s="1"/>
  <c r="BD769" i="40"/>
  <c r="BD774" i="40" s="1"/>
  <c r="BD779" i="40" s="1"/>
  <c r="BD784" i="40" s="1"/>
  <c r="BD789" i="40" s="1"/>
  <c r="BD794" i="40" s="1"/>
  <c r="BD799" i="40" s="1"/>
  <c r="BD804" i="40" s="1"/>
  <c r="BD809" i="40" s="1"/>
  <c r="BD814" i="40" s="1"/>
  <c r="BD819" i="40" s="1"/>
  <c r="BD825" i="40" s="1"/>
  <c r="BD827" i="40" s="1"/>
  <c r="AY769" i="40"/>
  <c r="AY774" i="40" s="1"/>
  <c r="AY779" i="40" s="1"/>
  <c r="AY784" i="40" s="1"/>
  <c r="AY789" i="40" s="1"/>
  <c r="AY794" i="40" s="1"/>
  <c r="AY799" i="40" s="1"/>
  <c r="AY804" i="40" s="1"/>
  <c r="AY809" i="40" s="1"/>
  <c r="AY814" i="40" s="1"/>
  <c r="AY819" i="40" s="1"/>
  <c r="AY825" i="40" s="1"/>
  <c r="AY827" i="40" s="1"/>
  <c r="BA769" i="40"/>
  <c r="BA774" i="40" s="1"/>
  <c r="BA779" i="40" s="1"/>
  <c r="BA784" i="40" s="1"/>
  <c r="BA789" i="40" s="1"/>
  <c r="BA794" i="40" s="1"/>
  <c r="BA799" i="40" s="1"/>
  <c r="BA804" i="40" s="1"/>
  <c r="BA809" i="40" s="1"/>
  <c r="BA814" i="40" s="1"/>
  <c r="BA819" i="40" s="1"/>
  <c r="BA825" i="40" s="1"/>
  <c r="BA827" i="40" s="1"/>
  <c r="BC769" i="40"/>
  <c r="BC774" i="40" s="1"/>
  <c r="BC779" i="40" s="1"/>
  <c r="BC784" i="40" s="1"/>
  <c r="BC789" i="40" s="1"/>
  <c r="BC794" i="40" s="1"/>
  <c r="BC799" i="40" s="1"/>
  <c r="BC804" i="40" s="1"/>
  <c r="BC809" i="40" s="1"/>
  <c r="BC814" i="40" s="1"/>
  <c r="BC819" i="40" s="1"/>
  <c r="BC825" i="40" s="1"/>
  <c r="BC827" i="40" s="1"/>
  <c r="BB769" i="40"/>
  <c r="BB774" i="40" s="1"/>
  <c r="BB779" i="40" s="1"/>
  <c r="BB784" i="40" s="1"/>
  <c r="BB789" i="40" s="1"/>
  <c r="BB794" i="40" s="1"/>
  <c r="BB799" i="40" s="1"/>
  <c r="BB804" i="40" s="1"/>
  <c r="BB809" i="40" s="1"/>
  <c r="BB814" i="40" s="1"/>
  <c r="BB819" i="40" s="1"/>
  <c r="BB825" i="40" s="1"/>
  <c r="BB827" i="40" s="1"/>
  <c r="BE769" i="40"/>
  <c r="BE774" i="40" s="1"/>
  <c r="BE779" i="40" s="1"/>
  <c r="BE784" i="40" s="1"/>
  <c r="BE789" i="40" s="1"/>
  <c r="BE794" i="40" s="1"/>
  <c r="BE799" i="40" s="1"/>
  <c r="BE804" i="40" s="1"/>
  <c r="BE809" i="40" s="1"/>
  <c r="BE814" i="40" s="1"/>
  <c r="BE819" i="40" s="1"/>
  <c r="BE825" i="40" s="1"/>
  <c r="BE827" i="40" s="1"/>
  <c r="AX769" i="40"/>
  <c r="AX774" i="40" s="1"/>
  <c r="AX779" i="40" s="1"/>
  <c r="AX784" i="40" s="1"/>
  <c r="AX789" i="40" s="1"/>
  <c r="AX794" i="40" s="1"/>
  <c r="AX799" i="40" s="1"/>
  <c r="AX804" i="40" s="1"/>
  <c r="AX809" i="40" s="1"/>
  <c r="AX814" i="40" s="1"/>
  <c r="AX819" i="40" s="1"/>
  <c r="AX825" i="40" s="1"/>
  <c r="AX827" i="40" s="1"/>
  <c r="F49" i="7"/>
  <c r="F76" i="7" l="1"/>
  <c r="G76" i="7" s="1"/>
  <c r="C49" i="41"/>
  <c r="S2112" i="40" l="1"/>
  <c r="P2112" i="40"/>
  <c r="Q2112" i="40" s="1"/>
  <c r="O2112" i="40"/>
  <c r="M2112" i="40"/>
  <c r="S2111" i="40"/>
  <c r="P2111" i="40"/>
  <c r="O2111" i="40"/>
  <c r="M2111" i="40"/>
  <c r="K2168" i="40"/>
  <c r="J2167" i="40"/>
  <c r="R1952" i="40"/>
  <c r="P1952" i="40"/>
  <c r="O1952" i="40"/>
  <c r="M1952" i="40"/>
  <c r="T2111" i="40" l="1"/>
  <c r="T2112" i="40"/>
  <c r="U2112" i="40"/>
  <c r="Q2111" i="40"/>
  <c r="U2111" i="40"/>
  <c r="W1952" i="40"/>
  <c r="X1952" i="40"/>
  <c r="T1952" i="40"/>
  <c r="U1952" i="40"/>
  <c r="V1952" i="40"/>
  <c r="Q1952" i="40"/>
  <c r="R1133" i="40" l="1"/>
  <c r="R1132" i="40"/>
  <c r="R1131" i="40"/>
  <c r="R1130" i="40"/>
  <c r="R1136" i="40"/>
  <c r="E35" i="44" l="1"/>
  <c r="D41" i="44"/>
  <c r="D126" i="45"/>
  <c r="D111" i="45"/>
  <c r="D45" i="44"/>
  <c r="D42" i="44"/>
  <c r="D49" i="44"/>
  <c r="D38" i="44"/>
  <c r="D127" i="45" l="1"/>
  <c r="L1981" i="40"/>
  <c r="F1981" i="40"/>
  <c r="U1980" i="40"/>
  <c r="T1980" i="40"/>
  <c r="O1980" i="40"/>
  <c r="I1980" i="40"/>
  <c r="U1976" i="40"/>
  <c r="T1976" i="40"/>
  <c r="O1976" i="40"/>
  <c r="I1976" i="40"/>
  <c r="U1975" i="40"/>
  <c r="T1975" i="40"/>
  <c r="O1975" i="40"/>
  <c r="I1975" i="40"/>
  <c r="U1974" i="40"/>
  <c r="T1974" i="40"/>
  <c r="O1974" i="40"/>
  <c r="I1974" i="40"/>
  <c r="U1973" i="40"/>
  <c r="T1973" i="40"/>
  <c r="O1973" i="40"/>
  <c r="I1973" i="40"/>
  <c r="U1972" i="40"/>
  <c r="I1972" i="40"/>
  <c r="U1971" i="40"/>
  <c r="I1971" i="40"/>
  <c r="U1970" i="40"/>
  <c r="I1970" i="40"/>
  <c r="U1969" i="40"/>
  <c r="I1969" i="40"/>
  <c r="U1968" i="40"/>
  <c r="I1968" i="40"/>
  <c r="U1967" i="40"/>
  <c r="T1967" i="40"/>
  <c r="O1967" i="40"/>
  <c r="X1966" i="40"/>
  <c r="W1966" i="40"/>
  <c r="X1965" i="40"/>
  <c r="W1965" i="40"/>
  <c r="V1965" i="40"/>
  <c r="U1965" i="40"/>
  <c r="T1965" i="40"/>
  <c r="Q1965" i="40"/>
  <c r="O1965" i="40"/>
  <c r="M1965" i="40"/>
  <c r="I1965" i="40"/>
  <c r="R1964" i="40"/>
  <c r="P1964" i="40"/>
  <c r="J1964" i="40"/>
  <c r="O1964" i="40" s="1"/>
  <c r="X1963" i="40"/>
  <c r="W1963" i="40"/>
  <c r="V1963" i="40"/>
  <c r="U1963" i="40"/>
  <c r="T1963" i="40"/>
  <c r="Q1963" i="40"/>
  <c r="O1963" i="40"/>
  <c r="M1963" i="40"/>
  <c r="X1962" i="40"/>
  <c r="W1962" i="40"/>
  <c r="V1962" i="40"/>
  <c r="U1962" i="40"/>
  <c r="T1962" i="40"/>
  <c r="Q1962" i="40"/>
  <c r="O1962" i="40"/>
  <c r="M1962" i="40"/>
  <c r="X1961" i="40"/>
  <c r="W1961" i="40"/>
  <c r="V1961" i="40"/>
  <c r="U1961" i="40"/>
  <c r="T1961" i="40"/>
  <c r="Q1961" i="40"/>
  <c r="O1961" i="40"/>
  <c r="M1961" i="40"/>
  <c r="X1960" i="40"/>
  <c r="W1960" i="40"/>
  <c r="V1960" i="40"/>
  <c r="U1960" i="40"/>
  <c r="T1960" i="40"/>
  <c r="Q1960" i="40"/>
  <c r="O1960" i="40"/>
  <c r="M1960" i="40"/>
  <c r="I1960" i="40"/>
  <c r="X1959" i="40"/>
  <c r="W1959" i="40"/>
  <c r="V1959" i="40"/>
  <c r="U1959" i="40"/>
  <c r="T1959" i="40"/>
  <c r="Q1959" i="40"/>
  <c r="O1959" i="40"/>
  <c r="M1959" i="40"/>
  <c r="I1959" i="40"/>
  <c r="X1958" i="40"/>
  <c r="W1958" i="40"/>
  <c r="V1958" i="40"/>
  <c r="U1958" i="40"/>
  <c r="T1958" i="40"/>
  <c r="Q1958" i="40"/>
  <c r="O1958" i="40"/>
  <c r="M1958" i="40"/>
  <c r="X1957" i="40"/>
  <c r="W1957" i="40"/>
  <c r="V1957" i="40"/>
  <c r="U1957" i="40"/>
  <c r="T1957" i="40"/>
  <c r="Q1957" i="40"/>
  <c r="O1957" i="40"/>
  <c r="M1957" i="40"/>
  <c r="P1956" i="40"/>
  <c r="U1956" i="40" s="1"/>
  <c r="O1956" i="40"/>
  <c r="M1956" i="40"/>
  <c r="X1955" i="40"/>
  <c r="W1955" i="40"/>
  <c r="U1955" i="40"/>
  <c r="T1955" i="40"/>
  <c r="Q1955" i="40"/>
  <c r="V1955" i="40"/>
  <c r="M1955" i="40"/>
  <c r="P1954" i="40"/>
  <c r="Q1954" i="40" s="1"/>
  <c r="O1954" i="40"/>
  <c r="M1954" i="40"/>
  <c r="X1953" i="40"/>
  <c r="W1953" i="40"/>
  <c r="U1953" i="40"/>
  <c r="T1953" i="40"/>
  <c r="Q1953" i="40"/>
  <c r="V1953" i="40"/>
  <c r="M1953" i="40"/>
  <c r="X1951" i="40"/>
  <c r="W1951" i="40"/>
  <c r="U1951" i="40"/>
  <c r="T1951" i="40"/>
  <c r="Q1951" i="40"/>
  <c r="M1951" i="40"/>
  <c r="P1950" i="40"/>
  <c r="Q1950" i="40" s="1"/>
  <c r="O1950" i="40"/>
  <c r="M1950" i="40"/>
  <c r="X1949" i="40"/>
  <c r="W1949" i="40"/>
  <c r="U1949" i="40"/>
  <c r="T1949" i="40"/>
  <c r="Q1949" i="40"/>
  <c r="O1949" i="40"/>
  <c r="M1949" i="40"/>
  <c r="P1948" i="40"/>
  <c r="U1948" i="40" s="1"/>
  <c r="O1948" i="40"/>
  <c r="M1948" i="40"/>
  <c r="X1947" i="40"/>
  <c r="W1947" i="40"/>
  <c r="U1947" i="40"/>
  <c r="T1947" i="40"/>
  <c r="Q1947" i="40"/>
  <c r="V1947" i="40"/>
  <c r="M1947" i="40"/>
  <c r="P1946" i="40"/>
  <c r="Q1946" i="40" s="1"/>
  <c r="O1946" i="40"/>
  <c r="M1946" i="40"/>
  <c r="X1945" i="40"/>
  <c r="W1945" i="40"/>
  <c r="U1945" i="40"/>
  <c r="T1945" i="40"/>
  <c r="Q1945" i="40"/>
  <c r="O1945" i="40"/>
  <c r="M1945" i="40"/>
  <c r="X1944" i="40"/>
  <c r="W1944" i="40"/>
  <c r="V1944" i="40"/>
  <c r="U1944" i="40"/>
  <c r="T1944" i="40"/>
  <c r="Q1944" i="40"/>
  <c r="O1944" i="40"/>
  <c r="M1944" i="40"/>
  <c r="R1943" i="40"/>
  <c r="P1943" i="40"/>
  <c r="T1943" i="40" s="1"/>
  <c r="J1943" i="40"/>
  <c r="X1942" i="40"/>
  <c r="W1942" i="40"/>
  <c r="V1942" i="40"/>
  <c r="U1942" i="40"/>
  <c r="T1942" i="40"/>
  <c r="Q1942" i="40"/>
  <c r="O1942" i="40"/>
  <c r="M1942" i="40"/>
  <c r="X1941" i="40"/>
  <c r="W1941" i="40"/>
  <c r="V1941" i="40"/>
  <c r="U1941" i="40"/>
  <c r="T1941" i="40"/>
  <c r="Q1941" i="40"/>
  <c r="O1941" i="40"/>
  <c r="M1941" i="40"/>
  <c r="X1940" i="40"/>
  <c r="W1940" i="40"/>
  <c r="V1940" i="40"/>
  <c r="U1940" i="40"/>
  <c r="T1940" i="40"/>
  <c r="Q1940" i="40"/>
  <c r="O1940" i="40"/>
  <c r="M1940" i="40"/>
  <c r="X1939" i="40"/>
  <c r="W1939" i="40"/>
  <c r="V1939" i="40"/>
  <c r="U1939" i="40"/>
  <c r="T1939" i="40"/>
  <c r="Q1939" i="40"/>
  <c r="O1939" i="40"/>
  <c r="M1939" i="40"/>
  <c r="X1938" i="40"/>
  <c r="W1938" i="40"/>
  <c r="V1938" i="40"/>
  <c r="U1938" i="40"/>
  <c r="T1938" i="40"/>
  <c r="Q1938" i="40"/>
  <c r="O1938" i="40"/>
  <c r="M1938" i="40"/>
  <c r="X1937" i="40"/>
  <c r="W1937" i="40"/>
  <c r="V1937" i="40"/>
  <c r="U1937" i="40"/>
  <c r="T1937" i="40"/>
  <c r="Q1937" i="40"/>
  <c r="O1937" i="40"/>
  <c r="M1937" i="40"/>
  <c r="X1936" i="40"/>
  <c r="W1936" i="40"/>
  <c r="U1936" i="40"/>
  <c r="T1936" i="40"/>
  <c r="Q1936" i="40"/>
  <c r="V1936" i="40"/>
  <c r="M1936" i="40"/>
  <c r="X1935" i="40"/>
  <c r="W1935" i="40"/>
  <c r="U1935" i="40"/>
  <c r="T1935" i="40"/>
  <c r="Q1935" i="40"/>
  <c r="V1935" i="40"/>
  <c r="M1935" i="40"/>
  <c r="X1934" i="40"/>
  <c r="W1934" i="40"/>
  <c r="U1934" i="40"/>
  <c r="T1934" i="40"/>
  <c r="Q1934" i="40"/>
  <c r="V1934" i="40"/>
  <c r="M1934" i="40"/>
  <c r="X1933" i="40"/>
  <c r="W1933" i="40"/>
  <c r="V1933" i="40"/>
  <c r="U1933" i="40"/>
  <c r="T1933" i="40"/>
  <c r="Q1933" i="40"/>
  <c r="O1933" i="40"/>
  <c r="M1933" i="40"/>
  <c r="X1932" i="40"/>
  <c r="W1932" i="40"/>
  <c r="U1932" i="40"/>
  <c r="T1932" i="40"/>
  <c r="Q1932" i="40"/>
  <c r="O1932" i="40"/>
  <c r="M1932" i="40"/>
  <c r="X1931" i="40"/>
  <c r="W1931" i="40"/>
  <c r="U1931" i="40"/>
  <c r="T1931" i="40"/>
  <c r="Q1931" i="40"/>
  <c r="O1931" i="40"/>
  <c r="M1931" i="40"/>
  <c r="X1930" i="40"/>
  <c r="W1930" i="40"/>
  <c r="V1930" i="40"/>
  <c r="U1930" i="40"/>
  <c r="T1930" i="40"/>
  <c r="Q1930" i="40"/>
  <c r="O1930" i="40"/>
  <c r="M1930" i="40"/>
  <c r="R1929" i="40"/>
  <c r="P1929" i="40"/>
  <c r="Q1929" i="40" s="1"/>
  <c r="O1929" i="40"/>
  <c r="M1929" i="40"/>
  <c r="R1928" i="40"/>
  <c r="P1928" i="40"/>
  <c r="O1928" i="40"/>
  <c r="M1928" i="40"/>
  <c r="R1927" i="40"/>
  <c r="P1927" i="40"/>
  <c r="Q1927" i="40" s="1"/>
  <c r="O1927" i="40"/>
  <c r="M1927" i="40"/>
  <c r="R1926" i="40"/>
  <c r="P1926" i="40"/>
  <c r="U1926" i="40" s="1"/>
  <c r="O1926" i="40"/>
  <c r="M1926" i="40"/>
  <c r="R1925" i="40"/>
  <c r="P1925" i="40"/>
  <c r="Q1925" i="40" s="1"/>
  <c r="O1925" i="40"/>
  <c r="M1925" i="40"/>
  <c r="X1924" i="40"/>
  <c r="W1924" i="40"/>
  <c r="V1924" i="40"/>
  <c r="U1924" i="40"/>
  <c r="T1924" i="40"/>
  <c r="Q1924" i="40"/>
  <c r="O1924" i="40"/>
  <c r="M1924" i="40"/>
  <c r="I1924" i="40"/>
  <c r="G1924" i="40"/>
  <c r="X1923" i="40"/>
  <c r="W1923" i="40"/>
  <c r="V1923" i="40"/>
  <c r="U1923" i="40"/>
  <c r="T1923" i="40"/>
  <c r="Q1923" i="40"/>
  <c r="O1923" i="40"/>
  <c r="M1923" i="40"/>
  <c r="I1923" i="40"/>
  <c r="G1923" i="40"/>
  <c r="X1922" i="40"/>
  <c r="W1922" i="40"/>
  <c r="V1922" i="40"/>
  <c r="U1922" i="40"/>
  <c r="T1922" i="40"/>
  <c r="Q1922" i="40"/>
  <c r="O1922" i="40"/>
  <c r="M1922" i="40"/>
  <c r="I1922" i="40"/>
  <c r="G1922" i="40"/>
  <c r="X1921" i="40"/>
  <c r="W1921" i="40"/>
  <c r="V1921" i="40"/>
  <c r="U1921" i="40"/>
  <c r="T1921" i="40"/>
  <c r="Q1921" i="40"/>
  <c r="O1921" i="40"/>
  <c r="M1921" i="40"/>
  <c r="I1921" i="40"/>
  <c r="G1921" i="40"/>
  <c r="X1920" i="40"/>
  <c r="W1920" i="40"/>
  <c r="V1920" i="40"/>
  <c r="U1920" i="40"/>
  <c r="T1920" i="40"/>
  <c r="Q1920" i="40"/>
  <c r="O1920" i="40"/>
  <c r="M1920" i="40"/>
  <c r="I1920" i="40"/>
  <c r="G1920" i="40"/>
  <c r="I1919" i="40"/>
  <c r="H1919" i="40"/>
  <c r="G1919" i="40"/>
  <c r="F1919" i="40"/>
  <c r="F1918" i="40"/>
  <c r="C43" i="21"/>
  <c r="T1954" i="40" l="1"/>
  <c r="V1967" i="40"/>
  <c r="T1929" i="40"/>
  <c r="U1929" i="40"/>
  <c r="W1929" i="40"/>
  <c r="V1929" i="40"/>
  <c r="T1950" i="40"/>
  <c r="T1946" i="40"/>
  <c r="T1927" i="40"/>
  <c r="M1964" i="40"/>
  <c r="W1926" i="40"/>
  <c r="U1943" i="40"/>
  <c r="I1981" i="40"/>
  <c r="X1943" i="40"/>
  <c r="V1926" i="40"/>
  <c r="Q1943" i="40"/>
  <c r="V1943" i="40"/>
  <c r="X1964" i="40"/>
  <c r="O1953" i="40"/>
  <c r="X1925" i="40"/>
  <c r="R1946" i="40"/>
  <c r="W1946" i="40" s="1"/>
  <c r="W1925" i="40"/>
  <c r="W1928" i="40"/>
  <c r="R1950" i="40"/>
  <c r="W1950" i="40" s="1"/>
  <c r="R1954" i="40"/>
  <c r="W1954" i="40" s="1"/>
  <c r="O1934" i="40"/>
  <c r="T1948" i="40"/>
  <c r="I129" i="45"/>
  <c r="E71" i="41" s="1"/>
  <c r="O1936" i="40"/>
  <c r="O1947" i="40"/>
  <c r="V1949" i="40"/>
  <c r="O1951" i="40"/>
  <c r="O1955" i="40"/>
  <c r="Q1964" i="40"/>
  <c r="X1926" i="40"/>
  <c r="U1927" i="40"/>
  <c r="V1931" i="40"/>
  <c r="M1943" i="40"/>
  <c r="W1943" i="40"/>
  <c r="V1945" i="40"/>
  <c r="T1925" i="40"/>
  <c r="Q1926" i="40"/>
  <c r="V1927" i="40"/>
  <c r="X1929" i="40"/>
  <c r="V1932" i="40"/>
  <c r="O1943" i="40"/>
  <c r="P1981" i="40"/>
  <c r="U1925" i="40"/>
  <c r="W1927" i="40"/>
  <c r="T1928" i="40"/>
  <c r="U1946" i="40"/>
  <c r="Q1948" i="40"/>
  <c r="U1950" i="40"/>
  <c r="U1954" i="40"/>
  <c r="Q1956" i="40"/>
  <c r="T1964" i="40"/>
  <c r="V1925" i="40"/>
  <c r="R1948" i="40"/>
  <c r="X1948" i="40" s="1"/>
  <c r="R1956" i="40"/>
  <c r="V1956" i="40" s="1"/>
  <c r="U1964" i="40"/>
  <c r="X1928" i="40"/>
  <c r="Q1928" i="40"/>
  <c r="O1935" i="40"/>
  <c r="X1927" i="40"/>
  <c r="U1928" i="40"/>
  <c r="V1951" i="40"/>
  <c r="V1964" i="40"/>
  <c r="T1926" i="40"/>
  <c r="V1928" i="40"/>
  <c r="T1956" i="40"/>
  <c r="W1964" i="40"/>
  <c r="D43" i="21"/>
  <c r="F43" i="21" s="1"/>
  <c r="V1946" i="40" l="1"/>
  <c r="X1946" i="40"/>
  <c r="U1981" i="40"/>
  <c r="X1954" i="40"/>
  <c r="X1950" i="40"/>
  <c r="X1956" i="40"/>
  <c r="O1981" i="40"/>
  <c r="V1954" i="40"/>
  <c r="V1950" i="40"/>
  <c r="T1981" i="40"/>
  <c r="I143" i="45"/>
  <c r="I144" i="45" s="1"/>
  <c r="W1956" i="40"/>
  <c r="V1948" i="40"/>
  <c r="W1948" i="40"/>
  <c r="V1981" i="40" l="1"/>
  <c r="W1981" i="40"/>
  <c r="X1981" i="40"/>
  <c r="D71" i="45"/>
  <c r="D95" i="45"/>
  <c r="S2110" i="40"/>
  <c r="P2110" i="40"/>
  <c r="Q2110" i="40" s="1"/>
  <c r="X2114" i="40"/>
  <c r="W2114" i="40"/>
  <c r="T2114" i="40"/>
  <c r="Q2114" i="40"/>
  <c r="O2114" i="40"/>
  <c r="M2114" i="40"/>
  <c r="O2110" i="40"/>
  <c r="M2110" i="40"/>
  <c r="U2109" i="40"/>
  <c r="T2109" i="40"/>
  <c r="Q2109" i="40"/>
  <c r="M2109" i="40"/>
  <c r="U2108" i="40"/>
  <c r="T2108" i="40"/>
  <c r="Q2108" i="40"/>
  <c r="M2108" i="40"/>
  <c r="X2107" i="40"/>
  <c r="W2107" i="40"/>
  <c r="U2107" i="40"/>
  <c r="T2107" i="40"/>
  <c r="Q2107" i="40"/>
  <c r="M2107" i="40"/>
  <c r="X2105" i="40"/>
  <c r="W2105" i="40"/>
  <c r="U2105" i="40"/>
  <c r="T2105" i="40"/>
  <c r="Q2105" i="40"/>
  <c r="M2105" i="40"/>
  <c r="X2106" i="40"/>
  <c r="W2106" i="40"/>
  <c r="U2106" i="40"/>
  <c r="T2106" i="40"/>
  <c r="Q2106" i="40"/>
  <c r="M2106" i="40"/>
  <c r="X2104" i="40"/>
  <c r="W2104" i="40"/>
  <c r="U2104" i="40"/>
  <c r="T2104" i="40"/>
  <c r="Q2104" i="40"/>
  <c r="M2104" i="40"/>
  <c r="X2103" i="40"/>
  <c r="W2103" i="40"/>
  <c r="U2103" i="40"/>
  <c r="T2103" i="40"/>
  <c r="Q2103" i="40"/>
  <c r="M2103" i="40"/>
  <c r="X2102" i="40"/>
  <c r="W2102" i="40"/>
  <c r="U2102" i="40"/>
  <c r="T2102" i="40"/>
  <c r="Q2102" i="40"/>
  <c r="M2102" i="40"/>
  <c r="R2112" i="40" l="1"/>
  <c r="X2112" i="40" s="1"/>
  <c r="R2113" i="40"/>
  <c r="V2102" i="40"/>
  <c r="R2111" i="40"/>
  <c r="N2109" i="40"/>
  <c r="O2109" i="40" s="1"/>
  <c r="N2107" i="40"/>
  <c r="V2107" i="40" s="1"/>
  <c r="N2108" i="40"/>
  <c r="O2108" i="40" s="1"/>
  <c r="R2110" i="40"/>
  <c r="W2110" i="40" s="1"/>
  <c r="N2103" i="40"/>
  <c r="V2103" i="40" s="1"/>
  <c r="N2104" i="40"/>
  <c r="O2104" i="40" s="1"/>
  <c r="N2105" i="40"/>
  <c r="V2105" i="40" s="1"/>
  <c r="N2106" i="40"/>
  <c r="O2106" i="40" s="1"/>
  <c r="O2102" i="40"/>
  <c r="X2109" i="40"/>
  <c r="T2110" i="40"/>
  <c r="U2110" i="40"/>
  <c r="L71" i="45" l="1"/>
  <c r="V2011" i="40"/>
  <c r="O2011" i="40"/>
  <c r="V2013" i="40"/>
  <c r="O2013" i="40"/>
  <c r="V2012" i="40"/>
  <c r="O2012" i="40"/>
  <c r="X2113" i="40"/>
  <c r="W2113" i="40"/>
  <c r="V2113" i="40"/>
  <c r="V2112" i="40"/>
  <c r="W2112" i="40"/>
  <c r="X2111" i="40"/>
  <c r="V2111" i="40"/>
  <c r="W2111" i="40"/>
  <c r="O2103" i="40"/>
  <c r="O2107" i="40"/>
  <c r="V2106" i="40"/>
  <c r="V2104" i="40"/>
  <c r="V2110" i="40"/>
  <c r="O2105" i="40"/>
  <c r="X2110" i="40"/>
  <c r="V2109" i="40"/>
  <c r="W2109" i="40"/>
  <c r="W2108" i="40"/>
  <c r="L142" i="45" l="1"/>
  <c r="M71" i="45"/>
  <c r="M142" i="45" s="1"/>
  <c r="V2108" i="40"/>
  <c r="X2108" i="40"/>
  <c r="N71" i="45" l="1"/>
  <c r="O71" i="45" s="1"/>
  <c r="R2081" i="40"/>
  <c r="Q2082" i="40"/>
  <c r="Q2081" i="40"/>
  <c r="O2082" i="40"/>
  <c r="M2082" i="40"/>
  <c r="O2081" i="40"/>
  <c r="M2081" i="40"/>
  <c r="P2125" i="40"/>
  <c r="Q2125" i="40" s="1"/>
  <c r="O2125" i="40"/>
  <c r="M2125" i="40"/>
  <c r="P2123" i="40"/>
  <c r="Q2123" i="40" s="1"/>
  <c r="O2123" i="40"/>
  <c r="M2123" i="40"/>
  <c r="X2124" i="40"/>
  <c r="W2124" i="40"/>
  <c r="U2124" i="40"/>
  <c r="T2124" i="40"/>
  <c r="Q2124" i="40"/>
  <c r="V2124" i="40"/>
  <c r="M2124" i="40"/>
  <c r="X2122" i="40"/>
  <c r="W2122" i="40"/>
  <c r="U2122" i="40"/>
  <c r="T2122" i="40"/>
  <c r="Q2122" i="40"/>
  <c r="V2122" i="40"/>
  <c r="M2122" i="40"/>
  <c r="K2096" i="40"/>
  <c r="J2095" i="40"/>
  <c r="J2096" i="40" s="1"/>
  <c r="P1830" i="40"/>
  <c r="Q1799" i="40"/>
  <c r="Q1798" i="40"/>
  <c r="Q1797" i="40"/>
  <c r="O1799" i="40"/>
  <c r="M1799" i="40"/>
  <c r="O1798" i="40"/>
  <c r="M1798" i="40"/>
  <c r="O1797" i="40"/>
  <c r="M1797" i="40"/>
  <c r="O1830" i="40"/>
  <c r="M1830" i="40"/>
  <c r="X1829" i="40"/>
  <c r="W1829" i="40"/>
  <c r="U1829" i="40"/>
  <c r="T1829" i="40"/>
  <c r="Q1829" i="40"/>
  <c r="V1829" i="40"/>
  <c r="M1829" i="40"/>
  <c r="C63" i="7"/>
  <c r="C39" i="7"/>
  <c r="E39" i="7" s="1"/>
  <c r="C37" i="7"/>
  <c r="C24" i="7"/>
  <c r="D24" i="7" s="1"/>
  <c r="C10" i="7"/>
  <c r="D10" i="7" s="1"/>
  <c r="D89" i="45"/>
  <c r="O142" i="45" l="1"/>
  <c r="O129" i="45"/>
  <c r="K71" i="41" s="1"/>
  <c r="N142" i="45"/>
  <c r="N143" i="45" s="1"/>
  <c r="N129" i="45"/>
  <c r="P71" i="45"/>
  <c r="Q71" i="45"/>
  <c r="Q142" i="45" s="1"/>
  <c r="E37" i="7"/>
  <c r="X2082" i="40"/>
  <c r="X2081" i="40"/>
  <c r="T2082" i="40"/>
  <c r="U2082" i="40"/>
  <c r="V2082" i="40"/>
  <c r="W2082" i="40"/>
  <c r="T2081" i="40"/>
  <c r="U2081" i="40"/>
  <c r="V2081" i="40"/>
  <c r="W2081" i="40"/>
  <c r="R2125" i="40"/>
  <c r="X2125" i="40" s="1"/>
  <c r="O2122" i="40"/>
  <c r="O2124" i="40"/>
  <c r="T2125" i="40"/>
  <c r="U2125" i="40"/>
  <c r="R2123" i="40"/>
  <c r="X2123" i="40" s="1"/>
  <c r="T2123" i="40"/>
  <c r="U2123" i="40"/>
  <c r="R1830" i="40"/>
  <c r="X1830" i="40" s="1"/>
  <c r="V1798" i="40"/>
  <c r="W1798" i="40"/>
  <c r="X1799" i="40"/>
  <c r="X1798" i="40"/>
  <c r="T1799" i="40"/>
  <c r="U1799" i="40"/>
  <c r="V1799" i="40"/>
  <c r="W1799" i="40"/>
  <c r="T1798" i="40"/>
  <c r="U1798" i="40"/>
  <c r="X1797" i="40"/>
  <c r="T1797" i="40"/>
  <c r="U1797" i="40"/>
  <c r="V1797" i="40"/>
  <c r="W1797" i="40"/>
  <c r="Q1830" i="40"/>
  <c r="O1829" i="40"/>
  <c r="T1830" i="40"/>
  <c r="U1830" i="40"/>
  <c r="F24" i="7"/>
  <c r="R71" i="45" l="1"/>
  <c r="R142" i="45" s="1"/>
  <c r="P142" i="45"/>
  <c r="J71" i="41"/>
  <c r="N144" i="45"/>
  <c r="W2125" i="40"/>
  <c r="V2125" i="40"/>
  <c r="W2123" i="40"/>
  <c r="V2123" i="40"/>
  <c r="W1830" i="40"/>
  <c r="V1830" i="40"/>
  <c r="C24" i="41"/>
  <c r="R1135" i="40"/>
  <c r="S71" i="45" l="1"/>
  <c r="M41" i="40"/>
  <c r="O41" i="40"/>
  <c r="Q41" i="40"/>
  <c r="T41" i="40"/>
  <c r="U41" i="40"/>
  <c r="V41" i="40"/>
  <c r="W41" i="40"/>
  <c r="X41" i="40"/>
  <c r="T71" i="45" l="1"/>
  <c r="T142" i="45" s="1"/>
  <c r="S142" i="45"/>
  <c r="AW761" i="40"/>
  <c r="AS761" i="40"/>
  <c r="AT761" i="40"/>
  <c r="AU761" i="40"/>
  <c r="AV761" i="40"/>
  <c r="AV769" i="40" l="1"/>
  <c r="AV774" i="40" s="1"/>
  <c r="AV779" i="40" s="1"/>
  <c r="AV784" i="40" s="1"/>
  <c r="AV789" i="40" s="1"/>
  <c r="AV794" i="40" s="1"/>
  <c r="AV799" i="40" s="1"/>
  <c r="AV804" i="40" s="1"/>
  <c r="AV809" i="40" s="1"/>
  <c r="AV814" i="40" s="1"/>
  <c r="AV827" i="40" s="1"/>
  <c r="AU769" i="40"/>
  <c r="AU774" i="40" s="1"/>
  <c r="AU779" i="40" s="1"/>
  <c r="AU784" i="40" s="1"/>
  <c r="AU789" i="40" s="1"/>
  <c r="AU794" i="40" s="1"/>
  <c r="AU799" i="40" s="1"/>
  <c r="AU804" i="40" s="1"/>
  <c r="AU809" i="40" s="1"/>
  <c r="AU814" i="40" s="1"/>
  <c r="AU827" i="40" s="1"/>
  <c r="AT769" i="40"/>
  <c r="AT774" i="40" s="1"/>
  <c r="AT779" i="40" s="1"/>
  <c r="AT784" i="40" s="1"/>
  <c r="AT789" i="40" s="1"/>
  <c r="AT794" i="40" s="1"/>
  <c r="AT799" i="40" s="1"/>
  <c r="AT804" i="40" s="1"/>
  <c r="AT809" i="40" s="1"/>
  <c r="AT814" i="40" s="1"/>
  <c r="AT827" i="40" s="1"/>
  <c r="AS769" i="40"/>
  <c r="AS774" i="40" s="1"/>
  <c r="AS779" i="40" s="1"/>
  <c r="AS784" i="40" s="1"/>
  <c r="AS789" i="40" s="1"/>
  <c r="AS794" i="40" s="1"/>
  <c r="AS799" i="40" s="1"/>
  <c r="AS804" i="40" s="1"/>
  <c r="AS809" i="40" s="1"/>
  <c r="AS814" i="40" s="1"/>
  <c r="AS827" i="40" s="1"/>
  <c r="AW769" i="40"/>
  <c r="AW774" i="40" s="1"/>
  <c r="AW779" i="40" s="1"/>
  <c r="AW784" i="40" s="1"/>
  <c r="AW789" i="40" s="1"/>
  <c r="AW794" i="40" s="1"/>
  <c r="AW799" i="40" s="1"/>
  <c r="AW804" i="40" s="1"/>
  <c r="AW809" i="40" s="1"/>
  <c r="AW814" i="40" s="1"/>
  <c r="AW819" i="40" s="1"/>
  <c r="AW825" i="40" s="1"/>
  <c r="D91" i="45"/>
  <c r="D36" i="44"/>
  <c r="D115" i="45"/>
  <c r="D114" i="45"/>
  <c r="D113" i="45"/>
  <c r="D112" i="45"/>
  <c r="D109" i="45"/>
  <c r="D108" i="45"/>
  <c r="D107" i="45"/>
  <c r="D98" i="45"/>
  <c r="D102" i="45"/>
  <c r="D101" i="45"/>
  <c r="D96" i="45"/>
  <c r="AU819" i="40" l="1"/>
  <c r="AU825" i="40" s="1"/>
  <c r="AV819" i="40"/>
  <c r="AV825" i="40" s="1"/>
  <c r="AS819" i="40"/>
  <c r="AS825" i="40" s="1"/>
  <c r="AW827" i="40"/>
  <c r="AT819" i="40"/>
  <c r="AT825" i="40" s="1"/>
  <c r="AR761" i="40"/>
  <c r="D99" i="45"/>
  <c r="D116" i="45"/>
  <c r="D93" i="45"/>
  <c r="AR769" i="40" l="1"/>
  <c r="AR774" i="40" s="1"/>
  <c r="AR779" i="40" s="1"/>
  <c r="AR784" i="40" s="1"/>
  <c r="AR789" i="40" s="1"/>
  <c r="AR794" i="40" s="1"/>
  <c r="AR799" i="40" s="1"/>
  <c r="AR804" i="40" s="1"/>
  <c r="AR809" i="40" s="1"/>
  <c r="AR814" i="40" s="1"/>
  <c r="AR827" i="40" s="1"/>
  <c r="I60" i="45"/>
  <c r="I59" i="45"/>
  <c r="I58" i="45"/>
  <c r="I57" i="45"/>
  <c r="I56" i="45"/>
  <c r="I55" i="45"/>
  <c r="I54" i="45"/>
  <c r="I53" i="45"/>
  <c r="I52" i="45"/>
  <c r="I51" i="45"/>
  <c r="I50" i="45"/>
  <c r="I49" i="45"/>
  <c r="I48" i="45"/>
  <c r="I47" i="45"/>
  <c r="I46" i="45"/>
  <c r="I45" i="45"/>
  <c r="I44" i="45"/>
  <c r="I43" i="45"/>
  <c r="I42" i="45"/>
  <c r="I41" i="45"/>
  <c r="I40" i="45"/>
  <c r="I39" i="45"/>
  <c r="I38" i="45"/>
  <c r="I37" i="45"/>
  <c r="I36" i="45"/>
  <c r="I34" i="45"/>
  <c r="F34" i="45"/>
  <c r="D36" i="45"/>
  <c r="F36" i="45" s="1"/>
  <c r="D37" i="45"/>
  <c r="D38" i="45"/>
  <c r="F38" i="45" s="1"/>
  <c r="D39" i="45"/>
  <c r="D40" i="45"/>
  <c r="F40" i="45" s="1"/>
  <c r="D41" i="45"/>
  <c r="D42" i="45"/>
  <c r="F42" i="45" s="1"/>
  <c r="D43" i="45"/>
  <c r="D44" i="45"/>
  <c r="F44" i="45" s="1"/>
  <c r="D45" i="45"/>
  <c r="D46" i="45"/>
  <c r="F46" i="45" s="1"/>
  <c r="D47" i="45"/>
  <c r="D48" i="45"/>
  <c r="F48" i="45" s="1"/>
  <c r="D49" i="45"/>
  <c r="D50" i="45"/>
  <c r="F50" i="45" s="1"/>
  <c r="D51" i="45"/>
  <c r="D52" i="45"/>
  <c r="F52" i="45" s="1"/>
  <c r="D53" i="45"/>
  <c r="D54" i="45"/>
  <c r="F54" i="45" s="1"/>
  <c r="D55" i="45"/>
  <c r="D56" i="45"/>
  <c r="F56" i="45" s="1"/>
  <c r="D57" i="45"/>
  <c r="D58" i="45"/>
  <c r="F58" i="45" s="1"/>
  <c r="D59" i="45"/>
  <c r="D60" i="45"/>
  <c r="F60" i="45" s="1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4" i="45"/>
  <c r="D84" i="45"/>
  <c r="D83" i="45"/>
  <c r="D82" i="45"/>
  <c r="D80" i="45"/>
  <c r="D79" i="45"/>
  <c r="D76" i="45"/>
  <c r="D75" i="45"/>
  <c r="D74" i="45"/>
  <c r="D72" i="45"/>
  <c r="D142" i="45" s="1"/>
  <c r="I31" i="45"/>
  <c r="D31" i="45"/>
  <c r="F31" i="45" s="1"/>
  <c r="I28" i="45"/>
  <c r="D28" i="45"/>
  <c r="F28" i="45" s="1"/>
  <c r="I27" i="45"/>
  <c r="D27" i="45"/>
  <c r="F27" i="45" s="1"/>
  <c r="I26" i="45"/>
  <c r="D26" i="45"/>
  <c r="F26" i="45" s="1"/>
  <c r="I25" i="45"/>
  <c r="D25" i="45"/>
  <c r="F25" i="45" s="1"/>
  <c r="I24" i="45"/>
  <c r="D24" i="45"/>
  <c r="F24" i="45" s="1"/>
  <c r="I23" i="45"/>
  <c r="D23" i="45"/>
  <c r="F23" i="45" s="1"/>
  <c r="I22" i="45"/>
  <c r="D22" i="45"/>
  <c r="F22" i="45" s="1"/>
  <c r="I21" i="45"/>
  <c r="D21" i="45"/>
  <c r="F21" i="45" s="1"/>
  <c r="I20" i="45"/>
  <c r="D20" i="45"/>
  <c r="F20" i="45" s="1"/>
  <c r="I19" i="45"/>
  <c r="D19" i="45"/>
  <c r="F19" i="45" s="1"/>
  <c r="I18" i="45"/>
  <c r="D18" i="45"/>
  <c r="F18" i="45" s="1"/>
  <c r="I17" i="45"/>
  <c r="D17" i="45"/>
  <c r="F17" i="45" s="1"/>
  <c r="I16" i="45"/>
  <c r="D16" i="45"/>
  <c r="F16" i="45" s="1"/>
  <c r="I15" i="45"/>
  <c r="D15" i="45"/>
  <c r="F15" i="45" s="1"/>
  <c r="I14" i="45"/>
  <c r="D14" i="45"/>
  <c r="F14" i="45" s="1"/>
  <c r="I13" i="45"/>
  <c r="D13" i="45"/>
  <c r="F13" i="45" s="1"/>
  <c r="I12" i="45"/>
  <c r="D12" i="45"/>
  <c r="F12" i="45" s="1"/>
  <c r="I11" i="45"/>
  <c r="D11" i="45"/>
  <c r="F11" i="45" s="1"/>
  <c r="I10" i="45"/>
  <c r="D10" i="45"/>
  <c r="F10" i="45" s="1"/>
  <c r="I9" i="45"/>
  <c r="D9" i="45"/>
  <c r="F9" i="45" s="1"/>
  <c r="I8" i="45"/>
  <c r="D8" i="45"/>
  <c r="D46" i="44"/>
  <c r="F35" i="44"/>
  <c r="K141" i="45" l="1"/>
  <c r="K142" i="45"/>
  <c r="J141" i="45"/>
  <c r="AR819" i="40"/>
  <c r="AR825" i="40" s="1"/>
  <c r="D87" i="45"/>
  <c r="D129" i="45" s="1"/>
  <c r="D147" i="45" s="1"/>
  <c r="Q141" i="45"/>
  <c r="Q129" i="45"/>
  <c r="M71" i="41" s="1"/>
  <c r="M141" i="45"/>
  <c r="D141" i="45"/>
  <c r="F43" i="45"/>
  <c r="F51" i="45"/>
  <c r="F59" i="45"/>
  <c r="F37" i="45"/>
  <c r="F45" i="45"/>
  <c r="F39" i="45"/>
  <c r="F47" i="45"/>
  <c r="F55" i="45"/>
  <c r="F41" i="45"/>
  <c r="F53" i="45"/>
  <c r="F57" i="45"/>
  <c r="F49" i="45"/>
  <c r="I62" i="45"/>
  <c r="D62" i="45"/>
  <c r="E62" i="45"/>
  <c r="F8" i="45"/>
  <c r="Q143" i="45" l="1"/>
  <c r="Q144" i="45" s="1"/>
  <c r="M129" i="45"/>
  <c r="I71" i="41" s="1"/>
  <c r="M143" i="45"/>
  <c r="L129" i="45"/>
  <c r="H71" i="41" s="1"/>
  <c r="L143" i="45"/>
  <c r="K143" i="45"/>
  <c r="K129" i="45"/>
  <c r="G71" i="41" s="1"/>
  <c r="J143" i="45"/>
  <c r="J129" i="45"/>
  <c r="F71" i="41" s="1"/>
  <c r="D143" i="45"/>
  <c r="D144" i="45" s="1"/>
  <c r="F62" i="45"/>
  <c r="F64" i="45" s="1"/>
  <c r="I64" i="45"/>
  <c r="M144" i="45" l="1"/>
  <c r="L144" i="45"/>
  <c r="K144" i="45"/>
  <c r="J144" i="45"/>
  <c r="D48" i="44"/>
  <c r="D47" i="44"/>
  <c r="D44" i="44"/>
  <c r="D43" i="44"/>
  <c r="D40" i="44"/>
  <c r="D39" i="44"/>
  <c r="D37" i="44"/>
  <c r="D9" i="44"/>
  <c r="F9" i="44" s="1"/>
  <c r="D10" i="44"/>
  <c r="F10" i="44" s="1"/>
  <c r="D11" i="44"/>
  <c r="F11" i="44" s="1"/>
  <c r="D12" i="44"/>
  <c r="F12" i="44" s="1"/>
  <c r="D13" i="44"/>
  <c r="F13" i="44" s="1"/>
  <c r="D14" i="44"/>
  <c r="F14" i="44" s="1"/>
  <c r="D15" i="44"/>
  <c r="F15" i="44" s="1"/>
  <c r="D16" i="44"/>
  <c r="F16" i="44" s="1"/>
  <c r="D17" i="44"/>
  <c r="F17" i="44" s="1"/>
  <c r="D18" i="44"/>
  <c r="F18" i="44" s="1"/>
  <c r="D19" i="44"/>
  <c r="F19" i="44" s="1"/>
  <c r="D20" i="44"/>
  <c r="F20" i="44" s="1"/>
  <c r="D21" i="44"/>
  <c r="F21" i="44" s="1"/>
  <c r="D22" i="44"/>
  <c r="F22" i="44" s="1"/>
  <c r="D23" i="44"/>
  <c r="F23" i="44" s="1"/>
  <c r="D24" i="44"/>
  <c r="F24" i="44" s="1"/>
  <c r="D25" i="44"/>
  <c r="F25" i="44" s="1"/>
  <c r="D26" i="44"/>
  <c r="F26" i="44" s="1"/>
  <c r="D27" i="44"/>
  <c r="F27" i="44" s="1"/>
  <c r="D28" i="44"/>
  <c r="F28" i="44" s="1"/>
  <c r="D29" i="44"/>
  <c r="F29" i="44" s="1"/>
  <c r="H29" i="44"/>
  <c r="H28" i="44"/>
  <c r="H27" i="44"/>
  <c r="H26" i="44"/>
  <c r="H25" i="44"/>
  <c r="H24" i="44"/>
  <c r="H23" i="44"/>
  <c r="H22" i="44"/>
  <c r="H21" i="44"/>
  <c r="H20" i="44"/>
  <c r="H19" i="44"/>
  <c r="H18" i="44"/>
  <c r="H17" i="44"/>
  <c r="H16" i="44"/>
  <c r="H15" i="44"/>
  <c r="H14" i="44"/>
  <c r="H13" i="44"/>
  <c r="H12" i="44"/>
  <c r="H11" i="44"/>
  <c r="H10" i="44"/>
  <c r="H9" i="44"/>
  <c r="H8" i="44"/>
  <c r="D8" i="44"/>
  <c r="D50" i="44" l="1"/>
  <c r="D30" i="44"/>
  <c r="H30" i="44"/>
  <c r="E30" i="44"/>
  <c r="F8" i="44"/>
  <c r="F30" i="44" s="1"/>
  <c r="H32" i="44" l="1"/>
  <c r="U1570" i="40"/>
  <c r="R2085" i="40" l="1"/>
  <c r="P2085" i="40"/>
  <c r="O2085" i="40"/>
  <c r="M2085" i="40"/>
  <c r="K1744" i="40"/>
  <c r="J1743" i="40"/>
  <c r="R1134" i="40"/>
  <c r="X2085" i="40" l="1"/>
  <c r="Q2085" i="40"/>
  <c r="T2085" i="40"/>
  <c r="U2085" i="40"/>
  <c r="V2085" i="40"/>
  <c r="W2085" i="40"/>
  <c r="B4" i="40"/>
  <c r="U484" i="40"/>
  <c r="T483" i="40"/>
  <c r="V480" i="40"/>
  <c r="U480" i="40"/>
  <c r="X480" i="40"/>
  <c r="Q480" i="40"/>
  <c r="O480" i="40"/>
  <c r="M480" i="40"/>
  <c r="V38" i="40"/>
  <c r="U38" i="40"/>
  <c r="V37" i="40"/>
  <c r="U37" i="40"/>
  <c r="U15" i="40"/>
  <c r="U14" i="40"/>
  <c r="V13" i="40"/>
  <c r="U13" i="40"/>
  <c r="V12" i="40"/>
  <c r="U12" i="40"/>
  <c r="V11" i="40"/>
  <c r="U11" i="40"/>
  <c r="T37" i="40"/>
  <c r="T15" i="40"/>
  <c r="T14" i="40"/>
  <c r="O13" i="40"/>
  <c r="O12" i="40"/>
  <c r="O11" i="40"/>
  <c r="X486" i="40"/>
  <c r="W486" i="40"/>
  <c r="V486" i="40"/>
  <c r="U486" i="40"/>
  <c r="T486" i="40"/>
  <c r="Q486" i="40"/>
  <c r="O486" i="40"/>
  <c r="M486" i="40"/>
  <c r="V482" i="40"/>
  <c r="X485" i="40"/>
  <c r="W485" i="40"/>
  <c r="V485" i="40"/>
  <c r="U485" i="40"/>
  <c r="T485" i="40"/>
  <c r="Q485" i="40"/>
  <c r="O485" i="40"/>
  <c r="M485" i="40"/>
  <c r="O484" i="40"/>
  <c r="M484" i="40"/>
  <c r="X483" i="40"/>
  <c r="W483" i="40"/>
  <c r="V483" i="40"/>
  <c r="U483" i="40"/>
  <c r="Q483" i="40"/>
  <c r="O483" i="40"/>
  <c r="M483" i="40"/>
  <c r="O482" i="40"/>
  <c r="M482" i="40"/>
  <c r="V479" i="40"/>
  <c r="U479" i="40"/>
  <c r="W479" i="40"/>
  <c r="Q479" i="40"/>
  <c r="O479" i="40"/>
  <c r="M479" i="40"/>
  <c r="V478" i="40"/>
  <c r="U478" i="40"/>
  <c r="X478" i="40"/>
  <c r="Q478" i="40"/>
  <c r="O478" i="40"/>
  <c r="M478" i="40"/>
  <c r="T477" i="40"/>
  <c r="X476" i="40"/>
  <c r="V477" i="40"/>
  <c r="U477" i="40"/>
  <c r="Q477" i="40"/>
  <c r="O477" i="40"/>
  <c r="M477" i="40"/>
  <c r="V476" i="40"/>
  <c r="U476" i="40"/>
  <c r="Q476" i="40"/>
  <c r="O476" i="40"/>
  <c r="M476" i="40"/>
  <c r="X471" i="40"/>
  <c r="W471" i="40"/>
  <c r="U471" i="40"/>
  <c r="T471" i="40"/>
  <c r="Q471" i="40"/>
  <c r="V471" i="40"/>
  <c r="M471" i="40"/>
  <c r="O470" i="40"/>
  <c r="AA1500" i="40" l="1"/>
  <c r="AB1500" i="40" s="1"/>
  <c r="AA1482" i="40"/>
  <c r="AB1482" i="40" s="1"/>
  <c r="AA848" i="40"/>
  <c r="AB848" i="40" s="1"/>
  <c r="AA1430" i="40"/>
  <c r="AB1430" i="40" s="1"/>
  <c r="AA1508" i="40"/>
  <c r="AB1508" i="40" s="1"/>
  <c r="AA1484" i="40"/>
  <c r="AB1484" i="40" s="1"/>
  <c r="AA1476" i="40"/>
  <c r="AB1476" i="40" s="1"/>
  <c r="AA1470" i="40"/>
  <c r="AB1470" i="40" s="1"/>
  <c r="AA1465" i="40"/>
  <c r="AB1465" i="40" s="1"/>
  <c r="AA1507" i="40"/>
  <c r="AA1483" i="40"/>
  <c r="AB1483" i="40" s="1"/>
  <c r="AA1475" i="40"/>
  <c r="AB1475" i="40" s="1"/>
  <c r="AA1464" i="40"/>
  <c r="AA1490" i="40"/>
  <c r="AB1490" i="40" s="1"/>
  <c r="AA1481" i="40"/>
  <c r="AB1481" i="40" s="1"/>
  <c r="AA1474" i="40"/>
  <c r="AB1474" i="40" s="1"/>
  <c r="AA1469" i="40"/>
  <c r="AB1469" i="40" s="1"/>
  <c r="AA1427" i="40"/>
  <c r="AA1489" i="40"/>
  <c r="AB1489" i="40" s="1"/>
  <c r="AA1480" i="40"/>
  <c r="AB1480" i="40" s="1"/>
  <c r="AA1488" i="40"/>
  <c r="AB1488" i="40" s="1"/>
  <c r="AA1473" i="40"/>
  <c r="AB1473" i="40" s="1"/>
  <c r="AA1468" i="40"/>
  <c r="AB1468" i="40" s="1"/>
  <c r="AA1487" i="40"/>
  <c r="AB1487" i="40" s="1"/>
  <c r="AA1467" i="40"/>
  <c r="AB1467" i="40" s="1"/>
  <c r="AA1510" i="40"/>
  <c r="AA1486" i="40"/>
  <c r="AB1486" i="40" s="1"/>
  <c r="AA1477" i="40"/>
  <c r="AB1477" i="40" s="1"/>
  <c r="AA1472" i="40"/>
  <c r="AB1472" i="40" s="1"/>
  <c r="AA1466" i="40"/>
  <c r="AB1466" i="40" s="1"/>
  <c r="AA1509" i="40"/>
  <c r="AB1509" i="40" s="1"/>
  <c r="AA1485" i="40"/>
  <c r="AB1485" i="40" s="1"/>
  <c r="AA1471" i="40"/>
  <c r="AB1471" i="40" s="1"/>
  <c r="AA1429" i="40"/>
  <c r="AB1429" i="40" s="1"/>
  <c r="AA1513" i="40"/>
  <c r="AB1513" i="40" s="1"/>
  <c r="AA1514" i="40"/>
  <c r="AB1514" i="40" s="1"/>
  <c r="AA1498" i="40"/>
  <c r="AB1498" i="40" s="1"/>
  <c r="AA1512" i="40"/>
  <c r="AB1512" i="40" s="1"/>
  <c r="AA1497" i="40"/>
  <c r="AA1499" i="40"/>
  <c r="AB1499" i="40" s="1"/>
  <c r="AA1511" i="40"/>
  <c r="AB1511" i="40" s="1"/>
  <c r="AA1398" i="40"/>
  <c r="AB1398" i="40" s="1"/>
  <c r="AA1406" i="40"/>
  <c r="AB1406" i="40" s="1"/>
  <c r="AA1400" i="40"/>
  <c r="AB1400" i="40" s="1"/>
  <c r="AA1411" i="40"/>
  <c r="AB1411" i="40" s="1"/>
  <c r="AA1408" i="40"/>
  <c r="AB1408" i="40" s="1"/>
  <c r="AA1399" i="40"/>
  <c r="AB1399" i="40" s="1"/>
  <c r="AA1407" i="40"/>
  <c r="AB1407" i="40" s="1"/>
  <c r="AA1396" i="40"/>
  <c r="AB1396" i="40" s="1"/>
  <c r="AA1401" i="40"/>
  <c r="AB1401" i="40" s="1"/>
  <c r="AA1404" i="40"/>
  <c r="AB1404" i="40" s="1"/>
  <c r="AA1405" i="40"/>
  <c r="AB1405" i="40" s="1"/>
  <c r="AA1409" i="40"/>
  <c r="AB1409" i="40" s="1"/>
  <c r="AA1403" i="40"/>
  <c r="AB1403" i="40" s="1"/>
  <c r="AA1402" i="40"/>
  <c r="AB1402" i="40" s="1"/>
  <c r="AA1397" i="40"/>
  <c r="AB1397" i="40" s="1"/>
  <c r="AA1410" i="40"/>
  <c r="AB1410" i="40" s="1"/>
  <c r="AA1425" i="40"/>
  <c r="AB1425" i="40" s="1"/>
  <c r="AA1422" i="40"/>
  <c r="AB1422" i="40" s="1"/>
  <c r="AA1416" i="40"/>
  <c r="AB1416" i="40" s="1"/>
  <c r="AA1418" i="40"/>
  <c r="AB1418" i="40" s="1"/>
  <c r="AA1414" i="40"/>
  <c r="AB1414" i="40" s="1"/>
  <c r="AA1421" i="40"/>
  <c r="AB1421" i="40" s="1"/>
  <c r="AA1420" i="40"/>
  <c r="AB1420" i="40" s="1"/>
  <c r="AA1412" i="40"/>
  <c r="AB1412" i="40" s="1"/>
  <c r="AA1417" i="40"/>
  <c r="AB1417" i="40" s="1"/>
  <c r="AA1424" i="40"/>
  <c r="AB1424" i="40" s="1"/>
  <c r="AA1423" i="40"/>
  <c r="AB1423" i="40" s="1"/>
  <c r="AA1415" i="40"/>
  <c r="AB1415" i="40" s="1"/>
  <c r="AA1419" i="40"/>
  <c r="AB1419" i="40" s="1"/>
  <c r="AA1426" i="40"/>
  <c r="AB1426" i="40" s="1"/>
  <c r="AA1413" i="40"/>
  <c r="AB1413" i="40" s="1"/>
  <c r="AA832" i="40"/>
  <c r="AA845" i="40"/>
  <c r="AB845" i="40" s="1"/>
  <c r="AA847" i="40"/>
  <c r="AB847" i="40" s="1"/>
  <c r="AA846" i="40"/>
  <c r="AB846" i="40" s="1"/>
  <c r="AA1075" i="40"/>
  <c r="AB1075" i="40" s="1"/>
  <c r="AA844" i="40"/>
  <c r="AB844" i="40" s="1"/>
  <c r="AA842" i="40"/>
  <c r="AB842" i="40" s="1"/>
  <c r="DO476" i="40"/>
  <c r="DP476" i="40"/>
  <c r="DJ476" i="40"/>
  <c r="DM476" i="40"/>
  <c r="DK476" i="40"/>
  <c r="DN476" i="40"/>
  <c r="DI476" i="40"/>
  <c r="DL476" i="40"/>
  <c r="DH476" i="40"/>
  <c r="DF476" i="40"/>
  <c r="DG476" i="40"/>
  <c r="DD476" i="40"/>
  <c r="DE476" i="40"/>
  <c r="DA476" i="40"/>
  <c r="CX476" i="40"/>
  <c r="CZ476" i="40"/>
  <c r="DC476" i="40"/>
  <c r="DB476" i="40"/>
  <c r="CY476" i="40"/>
  <c r="CS476" i="40"/>
  <c r="CR476" i="40"/>
  <c r="CU476" i="40"/>
  <c r="CV476" i="40"/>
  <c r="CT476" i="40"/>
  <c r="CW476" i="40"/>
  <c r="CO476" i="40"/>
  <c r="CN476" i="40"/>
  <c r="CP476" i="40"/>
  <c r="CQ476" i="40"/>
  <c r="CL476" i="40"/>
  <c r="CM476" i="40"/>
  <c r="CK476" i="40"/>
  <c r="CG476" i="40"/>
  <c r="CJ476" i="40"/>
  <c r="CI476" i="40"/>
  <c r="CF476" i="40"/>
  <c r="CH476" i="40"/>
  <c r="CD476" i="40"/>
  <c r="CB476" i="40"/>
  <c r="CE476" i="40"/>
  <c r="BZ476" i="40"/>
  <c r="CA476" i="40"/>
  <c r="CC476" i="40"/>
  <c r="BY476" i="40"/>
  <c r="BP476" i="40"/>
  <c r="BT476" i="40"/>
  <c r="BX476" i="40"/>
  <c r="BN476" i="40"/>
  <c r="BS476" i="40"/>
  <c r="BW476" i="40"/>
  <c r="BU476" i="40"/>
  <c r="BO476" i="40"/>
  <c r="BM476" i="40"/>
  <c r="BQ476" i="40"/>
  <c r="BV476" i="40"/>
  <c r="BR476" i="40"/>
  <c r="BJ476" i="40"/>
  <c r="BL476" i="40"/>
  <c r="BI476" i="40"/>
  <c r="BH476" i="40"/>
  <c r="BG476" i="40"/>
  <c r="BK476" i="40"/>
  <c r="BF476" i="40"/>
  <c r="BD476" i="40"/>
  <c r="AX476" i="40"/>
  <c r="BB476" i="40"/>
  <c r="AY476" i="40"/>
  <c r="BC476" i="40"/>
  <c r="AZ476" i="40"/>
  <c r="BE476" i="40"/>
  <c r="BA476" i="40"/>
  <c r="AS476" i="40"/>
  <c r="AT476" i="40"/>
  <c r="AW476" i="40"/>
  <c r="AU476" i="40"/>
  <c r="AV476" i="40"/>
  <c r="AR476" i="40"/>
  <c r="DM479" i="40"/>
  <c r="DI479" i="40"/>
  <c r="DJ479" i="40"/>
  <c r="DP479" i="40"/>
  <c r="DN479" i="40"/>
  <c r="DL479" i="40"/>
  <c r="DK479" i="40"/>
  <c r="DO479" i="40"/>
  <c r="DH479" i="40"/>
  <c r="DD479" i="40"/>
  <c r="DE479" i="40"/>
  <c r="DF479" i="40"/>
  <c r="DG479" i="40"/>
  <c r="DC479" i="40"/>
  <c r="CY479" i="40"/>
  <c r="DB479" i="40"/>
  <c r="CX479" i="40"/>
  <c r="DA479" i="40"/>
  <c r="CZ479" i="40"/>
  <c r="CS479" i="40"/>
  <c r="CT479" i="40"/>
  <c r="CW479" i="40"/>
  <c r="CV479" i="40"/>
  <c r="CR479" i="40"/>
  <c r="CU479" i="40"/>
  <c r="CL479" i="40"/>
  <c r="CP479" i="40"/>
  <c r="CM479" i="40"/>
  <c r="CQ479" i="40"/>
  <c r="CN479" i="40"/>
  <c r="CO479" i="40"/>
  <c r="CJ479" i="40"/>
  <c r="CH479" i="40"/>
  <c r="CI479" i="40"/>
  <c r="CG479" i="40"/>
  <c r="CF479" i="40"/>
  <c r="CK479" i="40"/>
  <c r="CD479" i="40"/>
  <c r="CB479" i="40"/>
  <c r="BZ479" i="40"/>
  <c r="CC479" i="40"/>
  <c r="CA479" i="40"/>
  <c r="CE479" i="40"/>
  <c r="BY479" i="40"/>
  <c r="BV479" i="40"/>
  <c r="BN479" i="40"/>
  <c r="BX479" i="40"/>
  <c r="BM479" i="40"/>
  <c r="BQ479" i="40"/>
  <c r="BR479" i="40"/>
  <c r="BP479" i="40"/>
  <c r="BT479" i="40"/>
  <c r="BS479" i="40"/>
  <c r="BO479" i="40"/>
  <c r="BU479" i="40"/>
  <c r="BW479" i="40"/>
  <c r="BH479" i="40"/>
  <c r="BF479" i="40"/>
  <c r="BL479" i="40"/>
  <c r="BK479" i="40"/>
  <c r="BI479" i="40"/>
  <c r="BJ479" i="40"/>
  <c r="BG479" i="40"/>
  <c r="AX479" i="40"/>
  <c r="BB479" i="40"/>
  <c r="BA479" i="40"/>
  <c r="AZ479" i="40"/>
  <c r="BE479" i="40"/>
  <c r="BC479" i="40"/>
  <c r="AY479" i="40"/>
  <c r="BD479" i="40"/>
  <c r="AV479" i="40"/>
  <c r="AW479" i="40"/>
  <c r="AU479" i="40"/>
  <c r="AS479" i="40"/>
  <c r="AT479" i="40"/>
  <c r="AR479" i="40"/>
  <c r="DK483" i="40"/>
  <c r="DL483" i="40"/>
  <c r="DP483" i="40"/>
  <c r="DN483" i="40"/>
  <c r="DM483" i="40"/>
  <c r="DI483" i="40"/>
  <c r="DJ483" i="40"/>
  <c r="DO483" i="40"/>
  <c r="DH483" i="40"/>
  <c r="DD483" i="40"/>
  <c r="DE483" i="40"/>
  <c r="DG483" i="40"/>
  <c r="DF483" i="40"/>
  <c r="DB483" i="40"/>
  <c r="CX483" i="40"/>
  <c r="DA483" i="40"/>
  <c r="CZ483" i="40"/>
  <c r="CY483" i="40"/>
  <c r="DC483" i="40"/>
  <c r="CV483" i="40"/>
  <c r="CR483" i="40"/>
  <c r="CS483" i="40"/>
  <c r="CW483" i="40"/>
  <c r="CU483" i="40"/>
  <c r="CT483" i="40"/>
  <c r="CM483" i="40"/>
  <c r="CL483" i="40"/>
  <c r="CP483" i="40"/>
  <c r="CO483" i="40"/>
  <c r="CN483" i="40"/>
  <c r="CQ483" i="40"/>
  <c r="CH483" i="40"/>
  <c r="CG483" i="40"/>
  <c r="CI483" i="40"/>
  <c r="CF483" i="40"/>
  <c r="CK483" i="40"/>
  <c r="CJ483" i="40"/>
  <c r="BZ483" i="40"/>
  <c r="CB483" i="40"/>
  <c r="CD483" i="40"/>
  <c r="CA483" i="40"/>
  <c r="CC483" i="40"/>
  <c r="CE483" i="40"/>
  <c r="BY483" i="40"/>
  <c r="BN483" i="40"/>
  <c r="BQ483" i="40"/>
  <c r="BP483" i="40"/>
  <c r="BX483" i="40"/>
  <c r="BT483" i="40"/>
  <c r="BW483" i="40"/>
  <c r="BM483" i="40"/>
  <c r="BV483" i="40"/>
  <c r="BU483" i="40"/>
  <c r="BO483" i="40"/>
  <c r="BR483" i="40"/>
  <c r="BS483" i="40"/>
  <c r="BK483" i="40"/>
  <c r="BF483" i="40"/>
  <c r="BI483" i="40"/>
  <c r="BL483" i="40"/>
  <c r="BJ483" i="40"/>
  <c r="BG483" i="40"/>
  <c r="BH483" i="40"/>
  <c r="BC483" i="40"/>
  <c r="BE483" i="40"/>
  <c r="BD483" i="40"/>
  <c r="AZ483" i="40"/>
  <c r="BA483" i="40"/>
  <c r="AY483" i="40"/>
  <c r="AX483" i="40"/>
  <c r="BB483" i="40"/>
  <c r="AW483" i="40"/>
  <c r="AU483" i="40"/>
  <c r="AS483" i="40"/>
  <c r="AV483" i="40"/>
  <c r="AT483" i="40"/>
  <c r="AR483" i="40"/>
  <c r="DJ485" i="40"/>
  <c r="DL485" i="40"/>
  <c r="DP485" i="40"/>
  <c r="DO485" i="40"/>
  <c r="DM485" i="40"/>
  <c r="DI485" i="40"/>
  <c r="DN485" i="40"/>
  <c r="DK485" i="40"/>
  <c r="DH485" i="40"/>
  <c r="DF485" i="40"/>
  <c r="DE485" i="40"/>
  <c r="DG485" i="40"/>
  <c r="DD485" i="40"/>
  <c r="CZ485" i="40"/>
  <c r="DC485" i="40"/>
  <c r="DA485" i="40"/>
  <c r="CY485" i="40"/>
  <c r="DB485" i="40"/>
  <c r="CX485" i="40"/>
  <c r="CW485" i="40"/>
  <c r="CT485" i="40"/>
  <c r="CS485" i="40"/>
  <c r="CV485" i="40"/>
  <c r="CR485" i="40"/>
  <c r="CU485" i="40"/>
  <c r="CM485" i="40"/>
  <c r="CQ485" i="40"/>
  <c r="CN485" i="40"/>
  <c r="CL485" i="40"/>
  <c r="CP485" i="40"/>
  <c r="CO485" i="40"/>
  <c r="CG485" i="40"/>
  <c r="CF485" i="40"/>
  <c r="CJ485" i="40"/>
  <c r="CK485" i="40"/>
  <c r="CH485" i="40"/>
  <c r="CI485" i="40"/>
  <c r="CE485" i="40"/>
  <c r="CC485" i="40"/>
  <c r="CD485" i="40"/>
  <c r="CB485" i="40"/>
  <c r="CA485" i="40"/>
  <c r="BZ485" i="40"/>
  <c r="BY485" i="40"/>
  <c r="BU485" i="40"/>
  <c r="BW485" i="40"/>
  <c r="BR485" i="40"/>
  <c r="BV485" i="40"/>
  <c r="BM485" i="40"/>
  <c r="BN485" i="40"/>
  <c r="BQ485" i="40"/>
  <c r="BP485" i="40"/>
  <c r="BS485" i="40"/>
  <c r="BO485" i="40"/>
  <c r="BX485" i="40"/>
  <c r="BT485" i="40"/>
  <c r="BJ485" i="40"/>
  <c r="BG485" i="40"/>
  <c r="BK485" i="40"/>
  <c r="BF485" i="40"/>
  <c r="BL485" i="40"/>
  <c r="BH485" i="40"/>
  <c r="BI485" i="40"/>
  <c r="BC485" i="40"/>
  <c r="AX485" i="40"/>
  <c r="BE485" i="40"/>
  <c r="BB485" i="40"/>
  <c r="BA485" i="40"/>
  <c r="AY485" i="40"/>
  <c r="AZ485" i="40"/>
  <c r="BD485" i="40"/>
  <c r="AV485" i="40"/>
  <c r="AT485" i="40"/>
  <c r="AW485" i="40"/>
  <c r="AU485" i="40"/>
  <c r="AS485" i="40"/>
  <c r="AR485" i="40"/>
  <c r="DJ478" i="40"/>
  <c r="DO478" i="40"/>
  <c r="DL478" i="40"/>
  <c r="DN478" i="40"/>
  <c r="DM478" i="40"/>
  <c r="DI478" i="40"/>
  <c r="DP478" i="40"/>
  <c r="DK478" i="40"/>
  <c r="DH478" i="40"/>
  <c r="DD478" i="40"/>
  <c r="DE478" i="40"/>
  <c r="DF478" i="40"/>
  <c r="DG478" i="40"/>
  <c r="DC478" i="40"/>
  <c r="CZ478" i="40"/>
  <c r="CY478" i="40"/>
  <c r="CX478" i="40"/>
  <c r="DA478" i="40"/>
  <c r="DB478" i="40"/>
  <c r="CU478" i="40"/>
  <c r="CR478" i="40"/>
  <c r="CV478" i="40"/>
  <c r="CS478" i="40"/>
  <c r="CT478" i="40"/>
  <c r="CW478" i="40"/>
  <c r="CP478" i="40"/>
  <c r="CQ478" i="40"/>
  <c r="CN478" i="40"/>
  <c r="CM478" i="40"/>
  <c r="CO478" i="40"/>
  <c r="CL478" i="40"/>
  <c r="CF478" i="40"/>
  <c r="CG478" i="40"/>
  <c r="CH478" i="40"/>
  <c r="CK478" i="40"/>
  <c r="CI478" i="40"/>
  <c r="CJ478" i="40"/>
  <c r="CB478" i="40"/>
  <c r="BZ478" i="40"/>
  <c r="CA478" i="40"/>
  <c r="CC478" i="40"/>
  <c r="CD478" i="40"/>
  <c r="CE478" i="40"/>
  <c r="BY478" i="40"/>
  <c r="BO478" i="40"/>
  <c r="BN478" i="40"/>
  <c r="BX478" i="40"/>
  <c r="BQ478" i="40"/>
  <c r="BR478" i="40"/>
  <c r="BT478" i="40"/>
  <c r="BV478" i="40"/>
  <c r="BP478" i="40"/>
  <c r="BS478" i="40"/>
  <c r="BM478" i="40"/>
  <c r="BU478" i="40"/>
  <c r="BW478" i="40"/>
  <c r="BK478" i="40"/>
  <c r="BG478" i="40"/>
  <c r="BH478" i="40"/>
  <c r="BL478" i="40"/>
  <c r="BJ478" i="40"/>
  <c r="BI478" i="40"/>
  <c r="BF478" i="40"/>
  <c r="AZ478" i="40"/>
  <c r="BE478" i="40"/>
  <c r="AX478" i="40"/>
  <c r="BC478" i="40"/>
  <c r="BA478" i="40"/>
  <c r="BD478" i="40"/>
  <c r="AY478" i="40"/>
  <c r="BB478" i="40"/>
  <c r="AW478" i="40"/>
  <c r="AU478" i="40"/>
  <c r="AS478" i="40"/>
  <c r="AT478" i="40"/>
  <c r="AV478" i="40"/>
  <c r="AR478" i="40"/>
  <c r="DP486" i="40"/>
  <c r="DL486" i="40"/>
  <c r="DI486" i="40"/>
  <c r="DN486" i="40"/>
  <c r="DK486" i="40"/>
  <c r="DO486" i="40"/>
  <c r="DM486" i="40"/>
  <c r="DJ486" i="40"/>
  <c r="DH486" i="40"/>
  <c r="DD486" i="40"/>
  <c r="DE486" i="40"/>
  <c r="DG486" i="40"/>
  <c r="DF486" i="40"/>
  <c r="DA486" i="40"/>
  <c r="CY486" i="40"/>
  <c r="DB486" i="40"/>
  <c r="CX486" i="40"/>
  <c r="CZ486" i="40"/>
  <c r="DC486" i="40"/>
  <c r="CS486" i="40"/>
  <c r="CR486" i="40"/>
  <c r="CV486" i="40"/>
  <c r="CU486" i="40"/>
  <c r="CT486" i="40"/>
  <c r="CW486" i="40"/>
  <c r="CP486" i="40"/>
  <c r="CO486" i="40"/>
  <c r="CN486" i="40"/>
  <c r="CL486" i="40"/>
  <c r="CM486" i="40"/>
  <c r="CQ486" i="40"/>
  <c r="CI486" i="40"/>
  <c r="CG486" i="40"/>
  <c r="CH486" i="40"/>
  <c r="CK486" i="40"/>
  <c r="CF486" i="40"/>
  <c r="CJ486" i="40"/>
  <c r="CB486" i="40"/>
  <c r="BZ486" i="40"/>
  <c r="CC486" i="40"/>
  <c r="CD486" i="40"/>
  <c r="CE486" i="40"/>
  <c r="CA486" i="40"/>
  <c r="BY486" i="40"/>
  <c r="BQ486" i="40"/>
  <c r="BX486" i="40"/>
  <c r="BV486" i="40"/>
  <c r="BP486" i="40"/>
  <c r="BU486" i="40"/>
  <c r="BW486" i="40"/>
  <c r="BT486" i="40"/>
  <c r="BS486" i="40"/>
  <c r="BM486" i="40"/>
  <c r="BO486" i="40"/>
  <c r="BN486" i="40"/>
  <c r="BR486" i="40"/>
  <c r="BH486" i="40"/>
  <c r="BI486" i="40"/>
  <c r="BL486" i="40"/>
  <c r="BG486" i="40"/>
  <c r="BF486" i="40"/>
  <c r="BJ486" i="40"/>
  <c r="BK486" i="40"/>
  <c r="BB486" i="40"/>
  <c r="BA486" i="40"/>
  <c r="BE486" i="40"/>
  <c r="BD486" i="40"/>
  <c r="AZ486" i="40"/>
  <c r="AY486" i="40"/>
  <c r="BC486" i="40"/>
  <c r="AX486" i="40"/>
  <c r="AS486" i="40"/>
  <c r="AV486" i="40"/>
  <c r="AT486" i="40"/>
  <c r="AW486" i="40"/>
  <c r="AU486" i="40"/>
  <c r="AR486" i="40"/>
  <c r="DO477" i="40"/>
  <c r="DN477" i="40"/>
  <c r="DK477" i="40"/>
  <c r="DL477" i="40"/>
  <c r="DP477" i="40"/>
  <c r="DJ477" i="40"/>
  <c r="DM477" i="40"/>
  <c r="DI477" i="40"/>
  <c r="DH477" i="40"/>
  <c r="DG477" i="40"/>
  <c r="DD477" i="40"/>
  <c r="DF477" i="40"/>
  <c r="DE477" i="40"/>
  <c r="CX477" i="40"/>
  <c r="DB477" i="40"/>
  <c r="DC477" i="40"/>
  <c r="DA477" i="40"/>
  <c r="CZ477" i="40"/>
  <c r="CY477" i="40"/>
  <c r="CU477" i="40"/>
  <c r="CV477" i="40"/>
  <c r="CW477" i="40"/>
  <c r="CT477" i="40"/>
  <c r="CR477" i="40"/>
  <c r="CS477" i="40"/>
  <c r="CO477" i="40"/>
  <c r="CL477" i="40"/>
  <c r="CQ477" i="40"/>
  <c r="CN477" i="40"/>
  <c r="CM477" i="40"/>
  <c r="CP477" i="40"/>
  <c r="CH477" i="40"/>
  <c r="CG477" i="40"/>
  <c r="CI477" i="40"/>
  <c r="CK477" i="40"/>
  <c r="CJ477" i="40"/>
  <c r="CF477" i="40"/>
  <c r="CE477" i="40"/>
  <c r="CB477" i="40"/>
  <c r="BZ477" i="40"/>
  <c r="CA477" i="40"/>
  <c r="CD477" i="40"/>
  <c r="CC477" i="40"/>
  <c r="BY477" i="40"/>
  <c r="BM477" i="40"/>
  <c r="BU477" i="40"/>
  <c r="BV477" i="40"/>
  <c r="BT477" i="40"/>
  <c r="BW477" i="40"/>
  <c r="BX477" i="40"/>
  <c r="BR477" i="40"/>
  <c r="BS477" i="40"/>
  <c r="BO477" i="40"/>
  <c r="BP477" i="40"/>
  <c r="BQ477" i="40"/>
  <c r="BN477" i="40"/>
  <c r="BJ477" i="40"/>
  <c r="BF477" i="40"/>
  <c r="BG477" i="40"/>
  <c r="BH477" i="40"/>
  <c r="BK477" i="40"/>
  <c r="BL477" i="40"/>
  <c r="BI477" i="40"/>
  <c r="BC477" i="40"/>
  <c r="AY477" i="40"/>
  <c r="BD477" i="40"/>
  <c r="AX477" i="40"/>
  <c r="AZ477" i="40"/>
  <c r="BA477" i="40"/>
  <c r="BB477" i="40"/>
  <c r="BE477" i="40"/>
  <c r="AV477" i="40"/>
  <c r="AW477" i="40"/>
  <c r="AT477" i="40"/>
  <c r="AS477" i="40"/>
  <c r="AU477" i="40"/>
  <c r="AR477" i="40"/>
  <c r="DP480" i="40"/>
  <c r="DN480" i="40"/>
  <c r="DM480" i="40"/>
  <c r="DO480" i="40"/>
  <c r="DI480" i="40"/>
  <c r="DJ480" i="40"/>
  <c r="DK480" i="40"/>
  <c r="DL480" i="40"/>
  <c r="DH480" i="40"/>
  <c r="DG480" i="40"/>
  <c r="DD480" i="40"/>
  <c r="DF480" i="40"/>
  <c r="DE480" i="40"/>
  <c r="DC480" i="40"/>
  <c r="CX480" i="40"/>
  <c r="DA480" i="40"/>
  <c r="CZ480" i="40"/>
  <c r="CY480" i="40"/>
  <c r="DB480" i="40"/>
  <c r="CV480" i="40"/>
  <c r="CR480" i="40"/>
  <c r="CS480" i="40"/>
  <c r="CT480" i="40"/>
  <c r="CW480" i="40"/>
  <c r="CU480" i="40"/>
  <c r="CN480" i="40"/>
  <c r="CO480" i="40"/>
  <c r="CM480" i="40"/>
  <c r="CQ480" i="40"/>
  <c r="CL480" i="40"/>
  <c r="CP480" i="40"/>
  <c r="CF480" i="40"/>
  <c r="CG480" i="40"/>
  <c r="CI480" i="40"/>
  <c r="CH480" i="40"/>
  <c r="CJ480" i="40"/>
  <c r="CK480" i="40"/>
  <c r="CC480" i="40"/>
  <c r="BZ480" i="40"/>
  <c r="CE480" i="40"/>
  <c r="CD480" i="40"/>
  <c r="CB480" i="40"/>
  <c r="CA480" i="40"/>
  <c r="BY480" i="40"/>
  <c r="BO480" i="40"/>
  <c r="BX480" i="40"/>
  <c r="BP480" i="40"/>
  <c r="BT480" i="40"/>
  <c r="BQ480" i="40"/>
  <c r="BU480" i="40"/>
  <c r="BV480" i="40"/>
  <c r="BS480" i="40"/>
  <c r="BM480" i="40"/>
  <c r="BR480" i="40"/>
  <c r="BN480" i="40"/>
  <c r="BW480" i="40"/>
  <c r="BI480" i="40"/>
  <c r="BL480" i="40"/>
  <c r="BH480" i="40"/>
  <c r="BJ480" i="40"/>
  <c r="BK480" i="40"/>
  <c r="BG480" i="40"/>
  <c r="BF480" i="40"/>
  <c r="BC480" i="40"/>
  <c r="BD480" i="40"/>
  <c r="BE480" i="40"/>
  <c r="AZ480" i="40"/>
  <c r="AY480" i="40"/>
  <c r="AX480" i="40"/>
  <c r="BA480" i="40"/>
  <c r="BB480" i="40"/>
  <c r="AU480" i="40"/>
  <c r="AV480" i="40"/>
  <c r="AT480" i="40"/>
  <c r="AW480" i="40"/>
  <c r="AS480" i="40"/>
  <c r="AR480" i="40"/>
  <c r="DP471" i="40"/>
  <c r="DN471" i="40"/>
  <c r="DO471" i="40"/>
  <c r="DJ471" i="40"/>
  <c r="DK471" i="40"/>
  <c r="DL471" i="40"/>
  <c r="DM471" i="40"/>
  <c r="DI471" i="40"/>
  <c r="DH471" i="40"/>
  <c r="DE471" i="40"/>
  <c r="DG471" i="40"/>
  <c r="DD471" i="40"/>
  <c r="DF471" i="40"/>
  <c r="DA471" i="40"/>
  <c r="CY471" i="40"/>
  <c r="DC471" i="40"/>
  <c r="CZ471" i="40"/>
  <c r="DB471" i="40"/>
  <c r="CX471" i="40"/>
  <c r="CV471" i="40"/>
  <c r="CU471" i="40"/>
  <c r="CT471" i="40"/>
  <c r="CW471" i="40"/>
  <c r="CS471" i="40"/>
  <c r="CR471" i="40"/>
  <c r="CO471" i="40"/>
  <c r="CP471" i="40"/>
  <c r="CM471" i="40"/>
  <c r="CN471" i="40"/>
  <c r="CQ471" i="40"/>
  <c r="CL471" i="40"/>
  <c r="CF471" i="40"/>
  <c r="CH471" i="40"/>
  <c r="CK471" i="40"/>
  <c r="CG471" i="40"/>
  <c r="CI471" i="40"/>
  <c r="CJ471" i="40"/>
  <c r="CE471" i="40"/>
  <c r="CA471" i="40"/>
  <c r="CB471" i="40"/>
  <c r="BZ471" i="40"/>
  <c r="CC471" i="40"/>
  <c r="CD471" i="40"/>
  <c r="BY471" i="40"/>
  <c r="BX471" i="40"/>
  <c r="BS471" i="40"/>
  <c r="BR471" i="40"/>
  <c r="BO471" i="40"/>
  <c r="BT471" i="40"/>
  <c r="BP471" i="40"/>
  <c r="BW471" i="40"/>
  <c r="BQ471" i="40"/>
  <c r="BU471" i="40"/>
  <c r="BM471" i="40"/>
  <c r="BV471" i="40"/>
  <c r="BN471" i="40"/>
  <c r="BL471" i="40"/>
  <c r="BK471" i="40"/>
  <c r="BG471" i="40"/>
  <c r="BH471" i="40"/>
  <c r="BJ471" i="40"/>
  <c r="BF471" i="40"/>
  <c r="BI471" i="40"/>
  <c r="BD471" i="40"/>
  <c r="AY471" i="40"/>
  <c r="AZ471" i="40"/>
  <c r="BE471" i="40"/>
  <c r="BB471" i="40"/>
  <c r="BA471" i="40"/>
  <c r="BC471" i="40"/>
  <c r="AX471" i="40"/>
  <c r="AU471" i="40"/>
  <c r="AT471" i="40"/>
  <c r="AW471" i="40"/>
  <c r="AV471" i="40"/>
  <c r="AS471" i="40"/>
  <c r="AR471" i="40"/>
  <c r="AA1057" i="40"/>
  <c r="AB1057" i="40" s="1"/>
  <c r="AA1074" i="40"/>
  <c r="AB1074" i="40" s="1"/>
  <c r="AA1029" i="40"/>
  <c r="AB1029" i="40" s="1"/>
  <c r="AA1028" i="40"/>
  <c r="AB1028" i="40" s="1"/>
  <c r="AA1011" i="40"/>
  <c r="AB1011" i="40" s="1"/>
  <c r="AA1012" i="40"/>
  <c r="AB1012" i="40" s="1"/>
  <c r="AA1054" i="40"/>
  <c r="AB1054" i="40" s="1"/>
  <c r="AA1007" i="40"/>
  <c r="AB1007" i="40" s="1"/>
  <c r="AA1002" i="40"/>
  <c r="AB1002" i="40" s="1"/>
  <c r="AA1008" i="40"/>
  <c r="AB1008" i="40" s="1"/>
  <c r="AA1053" i="40"/>
  <c r="AB1053" i="40" s="1"/>
  <c r="AA1006" i="40"/>
  <c r="AA1052" i="40"/>
  <c r="AB1052" i="40" s="1"/>
  <c r="AA1048" i="40"/>
  <c r="AB1048" i="40" s="1"/>
  <c r="AA1001" i="40"/>
  <c r="AA1106" i="40"/>
  <c r="AB1106" i="40" s="1"/>
  <c r="AA1105" i="40"/>
  <c r="AB1105" i="40" s="1"/>
  <c r="AN486" i="40"/>
  <c r="AN480" i="40"/>
  <c r="AN483" i="40"/>
  <c r="AN485" i="40"/>
  <c r="AN479" i="40"/>
  <c r="AN476" i="40"/>
  <c r="AN477" i="40"/>
  <c r="AN478" i="40"/>
  <c r="AN471" i="40"/>
  <c r="AO486" i="40"/>
  <c r="AO480" i="40"/>
  <c r="AO478" i="40"/>
  <c r="AO477" i="40"/>
  <c r="AO485" i="40"/>
  <c r="AO479" i="40"/>
  <c r="AO476" i="40"/>
  <c r="AO483" i="40"/>
  <c r="AO471" i="40"/>
  <c r="AN761" i="40"/>
  <c r="T833" i="40"/>
  <c r="T834" i="40" s="1"/>
  <c r="V832" i="40"/>
  <c r="AO466" i="40"/>
  <c r="AO761" i="40"/>
  <c r="DN832" i="40"/>
  <c r="DP832" i="40"/>
  <c r="AA1127" i="40"/>
  <c r="DO832" i="40"/>
  <c r="AA1036" i="40"/>
  <c r="AB1036" i="40" s="1"/>
  <c r="AA1069" i="40"/>
  <c r="AB1069" i="40" s="1"/>
  <c r="AA1108" i="40"/>
  <c r="AA1023" i="40"/>
  <c r="AB1023" i="40" s="1"/>
  <c r="AA843" i="40"/>
  <c r="AB843" i="40" s="1"/>
  <c r="AA1064" i="40"/>
  <c r="AB1064" i="40" s="1"/>
  <c r="AA1080" i="40"/>
  <c r="AB1080" i="40" s="1"/>
  <c r="AA1030" i="40"/>
  <c r="AA1079" i="40"/>
  <c r="AB1079" i="40" s="1"/>
  <c r="AA1078" i="40"/>
  <c r="AB1078" i="40" s="1"/>
  <c r="AA1027" i="40"/>
  <c r="AA1073" i="40"/>
  <c r="AB1073" i="40" s="1"/>
  <c r="AA1033" i="40"/>
  <c r="AA1077" i="40"/>
  <c r="AB1077" i="40" s="1"/>
  <c r="AA1035" i="40"/>
  <c r="AA1076" i="40"/>
  <c r="AB1076" i="40" s="1"/>
  <c r="AA1034" i="40"/>
  <c r="AA1032" i="40"/>
  <c r="AA1081" i="40"/>
  <c r="AB1081" i="40" s="1"/>
  <c r="AA1031" i="40"/>
  <c r="AA1018" i="40"/>
  <c r="AB1018" i="40" s="1"/>
  <c r="AA1070" i="40"/>
  <c r="AB1070" i="40" s="1"/>
  <c r="AA1061" i="40"/>
  <c r="AB1061" i="40" s="1"/>
  <c r="AA1013" i="40"/>
  <c r="AA1020" i="40"/>
  <c r="AA1142" i="40"/>
  <c r="AA1019" i="40"/>
  <c r="AA1141" i="40"/>
  <c r="AA1067" i="40"/>
  <c r="AB1067" i="40" s="1"/>
  <c r="AA1060" i="40"/>
  <c r="AB1060" i="40" s="1"/>
  <c r="AA1017" i="40"/>
  <c r="AA1140" i="40"/>
  <c r="AA1058" i="40"/>
  <c r="AB1058" i="40" s="1"/>
  <c r="AA1025" i="40"/>
  <c r="AA1139" i="40"/>
  <c r="AA1065" i="40"/>
  <c r="AB1065" i="40" s="1"/>
  <c r="AA1056" i="40"/>
  <c r="AB1056" i="40" s="1"/>
  <c r="AA1024" i="40"/>
  <c r="AA1121" i="40"/>
  <c r="AA1063" i="40"/>
  <c r="AB1063" i="40" s="1"/>
  <c r="AA1022" i="40"/>
  <c r="AA1143" i="40"/>
  <c r="AA1062" i="40"/>
  <c r="AB1062" i="40" s="1"/>
  <c r="AA1021" i="40"/>
  <c r="AA1068" i="40"/>
  <c r="AB1068" i="40" s="1"/>
  <c r="AA1071" i="40"/>
  <c r="AB1071" i="40" s="1"/>
  <c r="AA1138" i="40"/>
  <c r="AA1014" i="40"/>
  <c r="AA1137" i="40"/>
  <c r="AA1066" i="40"/>
  <c r="AB1066" i="40" s="1"/>
  <c r="AA1059" i="40"/>
  <c r="AB1059" i="40" s="1"/>
  <c r="AA1010" i="40"/>
  <c r="N1086" i="40"/>
  <c r="O1086" i="40" s="1"/>
  <c r="O1088" i="40" s="1"/>
  <c r="AA1016" i="40"/>
  <c r="AA1015" i="40"/>
  <c r="AA841" i="40"/>
  <c r="AB841" i="40" s="1"/>
  <c r="V861" i="40"/>
  <c r="W1390" i="40"/>
  <c r="AA1136" i="40"/>
  <c r="AA1128" i="40"/>
  <c r="AA1122" i="40"/>
  <c r="AA1135" i="40"/>
  <c r="AA1123" i="40"/>
  <c r="AA1116" i="40"/>
  <c r="AA1134" i="40"/>
  <c r="AA1120" i="40"/>
  <c r="AA1133" i="40"/>
  <c r="AA1126" i="40"/>
  <c r="AA1132" i="40"/>
  <c r="AA1125" i="40"/>
  <c r="AA1119" i="40"/>
  <c r="AA1107" i="40"/>
  <c r="AA1131" i="40"/>
  <c r="AA1124" i="40"/>
  <c r="AA1118" i="40"/>
  <c r="AA1130" i="40"/>
  <c r="AA1117" i="40"/>
  <c r="AA1104" i="40"/>
  <c r="AA1096" i="40"/>
  <c r="AA1101" i="40"/>
  <c r="AA1113" i="40"/>
  <c r="AA1103" i="40"/>
  <c r="AA1095" i="40"/>
  <c r="AA1099" i="40"/>
  <c r="AA1098" i="40"/>
  <c r="AA1112" i="40"/>
  <c r="AA1102" i="40"/>
  <c r="AA1094" i="40"/>
  <c r="AA1111" i="40"/>
  <c r="AA1115" i="40"/>
  <c r="AA1110" i="40"/>
  <c r="AA1100" i="40"/>
  <c r="AA1097" i="40"/>
  <c r="AX832" i="40"/>
  <c r="CF832" i="40"/>
  <c r="AN832" i="40"/>
  <c r="DM832" i="40"/>
  <c r="DE832" i="40"/>
  <c r="CW832" i="40"/>
  <c r="CO832" i="40"/>
  <c r="CG832" i="40"/>
  <c r="BY832" i="40"/>
  <c r="BQ832" i="40"/>
  <c r="BI832" i="40"/>
  <c r="BC832" i="40"/>
  <c r="AW832" i="40"/>
  <c r="AO832" i="40"/>
  <c r="DL832" i="40"/>
  <c r="DK832" i="40"/>
  <c r="DC832" i="40"/>
  <c r="CU832" i="40"/>
  <c r="CM832" i="40"/>
  <c r="CE832" i="40"/>
  <c r="BW832" i="40"/>
  <c r="BO832" i="40"/>
  <c r="BG832" i="40"/>
  <c r="BB832" i="40"/>
  <c r="AU832" i="40"/>
  <c r="DJ832" i="40"/>
  <c r="DB832" i="40"/>
  <c r="CT832" i="40"/>
  <c r="CL832" i="40"/>
  <c r="CD832" i="40"/>
  <c r="BN832" i="40"/>
  <c r="BF832" i="40"/>
  <c r="BA832" i="40"/>
  <c r="AT832" i="40"/>
  <c r="CN832" i="40"/>
  <c r="BV832" i="40"/>
  <c r="DD832" i="40"/>
  <c r="BX832" i="40"/>
  <c r="BP832" i="40"/>
  <c r="AV832" i="40"/>
  <c r="DI832" i="40"/>
  <c r="DA832" i="40"/>
  <c r="CS832" i="40"/>
  <c r="CK832" i="40"/>
  <c r="CC832" i="40"/>
  <c r="BU832" i="40"/>
  <c r="BM832" i="40"/>
  <c r="BE832" i="40"/>
  <c r="AZ832" i="40"/>
  <c r="AS832" i="40"/>
  <c r="DG832" i="40"/>
  <c r="CQ832" i="40"/>
  <c r="CA832" i="40"/>
  <c r="BK832" i="40"/>
  <c r="AY832" i="40"/>
  <c r="DH832" i="40"/>
  <c r="CZ832" i="40"/>
  <c r="CR832" i="40"/>
  <c r="CJ832" i="40"/>
  <c r="CB832" i="40"/>
  <c r="BT832" i="40"/>
  <c r="BL832" i="40"/>
  <c r="AR832" i="40"/>
  <c r="CY832" i="40"/>
  <c r="CI832" i="40"/>
  <c r="BS832" i="40"/>
  <c r="BD832" i="40"/>
  <c r="DF832" i="40"/>
  <c r="CX832" i="40"/>
  <c r="CP832" i="40"/>
  <c r="CH832" i="40"/>
  <c r="BZ832" i="40"/>
  <c r="BR832" i="40"/>
  <c r="BJ832" i="40"/>
  <c r="CV832" i="40"/>
  <c r="BH832" i="40"/>
  <c r="Q484" i="40"/>
  <c r="T484" i="40"/>
  <c r="V484" i="40"/>
  <c r="W484" i="40"/>
  <c r="X484" i="40"/>
  <c r="T480" i="40"/>
  <c r="W480" i="40"/>
  <c r="Q482" i="40"/>
  <c r="U482" i="40"/>
  <c r="W482" i="40"/>
  <c r="X482" i="40"/>
  <c r="T482" i="40"/>
  <c r="T479" i="40"/>
  <c r="X479" i="40"/>
  <c r="T478" i="40"/>
  <c r="W478" i="40"/>
  <c r="W477" i="40"/>
  <c r="X477" i="40"/>
  <c r="T476" i="40"/>
  <c r="W476" i="40"/>
  <c r="O471" i="40"/>
  <c r="AO769" i="40" l="1"/>
  <c r="AO774" i="40" s="1"/>
  <c r="AO779" i="40" s="1"/>
  <c r="AO784" i="40" s="1"/>
  <c r="AO789" i="40" s="1"/>
  <c r="AO794" i="40" s="1"/>
  <c r="AO799" i="40" s="1"/>
  <c r="AO804" i="40" s="1"/>
  <c r="AO809" i="40" s="1"/>
  <c r="AO814" i="40" s="1"/>
  <c r="AO819" i="40" s="1"/>
  <c r="AO825" i="40" s="1"/>
  <c r="DO482" i="40"/>
  <c r="DJ482" i="40"/>
  <c r="DL482" i="40"/>
  <c r="DM482" i="40"/>
  <c r="DI482" i="40"/>
  <c r="DP482" i="40"/>
  <c r="DK482" i="40"/>
  <c r="DN482" i="40"/>
  <c r="DH482" i="40"/>
  <c r="DF482" i="40"/>
  <c r="DD482" i="40"/>
  <c r="DE482" i="40"/>
  <c r="DG482" i="40"/>
  <c r="CY482" i="40"/>
  <c r="DB482" i="40"/>
  <c r="DC482" i="40"/>
  <c r="DA482" i="40"/>
  <c r="CX482" i="40"/>
  <c r="CZ482" i="40"/>
  <c r="CT482" i="40"/>
  <c r="CW482" i="40"/>
  <c r="CV482" i="40"/>
  <c r="CR482" i="40"/>
  <c r="CS482" i="40"/>
  <c r="CU482" i="40"/>
  <c r="CQ482" i="40"/>
  <c r="CL482" i="40"/>
  <c r="CP482" i="40"/>
  <c r="CM482" i="40"/>
  <c r="CN482" i="40"/>
  <c r="CO482" i="40"/>
  <c r="CF482" i="40"/>
  <c r="CG482" i="40"/>
  <c r="CJ482" i="40"/>
  <c r="CK482" i="40"/>
  <c r="CI482" i="40"/>
  <c r="CH482" i="40"/>
  <c r="CD482" i="40"/>
  <c r="CB482" i="40"/>
  <c r="BZ482" i="40"/>
  <c r="CA482" i="40"/>
  <c r="CC482" i="40"/>
  <c r="CE482" i="40"/>
  <c r="BY482" i="40"/>
  <c r="BW482" i="40"/>
  <c r="BR482" i="40"/>
  <c r="BV482" i="40"/>
  <c r="BN482" i="40"/>
  <c r="BO482" i="40"/>
  <c r="BQ482" i="40"/>
  <c r="BM482" i="40"/>
  <c r="BX482" i="40"/>
  <c r="BS482" i="40"/>
  <c r="BU482" i="40"/>
  <c r="BP482" i="40"/>
  <c r="BT482" i="40"/>
  <c r="BK482" i="40"/>
  <c r="BG482" i="40"/>
  <c r="BF482" i="40"/>
  <c r="BL482" i="40"/>
  <c r="BI482" i="40"/>
  <c r="BJ482" i="40"/>
  <c r="BH482" i="40"/>
  <c r="AX482" i="40"/>
  <c r="BB482" i="40"/>
  <c r="BA482" i="40"/>
  <c r="BD482" i="40"/>
  <c r="BE482" i="40"/>
  <c r="AY482" i="40"/>
  <c r="AZ482" i="40"/>
  <c r="BC482" i="40"/>
  <c r="AW482" i="40"/>
  <c r="AT482" i="40"/>
  <c r="AS482" i="40"/>
  <c r="AU482" i="40"/>
  <c r="AV482" i="40"/>
  <c r="AR482" i="40"/>
  <c r="DI484" i="40"/>
  <c r="DP484" i="40"/>
  <c r="DN484" i="40"/>
  <c r="DO484" i="40"/>
  <c r="DJ484" i="40"/>
  <c r="DK484" i="40"/>
  <c r="DL484" i="40"/>
  <c r="DM484" i="40"/>
  <c r="DH484" i="40"/>
  <c r="DG484" i="40"/>
  <c r="DF484" i="40"/>
  <c r="DE484" i="40"/>
  <c r="DD484" i="40"/>
  <c r="DA484" i="40"/>
  <c r="CY484" i="40"/>
  <c r="CZ484" i="40"/>
  <c r="DB484" i="40"/>
  <c r="DC484" i="40"/>
  <c r="CX484" i="40"/>
  <c r="CR484" i="40"/>
  <c r="CS484" i="40"/>
  <c r="CU484" i="40"/>
  <c r="CW484" i="40"/>
  <c r="CT484" i="40"/>
  <c r="CV484" i="40"/>
  <c r="CM484" i="40"/>
  <c r="CN484" i="40"/>
  <c r="CL484" i="40"/>
  <c r="CO484" i="40"/>
  <c r="CQ484" i="40"/>
  <c r="CP484" i="40"/>
  <c r="CI484" i="40"/>
  <c r="CJ484" i="40"/>
  <c r="CK484" i="40"/>
  <c r="CH484" i="40"/>
  <c r="CF484" i="40"/>
  <c r="CG484" i="40"/>
  <c r="CC484" i="40"/>
  <c r="CA484" i="40"/>
  <c r="CB484" i="40"/>
  <c r="CE484" i="40"/>
  <c r="BZ484" i="40"/>
  <c r="CD484" i="40"/>
  <c r="BY484" i="40"/>
  <c r="BN484" i="40"/>
  <c r="BP484" i="40"/>
  <c r="BT484" i="40"/>
  <c r="BQ484" i="40"/>
  <c r="BU484" i="40"/>
  <c r="BM484" i="40"/>
  <c r="BR484" i="40"/>
  <c r="BS484" i="40"/>
  <c r="BX484" i="40"/>
  <c r="BV484" i="40"/>
  <c r="BW484" i="40"/>
  <c r="BO484" i="40"/>
  <c r="BL484" i="40"/>
  <c r="BI484" i="40"/>
  <c r="BH484" i="40"/>
  <c r="BK484" i="40"/>
  <c r="BJ484" i="40"/>
  <c r="BF484" i="40"/>
  <c r="BG484" i="40"/>
  <c r="BD484" i="40"/>
  <c r="BE484" i="40"/>
  <c r="AZ484" i="40"/>
  <c r="AY484" i="40"/>
  <c r="BC484" i="40"/>
  <c r="BB484" i="40"/>
  <c r="AX484" i="40"/>
  <c r="BA484" i="40"/>
  <c r="AS484" i="40"/>
  <c r="AV484" i="40"/>
  <c r="AT484" i="40"/>
  <c r="AW484" i="40"/>
  <c r="AU484" i="40"/>
  <c r="AR484" i="40"/>
  <c r="AO484" i="40"/>
  <c r="AN769" i="40"/>
  <c r="AN774" i="40" s="1"/>
  <c r="AN779" i="40" s="1"/>
  <c r="AN784" i="40" s="1"/>
  <c r="AN789" i="40" s="1"/>
  <c r="AN794" i="40" s="1"/>
  <c r="AN799" i="40" s="1"/>
  <c r="AN804" i="40" s="1"/>
  <c r="AN809" i="40" s="1"/>
  <c r="AN814" i="40" s="1"/>
  <c r="AN827" i="40" s="1"/>
  <c r="AN484" i="40"/>
  <c r="AO482" i="40"/>
  <c r="AN482" i="40"/>
  <c r="AB858" i="40"/>
  <c r="V1086" i="40"/>
  <c r="V1088" i="40" s="1"/>
  <c r="V851" i="40"/>
  <c r="V854" i="40" s="1"/>
  <c r="O851" i="40"/>
  <c r="O854" i="40" s="1"/>
  <c r="O857" i="40" s="1"/>
  <c r="AK561" i="40"/>
  <c r="AJ561" i="40"/>
  <c r="AI561" i="40"/>
  <c r="AH561" i="40"/>
  <c r="O568" i="40"/>
  <c r="U568" i="40"/>
  <c r="X568" i="40"/>
  <c r="Q568" i="40"/>
  <c r="AC568" i="40" s="1"/>
  <c r="M568" i="40"/>
  <c r="V828" i="40"/>
  <c r="M15" i="40"/>
  <c r="M14" i="40"/>
  <c r="M13" i="40"/>
  <c r="AH13" i="40" s="1"/>
  <c r="M12" i="40"/>
  <c r="M11" i="40"/>
  <c r="AG11" i="40" s="1"/>
  <c r="T13" i="40"/>
  <c r="T12" i="40"/>
  <c r="T11" i="40"/>
  <c r="AO827" i="40" l="1"/>
  <c r="AN819" i="40"/>
  <c r="AN825" i="40" s="1"/>
  <c r="AM486" i="40"/>
  <c r="AM485" i="40"/>
  <c r="AM476" i="40"/>
  <c r="AM484" i="40"/>
  <c r="AM478" i="40"/>
  <c r="AM480" i="40"/>
  <c r="AM479" i="40"/>
  <c r="AM483" i="40"/>
  <c r="AM477" i="40"/>
  <c r="AM482" i="40"/>
  <c r="AM471" i="40"/>
  <c r="AL486" i="40"/>
  <c r="AL485" i="40"/>
  <c r="AL484" i="40"/>
  <c r="AL480" i="40"/>
  <c r="AL483" i="40"/>
  <c r="AL479" i="40"/>
  <c r="AL476" i="40"/>
  <c r="AL482" i="40"/>
  <c r="AL477" i="40"/>
  <c r="AL478" i="40"/>
  <c r="AL471" i="40"/>
  <c r="AP483" i="40"/>
  <c r="AP479" i="40"/>
  <c r="AP482" i="40"/>
  <c r="AP485" i="40"/>
  <c r="AP484" i="40"/>
  <c r="AP486" i="40"/>
  <c r="AP478" i="40"/>
  <c r="AP480" i="40"/>
  <c r="AP477" i="40"/>
  <c r="AP476" i="40"/>
  <c r="AP471" i="40"/>
  <c r="AA487" i="40"/>
  <c r="AA486" i="40"/>
  <c r="AA485" i="40"/>
  <c r="AA481" i="40"/>
  <c r="AA476" i="40"/>
  <c r="AA480" i="40"/>
  <c r="AA483" i="40"/>
  <c r="AA479" i="40"/>
  <c r="AA478" i="40"/>
  <c r="AA482" i="40"/>
  <c r="AA475" i="40"/>
  <c r="AA484" i="40"/>
  <c r="AA470" i="40"/>
  <c r="AA472" i="40"/>
  <c r="AA473" i="40"/>
  <c r="AA471" i="40"/>
  <c r="AA477" i="40"/>
  <c r="AA474" i="40"/>
  <c r="AQ486" i="40"/>
  <c r="AQ483" i="40"/>
  <c r="AQ479" i="40"/>
  <c r="AQ478" i="40"/>
  <c r="AQ482" i="40"/>
  <c r="AQ485" i="40"/>
  <c r="AQ477" i="40"/>
  <c r="AQ476" i="40"/>
  <c r="AQ484" i="40"/>
  <c r="AQ480" i="40"/>
  <c r="AQ471" i="40"/>
  <c r="AH487" i="40"/>
  <c r="AH483" i="40"/>
  <c r="AH479" i="40"/>
  <c r="AH486" i="40"/>
  <c r="AH482" i="40"/>
  <c r="AH485" i="40"/>
  <c r="AH481" i="40"/>
  <c r="AH480" i="40"/>
  <c r="AH478" i="40"/>
  <c r="AH484" i="40"/>
  <c r="AH474" i="40"/>
  <c r="AH476" i="40"/>
  <c r="AH473" i="40"/>
  <c r="AH472" i="40"/>
  <c r="AH477" i="40"/>
  <c r="AH471" i="40"/>
  <c r="AH475" i="40"/>
  <c r="AH470" i="40"/>
  <c r="AG486" i="40"/>
  <c r="AG487" i="40"/>
  <c r="AG484" i="40"/>
  <c r="AG480" i="40"/>
  <c r="AG479" i="40"/>
  <c r="AG483" i="40"/>
  <c r="AG478" i="40"/>
  <c r="AG477" i="40"/>
  <c r="AG474" i="40"/>
  <c r="AG485" i="40"/>
  <c r="AG475" i="40"/>
  <c r="AG471" i="40"/>
  <c r="AG476" i="40"/>
  <c r="AG473" i="40"/>
  <c r="AG481" i="40"/>
  <c r="AG482" i="40"/>
  <c r="AG470" i="40"/>
  <c r="AG472" i="40"/>
  <c r="AK487" i="40"/>
  <c r="AK486" i="40"/>
  <c r="AK482" i="40"/>
  <c r="AK477" i="40"/>
  <c r="AK481" i="40"/>
  <c r="AK484" i="40"/>
  <c r="AK476" i="40"/>
  <c r="AK483" i="40"/>
  <c r="AK472" i="40"/>
  <c r="AK485" i="40"/>
  <c r="AK471" i="40"/>
  <c r="AK473" i="40"/>
  <c r="AK480" i="40"/>
  <c r="AK470" i="40"/>
  <c r="AK474" i="40"/>
  <c r="AK478" i="40"/>
  <c r="AK479" i="40"/>
  <c r="AK475" i="40"/>
  <c r="AF486" i="40"/>
  <c r="AF487" i="40"/>
  <c r="AF484" i="40"/>
  <c r="AF480" i="40"/>
  <c r="AF483" i="40"/>
  <c r="AF482" i="40"/>
  <c r="AF485" i="40"/>
  <c r="AF479" i="40"/>
  <c r="AF481" i="40"/>
  <c r="AF475" i="40"/>
  <c r="AF478" i="40"/>
  <c r="AF474" i="40"/>
  <c r="AF476" i="40"/>
  <c r="AF473" i="40"/>
  <c r="AF472" i="40"/>
  <c r="AF470" i="40"/>
  <c r="AF477" i="40"/>
  <c r="AF471" i="40"/>
  <c r="AI487" i="40"/>
  <c r="AI486" i="40"/>
  <c r="AI483" i="40"/>
  <c r="AI479" i="40"/>
  <c r="AI478" i="40"/>
  <c r="AI481" i="40"/>
  <c r="AI477" i="40"/>
  <c r="AI476" i="40"/>
  <c r="AI484" i="40"/>
  <c r="AI473" i="40"/>
  <c r="AI480" i="40"/>
  <c r="AI482" i="40"/>
  <c r="AI475" i="40"/>
  <c r="AI485" i="40"/>
  <c r="AI471" i="40"/>
  <c r="AI470" i="40"/>
  <c r="AI472" i="40"/>
  <c r="AI474" i="40"/>
  <c r="AJ487" i="40"/>
  <c r="AJ486" i="40"/>
  <c r="AJ482" i="40"/>
  <c r="AJ485" i="40"/>
  <c r="AJ481" i="40"/>
  <c r="AJ484" i="40"/>
  <c r="AJ480" i="40"/>
  <c r="AJ483" i="40"/>
  <c r="AJ477" i="40"/>
  <c r="AJ478" i="40"/>
  <c r="AJ473" i="40"/>
  <c r="AJ476" i="40"/>
  <c r="AJ472" i="40"/>
  <c r="AJ479" i="40"/>
  <c r="AJ475" i="40"/>
  <c r="AJ471" i="40"/>
  <c r="AJ470" i="40"/>
  <c r="AJ474" i="40"/>
  <c r="AE482" i="40"/>
  <c r="AE474" i="40"/>
  <c r="AE487" i="40"/>
  <c r="AE479" i="40"/>
  <c r="AE471" i="40"/>
  <c r="AE484" i="40"/>
  <c r="AE476" i="40"/>
  <c r="AE481" i="40"/>
  <c r="AE473" i="40"/>
  <c r="AE486" i="40"/>
  <c r="AE478" i="40"/>
  <c r="AE470" i="40"/>
  <c r="AE483" i="40"/>
  <c r="AE475" i="40"/>
  <c r="AE480" i="40"/>
  <c r="AE472" i="40"/>
  <c r="AE485" i="40"/>
  <c r="AE477" i="40"/>
  <c r="AB471" i="40"/>
  <c r="AB470" i="40"/>
  <c r="AB487" i="40"/>
  <c r="AB485" i="40"/>
  <c r="AB483" i="40"/>
  <c r="AB481" i="40"/>
  <c r="AB479" i="40"/>
  <c r="AB477" i="40"/>
  <c r="AB475" i="40"/>
  <c r="AB473" i="40"/>
  <c r="AB476" i="40"/>
  <c r="AB486" i="40"/>
  <c r="AB480" i="40"/>
  <c r="AB474" i="40"/>
  <c r="AB482" i="40"/>
  <c r="AB478" i="40"/>
  <c r="AB472" i="40"/>
  <c r="AB484" i="40"/>
  <c r="AD486" i="40"/>
  <c r="AD478" i="40"/>
  <c r="AD470" i="40"/>
  <c r="AD481" i="40"/>
  <c r="AD473" i="40"/>
  <c r="AD484" i="40"/>
  <c r="AD476" i="40"/>
  <c r="AD487" i="40"/>
  <c r="AD479" i="40"/>
  <c r="AD471" i="40"/>
  <c r="AD482" i="40"/>
  <c r="AD474" i="40"/>
  <c r="AD485" i="40"/>
  <c r="AD477" i="40"/>
  <c r="AD480" i="40"/>
  <c r="AD472" i="40"/>
  <c r="AD483" i="40"/>
  <c r="AD475" i="40"/>
  <c r="AC485" i="40"/>
  <c r="AC481" i="40"/>
  <c r="AC477" i="40"/>
  <c r="AC473" i="40"/>
  <c r="AC486" i="40"/>
  <c r="AC482" i="40"/>
  <c r="AC487" i="40"/>
  <c r="AC483" i="40"/>
  <c r="AC479" i="40"/>
  <c r="AC475" i="40"/>
  <c r="AC471" i="40"/>
  <c r="AC474" i="40"/>
  <c r="AC470" i="40"/>
  <c r="AC484" i="40"/>
  <c r="AC480" i="40"/>
  <c r="AC476" i="40"/>
  <c r="AC472" i="40"/>
  <c r="AC478" i="40"/>
  <c r="AL761" i="40"/>
  <c r="AH832" i="40"/>
  <c r="AH761" i="40"/>
  <c r="AG832" i="40"/>
  <c r="AG761" i="40"/>
  <c r="AQ832" i="40"/>
  <c r="AQ761" i="40"/>
  <c r="AF832" i="40"/>
  <c r="AF761" i="40"/>
  <c r="AI832" i="40"/>
  <c r="AI761" i="40"/>
  <c r="AJ832" i="40"/>
  <c r="AJ761" i="40"/>
  <c r="AE832" i="40"/>
  <c r="AE761" i="40"/>
  <c r="AD832" i="40"/>
  <c r="AD761" i="40"/>
  <c r="AK832" i="40"/>
  <c r="AK761" i="40"/>
  <c r="AC832" i="40"/>
  <c r="AC761" i="40"/>
  <c r="AM832" i="40"/>
  <c r="AM761" i="40"/>
  <c r="AB832" i="40"/>
  <c r="AB761" i="40"/>
  <c r="AP832" i="40"/>
  <c r="AP761" i="40"/>
  <c r="AA761" i="40"/>
  <c r="V857" i="40"/>
  <c r="V858" i="40" s="1"/>
  <c r="D30" i="21"/>
  <c r="AL466" i="40"/>
  <c r="AL832" i="40"/>
  <c r="O14" i="40"/>
  <c r="V14" i="40"/>
  <c r="O15" i="40"/>
  <c r="V15" i="40"/>
  <c r="V568" i="40"/>
  <c r="T568" i="40"/>
  <c r="W568" i="40"/>
  <c r="AP769" i="40" l="1"/>
  <c r="AP774" i="40" s="1"/>
  <c r="AP779" i="40" s="1"/>
  <c r="AP784" i="40" s="1"/>
  <c r="AP789" i="40" s="1"/>
  <c r="AP794" i="40" s="1"/>
  <c r="AP799" i="40" s="1"/>
  <c r="AP804" i="40" s="1"/>
  <c r="AP809" i="40" s="1"/>
  <c r="AP814" i="40" s="1"/>
  <c r="AP827" i="40" s="1"/>
  <c r="AI769" i="40"/>
  <c r="AI774" i="40" s="1"/>
  <c r="AI779" i="40" s="1"/>
  <c r="AI784" i="40" s="1"/>
  <c r="AI789" i="40" s="1"/>
  <c r="AI794" i="40" s="1"/>
  <c r="AI799" i="40" s="1"/>
  <c r="AI804" i="40" s="1"/>
  <c r="AI809" i="40" s="1"/>
  <c r="AI814" i="40" s="1"/>
  <c r="AI819" i="40" s="1"/>
  <c r="AI825" i="40" s="1"/>
  <c r="AQ769" i="40"/>
  <c r="AQ774" i="40" s="1"/>
  <c r="AQ779" i="40" s="1"/>
  <c r="AQ784" i="40" s="1"/>
  <c r="AQ789" i="40" s="1"/>
  <c r="AQ794" i="40" s="1"/>
  <c r="AQ799" i="40" s="1"/>
  <c r="AQ804" i="40" s="1"/>
  <c r="AQ809" i="40" s="1"/>
  <c r="AQ814" i="40" s="1"/>
  <c r="AQ827" i="40" s="1"/>
  <c r="AF769" i="40"/>
  <c r="AF774" i="40" s="1"/>
  <c r="AF779" i="40" s="1"/>
  <c r="AF784" i="40" s="1"/>
  <c r="AF789" i="40" s="1"/>
  <c r="AF794" i="40" s="1"/>
  <c r="AF799" i="40" s="1"/>
  <c r="AF804" i="40" s="1"/>
  <c r="AF809" i="40" s="1"/>
  <c r="AF814" i="40" s="1"/>
  <c r="AF819" i="40" s="1"/>
  <c r="AF825" i="40" s="1"/>
  <c r="AM769" i="40"/>
  <c r="AM774" i="40" s="1"/>
  <c r="AM779" i="40" s="1"/>
  <c r="AM784" i="40" s="1"/>
  <c r="AM789" i="40" s="1"/>
  <c r="AM794" i="40" s="1"/>
  <c r="AM799" i="40" s="1"/>
  <c r="AM804" i="40" s="1"/>
  <c r="AM809" i="40" s="1"/>
  <c r="AM814" i="40" s="1"/>
  <c r="AM819" i="40" s="1"/>
  <c r="AM825" i="40" s="1"/>
  <c r="AH769" i="40"/>
  <c r="AH774" i="40" s="1"/>
  <c r="AH779" i="40" s="1"/>
  <c r="AH784" i="40" s="1"/>
  <c r="AH789" i="40" s="1"/>
  <c r="AH794" i="40" s="1"/>
  <c r="AH799" i="40" s="1"/>
  <c r="AH804" i="40" s="1"/>
  <c r="AH809" i="40" s="1"/>
  <c r="AH814" i="40" s="1"/>
  <c r="AH827" i="40" s="1"/>
  <c r="AK769" i="40"/>
  <c r="AK774" i="40" s="1"/>
  <c r="AK779" i="40" s="1"/>
  <c r="AK784" i="40" s="1"/>
  <c r="AK789" i="40" s="1"/>
  <c r="AK794" i="40" s="1"/>
  <c r="AK799" i="40" s="1"/>
  <c r="AK804" i="40" s="1"/>
  <c r="AK809" i="40" s="1"/>
  <c r="AK814" i="40" s="1"/>
  <c r="AK819" i="40" s="1"/>
  <c r="AK825" i="40" s="1"/>
  <c r="AL769" i="40"/>
  <c r="AL774" i="40" s="1"/>
  <c r="AL779" i="40" s="1"/>
  <c r="AL784" i="40" s="1"/>
  <c r="AL789" i="40" s="1"/>
  <c r="AL794" i="40" s="1"/>
  <c r="AL799" i="40" s="1"/>
  <c r="AL804" i="40" s="1"/>
  <c r="AL809" i="40" s="1"/>
  <c r="AL814" i="40" s="1"/>
  <c r="AL827" i="40" s="1"/>
  <c r="AJ769" i="40"/>
  <c r="AJ774" i="40" s="1"/>
  <c r="AJ779" i="40" s="1"/>
  <c r="AJ784" i="40" s="1"/>
  <c r="AJ789" i="40" s="1"/>
  <c r="AJ794" i="40" s="1"/>
  <c r="AJ799" i="40" s="1"/>
  <c r="AJ804" i="40" s="1"/>
  <c r="AJ809" i="40" s="1"/>
  <c r="AJ814" i="40" s="1"/>
  <c r="AG769" i="40"/>
  <c r="AG774" i="40" s="1"/>
  <c r="AG779" i="40" s="1"/>
  <c r="AG784" i="40" s="1"/>
  <c r="AG789" i="40" s="1"/>
  <c r="AG794" i="40" s="1"/>
  <c r="AG799" i="40" s="1"/>
  <c r="AG804" i="40" s="1"/>
  <c r="AG809" i="40" s="1"/>
  <c r="AG814" i="40" s="1"/>
  <c r="AG819" i="40" s="1"/>
  <c r="AG825" i="40" s="1"/>
  <c r="D76" i="21"/>
  <c r="F30" i="21"/>
  <c r="J30" i="21" s="1"/>
  <c r="AP819" i="40" l="1"/>
  <c r="AP825" i="40" s="1"/>
  <c r="AF827" i="40"/>
  <c r="AI827" i="40"/>
  <c r="AM827" i="40"/>
  <c r="AH819" i="40"/>
  <c r="AH825" i="40" s="1"/>
  <c r="AK827" i="40"/>
  <c r="AQ819" i="40"/>
  <c r="AQ825" i="40" s="1"/>
  <c r="AL819" i="40"/>
  <c r="AL825" i="40" s="1"/>
  <c r="AJ827" i="40"/>
  <c r="AJ819" i="40"/>
  <c r="AJ825" i="40" s="1"/>
  <c r="AG827" i="40"/>
  <c r="J32" i="45"/>
  <c r="K32" i="45" s="1"/>
  <c r="L32" i="45" s="1"/>
  <c r="F76" i="21"/>
  <c r="I76" i="21" s="1"/>
  <c r="X1109" i="43"/>
  <c r="X1105" i="43"/>
  <c r="Z1097" i="43"/>
  <c r="X1093" i="43"/>
  <c r="X1094" i="43" s="1"/>
  <c r="W1093" i="43"/>
  <c r="W1094" i="43" s="1"/>
  <c r="X1089" i="43"/>
  <c r="X1090" i="43" s="1"/>
  <c r="W1088" i="43"/>
  <c r="W1089" i="43" s="1"/>
  <c r="W1090" i="43" s="1"/>
  <c r="Z1087" i="43"/>
  <c r="W211" i="43"/>
  <c r="Z1098" i="43" l="1"/>
  <c r="O32" i="45"/>
  <c r="M33" i="45"/>
  <c r="X1110" i="43"/>
  <c r="Y1088" i="43"/>
  <c r="Y1089" i="43"/>
  <c r="Y1090" i="43"/>
  <c r="W1095" i="43"/>
  <c r="Y1094" i="43"/>
  <c r="X1095" i="43"/>
  <c r="W1096" i="43"/>
  <c r="W1097" i="43" s="1"/>
  <c r="Y1093" i="43"/>
  <c r="W1098" i="43" l="1"/>
  <c r="O2212" i="40"/>
  <c r="G2084" i="40"/>
  <c r="I2084" i="40"/>
  <c r="M2084" i="40"/>
  <c r="O2084" i="40"/>
  <c r="Q2084" i="40"/>
  <c r="T2084" i="40"/>
  <c r="U2084" i="40"/>
  <c r="V2084" i="40"/>
  <c r="W2084" i="40"/>
  <c r="X2084" i="40"/>
  <c r="G2074" i="40"/>
  <c r="I2074" i="40"/>
  <c r="M2074" i="40"/>
  <c r="O2074" i="40"/>
  <c r="Q2074" i="40"/>
  <c r="T2074" i="40"/>
  <c r="U2074" i="40"/>
  <c r="V2074" i="40"/>
  <c r="W2074" i="40"/>
  <c r="X2074" i="40"/>
  <c r="X2080" i="40"/>
  <c r="W2080" i="40"/>
  <c r="V2080" i="40"/>
  <c r="U2080" i="40"/>
  <c r="T2080" i="40"/>
  <c r="Q2080" i="40"/>
  <c r="O2080" i="40"/>
  <c r="M2080" i="40"/>
  <c r="I2080" i="40"/>
  <c r="G2080" i="40"/>
  <c r="X2077" i="40"/>
  <c r="W2077" i="40"/>
  <c r="V2077" i="40"/>
  <c r="U2077" i="40"/>
  <c r="T2077" i="40"/>
  <c r="Q2077" i="40"/>
  <c r="O2077" i="40"/>
  <c r="M2077" i="40"/>
  <c r="I2077" i="40"/>
  <c r="G2077" i="40"/>
  <c r="X2076" i="40"/>
  <c r="W2076" i="40"/>
  <c r="V2076" i="40"/>
  <c r="U2076" i="40"/>
  <c r="T2076" i="40"/>
  <c r="Q2076" i="40"/>
  <c r="O2076" i="40"/>
  <c r="M2076" i="40"/>
  <c r="I2076" i="40"/>
  <c r="G2076" i="40"/>
  <c r="X2075" i="40"/>
  <c r="W2075" i="40"/>
  <c r="V2075" i="40"/>
  <c r="U2075" i="40"/>
  <c r="T2075" i="40"/>
  <c r="Q2075" i="40"/>
  <c r="O2075" i="40"/>
  <c r="M2075" i="40"/>
  <c r="I2075" i="40"/>
  <c r="G2075" i="40"/>
  <c r="X2078" i="40"/>
  <c r="W2078" i="40"/>
  <c r="V2078" i="40"/>
  <c r="U2078" i="40"/>
  <c r="T2078" i="40"/>
  <c r="Q2078" i="40"/>
  <c r="O2078" i="40"/>
  <c r="M2078" i="40"/>
  <c r="I2078" i="40"/>
  <c r="G2078" i="40"/>
  <c r="X2079" i="40"/>
  <c r="W2079" i="40"/>
  <c r="V2079" i="40"/>
  <c r="U2079" i="40"/>
  <c r="T2079" i="40"/>
  <c r="Q2079" i="40"/>
  <c r="O2079" i="40"/>
  <c r="M2079" i="40"/>
  <c r="I2079" i="40"/>
  <c r="G2079" i="40"/>
  <c r="X2083" i="40"/>
  <c r="W2083" i="40"/>
  <c r="V2083" i="40"/>
  <c r="U2083" i="40"/>
  <c r="T2083" i="40"/>
  <c r="Q2083" i="40"/>
  <c r="O2083" i="40"/>
  <c r="M2083" i="40"/>
  <c r="I2083" i="40"/>
  <c r="G2083" i="40"/>
  <c r="X1788" i="40" l="1"/>
  <c r="W1788" i="40"/>
  <c r="V1788" i="40"/>
  <c r="U1788" i="40"/>
  <c r="T1788" i="40"/>
  <c r="Q1788" i="40"/>
  <c r="O1788" i="40"/>
  <c r="M1788" i="40"/>
  <c r="I1788" i="40"/>
  <c r="G1788" i="40"/>
  <c r="X1787" i="40"/>
  <c r="W1787" i="40"/>
  <c r="V1787" i="40"/>
  <c r="U1787" i="40"/>
  <c r="T1787" i="40"/>
  <c r="Q1787" i="40"/>
  <c r="O1787" i="40"/>
  <c r="M1787" i="40"/>
  <c r="I1787" i="40"/>
  <c r="G1787" i="40"/>
  <c r="X1479" i="40"/>
  <c r="W1479" i="40"/>
  <c r="V1479" i="40"/>
  <c r="U1479" i="40"/>
  <c r="T1479" i="40"/>
  <c r="Q1479" i="40"/>
  <c r="O1479" i="40"/>
  <c r="M1479" i="40"/>
  <c r="I1479" i="40"/>
  <c r="G1479" i="40"/>
  <c r="X1478" i="40"/>
  <c r="W1478" i="40"/>
  <c r="V1478" i="40"/>
  <c r="U1478" i="40"/>
  <c r="T1478" i="40"/>
  <c r="Q1478" i="40"/>
  <c r="O1478" i="40"/>
  <c r="M1478" i="40"/>
  <c r="I1478" i="40"/>
  <c r="G1478" i="40"/>
  <c r="N1147" i="40"/>
  <c r="AA1147" i="40" s="1"/>
  <c r="T1380" i="40"/>
  <c r="P1220" i="40" l="1"/>
  <c r="N1220" i="40"/>
  <c r="L1220" i="40"/>
  <c r="F1220" i="40"/>
  <c r="U1219" i="40"/>
  <c r="U1220" i="40" s="1"/>
  <c r="T1219" i="40"/>
  <c r="O1219" i="40"/>
  <c r="I1219" i="40"/>
  <c r="V1218" i="40"/>
  <c r="T1217" i="40"/>
  <c r="V1217" i="40" s="1"/>
  <c r="O1216" i="40"/>
  <c r="V1216" i="40" s="1"/>
  <c r="X1215" i="40"/>
  <c r="W1215" i="40"/>
  <c r="O1215" i="40"/>
  <c r="I1215" i="40"/>
  <c r="X1214" i="40"/>
  <c r="W1214" i="40"/>
  <c r="O1214" i="40"/>
  <c r="I1214" i="40"/>
  <c r="X1213" i="40"/>
  <c r="W1213" i="40"/>
  <c r="O1213" i="40"/>
  <c r="I1213" i="40"/>
  <c r="X1212" i="40"/>
  <c r="W1212" i="40"/>
  <c r="O1212" i="40"/>
  <c r="I1212" i="40"/>
  <c r="X1211" i="40"/>
  <c r="W1211" i="40"/>
  <c r="V1211" i="40"/>
  <c r="X1210" i="40"/>
  <c r="W1210" i="40"/>
  <c r="T1210" i="40"/>
  <c r="V1210" i="40" s="1"/>
  <c r="X1209" i="40"/>
  <c r="W1209" i="40"/>
  <c r="T1209" i="40"/>
  <c r="V1209" i="40" s="1"/>
  <c r="X1208" i="40"/>
  <c r="W1208" i="40"/>
  <c r="T1208" i="40"/>
  <c r="V1208" i="40" s="1"/>
  <c r="X1207" i="40"/>
  <c r="W1207" i="40"/>
  <c r="T1207" i="40"/>
  <c r="V1207" i="40" s="1"/>
  <c r="X1206" i="40"/>
  <c r="W1206" i="40"/>
  <c r="T1206" i="40"/>
  <c r="V1206" i="40" s="1"/>
  <c r="X1205" i="40"/>
  <c r="W1205" i="40"/>
  <c r="T1205" i="40"/>
  <c r="V1205" i="40" s="1"/>
  <c r="X1204" i="40"/>
  <c r="W1204" i="40"/>
  <c r="T1204" i="40"/>
  <c r="V1204" i="40" s="1"/>
  <c r="X1203" i="40"/>
  <c r="W1203" i="40"/>
  <c r="T1203" i="40"/>
  <c r="V1203" i="40" s="1"/>
  <c r="X1202" i="40"/>
  <c r="W1202" i="40"/>
  <c r="T1202" i="40"/>
  <c r="V1202" i="40" s="1"/>
  <c r="X1201" i="40"/>
  <c r="W1201" i="40"/>
  <c r="T1201" i="40"/>
  <c r="V1201" i="40" s="1"/>
  <c r="X1200" i="40"/>
  <c r="W1200" i="40"/>
  <c r="T1200" i="40"/>
  <c r="V1200" i="40" s="1"/>
  <c r="X1199" i="40"/>
  <c r="W1199" i="40"/>
  <c r="T1199" i="40"/>
  <c r="V1199" i="40" s="1"/>
  <c r="X1198" i="40"/>
  <c r="W1198" i="40"/>
  <c r="T1198" i="40"/>
  <c r="V1198" i="40" s="1"/>
  <c r="X1197" i="40"/>
  <c r="W1197" i="40"/>
  <c r="T1197" i="40"/>
  <c r="V1197" i="40" s="1"/>
  <c r="X1196" i="40"/>
  <c r="W1196" i="40"/>
  <c r="T1196" i="40"/>
  <c r="V1196" i="40" s="1"/>
  <c r="X1195" i="40"/>
  <c r="W1195" i="40"/>
  <c r="T1195" i="40"/>
  <c r="V1195" i="40" s="1"/>
  <c r="V1194" i="40"/>
  <c r="T1193" i="40"/>
  <c r="O1193" i="40"/>
  <c r="I1193" i="40"/>
  <c r="O1192" i="40"/>
  <c r="I1192" i="40"/>
  <c r="V1191" i="40"/>
  <c r="T1190" i="40"/>
  <c r="O1190" i="40"/>
  <c r="X1104" i="40"/>
  <c r="W1104" i="40"/>
  <c r="V1104" i="40"/>
  <c r="U1104" i="40"/>
  <c r="AB1104" i="40" s="1"/>
  <c r="T1104" i="40"/>
  <c r="Q1104" i="40"/>
  <c r="O1104" i="40"/>
  <c r="M1104" i="40"/>
  <c r="I1104" i="40"/>
  <c r="G1104" i="40"/>
  <c r="X1103" i="40"/>
  <c r="W1103" i="40"/>
  <c r="V1103" i="40"/>
  <c r="U1103" i="40"/>
  <c r="AB1103" i="40" s="1"/>
  <c r="T1103" i="40"/>
  <c r="Q1103" i="40"/>
  <c r="O1103" i="40"/>
  <c r="M1103" i="40"/>
  <c r="I1103" i="40"/>
  <c r="G1103" i="40"/>
  <c r="AG561" i="40"/>
  <c r="AF561" i="40"/>
  <c r="AG562" i="40"/>
  <c r="AF562" i="40"/>
  <c r="AB563" i="40"/>
  <c r="AA563" i="40"/>
  <c r="G468" i="40"/>
  <c r="V1213" i="40" l="1"/>
  <c r="V1190" i="40"/>
  <c r="V1193" i="40"/>
  <c r="V1219" i="40"/>
  <c r="V1215" i="40"/>
  <c r="V1212" i="40"/>
  <c r="V1214" i="40"/>
  <c r="I1220" i="40"/>
  <c r="O1220" i="40"/>
  <c r="W1220" i="40"/>
  <c r="X1220" i="40"/>
  <c r="T1220" i="40"/>
  <c r="V1192" i="40"/>
  <c r="V1220" i="40" l="1"/>
  <c r="V1222" i="40" s="1"/>
  <c r="P308" i="40" l="1"/>
  <c r="X1096" i="40" l="1"/>
  <c r="W1096" i="40"/>
  <c r="V1096" i="40"/>
  <c r="U1096" i="40"/>
  <c r="AB1096" i="40" s="1"/>
  <c r="T1096" i="40"/>
  <c r="Q1096" i="40"/>
  <c r="O1096" i="40"/>
  <c r="M1096" i="40"/>
  <c r="I1096" i="40"/>
  <c r="G1096" i="40"/>
  <c r="X1095" i="40"/>
  <c r="W1095" i="40"/>
  <c r="V1095" i="40"/>
  <c r="U1095" i="40"/>
  <c r="AB1095" i="40" s="1"/>
  <c r="T1095" i="40"/>
  <c r="Q1095" i="40"/>
  <c r="O1095" i="40"/>
  <c r="M1095" i="40"/>
  <c r="I1095" i="40"/>
  <c r="G1095" i="40"/>
  <c r="X1098" i="40"/>
  <c r="W1098" i="40"/>
  <c r="V1098" i="40"/>
  <c r="U1098" i="40"/>
  <c r="AB1098" i="40" s="1"/>
  <c r="T1098" i="40"/>
  <c r="Q1098" i="40"/>
  <c r="O1098" i="40"/>
  <c r="M1098" i="40"/>
  <c r="I1098" i="40"/>
  <c r="G1098" i="40"/>
  <c r="X1097" i="40"/>
  <c r="W1097" i="40"/>
  <c r="V1097" i="40"/>
  <c r="U1097" i="40"/>
  <c r="AB1097" i="40" s="1"/>
  <c r="T1097" i="40"/>
  <c r="Q1097" i="40"/>
  <c r="O1097" i="40"/>
  <c r="M1097" i="40"/>
  <c r="I1097" i="40"/>
  <c r="G1097" i="40"/>
  <c r="C11" i="7" l="1"/>
  <c r="C9" i="7"/>
  <c r="C7" i="7"/>
  <c r="C51" i="7"/>
  <c r="E51" i="7" s="1"/>
  <c r="C40" i="7"/>
  <c r="C38" i="7"/>
  <c r="I75" i="21"/>
  <c r="D7" i="7" l="1"/>
  <c r="E38" i="7"/>
  <c r="D38" i="7"/>
  <c r="D40" i="7"/>
  <c r="E40" i="7"/>
  <c r="D9" i="7"/>
  <c r="E9" i="7"/>
  <c r="E11" i="7"/>
  <c r="D11" i="7"/>
  <c r="Q2204" i="40"/>
  <c r="O2204" i="40"/>
  <c r="M2204" i="40"/>
  <c r="X1560" i="40"/>
  <c r="W1560" i="40"/>
  <c r="U1560" i="40"/>
  <c r="T1560" i="40"/>
  <c r="Q1560" i="40"/>
  <c r="M1560" i="40"/>
  <c r="M1497" i="40"/>
  <c r="O1497" i="40"/>
  <c r="Q1497" i="40"/>
  <c r="T1497" i="40"/>
  <c r="U1497" i="40"/>
  <c r="AB1497" i="40" s="1"/>
  <c r="V1497" i="40"/>
  <c r="W1497" i="40"/>
  <c r="X1497" i="40"/>
  <c r="F11" i="7" l="1"/>
  <c r="F38" i="7"/>
  <c r="F9" i="7"/>
  <c r="F40" i="7"/>
  <c r="T2204" i="40"/>
  <c r="U2204" i="40"/>
  <c r="T554" i="40"/>
  <c r="T553" i="40"/>
  <c r="O554" i="40"/>
  <c r="M554" i="40"/>
  <c r="CQ554" i="40" s="1"/>
  <c r="M553" i="40"/>
  <c r="CP553" i="40" s="1"/>
  <c r="C40" i="41" l="1"/>
  <c r="C9" i="41"/>
  <c r="C38" i="41"/>
  <c r="C11" i="41"/>
  <c r="V554" i="40"/>
  <c r="M752" i="40" l="1"/>
  <c r="DI752" i="40" s="1"/>
  <c r="V459" i="40"/>
  <c r="U459" i="40"/>
  <c r="X459" i="40"/>
  <c r="O459" i="40"/>
  <c r="V458" i="40"/>
  <c r="U458" i="40"/>
  <c r="X458" i="40"/>
  <c r="O458" i="40"/>
  <c r="V457" i="40"/>
  <c r="U457" i="40"/>
  <c r="X457" i="40"/>
  <c r="O457" i="40"/>
  <c r="M409" i="40"/>
  <c r="DI409" i="40" s="1"/>
  <c r="T458" i="40" l="1"/>
  <c r="T459" i="40"/>
  <c r="W458" i="40"/>
  <c r="W459" i="40"/>
  <c r="T457" i="40"/>
  <c r="W457" i="40"/>
  <c r="F1257" i="40" l="1"/>
  <c r="I1258" i="40"/>
  <c r="H1258" i="40"/>
  <c r="G1258" i="40"/>
  <c r="F1258" i="40"/>
  <c r="P1257" i="40"/>
  <c r="L1257" i="40"/>
  <c r="X1258" i="40"/>
  <c r="W1258" i="40"/>
  <c r="V1258" i="40"/>
  <c r="U1258" i="40"/>
  <c r="T1258" i="40"/>
  <c r="S1258" i="40"/>
  <c r="R1258" i="40"/>
  <c r="Q1258" i="40"/>
  <c r="P1258" i="40"/>
  <c r="O1258" i="40"/>
  <c r="N1258" i="40"/>
  <c r="M1258" i="40"/>
  <c r="L1258" i="40"/>
  <c r="K1258" i="40"/>
  <c r="J1257" i="40"/>
  <c r="J1258" i="40"/>
  <c r="O1259" i="40"/>
  <c r="P1287" i="40"/>
  <c r="N1287" i="40"/>
  <c r="L1287" i="40"/>
  <c r="F1287" i="40"/>
  <c r="U1286" i="40"/>
  <c r="U1287" i="40" s="1"/>
  <c r="U1289" i="40" s="1"/>
  <c r="T1286" i="40"/>
  <c r="O1286" i="40"/>
  <c r="I1286" i="40"/>
  <c r="V1285" i="40"/>
  <c r="V1284" i="40"/>
  <c r="V1283" i="40"/>
  <c r="O1282" i="40"/>
  <c r="X1281" i="40"/>
  <c r="W1281" i="40"/>
  <c r="O1281" i="40"/>
  <c r="I1281" i="40"/>
  <c r="X1280" i="40"/>
  <c r="W1280" i="40"/>
  <c r="O1280" i="40"/>
  <c r="I1280" i="40"/>
  <c r="X1279" i="40"/>
  <c r="W1279" i="40"/>
  <c r="X1278" i="40"/>
  <c r="W1278" i="40"/>
  <c r="V1278" i="40"/>
  <c r="X1276" i="40"/>
  <c r="W1276" i="40"/>
  <c r="V1276" i="40"/>
  <c r="X1275" i="40"/>
  <c r="W1275" i="40"/>
  <c r="V1275" i="40"/>
  <c r="X1274" i="40"/>
  <c r="W1274" i="40"/>
  <c r="V1274" i="40"/>
  <c r="X1273" i="40"/>
  <c r="W1273" i="40"/>
  <c r="V1273" i="40"/>
  <c r="X1272" i="40"/>
  <c r="W1272" i="40"/>
  <c r="V1272" i="40"/>
  <c r="X1271" i="40"/>
  <c r="W1271" i="40"/>
  <c r="V1271" i="40"/>
  <c r="X1269" i="40"/>
  <c r="W1269" i="40"/>
  <c r="V1269" i="40"/>
  <c r="X1268" i="40"/>
  <c r="W1268" i="40"/>
  <c r="V1268" i="40"/>
  <c r="X1267" i="40"/>
  <c r="W1267" i="40"/>
  <c r="V1267" i="40"/>
  <c r="X1266" i="40"/>
  <c r="W1266" i="40"/>
  <c r="V1266" i="40"/>
  <c r="X1265" i="40"/>
  <c r="W1265" i="40"/>
  <c r="V1265" i="40"/>
  <c r="V1264" i="40"/>
  <c r="O1263" i="40"/>
  <c r="I1263" i="40"/>
  <c r="O1262" i="40"/>
  <c r="I1262" i="40"/>
  <c r="O1261" i="40"/>
  <c r="I1261" i="40"/>
  <c r="V1260" i="40"/>
  <c r="T1259" i="40"/>
  <c r="V1280" i="40" l="1"/>
  <c r="V1262" i="40"/>
  <c r="V1281" i="40"/>
  <c r="V1286" i="40"/>
  <c r="W1287" i="40"/>
  <c r="I1287" i="40"/>
  <c r="X1287" i="40"/>
  <c r="V1259" i="40"/>
  <c r="T1287" i="40"/>
  <c r="O1287" i="40"/>
  <c r="V1261" i="40"/>
  <c r="E54" i="7"/>
  <c r="F54" i="7" l="1"/>
  <c r="V1287" i="40"/>
  <c r="V1289" i="40" s="1"/>
  <c r="W1519" i="40"/>
  <c r="W1518" i="40"/>
  <c r="W1517" i="40"/>
  <c r="W1516" i="40"/>
  <c r="W1515" i="40"/>
  <c r="W1505" i="40"/>
  <c r="W1496" i="40"/>
  <c r="W1495" i="40"/>
  <c r="W1494" i="40"/>
  <c r="W1493" i="40"/>
  <c r="W1492" i="40"/>
  <c r="W1491" i="40"/>
  <c r="W1464" i="40"/>
  <c r="C60" i="7"/>
  <c r="C59" i="7"/>
  <c r="C58" i="7"/>
  <c r="E58" i="7" s="1"/>
  <c r="C57" i="7"/>
  <c r="E57" i="7" s="1"/>
  <c r="C56" i="7"/>
  <c r="C55" i="7"/>
  <c r="C53" i="7"/>
  <c r="E53" i="7" s="1"/>
  <c r="C50" i="7"/>
  <c r="C47" i="7"/>
  <c r="C46" i="7"/>
  <c r="E46" i="7" s="1"/>
  <c r="C45" i="7"/>
  <c r="C44" i="7"/>
  <c r="E44" i="7" s="1"/>
  <c r="C43" i="7"/>
  <c r="C42" i="7"/>
  <c r="C41" i="7"/>
  <c r="E41" i="7" s="1"/>
  <c r="C36" i="7"/>
  <c r="C35" i="7"/>
  <c r="C34" i="7"/>
  <c r="C33" i="7"/>
  <c r="C32" i="7"/>
  <c r="D32" i="7" s="1"/>
  <c r="C31" i="7"/>
  <c r="D31" i="7" s="1"/>
  <c r="C30" i="7"/>
  <c r="C28" i="7"/>
  <c r="C26" i="7"/>
  <c r="C23" i="7"/>
  <c r="C20" i="7"/>
  <c r="C19" i="7"/>
  <c r="D19" i="7" s="1"/>
  <c r="C18" i="7"/>
  <c r="D18" i="7" s="1"/>
  <c r="C17" i="7"/>
  <c r="C16" i="7"/>
  <c r="C15" i="7"/>
  <c r="C14" i="7"/>
  <c r="D14" i="7" s="1"/>
  <c r="C13" i="7"/>
  <c r="C12" i="7"/>
  <c r="C8" i="7"/>
  <c r="C6" i="7"/>
  <c r="R2204" i="40"/>
  <c r="C71" i="7" l="1"/>
  <c r="K71" i="21"/>
  <c r="C75" i="7"/>
  <c r="J71" i="21"/>
  <c r="C72" i="7"/>
  <c r="J75" i="21"/>
  <c r="K72" i="21"/>
  <c r="C73" i="7"/>
  <c r="D6" i="7"/>
  <c r="F6" i="7" s="1"/>
  <c r="E35" i="7"/>
  <c r="F35" i="7" s="1"/>
  <c r="C74" i="7"/>
  <c r="D33" i="7"/>
  <c r="E33" i="7"/>
  <c r="D20" i="7"/>
  <c r="E20" i="7"/>
  <c r="E34" i="7"/>
  <c r="D34" i="7"/>
  <c r="E59" i="7"/>
  <c r="D59" i="7"/>
  <c r="E13" i="7"/>
  <c r="D13" i="7"/>
  <c r="E60" i="7"/>
  <c r="D60" i="7"/>
  <c r="E36" i="7"/>
  <c r="D36" i="7"/>
  <c r="E50" i="7"/>
  <c r="D50" i="7"/>
  <c r="E47" i="7"/>
  <c r="D47" i="7"/>
  <c r="E15" i="7"/>
  <c r="D15" i="7"/>
  <c r="E28" i="7"/>
  <c r="D28" i="7"/>
  <c r="E23" i="7"/>
  <c r="D23" i="7"/>
  <c r="E30" i="7"/>
  <c r="D30" i="7"/>
  <c r="E42" i="7"/>
  <c r="D42" i="7"/>
  <c r="E55" i="7"/>
  <c r="D55" i="7"/>
  <c r="E45" i="7"/>
  <c r="D45" i="7"/>
  <c r="D17" i="7"/>
  <c r="E17" i="7"/>
  <c r="E43" i="7"/>
  <c r="D43" i="7"/>
  <c r="E56" i="7"/>
  <c r="D56" i="7"/>
  <c r="E8" i="7"/>
  <c r="D8" i="7"/>
  <c r="K73" i="21"/>
  <c r="K74" i="21"/>
  <c r="J74" i="21"/>
  <c r="D26" i="7"/>
  <c r="J72" i="21"/>
  <c r="J73" i="21"/>
  <c r="D16" i="7"/>
  <c r="D12" i="7"/>
  <c r="C53" i="41"/>
  <c r="X2204" i="40"/>
  <c r="V2204" i="40"/>
  <c r="W2204" i="40"/>
  <c r="C62" i="7"/>
  <c r="E75" i="7" l="1"/>
  <c r="D75" i="7"/>
  <c r="L79" i="21"/>
  <c r="F43" i="7"/>
  <c r="F42" i="7"/>
  <c r="C77" i="7"/>
  <c r="J77" i="21"/>
  <c r="K77" i="21"/>
  <c r="F55" i="7"/>
  <c r="F34" i="7"/>
  <c r="C34" i="41" s="1"/>
  <c r="F45" i="7"/>
  <c r="L71" i="21"/>
  <c r="F30" i="7"/>
  <c r="F47" i="7"/>
  <c r="F13" i="7"/>
  <c r="F33" i="7"/>
  <c r="F50" i="7"/>
  <c r="F15" i="7"/>
  <c r="F20" i="7"/>
  <c r="L75" i="21"/>
  <c r="F28" i="7"/>
  <c r="F36" i="7"/>
  <c r="F17" i="7"/>
  <c r="F60" i="7"/>
  <c r="F56" i="7"/>
  <c r="F23" i="7"/>
  <c r="F59" i="7"/>
  <c r="L73" i="21"/>
  <c r="L72" i="21"/>
  <c r="L74" i="21"/>
  <c r="F75" i="7" l="1"/>
  <c r="G75" i="7" s="1"/>
  <c r="L77" i="21"/>
  <c r="L80" i="21" s="1"/>
  <c r="Q739" i="40"/>
  <c r="M742" i="40"/>
  <c r="M741" i="40"/>
  <c r="M740" i="40"/>
  <c r="M738" i="40"/>
  <c r="M549" i="40"/>
  <c r="CM549" i="40" s="1"/>
  <c r="M548" i="40"/>
  <c r="CK548" i="40" s="1"/>
  <c r="M360" i="40"/>
  <c r="DD360" i="40" s="1"/>
  <c r="L78" i="21" l="1"/>
  <c r="X742" i="40" l="1"/>
  <c r="W742" i="40"/>
  <c r="V742" i="40"/>
  <c r="U742" i="40"/>
  <c r="T742" i="40"/>
  <c r="O742" i="40"/>
  <c r="X741" i="40"/>
  <c r="W741" i="40"/>
  <c r="V741" i="40"/>
  <c r="U741" i="40"/>
  <c r="T741" i="40"/>
  <c r="O741" i="40"/>
  <c r="X740" i="40"/>
  <c r="W740" i="40"/>
  <c r="V740" i="40"/>
  <c r="U740" i="40"/>
  <c r="T740" i="40"/>
  <c r="O740" i="40"/>
  <c r="X738" i="40"/>
  <c r="W738" i="40"/>
  <c r="V738" i="40"/>
  <c r="U738" i="40"/>
  <c r="T738" i="40"/>
  <c r="O738" i="40"/>
  <c r="C26" i="21" l="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2" i="21"/>
  <c r="C41" i="21"/>
  <c r="C40" i="21"/>
  <c r="C39" i="21"/>
  <c r="C38" i="21"/>
  <c r="C37" i="21"/>
  <c r="E37" i="21" s="1"/>
  <c r="C36" i="21"/>
  <c r="E36" i="21" s="1"/>
  <c r="C35" i="21"/>
  <c r="E35" i="21" s="1"/>
  <c r="C34" i="21"/>
  <c r="C33" i="21"/>
  <c r="C29" i="21"/>
  <c r="E29" i="21" s="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72" i="21" l="1"/>
  <c r="C74" i="21"/>
  <c r="C73" i="21"/>
  <c r="C71" i="21"/>
  <c r="C61" i="21"/>
  <c r="E26" i="21"/>
  <c r="F26" i="21" s="1"/>
  <c r="J26" i="21" s="1"/>
  <c r="V733" i="40"/>
  <c r="U733" i="40"/>
  <c r="X733" i="40"/>
  <c r="Q733" i="40"/>
  <c r="CX733" i="40" s="1"/>
  <c r="O733" i="40"/>
  <c r="Q337" i="40"/>
  <c r="CY337" i="40" s="1"/>
  <c r="V339" i="40"/>
  <c r="U339" i="40"/>
  <c r="X339" i="40"/>
  <c r="Q339" i="40"/>
  <c r="CY339" i="40" s="1"/>
  <c r="O339" i="40"/>
  <c r="V338" i="40"/>
  <c r="U338" i="40"/>
  <c r="X338" i="40"/>
  <c r="Q338" i="40"/>
  <c r="CY338" i="40" s="1"/>
  <c r="O338" i="40"/>
  <c r="V732" i="40"/>
  <c r="M732" i="40"/>
  <c r="O731" i="40"/>
  <c r="M731" i="40"/>
  <c r="CX731" i="40" s="1"/>
  <c r="V730" i="40"/>
  <c r="M730" i="40"/>
  <c r="X731" i="40"/>
  <c r="W731" i="40"/>
  <c r="T731" i="40"/>
  <c r="X730" i="40"/>
  <c r="W730" i="40"/>
  <c r="U730" i="40"/>
  <c r="T730" i="40"/>
  <c r="X732" i="40"/>
  <c r="W732" i="40"/>
  <c r="U732" i="40"/>
  <c r="T732" i="40"/>
  <c r="M544" i="40"/>
  <c r="CC544" i="40" s="1"/>
  <c r="M543" i="40"/>
  <c r="CB543" i="40" s="1"/>
  <c r="C77" i="21" l="1"/>
  <c r="I28" i="44"/>
  <c r="J28" i="44" s="1"/>
  <c r="K28" i="44" s="1"/>
  <c r="J28" i="45"/>
  <c r="K28" i="45" s="1"/>
  <c r="L28" i="45" s="1"/>
  <c r="O28" i="45" s="1"/>
  <c r="T733" i="40"/>
  <c r="W733" i="40"/>
  <c r="T339" i="40"/>
  <c r="W339" i="40"/>
  <c r="T338" i="40"/>
  <c r="W338" i="40"/>
  <c r="V731" i="40"/>
  <c r="O732" i="40"/>
  <c r="O730" i="40"/>
  <c r="M331" i="40" l="1"/>
  <c r="CX331" i="40" s="1"/>
  <c r="W1507" i="40" l="1"/>
  <c r="V1560" i="40" l="1"/>
  <c r="O1560" i="40"/>
  <c r="P2362" i="40" l="1"/>
  <c r="O2362" i="40"/>
  <c r="M2362" i="40"/>
  <c r="X2361" i="40"/>
  <c r="W2361" i="40"/>
  <c r="U2361" i="40"/>
  <c r="T2361" i="40"/>
  <c r="Q2361" i="40"/>
  <c r="O2361" i="40"/>
  <c r="M2361" i="40"/>
  <c r="P2323" i="40"/>
  <c r="Q2323" i="40" s="1"/>
  <c r="R2207" i="40"/>
  <c r="P2207" i="40"/>
  <c r="Q2207" i="40" s="1"/>
  <c r="X1821" i="40"/>
  <c r="W1821" i="40"/>
  <c r="V1821" i="40"/>
  <c r="U1821" i="40"/>
  <c r="T1821" i="40"/>
  <c r="Q1821" i="40"/>
  <c r="O1821" i="40"/>
  <c r="M1821" i="40"/>
  <c r="M1810" i="40"/>
  <c r="O1810" i="40"/>
  <c r="V2361" i="40" l="1"/>
  <c r="Q2362" i="40"/>
  <c r="R2362" i="40"/>
  <c r="X2362" i="40" s="1"/>
  <c r="T2362" i="40"/>
  <c r="U2362" i="40"/>
  <c r="T2323" i="40"/>
  <c r="U2323" i="40"/>
  <c r="W2362" i="40" l="1"/>
  <c r="V2362" i="40"/>
  <c r="V322" i="40" l="1"/>
  <c r="U322" i="40"/>
  <c r="X322" i="40"/>
  <c r="O322" i="40"/>
  <c r="V321" i="40"/>
  <c r="U321" i="40"/>
  <c r="X321" i="40"/>
  <c r="O321" i="40"/>
  <c r="M539" i="40"/>
  <c r="BZ539" i="40" s="1"/>
  <c r="M538" i="40"/>
  <c r="BZ538" i="40" s="1"/>
  <c r="T322" i="40" l="1"/>
  <c r="W322" i="40"/>
  <c r="T321" i="40"/>
  <c r="W321" i="40"/>
  <c r="M318" i="40" l="1"/>
  <c r="M317" i="40"/>
  <c r="M316" i="40"/>
  <c r="M315" i="40"/>
  <c r="Q313" i="40"/>
  <c r="M310" i="40"/>
  <c r="CR310" i="40" s="1"/>
  <c r="M721" i="40"/>
  <c r="CR721" i="40" s="1"/>
  <c r="AB313" i="40" l="1"/>
  <c r="X1390" i="40"/>
  <c r="X1391" i="40" s="1"/>
  <c r="O2233" i="40"/>
  <c r="Q534" i="40" l="1"/>
  <c r="BM534" i="40" s="1"/>
  <c r="M533" i="40"/>
  <c r="BS533" i="40" s="1"/>
  <c r="M289" i="40" l="1"/>
  <c r="M288" i="40"/>
  <c r="M287" i="40"/>
  <c r="M286" i="40"/>
  <c r="M283" i="40"/>
  <c r="M282" i="40"/>
  <c r="M278" i="40"/>
  <c r="CL278" i="40" s="1"/>
  <c r="M281" i="40"/>
  <c r="M693" i="40"/>
  <c r="CL693" i="40" s="1"/>
  <c r="W1391" i="40" l="1"/>
  <c r="O1359" i="40"/>
  <c r="I1359" i="40"/>
  <c r="V1359" i="40" l="1"/>
  <c r="R2323" i="40"/>
  <c r="X2321" i="40"/>
  <c r="W2321" i="40"/>
  <c r="V2321" i="40"/>
  <c r="U2321" i="40"/>
  <c r="T2321" i="40"/>
  <c r="Q2321" i="40"/>
  <c r="O2321" i="40"/>
  <c r="M2321" i="40"/>
  <c r="U2322" i="40"/>
  <c r="T2322" i="40"/>
  <c r="Q2322" i="40"/>
  <c r="X1824" i="40"/>
  <c r="X1825" i="40"/>
  <c r="W1825" i="40"/>
  <c r="V1825" i="40"/>
  <c r="U1825" i="40"/>
  <c r="T1825" i="40"/>
  <c r="Q1825" i="40"/>
  <c r="O1825" i="40"/>
  <c r="M1825" i="40"/>
  <c r="U1824" i="40"/>
  <c r="T1824" i="40"/>
  <c r="Q1824" i="40"/>
  <c r="X2322" i="40" l="1"/>
  <c r="J2323" i="40"/>
  <c r="M2322" i="40"/>
  <c r="O2322" i="40"/>
  <c r="V2322" i="40"/>
  <c r="W2322" i="40"/>
  <c r="Q2099" i="40"/>
  <c r="T2099" i="40"/>
  <c r="U2099" i="40"/>
  <c r="O1824" i="40"/>
  <c r="V1824" i="40"/>
  <c r="W1824" i="40"/>
  <c r="M1824" i="40"/>
  <c r="W2323" i="40" l="1"/>
  <c r="O2323" i="40"/>
  <c r="V2323" i="40"/>
  <c r="M2323" i="40"/>
  <c r="X2323" i="40"/>
  <c r="X1505" i="40" l="1"/>
  <c r="V1505" i="40"/>
  <c r="U1505" i="40"/>
  <c r="T1505" i="40"/>
  <c r="Q1505" i="40"/>
  <c r="O1505" i="40"/>
  <c r="M1505" i="40"/>
  <c r="M528" i="40" l="1"/>
  <c r="BQ528" i="40" s="1"/>
  <c r="M527" i="40"/>
  <c r="BO527" i="40" s="1"/>
  <c r="M688" i="40"/>
  <c r="M687" i="40"/>
  <c r="CF687" i="40" s="1"/>
  <c r="M246" i="40" l="1"/>
  <c r="P2096" i="40" l="1"/>
  <c r="U2098" i="40"/>
  <c r="T2098" i="40"/>
  <c r="Q2098" i="40"/>
  <c r="X2097" i="40"/>
  <c r="W2097" i="40"/>
  <c r="T2097" i="40"/>
  <c r="Q2097" i="40"/>
  <c r="O2097" i="40"/>
  <c r="M2097" i="40"/>
  <c r="P1827" i="40"/>
  <c r="U1827" i="40" s="1"/>
  <c r="X2098" i="40" l="1"/>
  <c r="Q2096" i="40"/>
  <c r="T2096" i="40"/>
  <c r="U2096" i="40"/>
  <c r="O2098" i="40"/>
  <c r="V2098" i="40"/>
  <c r="W2098" i="40"/>
  <c r="M2098" i="40"/>
  <c r="Q1827" i="40"/>
  <c r="T1827" i="40"/>
  <c r="O2099" i="40" l="1"/>
  <c r="M2099" i="40"/>
  <c r="X2099" i="40"/>
  <c r="V2099" i="40"/>
  <c r="W2099" i="40"/>
  <c r="M523" i="40" l="1"/>
  <c r="BG523" i="40" s="1"/>
  <c r="M522" i="40"/>
  <c r="BE522" i="40" s="1"/>
  <c r="V241" i="40" l="1"/>
  <c r="U241" i="40"/>
  <c r="X241" i="40"/>
  <c r="O241" i="40"/>
  <c r="V239" i="40"/>
  <c r="U239" i="40"/>
  <c r="X239" i="40"/>
  <c r="O239" i="40"/>
  <c r="V238" i="40"/>
  <c r="X238" i="40"/>
  <c r="O238" i="40"/>
  <c r="V237" i="40"/>
  <c r="U237" i="40"/>
  <c r="X237" i="40"/>
  <c r="O237" i="40"/>
  <c r="V236" i="40"/>
  <c r="U236" i="40"/>
  <c r="X236" i="40"/>
  <c r="O236" i="40"/>
  <c r="V235" i="40"/>
  <c r="U235" i="40"/>
  <c r="X235" i="40"/>
  <c r="O235" i="40"/>
  <c r="V234" i="40"/>
  <c r="U234" i="40"/>
  <c r="X234" i="40"/>
  <c r="O234" i="40"/>
  <c r="V215" i="40"/>
  <c r="M215" i="40"/>
  <c r="M214" i="40"/>
  <c r="CA214" i="40" s="1"/>
  <c r="M213" i="40"/>
  <c r="CA213" i="40" s="1"/>
  <c r="M212" i="40"/>
  <c r="CA212" i="40" s="1"/>
  <c r="X215" i="40"/>
  <c r="W215" i="40"/>
  <c r="U215" i="40"/>
  <c r="T215" i="40"/>
  <c r="M642" i="40"/>
  <c r="I756" i="40"/>
  <c r="F756" i="40"/>
  <c r="I750" i="40"/>
  <c r="F750" i="40"/>
  <c r="I735" i="40"/>
  <c r="F735" i="40"/>
  <c r="I727" i="40"/>
  <c r="F727" i="40"/>
  <c r="I691" i="40"/>
  <c r="F691" i="40"/>
  <c r="I685" i="40"/>
  <c r="F685" i="40"/>
  <c r="M660" i="40" l="1"/>
  <c r="BN642" i="40"/>
  <c r="T237" i="40"/>
  <c r="T238" i="40"/>
  <c r="T239" i="40"/>
  <c r="T241" i="40"/>
  <c r="W237" i="40"/>
  <c r="W238" i="40"/>
  <c r="W239" i="40"/>
  <c r="W241" i="40"/>
  <c r="T235" i="40"/>
  <c r="T236" i="40"/>
  <c r="W235" i="40"/>
  <c r="W236" i="40"/>
  <c r="T234" i="40"/>
  <c r="W234" i="40"/>
  <c r="O215" i="40"/>
  <c r="X2235" i="40" l="1"/>
  <c r="W2235" i="40"/>
  <c r="U2235" i="40"/>
  <c r="Q2235" i="40"/>
  <c r="V2235" i="40"/>
  <c r="M2235" i="40"/>
  <c r="U2095" i="40"/>
  <c r="T2095" i="40"/>
  <c r="Q2095" i="40"/>
  <c r="R2096" i="40"/>
  <c r="R1827" i="40"/>
  <c r="U1826" i="40"/>
  <c r="T1826" i="40"/>
  <c r="Q1826" i="40"/>
  <c r="W2096" i="40" l="1"/>
  <c r="X2096" i="40"/>
  <c r="V2096" i="40"/>
  <c r="W1826" i="40"/>
  <c r="J1827" i="40"/>
  <c r="O2235" i="40"/>
  <c r="M2095" i="40"/>
  <c r="V2095" i="40"/>
  <c r="X2095" i="40"/>
  <c r="O2095" i="40"/>
  <c r="O2096" i="40"/>
  <c r="M2096" i="40"/>
  <c r="W2095" i="40"/>
  <c r="X1826" i="40"/>
  <c r="M1826" i="40"/>
  <c r="V1826" i="40"/>
  <c r="O1826" i="40"/>
  <c r="O1739" i="40"/>
  <c r="V1827" i="40" l="1"/>
  <c r="W1827" i="40"/>
  <c r="X1827" i="40"/>
  <c r="O1827" i="40"/>
  <c r="M1827" i="40"/>
  <c r="Q512" i="40"/>
  <c r="AJ512" i="40" s="1"/>
  <c r="M518" i="40"/>
  <c r="M509" i="40"/>
  <c r="O197" i="40"/>
  <c r="M197" i="40"/>
  <c r="O188" i="40"/>
  <c r="M188" i="40"/>
  <c r="BY188" i="40" s="1"/>
  <c r="O187" i="40"/>
  <c r="M187" i="40"/>
  <c r="BS187" i="40" s="1"/>
  <c r="O164" i="40"/>
  <c r="M164" i="40"/>
  <c r="BU164" i="40" s="1"/>
  <c r="O163" i="40"/>
  <c r="M163" i="40"/>
  <c r="BU163" i="40" s="1"/>
  <c r="O162" i="40"/>
  <c r="M162" i="40"/>
  <c r="BU162" i="40" s="1"/>
  <c r="O149" i="40"/>
  <c r="M149" i="40"/>
  <c r="O148" i="40"/>
  <c r="M148" i="40"/>
  <c r="O147" i="40"/>
  <c r="M147" i="40"/>
  <c r="O145" i="40"/>
  <c r="M145" i="40"/>
  <c r="BO145" i="40" s="1"/>
  <c r="O144" i="40"/>
  <c r="M144" i="40"/>
  <c r="O143" i="40"/>
  <c r="M143" i="40"/>
  <c r="O142" i="40"/>
  <c r="M142" i="40"/>
  <c r="P2265" i="40" l="1"/>
  <c r="R2265" i="40"/>
  <c r="R2003" i="40"/>
  <c r="M503" i="40" l="1"/>
  <c r="BK503" i="40" s="1"/>
  <c r="X505" i="40"/>
  <c r="W505" i="40"/>
  <c r="U505" i="40"/>
  <c r="T505" i="40"/>
  <c r="Q505" i="40"/>
  <c r="O505" i="40"/>
  <c r="M505" i="40"/>
  <c r="AY505" i="40" s="1"/>
  <c r="X504" i="40"/>
  <c r="W504" i="40"/>
  <c r="U504" i="40"/>
  <c r="T504" i="40"/>
  <c r="Q504" i="40"/>
  <c r="AI504" i="40" s="1"/>
  <c r="O504" i="40"/>
  <c r="M504" i="40"/>
  <c r="M630" i="40"/>
  <c r="AZ630" i="40" s="1"/>
  <c r="M115" i="40"/>
  <c r="BA115" i="40" s="1"/>
  <c r="Q115" i="40"/>
  <c r="O113" i="40"/>
  <c r="T113" i="40"/>
  <c r="U113" i="40"/>
  <c r="W113" i="40"/>
  <c r="X113" i="40"/>
  <c r="M119" i="40"/>
  <c r="V119" i="40" s="1"/>
  <c r="M114" i="40"/>
  <c r="V114" i="40" s="1"/>
  <c r="M640" i="40" l="1"/>
  <c r="V115" i="40"/>
  <c r="V504" i="40"/>
  <c r="V505" i="40"/>
  <c r="R2360" i="40" l="1"/>
  <c r="P2360" i="40"/>
  <c r="P2170" i="40"/>
  <c r="R2170" i="40"/>
  <c r="U2046" i="40"/>
  <c r="U2045" i="40"/>
  <c r="T2045" i="40"/>
  <c r="Q2045" i="40"/>
  <c r="P2037" i="40"/>
  <c r="U2037" i="40" s="1"/>
  <c r="O2037" i="40"/>
  <c r="M2037" i="40"/>
  <c r="X2036" i="40"/>
  <c r="W2036" i="40"/>
  <c r="U2036" i="40"/>
  <c r="T2036" i="40"/>
  <c r="Q2036" i="40"/>
  <c r="V2036" i="40"/>
  <c r="M2036" i="40"/>
  <c r="X1810" i="40"/>
  <c r="W1810" i="40"/>
  <c r="U1810" i="40"/>
  <c r="T1810" i="40"/>
  <c r="Q1810" i="40"/>
  <c r="V1810" i="40"/>
  <c r="T2037" i="40" l="1"/>
  <c r="R2046" i="40"/>
  <c r="X2046" i="40" s="1"/>
  <c r="Q2170" i="40"/>
  <c r="T2046" i="40"/>
  <c r="O2045" i="40"/>
  <c r="Q2046" i="40"/>
  <c r="O2046" i="40"/>
  <c r="M2046" i="40"/>
  <c r="V2045" i="40"/>
  <c r="W2045" i="40"/>
  <c r="M2045" i="40"/>
  <c r="X2045" i="40"/>
  <c r="Q2037" i="40"/>
  <c r="R2037" i="40"/>
  <c r="V2037" i="40" s="1"/>
  <c r="O2036" i="40"/>
  <c r="V2046" i="40" l="1"/>
  <c r="W2046" i="40"/>
  <c r="W2037" i="40"/>
  <c r="X2037" i="40"/>
  <c r="AL562" i="40" l="1"/>
  <c r="M604" i="40"/>
  <c r="M592" i="40"/>
  <c r="AN592" i="40" s="1"/>
  <c r="M499" i="40"/>
  <c r="O499" i="40"/>
  <c r="Q499" i="40"/>
  <c r="W499" i="40"/>
  <c r="U499" i="40"/>
  <c r="V499" i="40"/>
  <c r="O498" i="40"/>
  <c r="X500" i="40"/>
  <c r="W500" i="40"/>
  <c r="V500" i="40"/>
  <c r="U500" i="40"/>
  <c r="T500" i="40"/>
  <c r="Q500" i="40"/>
  <c r="O500" i="40"/>
  <c r="M500" i="40"/>
  <c r="X498" i="40"/>
  <c r="W498" i="40"/>
  <c r="U498" i="40"/>
  <c r="T498" i="40"/>
  <c r="Q498" i="40"/>
  <c r="AI498" i="40" s="1"/>
  <c r="M498" i="40"/>
  <c r="Q87" i="40"/>
  <c r="X85" i="40"/>
  <c r="W85" i="40"/>
  <c r="V85" i="40"/>
  <c r="U85" i="40"/>
  <c r="T85" i="40"/>
  <c r="Q85" i="40"/>
  <c r="AT85" i="40" s="1"/>
  <c r="O85" i="40"/>
  <c r="M85" i="40"/>
  <c r="M87" i="40"/>
  <c r="AO87" i="40" s="1"/>
  <c r="O87" i="40"/>
  <c r="M93" i="40"/>
  <c r="O93" i="40"/>
  <c r="Q93" i="40"/>
  <c r="AM93" i="40" s="1"/>
  <c r="T93" i="40"/>
  <c r="U93" i="40"/>
  <c r="V93" i="40"/>
  <c r="W93" i="40"/>
  <c r="X93" i="40"/>
  <c r="T67" i="40"/>
  <c r="O80" i="40"/>
  <c r="V77" i="40"/>
  <c r="O75" i="40"/>
  <c r="V69" i="40"/>
  <c r="V68" i="40"/>
  <c r="X82" i="40"/>
  <c r="W82" i="40"/>
  <c r="V82" i="40"/>
  <c r="U82" i="40"/>
  <c r="T82" i="40"/>
  <c r="Q82" i="40"/>
  <c r="O82" i="40"/>
  <c r="X81" i="40"/>
  <c r="W81" i="40"/>
  <c r="V81" i="40"/>
  <c r="U81" i="40"/>
  <c r="T81" i="40"/>
  <c r="Q81" i="40"/>
  <c r="AT81" i="40" s="1"/>
  <c r="O81" i="40"/>
  <c r="M81" i="40"/>
  <c r="X80" i="40"/>
  <c r="W80" i="40"/>
  <c r="U80" i="40"/>
  <c r="T80" i="40"/>
  <c r="Q80" i="40"/>
  <c r="AT80" i="40" s="1"/>
  <c r="M80" i="40"/>
  <c r="X77" i="40"/>
  <c r="W77" i="40"/>
  <c r="U77" i="40"/>
  <c r="T77" i="40"/>
  <c r="Q77" i="40"/>
  <c r="AR77" i="40" s="1"/>
  <c r="M77" i="40"/>
  <c r="X75" i="40"/>
  <c r="W75" i="40"/>
  <c r="U75" i="40"/>
  <c r="T75" i="40"/>
  <c r="Q75" i="40"/>
  <c r="AR75" i="40" s="1"/>
  <c r="M75" i="40"/>
  <c r="X69" i="40"/>
  <c r="W69" i="40"/>
  <c r="U69" i="40"/>
  <c r="T69" i="40"/>
  <c r="Q69" i="40"/>
  <c r="AK69" i="40" s="1"/>
  <c r="M69" i="40"/>
  <c r="X68" i="40"/>
  <c r="W68" i="40"/>
  <c r="U68" i="40"/>
  <c r="T68" i="40"/>
  <c r="Q68" i="40"/>
  <c r="M68" i="40"/>
  <c r="AS68" i="40" s="1"/>
  <c r="V67" i="40"/>
  <c r="U67" i="40"/>
  <c r="Q67" i="40"/>
  <c r="O67" i="40"/>
  <c r="M67" i="40"/>
  <c r="AR67" i="40" s="1"/>
  <c r="M628" i="40" l="1"/>
  <c r="AR604" i="40"/>
  <c r="M111" i="40"/>
  <c r="T499" i="40"/>
  <c r="X499" i="40"/>
  <c r="V498" i="40"/>
  <c r="W87" i="40"/>
  <c r="V87" i="40"/>
  <c r="U87" i="40"/>
  <c r="T87" i="40"/>
  <c r="X87" i="40"/>
  <c r="W67" i="40"/>
  <c r="X67" i="40"/>
  <c r="V80" i="40"/>
  <c r="O69" i="40"/>
  <c r="V75" i="40"/>
  <c r="O77" i="40"/>
  <c r="O68" i="40"/>
  <c r="P2168" i="40" l="1"/>
  <c r="P2117" i="40"/>
  <c r="P2119" i="40"/>
  <c r="P2121" i="40"/>
  <c r="R2168" i="40"/>
  <c r="J2168" i="40"/>
  <c r="R1744" i="40"/>
  <c r="P1744" i="40"/>
  <c r="J1744" i="40"/>
  <c r="AI489" i="40" l="1"/>
  <c r="AI466" i="40"/>
  <c r="V468" i="40"/>
  <c r="V494" i="40"/>
  <c r="V493" i="40"/>
  <c r="V492" i="40"/>
  <c r="V488" i="40"/>
  <c r="V487" i="40"/>
  <c r="V481" i="40"/>
  <c r="V475" i="40"/>
  <c r="V474" i="40"/>
  <c r="V473" i="40"/>
  <c r="V469" i="40"/>
  <c r="V8" i="40"/>
  <c r="V10" i="40"/>
  <c r="V39" i="40" s="1"/>
  <c r="V63" i="40"/>
  <c r="V62" i="40"/>
  <c r="V56" i="40"/>
  <c r="V51" i="40"/>
  <c r="V50" i="40"/>
  <c r="V49" i="40"/>
  <c r="V48" i="40"/>
  <c r="V43" i="40"/>
  <c r="P495" i="40"/>
  <c r="L495" i="40"/>
  <c r="W494" i="40"/>
  <c r="W493" i="40"/>
  <c r="X492" i="40"/>
  <c r="U493" i="40"/>
  <c r="Q493" i="40"/>
  <c r="O493" i="40"/>
  <c r="M493" i="40"/>
  <c r="U492" i="40"/>
  <c r="Q492" i="40"/>
  <c r="O492" i="40"/>
  <c r="M492" i="40"/>
  <c r="V491" i="40"/>
  <c r="U494" i="40"/>
  <c r="Q494" i="40"/>
  <c r="O494" i="40"/>
  <c r="M494" i="40"/>
  <c r="X491" i="40"/>
  <c r="W491" i="40"/>
  <c r="U491" i="40"/>
  <c r="T491" i="40"/>
  <c r="Q491" i="40"/>
  <c r="M491" i="40"/>
  <c r="U49" i="40"/>
  <c r="X49" i="40"/>
  <c r="Q49" i="40"/>
  <c r="AJ49" i="40" s="1"/>
  <c r="O49" i="40"/>
  <c r="M49" i="40"/>
  <c r="U48" i="40"/>
  <c r="X48" i="40"/>
  <c r="Q48" i="40"/>
  <c r="AJ48" i="40" s="1"/>
  <c r="O48" i="40"/>
  <c r="M48" i="40"/>
  <c r="U50" i="40"/>
  <c r="X50" i="40"/>
  <c r="Q50" i="40"/>
  <c r="O50" i="40"/>
  <c r="M50" i="40"/>
  <c r="AP50" i="40" s="1"/>
  <c r="M51" i="40"/>
  <c r="O51" i="40"/>
  <c r="Q51" i="40"/>
  <c r="X51" i="40"/>
  <c r="U51" i="40"/>
  <c r="X56" i="40"/>
  <c r="W43" i="40"/>
  <c r="O47" i="40"/>
  <c r="V46" i="40"/>
  <c r="V45" i="40"/>
  <c r="O44" i="40"/>
  <c r="O42" i="40"/>
  <c r="X63" i="40"/>
  <c r="W63" i="40"/>
  <c r="U63" i="40"/>
  <c r="T63" i="40"/>
  <c r="Q63" i="40"/>
  <c r="O63" i="40"/>
  <c r="X62" i="40"/>
  <c r="W62" i="40"/>
  <c r="U62" i="40"/>
  <c r="T62" i="40"/>
  <c r="Q62" i="40"/>
  <c r="O62" i="40"/>
  <c r="U56" i="40"/>
  <c r="Q56" i="40"/>
  <c r="AA56" i="40" s="1"/>
  <c r="O56" i="40"/>
  <c r="U43" i="40"/>
  <c r="Q43" i="40"/>
  <c r="AJ43" i="40" s="1"/>
  <c r="O43" i="40"/>
  <c r="X47" i="40"/>
  <c r="W47" i="40"/>
  <c r="U47" i="40"/>
  <c r="T47" i="40"/>
  <c r="Q47" i="40"/>
  <c r="AJ47" i="40" s="1"/>
  <c r="X46" i="40"/>
  <c r="W46" i="40"/>
  <c r="U46" i="40"/>
  <c r="T46" i="40"/>
  <c r="Q46" i="40"/>
  <c r="AJ46" i="40" s="1"/>
  <c r="X45" i="40"/>
  <c r="W45" i="40"/>
  <c r="U45" i="40"/>
  <c r="T45" i="40"/>
  <c r="Q45" i="40"/>
  <c r="AJ45" i="40" s="1"/>
  <c r="X44" i="40"/>
  <c r="W44" i="40"/>
  <c r="U44" i="40"/>
  <c r="T44" i="40"/>
  <c r="Q44" i="40"/>
  <c r="AJ44" i="40" s="1"/>
  <c r="X42" i="40"/>
  <c r="W42" i="40"/>
  <c r="U42" i="40"/>
  <c r="T42" i="40"/>
  <c r="Q42" i="40"/>
  <c r="M63" i="40"/>
  <c r="M62" i="40"/>
  <c r="M56" i="40"/>
  <c r="M43" i="40"/>
  <c r="M47" i="40"/>
  <c r="M46" i="40"/>
  <c r="M45" i="40"/>
  <c r="M44" i="40"/>
  <c r="M42" i="40"/>
  <c r="AN42" i="40" s="1"/>
  <c r="AQ51" i="40" l="1"/>
  <c r="AA51" i="40"/>
  <c r="M64" i="40"/>
  <c r="AI492" i="40"/>
  <c r="AI495" i="40" s="1"/>
  <c r="AI501" i="40" s="1"/>
  <c r="AI507" i="40" s="1"/>
  <c r="AI520" i="40" s="1"/>
  <c r="AW491" i="40"/>
  <c r="U495" i="40"/>
  <c r="AI562" i="40"/>
  <c r="V44" i="40"/>
  <c r="V47" i="40"/>
  <c r="V42" i="40"/>
  <c r="V495" i="40"/>
  <c r="X493" i="40"/>
  <c r="T493" i="40"/>
  <c r="T494" i="40"/>
  <c r="X494" i="40"/>
  <c r="T492" i="40"/>
  <c r="W492" i="40"/>
  <c r="O491" i="40"/>
  <c r="T48" i="40"/>
  <c r="T49" i="40"/>
  <c r="W48" i="40"/>
  <c r="W49" i="40"/>
  <c r="T50" i="40"/>
  <c r="W50" i="40"/>
  <c r="W51" i="40"/>
  <c r="T51" i="40"/>
  <c r="T56" i="40"/>
  <c r="W56" i="40"/>
  <c r="X43" i="40"/>
  <c r="T43" i="40"/>
  <c r="O46" i="40"/>
  <c r="O45" i="40"/>
  <c r="V64" i="40" l="1"/>
  <c r="AI525" i="40"/>
  <c r="AI531" i="40" s="1"/>
  <c r="AI536" i="40" s="1"/>
  <c r="AI541" i="40" s="1"/>
  <c r="AI546" i="40" s="1"/>
  <c r="AI558" i="40" s="1"/>
  <c r="X495" i="40"/>
  <c r="T495" i="40"/>
  <c r="O495" i="40"/>
  <c r="W495" i="40"/>
  <c r="AI551" i="40" l="1"/>
  <c r="AI556" i="40" s="1"/>
  <c r="L2259" i="40"/>
  <c r="L2297" i="40"/>
  <c r="F2297" i="40"/>
  <c r="F2259" i="40"/>
  <c r="P2262" i="40"/>
  <c r="L2262" i="40"/>
  <c r="J2262" i="40"/>
  <c r="F2262" i="40"/>
  <c r="X2263" i="40"/>
  <c r="W2263" i="40"/>
  <c r="V2263" i="40"/>
  <c r="U2263" i="40"/>
  <c r="T2263" i="40"/>
  <c r="S2263" i="40"/>
  <c r="R2263" i="40"/>
  <c r="Q2263" i="40"/>
  <c r="P2263" i="40"/>
  <c r="O2263" i="40"/>
  <c r="N2263" i="40"/>
  <c r="M2263" i="40"/>
  <c r="L2263" i="40"/>
  <c r="K2263" i="40"/>
  <c r="J2263" i="40"/>
  <c r="I2263" i="40"/>
  <c r="H2263" i="40"/>
  <c r="G2263" i="40"/>
  <c r="F2263" i="40"/>
  <c r="P2297" i="40"/>
  <c r="U2296" i="40"/>
  <c r="T2296" i="40"/>
  <c r="O2296" i="40"/>
  <c r="I2296" i="40"/>
  <c r="U2292" i="40"/>
  <c r="T2292" i="40"/>
  <c r="O2292" i="40"/>
  <c r="I2292" i="40"/>
  <c r="U2291" i="40"/>
  <c r="T2291" i="40"/>
  <c r="O2291" i="40"/>
  <c r="I2291" i="40"/>
  <c r="U2290" i="40"/>
  <c r="T2290" i="40"/>
  <c r="O2290" i="40"/>
  <c r="I2290" i="40"/>
  <c r="U2289" i="40"/>
  <c r="T2289" i="40"/>
  <c r="O2289" i="40"/>
  <c r="I2289" i="40"/>
  <c r="U2288" i="40"/>
  <c r="I2288" i="40"/>
  <c r="U2287" i="40"/>
  <c r="I2287" i="40"/>
  <c r="U2286" i="40"/>
  <c r="T2286" i="40"/>
  <c r="I2286" i="40"/>
  <c r="U2285" i="40"/>
  <c r="T2285" i="40"/>
  <c r="I2285" i="40"/>
  <c r="U2284" i="40"/>
  <c r="T2284" i="40"/>
  <c r="I2284" i="40"/>
  <c r="U2283" i="40"/>
  <c r="T2283" i="40"/>
  <c r="O2283" i="40"/>
  <c r="X2282" i="40"/>
  <c r="W2282" i="40"/>
  <c r="X2281" i="40"/>
  <c r="W2281" i="40"/>
  <c r="V2281" i="40"/>
  <c r="U2281" i="40"/>
  <c r="T2281" i="40"/>
  <c r="Q2281" i="40"/>
  <c r="O2281" i="40"/>
  <c r="M2281" i="40"/>
  <c r="X2280" i="40"/>
  <c r="W2280" i="40"/>
  <c r="V2280" i="40"/>
  <c r="U2280" i="40"/>
  <c r="T2280" i="40"/>
  <c r="Q2280" i="40"/>
  <c r="O2280" i="40"/>
  <c r="M2280" i="40"/>
  <c r="X2279" i="40"/>
  <c r="W2279" i="40"/>
  <c r="V2279" i="40"/>
  <c r="U2279" i="40"/>
  <c r="T2279" i="40"/>
  <c r="Q2279" i="40"/>
  <c r="O2279" i="40"/>
  <c r="M2279" i="40"/>
  <c r="X2278" i="40"/>
  <c r="W2278" i="40"/>
  <c r="V2278" i="40"/>
  <c r="U2278" i="40"/>
  <c r="T2278" i="40"/>
  <c r="Q2278" i="40"/>
  <c r="O2278" i="40"/>
  <c r="M2278" i="40"/>
  <c r="X2277" i="40"/>
  <c r="W2277" i="40"/>
  <c r="V2277" i="40"/>
  <c r="U2277" i="40"/>
  <c r="T2277" i="40"/>
  <c r="Q2277" i="40"/>
  <c r="O2277" i="40"/>
  <c r="M2277" i="40"/>
  <c r="X2276" i="40"/>
  <c r="W2276" i="40"/>
  <c r="V2276" i="40"/>
  <c r="U2276" i="40"/>
  <c r="T2276" i="40"/>
  <c r="Q2276" i="40"/>
  <c r="O2276" i="40"/>
  <c r="M2276" i="40"/>
  <c r="X2275" i="40"/>
  <c r="W2275" i="40"/>
  <c r="V2275" i="40"/>
  <c r="U2275" i="40"/>
  <c r="T2275" i="40"/>
  <c r="Q2275" i="40"/>
  <c r="O2275" i="40"/>
  <c r="M2275" i="40"/>
  <c r="X2274" i="40"/>
  <c r="W2274" i="40"/>
  <c r="V2274" i="40"/>
  <c r="U2274" i="40"/>
  <c r="T2274" i="40"/>
  <c r="Q2274" i="40"/>
  <c r="O2274" i="40"/>
  <c r="M2274" i="40"/>
  <c r="X2268" i="40"/>
  <c r="W2268" i="40"/>
  <c r="V2268" i="40"/>
  <c r="U2268" i="40"/>
  <c r="T2268" i="40"/>
  <c r="Q2268" i="40"/>
  <c r="O2268" i="40"/>
  <c r="M2268" i="40"/>
  <c r="X2267" i="40"/>
  <c r="W2267" i="40"/>
  <c r="V2267" i="40"/>
  <c r="U2267" i="40"/>
  <c r="T2267" i="40"/>
  <c r="Q2267" i="40"/>
  <c r="O2267" i="40"/>
  <c r="M2267" i="40"/>
  <c r="X2266" i="40"/>
  <c r="W2266" i="40"/>
  <c r="V2266" i="40"/>
  <c r="U2266" i="40"/>
  <c r="T2266" i="40"/>
  <c r="Q2266" i="40"/>
  <c r="O2266" i="40"/>
  <c r="M2266" i="40"/>
  <c r="X2265" i="40"/>
  <c r="W2265" i="40"/>
  <c r="V2265" i="40"/>
  <c r="U2265" i="40"/>
  <c r="T2265" i="40"/>
  <c r="Q2265" i="40"/>
  <c r="O2265" i="40"/>
  <c r="M2265" i="40"/>
  <c r="I2265" i="40"/>
  <c r="X2264" i="40"/>
  <c r="W2264" i="40"/>
  <c r="V2264" i="40"/>
  <c r="U2264" i="40"/>
  <c r="T2264" i="40"/>
  <c r="Q2264" i="40"/>
  <c r="O2264" i="40"/>
  <c r="M2264" i="40"/>
  <c r="I2264" i="40"/>
  <c r="G2264" i="40"/>
  <c r="D51" i="21"/>
  <c r="X2297" i="40" l="1"/>
  <c r="O2297" i="40"/>
  <c r="V2283" i="40"/>
  <c r="V2297" i="40" s="1"/>
  <c r="T2297" i="40"/>
  <c r="W2297" i="40"/>
  <c r="I2297" i="40"/>
  <c r="U2297" i="40"/>
  <c r="E51" i="21" l="1"/>
  <c r="F51" i="21" s="1"/>
  <c r="J52" i="45" l="1"/>
  <c r="K52" i="45" s="1"/>
  <c r="L52" i="45" s="1"/>
  <c r="O52" i="45" s="1"/>
  <c r="J51" i="21"/>
  <c r="X1519" i="40"/>
  <c r="X1518" i="40"/>
  <c r="X1517" i="40"/>
  <c r="X1516" i="40"/>
  <c r="X1515" i="40"/>
  <c r="X1496" i="40"/>
  <c r="X1495" i="40"/>
  <c r="X1494" i="40"/>
  <c r="X1493" i="40"/>
  <c r="X1492" i="40"/>
  <c r="X1491" i="40"/>
  <c r="X1464" i="40"/>
  <c r="X2363" i="40" l="1"/>
  <c r="W2363" i="40"/>
  <c r="X2360" i="40"/>
  <c r="W2360" i="40"/>
  <c r="X2359" i="40"/>
  <c r="W2359" i="40"/>
  <c r="X2358" i="40"/>
  <c r="W2358" i="40"/>
  <c r="X2331" i="40"/>
  <c r="W2331" i="40"/>
  <c r="X2330" i="40"/>
  <c r="W2330" i="40"/>
  <c r="X2329" i="40"/>
  <c r="W2329" i="40"/>
  <c r="X2328" i="40"/>
  <c r="W2328" i="40"/>
  <c r="X2327" i="40"/>
  <c r="W2327" i="40"/>
  <c r="X2326" i="40"/>
  <c r="W2326" i="40"/>
  <c r="X2325" i="40"/>
  <c r="W2325" i="40"/>
  <c r="X2324" i="40"/>
  <c r="W2324" i="40"/>
  <c r="X2320" i="40"/>
  <c r="W2320" i="40"/>
  <c r="X2319" i="40"/>
  <c r="W2319" i="40"/>
  <c r="X2318" i="40"/>
  <c r="W2318" i="40"/>
  <c r="X2317" i="40"/>
  <c r="W2317" i="40"/>
  <c r="X2316" i="40"/>
  <c r="W2316" i="40"/>
  <c r="X2315" i="40"/>
  <c r="W2315" i="40"/>
  <c r="X2306" i="40"/>
  <c r="W2306" i="40"/>
  <c r="X2305" i="40"/>
  <c r="W2305" i="40"/>
  <c r="X2304" i="40"/>
  <c r="W2304" i="40"/>
  <c r="X2303" i="40"/>
  <c r="W2303" i="40"/>
  <c r="X2302" i="40"/>
  <c r="W2302" i="40"/>
  <c r="X2244" i="40"/>
  <c r="W2244" i="40"/>
  <c r="X2241" i="40"/>
  <c r="W2241" i="40"/>
  <c r="X2236" i="40"/>
  <c r="W2236" i="40"/>
  <c r="X2233" i="40"/>
  <c r="W2233" i="40"/>
  <c r="X2232" i="40"/>
  <c r="W2232" i="40"/>
  <c r="X2231" i="40"/>
  <c r="W2231" i="40"/>
  <c r="X2211" i="40"/>
  <c r="W2211" i="40"/>
  <c r="X2210" i="40"/>
  <c r="W2210" i="40"/>
  <c r="X2207" i="40"/>
  <c r="W2207" i="40"/>
  <c r="X2206" i="40"/>
  <c r="W2206" i="40"/>
  <c r="X2205" i="40"/>
  <c r="W2205" i="40"/>
  <c r="X2202" i="40"/>
  <c r="W2202" i="40"/>
  <c r="X2201" i="40"/>
  <c r="W2201" i="40"/>
  <c r="X2200" i="40"/>
  <c r="W2200" i="40"/>
  <c r="X2178" i="40"/>
  <c r="W2178" i="40"/>
  <c r="X2177" i="40"/>
  <c r="W2177" i="40"/>
  <c r="X2170" i="40"/>
  <c r="W2170" i="40"/>
  <c r="X2169" i="40"/>
  <c r="W2169" i="40"/>
  <c r="X2167" i="40"/>
  <c r="W2167" i="40"/>
  <c r="X2166" i="40"/>
  <c r="W2166" i="40"/>
  <c r="X2164" i="40"/>
  <c r="W2164" i="40"/>
  <c r="X2163" i="40"/>
  <c r="W2163" i="40"/>
  <c r="X2162" i="40"/>
  <c r="W2162" i="40"/>
  <c r="X2120" i="40"/>
  <c r="W2120" i="40"/>
  <c r="X2118" i="40"/>
  <c r="W2118" i="40"/>
  <c r="X2116" i="40"/>
  <c r="W2116" i="40"/>
  <c r="X2101" i="40"/>
  <c r="W2101" i="40"/>
  <c r="X2086" i="40"/>
  <c r="W2086" i="40"/>
  <c r="X2070" i="40"/>
  <c r="W2070" i="40"/>
  <c r="X2050" i="40"/>
  <c r="W2050" i="40"/>
  <c r="X2049" i="40"/>
  <c r="W2049" i="40"/>
  <c r="X2044" i="40"/>
  <c r="W2044" i="40"/>
  <c r="X2041" i="40"/>
  <c r="W2041" i="40"/>
  <c r="X2040" i="40"/>
  <c r="W2040" i="40"/>
  <c r="X2039" i="40"/>
  <c r="W2039" i="40"/>
  <c r="X2038" i="40"/>
  <c r="W2038" i="40"/>
  <c r="X2035" i="40"/>
  <c r="W2035" i="40"/>
  <c r="X2034" i="40"/>
  <c r="W2034" i="40"/>
  <c r="X2009" i="40"/>
  <c r="W2009" i="40"/>
  <c r="X2015" i="40"/>
  <c r="W2015" i="40"/>
  <c r="X2014" i="40"/>
  <c r="W2014" i="40"/>
  <c r="X2005" i="40"/>
  <c r="W2005" i="40"/>
  <c r="X1988" i="40"/>
  <c r="W1988" i="40"/>
  <c r="X1896" i="40"/>
  <c r="W1896" i="40"/>
  <c r="X1895" i="40"/>
  <c r="W1895" i="40"/>
  <c r="X1894" i="40"/>
  <c r="W1894" i="40"/>
  <c r="X1893" i="40"/>
  <c r="W1893" i="40"/>
  <c r="X1892" i="40"/>
  <c r="W1892" i="40"/>
  <c r="X1891" i="40"/>
  <c r="W1891" i="40"/>
  <c r="X1828" i="40"/>
  <c r="W1828" i="40"/>
  <c r="X1823" i="40"/>
  <c r="W1823" i="40"/>
  <c r="X1822" i="40"/>
  <c r="W1822" i="40"/>
  <c r="X1806" i="40"/>
  <c r="W1806" i="40"/>
  <c r="X1786" i="40"/>
  <c r="W1786" i="40"/>
  <c r="X1785" i="40"/>
  <c r="W1785" i="40"/>
  <c r="X1784" i="40"/>
  <c r="W1784" i="40"/>
  <c r="R2121" i="40"/>
  <c r="R2119" i="40"/>
  <c r="R2117" i="40"/>
  <c r="O2119" i="40"/>
  <c r="M2119" i="40"/>
  <c r="Q1796" i="40"/>
  <c r="P1581" i="40"/>
  <c r="Q1581" i="40" s="1"/>
  <c r="P1579" i="40"/>
  <c r="Q1579" i="40" s="1"/>
  <c r="R1581" i="40"/>
  <c r="R1579" i="40"/>
  <c r="R1577" i="40"/>
  <c r="P1577" i="40"/>
  <c r="U1554" i="40"/>
  <c r="U1551" i="40"/>
  <c r="Q1549" i="40"/>
  <c r="Q1552" i="40"/>
  <c r="O1554" i="40"/>
  <c r="M1554" i="40"/>
  <c r="O1549" i="40"/>
  <c r="M1549" i="40"/>
  <c r="O1552" i="40"/>
  <c r="M1552" i="40"/>
  <c r="O1548" i="40"/>
  <c r="M1548" i="40"/>
  <c r="O1550" i="40"/>
  <c r="M1550" i="40"/>
  <c r="O1553" i="40"/>
  <c r="M1553" i="40"/>
  <c r="O1551" i="40"/>
  <c r="M1551" i="40"/>
  <c r="X1744" i="40"/>
  <c r="W1744" i="40"/>
  <c r="X1743" i="40"/>
  <c r="W1743" i="40"/>
  <c r="X1742" i="40"/>
  <c r="W1742" i="40"/>
  <c r="X1739" i="40"/>
  <c r="W1739" i="40"/>
  <c r="X1580" i="40"/>
  <c r="W1580" i="40"/>
  <c r="X1578" i="40"/>
  <c r="W1578" i="40"/>
  <c r="X1576" i="40"/>
  <c r="W1576" i="40"/>
  <c r="X1575" i="40"/>
  <c r="W1575" i="40"/>
  <c r="X1574" i="40"/>
  <c r="W1574" i="40"/>
  <c r="X1573" i="40"/>
  <c r="W1573" i="40"/>
  <c r="X1572" i="40"/>
  <c r="W1572" i="40"/>
  <c r="X1571" i="40"/>
  <c r="W1571" i="40"/>
  <c r="X1570" i="40"/>
  <c r="W1570" i="40"/>
  <c r="X1558" i="40"/>
  <c r="W1558" i="40"/>
  <c r="X1544" i="40"/>
  <c r="W1544" i="40"/>
  <c r="X1543" i="40"/>
  <c r="W1543" i="40"/>
  <c r="X1542" i="40"/>
  <c r="W1542" i="40"/>
  <c r="X1541" i="40"/>
  <c r="W1541" i="40"/>
  <c r="X1540" i="40"/>
  <c r="W1540" i="40"/>
  <c r="X1539" i="40"/>
  <c r="W1539" i="40"/>
  <c r="X1538" i="40"/>
  <c r="W1538" i="40"/>
  <c r="R1736" i="40"/>
  <c r="U1736" i="40"/>
  <c r="W2043" i="40" l="1"/>
  <c r="X1795" i="40"/>
  <c r="W2259" i="40"/>
  <c r="X2259" i="40"/>
  <c r="V1548" i="40"/>
  <c r="X2071" i="40"/>
  <c r="V1554" i="40"/>
  <c r="W1795" i="40"/>
  <c r="W2042" i="40"/>
  <c r="X2042" i="40"/>
  <c r="W1796" i="40"/>
  <c r="W2071" i="40"/>
  <c r="X1796" i="40"/>
  <c r="T1554" i="40"/>
  <c r="Q1548" i="40"/>
  <c r="Q1554" i="40"/>
  <c r="V1553" i="40"/>
  <c r="T1548" i="40"/>
  <c r="U1548" i="40"/>
  <c r="U1553" i="40"/>
  <c r="T1549" i="40"/>
  <c r="X1553" i="40"/>
  <c r="W1579" i="40"/>
  <c r="V1549" i="40"/>
  <c r="W1581" i="40"/>
  <c r="X1579" i="40"/>
  <c r="X1581" i="40"/>
  <c r="X1577" i="40"/>
  <c r="W1577" i="40"/>
  <c r="W1554" i="40"/>
  <c r="X1554" i="40"/>
  <c r="T1553" i="40"/>
  <c r="W1553" i="40"/>
  <c r="W1551" i="40"/>
  <c r="T1551" i="40"/>
  <c r="W1548" i="40"/>
  <c r="X1548" i="40"/>
  <c r="V1551" i="40"/>
  <c r="V1552" i="40"/>
  <c r="X1550" i="40"/>
  <c r="T1552" i="40"/>
  <c r="W1552" i="40"/>
  <c r="W1549" i="40"/>
  <c r="U1552" i="40"/>
  <c r="X1551" i="40"/>
  <c r="X1552" i="40"/>
  <c r="X1549" i="40"/>
  <c r="Q1551" i="40"/>
  <c r="Q1553" i="40"/>
  <c r="U1549" i="40"/>
  <c r="Q1550" i="40"/>
  <c r="T1550" i="40"/>
  <c r="U1550" i="40"/>
  <c r="V1550" i="40"/>
  <c r="W1550" i="40"/>
  <c r="Q1736" i="40"/>
  <c r="T1736" i="40"/>
  <c r="X2043" i="40" l="1"/>
  <c r="AK489" i="40" l="1"/>
  <c r="Q481" i="40"/>
  <c r="Q475" i="40"/>
  <c r="Q474" i="40"/>
  <c r="V472" i="40"/>
  <c r="V470" i="40"/>
  <c r="AH489" i="40"/>
  <c r="X15" i="40"/>
  <c r="X14" i="40"/>
  <c r="X13" i="40"/>
  <c r="Q15" i="40"/>
  <c r="AA15" i="40" s="1"/>
  <c r="Q14" i="40"/>
  <c r="AA14" i="40" s="1"/>
  <c r="Q13" i="40"/>
  <c r="DI474" i="40" l="1"/>
  <c r="DN474" i="40"/>
  <c r="DL474" i="40"/>
  <c r="DM474" i="40"/>
  <c r="DP474" i="40"/>
  <c r="DK474" i="40"/>
  <c r="DO474" i="40"/>
  <c r="DJ474" i="40"/>
  <c r="DH474" i="40"/>
  <c r="DD474" i="40"/>
  <c r="DE474" i="40"/>
  <c r="DG474" i="40"/>
  <c r="DF474" i="40"/>
  <c r="DB474" i="40"/>
  <c r="CY474" i="40"/>
  <c r="CX474" i="40"/>
  <c r="DC474" i="40"/>
  <c r="DA474" i="40"/>
  <c r="CZ474" i="40"/>
  <c r="CW474" i="40"/>
  <c r="CT474" i="40"/>
  <c r="CR474" i="40"/>
  <c r="CU474" i="40"/>
  <c r="CS474" i="40"/>
  <c r="CV474" i="40"/>
  <c r="CL474" i="40"/>
  <c r="CM474" i="40"/>
  <c r="CO474" i="40"/>
  <c r="CP474" i="40"/>
  <c r="CQ474" i="40"/>
  <c r="CN474" i="40"/>
  <c r="CH474" i="40"/>
  <c r="CI474" i="40"/>
  <c r="CK474" i="40"/>
  <c r="CJ474" i="40"/>
  <c r="CF474" i="40"/>
  <c r="CG474" i="40"/>
  <c r="CC474" i="40"/>
  <c r="CD474" i="40"/>
  <c r="CB474" i="40"/>
  <c r="BZ474" i="40"/>
  <c r="CA474" i="40"/>
  <c r="CE474" i="40"/>
  <c r="BY474" i="40"/>
  <c r="BW474" i="40"/>
  <c r="BQ474" i="40"/>
  <c r="BM474" i="40"/>
  <c r="BN474" i="40"/>
  <c r="BU474" i="40"/>
  <c r="BX474" i="40"/>
  <c r="BT474" i="40"/>
  <c r="BP474" i="40"/>
  <c r="BR474" i="40"/>
  <c r="BS474" i="40"/>
  <c r="BV474" i="40"/>
  <c r="BO474" i="40"/>
  <c r="BK474" i="40"/>
  <c r="BF474" i="40"/>
  <c r="BL474" i="40"/>
  <c r="BH474" i="40"/>
  <c r="BJ474" i="40"/>
  <c r="BI474" i="40"/>
  <c r="BG474" i="40"/>
  <c r="BE474" i="40"/>
  <c r="BA474" i="40"/>
  <c r="BC474" i="40"/>
  <c r="BD474" i="40"/>
  <c r="AZ474" i="40"/>
  <c r="AY474" i="40"/>
  <c r="BB474" i="40"/>
  <c r="AX474" i="40"/>
  <c r="AU474" i="40"/>
  <c r="AW474" i="40"/>
  <c r="AV474" i="40"/>
  <c r="AT474" i="40"/>
  <c r="AS474" i="40"/>
  <c r="AR474" i="40"/>
  <c r="AN474" i="40"/>
  <c r="AO474" i="40"/>
  <c r="AP474" i="40"/>
  <c r="AM474" i="40"/>
  <c r="AL474" i="40"/>
  <c r="AQ474" i="40"/>
  <c r="DL475" i="40"/>
  <c r="DM475" i="40"/>
  <c r="DI475" i="40"/>
  <c r="DK475" i="40"/>
  <c r="DN475" i="40"/>
  <c r="DJ475" i="40"/>
  <c r="DO475" i="40"/>
  <c r="DP475" i="40"/>
  <c r="DH475" i="40"/>
  <c r="DF475" i="40"/>
  <c r="DD475" i="40"/>
  <c r="DG475" i="40"/>
  <c r="DE475" i="40"/>
  <c r="DA475" i="40"/>
  <c r="CY475" i="40"/>
  <c r="CZ475" i="40"/>
  <c r="DB475" i="40"/>
  <c r="CX475" i="40"/>
  <c r="DC475" i="40"/>
  <c r="CW475" i="40"/>
  <c r="CU475" i="40"/>
  <c r="CV475" i="40"/>
  <c r="CS475" i="40"/>
  <c r="CR475" i="40"/>
  <c r="CT475" i="40"/>
  <c r="CN475" i="40"/>
  <c r="CQ475" i="40"/>
  <c r="CL475" i="40"/>
  <c r="CO475" i="40"/>
  <c r="CM475" i="40"/>
  <c r="CP475" i="40"/>
  <c r="CI475" i="40"/>
  <c r="CJ475" i="40"/>
  <c r="CH475" i="40"/>
  <c r="CK475" i="40"/>
  <c r="CF475" i="40"/>
  <c r="CG475" i="40"/>
  <c r="CD475" i="40"/>
  <c r="CA475" i="40"/>
  <c r="BZ475" i="40"/>
  <c r="CE475" i="40"/>
  <c r="CC475" i="40"/>
  <c r="CB475" i="40"/>
  <c r="BY475" i="40"/>
  <c r="BQ475" i="40"/>
  <c r="BN475" i="40"/>
  <c r="BV475" i="40"/>
  <c r="BS475" i="40"/>
  <c r="BU475" i="40"/>
  <c r="BR475" i="40"/>
  <c r="BT475" i="40"/>
  <c r="BM475" i="40"/>
  <c r="BW475" i="40"/>
  <c r="BX475" i="40"/>
  <c r="BO475" i="40"/>
  <c r="BP475" i="40"/>
  <c r="BJ475" i="40"/>
  <c r="BF475" i="40"/>
  <c r="BI475" i="40"/>
  <c r="BK475" i="40"/>
  <c r="BG475" i="40"/>
  <c r="BH475" i="40"/>
  <c r="BL475" i="40"/>
  <c r="BC475" i="40"/>
  <c r="AZ475" i="40"/>
  <c r="BD475" i="40"/>
  <c r="BA475" i="40"/>
  <c r="BE475" i="40"/>
  <c r="BB475" i="40"/>
  <c r="AX475" i="40"/>
  <c r="AY475" i="40"/>
  <c r="AV475" i="40"/>
  <c r="AU475" i="40"/>
  <c r="AS475" i="40"/>
  <c r="AT475" i="40"/>
  <c r="AW475" i="40"/>
  <c r="AR475" i="40"/>
  <c r="AO475" i="40"/>
  <c r="AN475" i="40"/>
  <c r="AQ475" i="40"/>
  <c r="AM475" i="40"/>
  <c r="AL475" i="40"/>
  <c r="AP475" i="40"/>
  <c r="DI481" i="40"/>
  <c r="DK481" i="40"/>
  <c r="DO481" i="40"/>
  <c r="DJ481" i="40"/>
  <c r="DL481" i="40"/>
  <c r="DP481" i="40"/>
  <c r="DM481" i="40"/>
  <c r="DN481" i="40"/>
  <c r="DH481" i="40"/>
  <c r="DG481" i="40"/>
  <c r="DF481" i="40"/>
  <c r="DE481" i="40"/>
  <c r="DD481" i="40"/>
  <c r="DA481" i="40"/>
  <c r="CZ481" i="40"/>
  <c r="DB481" i="40"/>
  <c r="CY481" i="40"/>
  <c r="DC481" i="40"/>
  <c r="CX481" i="40"/>
  <c r="CR481" i="40"/>
  <c r="CS481" i="40"/>
  <c r="CT481" i="40"/>
  <c r="CW481" i="40"/>
  <c r="CV481" i="40"/>
  <c r="CU481" i="40"/>
  <c r="CN481" i="40"/>
  <c r="CM481" i="40"/>
  <c r="CP481" i="40"/>
  <c r="CL481" i="40"/>
  <c r="CQ481" i="40"/>
  <c r="CO481" i="40"/>
  <c r="CI481" i="40"/>
  <c r="CJ481" i="40"/>
  <c r="CF481" i="40"/>
  <c r="CG481" i="40"/>
  <c r="CK481" i="40"/>
  <c r="CH481" i="40"/>
  <c r="CC481" i="40"/>
  <c r="CE481" i="40"/>
  <c r="CD481" i="40"/>
  <c r="CA481" i="40"/>
  <c r="BZ481" i="40"/>
  <c r="CB481" i="40"/>
  <c r="BY481" i="40"/>
  <c r="BS481" i="40"/>
  <c r="BP481" i="40"/>
  <c r="BM481" i="40"/>
  <c r="BO481" i="40"/>
  <c r="BW481" i="40"/>
  <c r="BR481" i="40"/>
  <c r="BU481" i="40"/>
  <c r="BV481" i="40"/>
  <c r="BN481" i="40"/>
  <c r="BX481" i="40"/>
  <c r="BQ481" i="40"/>
  <c r="BT481" i="40"/>
  <c r="BL481" i="40"/>
  <c r="BH481" i="40"/>
  <c r="BJ481" i="40"/>
  <c r="BG481" i="40"/>
  <c r="BK481" i="40"/>
  <c r="BF481" i="40"/>
  <c r="BI481" i="40"/>
  <c r="AY481" i="40"/>
  <c r="BC481" i="40"/>
  <c r="AX481" i="40"/>
  <c r="BB481" i="40"/>
  <c r="BD481" i="40"/>
  <c r="BA481" i="40"/>
  <c r="BE481" i="40"/>
  <c r="AZ481" i="40"/>
  <c r="AV481" i="40"/>
  <c r="AS481" i="40"/>
  <c r="AT481" i="40"/>
  <c r="AW481" i="40"/>
  <c r="AU481" i="40"/>
  <c r="AR481" i="40"/>
  <c r="AN481" i="40"/>
  <c r="AO481" i="40"/>
  <c r="AM481" i="40"/>
  <c r="AL481" i="40"/>
  <c r="AQ481" i="40"/>
  <c r="AP481" i="40"/>
  <c r="AK495" i="40"/>
  <c r="AH495" i="40"/>
  <c r="AH501" i="40" s="1"/>
  <c r="AH507" i="40" s="1"/>
  <c r="W13" i="40"/>
  <c r="W15" i="40"/>
  <c r="W14" i="40"/>
  <c r="AK501" i="40" l="1"/>
  <c r="AK507" i="40" s="1"/>
  <c r="V2360" i="40"/>
  <c r="U2360" i="40"/>
  <c r="T2360" i="40"/>
  <c r="Q2360" i="40"/>
  <c r="O2360" i="40"/>
  <c r="M2360" i="40"/>
  <c r="V2359" i="40"/>
  <c r="U2359" i="40"/>
  <c r="T2359" i="40"/>
  <c r="Q2359" i="40"/>
  <c r="O2359" i="40"/>
  <c r="M2359" i="40"/>
  <c r="V2358" i="40"/>
  <c r="U2358" i="40"/>
  <c r="T2358" i="40"/>
  <c r="Q2358" i="40"/>
  <c r="O2358" i="40"/>
  <c r="M2358" i="40"/>
  <c r="I2358" i="40"/>
  <c r="G2358" i="40"/>
  <c r="X2357" i="40"/>
  <c r="W2357" i="40"/>
  <c r="V2357" i="40"/>
  <c r="U2357" i="40"/>
  <c r="T2357" i="40"/>
  <c r="S2357" i="40"/>
  <c r="R2357" i="40"/>
  <c r="Q2357" i="40"/>
  <c r="P2357" i="40"/>
  <c r="O2357" i="40"/>
  <c r="N2357" i="40"/>
  <c r="M2357" i="40"/>
  <c r="L2357" i="40"/>
  <c r="K2357" i="40"/>
  <c r="I2357" i="40"/>
  <c r="H2357" i="40"/>
  <c r="G2357" i="40"/>
  <c r="F2357" i="40"/>
  <c r="J2357" i="40"/>
  <c r="J2356" i="40"/>
  <c r="I2325" i="40"/>
  <c r="G2325" i="40"/>
  <c r="V2330" i="40"/>
  <c r="U2330" i="40"/>
  <c r="T2330" i="40"/>
  <c r="Q2330" i="40"/>
  <c r="O2330" i="40"/>
  <c r="M2330" i="40"/>
  <c r="V2329" i="40"/>
  <c r="U2329" i="40"/>
  <c r="T2329" i="40"/>
  <c r="Q2329" i="40"/>
  <c r="O2329" i="40"/>
  <c r="M2329" i="40"/>
  <c r="V2328" i="40"/>
  <c r="U2328" i="40"/>
  <c r="T2328" i="40"/>
  <c r="Q2328" i="40"/>
  <c r="O2328" i="40"/>
  <c r="M2328" i="40"/>
  <c r="V2327" i="40"/>
  <c r="U2327" i="40"/>
  <c r="T2327" i="40"/>
  <c r="Q2327" i="40"/>
  <c r="O2327" i="40"/>
  <c r="M2327" i="40"/>
  <c r="V2326" i="40"/>
  <c r="U2326" i="40"/>
  <c r="T2326" i="40"/>
  <c r="Q2326" i="40"/>
  <c r="O2326" i="40"/>
  <c r="M2326" i="40"/>
  <c r="V2325" i="40"/>
  <c r="U2325" i="40"/>
  <c r="T2325" i="40"/>
  <c r="Q2325" i="40"/>
  <c r="O2325" i="40"/>
  <c r="M2325" i="40"/>
  <c r="V2324" i="40"/>
  <c r="U2324" i="40"/>
  <c r="T2324" i="40"/>
  <c r="Q2324" i="40"/>
  <c r="O2324" i="40"/>
  <c r="M2324" i="40"/>
  <c r="V2320" i="40"/>
  <c r="U2320" i="40"/>
  <c r="T2320" i="40"/>
  <c r="Q2320" i="40"/>
  <c r="O2320" i="40"/>
  <c r="M2320" i="40"/>
  <c r="V2319" i="40"/>
  <c r="U2319" i="40"/>
  <c r="T2319" i="40"/>
  <c r="Q2319" i="40"/>
  <c r="O2319" i="40"/>
  <c r="M2319" i="40"/>
  <c r="V2318" i="40"/>
  <c r="U2318" i="40"/>
  <c r="T2318" i="40"/>
  <c r="Q2318" i="40"/>
  <c r="O2318" i="40"/>
  <c r="M2318" i="40"/>
  <c r="V2317" i="40"/>
  <c r="U2317" i="40"/>
  <c r="T2317" i="40"/>
  <c r="Q2317" i="40"/>
  <c r="O2317" i="40"/>
  <c r="M2317" i="40"/>
  <c r="V2316" i="40"/>
  <c r="U2316" i="40"/>
  <c r="T2316" i="40"/>
  <c r="Q2316" i="40"/>
  <c r="O2316" i="40"/>
  <c r="M2316" i="40"/>
  <c r="V2315" i="40"/>
  <c r="U2315" i="40"/>
  <c r="T2315" i="40"/>
  <c r="Q2315" i="40"/>
  <c r="O2315" i="40"/>
  <c r="M2315" i="40"/>
  <c r="I2315" i="40"/>
  <c r="G2315" i="40"/>
  <c r="X2314" i="40"/>
  <c r="W2314" i="40"/>
  <c r="V2314" i="40"/>
  <c r="U2314" i="40"/>
  <c r="T2314" i="40"/>
  <c r="S2314" i="40"/>
  <c r="R2314" i="40"/>
  <c r="Q2314" i="40"/>
  <c r="P2314" i="40"/>
  <c r="O2314" i="40"/>
  <c r="N2314" i="40"/>
  <c r="M2314" i="40"/>
  <c r="L2314" i="40"/>
  <c r="K2314" i="40"/>
  <c r="I2314" i="40"/>
  <c r="H2314" i="40"/>
  <c r="G2314" i="40"/>
  <c r="F2314" i="40"/>
  <c r="J2314" i="40"/>
  <c r="J2313" i="40"/>
  <c r="V2305" i="40"/>
  <c r="U2305" i="40"/>
  <c r="T2305" i="40"/>
  <c r="Q2305" i="40"/>
  <c r="O2305" i="40"/>
  <c r="M2305" i="40"/>
  <c r="V2304" i="40"/>
  <c r="U2304" i="40"/>
  <c r="T2304" i="40"/>
  <c r="Q2304" i="40"/>
  <c r="O2304" i="40"/>
  <c r="M2304" i="40"/>
  <c r="V2303" i="40"/>
  <c r="U2303" i="40"/>
  <c r="T2303" i="40"/>
  <c r="Q2303" i="40"/>
  <c r="O2303" i="40"/>
  <c r="M2303" i="40"/>
  <c r="V2302" i="40"/>
  <c r="U2302" i="40"/>
  <c r="T2302" i="40"/>
  <c r="Q2302" i="40"/>
  <c r="O2302" i="40"/>
  <c r="M2302" i="40"/>
  <c r="I2302" i="40"/>
  <c r="G2302" i="40"/>
  <c r="X2301" i="40"/>
  <c r="W2301" i="40"/>
  <c r="V2301" i="40"/>
  <c r="U2301" i="40"/>
  <c r="T2301" i="40"/>
  <c r="S2301" i="40"/>
  <c r="R2301" i="40"/>
  <c r="Q2301" i="40"/>
  <c r="P2301" i="40"/>
  <c r="O2301" i="40"/>
  <c r="N2301" i="40"/>
  <c r="M2301" i="40"/>
  <c r="L2301" i="40"/>
  <c r="K2301" i="40"/>
  <c r="I2301" i="40"/>
  <c r="H2301" i="40"/>
  <c r="G2301" i="40"/>
  <c r="F2301" i="40"/>
  <c r="J2301" i="40"/>
  <c r="J2300" i="40"/>
  <c r="V2241" i="40"/>
  <c r="U2241" i="40"/>
  <c r="T2241" i="40"/>
  <c r="Q2241" i="40"/>
  <c r="O2241" i="40"/>
  <c r="M2241" i="40"/>
  <c r="V2236" i="40"/>
  <c r="U2236" i="40"/>
  <c r="T2236" i="40"/>
  <c r="Q2236" i="40"/>
  <c r="O2236" i="40"/>
  <c r="M2236" i="40"/>
  <c r="V2233" i="40"/>
  <c r="U2233" i="40"/>
  <c r="T2233" i="40"/>
  <c r="Q2233" i="40"/>
  <c r="M2233" i="40"/>
  <c r="V2232" i="40"/>
  <c r="U2232" i="40"/>
  <c r="T2232" i="40"/>
  <c r="Q2232" i="40"/>
  <c r="O2232" i="40"/>
  <c r="M2232" i="40"/>
  <c r="V2231" i="40"/>
  <c r="U2231" i="40"/>
  <c r="T2231" i="40"/>
  <c r="Q2231" i="40"/>
  <c r="O2231" i="40"/>
  <c r="M2231" i="40"/>
  <c r="V2210" i="40"/>
  <c r="U2210" i="40"/>
  <c r="T2210" i="40"/>
  <c r="Q2210" i="40"/>
  <c r="O2210" i="40"/>
  <c r="M2210" i="40"/>
  <c r="V2207" i="40"/>
  <c r="U2207" i="40"/>
  <c r="T2207" i="40"/>
  <c r="O2207" i="40"/>
  <c r="M2207" i="40"/>
  <c r="V2206" i="40"/>
  <c r="U2206" i="40"/>
  <c r="T2206" i="40"/>
  <c r="Q2206" i="40"/>
  <c r="O2206" i="40"/>
  <c r="M2206" i="40"/>
  <c r="V2205" i="40"/>
  <c r="U2205" i="40"/>
  <c r="T2205" i="40"/>
  <c r="Q2205" i="40"/>
  <c r="O2205" i="40"/>
  <c r="M2205" i="40"/>
  <c r="V2202" i="40"/>
  <c r="U2202" i="40"/>
  <c r="T2202" i="40"/>
  <c r="Q2202" i="40"/>
  <c r="O2202" i="40"/>
  <c r="M2202" i="40"/>
  <c r="V2201" i="40"/>
  <c r="U2201" i="40"/>
  <c r="T2201" i="40"/>
  <c r="Q2201" i="40"/>
  <c r="O2201" i="40"/>
  <c r="M2201" i="40"/>
  <c r="V2200" i="40"/>
  <c r="U2200" i="40"/>
  <c r="T2200" i="40"/>
  <c r="Q2200" i="40"/>
  <c r="O2200" i="40"/>
  <c r="M2200" i="40"/>
  <c r="I2200" i="40"/>
  <c r="G2200" i="40"/>
  <c r="X2229" i="40"/>
  <c r="W2229" i="40"/>
  <c r="V2229" i="40"/>
  <c r="U2229" i="40"/>
  <c r="T2229" i="40"/>
  <c r="S2229" i="40"/>
  <c r="R2229" i="40"/>
  <c r="Q2229" i="40"/>
  <c r="P2229" i="40"/>
  <c r="O2229" i="40"/>
  <c r="N2229" i="40"/>
  <c r="M2229" i="40"/>
  <c r="L2229" i="40"/>
  <c r="K2229" i="40"/>
  <c r="I2229" i="40"/>
  <c r="H2229" i="40"/>
  <c r="G2229" i="40"/>
  <c r="F2229" i="40"/>
  <c r="J2229" i="40"/>
  <c r="J2228" i="40"/>
  <c r="X2199" i="40"/>
  <c r="W2199" i="40"/>
  <c r="V2199" i="40"/>
  <c r="U2199" i="40"/>
  <c r="T2199" i="40"/>
  <c r="S2199" i="40"/>
  <c r="R2199" i="40"/>
  <c r="Q2199" i="40"/>
  <c r="P2199" i="40"/>
  <c r="O2199" i="40"/>
  <c r="N2199" i="40"/>
  <c r="M2199" i="40"/>
  <c r="L2199" i="40"/>
  <c r="K2199" i="40"/>
  <c r="I2199" i="40"/>
  <c r="H2199" i="40"/>
  <c r="G2199" i="40"/>
  <c r="F2199" i="40"/>
  <c r="J2199" i="40"/>
  <c r="J2198" i="40"/>
  <c r="X2069" i="40"/>
  <c r="W2069" i="40"/>
  <c r="V2069" i="40"/>
  <c r="U2069" i="40"/>
  <c r="T2069" i="40"/>
  <c r="S2069" i="40"/>
  <c r="R2069" i="40"/>
  <c r="Q2069" i="40"/>
  <c r="P2069" i="40"/>
  <c r="O2069" i="40"/>
  <c r="N2069" i="40"/>
  <c r="M2069" i="40"/>
  <c r="L2069" i="40"/>
  <c r="K2069" i="40"/>
  <c r="I2069" i="40"/>
  <c r="H2069" i="40"/>
  <c r="G2069" i="40"/>
  <c r="F2069" i="40"/>
  <c r="J2069" i="40"/>
  <c r="J2068" i="40"/>
  <c r="V2177" i="40"/>
  <c r="U2177" i="40"/>
  <c r="T2177" i="40"/>
  <c r="Q2177" i="40"/>
  <c r="O2177" i="40"/>
  <c r="M2177" i="40"/>
  <c r="V2170" i="40"/>
  <c r="U2170" i="40"/>
  <c r="T2170" i="40"/>
  <c r="O2170" i="40"/>
  <c r="M2170" i="40"/>
  <c r="V2169" i="40"/>
  <c r="U2169" i="40"/>
  <c r="T2169" i="40"/>
  <c r="Q2169" i="40"/>
  <c r="O2169" i="40"/>
  <c r="M2169" i="40"/>
  <c r="O2168" i="40"/>
  <c r="M2168" i="40"/>
  <c r="V2167" i="40"/>
  <c r="U2167" i="40"/>
  <c r="T2167" i="40"/>
  <c r="Q2167" i="40"/>
  <c r="O2167" i="40"/>
  <c r="M2167" i="40"/>
  <c r="T2166" i="40"/>
  <c r="Q2166" i="40"/>
  <c r="O2166" i="40"/>
  <c r="M2166" i="40"/>
  <c r="V2164" i="40"/>
  <c r="U2164" i="40"/>
  <c r="T2164" i="40"/>
  <c r="Q2164" i="40"/>
  <c r="O2164" i="40"/>
  <c r="M2164" i="40"/>
  <c r="V2163" i="40"/>
  <c r="U2163" i="40"/>
  <c r="T2163" i="40"/>
  <c r="Q2163" i="40"/>
  <c r="O2163" i="40"/>
  <c r="M2163" i="40"/>
  <c r="V2162" i="40"/>
  <c r="U2162" i="40"/>
  <c r="T2162" i="40"/>
  <c r="Q2162" i="40"/>
  <c r="O2162" i="40"/>
  <c r="M2162" i="40"/>
  <c r="O2121" i="40"/>
  <c r="M2121" i="40"/>
  <c r="V2120" i="40"/>
  <c r="U2120" i="40"/>
  <c r="T2120" i="40"/>
  <c r="Q2120" i="40"/>
  <c r="O2120" i="40"/>
  <c r="M2120" i="40"/>
  <c r="V2118" i="40"/>
  <c r="U2118" i="40"/>
  <c r="T2118" i="40"/>
  <c r="Q2118" i="40"/>
  <c r="O2118" i="40"/>
  <c r="M2118" i="40"/>
  <c r="O2117" i="40"/>
  <c r="M2117" i="40"/>
  <c r="V2116" i="40"/>
  <c r="U2116" i="40"/>
  <c r="T2116" i="40"/>
  <c r="Q2116" i="40"/>
  <c r="O2116" i="40"/>
  <c r="M2116" i="40"/>
  <c r="T2101" i="40"/>
  <c r="Q2101" i="40"/>
  <c r="O2101" i="40"/>
  <c r="M2101" i="40"/>
  <c r="T2086" i="40"/>
  <c r="Q2086" i="40"/>
  <c r="O2086" i="40"/>
  <c r="M2086" i="40"/>
  <c r="V2071" i="40"/>
  <c r="U2071" i="40"/>
  <c r="T2071" i="40"/>
  <c r="Q2071" i="40"/>
  <c r="O2071" i="40"/>
  <c r="M2071" i="40"/>
  <c r="I2162" i="40"/>
  <c r="G2162" i="40"/>
  <c r="V2070" i="40"/>
  <c r="U2070" i="40"/>
  <c r="T2070" i="40"/>
  <c r="Q2070" i="40"/>
  <c r="O2070" i="40"/>
  <c r="M2070" i="40"/>
  <c r="I2070" i="40"/>
  <c r="G2070" i="40"/>
  <c r="G2041" i="40"/>
  <c r="G2040" i="40"/>
  <c r="I2041" i="40"/>
  <c r="I2040" i="40"/>
  <c r="V2049" i="40"/>
  <c r="U2049" i="40"/>
  <c r="T2049" i="40"/>
  <c r="Q2049" i="40"/>
  <c r="O2049" i="40"/>
  <c r="M2049" i="40"/>
  <c r="V2044" i="40"/>
  <c r="U2044" i="40"/>
  <c r="T2044" i="40"/>
  <c r="Q2044" i="40"/>
  <c r="O2044" i="40"/>
  <c r="M2044" i="40"/>
  <c r="V2043" i="40"/>
  <c r="U2043" i="40"/>
  <c r="T2043" i="40"/>
  <c r="Q2043" i="40"/>
  <c r="O2043" i="40"/>
  <c r="M2043" i="40"/>
  <c r="V2042" i="40"/>
  <c r="U2042" i="40"/>
  <c r="T2042" i="40"/>
  <c r="Q2042" i="40"/>
  <c r="O2042" i="40"/>
  <c r="M2042" i="40"/>
  <c r="V2041" i="40"/>
  <c r="U2041" i="40"/>
  <c r="T2041" i="40"/>
  <c r="Q2041" i="40"/>
  <c r="O2041" i="40"/>
  <c r="M2041" i="40"/>
  <c r="V2040" i="40"/>
  <c r="U2040" i="40"/>
  <c r="T2040" i="40"/>
  <c r="Q2040" i="40"/>
  <c r="O2040" i="40"/>
  <c r="M2040" i="40"/>
  <c r="V2039" i="40"/>
  <c r="U2039" i="40"/>
  <c r="T2039" i="40"/>
  <c r="Q2039" i="40"/>
  <c r="O2039" i="40"/>
  <c r="M2039" i="40"/>
  <c r="V2038" i="40"/>
  <c r="U2038" i="40"/>
  <c r="T2038" i="40"/>
  <c r="Q2038" i="40"/>
  <c r="O2038" i="40"/>
  <c r="M2038" i="40"/>
  <c r="V2035" i="40"/>
  <c r="U2035" i="40"/>
  <c r="T2035" i="40"/>
  <c r="Q2035" i="40"/>
  <c r="O2035" i="40"/>
  <c r="M2035" i="40"/>
  <c r="V2034" i="40"/>
  <c r="U2034" i="40"/>
  <c r="T2034" i="40"/>
  <c r="Q2034" i="40"/>
  <c r="O2034" i="40"/>
  <c r="M2034" i="40"/>
  <c r="V2009" i="40"/>
  <c r="U2009" i="40"/>
  <c r="T2009" i="40"/>
  <c r="Q2009" i="40"/>
  <c r="O2009" i="40"/>
  <c r="M2009" i="40"/>
  <c r="V2015" i="40"/>
  <c r="U2015" i="40"/>
  <c r="T2015" i="40"/>
  <c r="Q2015" i="40"/>
  <c r="O2015" i="40"/>
  <c r="M2015" i="40"/>
  <c r="V2014" i="40"/>
  <c r="U2014" i="40"/>
  <c r="T2014" i="40"/>
  <c r="Q2014" i="40"/>
  <c r="O2014" i="40"/>
  <c r="M2014" i="40"/>
  <c r="V2005" i="40"/>
  <c r="U2005" i="40"/>
  <c r="T2005" i="40"/>
  <c r="Q2005" i="40"/>
  <c r="O2005" i="40"/>
  <c r="M2005" i="40"/>
  <c r="O2003" i="40"/>
  <c r="M2003" i="40"/>
  <c r="T1988" i="40"/>
  <c r="Q1988" i="40"/>
  <c r="O1988" i="40"/>
  <c r="M1988" i="40"/>
  <c r="X1987" i="40"/>
  <c r="W1987" i="40"/>
  <c r="V1987" i="40"/>
  <c r="U1987" i="40"/>
  <c r="T1987" i="40"/>
  <c r="S1987" i="40"/>
  <c r="R1987" i="40"/>
  <c r="Q1987" i="40"/>
  <c r="P1987" i="40"/>
  <c r="O1987" i="40"/>
  <c r="N1987" i="40"/>
  <c r="M1987" i="40"/>
  <c r="L1987" i="40"/>
  <c r="K1987" i="40"/>
  <c r="I1987" i="40"/>
  <c r="H1987" i="40"/>
  <c r="G1987" i="40"/>
  <c r="F1987" i="40"/>
  <c r="J1987" i="40"/>
  <c r="J1986" i="40"/>
  <c r="V1896" i="40"/>
  <c r="U1896" i="40"/>
  <c r="T1896" i="40"/>
  <c r="Q1896" i="40"/>
  <c r="O1896" i="40"/>
  <c r="M1896" i="40"/>
  <c r="V1895" i="40"/>
  <c r="U1895" i="40"/>
  <c r="T1895" i="40"/>
  <c r="Q1895" i="40"/>
  <c r="O1895" i="40"/>
  <c r="M1895" i="40"/>
  <c r="V1894" i="40"/>
  <c r="U1894" i="40"/>
  <c r="T1894" i="40"/>
  <c r="Q1894" i="40"/>
  <c r="O1894" i="40"/>
  <c r="M1894" i="40"/>
  <c r="V1893" i="40"/>
  <c r="U1893" i="40"/>
  <c r="T1893" i="40"/>
  <c r="Q1893" i="40"/>
  <c r="O1893" i="40"/>
  <c r="M1893" i="40"/>
  <c r="V1892" i="40"/>
  <c r="U1892" i="40"/>
  <c r="T1892" i="40"/>
  <c r="Q1892" i="40"/>
  <c r="O1892" i="40"/>
  <c r="M1892" i="40"/>
  <c r="V1891" i="40"/>
  <c r="U1891" i="40"/>
  <c r="T1891" i="40"/>
  <c r="Q1891" i="40"/>
  <c r="O1891" i="40"/>
  <c r="M1891" i="40"/>
  <c r="V1828" i="40"/>
  <c r="U1828" i="40"/>
  <c r="T1828" i="40"/>
  <c r="Q1828" i="40"/>
  <c r="O1828" i="40"/>
  <c r="M1828" i="40"/>
  <c r="V1823" i="40"/>
  <c r="U1823" i="40"/>
  <c r="T1823" i="40"/>
  <c r="Q1823" i="40"/>
  <c r="O1823" i="40"/>
  <c r="M1823" i="40"/>
  <c r="V1822" i="40"/>
  <c r="U1822" i="40"/>
  <c r="T1822" i="40"/>
  <c r="Q1822" i="40"/>
  <c r="O1822" i="40"/>
  <c r="M1822" i="40"/>
  <c r="V1806" i="40"/>
  <c r="U1806" i="40"/>
  <c r="T1806" i="40"/>
  <c r="Q1806" i="40"/>
  <c r="O1806" i="40"/>
  <c r="M1806" i="40"/>
  <c r="V1796" i="40"/>
  <c r="U1796" i="40"/>
  <c r="T1796" i="40"/>
  <c r="O1796" i="40"/>
  <c r="M1796" i="40"/>
  <c r="V1795" i="40"/>
  <c r="U1795" i="40"/>
  <c r="T1795" i="40"/>
  <c r="Q1795" i="40"/>
  <c r="O1795" i="40"/>
  <c r="M1795" i="40"/>
  <c r="V1786" i="40"/>
  <c r="U1786" i="40"/>
  <c r="T1786" i="40"/>
  <c r="Q1786" i="40"/>
  <c r="O1786" i="40"/>
  <c r="M1786" i="40"/>
  <c r="V1785" i="40"/>
  <c r="U1785" i="40"/>
  <c r="T1785" i="40"/>
  <c r="Q1785" i="40"/>
  <c r="O1785" i="40"/>
  <c r="M1785" i="40"/>
  <c r="I1786" i="40"/>
  <c r="I1785" i="40"/>
  <c r="G1786" i="40"/>
  <c r="G1785" i="40"/>
  <c r="V1784" i="40"/>
  <c r="U1784" i="40"/>
  <c r="T1784" i="40"/>
  <c r="Q1784" i="40"/>
  <c r="O1784" i="40"/>
  <c r="M1784" i="40"/>
  <c r="I1784" i="40"/>
  <c r="X1783" i="40"/>
  <c r="W1783" i="40"/>
  <c r="V1783" i="40"/>
  <c r="U1783" i="40"/>
  <c r="T1783" i="40"/>
  <c r="S1783" i="40"/>
  <c r="R1783" i="40"/>
  <c r="Q1783" i="40"/>
  <c r="P1783" i="40"/>
  <c r="O1783" i="40"/>
  <c r="N1783" i="40"/>
  <c r="M1783" i="40"/>
  <c r="L1783" i="40"/>
  <c r="K1783" i="40"/>
  <c r="I1783" i="40"/>
  <c r="H1783" i="40"/>
  <c r="G1783" i="40"/>
  <c r="F1783" i="40"/>
  <c r="J1783" i="40"/>
  <c r="J1782" i="40"/>
  <c r="G1784" i="40"/>
  <c r="V1744" i="40"/>
  <c r="U1744" i="40"/>
  <c r="T1744" i="40"/>
  <c r="Q1744" i="40"/>
  <c r="O1744" i="40"/>
  <c r="M1744" i="40"/>
  <c r="V1743" i="40"/>
  <c r="U1743" i="40"/>
  <c r="T1743" i="40"/>
  <c r="Q1743" i="40"/>
  <c r="O1743" i="40"/>
  <c r="M1743" i="40"/>
  <c r="V1742" i="40"/>
  <c r="U1742" i="40"/>
  <c r="T1742" i="40"/>
  <c r="Q1742" i="40"/>
  <c r="O1742" i="40"/>
  <c r="M1742" i="40"/>
  <c r="V1739" i="40"/>
  <c r="U1739" i="40"/>
  <c r="T1739" i="40"/>
  <c r="Q1739" i="40"/>
  <c r="M1739" i="40"/>
  <c r="T1734" i="40"/>
  <c r="Q1734" i="40"/>
  <c r="V1581" i="40"/>
  <c r="U1581" i="40"/>
  <c r="T1581" i="40"/>
  <c r="O1581" i="40"/>
  <c r="M1581" i="40"/>
  <c r="V1580" i="40"/>
  <c r="U1580" i="40"/>
  <c r="T1580" i="40"/>
  <c r="Q1580" i="40"/>
  <c r="O1580" i="40"/>
  <c r="M1580" i="40"/>
  <c r="V1579" i="40"/>
  <c r="U1579" i="40"/>
  <c r="T1579" i="40"/>
  <c r="O1579" i="40"/>
  <c r="M1579" i="40"/>
  <c r="V1578" i="40"/>
  <c r="U1578" i="40"/>
  <c r="T1578" i="40"/>
  <c r="Q1578" i="40"/>
  <c r="O1578" i="40"/>
  <c r="M1578" i="40"/>
  <c r="V1577" i="40"/>
  <c r="U1577" i="40"/>
  <c r="T1577" i="40"/>
  <c r="Q1577" i="40"/>
  <c r="O1577" i="40"/>
  <c r="M1577" i="40"/>
  <c r="V1576" i="40"/>
  <c r="U1576" i="40"/>
  <c r="T1576" i="40"/>
  <c r="Q1576" i="40"/>
  <c r="O1576" i="40"/>
  <c r="M1576" i="40"/>
  <c r="V1575" i="40"/>
  <c r="U1575" i="40"/>
  <c r="T1575" i="40"/>
  <c r="Q1575" i="40"/>
  <c r="O1575" i="40"/>
  <c r="M1575" i="40"/>
  <c r="V1574" i="40"/>
  <c r="U1574" i="40"/>
  <c r="T1574" i="40"/>
  <c r="Q1574" i="40"/>
  <c r="O1574" i="40"/>
  <c r="M1574" i="40"/>
  <c r="V1573" i="40"/>
  <c r="U1573" i="40"/>
  <c r="T1573" i="40"/>
  <c r="Q1573" i="40"/>
  <c r="O1573" i="40"/>
  <c r="M1573" i="40"/>
  <c r="V1572" i="40"/>
  <c r="U1572" i="40"/>
  <c r="T1572" i="40"/>
  <c r="Q1572" i="40"/>
  <c r="O1572" i="40"/>
  <c r="M1572" i="40"/>
  <c r="V1571" i="40"/>
  <c r="U1571" i="40"/>
  <c r="T1571" i="40"/>
  <c r="Q1571" i="40"/>
  <c r="O1571" i="40"/>
  <c r="M1571" i="40"/>
  <c r="V1570" i="40"/>
  <c r="T1570" i="40"/>
  <c r="Q1570" i="40"/>
  <c r="O1570" i="40"/>
  <c r="M1570" i="40"/>
  <c r="AA1571" i="40"/>
  <c r="AA1572" i="40" s="1"/>
  <c r="V1558" i="40"/>
  <c r="U1558" i="40"/>
  <c r="T1558" i="40"/>
  <c r="Q1558" i="40"/>
  <c r="O1558" i="40"/>
  <c r="M1558" i="40"/>
  <c r="V1544" i="40"/>
  <c r="U1544" i="40"/>
  <c r="T1544" i="40"/>
  <c r="Q1544" i="40"/>
  <c r="O1544" i="40"/>
  <c r="M1544" i="40"/>
  <c r="V1543" i="40"/>
  <c r="U1543" i="40"/>
  <c r="T1543" i="40"/>
  <c r="Q1543" i="40"/>
  <c r="O1543" i="40"/>
  <c r="M1543" i="40"/>
  <c r="V1542" i="40"/>
  <c r="U1542" i="40"/>
  <c r="T1542" i="40"/>
  <c r="Q1542" i="40"/>
  <c r="O1542" i="40"/>
  <c r="M1542" i="40"/>
  <c r="V1541" i="40"/>
  <c r="U1541" i="40"/>
  <c r="T1541" i="40"/>
  <c r="Q1541" i="40"/>
  <c r="O1541" i="40"/>
  <c r="M1541" i="40"/>
  <c r="V1540" i="40"/>
  <c r="U1540" i="40"/>
  <c r="T1540" i="40"/>
  <c r="Q1540" i="40"/>
  <c r="O1540" i="40"/>
  <c r="M1540" i="40"/>
  <c r="V1539" i="40"/>
  <c r="U1539" i="40"/>
  <c r="T1539" i="40"/>
  <c r="Q1539" i="40"/>
  <c r="O1539" i="40"/>
  <c r="M1539" i="40"/>
  <c r="V1538" i="40"/>
  <c r="U1538" i="40"/>
  <c r="T1538" i="40"/>
  <c r="Q1538" i="40"/>
  <c r="O1538" i="40"/>
  <c r="M1538" i="40"/>
  <c r="I1544" i="40"/>
  <c r="I1543" i="40"/>
  <c r="I1542" i="40"/>
  <c r="I1541" i="40"/>
  <c r="I1540" i="40"/>
  <c r="I1539" i="40"/>
  <c r="G1544" i="40"/>
  <c r="G1543" i="40"/>
  <c r="G1542" i="40"/>
  <c r="G1541" i="40"/>
  <c r="G1540" i="40"/>
  <c r="G1539" i="40"/>
  <c r="I1538" i="40"/>
  <c r="G1538" i="40"/>
  <c r="V1518" i="40"/>
  <c r="V1517" i="40"/>
  <c r="V1516" i="40"/>
  <c r="V1515" i="40"/>
  <c r="V1496" i="40"/>
  <c r="V1495" i="40"/>
  <c r="V1494" i="40"/>
  <c r="V1493" i="40"/>
  <c r="V1492" i="40"/>
  <c r="V1491" i="40"/>
  <c r="V1464" i="40"/>
  <c r="I1493" i="40"/>
  <c r="G1493" i="40"/>
  <c r="I1464" i="40"/>
  <c r="G1464" i="40"/>
  <c r="O1496" i="40"/>
  <c r="M1496" i="40"/>
  <c r="O1495" i="40"/>
  <c r="M1495" i="40"/>
  <c r="O1494" i="40"/>
  <c r="M1494" i="40"/>
  <c r="O1493" i="40"/>
  <c r="M1493" i="40"/>
  <c r="O1492" i="40"/>
  <c r="M1492" i="40"/>
  <c r="O1491" i="40"/>
  <c r="M1491" i="40"/>
  <c r="O1464" i="40"/>
  <c r="M1464" i="40"/>
  <c r="Q1496" i="40"/>
  <c r="Q1495" i="40"/>
  <c r="Q1494" i="40"/>
  <c r="Q1493" i="40"/>
  <c r="Q1492" i="40"/>
  <c r="Q1491" i="40"/>
  <c r="Q1464" i="40"/>
  <c r="T1518" i="40"/>
  <c r="T1517" i="40"/>
  <c r="T1516" i="40"/>
  <c r="T1515" i="40"/>
  <c r="T1507" i="40"/>
  <c r="T1496" i="40"/>
  <c r="T1495" i="40"/>
  <c r="T1494" i="40"/>
  <c r="T1493" i="40"/>
  <c r="T1492" i="40"/>
  <c r="T1491" i="40"/>
  <c r="T1464" i="40"/>
  <c r="X1537" i="40"/>
  <c r="W1537" i="40"/>
  <c r="V1537" i="40"/>
  <c r="U1537" i="40"/>
  <c r="T1537" i="40"/>
  <c r="S1537" i="40"/>
  <c r="R1537" i="40"/>
  <c r="Q1537" i="40"/>
  <c r="P1537" i="40"/>
  <c r="O1537" i="40"/>
  <c r="N1537" i="40"/>
  <c r="M1537" i="40"/>
  <c r="L1537" i="40"/>
  <c r="K1537" i="40"/>
  <c r="I1537" i="40"/>
  <c r="H1537" i="40"/>
  <c r="G1537" i="40"/>
  <c r="F1537" i="40"/>
  <c r="J1537" i="40"/>
  <c r="J1536" i="40"/>
  <c r="X1463" i="40"/>
  <c r="W1463" i="40"/>
  <c r="V1463" i="40"/>
  <c r="U1463" i="40"/>
  <c r="T1463" i="40"/>
  <c r="S1463" i="40"/>
  <c r="R1463" i="40"/>
  <c r="Q1463" i="40"/>
  <c r="P1463" i="40"/>
  <c r="O1463" i="40"/>
  <c r="N1463" i="40"/>
  <c r="M1463" i="40"/>
  <c r="L1463" i="40"/>
  <c r="K1463" i="40"/>
  <c r="I1463" i="40"/>
  <c r="H1463" i="40"/>
  <c r="G1463" i="40"/>
  <c r="F1463" i="40"/>
  <c r="J1463" i="40"/>
  <c r="J1462" i="40"/>
  <c r="X1357" i="40"/>
  <c r="W1357" i="40"/>
  <c r="V1357" i="40"/>
  <c r="U1357" i="40"/>
  <c r="T1357" i="40"/>
  <c r="S1357" i="40"/>
  <c r="R1357" i="40"/>
  <c r="Q1357" i="40"/>
  <c r="P1357" i="40"/>
  <c r="O1357" i="40"/>
  <c r="N1357" i="40"/>
  <c r="M1357" i="40"/>
  <c r="L1357" i="40"/>
  <c r="K1357" i="40"/>
  <c r="I1357" i="40"/>
  <c r="H1357" i="40"/>
  <c r="G1357" i="40"/>
  <c r="F1357" i="40"/>
  <c r="J1357" i="40"/>
  <c r="J1356" i="40"/>
  <c r="X1154" i="40"/>
  <c r="W1154" i="40"/>
  <c r="V1154" i="40"/>
  <c r="U1154" i="40"/>
  <c r="T1154" i="40"/>
  <c r="S1154" i="40"/>
  <c r="R1154" i="40"/>
  <c r="Q1154" i="40"/>
  <c r="P1154" i="40"/>
  <c r="O1154" i="40"/>
  <c r="N1154" i="40"/>
  <c r="M1154" i="40"/>
  <c r="L1154" i="40"/>
  <c r="K1154" i="40"/>
  <c r="I1154" i="40"/>
  <c r="H1154" i="40"/>
  <c r="G1154" i="40"/>
  <c r="F1154" i="40"/>
  <c r="J1154" i="40"/>
  <c r="J1153" i="40"/>
  <c r="G1146" i="40"/>
  <c r="I1148" i="40"/>
  <c r="I1147" i="40"/>
  <c r="I1146" i="40"/>
  <c r="I1113" i="40"/>
  <c r="I1112" i="40"/>
  <c r="I1111" i="40"/>
  <c r="I1110" i="40"/>
  <c r="I1109" i="40"/>
  <c r="I1108" i="40"/>
  <c r="I1107" i="40"/>
  <c r="G1113" i="40"/>
  <c r="G1112" i="40"/>
  <c r="G1111" i="40"/>
  <c r="G1110" i="40"/>
  <c r="V1148" i="40"/>
  <c r="U1148" i="40"/>
  <c r="U1147" i="40"/>
  <c r="AB1147" i="40" s="1"/>
  <c r="V1145" i="40"/>
  <c r="U1145" i="40"/>
  <c r="V1144" i="40"/>
  <c r="U1144" i="40"/>
  <c r="T1148" i="40"/>
  <c r="T1147" i="40"/>
  <c r="T1145" i="40"/>
  <c r="T1144" i="40"/>
  <c r="Q1148" i="40"/>
  <c r="Q1147" i="40"/>
  <c r="Q1145" i="40"/>
  <c r="Q1144" i="40"/>
  <c r="M1148" i="40"/>
  <c r="M1147" i="40"/>
  <c r="M1146" i="40"/>
  <c r="O1148" i="40"/>
  <c r="O1146" i="40"/>
  <c r="O1144" i="40"/>
  <c r="V1143" i="40"/>
  <c r="U1143" i="40"/>
  <c r="AB1143" i="40" s="1"/>
  <c r="T1143" i="40"/>
  <c r="Q1143" i="40"/>
  <c r="O1143" i="40"/>
  <c r="M1143" i="40"/>
  <c r="V1142" i="40"/>
  <c r="U1142" i="40"/>
  <c r="AB1142" i="40" s="1"/>
  <c r="T1142" i="40"/>
  <c r="Q1142" i="40"/>
  <c r="O1142" i="40"/>
  <c r="M1142" i="40"/>
  <c r="V1141" i="40"/>
  <c r="U1141" i="40"/>
  <c r="AB1141" i="40" s="1"/>
  <c r="T1141" i="40"/>
  <c r="Q1141" i="40"/>
  <c r="O1141" i="40"/>
  <c r="M1141" i="40"/>
  <c r="V1140" i="40"/>
  <c r="U1140" i="40"/>
  <c r="AB1140" i="40" s="1"/>
  <c r="T1140" i="40"/>
  <c r="Q1140" i="40"/>
  <c r="O1140" i="40"/>
  <c r="M1140" i="40"/>
  <c r="V1139" i="40"/>
  <c r="U1139" i="40"/>
  <c r="AB1139" i="40" s="1"/>
  <c r="T1139" i="40"/>
  <c r="Q1139" i="40"/>
  <c r="O1139" i="40"/>
  <c r="M1139" i="40"/>
  <c r="V1138" i="40"/>
  <c r="U1138" i="40"/>
  <c r="AB1138" i="40" s="1"/>
  <c r="T1138" i="40"/>
  <c r="Q1138" i="40"/>
  <c r="O1138" i="40"/>
  <c r="M1138" i="40"/>
  <c r="V1137" i="40"/>
  <c r="U1137" i="40"/>
  <c r="AB1137" i="40" s="1"/>
  <c r="T1137" i="40"/>
  <c r="Q1137" i="40"/>
  <c r="O1137" i="40"/>
  <c r="M1137" i="40"/>
  <c r="V1136" i="40"/>
  <c r="U1136" i="40"/>
  <c r="AB1136" i="40" s="1"/>
  <c r="T1136" i="40"/>
  <c r="Q1136" i="40"/>
  <c r="O1136" i="40"/>
  <c r="M1136" i="40"/>
  <c r="V1135" i="40"/>
  <c r="U1135" i="40"/>
  <c r="AB1135" i="40" s="1"/>
  <c r="T1135" i="40"/>
  <c r="Q1135" i="40"/>
  <c r="O1135" i="40"/>
  <c r="M1135" i="40"/>
  <c r="V1134" i="40"/>
  <c r="U1134" i="40"/>
  <c r="AB1134" i="40" s="1"/>
  <c r="T1134" i="40"/>
  <c r="Q1134" i="40"/>
  <c r="O1134" i="40"/>
  <c r="M1134" i="40"/>
  <c r="V1133" i="40"/>
  <c r="U1133" i="40"/>
  <c r="AB1133" i="40" s="1"/>
  <c r="T1133" i="40"/>
  <c r="Q1133" i="40"/>
  <c r="O1133" i="40"/>
  <c r="M1133" i="40"/>
  <c r="V1132" i="40"/>
  <c r="U1132" i="40"/>
  <c r="AB1132" i="40" s="1"/>
  <c r="T1132" i="40"/>
  <c r="Q1132" i="40"/>
  <c r="O1132" i="40"/>
  <c r="M1132" i="40"/>
  <c r="V1131" i="40"/>
  <c r="U1131" i="40"/>
  <c r="AB1131" i="40" s="1"/>
  <c r="T1131" i="40"/>
  <c r="Q1131" i="40"/>
  <c r="O1131" i="40"/>
  <c r="M1131" i="40"/>
  <c r="V1130" i="40"/>
  <c r="U1130" i="40"/>
  <c r="AB1130" i="40" s="1"/>
  <c r="T1130" i="40"/>
  <c r="Q1130" i="40"/>
  <c r="O1130" i="40"/>
  <c r="M1130" i="40"/>
  <c r="V1129" i="40"/>
  <c r="U1129" i="40"/>
  <c r="T1129" i="40"/>
  <c r="Q1129" i="40"/>
  <c r="O1129" i="40"/>
  <c r="V1128" i="40"/>
  <c r="U1128" i="40"/>
  <c r="AB1128" i="40" s="1"/>
  <c r="T1128" i="40"/>
  <c r="Q1128" i="40"/>
  <c r="O1128" i="40"/>
  <c r="M1128" i="40"/>
  <c r="V1127" i="40"/>
  <c r="U1127" i="40"/>
  <c r="AB1127" i="40" s="1"/>
  <c r="T1127" i="40"/>
  <c r="Q1127" i="40"/>
  <c r="O1127" i="40"/>
  <c r="M1127" i="40"/>
  <c r="V1126" i="40"/>
  <c r="U1126" i="40"/>
  <c r="AB1126" i="40" s="1"/>
  <c r="T1126" i="40"/>
  <c r="Q1126" i="40"/>
  <c r="O1126" i="40"/>
  <c r="M1126" i="40"/>
  <c r="V1125" i="40"/>
  <c r="U1125" i="40"/>
  <c r="AB1125" i="40" s="1"/>
  <c r="T1125" i="40"/>
  <c r="Q1125" i="40"/>
  <c r="O1125" i="40"/>
  <c r="M1125" i="40"/>
  <c r="V1124" i="40"/>
  <c r="U1124" i="40"/>
  <c r="AB1124" i="40" s="1"/>
  <c r="T1124" i="40"/>
  <c r="Q1124" i="40"/>
  <c r="O1124" i="40"/>
  <c r="M1124" i="40"/>
  <c r="V1123" i="40"/>
  <c r="U1123" i="40"/>
  <c r="AB1123" i="40" s="1"/>
  <c r="T1123" i="40"/>
  <c r="Q1123" i="40"/>
  <c r="O1123" i="40"/>
  <c r="M1123" i="40"/>
  <c r="V1122" i="40"/>
  <c r="U1122" i="40"/>
  <c r="AB1122" i="40" s="1"/>
  <c r="T1122" i="40"/>
  <c r="Q1122" i="40"/>
  <c r="O1122" i="40"/>
  <c r="M1122" i="40"/>
  <c r="V1121" i="40"/>
  <c r="U1121" i="40"/>
  <c r="AB1121" i="40" s="1"/>
  <c r="T1121" i="40"/>
  <c r="Q1121" i="40"/>
  <c r="O1121" i="40"/>
  <c r="M1121" i="40"/>
  <c r="V1120" i="40"/>
  <c r="U1120" i="40"/>
  <c r="AB1120" i="40" s="1"/>
  <c r="T1120" i="40"/>
  <c r="Q1120" i="40"/>
  <c r="O1120" i="40"/>
  <c r="M1120" i="40"/>
  <c r="V1119" i="40"/>
  <c r="U1119" i="40"/>
  <c r="AB1119" i="40" s="1"/>
  <c r="T1119" i="40"/>
  <c r="Q1119" i="40"/>
  <c r="O1119" i="40"/>
  <c r="M1119" i="40"/>
  <c r="V1118" i="40"/>
  <c r="U1118" i="40"/>
  <c r="AB1118" i="40" s="1"/>
  <c r="T1118" i="40"/>
  <c r="Q1118" i="40"/>
  <c r="O1118" i="40"/>
  <c r="M1118" i="40"/>
  <c r="V1117" i="40"/>
  <c r="U1117" i="40"/>
  <c r="AB1117" i="40" s="1"/>
  <c r="T1117" i="40"/>
  <c r="Q1117" i="40"/>
  <c r="O1117" i="40"/>
  <c r="M1117" i="40"/>
  <c r="V1116" i="40"/>
  <c r="U1116" i="40"/>
  <c r="AB1116" i="40" s="1"/>
  <c r="T1116" i="40"/>
  <c r="Q1116" i="40"/>
  <c r="O1116" i="40"/>
  <c r="M1116" i="40"/>
  <c r="V1115" i="40"/>
  <c r="U1115" i="40"/>
  <c r="AB1115" i="40" s="1"/>
  <c r="T1115" i="40"/>
  <c r="Q1115" i="40"/>
  <c r="O1115" i="40"/>
  <c r="V1114" i="40"/>
  <c r="U1114" i="40"/>
  <c r="T1114" i="40"/>
  <c r="Q1114" i="40"/>
  <c r="O1114" i="40"/>
  <c r="V1113" i="40"/>
  <c r="U1113" i="40"/>
  <c r="AB1113" i="40" s="1"/>
  <c r="T1113" i="40"/>
  <c r="Q1113" i="40"/>
  <c r="O1113" i="40"/>
  <c r="M1113" i="40"/>
  <c r="V1112" i="40"/>
  <c r="U1112" i="40"/>
  <c r="AB1112" i="40" s="1"/>
  <c r="T1112" i="40"/>
  <c r="Q1112" i="40"/>
  <c r="O1112" i="40"/>
  <c r="M1112" i="40"/>
  <c r="V1111" i="40"/>
  <c r="U1111" i="40"/>
  <c r="AB1111" i="40" s="1"/>
  <c r="T1111" i="40"/>
  <c r="Q1111" i="40"/>
  <c r="O1111" i="40"/>
  <c r="M1111" i="40"/>
  <c r="V1110" i="40"/>
  <c r="U1110" i="40"/>
  <c r="AB1110" i="40" s="1"/>
  <c r="T1110" i="40"/>
  <c r="Q1110" i="40"/>
  <c r="O1110" i="40"/>
  <c r="M1110" i="40"/>
  <c r="V1109" i="40"/>
  <c r="U1109" i="40"/>
  <c r="T1109" i="40"/>
  <c r="Q1109" i="40"/>
  <c r="O1109" i="40"/>
  <c r="V1108" i="40"/>
  <c r="U1108" i="40"/>
  <c r="AB1108" i="40" s="1"/>
  <c r="T1108" i="40"/>
  <c r="Q1108" i="40"/>
  <c r="O1108" i="40"/>
  <c r="M1108" i="40"/>
  <c r="V1107" i="40"/>
  <c r="U1107" i="40"/>
  <c r="AB1107" i="40" s="1"/>
  <c r="T1107" i="40"/>
  <c r="Q1107" i="40"/>
  <c r="O1107" i="40"/>
  <c r="M1107" i="40"/>
  <c r="X1148" i="40"/>
  <c r="W1148" i="40"/>
  <c r="X1147" i="40"/>
  <c r="W1147" i="40"/>
  <c r="X1145" i="40"/>
  <c r="W1145" i="40"/>
  <c r="X1144" i="40"/>
  <c r="W1144" i="40"/>
  <c r="X1143" i="40"/>
  <c r="W1143" i="40"/>
  <c r="X1142" i="40"/>
  <c r="W1142" i="40"/>
  <c r="X1141" i="40"/>
  <c r="W1141" i="40"/>
  <c r="X1140" i="40"/>
  <c r="W1140" i="40"/>
  <c r="X1139" i="40"/>
  <c r="W1139" i="40"/>
  <c r="X1138" i="40"/>
  <c r="W1138" i="40"/>
  <c r="X1137" i="40"/>
  <c r="W1137" i="40"/>
  <c r="X1136" i="40"/>
  <c r="W1136" i="40"/>
  <c r="X1135" i="40"/>
  <c r="W1135" i="40"/>
  <c r="X1134" i="40"/>
  <c r="W1134" i="40"/>
  <c r="X1133" i="40"/>
  <c r="W1133" i="40"/>
  <c r="X1132" i="40"/>
  <c r="W1132" i="40"/>
  <c r="X1131" i="40"/>
  <c r="W1131" i="40"/>
  <c r="X1130" i="40"/>
  <c r="W1130" i="40"/>
  <c r="X1129" i="40"/>
  <c r="W1129" i="40"/>
  <c r="X1128" i="40"/>
  <c r="W1128" i="40"/>
  <c r="X1127" i="40"/>
  <c r="W1127" i="40"/>
  <c r="X1126" i="40"/>
  <c r="W1126" i="40"/>
  <c r="X1125" i="40"/>
  <c r="W1125" i="40"/>
  <c r="X1124" i="40"/>
  <c r="W1124" i="40"/>
  <c r="X1123" i="40"/>
  <c r="W1123" i="40"/>
  <c r="X1122" i="40"/>
  <c r="W1122" i="40"/>
  <c r="X1121" i="40"/>
  <c r="W1121" i="40"/>
  <c r="X1120" i="40"/>
  <c r="W1120" i="40"/>
  <c r="X1119" i="40"/>
  <c r="W1119" i="40"/>
  <c r="X1118" i="40"/>
  <c r="W1118" i="40"/>
  <c r="X1117" i="40"/>
  <c r="W1117" i="40"/>
  <c r="X1116" i="40"/>
  <c r="W1116" i="40"/>
  <c r="X1115" i="40"/>
  <c r="W1115" i="40"/>
  <c r="X1114" i="40"/>
  <c r="W1114" i="40"/>
  <c r="X1113" i="40"/>
  <c r="W1113" i="40"/>
  <c r="X1112" i="40"/>
  <c r="W1112" i="40"/>
  <c r="X1111" i="40"/>
  <c r="W1111" i="40"/>
  <c r="X1110" i="40"/>
  <c r="W1110" i="40"/>
  <c r="X1109" i="40"/>
  <c r="W1109" i="40"/>
  <c r="X1108" i="40"/>
  <c r="W1108" i="40"/>
  <c r="X1107" i="40"/>
  <c r="W1107" i="40"/>
  <c r="X1102" i="40"/>
  <c r="W1102" i="40"/>
  <c r="X1101" i="40"/>
  <c r="W1101" i="40"/>
  <c r="X1100" i="40"/>
  <c r="W1100" i="40"/>
  <c r="X1099" i="40"/>
  <c r="W1099" i="40"/>
  <c r="X1094" i="40"/>
  <c r="W1094" i="40"/>
  <c r="V1102" i="40"/>
  <c r="V1101" i="40"/>
  <c r="V1100" i="40"/>
  <c r="V1099" i="40"/>
  <c r="V1094" i="40"/>
  <c r="T1102" i="40"/>
  <c r="Q1102" i="40"/>
  <c r="O1102" i="40"/>
  <c r="M1102" i="40"/>
  <c r="T1101" i="40"/>
  <c r="Q1101" i="40"/>
  <c r="O1101" i="40"/>
  <c r="M1101" i="40"/>
  <c r="T1100" i="40"/>
  <c r="Q1100" i="40"/>
  <c r="O1100" i="40"/>
  <c r="M1100" i="40"/>
  <c r="T1099" i="40"/>
  <c r="Q1099" i="40"/>
  <c r="O1099" i="40"/>
  <c r="M1099" i="40"/>
  <c r="T1094" i="40"/>
  <c r="Q1094" i="40"/>
  <c r="O1094" i="40"/>
  <c r="M1094" i="40"/>
  <c r="I1102" i="40"/>
  <c r="I1101" i="40"/>
  <c r="I1100" i="40"/>
  <c r="I1099" i="40"/>
  <c r="I1094" i="40"/>
  <c r="G1102" i="40"/>
  <c r="G1101" i="40"/>
  <c r="G1100" i="40"/>
  <c r="G1099" i="40"/>
  <c r="G1094" i="40"/>
  <c r="X1093" i="40"/>
  <c r="W1093" i="40"/>
  <c r="V1093" i="40"/>
  <c r="U1093" i="40"/>
  <c r="T1093" i="40"/>
  <c r="S1093" i="40"/>
  <c r="R1093" i="40"/>
  <c r="Q1093" i="40"/>
  <c r="P1093" i="40"/>
  <c r="O1093" i="40"/>
  <c r="N1093" i="40"/>
  <c r="M1093" i="40"/>
  <c r="L1093" i="40"/>
  <c r="K1093" i="40"/>
  <c r="I1093" i="40"/>
  <c r="H1093" i="40"/>
  <c r="G1093" i="40"/>
  <c r="F1093" i="40"/>
  <c r="J1093" i="40"/>
  <c r="J1092" i="40"/>
  <c r="X589" i="40"/>
  <c r="W589" i="40"/>
  <c r="V589" i="40"/>
  <c r="U589" i="40"/>
  <c r="T589" i="40"/>
  <c r="Q589" i="40"/>
  <c r="O589" i="40"/>
  <c r="M589" i="40"/>
  <c r="X572" i="40"/>
  <c r="W572" i="40"/>
  <c r="V572" i="40"/>
  <c r="U572" i="40"/>
  <c r="T572" i="40"/>
  <c r="Q572" i="40"/>
  <c r="O572" i="40"/>
  <c r="M572" i="40"/>
  <c r="X567" i="40"/>
  <c r="W567" i="40"/>
  <c r="V567" i="40"/>
  <c r="U567" i="40"/>
  <c r="T567" i="40"/>
  <c r="Q567" i="40"/>
  <c r="O567" i="40"/>
  <c r="M567" i="40"/>
  <c r="X566" i="40"/>
  <c r="W566" i="40"/>
  <c r="V566" i="40"/>
  <c r="U566" i="40"/>
  <c r="T566" i="40"/>
  <c r="Q566" i="40"/>
  <c r="O566" i="40"/>
  <c r="M566" i="40"/>
  <c r="X565" i="40"/>
  <c r="W565" i="40"/>
  <c r="V565" i="40"/>
  <c r="U565" i="40"/>
  <c r="T565" i="40"/>
  <c r="Q565" i="40"/>
  <c r="O565" i="40"/>
  <c r="M565" i="40"/>
  <c r="X488" i="40"/>
  <c r="W488" i="40"/>
  <c r="U488" i="40"/>
  <c r="T488" i="40"/>
  <c r="Q488" i="40"/>
  <c r="O488" i="40"/>
  <c r="M488" i="40"/>
  <c r="X487" i="40"/>
  <c r="W487" i="40"/>
  <c r="U487" i="40"/>
  <c r="T487" i="40"/>
  <c r="Q487" i="40"/>
  <c r="O487" i="40"/>
  <c r="M487" i="40"/>
  <c r="X481" i="40"/>
  <c r="W481" i="40"/>
  <c r="U481" i="40"/>
  <c r="T481" i="40"/>
  <c r="O481" i="40"/>
  <c r="M481" i="40"/>
  <c r="X475" i="40"/>
  <c r="W475" i="40"/>
  <c r="U475" i="40"/>
  <c r="T475" i="40"/>
  <c r="O475" i="40"/>
  <c r="M475" i="40"/>
  <c r="X474" i="40"/>
  <c r="W474" i="40"/>
  <c r="U474" i="40"/>
  <c r="T474" i="40"/>
  <c r="O474" i="40"/>
  <c r="M474" i="40"/>
  <c r="X473" i="40"/>
  <c r="W473" i="40"/>
  <c r="U473" i="40"/>
  <c r="T473" i="40"/>
  <c r="Q473" i="40"/>
  <c r="O473" i="40"/>
  <c r="M473" i="40"/>
  <c r="X472" i="40"/>
  <c r="W472" i="40"/>
  <c r="U472" i="40"/>
  <c r="T472" i="40"/>
  <c r="Q472" i="40"/>
  <c r="O472" i="40"/>
  <c r="M472" i="40"/>
  <c r="X470" i="40"/>
  <c r="W470" i="40"/>
  <c r="U470" i="40"/>
  <c r="T470" i="40"/>
  <c r="Q470" i="40"/>
  <c r="M470" i="40"/>
  <c r="AJ489" i="40" s="1"/>
  <c r="AJ495" i="40" s="1"/>
  <c r="AJ501" i="40" s="1"/>
  <c r="AJ507" i="40" s="1"/>
  <c r="X469" i="40"/>
  <c r="W469" i="40"/>
  <c r="U469" i="40"/>
  <c r="T469" i="40"/>
  <c r="Q469" i="40"/>
  <c r="O469" i="40"/>
  <c r="M469" i="40"/>
  <c r="W12" i="40"/>
  <c r="Q12" i="40"/>
  <c r="AA12" i="40" s="1"/>
  <c r="X11" i="40"/>
  <c r="W11" i="40"/>
  <c r="Q11" i="40"/>
  <c r="X10" i="40"/>
  <c r="W10" i="40"/>
  <c r="U10" i="40"/>
  <c r="T10" i="40"/>
  <c r="Q10" i="40"/>
  <c r="O10" i="40"/>
  <c r="I565" i="40"/>
  <c r="G565" i="40"/>
  <c r="AD565" i="40" s="1"/>
  <c r="X564" i="40"/>
  <c r="W564" i="40"/>
  <c r="V564" i="40"/>
  <c r="U564" i="40"/>
  <c r="T564" i="40"/>
  <c r="Q564" i="40"/>
  <c r="O564" i="40"/>
  <c r="M564" i="40"/>
  <c r="I564" i="40"/>
  <c r="G564" i="40"/>
  <c r="AC564" i="40" s="1"/>
  <c r="J562" i="40"/>
  <c r="X563" i="40"/>
  <c r="W563" i="40"/>
  <c r="V563" i="40"/>
  <c r="U563" i="40"/>
  <c r="T563" i="40"/>
  <c r="S563" i="40"/>
  <c r="R563" i="40"/>
  <c r="Q563" i="40"/>
  <c r="P563" i="40"/>
  <c r="O563" i="40"/>
  <c r="N563" i="40"/>
  <c r="M563" i="40"/>
  <c r="L563" i="40"/>
  <c r="K563" i="40"/>
  <c r="J563" i="40"/>
  <c r="I563" i="40"/>
  <c r="H563" i="40"/>
  <c r="G563" i="40"/>
  <c r="F563" i="40"/>
  <c r="J466" i="40"/>
  <c r="K467" i="40"/>
  <c r="J467" i="40"/>
  <c r="I467" i="40"/>
  <c r="H467" i="40"/>
  <c r="G467" i="40"/>
  <c r="T467" i="40"/>
  <c r="S467" i="40"/>
  <c r="R467" i="40"/>
  <c r="Q467" i="40"/>
  <c r="P467" i="40"/>
  <c r="O467" i="40"/>
  <c r="N467" i="40"/>
  <c r="M467" i="40"/>
  <c r="L467" i="40"/>
  <c r="F467" i="40"/>
  <c r="X468" i="40"/>
  <c r="W468" i="40"/>
  <c r="U468" i="40"/>
  <c r="T468" i="40"/>
  <c r="Q468" i="40"/>
  <c r="O468" i="40"/>
  <c r="M468" i="40"/>
  <c r="X8" i="40"/>
  <c r="W8" i="40"/>
  <c r="I468" i="40"/>
  <c r="Q1507" i="40"/>
  <c r="Q8" i="40"/>
  <c r="M8" i="40"/>
  <c r="G8" i="40"/>
  <c r="AA8" i="40" s="1"/>
  <c r="I8" i="40"/>
  <c r="T8" i="40"/>
  <c r="O8" i="40"/>
  <c r="AI572" i="40" l="1"/>
  <c r="AI590" i="40" s="1"/>
  <c r="AI602" i="40" s="1"/>
  <c r="AI628" i="40" s="1"/>
  <c r="AI640" i="40" s="1"/>
  <c r="AI660" i="40" s="1"/>
  <c r="AI685" i="40" s="1"/>
  <c r="AI691" i="40" s="1"/>
  <c r="AI719" i="40" s="1"/>
  <c r="AA572" i="40"/>
  <c r="AI39" i="40"/>
  <c r="AI64" i="40" s="1"/>
  <c r="AI111" i="40" s="1"/>
  <c r="AI140" i="40" s="1"/>
  <c r="AI210" i="40" s="1"/>
  <c r="AI244" i="40" s="1"/>
  <c r="AI276" i="40" s="1"/>
  <c r="AI308" i="40" s="1"/>
  <c r="AI329" i="40" s="1"/>
  <c r="AI358" i="40" s="1"/>
  <c r="AI407" i="40" s="1"/>
  <c r="AI461" i="40" s="1"/>
  <c r="AI463" i="40" s="1"/>
  <c r="DI487" i="40"/>
  <c r="DP487" i="40"/>
  <c r="DN487" i="40"/>
  <c r="DK487" i="40"/>
  <c r="DO487" i="40"/>
  <c r="DJ487" i="40"/>
  <c r="DM487" i="40"/>
  <c r="DL487" i="40"/>
  <c r="DH487" i="40"/>
  <c r="DG487" i="40"/>
  <c r="DE487" i="40"/>
  <c r="DF487" i="40"/>
  <c r="DD487" i="40"/>
  <c r="DB487" i="40"/>
  <c r="CZ487" i="40"/>
  <c r="CX487" i="40"/>
  <c r="DC487" i="40"/>
  <c r="DA487" i="40"/>
  <c r="CY487" i="40"/>
  <c r="CR487" i="40"/>
  <c r="CS487" i="40"/>
  <c r="CU487" i="40"/>
  <c r="CV487" i="40"/>
  <c r="CW487" i="40"/>
  <c r="CT487" i="40"/>
  <c r="CL487" i="40"/>
  <c r="CP487" i="40"/>
  <c r="CO487" i="40"/>
  <c r="CN487" i="40"/>
  <c r="CM487" i="40"/>
  <c r="CQ487" i="40"/>
  <c r="CH487" i="40"/>
  <c r="CF487" i="40"/>
  <c r="CG487" i="40"/>
  <c r="CJ487" i="40"/>
  <c r="CK487" i="40"/>
  <c r="CI487" i="40"/>
  <c r="CC487" i="40"/>
  <c r="BZ487" i="40"/>
  <c r="CE487" i="40"/>
  <c r="CB487" i="40"/>
  <c r="CD487" i="40"/>
  <c r="CA487" i="40"/>
  <c r="BY487" i="40"/>
  <c r="BX487" i="40"/>
  <c r="BU487" i="40"/>
  <c r="BP487" i="40"/>
  <c r="BM487" i="40"/>
  <c r="BW487" i="40"/>
  <c r="BT487" i="40"/>
  <c r="BS487" i="40"/>
  <c r="BO487" i="40"/>
  <c r="BN487" i="40"/>
  <c r="BR487" i="40"/>
  <c r="BV487" i="40"/>
  <c r="BQ487" i="40"/>
  <c r="BG487" i="40"/>
  <c r="BI487" i="40"/>
  <c r="BH487" i="40"/>
  <c r="BJ487" i="40"/>
  <c r="BK487" i="40"/>
  <c r="BL487" i="40"/>
  <c r="BF487" i="40"/>
  <c r="AZ487" i="40"/>
  <c r="AY487" i="40"/>
  <c r="BD487" i="40"/>
  <c r="BC487" i="40"/>
  <c r="AX487" i="40"/>
  <c r="BE487" i="40"/>
  <c r="BB487" i="40"/>
  <c r="BA487" i="40"/>
  <c r="AV487" i="40"/>
  <c r="AW487" i="40"/>
  <c r="AT487" i="40"/>
  <c r="AU487" i="40"/>
  <c r="AS487" i="40"/>
  <c r="AR487" i="40"/>
  <c r="AN487" i="40"/>
  <c r="AO487" i="40"/>
  <c r="AP487" i="40"/>
  <c r="AQ487" i="40"/>
  <c r="AM487" i="40"/>
  <c r="AL487" i="40"/>
  <c r="DJ473" i="40"/>
  <c r="DO473" i="40"/>
  <c r="DI473" i="40"/>
  <c r="DP473" i="40"/>
  <c r="DK473" i="40"/>
  <c r="DL473" i="40"/>
  <c r="DN473" i="40"/>
  <c r="DM473" i="40"/>
  <c r="DH473" i="40"/>
  <c r="DE473" i="40"/>
  <c r="DF473" i="40"/>
  <c r="DD473" i="40"/>
  <c r="DG473" i="40"/>
  <c r="CZ473" i="40"/>
  <c r="DC473" i="40"/>
  <c r="CY473" i="40"/>
  <c r="CX473" i="40"/>
  <c r="DB473" i="40"/>
  <c r="DA473" i="40"/>
  <c r="CT473" i="40"/>
  <c r="CW473" i="40"/>
  <c r="CR473" i="40"/>
  <c r="CS473" i="40"/>
  <c r="CV473" i="40"/>
  <c r="CU473" i="40"/>
  <c r="CL473" i="40"/>
  <c r="CO473" i="40"/>
  <c r="CP473" i="40"/>
  <c r="CM473" i="40"/>
  <c r="CN473" i="40"/>
  <c r="CQ473" i="40"/>
  <c r="CJ473" i="40"/>
  <c r="CF473" i="40"/>
  <c r="CG473" i="40"/>
  <c r="CK473" i="40"/>
  <c r="CH473" i="40"/>
  <c r="CI473" i="40"/>
  <c r="CA473" i="40"/>
  <c r="CC473" i="40"/>
  <c r="CD473" i="40"/>
  <c r="CB473" i="40"/>
  <c r="BZ473" i="40"/>
  <c r="CE473" i="40"/>
  <c r="BY473" i="40"/>
  <c r="BM473" i="40"/>
  <c r="BU473" i="40"/>
  <c r="BR473" i="40"/>
  <c r="BO473" i="40"/>
  <c r="BV473" i="40"/>
  <c r="BS473" i="40"/>
  <c r="BT473" i="40"/>
  <c r="BN473" i="40"/>
  <c r="BX473" i="40"/>
  <c r="BQ473" i="40"/>
  <c r="BW473" i="40"/>
  <c r="BP473" i="40"/>
  <c r="BJ473" i="40"/>
  <c r="BF473" i="40"/>
  <c r="BI473" i="40"/>
  <c r="BL473" i="40"/>
  <c r="BG473" i="40"/>
  <c r="BK473" i="40"/>
  <c r="BH473" i="40"/>
  <c r="AX473" i="40"/>
  <c r="BB473" i="40"/>
  <c r="BD473" i="40"/>
  <c r="AY473" i="40"/>
  <c r="BC473" i="40"/>
  <c r="BE473" i="40"/>
  <c r="AZ473" i="40"/>
  <c r="BA473" i="40"/>
  <c r="AV473" i="40"/>
  <c r="AW473" i="40"/>
  <c r="AS473" i="40"/>
  <c r="AT473" i="40"/>
  <c r="AU473" i="40"/>
  <c r="AR473" i="40"/>
  <c r="AN473" i="40"/>
  <c r="AO473" i="40"/>
  <c r="AM473" i="40"/>
  <c r="AL473" i="40"/>
  <c r="AP473" i="40"/>
  <c r="AQ473" i="40"/>
  <c r="DJ472" i="40"/>
  <c r="DM472" i="40"/>
  <c r="DK472" i="40"/>
  <c r="DP472" i="40"/>
  <c r="DO472" i="40"/>
  <c r="DN472" i="40"/>
  <c r="DI472" i="40"/>
  <c r="DL472" i="40"/>
  <c r="DH472" i="40"/>
  <c r="DE472" i="40"/>
  <c r="DG472" i="40"/>
  <c r="DF472" i="40"/>
  <c r="DD472" i="40"/>
  <c r="CZ472" i="40"/>
  <c r="DC472" i="40"/>
  <c r="CY472" i="40"/>
  <c r="DA472" i="40"/>
  <c r="DB472" i="40"/>
  <c r="CX472" i="40"/>
  <c r="CR472" i="40"/>
  <c r="CW472" i="40"/>
  <c r="CS472" i="40"/>
  <c r="CT472" i="40"/>
  <c r="CU472" i="40"/>
  <c r="CV472" i="40"/>
  <c r="CN472" i="40"/>
  <c r="CM472" i="40"/>
  <c r="CO472" i="40"/>
  <c r="CQ472" i="40"/>
  <c r="CL472" i="40"/>
  <c r="CP472" i="40"/>
  <c r="CI472" i="40"/>
  <c r="CH472" i="40"/>
  <c r="CG472" i="40"/>
  <c r="CJ472" i="40"/>
  <c r="CF472" i="40"/>
  <c r="CK472" i="40"/>
  <c r="CC472" i="40"/>
  <c r="CD472" i="40"/>
  <c r="CB472" i="40"/>
  <c r="CE472" i="40"/>
  <c r="BZ472" i="40"/>
  <c r="CA472" i="40"/>
  <c r="BY472" i="40"/>
  <c r="BP472" i="40"/>
  <c r="BR472" i="40"/>
  <c r="BM472" i="40"/>
  <c r="BW472" i="40"/>
  <c r="BQ472" i="40"/>
  <c r="BO472" i="40"/>
  <c r="BV472" i="40"/>
  <c r="BS472" i="40"/>
  <c r="BN472" i="40"/>
  <c r="BT472" i="40"/>
  <c r="BU472" i="40"/>
  <c r="BX472" i="40"/>
  <c r="BG472" i="40"/>
  <c r="BL472" i="40"/>
  <c r="BJ472" i="40"/>
  <c r="BK472" i="40"/>
  <c r="BF472" i="40"/>
  <c r="BI472" i="40"/>
  <c r="BH472" i="40"/>
  <c r="AY472" i="40"/>
  <c r="AX472" i="40"/>
  <c r="BA472" i="40"/>
  <c r="BB472" i="40"/>
  <c r="BE472" i="40"/>
  <c r="BD472" i="40"/>
  <c r="BC472" i="40"/>
  <c r="AZ472" i="40"/>
  <c r="AS472" i="40"/>
  <c r="AV472" i="40"/>
  <c r="AT472" i="40"/>
  <c r="AU472" i="40"/>
  <c r="AW472" i="40"/>
  <c r="AR472" i="40"/>
  <c r="AO472" i="40"/>
  <c r="AN472" i="40"/>
  <c r="AQ472" i="40"/>
  <c r="AL472" i="40"/>
  <c r="AP472" i="40"/>
  <c r="AM472" i="40"/>
  <c r="DK470" i="40"/>
  <c r="DN470" i="40"/>
  <c r="DM470" i="40"/>
  <c r="DL470" i="40"/>
  <c r="DI470" i="40"/>
  <c r="DJ470" i="40"/>
  <c r="DP470" i="40"/>
  <c r="DO470" i="40"/>
  <c r="DH470" i="40"/>
  <c r="DD470" i="40"/>
  <c r="DF470" i="40"/>
  <c r="DE470" i="40"/>
  <c r="DG470" i="40"/>
  <c r="DB470" i="40"/>
  <c r="CX470" i="40"/>
  <c r="CZ470" i="40"/>
  <c r="DC470" i="40"/>
  <c r="CY470" i="40"/>
  <c r="DA470" i="40"/>
  <c r="CU470" i="40"/>
  <c r="CV470" i="40"/>
  <c r="CT470" i="40"/>
  <c r="CW470" i="40"/>
  <c r="CR470" i="40"/>
  <c r="CS470" i="40"/>
  <c r="CL470" i="40"/>
  <c r="CO470" i="40"/>
  <c r="CP470" i="40"/>
  <c r="CN470" i="40"/>
  <c r="CQ470" i="40"/>
  <c r="CM470" i="40"/>
  <c r="CK470" i="40"/>
  <c r="CF470" i="40"/>
  <c r="CJ470" i="40"/>
  <c r="CH470" i="40"/>
  <c r="CG470" i="40"/>
  <c r="CI470" i="40"/>
  <c r="CE470" i="40"/>
  <c r="BZ470" i="40"/>
  <c r="CC470" i="40"/>
  <c r="CD470" i="40"/>
  <c r="CB470" i="40"/>
  <c r="CA470" i="40"/>
  <c r="BY470" i="40"/>
  <c r="BN470" i="40"/>
  <c r="BT470" i="40"/>
  <c r="BU470" i="40"/>
  <c r="BW470" i="40"/>
  <c r="BO470" i="40"/>
  <c r="BX470" i="40"/>
  <c r="BM470" i="40"/>
  <c r="BQ470" i="40"/>
  <c r="BP470" i="40"/>
  <c r="BR470" i="40"/>
  <c r="BV470" i="40"/>
  <c r="BS470" i="40"/>
  <c r="BI470" i="40"/>
  <c r="BK470" i="40"/>
  <c r="BG470" i="40"/>
  <c r="BH470" i="40"/>
  <c r="BL470" i="40"/>
  <c r="BF470" i="40"/>
  <c r="BJ470" i="40"/>
  <c r="BB470" i="40"/>
  <c r="BA470" i="40"/>
  <c r="AZ470" i="40"/>
  <c r="BC470" i="40"/>
  <c r="BD470" i="40"/>
  <c r="BE470" i="40"/>
  <c r="AX470" i="40"/>
  <c r="AY470" i="40"/>
  <c r="AU470" i="40"/>
  <c r="AW470" i="40"/>
  <c r="AV470" i="40"/>
  <c r="AS470" i="40"/>
  <c r="AT470" i="40"/>
  <c r="AR470" i="40"/>
  <c r="AO470" i="40"/>
  <c r="AN470" i="40"/>
  <c r="AP470" i="40"/>
  <c r="AQ470" i="40"/>
  <c r="AM470" i="40"/>
  <c r="AL470" i="40"/>
  <c r="M1149" i="40"/>
  <c r="U489" i="40"/>
  <c r="X2168" i="40"/>
  <c r="W2168" i="40"/>
  <c r="Q2168" i="40"/>
  <c r="T2168" i="40"/>
  <c r="U2168" i="40"/>
  <c r="V2168" i="40"/>
  <c r="X1507" i="40"/>
  <c r="U2121" i="40"/>
  <c r="W2121" i="40"/>
  <c r="X2121" i="40"/>
  <c r="U2117" i="40"/>
  <c r="W2117" i="40"/>
  <c r="X2117" i="40"/>
  <c r="V2117" i="40"/>
  <c r="X2119" i="40"/>
  <c r="W2119" i="40"/>
  <c r="V2121" i="40"/>
  <c r="U2119" i="40"/>
  <c r="Q2119" i="40"/>
  <c r="V2119" i="40"/>
  <c r="T2119" i="40"/>
  <c r="Q2117" i="40"/>
  <c r="Q2121" i="40"/>
  <c r="T2117" i="40"/>
  <c r="T2121" i="40"/>
  <c r="O1507" i="40"/>
  <c r="O1734" i="40"/>
  <c r="W1734" i="40"/>
  <c r="J1736" i="40"/>
  <c r="X1734" i="40"/>
  <c r="Q39" i="40"/>
  <c r="M39" i="40"/>
  <c r="V1507" i="40"/>
  <c r="M1507" i="40"/>
  <c r="M1734" i="40"/>
  <c r="G1507" i="40"/>
  <c r="AB1507" i="40" s="1"/>
  <c r="I1507" i="40"/>
  <c r="CT489" i="40" l="1"/>
  <c r="CT495" i="40" s="1"/>
  <c r="AY489" i="40"/>
  <c r="AY495" i="40" s="1"/>
  <c r="AY501" i="40" s="1"/>
  <c r="AY507" i="40" s="1"/>
  <c r="DI489" i="40"/>
  <c r="DI495" i="40" s="1"/>
  <c r="DC489" i="40"/>
  <c r="DC495" i="40" s="1"/>
  <c r="CY489" i="40"/>
  <c r="CY495" i="40" s="1"/>
  <c r="AQ489" i="40"/>
  <c r="AQ495" i="40" s="1"/>
  <c r="AQ501" i="40" s="1"/>
  <c r="AQ507" i="40" s="1"/>
  <c r="AW489" i="40"/>
  <c r="AW495" i="40" s="1"/>
  <c r="AW501" i="40" s="1"/>
  <c r="AW507" i="40" s="1"/>
  <c r="CF489" i="40"/>
  <c r="CF495" i="40" s="1"/>
  <c r="CF501" i="40" s="1"/>
  <c r="CF507" i="40" s="1"/>
  <c r="BI489" i="40"/>
  <c r="BI495" i="40" s="1"/>
  <c r="BI501" i="40" s="1"/>
  <c r="BI507" i="40" s="1"/>
  <c r="BB489" i="40"/>
  <c r="BB495" i="40" s="1"/>
  <c r="BB501" i="40" s="1"/>
  <c r="BB507" i="40" s="1"/>
  <c r="CB489" i="40"/>
  <c r="CB495" i="40" s="1"/>
  <c r="CB501" i="40" s="1"/>
  <c r="CB507" i="40" s="1"/>
  <c r="BT489" i="40"/>
  <c r="BT495" i="40" s="1"/>
  <c r="BT501" i="40" s="1"/>
  <c r="BT507" i="40" s="1"/>
  <c r="CL489" i="40"/>
  <c r="CL495" i="40" s="1"/>
  <c r="CL501" i="40" s="1"/>
  <c r="CL507" i="40" s="1"/>
  <c r="AL590" i="40"/>
  <c r="AL602" i="40" s="1"/>
  <c r="AL628" i="40" s="1"/>
  <c r="AL640" i="40" s="1"/>
  <c r="AL660" i="40" s="1"/>
  <c r="AL685" i="40" s="1"/>
  <c r="AL691" i="40" s="1"/>
  <c r="AL719" i="40" s="1"/>
  <c r="AL727" i="40" s="1"/>
  <c r="AL735" i="40" s="1"/>
  <c r="AL750" i="40" s="1"/>
  <c r="AL756" i="40" s="1"/>
  <c r="AL758" i="40" s="1"/>
  <c r="AU489" i="40"/>
  <c r="AU495" i="40" s="1"/>
  <c r="AU501" i="40" s="1"/>
  <c r="AU507" i="40" s="1"/>
  <c r="CZ489" i="40"/>
  <c r="CZ495" i="40" s="1"/>
  <c r="DH489" i="40"/>
  <c r="DH495" i="40" s="1"/>
  <c r="BZ489" i="40"/>
  <c r="BZ495" i="40" s="1"/>
  <c r="BZ501" i="40" s="1"/>
  <c r="BZ507" i="40" s="1"/>
  <c r="AS489" i="40"/>
  <c r="AS495" i="40" s="1"/>
  <c r="AS501" i="40" s="1"/>
  <c r="AS507" i="40" s="1"/>
  <c r="CP489" i="40"/>
  <c r="CP495" i="40" s="1"/>
  <c r="AL489" i="40"/>
  <c r="AL495" i="40" s="1"/>
  <c r="AL501" i="40" s="1"/>
  <c r="AL507" i="40" s="1"/>
  <c r="AL520" i="40" s="1"/>
  <c r="AL525" i="40" s="1"/>
  <c r="AL531" i="40" s="1"/>
  <c r="AL536" i="40" s="1"/>
  <c r="AL541" i="40" s="1"/>
  <c r="AL546" i="40" s="1"/>
  <c r="AL551" i="40" s="1"/>
  <c r="AL556" i="40" s="1"/>
  <c r="BC489" i="40"/>
  <c r="BC495" i="40" s="1"/>
  <c r="BC501" i="40" s="1"/>
  <c r="BC507" i="40" s="1"/>
  <c r="DA489" i="40"/>
  <c r="DA495" i="40" s="1"/>
  <c r="CD489" i="40"/>
  <c r="CD495" i="40" s="1"/>
  <c r="CD501" i="40" s="1"/>
  <c r="CD507" i="40" s="1"/>
  <c r="CK489" i="40"/>
  <c r="CK495" i="40" s="1"/>
  <c r="CK501" i="40" s="1"/>
  <c r="CK507" i="40" s="1"/>
  <c r="DO489" i="40"/>
  <c r="DO495" i="40" s="1"/>
  <c r="AX489" i="40"/>
  <c r="AX495" i="40" s="1"/>
  <c r="AX501" i="40" s="1"/>
  <c r="AX507" i="40" s="1"/>
  <c r="BF489" i="40"/>
  <c r="BF495" i="40" s="1"/>
  <c r="BF501" i="40" s="1"/>
  <c r="BF507" i="40" s="1"/>
  <c r="BP489" i="40"/>
  <c r="BP495" i="40" s="1"/>
  <c r="BP501" i="40" s="1"/>
  <c r="BP507" i="40" s="1"/>
  <c r="CV489" i="40"/>
  <c r="CV495" i="40" s="1"/>
  <c r="BD489" i="40"/>
  <c r="BD495" i="40" s="1"/>
  <c r="BD501" i="40" s="1"/>
  <c r="BD507" i="40" s="1"/>
  <c r="BX489" i="40"/>
  <c r="BX495" i="40" s="1"/>
  <c r="BX501" i="40" s="1"/>
  <c r="BX507" i="40" s="1"/>
  <c r="CJ489" i="40"/>
  <c r="CJ495" i="40" s="1"/>
  <c r="CJ501" i="40" s="1"/>
  <c r="CJ507" i="40" s="1"/>
  <c r="DD489" i="40"/>
  <c r="DD495" i="40" s="1"/>
  <c r="CM489" i="40"/>
  <c r="CM495" i="40" s="1"/>
  <c r="CM501" i="40" s="1"/>
  <c r="CM507" i="40" s="1"/>
  <c r="BA489" i="40"/>
  <c r="BA495" i="40" s="1"/>
  <c r="BA501" i="40" s="1"/>
  <c r="BA507" i="40" s="1"/>
  <c r="BO489" i="40"/>
  <c r="BO495" i="40" s="1"/>
  <c r="BO501" i="40" s="1"/>
  <c r="BO507" i="40" s="1"/>
  <c r="CS489" i="40"/>
  <c r="CS495" i="40" s="1"/>
  <c r="DK489" i="40"/>
  <c r="DK495" i="40" s="1"/>
  <c r="AO489" i="40"/>
  <c r="AO495" i="40" s="1"/>
  <c r="AO501" i="40" s="1"/>
  <c r="AO507" i="40" s="1"/>
  <c r="BV489" i="40"/>
  <c r="BV495" i="40" s="1"/>
  <c r="BV501" i="40" s="1"/>
  <c r="BV507" i="40" s="1"/>
  <c r="DB489" i="40"/>
  <c r="DB495" i="40" s="1"/>
  <c r="DJ489" i="40"/>
  <c r="DJ495" i="40" s="1"/>
  <c r="AR489" i="40"/>
  <c r="AR495" i="40" s="1"/>
  <c r="AR501" i="40" s="1"/>
  <c r="AR507" i="40" s="1"/>
  <c r="BL489" i="40"/>
  <c r="BL495" i="40" s="1"/>
  <c r="BL501" i="40" s="1"/>
  <c r="BL507" i="40" s="1"/>
  <c r="BN489" i="40"/>
  <c r="BN495" i="40" s="1"/>
  <c r="BN501" i="40" s="1"/>
  <c r="BN507" i="40" s="1"/>
  <c r="CI489" i="40"/>
  <c r="CI495" i="40" s="1"/>
  <c r="CI501" i="40" s="1"/>
  <c r="CI507" i="40" s="1"/>
  <c r="CN489" i="40"/>
  <c r="CN495" i="40" s="1"/>
  <c r="CN501" i="40" s="1"/>
  <c r="CN507" i="40" s="1"/>
  <c r="DG489" i="40"/>
  <c r="DG495" i="40" s="1"/>
  <c r="BU489" i="40"/>
  <c r="BU495" i="40" s="1"/>
  <c r="BU501" i="40" s="1"/>
  <c r="BU507" i="40" s="1"/>
  <c r="AT489" i="40"/>
  <c r="AT495" i="40" s="1"/>
  <c r="AT501" i="40" s="1"/>
  <c r="AT507" i="40" s="1"/>
  <c r="CG489" i="40"/>
  <c r="CG495" i="40" s="1"/>
  <c r="CG501" i="40" s="1"/>
  <c r="CG507" i="40" s="1"/>
  <c r="CU489" i="40"/>
  <c r="CU495" i="40" s="1"/>
  <c r="DE489" i="40"/>
  <c r="DE495" i="40" s="1"/>
  <c r="BJ489" i="40"/>
  <c r="BJ495" i="40" s="1"/>
  <c r="BJ501" i="40" s="1"/>
  <c r="BJ507" i="40" s="1"/>
  <c r="BG489" i="40"/>
  <c r="BG495" i="40" s="1"/>
  <c r="BG501" i="40" s="1"/>
  <c r="BG507" i="40" s="1"/>
  <c r="CA489" i="40"/>
  <c r="CA495" i="40" s="1"/>
  <c r="CA501" i="40" s="1"/>
  <c r="CA507" i="40" s="1"/>
  <c r="DM489" i="40"/>
  <c r="DM495" i="40" s="1"/>
  <c r="AP489" i="40"/>
  <c r="AP495" i="40" s="1"/>
  <c r="AP501" i="40" s="1"/>
  <c r="AP507" i="40" s="1"/>
  <c r="BS489" i="40"/>
  <c r="BS495" i="40" s="1"/>
  <c r="BS501" i="40" s="1"/>
  <c r="BS507" i="40" s="1"/>
  <c r="BW489" i="40"/>
  <c r="BW495" i="40" s="1"/>
  <c r="BW501" i="40" s="1"/>
  <c r="BW507" i="40" s="1"/>
  <c r="CC489" i="40"/>
  <c r="CC495" i="40" s="1"/>
  <c r="CC501" i="40" s="1"/>
  <c r="CC507" i="40" s="1"/>
  <c r="CR489" i="40"/>
  <c r="CR495" i="40" s="1"/>
  <c r="DN39" i="40"/>
  <c r="DN64" i="40" s="1"/>
  <c r="DN111" i="40" s="1"/>
  <c r="DN140" i="40" s="1"/>
  <c r="DN210" i="40" s="1"/>
  <c r="DN244" i="40" s="1"/>
  <c r="DN276" i="40" s="1"/>
  <c r="DN308" i="40" s="1"/>
  <c r="DN329" i="40" s="1"/>
  <c r="DN358" i="40" s="1"/>
  <c r="DN407" i="40" s="1"/>
  <c r="DN461" i="40" s="1"/>
  <c r="DN463" i="40" s="1"/>
  <c r="DN831" i="40" s="1"/>
  <c r="DN833" i="40" s="1"/>
  <c r="CW489" i="40"/>
  <c r="CW495" i="40" s="1"/>
  <c r="CX489" i="40"/>
  <c r="CX495" i="40" s="1"/>
  <c r="DP489" i="40"/>
  <c r="DP495" i="40" s="1"/>
  <c r="BR489" i="40"/>
  <c r="BR495" i="40" s="1"/>
  <c r="BR501" i="40" s="1"/>
  <c r="BR507" i="40" s="1"/>
  <c r="CE489" i="40"/>
  <c r="CE495" i="40" s="1"/>
  <c r="CE501" i="40" s="1"/>
  <c r="CE507" i="40" s="1"/>
  <c r="CQ489" i="40"/>
  <c r="CQ495" i="40" s="1"/>
  <c r="DP39" i="40"/>
  <c r="DP64" i="40" s="1"/>
  <c r="DP111" i="40" s="1"/>
  <c r="DP140" i="40" s="1"/>
  <c r="DP210" i="40" s="1"/>
  <c r="DP244" i="40" s="1"/>
  <c r="DP276" i="40" s="1"/>
  <c r="DP308" i="40" s="1"/>
  <c r="DP329" i="40" s="1"/>
  <c r="DP358" i="40" s="1"/>
  <c r="DP407" i="40" s="1"/>
  <c r="DP461" i="40" s="1"/>
  <c r="DP463" i="40" s="1"/>
  <c r="DP831" i="40" s="1"/>
  <c r="DP833" i="40" s="1"/>
  <c r="BE489" i="40"/>
  <c r="BE495" i="40" s="1"/>
  <c r="BE501" i="40" s="1"/>
  <c r="BE507" i="40" s="1"/>
  <c r="DO39" i="40"/>
  <c r="DO64" i="40" s="1"/>
  <c r="DO111" i="40" s="1"/>
  <c r="DO140" i="40" s="1"/>
  <c r="DO210" i="40" s="1"/>
  <c r="DO244" i="40" s="1"/>
  <c r="DO276" i="40" s="1"/>
  <c r="DO308" i="40" s="1"/>
  <c r="DO329" i="40" s="1"/>
  <c r="DO358" i="40" s="1"/>
  <c r="DO407" i="40" s="1"/>
  <c r="DO461" i="40" s="1"/>
  <c r="DO463" i="40" s="1"/>
  <c r="DO831" i="40" s="1"/>
  <c r="DO833" i="40" s="1"/>
  <c r="BH489" i="40"/>
  <c r="BH495" i="40" s="1"/>
  <c r="BH501" i="40" s="1"/>
  <c r="BH507" i="40" s="1"/>
  <c r="BQ489" i="40"/>
  <c r="BQ495" i="40" s="1"/>
  <c r="BQ501" i="40" s="1"/>
  <c r="BQ507" i="40" s="1"/>
  <c r="BY489" i="40"/>
  <c r="BY495" i="40" s="1"/>
  <c r="BY501" i="40" s="1"/>
  <c r="BY507" i="40" s="1"/>
  <c r="DL489" i="40"/>
  <c r="DL495" i="40" s="1"/>
  <c r="AL39" i="40"/>
  <c r="AL64" i="40" s="1"/>
  <c r="AL111" i="40" s="1"/>
  <c r="AL140" i="40" s="1"/>
  <c r="AL210" i="40" s="1"/>
  <c r="AL244" i="40" s="1"/>
  <c r="AL276" i="40" s="1"/>
  <c r="AL308" i="40" s="1"/>
  <c r="AL329" i="40" s="1"/>
  <c r="AL358" i="40" s="1"/>
  <c r="AL407" i="40" s="1"/>
  <c r="AL461" i="40" s="1"/>
  <c r="AL463" i="40" s="1"/>
  <c r="BM489" i="40"/>
  <c r="BM495" i="40" s="1"/>
  <c r="BM501" i="40" s="1"/>
  <c r="BM507" i="40" s="1"/>
  <c r="CH489" i="40"/>
  <c r="CH495" i="40" s="1"/>
  <c r="CH501" i="40" s="1"/>
  <c r="CH507" i="40" s="1"/>
  <c r="CO489" i="40"/>
  <c r="CO495" i="40" s="1"/>
  <c r="DF489" i="40"/>
  <c r="DF495" i="40" s="1"/>
  <c r="AV489" i="40"/>
  <c r="AV495" i="40" s="1"/>
  <c r="AV501" i="40" s="1"/>
  <c r="AV507" i="40" s="1"/>
  <c r="AZ489" i="40"/>
  <c r="AZ495" i="40" s="1"/>
  <c r="AZ501" i="40" s="1"/>
  <c r="AZ507" i="40" s="1"/>
  <c r="BK489" i="40"/>
  <c r="BK495" i="40" s="1"/>
  <c r="BK501" i="40" s="1"/>
  <c r="BK507" i="40" s="1"/>
  <c r="DN489" i="40"/>
  <c r="DN495" i="40" s="1"/>
  <c r="AI727" i="40"/>
  <c r="AI735" i="40" s="1"/>
  <c r="AI750" i="40" s="1"/>
  <c r="AI756" i="40" s="1"/>
  <c r="AI758" i="40" s="1"/>
  <c r="W1736" i="40"/>
  <c r="X1736" i="40"/>
  <c r="V1736" i="40"/>
  <c r="O1736" i="40"/>
  <c r="M1736" i="40"/>
  <c r="G1510" i="40"/>
  <c r="I1510" i="40"/>
  <c r="O1510" i="40"/>
  <c r="M1510" i="40"/>
  <c r="AL558" i="40" l="1"/>
  <c r="AL831" i="40" s="1"/>
  <c r="AL833" i="40" s="1"/>
  <c r="AI831" i="40"/>
  <c r="AI833" i="40" s="1"/>
  <c r="W1510" i="40"/>
  <c r="U8" i="40"/>
  <c r="V1765" i="40"/>
  <c r="T1182" i="40"/>
  <c r="U1102" i="40"/>
  <c r="AB1102" i="40" s="1"/>
  <c r="U1101" i="40"/>
  <c r="AB1101" i="40" s="1"/>
  <c r="AG590" i="40"/>
  <c r="AG602" i="40" s="1"/>
  <c r="AG628" i="40" s="1"/>
  <c r="AG640" i="40" s="1"/>
  <c r="AG660" i="40" s="1"/>
  <c r="AG685" i="40" s="1"/>
  <c r="AG691" i="40" s="1"/>
  <c r="AG719" i="40" s="1"/>
  <c r="AF590" i="40"/>
  <c r="AF602" i="40" s="1"/>
  <c r="AF628" i="40" s="1"/>
  <c r="AF640" i="40" s="1"/>
  <c r="AF660" i="40" s="1"/>
  <c r="AF685" i="40" s="1"/>
  <c r="AF691" i="40" s="1"/>
  <c r="AF719" i="40" s="1"/>
  <c r="AE590" i="40"/>
  <c r="AE602" i="40" s="1"/>
  <c r="AE628" i="40" s="1"/>
  <c r="AE640" i="40" s="1"/>
  <c r="AE660" i="40" s="1"/>
  <c r="AE685" i="40" s="1"/>
  <c r="AE691" i="40" s="1"/>
  <c r="AE719" i="40" s="1"/>
  <c r="AD590" i="40"/>
  <c r="AD602" i="40" s="1"/>
  <c r="AD628" i="40" s="1"/>
  <c r="AD640" i="40" s="1"/>
  <c r="AD660" i="40" s="1"/>
  <c r="AD685" i="40" s="1"/>
  <c r="AD691" i="40" s="1"/>
  <c r="AD719" i="40" s="1"/>
  <c r="F590" i="40"/>
  <c r="AG563" i="40"/>
  <c r="AG489" i="40"/>
  <c r="AG466" i="40"/>
  <c r="AG39" i="40"/>
  <c r="AG64" i="40" s="1"/>
  <c r="AG111" i="40" s="1"/>
  <c r="AF563" i="40"/>
  <c r="AF489" i="40"/>
  <c r="AF466" i="40"/>
  <c r="AF39" i="40"/>
  <c r="AF64" i="40" s="1"/>
  <c r="AF111" i="40" s="1"/>
  <c r="AE563" i="40"/>
  <c r="AE562" i="40"/>
  <c r="AE561" i="40"/>
  <c r="AE489" i="40"/>
  <c r="AE466" i="40"/>
  <c r="AE39" i="40"/>
  <c r="AE64" i="40" s="1"/>
  <c r="AE111" i="40" s="1"/>
  <c r="AD563" i="40"/>
  <c r="AD562" i="40"/>
  <c r="AD561" i="40"/>
  <c r="AD489" i="40"/>
  <c r="AD466" i="40"/>
  <c r="AD39" i="40"/>
  <c r="AD64" i="40" s="1"/>
  <c r="AD111" i="40" s="1"/>
  <c r="AC563" i="40"/>
  <c r="AG727" i="40" l="1"/>
  <c r="AG735" i="40" s="1"/>
  <c r="AG750" i="40" s="1"/>
  <c r="AG756" i="40" s="1"/>
  <c r="AG758" i="40" s="1"/>
  <c r="AD727" i="40"/>
  <c r="AD735" i="40" s="1"/>
  <c r="AD750" i="40" s="1"/>
  <c r="AD756" i="40" s="1"/>
  <c r="AD758" i="40" s="1"/>
  <c r="AE727" i="40"/>
  <c r="AE735" i="40" s="1"/>
  <c r="AE750" i="40" s="1"/>
  <c r="AE756" i="40" s="1"/>
  <c r="AE758" i="40" s="1"/>
  <c r="AF727" i="40"/>
  <c r="AF735" i="40" s="1"/>
  <c r="AF750" i="40" s="1"/>
  <c r="AF756" i="40" s="1"/>
  <c r="AF758" i="40" s="1"/>
  <c r="AG140" i="40"/>
  <c r="AG210" i="40" s="1"/>
  <c r="AG244" i="40" s="1"/>
  <c r="AG276" i="40" s="1"/>
  <c r="AG308" i="40" s="1"/>
  <c r="AG329" i="40" s="1"/>
  <c r="AG358" i="40" s="1"/>
  <c r="AG407" i="40" s="1"/>
  <c r="AG461" i="40" s="1"/>
  <c r="AG463" i="40" s="1"/>
  <c r="AD140" i="40"/>
  <c r="AD210" i="40" s="1"/>
  <c r="AD244" i="40" s="1"/>
  <c r="AD276" i="40" s="1"/>
  <c r="AD308" i="40" s="1"/>
  <c r="AD329" i="40" s="1"/>
  <c r="AD358" i="40" s="1"/>
  <c r="AD407" i="40" s="1"/>
  <c r="AD461" i="40" s="1"/>
  <c r="AD463" i="40" s="1"/>
  <c r="AE140" i="40"/>
  <c r="AE210" i="40" s="1"/>
  <c r="AE244" i="40" s="1"/>
  <c r="AE276" i="40" s="1"/>
  <c r="AE308" i="40" s="1"/>
  <c r="AE329" i="40" s="1"/>
  <c r="AE358" i="40" s="1"/>
  <c r="AE407" i="40" s="1"/>
  <c r="AE461" i="40" s="1"/>
  <c r="AE463" i="40" s="1"/>
  <c r="AF140" i="40"/>
  <c r="AF210" i="40" s="1"/>
  <c r="AF244" i="40" s="1"/>
  <c r="AF276" i="40" s="1"/>
  <c r="AF308" i="40" s="1"/>
  <c r="AF329" i="40" s="1"/>
  <c r="AF358" i="40" s="1"/>
  <c r="AF407" i="40" s="1"/>
  <c r="AF461" i="40" s="1"/>
  <c r="AF463" i="40" s="1"/>
  <c r="X2003" i="40"/>
  <c r="W2003" i="40"/>
  <c r="Q2003" i="40"/>
  <c r="V2003" i="40"/>
  <c r="U2003" i="40"/>
  <c r="T2003" i="40"/>
  <c r="AE495" i="40"/>
  <c r="AE501" i="40" s="1"/>
  <c r="AE507" i="40" s="1"/>
  <c r="AE520" i="40" s="1"/>
  <c r="AD495" i="40"/>
  <c r="AD501" i="40" s="1"/>
  <c r="AD507" i="40" s="1"/>
  <c r="AD520" i="40" s="1"/>
  <c r="AG495" i="40"/>
  <c r="AG501" i="40" s="1"/>
  <c r="AG507" i="40" s="1"/>
  <c r="AG520" i="40" s="1"/>
  <c r="AF495" i="40"/>
  <c r="AF501" i="40" s="1"/>
  <c r="AF507" i="40" s="1"/>
  <c r="AF520" i="40" s="1"/>
  <c r="X1510" i="40"/>
  <c r="U1734" i="40"/>
  <c r="G1734" i="40"/>
  <c r="I1734" i="40"/>
  <c r="V1734" i="40"/>
  <c r="I1988" i="40"/>
  <c r="G1988" i="40"/>
  <c r="V1988" i="40"/>
  <c r="U1988" i="40"/>
  <c r="V1510" i="40"/>
  <c r="T1510" i="40"/>
  <c r="Q1510" i="40"/>
  <c r="AB1510" i="40" s="1"/>
  <c r="AC590" i="40"/>
  <c r="AC602" i="40" s="1"/>
  <c r="AC628" i="40" s="1"/>
  <c r="AC640" i="40" s="1"/>
  <c r="AC660" i="40" s="1"/>
  <c r="AC685" i="40" s="1"/>
  <c r="AC691" i="40" s="1"/>
  <c r="AC719" i="40" s="1"/>
  <c r="AC562" i="40"/>
  <c r="AC561" i="40"/>
  <c r="AC489" i="40"/>
  <c r="AC466" i="40"/>
  <c r="AC39" i="40"/>
  <c r="AC64" i="40" s="1"/>
  <c r="AC111" i="40" s="1"/>
  <c r="O506" i="40"/>
  <c r="T506" i="40"/>
  <c r="U506" i="40"/>
  <c r="V506" i="40"/>
  <c r="W506" i="40"/>
  <c r="X506" i="40"/>
  <c r="F507" i="40"/>
  <c r="I507" i="40"/>
  <c r="L507" i="40"/>
  <c r="P507" i="40"/>
  <c r="AC727" i="40" l="1"/>
  <c r="AC735" i="40" s="1"/>
  <c r="AC750" i="40" s="1"/>
  <c r="AC756" i="40" s="1"/>
  <c r="AC758" i="40" s="1"/>
  <c r="AC140" i="40"/>
  <c r="AC210" i="40" s="1"/>
  <c r="AC244" i="40" s="1"/>
  <c r="AC276" i="40" s="1"/>
  <c r="AC308" i="40" s="1"/>
  <c r="AC329" i="40" s="1"/>
  <c r="AC358" i="40" s="1"/>
  <c r="AC407" i="40" s="1"/>
  <c r="AC461" i="40" s="1"/>
  <c r="AC463" i="40" s="1"/>
  <c r="AF525" i="40"/>
  <c r="AF531" i="40" s="1"/>
  <c r="AF536" i="40" s="1"/>
  <c r="AF541" i="40" s="1"/>
  <c r="AF546" i="40" s="1"/>
  <c r="AE525" i="40"/>
  <c r="AE531" i="40" s="1"/>
  <c r="AE536" i="40" s="1"/>
  <c r="AE541" i="40" s="1"/>
  <c r="AE546" i="40" s="1"/>
  <c r="AE551" i="40" s="1"/>
  <c r="AE556" i="40" s="1"/>
  <c r="AG525" i="40"/>
  <c r="AG531" i="40" s="1"/>
  <c r="AG536" i="40" s="1"/>
  <c r="AG541" i="40" s="1"/>
  <c r="AG546" i="40" s="1"/>
  <c r="AD525" i="40"/>
  <c r="AD531" i="40" s="1"/>
  <c r="AD536" i="40" s="1"/>
  <c r="AD541" i="40" s="1"/>
  <c r="AD546" i="40" s="1"/>
  <c r="AC495" i="40"/>
  <c r="AC501" i="40" s="1"/>
  <c r="AC507" i="40" s="1"/>
  <c r="AC520" i="40" s="1"/>
  <c r="AD551" i="40" l="1"/>
  <c r="AD556" i="40" s="1"/>
  <c r="AD558" i="40"/>
  <c r="AF551" i="40"/>
  <c r="AF556" i="40" s="1"/>
  <c r="AF558" i="40"/>
  <c r="AG551" i="40"/>
  <c r="AG556" i="40" s="1"/>
  <c r="AG558" i="40"/>
  <c r="AE558" i="40"/>
  <c r="AC525" i="40"/>
  <c r="AC531" i="40" s="1"/>
  <c r="AC536" i="40" s="1"/>
  <c r="AC541" i="40" s="1"/>
  <c r="AC546" i="40" s="1"/>
  <c r="AE831" i="40" l="1"/>
  <c r="AE833" i="40" s="1"/>
  <c r="AF831" i="40"/>
  <c r="AF833" i="40" s="1"/>
  <c r="AD831" i="40"/>
  <c r="AD833" i="40" s="1"/>
  <c r="AG831" i="40"/>
  <c r="AG833" i="40" s="1"/>
  <c r="AC551" i="40"/>
  <c r="AC556" i="40" s="1"/>
  <c r="AC558" i="40"/>
  <c r="X1175" i="40"/>
  <c r="W1175" i="40"/>
  <c r="T1175" i="40"/>
  <c r="X1179" i="40"/>
  <c r="W1179" i="40"/>
  <c r="O1179" i="40"/>
  <c r="I1179" i="40"/>
  <c r="AC831" i="40" l="1"/>
  <c r="AC833" i="40" s="1"/>
  <c r="V1179" i="40"/>
  <c r="V1175" i="40"/>
  <c r="T549" i="40" l="1"/>
  <c r="V549" i="40"/>
  <c r="U549" i="40"/>
  <c r="O549" i="40"/>
  <c r="X360" i="40"/>
  <c r="W360" i="40"/>
  <c r="U360" i="40"/>
  <c r="T360" i="40"/>
  <c r="V360" i="40"/>
  <c r="W549" i="40" l="1"/>
  <c r="X549" i="40"/>
  <c r="O360" i="40"/>
  <c r="T356" i="40" l="1"/>
  <c r="O356" i="40"/>
  <c r="U356" i="40"/>
  <c r="V356" i="40"/>
  <c r="X356" i="40" l="1"/>
  <c r="W356" i="40"/>
  <c r="X1171" i="40" l="1"/>
  <c r="W1171" i="40"/>
  <c r="T1171" i="40"/>
  <c r="V1171" i="40" s="1"/>
  <c r="X1180" i="40"/>
  <c r="W1180" i="40"/>
  <c r="O1180" i="40"/>
  <c r="I1180" i="40"/>
  <c r="V539" i="40"/>
  <c r="T539" i="40"/>
  <c r="O320" i="40"/>
  <c r="T317" i="40"/>
  <c r="W315" i="40"/>
  <c r="V317" i="40"/>
  <c r="O310" i="40"/>
  <c r="O318" i="40"/>
  <c r="O316" i="40"/>
  <c r="O315" i="40"/>
  <c r="O313" i="40"/>
  <c r="X318" i="40"/>
  <c r="W318" i="40"/>
  <c r="V318" i="40"/>
  <c r="U318" i="40"/>
  <c r="T318" i="40"/>
  <c r="U317" i="40"/>
  <c r="X316" i="40"/>
  <c r="W316" i="40"/>
  <c r="V316" i="40"/>
  <c r="U316" i="40"/>
  <c r="T316" i="40"/>
  <c r="V315" i="40"/>
  <c r="U315" i="40"/>
  <c r="W539" i="40"/>
  <c r="U539" i="40"/>
  <c r="L541" i="40"/>
  <c r="V1180" i="40" l="1"/>
  <c r="O539" i="40"/>
  <c r="X539" i="40"/>
  <c r="X320" i="40"/>
  <c r="U320" i="40"/>
  <c r="V320" i="40"/>
  <c r="T320" i="40"/>
  <c r="W320" i="40"/>
  <c r="W317" i="40"/>
  <c r="X317" i="40"/>
  <c r="T315" i="40"/>
  <c r="X315" i="40"/>
  <c r="O317" i="40"/>
  <c r="X887" i="40" l="1"/>
  <c r="W887" i="40"/>
  <c r="X885" i="40"/>
  <c r="W885" i="40"/>
  <c r="X883" i="40"/>
  <c r="W883" i="40"/>
  <c r="X881" i="40"/>
  <c r="W881" i="40"/>
  <c r="X879" i="40"/>
  <c r="W879" i="40"/>
  <c r="R888" i="40" l="1"/>
  <c r="R886" i="40"/>
  <c r="R884" i="40"/>
  <c r="V881" i="40"/>
  <c r="V879" i="40"/>
  <c r="P888" i="40"/>
  <c r="O888" i="40"/>
  <c r="I888" i="40"/>
  <c r="U887" i="40"/>
  <c r="T887" i="40"/>
  <c r="I887" i="40"/>
  <c r="P886" i="40"/>
  <c r="U886" i="40" s="1"/>
  <c r="O886" i="40"/>
  <c r="I886" i="40"/>
  <c r="U885" i="40"/>
  <c r="T885" i="40"/>
  <c r="I885" i="40"/>
  <c r="P884" i="40"/>
  <c r="O884" i="40"/>
  <c r="I884" i="40"/>
  <c r="U883" i="40"/>
  <c r="T883" i="40"/>
  <c r="I883" i="40"/>
  <c r="P882" i="40"/>
  <c r="T882" i="40" s="1"/>
  <c r="O882" i="40"/>
  <c r="I882" i="40"/>
  <c r="U881" i="40"/>
  <c r="T881" i="40"/>
  <c r="I881" i="40"/>
  <c r="P880" i="40"/>
  <c r="O880" i="40"/>
  <c r="I880" i="40"/>
  <c r="U879" i="40"/>
  <c r="T879" i="40"/>
  <c r="I879" i="40"/>
  <c r="X886" i="40" l="1"/>
  <c r="W886" i="40"/>
  <c r="X888" i="40"/>
  <c r="W888" i="40"/>
  <c r="X884" i="40"/>
  <c r="W884" i="40"/>
  <c r="T880" i="40"/>
  <c r="O887" i="40"/>
  <c r="V887" i="40"/>
  <c r="V888" i="40"/>
  <c r="O885" i="40"/>
  <c r="V885" i="40"/>
  <c r="V883" i="40"/>
  <c r="V884" i="40"/>
  <c r="O883" i="40"/>
  <c r="O881" i="40"/>
  <c r="R882" i="40"/>
  <c r="O879" i="40"/>
  <c r="R880" i="40"/>
  <c r="V886" i="40"/>
  <c r="T884" i="40"/>
  <c r="U884" i="40"/>
  <c r="U882" i="40"/>
  <c r="U880" i="40"/>
  <c r="T888" i="40"/>
  <c r="U888" i="40"/>
  <c r="T886" i="40"/>
  <c r="X882" i="40" l="1"/>
  <c r="W882" i="40"/>
  <c r="V880" i="40"/>
  <c r="X880" i="40"/>
  <c r="W880" i="40"/>
  <c r="V882" i="40"/>
  <c r="R876" i="40" l="1"/>
  <c r="R874" i="40"/>
  <c r="R872" i="40"/>
  <c r="R870" i="40"/>
  <c r="E25" i="21" l="1"/>
  <c r="F25" i="21" s="1"/>
  <c r="I27" i="44" l="1"/>
  <c r="J27" i="44" s="1"/>
  <c r="K27" i="44" s="1"/>
  <c r="J27" i="45"/>
  <c r="K27" i="45" s="1"/>
  <c r="L27" i="45" s="1"/>
  <c r="O27" i="45" s="1"/>
  <c r="X872" i="40"/>
  <c r="P872" i="40"/>
  <c r="U872" i="40" s="1"/>
  <c r="O872" i="40"/>
  <c r="I872" i="40"/>
  <c r="X871" i="40"/>
  <c r="W871" i="40"/>
  <c r="V871" i="40"/>
  <c r="U871" i="40"/>
  <c r="T871" i="40"/>
  <c r="O871" i="40"/>
  <c r="I871" i="40"/>
  <c r="X874" i="40"/>
  <c r="P874" i="40"/>
  <c r="O874" i="40"/>
  <c r="I874" i="40"/>
  <c r="X873" i="40"/>
  <c r="W873" i="40"/>
  <c r="V873" i="40"/>
  <c r="U873" i="40"/>
  <c r="T873" i="40"/>
  <c r="O873" i="40"/>
  <c r="I873" i="40"/>
  <c r="X876" i="40"/>
  <c r="P876" i="40"/>
  <c r="T876" i="40" s="1"/>
  <c r="O876" i="40"/>
  <c r="I876" i="40"/>
  <c r="X875" i="40"/>
  <c r="W875" i="40"/>
  <c r="V875" i="40"/>
  <c r="U875" i="40"/>
  <c r="T875" i="40"/>
  <c r="O875" i="40"/>
  <c r="I875" i="40"/>
  <c r="V872" i="40" l="1"/>
  <c r="V874" i="40"/>
  <c r="V876" i="40"/>
  <c r="U876" i="40"/>
  <c r="T874" i="40"/>
  <c r="W872" i="40"/>
  <c r="T872" i="40"/>
  <c r="U874" i="40"/>
  <c r="W874" i="40"/>
  <c r="W876" i="40"/>
  <c r="L895" i="40" l="1"/>
  <c r="L898" i="40" s="1"/>
  <c r="F895" i="40"/>
  <c r="F898" i="40" s="1"/>
  <c r="X894" i="40"/>
  <c r="W894" i="40"/>
  <c r="V894" i="40"/>
  <c r="U894" i="40"/>
  <c r="T894" i="40"/>
  <c r="O894" i="40"/>
  <c r="U892" i="40"/>
  <c r="T892" i="40"/>
  <c r="N892" i="40"/>
  <c r="V892" i="40" s="1"/>
  <c r="R891" i="40"/>
  <c r="P891" i="40"/>
  <c r="O891" i="40"/>
  <c r="T890" i="40"/>
  <c r="X889" i="40"/>
  <c r="W889" i="40"/>
  <c r="V889" i="40"/>
  <c r="U889" i="40"/>
  <c r="T889" i="40"/>
  <c r="O889" i="40"/>
  <c r="I889" i="40"/>
  <c r="X870" i="40"/>
  <c r="P870" i="40"/>
  <c r="W870" i="40" s="1"/>
  <c r="O870" i="40"/>
  <c r="I870" i="40"/>
  <c r="X869" i="40"/>
  <c r="W869" i="40"/>
  <c r="V869" i="40"/>
  <c r="U869" i="40"/>
  <c r="T869" i="40"/>
  <c r="O869" i="40"/>
  <c r="I869" i="40"/>
  <c r="V867" i="40"/>
  <c r="U867" i="40"/>
  <c r="T867" i="40"/>
  <c r="O867" i="40"/>
  <c r="I867" i="40"/>
  <c r="V891" i="40" l="1"/>
  <c r="O892" i="40"/>
  <c r="O895" i="40" s="1"/>
  <c r="O898" i="40" s="1"/>
  <c r="I895" i="40"/>
  <c r="I898" i="40" s="1"/>
  <c r="P895" i="40"/>
  <c r="P898" i="40" s="1"/>
  <c r="T870" i="40"/>
  <c r="S891" i="40"/>
  <c r="T891" i="40" s="1"/>
  <c r="U870" i="40"/>
  <c r="U891" i="40"/>
  <c r="V870" i="40"/>
  <c r="V895" i="40" l="1"/>
  <c r="V898" i="40" s="1"/>
  <c r="U895" i="40"/>
  <c r="U898" i="40" s="1"/>
  <c r="X891" i="40"/>
  <c r="X895" i="40" s="1"/>
  <c r="X898" i="40" s="1"/>
  <c r="T895" i="40"/>
  <c r="T898" i="40" s="1"/>
  <c r="W891" i="40"/>
  <c r="W895" i="40" s="1"/>
  <c r="W898" i="40" s="1"/>
  <c r="U897" i="40" l="1"/>
  <c r="C54" i="41" l="1"/>
  <c r="C28" i="41" l="1"/>
  <c r="I531" i="40"/>
  <c r="F531" i="40"/>
  <c r="P531" i="40"/>
  <c r="L531" i="40"/>
  <c r="X250" i="40"/>
  <c r="W250" i="40"/>
  <c r="V250" i="40"/>
  <c r="U250" i="40"/>
  <c r="T250" i="40"/>
  <c r="O250" i="40"/>
  <c r="X249" i="40"/>
  <c r="W249" i="40"/>
  <c r="V249" i="40"/>
  <c r="U249" i="40"/>
  <c r="T249" i="40"/>
  <c r="O249" i="40"/>
  <c r="X529" i="40" l="1"/>
  <c r="W529" i="40"/>
  <c r="V529" i="40"/>
  <c r="U529" i="40"/>
  <c r="T529" i="40"/>
  <c r="O529" i="40"/>
  <c r="X1166" i="40" l="1"/>
  <c r="W1166" i="40"/>
  <c r="T1166" i="40"/>
  <c r="V1166" i="40" s="1"/>
  <c r="L525" i="40" l="1"/>
  <c r="P525" i="40"/>
  <c r="E24" i="21" l="1"/>
  <c r="W512" i="40" l="1"/>
  <c r="X512" i="40"/>
  <c r="W517" i="40"/>
  <c r="X517" i="40"/>
  <c r="W518" i="40"/>
  <c r="X518" i="40"/>
  <c r="V518" i="40" l="1"/>
  <c r="T518" i="40"/>
  <c r="O518" i="40"/>
  <c r="V517" i="40"/>
  <c r="T517" i="40"/>
  <c r="O517" i="40"/>
  <c r="V512" i="40"/>
  <c r="T512" i="40"/>
  <c r="O512" i="40"/>
  <c r="T164" i="40" l="1"/>
  <c r="U164" i="40"/>
  <c r="V164" i="40"/>
  <c r="X197" i="40"/>
  <c r="W197" i="40"/>
  <c r="V197" i="40"/>
  <c r="U197" i="40"/>
  <c r="T197" i="40"/>
  <c r="X188" i="40"/>
  <c r="W188" i="40"/>
  <c r="V188" i="40"/>
  <c r="U188" i="40"/>
  <c r="T188" i="40"/>
  <c r="X187" i="40"/>
  <c r="W187" i="40"/>
  <c r="V187" i="40"/>
  <c r="U187" i="40"/>
  <c r="T187" i="40"/>
  <c r="X163" i="40"/>
  <c r="W163" i="40"/>
  <c r="V163" i="40"/>
  <c r="U163" i="40"/>
  <c r="T163" i="40"/>
  <c r="W139" i="40" l="1"/>
  <c r="O139" i="40"/>
  <c r="U139" i="40"/>
  <c r="T139" i="40" l="1"/>
  <c r="X139" i="40"/>
  <c r="U1765" i="40" l="1"/>
  <c r="I1766" i="40"/>
  <c r="U1766" i="40"/>
  <c r="I1767" i="40"/>
  <c r="U1767" i="40"/>
  <c r="W832" i="40" l="1"/>
  <c r="O110" i="40" l="1"/>
  <c r="T110" i="40"/>
  <c r="U110" i="40"/>
  <c r="V110" i="40"/>
  <c r="W110" i="40"/>
  <c r="X110" i="40"/>
  <c r="X1163" i="40" l="1"/>
  <c r="W1163" i="40"/>
  <c r="T1163" i="40"/>
  <c r="V1163" i="40" s="1"/>
  <c r="I2163" i="40" l="1"/>
  <c r="I1893" i="40"/>
  <c r="AJ590" i="40" l="1"/>
  <c r="AJ562" i="40"/>
  <c r="AJ520" i="40"/>
  <c r="AJ525" i="40" s="1"/>
  <c r="AJ466" i="40"/>
  <c r="AJ39" i="40"/>
  <c r="AJ64" i="40" s="1"/>
  <c r="AJ111" i="40" s="1"/>
  <c r="AJ140" i="40" l="1"/>
  <c r="AJ210" i="40" s="1"/>
  <c r="AJ244" i="40" s="1"/>
  <c r="AJ276" i="40" s="1"/>
  <c r="AJ308" i="40" s="1"/>
  <c r="AJ329" i="40" s="1"/>
  <c r="AJ358" i="40" s="1"/>
  <c r="AJ407" i="40" s="1"/>
  <c r="AJ461" i="40" s="1"/>
  <c r="AJ463" i="40" s="1"/>
  <c r="AJ531" i="40"/>
  <c r="AJ536" i="40" s="1"/>
  <c r="AJ541" i="40" s="1"/>
  <c r="AJ546" i="40" s="1"/>
  <c r="AJ551" i="40" s="1"/>
  <c r="AJ556" i="40" s="1"/>
  <c r="AJ602" i="40"/>
  <c r="AJ628" i="40" s="1"/>
  <c r="AJ640" i="40" s="1"/>
  <c r="AJ660" i="40" s="1"/>
  <c r="AJ685" i="40" s="1"/>
  <c r="AJ691" i="40" s="1"/>
  <c r="AJ719" i="40" s="1"/>
  <c r="AJ727" i="40" l="1"/>
  <c r="AJ735" i="40" s="1"/>
  <c r="AJ750" i="40" s="1"/>
  <c r="AJ756" i="40" s="1"/>
  <c r="AJ758" i="40" s="1"/>
  <c r="AJ558" i="40"/>
  <c r="AJ831" i="40" l="1"/>
  <c r="AJ833" i="40" s="1"/>
  <c r="F19" i="7"/>
  <c r="C19" i="41" l="1"/>
  <c r="P1146" i="40"/>
  <c r="Q1146" i="40" l="1"/>
  <c r="Q1149" i="40" s="1"/>
  <c r="U1146" i="40"/>
  <c r="W38" i="40"/>
  <c r="X38" i="40"/>
  <c r="F39" i="40"/>
  <c r="I39" i="40"/>
  <c r="L39" i="40"/>
  <c r="AO39" i="40"/>
  <c r="AP39" i="40"/>
  <c r="AQ39" i="40"/>
  <c r="AR39" i="40"/>
  <c r="AS39" i="40"/>
  <c r="AT39" i="40"/>
  <c r="AU39" i="40"/>
  <c r="AV39" i="40"/>
  <c r="AW39" i="40"/>
  <c r="AX39" i="40"/>
  <c r="AY39" i="40"/>
  <c r="AZ39" i="40"/>
  <c r="BA39" i="40"/>
  <c r="BB39" i="40"/>
  <c r="BC39" i="40"/>
  <c r="BD39" i="40"/>
  <c r="BE39" i="40"/>
  <c r="BF39" i="40"/>
  <c r="BG39" i="40"/>
  <c r="BH39" i="40"/>
  <c r="BI39" i="40"/>
  <c r="BJ39" i="40"/>
  <c r="BK39" i="40"/>
  <c r="BL39" i="40"/>
  <c r="BM39" i="40"/>
  <c r="BN39" i="40"/>
  <c r="BO39" i="40"/>
  <c r="BP39" i="40"/>
  <c r="BQ39" i="40"/>
  <c r="BR39" i="40"/>
  <c r="BS39" i="40"/>
  <c r="BT39" i="40"/>
  <c r="BU39" i="40"/>
  <c r="BV39" i="40"/>
  <c r="BW39" i="40"/>
  <c r="BX39" i="40"/>
  <c r="BY39" i="40"/>
  <c r="BZ39" i="40"/>
  <c r="CA39" i="40"/>
  <c r="CB39" i="40"/>
  <c r="CC39" i="40"/>
  <c r="CD39" i="40"/>
  <c r="CE39" i="40"/>
  <c r="CF39" i="40"/>
  <c r="CG39" i="40"/>
  <c r="CH39" i="40"/>
  <c r="CI39" i="40"/>
  <c r="CJ39" i="40"/>
  <c r="CK39" i="40"/>
  <c r="CL39" i="40"/>
  <c r="CM39" i="40"/>
  <c r="CN39" i="40"/>
  <c r="CO39" i="40"/>
  <c r="CP39" i="40"/>
  <c r="CQ39" i="40"/>
  <c r="CR39" i="40"/>
  <c r="CS39" i="40"/>
  <c r="CT39" i="40"/>
  <c r="CU39" i="40"/>
  <c r="CV39" i="40"/>
  <c r="CW39" i="40"/>
  <c r="CX39" i="40"/>
  <c r="CY39" i="40"/>
  <c r="CZ39" i="40"/>
  <c r="DA39" i="40"/>
  <c r="DB39" i="40"/>
  <c r="DC39" i="40"/>
  <c r="DD39" i="40"/>
  <c r="DE39" i="40"/>
  <c r="DF39" i="40"/>
  <c r="DG39" i="40"/>
  <c r="DH39" i="40"/>
  <c r="DI39" i="40"/>
  <c r="DJ39" i="40"/>
  <c r="DK39" i="40"/>
  <c r="DL39" i="40"/>
  <c r="DM39" i="40"/>
  <c r="AH39" i="40" l="1"/>
  <c r="AB39" i="40"/>
  <c r="AA39" i="40"/>
  <c r="AK39" i="40"/>
  <c r="P39" i="40"/>
  <c r="AN39" i="40"/>
  <c r="AM39" i="40" l="1"/>
  <c r="X39" i="40"/>
  <c r="W39" i="40"/>
  <c r="V1380" i="40" l="1"/>
  <c r="V1182" i="40"/>
  <c r="F8" i="7" l="1"/>
  <c r="C20" i="41" l="1"/>
  <c r="C30" i="41"/>
  <c r="C8" i="41"/>
  <c r="C23" i="41"/>
  <c r="C15" i="41"/>
  <c r="C13" i="41"/>
  <c r="C17" i="41"/>
  <c r="X954" i="40"/>
  <c r="W954" i="40"/>
  <c r="X953" i="40"/>
  <c r="W953" i="40"/>
  <c r="X952" i="40"/>
  <c r="W952" i="40"/>
  <c r="X941" i="40"/>
  <c r="W941" i="40"/>
  <c r="X940" i="40"/>
  <c r="W940" i="40"/>
  <c r="X939" i="40"/>
  <c r="W93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O755" i="40"/>
  <c r="X755" i="40"/>
  <c r="W755" i="40"/>
  <c r="X754" i="40"/>
  <c r="W754" i="40"/>
  <c r="X753" i="40"/>
  <c r="W753" i="40"/>
  <c r="X332" i="40"/>
  <c r="W332" i="40"/>
  <c r="V332" i="40"/>
  <c r="U332" i="40"/>
  <c r="T332" i="40"/>
  <c r="X337" i="40"/>
  <c r="W337" i="40"/>
  <c r="V337" i="40"/>
  <c r="U337" i="40"/>
  <c r="T337" i="40"/>
  <c r="X336" i="40"/>
  <c r="W336" i="40"/>
  <c r="V336" i="40"/>
  <c r="U336" i="40"/>
  <c r="T336" i="40"/>
  <c r="X334" i="40"/>
  <c r="W334" i="40"/>
  <c r="V334" i="40"/>
  <c r="U334" i="40"/>
  <c r="T334" i="40"/>
  <c r="O332" i="40"/>
  <c r="O1147" i="40" l="1"/>
  <c r="V1147" i="40"/>
  <c r="X1375" i="40" l="1"/>
  <c r="W1375" i="40"/>
  <c r="V1375" i="40"/>
  <c r="P461" i="40" l="1"/>
  <c r="U739" i="40" l="1"/>
  <c r="X739" i="40"/>
  <c r="W739" i="40"/>
  <c r="V739" i="40"/>
  <c r="T739" i="40"/>
  <c r="O739" i="40"/>
  <c r="X405" i="40"/>
  <c r="W405" i="40"/>
  <c r="V405" i="40"/>
  <c r="U405" i="40"/>
  <c r="T405" i="40"/>
  <c r="O405" i="40"/>
  <c r="X1374" i="40" l="1"/>
  <c r="W1374" i="40"/>
  <c r="V1374" i="40"/>
  <c r="O337" i="40" l="1"/>
  <c r="O336" i="40"/>
  <c r="X333" i="40"/>
  <c r="W333" i="40"/>
  <c r="V333" i="40"/>
  <c r="U333" i="40"/>
  <c r="T333" i="40"/>
  <c r="O333" i="40"/>
  <c r="X1373" i="40" l="1"/>
  <c r="W1373" i="40"/>
  <c r="V1373" i="40"/>
  <c r="V953" i="40"/>
  <c r="U953" i="40"/>
  <c r="T953" i="40"/>
  <c r="O953" i="40"/>
  <c r="X327" i="40" l="1"/>
  <c r="W327" i="40"/>
  <c r="V327" i="40"/>
  <c r="U327" i="40"/>
  <c r="T327" i="40"/>
  <c r="O327" i="40"/>
  <c r="BQ562" i="40"/>
  <c r="BP562" i="40"/>
  <c r="BO466" i="40"/>
  <c r="BN562" i="40"/>
  <c r="BQ590" i="40"/>
  <c r="BQ602" i="40" s="1"/>
  <c r="BQ628" i="40" s="1"/>
  <c r="BQ640" i="40" s="1"/>
  <c r="BQ660" i="40" s="1"/>
  <c r="BQ685" i="40" s="1"/>
  <c r="BQ691" i="40" s="1"/>
  <c r="BQ719" i="40" s="1"/>
  <c r="BQ520" i="40"/>
  <c r="BQ525" i="40" s="1"/>
  <c r="BQ64" i="40"/>
  <c r="BQ111" i="40" s="1"/>
  <c r="BQ140" i="40" s="1"/>
  <c r="BQ210" i="40" s="1"/>
  <c r="BQ244" i="40" s="1"/>
  <c r="BQ276" i="40" s="1"/>
  <c r="BQ308" i="40" s="1"/>
  <c r="BQ329" i="40" s="1"/>
  <c r="BQ358" i="40" s="1"/>
  <c r="BQ407" i="40" s="1"/>
  <c r="BQ461" i="40" s="1"/>
  <c r="BQ463" i="40" s="1"/>
  <c r="BP590" i="40"/>
  <c r="BP602" i="40" s="1"/>
  <c r="BP628" i="40" s="1"/>
  <c r="BP640" i="40" s="1"/>
  <c r="BP660" i="40" s="1"/>
  <c r="BP685" i="40" s="1"/>
  <c r="BP691" i="40" s="1"/>
  <c r="BP719" i="40" s="1"/>
  <c r="BP520" i="40"/>
  <c r="BP525" i="40" s="1"/>
  <c r="BP64" i="40"/>
  <c r="BP111" i="40" s="1"/>
  <c r="BP140" i="40" s="1"/>
  <c r="BP210" i="40" s="1"/>
  <c r="BP244" i="40" s="1"/>
  <c r="BP276" i="40" s="1"/>
  <c r="BP308" i="40" s="1"/>
  <c r="BP329" i="40" s="1"/>
  <c r="BP358" i="40" s="1"/>
  <c r="BP407" i="40" s="1"/>
  <c r="BP461" i="40" s="1"/>
  <c r="BP463" i="40" s="1"/>
  <c r="BO590" i="40"/>
  <c r="BO602" i="40" s="1"/>
  <c r="BO628" i="40" s="1"/>
  <c r="BO640" i="40" s="1"/>
  <c r="BO660" i="40" s="1"/>
  <c r="BO685" i="40" s="1"/>
  <c r="BO691" i="40" s="1"/>
  <c r="BO719" i="40" s="1"/>
  <c r="BO520" i="40"/>
  <c r="BO525" i="40" s="1"/>
  <c r="BO64" i="40"/>
  <c r="BO111" i="40" s="1"/>
  <c r="BO140" i="40" s="1"/>
  <c r="BO210" i="40" s="1"/>
  <c r="BO244" i="40" s="1"/>
  <c r="BO276" i="40" s="1"/>
  <c r="BO308" i="40" s="1"/>
  <c r="BO329" i="40" s="1"/>
  <c r="BO358" i="40" s="1"/>
  <c r="BO407" i="40" s="1"/>
  <c r="BO461" i="40" s="1"/>
  <c r="BO463" i="40" s="1"/>
  <c r="BN590" i="40"/>
  <c r="BN602" i="40" s="1"/>
  <c r="BN628" i="40" s="1"/>
  <c r="BN640" i="40" s="1"/>
  <c r="BN660" i="40" s="1"/>
  <c r="BN685" i="40" s="1"/>
  <c r="BN691" i="40" s="1"/>
  <c r="BN719" i="40" s="1"/>
  <c r="BN520" i="40"/>
  <c r="BN525" i="40" s="1"/>
  <c r="BN64" i="40"/>
  <c r="BN111" i="40" s="1"/>
  <c r="BN140" i="40" s="1"/>
  <c r="BN210" i="40" s="1"/>
  <c r="BN244" i="40" s="1"/>
  <c r="BN276" i="40" s="1"/>
  <c r="BN308" i="40" s="1"/>
  <c r="BP727" i="40" l="1"/>
  <c r="BP735" i="40" s="1"/>
  <c r="BP750" i="40" s="1"/>
  <c r="BP756" i="40" s="1"/>
  <c r="BP758" i="40" s="1"/>
  <c r="BN727" i="40"/>
  <c r="BN735" i="40" s="1"/>
  <c r="BN750" i="40" s="1"/>
  <c r="BN756" i="40" s="1"/>
  <c r="BN758" i="40" s="1"/>
  <c r="BQ727" i="40"/>
  <c r="BQ735" i="40" s="1"/>
  <c r="BQ750" i="40" s="1"/>
  <c r="BQ756" i="40" s="1"/>
  <c r="BQ758" i="40" s="1"/>
  <c r="BO727" i="40"/>
  <c r="BO735" i="40" s="1"/>
  <c r="BO750" i="40" s="1"/>
  <c r="BO756" i="40" s="1"/>
  <c r="BO758" i="40" s="1"/>
  <c r="BN329" i="40"/>
  <c r="BN358" i="40" s="1"/>
  <c r="BN407" i="40" s="1"/>
  <c r="BN461" i="40" s="1"/>
  <c r="BN463" i="40" s="1"/>
  <c r="BO562" i="40"/>
  <c r="BQ466" i="40"/>
  <c r="BN466" i="40"/>
  <c r="BP466" i="40"/>
  <c r="BO531" i="40" l="1"/>
  <c r="BO536" i="40" s="1"/>
  <c r="BO541" i="40" s="1"/>
  <c r="BO546" i="40" s="1"/>
  <c r="BO551" i="40" s="1"/>
  <c r="BO556" i="40" s="1"/>
  <c r="BO558" i="40" s="1"/>
  <c r="BP531" i="40"/>
  <c r="BP536" i="40" s="1"/>
  <c r="BP541" i="40" s="1"/>
  <c r="BP546" i="40" s="1"/>
  <c r="BN531" i="40"/>
  <c r="BN536" i="40" s="1"/>
  <c r="BN541" i="40" s="1"/>
  <c r="BN546" i="40" s="1"/>
  <c r="BQ531" i="40"/>
  <c r="BQ536" i="40" s="1"/>
  <c r="BQ541" i="40" s="1"/>
  <c r="BQ546" i="40" s="1"/>
  <c r="V1372" i="40"/>
  <c r="V1371" i="40"/>
  <c r="X1372" i="40"/>
  <c r="W1372" i="40"/>
  <c r="U1100" i="40"/>
  <c r="AB1100" i="40" s="1"/>
  <c r="BO831" i="40" l="1"/>
  <c r="BO833" i="40" s="1"/>
  <c r="BN551" i="40"/>
  <c r="BN556" i="40" s="1"/>
  <c r="BN558" i="40" s="1"/>
  <c r="BP551" i="40"/>
  <c r="BP556" i="40" s="1"/>
  <c r="BP558" i="40" s="1"/>
  <c r="BQ551" i="40"/>
  <c r="BQ556" i="40" s="1"/>
  <c r="BQ558" i="40" s="1"/>
  <c r="BP831" i="40" l="1"/>
  <c r="BP833" i="40" s="1"/>
  <c r="BN831" i="40"/>
  <c r="BN833" i="40" s="1"/>
  <c r="BQ831" i="40"/>
  <c r="BQ833" i="40" s="1"/>
  <c r="P2369" i="40"/>
  <c r="L2369" i="40"/>
  <c r="F2369" i="40"/>
  <c r="I2368" i="40"/>
  <c r="V2368" i="40" s="1"/>
  <c r="I2367" i="40"/>
  <c r="U2366" i="40"/>
  <c r="T2366" i="40"/>
  <c r="O2366" i="40"/>
  <c r="I2366" i="40"/>
  <c r="U2365" i="40"/>
  <c r="T2365" i="40"/>
  <c r="I2365" i="40"/>
  <c r="U2364" i="40"/>
  <c r="T2364" i="40"/>
  <c r="O2364" i="40"/>
  <c r="V2363" i="40"/>
  <c r="U2363" i="40"/>
  <c r="T2363" i="40"/>
  <c r="O2363" i="40"/>
  <c r="S2349" i="40"/>
  <c r="P2346" i="40"/>
  <c r="N2346" i="40"/>
  <c r="L2346" i="40"/>
  <c r="F2346" i="40"/>
  <c r="I2345" i="40"/>
  <c r="I2344" i="40"/>
  <c r="U2341" i="40"/>
  <c r="T2341" i="40"/>
  <c r="O2341" i="40"/>
  <c r="I2341" i="40"/>
  <c r="U2340" i="40"/>
  <c r="T2340" i="40"/>
  <c r="O2340" i="40"/>
  <c r="I2340" i="40"/>
  <c r="U2339" i="40"/>
  <c r="T2339" i="40"/>
  <c r="O2339" i="40"/>
  <c r="I2339" i="40"/>
  <c r="U2338" i="40"/>
  <c r="T2338" i="40"/>
  <c r="O2338" i="40"/>
  <c r="I2338" i="40"/>
  <c r="U2337" i="40"/>
  <c r="I2337" i="40"/>
  <c r="U2336" i="40"/>
  <c r="I2336" i="40"/>
  <c r="U2335" i="40"/>
  <c r="T2335" i="40"/>
  <c r="I2335" i="40"/>
  <c r="U2334" i="40"/>
  <c r="T2334" i="40"/>
  <c r="I2334" i="40"/>
  <c r="U2333" i="40"/>
  <c r="T2333" i="40"/>
  <c r="I2333" i="40"/>
  <c r="U2332" i="40"/>
  <c r="T2332" i="40"/>
  <c r="O2332" i="40"/>
  <c r="AA2319" i="40"/>
  <c r="P2313" i="40"/>
  <c r="L2313" i="40"/>
  <c r="F2313" i="40"/>
  <c r="P2311" i="40"/>
  <c r="N2311" i="40"/>
  <c r="L2311" i="40"/>
  <c r="F2311" i="40"/>
  <c r="U2310" i="40"/>
  <c r="T2310" i="40"/>
  <c r="O2310" i="40"/>
  <c r="I2310" i="40"/>
  <c r="U2308" i="40"/>
  <c r="T2308" i="40"/>
  <c r="I2308" i="40"/>
  <c r="U2307" i="40"/>
  <c r="T2307" i="40"/>
  <c r="O2307" i="40"/>
  <c r="P2300" i="40"/>
  <c r="L2300" i="40"/>
  <c r="F2300" i="40"/>
  <c r="U2258" i="40"/>
  <c r="T2258" i="40"/>
  <c r="O2258" i="40"/>
  <c r="I2258" i="40"/>
  <c r="U2254" i="40"/>
  <c r="T2254" i="40"/>
  <c r="O2254" i="40"/>
  <c r="I2254" i="40"/>
  <c r="U2253" i="40"/>
  <c r="T2253" i="40"/>
  <c r="O2253" i="40"/>
  <c r="I2253" i="40"/>
  <c r="U2252" i="40"/>
  <c r="T2252" i="40"/>
  <c r="O2252" i="40"/>
  <c r="I2252" i="40"/>
  <c r="U2251" i="40"/>
  <c r="T2251" i="40"/>
  <c r="O2251" i="40"/>
  <c r="I2251" i="40"/>
  <c r="U2250" i="40"/>
  <c r="I2250" i="40"/>
  <c r="U2249" i="40"/>
  <c r="I2249" i="40"/>
  <c r="U2248" i="40"/>
  <c r="T2248" i="40"/>
  <c r="I2248" i="40"/>
  <c r="U2247" i="40"/>
  <c r="T2247" i="40"/>
  <c r="I2247" i="40"/>
  <c r="U2246" i="40"/>
  <c r="T2246" i="40"/>
  <c r="I2246" i="40"/>
  <c r="U2245" i="40"/>
  <c r="T2245" i="40"/>
  <c r="O2245" i="40"/>
  <c r="I2231" i="40"/>
  <c r="P2228" i="40"/>
  <c r="L2228" i="40"/>
  <c r="F2228" i="40"/>
  <c r="L2226" i="40"/>
  <c r="F2226" i="40"/>
  <c r="U2225" i="40"/>
  <c r="T2225" i="40"/>
  <c r="O2225" i="40"/>
  <c r="I2225" i="40"/>
  <c r="U2221" i="40"/>
  <c r="T2221" i="40"/>
  <c r="O2221" i="40"/>
  <c r="I2221" i="40"/>
  <c r="U2220" i="40"/>
  <c r="T2220" i="40"/>
  <c r="O2220" i="40"/>
  <c r="I2220" i="40"/>
  <c r="U2219" i="40"/>
  <c r="T2219" i="40"/>
  <c r="O2219" i="40"/>
  <c r="I2219" i="40"/>
  <c r="U2218" i="40"/>
  <c r="T2218" i="40"/>
  <c r="O2218" i="40"/>
  <c r="I2218" i="40"/>
  <c r="U2217" i="40"/>
  <c r="I2217" i="40"/>
  <c r="U2216" i="40"/>
  <c r="I2216" i="40"/>
  <c r="U2215" i="40"/>
  <c r="T2215" i="40"/>
  <c r="I2215" i="40"/>
  <c r="U2214" i="40"/>
  <c r="T2214" i="40"/>
  <c r="I2214" i="40"/>
  <c r="U2213" i="40"/>
  <c r="T2213" i="40"/>
  <c r="I2213" i="40"/>
  <c r="U2212" i="40"/>
  <c r="T2212" i="40"/>
  <c r="O2211" i="40"/>
  <c r="P2198" i="40"/>
  <c r="L2198" i="40"/>
  <c r="F2198" i="40"/>
  <c r="U2192" i="40"/>
  <c r="T2192" i="40"/>
  <c r="O2192" i="40"/>
  <c r="I2192" i="40"/>
  <c r="T2190" i="40"/>
  <c r="T2189" i="40"/>
  <c r="T2188" i="40"/>
  <c r="U2187" i="40"/>
  <c r="T2187" i="40"/>
  <c r="O2187" i="40"/>
  <c r="I2187" i="40"/>
  <c r="U2186" i="40"/>
  <c r="T2186" i="40"/>
  <c r="O2186" i="40"/>
  <c r="I2186" i="40"/>
  <c r="U2185" i="40"/>
  <c r="T2185" i="40"/>
  <c r="O2185" i="40"/>
  <c r="I2185" i="40"/>
  <c r="U2184" i="40"/>
  <c r="T2184" i="40"/>
  <c r="I2184" i="40"/>
  <c r="U2183" i="40"/>
  <c r="T2183" i="40"/>
  <c r="I2183" i="40"/>
  <c r="U2182" i="40"/>
  <c r="T2182" i="40"/>
  <c r="I2182" i="40"/>
  <c r="U2181" i="40"/>
  <c r="T2181" i="40"/>
  <c r="I2181" i="40"/>
  <c r="U2180" i="40"/>
  <c r="T2180" i="40"/>
  <c r="I2180" i="40"/>
  <c r="U2179" i="40"/>
  <c r="T2179" i="40"/>
  <c r="O2179" i="40"/>
  <c r="P2068" i="40"/>
  <c r="L2068" i="40"/>
  <c r="F2068" i="40"/>
  <c r="U2059" i="40"/>
  <c r="T2059" i="40"/>
  <c r="O2059" i="40"/>
  <c r="I2059" i="40"/>
  <c r="U2058" i="40"/>
  <c r="T2058" i="40"/>
  <c r="O2058" i="40"/>
  <c r="I2058" i="40"/>
  <c r="U2057" i="40"/>
  <c r="T2057" i="40"/>
  <c r="O2057" i="40"/>
  <c r="I2057" i="40"/>
  <c r="U2056" i="40"/>
  <c r="I2056" i="40"/>
  <c r="U2055" i="40"/>
  <c r="I2055" i="40"/>
  <c r="U2054" i="40"/>
  <c r="I2054" i="40"/>
  <c r="U2053" i="40"/>
  <c r="I2053" i="40"/>
  <c r="U2052" i="40"/>
  <c r="I2052" i="40"/>
  <c r="U2051" i="40"/>
  <c r="T2051" i="40"/>
  <c r="O2051" i="40"/>
  <c r="I2050" i="40"/>
  <c r="P1986" i="40"/>
  <c r="L1986" i="40"/>
  <c r="F1986" i="40"/>
  <c r="U1914" i="40"/>
  <c r="T1914" i="40"/>
  <c r="O1914" i="40"/>
  <c r="I1914" i="40"/>
  <c r="U1910" i="40"/>
  <c r="T1910" i="40"/>
  <c r="O1910" i="40"/>
  <c r="I1910" i="40"/>
  <c r="U1909" i="40"/>
  <c r="T1909" i="40"/>
  <c r="O1909" i="40"/>
  <c r="I1909" i="40"/>
  <c r="U1908" i="40"/>
  <c r="T1908" i="40"/>
  <c r="O1908" i="40"/>
  <c r="I1908" i="40"/>
  <c r="U1907" i="40"/>
  <c r="T1907" i="40"/>
  <c r="O1907" i="40"/>
  <c r="I1907" i="40"/>
  <c r="U1906" i="40"/>
  <c r="I1906" i="40"/>
  <c r="U1905" i="40"/>
  <c r="I1905" i="40"/>
  <c r="U1904" i="40"/>
  <c r="I1904" i="40"/>
  <c r="U1903" i="40"/>
  <c r="I1903" i="40"/>
  <c r="U1902" i="40"/>
  <c r="I1902" i="40"/>
  <c r="U1901" i="40"/>
  <c r="T1901" i="40"/>
  <c r="O1901" i="40"/>
  <c r="I1894" i="40"/>
  <c r="P1782" i="40"/>
  <c r="L1782" i="40"/>
  <c r="F1782" i="40"/>
  <c r="F1779" i="40"/>
  <c r="U1778" i="40"/>
  <c r="T1778" i="40"/>
  <c r="O1778" i="40"/>
  <c r="I1778" i="40"/>
  <c r="U1773" i="40"/>
  <c r="T1773" i="40"/>
  <c r="O1773" i="40"/>
  <c r="I1773" i="40"/>
  <c r="U1772" i="40"/>
  <c r="T1772" i="40"/>
  <c r="O1772" i="40"/>
  <c r="I1772" i="40"/>
  <c r="U1771" i="40"/>
  <c r="T1771" i="40"/>
  <c r="O1771" i="40"/>
  <c r="I1771" i="40"/>
  <c r="U1770" i="40"/>
  <c r="I1770" i="40"/>
  <c r="U1769" i="40"/>
  <c r="I1769" i="40"/>
  <c r="U1768" i="40"/>
  <c r="I1768" i="40"/>
  <c r="P1536" i="40"/>
  <c r="L1536" i="40"/>
  <c r="F1536" i="40"/>
  <c r="L1534" i="40"/>
  <c r="X1533" i="40"/>
  <c r="W1533" i="40"/>
  <c r="T1533" i="40"/>
  <c r="O1533" i="40"/>
  <c r="I1533" i="40"/>
  <c r="U1528" i="40"/>
  <c r="T1528" i="40"/>
  <c r="O1528" i="40"/>
  <c r="I1528" i="40"/>
  <c r="U1527" i="40"/>
  <c r="T1527" i="40"/>
  <c r="O1527" i="40"/>
  <c r="I1527" i="40"/>
  <c r="U1526" i="40"/>
  <c r="T1526" i="40"/>
  <c r="O1526" i="40"/>
  <c r="I1526" i="40"/>
  <c r="U1525" i="40"/>
  <c r="I1525" i="40"/>
  <c r="U1524" i="40"/>
  <c r="I1524" i="40"/>
  <c r="U1523" i="40"/>
  <c r="I1523" i="40"/>
  <c r="U1522" i="40"/>
  <c r="I1522" i="40"/>
  <c r="U1521" i="40"/>
  <c r="I1521" i="40"/>
  <c r="U1520" i="40"/>
  <c r="T1520" i="40"/>
  <c r="O1520" i="40"/>
  <c r="U1518" i="40"/>
  <c r="O1518" i="40"/>
  <c r="O1517" i="40"/>
  <c r="O1516" i="40"/>
  <c r="U1515" i="40"/>
  <c r="O1515" i="40"/>
  <c r="U1495" i="40"/>
  <c r="U1494" i="40"/>
  <c r="U1493" i="40"/>
  <c r="U1492" i="40"/>
  <c r="U1491" i="40"/>
  <c r="U1464" i="40"/>
  <c r="AB1464" i="40" s="1"/>
  <c r="P1462" i="40"/>
  <c r="L1462" i="40"/>
  <c r="F1462" i="40"/>
  <c r="P1384" i="40"/>
  <c r="N1384" i="40"/>
  <c r="L1384" i="40"/>
  <c r="F1384" i="40"/>
  <c r="U1383" i="40"/>
  <c r="U1384" i="40" s="1"/>
  <c r="U1386" i="40" s="1"/>
  <c r="T1383" i="40"/>
  <c r="O1383" i="40"/>
  <c r="I1383" i="40"/>
  <c r="V1382" i="40"/>
  <c r="V1381" i="40"/>
  <c r="O1379" i="40"/>
  <c r="X1378" i="40"/>
  <c r="W1378" i="40"/>
  <c r="O1378" i="40"/>
  <c r="I1378" i="40"/>
  <c r="X1377" i="40"/>
  <c r="W1377" i="40"/>
  <c r="O1377" i="40"/>
  <c r="I1377" i="40"/>
  <c r="X1376" i="40"/>
  <c r="W1376" i="40"/>
  <c r="X1371" i="40"/>
  <c r="W1371" i="40"/>
  <c r="X1370" i="40"/>
  <c r="W1370" i="40"/>
  <c r="V1370" i="40"/>
  <c r="X1369" i="40"/>
  <c r="W1369" i="40"/>
  <c r="V1369" i="40"/>
  <c r="X1368" i="40"/>
  <c r="W1368" i="40"/>
  <c r="V1368" i="40"/>
  <c r="X1367" i="40"/>
  <c r="W1367" i="40"/>
  <c r="V1367" i="40"/>
  <c r="X1366" i="40"/>
  <c r="W1366" i="40"/>
  <c r="V1366" i="40"/>
  <c r="X1365" i="40"/>
  <c r="W1365" i="40"/>
  <c r="V1365" i="40"/>
  <c r="X1364" i="40"/>
  <c r="W1364" i="40"/>
  <c r="V1364" i="40"/>
  <c r="X1363" i="40"/>
  <c r="W1363" i="40"/>
  <c r="V1363" i="40"/>
  <c r="X1362" i="40"/>
  <c r="W1362" i="40"/>
  <c r="V1362" i="40"/>
  <c r="V1361" i="40"/>
  <c r="O1360" i="40"/>
  <c r="I1360" i="40"/>
  <c r="T1358" i="40"/>
  <c r="O1358" i="40"/>
  <c r="P1356" i="40"/>
  <c r="L1356" i="40"/>
  <c r="F1356" i="40"/>
  <c r="P1185" i="40"/>
  <c r="N1185" i="40"/>
  <c r="L1185" i="40"/>
  <c r="F1185" i="40"/>
  <c r="U1184" i="40"/>
  <c r="U1185" i="40" s="1"/>
  <c r="T1184" i="40"/>
  <c r="O1184" i="40"/>
  <c r="I1184" i="40"/>
  <c r="V1183" i="40"/>
  <c r="O1181" i="40"/>
  <c r="X1178" i="40"/>
  <c r="W1178" i="40"/>
  <c r="O1178" i="40"/>
  <c r="I1178" i="40"/>
  <c r="X1177" i="40"/>
  <c r="W1177" i="40"/>
  <c r="O1177" i="40"/>
  <c r="I1177" i="40"/>
  <c r="X1176" i="40"/>
  <c r="W1176" i="40"/>
  <c r="T1176" i="40"/>
  <c r="V1176" i="40" s="1"/>
  <c r="X1174" i="40"/>
  <c r="W1174" i="40"/>
  <c r="T1174" i="40"/>
  <c r="V1174" i="40" s="1"/>
  <c r="X1173" i="40"/>
  <c r="W1173" i="40"/>
  <c r="T1173" i="40"/>
  <c r="V1173" i="40" s="1"/>
  <c r="X1172" i="40"/>
  <c r="W1172" i="40"/>
  <c r="T1172" i="40"/>
  <c r="V1172" i="40" s="1"/>
  <c r="X1170" i="40"/>
  <c r="W1170" i="40"/>
  <c r="T1170" i="40"/>
  <c r="V1170" i="40" s="1"/>
  <c r="X1169" i="40"/>
  <c r="W1169" i="40"/>
  <c r="T1169" i="40"/>
  <c r="V1169" i="40" s="1"/>
  <c r="X1168" i="40"/>
  <c r="W1168" i="40"/>
  <c r="T1168" i="40"/>
  <c r="V1168" i="40" s="1"/>
  <c r="X1167" i="40"/>
  <c r="W1167" i="40"/>
  <c r="T1167" i="40"/>
  <c r="V1167" i="40" s="1"/>
  <c r="X1165" i="40"/>
  <c r="W1165" i="40"/>
  <c r="T1165" i="40"/>
  <c r="V1165" i="40" s="1"/>
  <c r="X1164" i="40"/>
  <c r="W1164" i="40"/>
  <c r="T1164" i="40"/>
  <c r="V1164" i="40" s="1"/>
  <c r="X1162" i="40"/>
  <c r="W1162" i="40"/>
  <c r="T1162" i="40"/>
  <c r="V1162" i="40" s="1"/>
  <c r="X1161" i="40"/>
  <c r="W1161" i="40"/>
  <c r="T1161" i="40"/>
  <c r="V1161" i="40" s="1"/>
  <c r="X1160" i="40"/>
  <c r="W1160" i="40"/>
  <c r="T1160" i="40"/>
  <c r="V1160" i="40" s="1"/>
  <c r="V1159" i="40"/>
  <c r="T1158" i="40"/>
  <c r="O1158" i="40"/>
  <c r="I1158" i="40"/>
  <c r="O1157" i="40"/>
  <c r="I1157" i="40"/>
  <c r="V1156" i="40"/>
  <c r="T1155" i="40"/>
  <c r="O1155" i="40"/>
  <c r="P1153" i="40"/>
  <c r="L1153" i="40"/>
  <c r="F1153" i="40"/>
  <c r="L1149" i="40"/>
  <c r="F1149" i="40"/>
  <c r="R1146" i="40"/>
  <c r="AA1146" i="40" s="1"/>
  <c r="AB1146" i="40" s="1"/>
  <c r="I1145" i="40"/>
  <c r="U1099" i="40"/>
  <c r="AB1099" i="40" s="1"/>
  <c r="U1094" i="40"/>
  <c r="AB1094" i="40" s="1"/>
  <c r="P1092" i="40"/>
  <c r="L1092" i="40"/>
  <c r="F1092" i="40"/>
  <c r="L1043" i="40"/>
  <c r="F1043" i="40"/>
  <c r="X1042" i="40"/>
  <c r="W1042" i="40"/>
  <c r="V1042" i="40"/>
  <c r="U1042" i="40"/>
  <c r="T1042" i="40"/>
  <c r="O1042" i="40"/>
  <c r="I1042" i="40"/>
  <c r="X1041" i="40"/>
  <c r="W1041" i="40"/>
  <c r="U1041" i="40"/>
  <c r="T1041" i="40"/>
  <c r="N1041" i="40"/>
  <c r="I1041" i="40"/>
  <c r="R1040" i="40"/>
  <c r="S1040" i="40" s="1"/>
  <c r="W1040" i="40" s="1"/>
  <c r="P1040" i="40"/>
  <c r="U1040" i="40" s="1"/>
  <c r="O1040" i="40"/>
  <c r="I1040" i="40"/>
  <c r="V1039" i="40"/>
  <c r="U1039" i="40"/>
  <c r="I1039" i="40"/>
  <c r="X1035" i="40"/>
  <c r="W1035" i="40"/>
  <c r="V1035" i="40"/>
  <c r="U1035" i="40"/>
  <c r="AB1035" i="40" s="1"/>
  <c r="T1035" i="40"/>
  <c r="X1034" i="40"/>
  <c r="W1034" i="40"/>
  <c r="V1034" i="40"/>
  <c r="U1034" i="40"/>
  <c r="AB1034" i="40" s="1"/>
  <c r="T1034" i="40"/>
  <c r="X1033" i="40"/>
  <c r="W1033" i="40"/>
  <c r="V1033" i="40"/>
  <c r="U1033" i="40"/>
  <c r="AB1033" i="40" s="1"/>
  <c r="T1033" i="40"/>
  <c r="O1033" i="40"/>
  <c r="I1033" i="40"/>
  <c r="X1032" i="40"/>
  <c r="W1032" i="40"/>
  <c r="V1032" i="40"/>
  <c r="U1032" i="40"/>
  <c r="AB1032" i="40" s="1"/>
  <c r="T1032" i="40"/>
  <c r="O1032" i="40"/>
  <c r="I1032" i="40"/>
  <c r="X1031" i="40"/>
  <c r="W1031" i="40"/>
  <c r="V1031" i="40"/>
  <c r="U1031" i="40"/>
  <c r="AB1031" i="40" s="1"/>
  <c r="T1031" i="40"/>
  <c r="O1031" i="40"/>
  <c r="I1031" i="40"/>
  <c r="X1030" i="40"/>
  <c r="W1030" i="40"/>
  <c r="V1030" i="40"/>
  <c r="U1030" i="40"/>
  <c r="AB1030" i="40" s="1"/>
  <c r="T1030" i="40"/>
  <c r="O1030" i="40"/>
  <c r="I1030" i="40"/>
  <c r="X1027" i="40"/>
  <c r="W1027" i="40"/>
  <c r="V1027" i="40"/>
  <c r="U1027" i="40"/>
  <c r="AB1027" i="40" s="1"/>
  <c r="T1027" i="40"/>
  <c r="O1027" i="40"/>
  <c r="I1027" i="40"/>
  <c r="X1026" i="40"/>
  <c r="W1026" i="40"/>
  <c r="V1026" i="40"/>
  <c r="U1026" i="40"/>
  <c r="T1026" i="40"/>
  <c r="O1026" i="40"/>
  <c r="X1025" i="40"/>
  <c r="W1025" i="40"/>
  <c r="V1025" i="40"/>
  <c r="U1025" i="40"/>
  <c r="AB1025" i="40" s="1"/>
  <c r="T1025" i="40"/>
  <c r="O1025" i="40"/>
  <c r="X1024" i="40"/>
  <c r="W1024" i="40"/>
  <c r="V1024" i="40"/>
  <c r="U1024" i="40"/>
  <c r="AB1024" i="40" s="1"/>
  <c r="T1024" i="40"/>
  <c r="O1024" i="40"/>
  <c r="X1022" i="40"/>
  <c r="W1022" i="40"/>
  <c r="V1022" i="40"/>
  <c r="U1022" i="40"/>
  <c r="AB1022" i="40" s="1"/>
  <c r="T1022" i="40"/>
  <c r="O1022" i="40"/>
  <c r="X1021" i="40"/>
  <c r="W1021" i="40"/>
  <c r="V1021" i="40"/>
  <c r="U1021" i="40"/>
  <c r="AB1021" i="40" s="1"/>
  <c r="T1021" i="40"/>
  <c r="O1021" i="40"/>
  <c r="X1020" i="40"/>
  <c r="W1020" i="40"/>
  <c r="V1020" i="40"/>
  <c r="U1020" i="40"/>
  <c r="AB1020" i="40" s="1"/>
  <c r="T1020" i="40"/>
  <c r="O1020" i="40"/>
  <c r="X1019" i="40"/>
  <c r="W1019" i="40"/>
  <c r="V1019" i="40"/>
  <c r="U1019" i="40"/>
  <c r="AB1019" i="40" s="1"/>
  <c r="T1019" i="40"/>
  <c r="X1017" i="40"/>
  <c r="W1017" i="40"/>
  <c r="V1017" i="40"/>
  <c r="U1017" i="40"/>
  <c r="AB1017" i="40" s="1"/>
  <c r="T1017" i="40"/>
  <c r="O1017" i="40"/>
  <c r="X1016" i="40"/>
  <c r="W1016" i="40"/>
  <c r="V1016" i="40"/>
  <c r="U1016" i="40"/>
  <c r="AB1016" i="40" s="1"/>
  <c r="T1016" i="40"/>
  <c r="O1016" i="40"/>
  <c r="X1015" i="40"/>
  <c r="W1015" i="40"/>
  <c r="V1015" i="40"/>
  <c r="U1015" i="40"/>
  <c r="AB1015" i="40" s="1"/>
  <c r="T1015" i="40"/>
  <c r="O1015" i="40"/>
  <c r="X1014" i="40"/>
  <c r="W1014" i="40"/>
  <c r="V1014" i="40"/>
  <c r="U1014" i="40"/>
  <c r="AB1014" i="40" s="1"/>
  <c r="T1014" i="40"/>
  <c r="O1014" i="40"/>
  <c r="X1013" i="40"/>
  <c r="W1013" i="40"/>
  <c r="V1013" i="40"/>
  <c r="U1013" i="40"/>
  <c r="AB1013" i="40" s="1"/>
  <c r="T1013" i="40"/>
  <c r="O1013" i="40"/>
  <c r="X1010" i="40"/>
  <c r="W1010" i="40"/>
  <c r="V1010" i="40"/>
  <c r="U1010" i="40"/>
  <c r="AB1010" i="40" s="1"/>
  <c r="T1010" i="40"/>
  <c r="O1010" i="40"/>
  <c r="X1009" i="40"/>
  <c r="W1009" i="40"/>
  <c r="V1009" i="40"/>
  <c r="U1009" i="40"/>
  <c r="T1009" i="40"/>
  <c r="O1009" i="40"/>
  <c r="X1006" i="40"/>
  <c r="W1006" i="40"/>
  <c r="V1006" i="40"/>
  <c r="U1006" i="40"/>
  <c r="AB1006" i="40" s="1"/>
  <c r="T1006" i="40"/>
  <c r="O1006" i="40"/>
  <c r="I1006" i="40"/>
  <c r="X1005" i="40"/>
  <c r="W1005" i="40"/>
  <c r="V1005" i="40"/>
  <c r="U1005" i="40"/>
  <c r="T1005" i="40"/>
  <c r="O1005" i="40"/>
  <c r="I1005" i="40"/>
  <c r="X1004" i="40"/>
  <c r="W1004" i="40"/>
  <c r="V1004" i="40"/>
  <c r="U1004" i="40"/>
  <c r="T1004" i="40"/>
  <c r="O1004" i="40"/>
  <c r="I1004" i="40"/>
  <c r="X1003" i="40"/>
  <c r="W1003" i="40"/>
  <c r="V1003" i="40"/>
  <c r="U1003" i="40"/>
  <c r="T1003" i="40"/>
  <c r="O1003" i="40"/>
  <c r="I1003" i="40"/>
  <c r="X1001" i="40"/>
  <c r="W1001" i="40"/>
  <c r="V1001" i="40"/>
  <c r="U1001" i="40"/>
  <c r="AB1001" i="40" s="1"/>
  <c r="T1001" i="40"/>
  <c r="O1001" i="40"/>
  <c r="I1001" i="40"/>
  <c r="P999" i="40"/>
  <c r="L999" i="40"/>
  <c r="F999" i="40"/>
  <c r="L996" i="40"/>
  <c r="F996" i="40"/>
  <c r="X995" i="40"/>
  <c r="W995" i="40"/>
  <c r="V995" i="40"/>
  <c r="U995" i="40"/>
  <c r="T995" i="40"/>
  <c r="O995" i="40"/>
  <c r="I995" i="40"/>
  <c r="X994" i="40"/>
  <c r="W994" i="40"/>
  <c r="U994" i="40"/>
  <c r="T994" i="40"/>
  <c r="N994" i="40"/>
  <c r="V994" i="40" s="1"/>
  <c r="I994" i="40"/>
  <c r="R993" i="40"/>
  <c r="S993" i="40" s="1"/>
  <c r="P993" i="40"/>
  <c r="O993" i="40"/>
  <c r="I993" i="40"/>
  <c r="V992" i="40"/>
  <c r="U992" i="40"/>
  <c r="I992" i="40"/>
  <c r="X989" i="40"/>
  <c r="W989" i="40"/>
  <c r="V989" i="40"/>
  <c r="U989" i="40"/>
  <c r="T989" i="40"/>
  <c r="O989" i="40"/>
  <c r="I989" i="40"/>
  <c r="X988" i="40"/>
  <c r="W988" i="40"/>
  <c r="V988" i="40"/>
  <c r="U988" i="40"/>
  <c r="T988" i="40"/>
  <c r="O988" i="40"/>
  <c r="I988" i="40"/>
  <c r="X987" i="40"/>
  <c r="W987" i="40"/>
  <c r="V987" i="40"/>
  <c r="U987" i="40"/>
  <c r="T987" i="40"/>
  <c r="O987" i="40"/>
  <c r="I987" i="40"/>
  <c r="X986" i="40"/>
  <c r="W986" i="40"/>
  <c r="V986" i="40"/>
  <c r="U986" i="40"/>
  <c r="T986" i="40"/>
  <c r="O986" i="40"/>
  <c r="I986" i="40"/>
  <c r="X985" i="40"/>
  <c r="W985" i="40"/>
  <c r="V985" i="40"/>
  <c r="U985" i="40"/>
  <c r="T985" i="40"/>
  <c r="O985" i="40"/>
  <c r="I985" i="40"/>
  <c r="X984" i="40"/>
  <c r="W984" i="40"/>
  <c r="V984" i="40"/>
  <c r="U984" i="40"/>
  <c r="T984" i="40"/>
  <c r="O984" i="40"/>
  <c r="I984" i="40"/>
  <c r="X983" i="40"/>
  <c r="W983" i="40"/>
  <c r="V983" i="40"/>
  <c r="U983" i="40"/>
  <c r="T983" i="40"/>
  <c r="O983" i="40"/>
  <c r="I983" i="40"/>
  <c r="X981" i="40"/>
  <c r="W981" i="40"/>
  <c r="V981" i="40"/>
  <c r="U981" i="40"/>
  <c r="T981" i="40"/>
  <c r="O981" i="40"/>
  <c r="I981" i="40"/>
  <c r="X980" i="40"/>
  <c r="W980" i="40"/>
  <c r="V980" i="40"/>
  <c r="U980" i="40"/>
  <c r="T980" i="40"/>
  <c r="O980" i="40"/>
  <c r="I980" i="40"/>
  <c r="X979" i="40"/>
  <c r="W979" i="40"/>
  <c r="V979" i="40"/>
  <c r="U979" i="40"/>
  <c r="T979" i="40"/>
  <c r="O979" i="40"/>
  <c r="I979" i="40"/>
  <c r="X978" i="40"/>
  <c r="W978" i="40"/>
  <c r="V978" i="40"/>
  <c r="U978" i="40"/>
  <c r="T978" i="40"/>
  <c r="O978" i="40"/>
  <c r="I978" i="40"/>
  <c r="X977" i="40"/>
  <c r="W977" i="40"/>
  <c r="V977" i="40"/>
  <c r="U977" i="40"/>
  <c r="T977" i="40"/>
  <c r="O977" i="40"/>
  <c r="I977" i="40"/>
  <c r="X976" i="40"/>
  <c r="W976" i="40"/>
  <c r="V976" i="40"/>
  <c r="U976" i="40"/>
  <c r="T976" i="40"/>
  <c r="O976" i="40"/>
  <c r="I976" i="40"/>
  <c r="X975" i="40"/>
  <c r="W975" i="40"/>
  <c r="V975" i="40"/>
  <c r="U975" i="40"/>
  <c r="T975" i="40"/>
  <c r="O975" i="40"/>
  <c r="I975" i="40"/>
  <c r="X974" i="40"/>
  <c r="W974" i="40"/>
  <c r="V974" i="40"/>
  <c r="U974" i="40"/>
  <c r="T974" i="40"/>
  <c r="O974" i="40"/>
  <c r="X973" i="40"/>
  <c r="W973" i="40"/>
  <c r="V973" i="40"/>
  <c r="U973" i="40"/>
  <c r="T973" i="40"/>
  <c r="O973" i="40"/>
  <c r="X972" i="40"/>
  <c r="W972" i="40"/>
  <c r="V972" i="40"/>
  <c r="U972" i="40"/>
  <c r="T972" i="40"/>
  <c r="O972" i="40"/>
  <c r="X971" i="40"/>
  <c r="W971" i="40"/>
  <c r="V971" i="40"/>
  <c r="U971" i="40"/>
  <c r="T971" i="40"/>
  <c r="O971" i="40"/>
  <c r="X970" i="40"/>
  <c r="W970" i="40"/>
  <c r="V970" i="40"/>
  <c r="U970" i="40"/>
  <c r="T970" i="40"/>
  <c r="O970" i="40"/>
  <c r="X969" i="40"/>
  <c r="W969" i="40"/>
  <c r="V969" i="40"/>
  <c r="U969" i="40"/>
  <c r="T969" i="40"/>
  <c r="O969" i="40"/>
  <c r="X968" i="40"/>
  <c r="W968" i="40"/>
  <c r="V968" i="40"/>
  <c r="U968" i="40"/>
  <c r="T968" i="40"/>
  <c r="O968" i="40"/>
  <c r="X967" i="40"/>
  <c r="W967" i="40"/>
  <c r="V967" i="40"/>
  <c r="U967" i="40"/>
  <c r="T967" i="40"/>
  <c r="O967" i="40"/>
  <c r="X966" i="40"/>
  <c r="W966" i="40"/>
  <c r="V966" i="40"/>
  <c r="U966" i="40"/>
  <c r="T966" i="40"/>
  <c r="O966" i="40"/>
  <c r="X965" i="40"/>
  <c r="W965" i="40"/>
  <c r="V965" i="40"/>
  <c r="U965" i="40"/>
  <c r="T965" i="40"/>
  <c r="O965" i="40"/>
  <c r="X964" i="40"/>
  <c r="W964" i="40"/>
  <c r="V964" i="40"/>
  <c r="U964" i="40"/>
  <c r="T964" i="40"/>
  <c r="O964" i="40"/>
  <c r="X963" i="40"/>
  <c r="W963" i="40"/>
  <c r="V963" i="40"/>
  <c r="U963" i="40"/>
  <c r="O963" i="40"/>
  <c r="X962" i="40"/>
  <c r="W962" i="40"/>
  <c r="V962" i="40"/>
  <c r="U962" i="40"/>
  <c r="T962" i="40"/>
  <c r="O962" i="40"/>
  <c r="X961" i="40"/>
  <c r="W961" i="40"/>
  <c r="V961" i="40"/>
  <c r="U961" i="40"/>
  <c r="T961" i="40"/>
  <c r="O961" i="40"/>
  <c r="X960" i="40"/>
  <c r="W960" i="40"/>
  <c r="V960" i="40"/>
  <c r="U960" i="40"/>
  <c r="T960" i="40"/>
  <c r="O960" i="40"/>
  <c r="X958" i="40"/>
  <c r="W958" i="40"/>
  <c r="V958" i="40"/>
  <c r="U958" i="40"/>
  <c r="T958" i="40"/>
  <c r="O958" i="40"/>
  <c r="I958" i="40"/>
  <c r="X957" i="40"/>
  <c r="W957" i="40"/>
  <c r="V957" i="40"/>
  <c r="U957" i="40"/>
  <c r="T957" i="40"/>
  <c r="O957" i="40"/>
  <c r="I957" i="40"/>
  <c r="X956" i="40"/>
  <c r="W956" i="40"/>
  <c r="V956" i="40"/>
  <c r="U956" i="40"/>
  <c r="T956" i="40"/>
  <c r="O956" i="40"/>
  <c r="I956" i="40"/>
  <c r="V954" i="40"/>
  <c r="U954" i="40"/>
  <c r="T954" i="40"/>
  <c r="O954" i="40"/>
  <c r="V952" i="40"/>
  <c r="U952" i="40"/>
  <c r="T952" i="40"/>
  <c r="O952" i="40"/>
  <c r="X951" i="40"/>
  <c r="W951" i="40"/>
  <c r="V951" i="40"/>
  <c r="U951" i="40"/>
  <c r="T951" i="40"/>
  <c r="O951" i="40"/>
  <c r="I951" i="40"/>
  <c r="P949" i="40"/>
  <c r="L949" i="40"/>
  <c r="F949" i="40"/>
  <c r="L942" i="40"/>
  <c r="L945" i="40" s="1"/>
  <c r="F942" i="40"/>
  <c r="F945" i="40" s="1"/>
  <c r="V941" i="40"/>
  <c r="U941" i="40"/>
  <c r="T941" i="40"/>
  <c r="O941" i="40"/>
  <c r="V940" i="40"/>
  <c r="U940" i="40"/>
  <c r="T940" i="40"/>
  <c r="O940" i="40"/>
  <c r="V939" i="40"/>
  <c r="U939" i="40"/>
  <c r="T939" i="40"/>
  <c r="O939" i="40"/>
  <c r="V938" i="40"/>
  <c r="U938" i="40"/>
  <c r="T938" i="40"/>
  <c r="O938" i="40"/>
  <c r="V937" i="40"/>
  <c r="U937" i="40"/>
  <c r="T937" i="40"/>
  <c r="O937" i="40"/>
  <c r="V936" i="40"/>
  <c r="U936" i="40"/>
  <c r="T936" i="40"/>
  <c r="O936" i="40"/>
  <c r="V935" i="40"/>
  <c r="U935" i="40"/>
  <c r="T935" i="40"/>
  <c r="O935" i="40"/>
  <c r="V934" i="40"/>
  <c r="U934" i="40"/>
  <c r="T934" i="40"/>
  <c r="O934" i="40"/>
  <c r="V933" i="40"/>
  <c r="U933" i="40"/>
  <c r="T933" i="40"/>
  <c r="O933" i="40"/>
  <c r="V932" i="40"/>
  <c r="U932" i="40"/>
  <c r="T932" i="40"/>
  <c r="O932" i="40"/>
  <c r="I932" i="40"/>
  <c r="V931" i="40"/>
  <c r="U931" i="40"/>
  <c r="T931" i="40"/>
  <c r="O931" i="40"/>
  <c r="I931" i="40"/>
  <c r="V929" i="40"/>
  <c r="U929" i="40"/>
  <c r="T929" i="40"/>
  <c r="O929" i="40"/>
  <c r="I929" i="40"/>
  <c r="V928" i="40"/>
  <c r="U928" i="40"/>
  <c r="T928" i="40"/>
  <c r="O928" i="40"/>
  <c r="I928" i="40"/>
  <c r="V927" i="40"/>
  <c r="U927" i="40"/>
  <c r="T927" i="40"/>
  <c r="O927" i="40"/>
  <c r="I927" i="40"/>
  <c r="V926" i="40"/>
  <c r="U926" i="40"/>
  <c r="T926" i="40"/>
  <c r="O926" i="40"/>
  <c r="I926" i="40"/>
  <c r="V925" i="40"/>
  <c r="U925" i="40"/>
  <c r="T925" i="40"/>
  <c r="O925" i="40"/>
  <c r="I925" i="40"/>
  <c r="V924" i="40"/>
  <c r="U924" i="40"/>
  <c r="T924" i="40"/>
  <c r="O924" i="40"/>
  <c r="I924" i="40"/>
  <c r="V923" i="40"/>
  <c r="U923" i="40"/>
  <c r="T923" i="40"/>
  <c r="O923" i="40"/>
  <c r="I923" i="40"/>
  <c r="V922" i="40"/>
  <c r="U922" i="40"/>
  <c r="T922" i="40"/>
  <c r="O922" i="40"/>
  <c r="I922" i="40"/>
  <c r="V921" i="40"/>
  <c r="U921" i="40"/>
  <c r="T921" i="40"/>
  <c r="O921" i="40"/>
  <c r="I921" i="40"/>
  <c r="U918" i="40"/>
  <c r="T918" i="40"/>
  <c r="V918" i="40" s="1"/>
  <c r="T917" i="40"/>
  <c r="U916" i="40"/>
  <c r="T916" i="40"/>
  <c r="O916" i="40"/>
  <c r="I916" i="40"/>
  <c r="U915" i="40"/>
  <c r="T915" i="40"/>
  <c r="O915" i="40"/>
  <c r="I915" i="40"/>
  <c r="U914" i="40"/>
  <c r="T914" i="40"/>
  <c r="O914" i="40"/>
  <c r="I914" i="40"/>
  <c r="U913" i="40"/>
  <c r="T913" i="40"/>
  <c r="O913" i="40"/>
  <c r="I913" i="40"/>
  <c r="U912" i="40"/>
  <c r="T912" i="40"/>
  <c r="O912" i="40"/>
  <c r="I912" i="40"/>
  <c r="U911" i="40"/>
  <c r="T911" i="40"/>
  <c r="O911" i="40"/>
  <c r="I911" i="40"/>
  <c r="U910" i="40"/>
  <c r="T910" i="40"/>
  <c r="O910" i="40"/>
  <c r="I910" i="40"/>
  <c r="U909" i="40"/>
  <c r="T909" i="40"/>
  <c r="O909" i="40"/>
  <c r="I909" i="40"/>
  <c r="U908" i="40"/>
  <c r="T908" i="40"/>
  <c r="O908" i="40"/>
  <c r="I908" i="40"/>
  <c r="U907" i="40"/>
  <c r="T907" i="40"/>
  <c r="O907" i="40"/>
  <c r="I907" i="40"/>
  <c r="U906" i="40"/>
  <c r="T906" i="40"/>
  <c r="O906" i="40"/>
  <c r="I906" i="40"/>
  <c r="U905" i="40"/>
  <c r="T905" i="40"/>
  <c r="I905" i="40"/>
  <c r="U904" i="40"/>
  <c r="T904" i="40"/>
  <c r="P756" i="40"/>
  <c r="L756" i="40"/>
  <c r="V755" i="40"/>
  <c r="U755" i="40"/>
  <c r="T755" i="40"/>
  <c r="V754" i="40"/>
  <c r="U754" i="40"/>
  <c r="T754" i="40"/>
  <c r="O754" i="40"/>
  <c r="V753" i="40"/>
  <c r="U753" i="40"/>
  <c r="T753" i="40"/>
  <c r="O753" i="40"/>
  <c r="X752" i="40"/>
  <c r="W752" i="40"/>
  <c r="V752" i="40"/>
  <c r="U752" i="40"/>
  <c r="T752" i="40"/>
  <c r="O752" i="40"/>
  <c r="P750" i="40"/>
  <c r="L750" i="40"/>
  <c r="V749" i="40"/>
  <c r="U749" i="40"/>
  <c r="T749" i="40"/>
  <c r="X748" i="40"/>
  <c r="W748" i="40"/>
  <c r="V748" i="40"/>
  <c r="U748" i="40"/>
  <c r="T748" i="40"/>
  <c r="O748" i="40"/>
  <c r="X737" i="40"/>
  <c r="W737" i="40"/>
  <c r="V737" i="40"/>
  <c r="U737" i="40"/>
  <c r="T737" i="40"/>
  <c r="O737" i="40"/>
  <c r="P735" i="40"/>
  <c r="L735" i="40"/>
  <c r="V734" i="40"/>
  <c r="U734" i="40"/>
  <c r="T734" i="40"/>
  <c r="X729" i="40"/>
  <c r="W729" i="40"/>
  <c r="V729" i="40"/>
  <c r="U729" i="40"/>
  <c r="T729" i="40"/>
  <c r="O729" i="40"/>
  <c r="P727" i="40"/>
  <c r="L727" i="40"/>
  <c r="X726" i="40"/>
  <c r="W726" i="40"/>
  <c r="V726" i="40"/>
  <c r="U726" i="40"/>
  <c r="T726" i="40"/>
  <c r="X723" i="40"/>
  <c r="W723" i="40"/>
  <c r="V723" i="40"/>
  <c r="U723" i="40"/>
  <c r="T723" i="40"/>
  <c r="O723" i="40"/>
  <c r="X722" i="40"/>
  <c r="W722" i="40"/>
  <c r="V722" i="40"/>
  <c r="U722" i="40"/>
  <c r="T722" i="40"/>
  <c r="O722" i="40"/>
  <c r="X721" i="40"/>
  <c r="W721" i="40"/>
  <c r="V721" i="40"/>
  <c r="U721" i="40"/>
  <c r="T721" i="40"/>
  <c r="O721" i="40"/>
  <c r="X693" i="40"/>
  <c r="X719" i="40" s="1"/>
  <c r="W693" i="40"/>
  <c r="W719" i="40" s="1"/>
  <c r="V693" i="40"/>
  <c r="V719" i="40" s="1"/>
  <c r="U693" i="40"/>
  <c r="U719" i="40" s="1"/>
  <c r="T693" i="40"/>
  <c r="T719" i="40" s="1"/>
  <c r="O693" i="40"/>
  <c r="O719" i="40" s="1"/>
  <c r="P691" i="40"/>
  <c r="L691" i="40"/>
  <c r="U690" i="40"/>
  <c r="X689" i="40"/>
  <c r="W689" i="40"/>
  <c r="V689" i="40"/>
  <c r="U689" i="40"/>
  <c r="T689" i="40"/>
  <c r="O689" i="40"/>
  <c r="X688" i="40"/>
  <c r="W688" i="40"/>
  <c r="V688" i="40"/>
  <c r="U688" i="40"/>
  <c r="T688" i="40"/>
  <c r="O688" i="40"/>
  <c r="X687" i="40"/>
  <c r="W687" i="40"/>
  <c r="V687" i="40"/>
  <c r="U687" i="40"/>
  <c r="T687" i="40"/>
  <c r="O687" i="40"/>
  <c r="P685" i="40"/>
  <c r="L685" i="40"/>
  <c r="V684" i="40"/>
  <c r="U684" i="40"/>
  <c r="T684" i="40"/>
  <c r="X683" i="40"/>
  <c r="W683" i="40"/>
  <c r="V683" i="40"/>
  <c r="U683" i="40"/>
  <c r="T683" i="40"/>
  <c r="O683" i="40"/>
  <c r="X662" i="40"/>
  <c r="W662" i="40"/>
  <c r="V662" i="40"/>
  <c r="U662" i="40"/>
  <c r="T662" i="40"/>
  <c r="O662" i="40"/>
  <c r="DM660" i="40"/>
  <c r="DM685" i="40" s="1"/>
  <c r="DM691" i="40" s="1"/>
  <c r="DM719" i="40" s="1"/>
  <c r="DL660" i="40"/>
  <c r="DL685" i="40" s="1"/>
  <c r="DL691" i="40" s="1"/>
  <c r="DL719" i="40" s="1"/>
  <c r="DK660" i="40"/>
  <c r="DK685" i="40" s="1"/>
  <c r="DK691" i="40" s="1"/>
  <c r="DK719" i="40" s="1"/>
  <c r="DJ660" i="40"/>
  <c r="DJ685" i="40" s="1"/>
  <c r="DJ691" i="40" s="1"/>
  <c r="DJ719" i="40" s="1"/>
  <c r="DI660" i="40"/>
  <c r="DI685" i="40" s="1"/>
  <c r="DI691" i="40" s="1"/>
  <c r="DI719" i="40" s="1"/>
  <c r="DH660" i="40"/>
  <c r="DH685" i="40" s="1"/>
  <c r="DH691" i="40" s="1"/>
  <c r="DH719" i="40" s="1"/>
  <c r="DG660" i="40"/>
  <c r="DG685" i="40" s="1"/>
  <c r="DG691" i="40" s="1"/>
  <c r="DG719" i="40" s="1"/>
  <c r="DF660" i="40"/>
  <c r="DF685" i="40" s="1"/>
  <c r="DF691" i="40" s="1"/>
  <c r="DF719" i="40" s="1"/>
  <c r="DE660" i="40"/>
  <c r="DE685" i="40" s="1"/>
  <c r="DE691" i="40" s="1"/>
  <c r="DE719" i="40" s="1"/>
  <c r="DD660" i="40"/>
  <c r="DD685" i="40" s="1"/>
  <c r="DD691" i="40" s="1"/>
  <c r="DD719" i="40" s="1"/>
  <c r="DC660" i="40"/>
  <c r="DC685" i="40" s="1"/>
  <c r="DC691" i="40" s="1"/>
  <c r="DC719" i="40" s="1"/>
  <c r="DB660" i="40"/>
  <c r="DB685" i="40" s="1"/>
  <c r="DB691" i="40" s="1"/>
  <c r="DB719" i="40" s="1"/>
  <c r="DA660" i="40"/>
  <c r="DA685" i="40" s="1"/>
  <c r="DA691" i="40" s="1"/>
  <c r="DA719" i="40" s="1"/>
  <c r="CZ660" i="40"/>
  <c r="CZ685" i="40" s="1"/>
  <c r="CZ691" i="40" s="1"/>
  <c r="CZ719" i="40" s="1"/>
  <c r="CY660" i="40"/>
  <c r="CY685" i="40" s="1"/>
  <c r="CY691" i="40" s="1"/>
  <c r="CY719" i="40" s="1"/>
  <c r="CX660" i="40"/>
  <c r="CX685" i="40" s="1"/>
  <c r="CX691" i="40" s="1"/>
  <c r="CX719" i="40" s="1"/>
  <c r="CX727" i="40" s="1"/>
  <c r="CW660" i="40"/>
  <c r="CW685" i="40" s="1"/>
  <c r="CW691" i="40" s="1"/>
  <c r="CW719" i="40" s="1"/>
  <c r="CV660" i="40"/>
  <c r="CV685" i="40" s="1"/>
  <c r="CV691" i="40" s="1"/>
  <c r="CV719" i="40" s="1"/>
  <c r="CU660" i="40"/>
  <c r="CU685" i="40" s="1"/>
  <c r="CU691" i="40" s="1"/>
  <c r="CU719" i="40" s="1"/>
  <c r="CT660" i="40"/>
  <c r="CT685" i="40" s="1"/>
  <c r="CT691" i="40" s="1"/>
  <c r="CT719" i="40" s="1"/>
  <c r="CS660" i="40"/>
  <c r="CS685" i="40" s="1"/>
  <c r="CS691" i="40" s="1"/>
  <c r="CS719" i="40" s="1"/>
  <c r="CR660" i="40"/>
  <c r="CR685" i="40" s="1"/>
  <c r="CR691" i="40" s="1"/>
  <c r="CR719" i="40" s="1"/>
  <c r="CQ660" i="40"/>
  <c r="CQ685" i="40" s="1"/>
  <c r="CQ691" i="40" s="1"/>
  <c r="CQ719" i="40" s="1"/>
  <c r="CP660" i="40"/>
  <c r="CP685" i="40" s="1"/>
  <c r="CP691" i="40" s="1"/>
  <c r="CP719" i="40" s="1"/>
  <c r="CO660" i="40"/>
  <c r="CO685" i="40" s="1"/>
  <c r="CO691" i="40" s="1"/>
  <c r="CO719" i="40" s="1"/>
  <c r="CN660" i="40"/>
  <c r="CN685" i="40" s="1"/>
  <c r="CN691" i="40" s="1"/>
  <c r="CN719" i="40" s="1"/>
  <c r="CM660" i="40"/>
  <c r="CM685" i="40" s="1"/>
  <c r="CM691" i="40" s="1"/>
  <c r="CM719" i="40" s="1"/>
  <c r="CL660" i="40"/>
  <c r="CL685" i="40" s="1"/>
  <c r="CL691" i="40" s="1"/>
  <c r="CL719" i="40" s="1"/>
  <c r="CK660" i="40"/>
  <c r="CK685" i="40" s="1"/>
  <c r="CK691" i="40" s="1"/>
  <c r="CK719" i="40" s="1"/>
  <c r="CJ660" i="40"/>
  <c r="CJ685" i="40" s="1"/>
  <c r="CJ691" i="40" s="1"/>
  <c r="CJ719" i="40" s="1"/>
  <c r="CI660" i="40"/>
  <c r="CI685" i="40" s="1"/>
  <c r="CI691" i="40" s="1"/>
  <c r="CI719" i="40" s="1"/>
  <c r="CH660" i="40"/>
  <c r="CH685" i="40" s="1"/>
  <c r="CH691" i="40" s="1"/>
  <c r="CH719" i="40" s="1"/>
  <c r="CG660" i="40"/>
  <c r="CG685" i="40" s="1"/>
  <c r="CG691" i="40" s="1"/>
  <c r="CG719" i="40" s="1"/>
  <c r="CF660" i="40"/>
  <c r="CF685" i="40" s="1"/>
  <c r="CF691" i="40" s="1"/>
  <c r="CF719" i="40" s="1"/>
  <c r="CE660" i="40"/>
  <c r="CE685" i="40" s="1"/>
  <c r="CE691" i="40" s="1"/>
  <c r="CE719" i="40" s="1"/>
  <c r="CD660" i="40"/>
  <c r="CD685" i="40" s="1"/>
  <c r="CD691" i="40" s="1"/>
  <c r="CD719" i="40" s="1"/>
  <c r="CC660" i="40"/>
  <c r="CC685" i="40" s="1"/>
  <c r="CC691" i="40" s="1"/>
  <c r="CC719" i="40" s="1"/>
  <c r="CB660" i="40"/>
  <c r="CB685" i="40" s="1"/>
  <c r="CB691" i="40" s="1"/>
  <c r="CB719" i="40" s="1"/>
  <c r="CA660" i="40"/>
  <c r="CA685" i="40" s="1"/>
  <c r="CA691" i="40" s="1"/>
  <c r="CA719" i="40" s="1"/>
  <c r="BZ660" i="40"/>
  <c r="BZ685" i="40" s="1"/>
  <c r="BZ691" i="40" s="1"/>
  <c r="BZ719" i="40" s="1"/>
  <c r="BY660" i="40"/>
  <c r="BY685" i="40" s="1"/>
  <c r="BY691" i="40" s="1"/>
  <c r="BY719" i="40" s="1"/>
  <c r="BX660" i="40"/>
  <c r="BX685" i="40" s="1"/>
  <c r="BX691" i="40" s="1"/>
  <c r="BX719" i="40" s="1"/>
  <c r="BW660" i="40"/>
  <c r="BW685" i="40" s="1"/>
  <c r="BW691" i="40" s="1"/>
  <c r="BW719" i="40" s="1"/>
  <c r="BV660" i="40"/>
  <c r="BV685" i="40" s="1"/>
  <c r="BV691" i="40" s="1"/>
  <c r="BV719" i="40" s="1"/>
  <c r="P660" i="40"/>
  <c r="L660" i="40"/>
  <c r="I660" i="40"/>
  <c r="F660" i="40"/>
  <c r="X659" i="40"/>
  <c r="W659" i="40"/>
  <c r="V659" i="40"/>
  <c r="U659" i="40"/>
  <c r="T659" i="40"/>
  <c r="O659" i="40"/>
  <c r="X644" i="40"/>
  <c r="W644" i="40"/>
  <c r="V644" i="40"/>
  <c r="U644" i="40"/>
  <c r="T644" i="40"/>
  <c r="O644" i="40"/>
  <c r="X643" i="40"/>
  <c r="W643" i="40"/>
  <c r="V643" i="40"/>
  <c r="U643" i="40"/>
  <c r="T643" i="40"/>
  <c r="O643" i="40"/>
  <c r="X642" i="40"/>
  <c r="W642" i="40"/>
  <c r="V642" i="40"/>
  <c r="U642" i="40"/>
  <c r="T642" i="40"/>
  <c r="O642" i="40"/>
  <c r="P640" i="40"/>
  <c r="L640" i="40"/>
  <c r="I640" i="40"/>
  <c r="F640" i="40"/>
  <c r="X639" i="40"/>
  <c r="W639" i="40"/>
  <c r="V639" i="40"/>
  <c r="U639" i="40"/>
  <c r="T639" i="40"/>
  <c r="X636" i="40"/>
  <c r="W636" i="40"/>
  <c r="V636" i="40"/>
  <c r="U636" i="40"/>
  <c r="T636" i="40"/>
  <c r="O636" i="40"/>
  <c r="X630" i="40"/>
  <c r="W630" i="40"/>
  <c r="V630" i="40"/>
  <c r="U630" i="40"/>
  <c r="T630" i="40"/>
  <c r="O630" i="40"/>
  <c r="P628" i="40"/>
  <c r="L628" i="40"/>
  <c r="I628" i="40"/>
  <c r="F628" i="40"/>
  <c r="U627" i="40"/>
  <c r="T627" i="40"/>
  <c r="X605" i="40"/>
  <c r="W605" i="40"/>
  <c r="V605" i="40"/>
  <c r="U605" i="40"/>
  <c r="T605" i="40"/>
  <c r="O605" i="40"/>
  <c r="X604" i="40"/>
  <c r="W604" i="40"/>
  <c r="V604" i="40"/>
  <c r="U604" i="40"/>
  <c r="T604" i="40"/>
  <c r="O604" i="40"/>
  <c r="P602" i="40"/>
  <c r="L602" i="40"/>
  <c r="I602" i="40"/>
  <c r="F602" i="40"/>
  <c r="V601" i="40"/>
  <c r="U601" i="40"/>
  <c r="T601" i="40"/>
  <c r="O601" i="40"/>
  <c r="X592" i="40"/>
  <c r="W592" i="40"/>
  <c r="V592" i="40"/>
  <c r="U592" i="40"/>
  <c r="T592" i="40"/>
  <c r="O592" i="40"/>
  <c r="BU590" i="40"/>
  <c r="BU602" i="40" s="1"/>
  <c r="BU628" i="40" s="1"/>
  <c r="BU640" i="40" s="1"/>
  <c r="BU660" i="40" s="1"/>
  <c r="BU685" i="40" s="1"/>
  <c r="BU691" i="40" s="1"/>
  <c r="BU719" i="40" s="1"/>
  <c r="BT590" i="40"/>
  <c r="BT602" i="40" s="1"/>
  <c r="BT628" i="40" s="1"/>
  <c r="BT640" i="40" s="1"/>
  <c r="BT660" i="40" s="1"/>
  <c r="BT685" i="40" s="1"/>
  <c r="BT691" i="40" s="1"/>
  <c r="BT719" i="40" s="1"/>
  <c r="BS590" i="40"/>
  <c r="BS602" i="40" s="1"/>
  <c r="BS628" i="40" s="1"/>
  <c r="BS640" i="40" s="1"/>
  <c r="BS660" i="40" s="1"/>
  <c r="BS685" i="40" s="1"/>
  <c r="BS691" i="40" s="1"/>
  <c r="BS719" i="40" s="1"/>
  <c r="BR590" i="40"/>
  <c r="BR602" i="40" s="1"/>
  <c r="BR628" i="40" s="1"/>
  <c r="BR640" i="40" s="1"/>
  <c r="BR660" i="40" s="1"/>
  <c r="BR685" i="40" s="1"/>
  <c r="BR691" i="40" s="1"/>
  <c r="BR719" i="40" s="1"/>
  <c r="BM590" i="40"/>
  <c r="BM602" i="40" s="1"/>
  <c r="BM628" i="40" s="1"/>
  <c r="BM640" i="40" s="1"/>
  <c r="BM660" i="40" s="1"/>
  <c r="BM685" i="40" s="1"/>
  <c r="BM691" i="40" s="1"/>
  <c r="BM719" i="40" s="1"/>
  <c r="BL590" i="40"/>
  <c r="BL602" i="40" s="1"/>
  <c r="BL628" i="40" s="1"/>
  <c r="BL640" i="40" s="1"/>
  <c r="BL660" i="40" s="1"/>
  <c r="BL685" i="40" s="1"/>
  <c r="BL691" i="40" s="1"/>
  <c r="BL719" i="40" s="1"/>
  <c r="BK590" i="40"/>
  <c r="BK602" i="40" s="1"/>
  <c r="BK628" i="40" s="1"/>
  <c r="BK640" i="40" s="1"/>
  <c r="BK660" i="40" s="1"/>
  <c r="BK685" i="40" s="1"/>
  <c r="BK691" i="40" s="1"/>
  <c r="BK719" i="40" s="1"/>
  <c r="BJ590" i="40"/>
  <c r="BJ602" i="40" s="1"/>
  <c r="BJ628" i="40" s="1"/>
  <c r="BJ640" i="40" s="1"/>
  <c r="BJ660" i="40" s="1"/>
  <c r="BJ685" i="40" s="1"/>
  <c r="BJ691" i="40" s="1"/>
  <c r="BJ719" i="40" s="1"/>
  <c r="BI590" i="40"/>
  <c r="BI602" i="40" s="1"/>
  <c r="BI628" i="40" s="1"/>
  <c r="BI640" i="40" s="1"/>
  <c r="BI660" i="40" s="1"/>
  <c r="BI685" i="40" s="1"/>
  <c r="BI691" i="40" s="1"/>
  <c r="BI719" i="40" s="1"/>
  <c r="BH590" i="40"/>
  <c r="BH602" i="40" s="1"/>
  <c r="BH628" i="40" s="1"/>
  <c r="BH640" i="40" s="1"/>
  <c r="BH660" i="40" s="1"/>
  <c r="BH685" i="40" s="1"/>
  <c r="BH691" i="40" s="1"/>
  <c r="BH719" i="40" s="1"/>
  <c r="BG590" i="40"/>
  <c r="BG602" i="40" s="1"/>
  <c r="BG628" i="40" s="1"/>
  <c r="BG640" i="40" s="1"/>
  <c r="BG660" i="40" s="1"/>
  <c r="BG685" i="40" s="1"/>
  <c r="BG691" i="40" s="1"/>
  <c r="BG719" i="40" s="1"/>
  <c r="BF590" i="40"/>
  <c r="BF602" i="40" s="1"/>
  <c r="BF628" i="40" s="1"/>
  <c r="BF640" i="40" s="1"/>
  <c r="BF660" i="40" s="1"/>
  <c r="BF685" i="40" s="1"/>
  <c r="BF691" i="40" s="1"/>
  <c r="BF719" i="40" s="1"/>
  <c r="BE590" i="40"/>
  <c r="BE602" i="40" s="1"/>
  <c r="BE628" i="40" s="1"/>
  <c r="BE640" i="40" s="1"/>
  <c r="BE660" i="40" s="1"/>
  <c r="BE685" i="40" s="1"/>
  <c r="BE691" i="40" s="1"/>
  <c r="BE719" i="40" s="1"/>
  <c r="BD590" i="40"/>
  <c r="BD602" i="40" s="1"/>
  <c r="BD628" i="40" s="1"/>
  <c r="BD640" i="40" s="1"/>
  <c r="BD660" i="40" s="1"/>
  <c r="BD685" i="40" s="1"/>
  <c r="BC590" i="40"/>
  <c r="BC602" i="40" s="1"/>
  <c r="BC628" i="40" s="1"/>
  <c r="BC640" i="40" s="1"/>
  <c r="BC660" i="40" s="1"/>
  <c r="BB590" i="40"/>
  <c r="BB602" i="40" s="1"/>
  <c r="BB628" i="40" s="1"/>
  <c r="BB640" i="40" s="1"/>
  <c r="BB660" i="40" s="1"/>
  <c r="BA590" i="40"/>
  <c r="BA602" i="40" s="1"/>
  <c r="BA628" i="40" s="1"/>
  <c r="BA640" i="40" s="1"/>
  <c r="BA660" i="40" s="1"/>
  <c r="AZ590" i="40"/>
  <c r="AZ602" i="40" s="1"/>
  <c r="AZ628" i="40" s="1"/>
  <c r="AZ640" i="40" s="1"/>
  <c r="AZ660" i="40" s="1"/>
  <c r="AZ685" i="40" s="1"/>
  <c r="AZ691" i="40" s="1"/>
  <c r="AZ719" i="40" s="1"/>
  <c r="AY590" i="40"/>
  <c r="AY602" i="40" s="1"/>
  <c r="AY628" i="40" s="1"/>
  <c r="AY640" i="40" s="1"/>
  <c r="AX590" i="40"/>
  <c r="AX602" i="40" s="1"/>
  <c r="AX628" i="40" s="1"/>
  <c r="AX640" i="40" s="1"/>
  <c r="AX660" i="40" s="1"/>
  <c r="AX685" i="40" s="1"/>
  <c r="AX691" i="40" s="1"/>
  <c r="AX719" i="40" s="1"/>
  <c r="AW590" i="40"/>
  <c r="AW602" i="40" s="1"/>
  <c r="AW628" i="40" s="1"/>
  <c r="AW640" i="40" s="1"/>
  <c r="AW660" i="40" s="1"/>
  <c r="AW685" i="40" s="1"/>
  <c r="AW691" i="40" s="1"/>
  <c r="AW719" i="40" s="1"/>
  <c r="AV590" i="40"/>
  <c r="AV602" i="40" s="1"/>
  <c r="AV628" i="40" s="1"/>
  <c r="AU590" i="40"/>
  <c r="AU602" i="40" s="1"/>
  <c r="AU628" i="40" s="1"/>
  <c r="AU640" i="40" s="1"/>
  <c r="AU660" i="40" s="1"/>
  <c r="AU685" i="40" s="1"/>
  <c r="AU691" i="40" s="1"/>
  <c r="AU719" i="40" s="1"/>
  <c r="AT590" i="40"/>
  <c r="AT602" i="40" s="1"/>
  <c r="AT628" i="40" s="1"/>
  <c r="AT640" i="40" s="1"/>
  <c r="AT660" i="40" s="1"/>
  <c r="AT685" i="40" s="1"/>
  <c r="AT691" i="40" s="1"/>
  <c r="AT719" i="40" s="1"/>
  <c r="AS590" i="40"/>
  <c r="AS602" i="40" s="1"/>
  <c r="AR590" i="40"/>
  <c r="AR602" i="40" s="1"/>
  <c r="AR628" i="40" s="1"/>
  <c r="AR640" i="40" s="1"/>
  <c r="AR660" i="40" s="1"/>
  <c r="AR685" i="40" s="1"/>
  <c r="AR691" i="40" s="1"/>
  <c r="AR719" i="40" s="1"/>
  <c r="AQ590" i="40"/>
  <c r="AQ602" i="40" s="1"/>
  <c r="AP590" i="40"/>
  <c r="AP602" i="40" s="1"/>
  <c r="AP628" i="40" s="1"/>
  <c r="AP640" i="40" s="1"/>
  <c r="AP660" i="40" s="1"/>
  <c r="AP685" i="40" s="1"/>
  <c r="AP691" i="40" s="1"/>
  <c r="AP719" i="40" s="1"/>
  <c r="AO590" i="40"/>
  <c r="AO602" i="40" s="1"/>
  <c r="AO628" i="40" s="1"/>
  <c r="AO640" i="40" s="1"/>
  <c r="AO660" i="40" s="1"/>
  <c r="AO685" i="40" s="1"/>
  <c r="AO691" i="40" s="1"/>
  <c r="AO719" i="40" s="1"/>
  <c r="AN590" i="40"/>
  <c r="AM590" i="40"/>
  <c r="AM602" i="40" s="1"/>
  <c r="AM628" i="40" s="1"/>
  <c r="AM640" i="40" s="1"/>
  <c r="AM660" i="40" s="1"/>
  <c r="AM685" i="40" s="1"/>
  <c r="AM691" i="40" s="1"/>
  <c r="AM719" i="40" s="1"/>
  <c r="AH590" i="40"/>
  <c r="AH602" i="40" s="1"/>
  <c r="AH628" i="40" s="1"/>
  <c r="AH640" i="40" s="1"/>
  <c r="AH660" i="40" s="1"/>
  <c r="AH685" i="40" s="1"/>
  <c r="AH691" i="40" s="1"/>
  <c r="AH719" i="40" s="1"/>
  <c r="P590" i="40"/>
  <c r="L590" i="40"/>
  <c r="I590" i="40"/>
  <c r="AK590" i="40"/>
  <c r="AK602" i="40" s="1"/>
  <c r="AK628" i="40" s="1"/>
  <c r="AK640" i="40" s="1"/>
  <c r="AK660" i="40" s="1"/>
  <c r="AK685" i="40" s="1"/>
  <c r="AK691" i="40" s="1"/>
  <c r="AK719" i="40" s="1"/>
  <c r="AB590" i="40"/>
  <c r="AB602" i="40" s="1"/>
  <c r="AB628" i="40" s="1"/>
  <c r="AB640" i="40" s="1"/>
  <c r="AB660" i="40" s="1"/>
  <c r="AB685" i="40" s="1"/>
  <c r="AB691" i="40" s="1"/>
  <c r="AB719" i="40" s="1"/>
  <c r="AA590" i="40"/>
  <c r="AA602" i="40" s="1"/>
  <c r="AA628" i="40" s="1"/>
  <c r="DM562" i="40"/>
  <c r="DL562" i="40"/>
  <c r="DK562" i="40"/>
  <c r="DJ562" i="40"/>
  <c r="DI562" i="40"/>
  <c r="DH562" i="40"/>
  <c r="DG562" i="40"/>
  <c r="DF562" i="40"/>
  <c r="DE562" i="40"/>
  <c r="DD562" i="40"/>
  <c r="DC562" i="40"/>
  <c r="DB562" i="40"/>
  <c r="DA562" i="40"/>
  <c r="CZ562" i="40"/>
  <c r="CY562" i="40"/>
  <c r="CX562" i="40"/>
  <c r="CW562" i="40"/>
  <c r="CV562" i="40"/>
  <c r="CU562" i="40"/>
  <c r="CT562" i="40"/>
  <c r="CS562" i="40"/>
  <c r="CR562" i="40"/>
  <c r="CQ562" i="40"/>
  <c r="CP562" i="40"/>
  <c r="CO562" i="40"/>
  <c r="CN562" i="40"/>
  <c r="CM562" i="40"/>
  <c r="CL562" i="40"/>
  <c r="CK562" i="40"/>
  <c r="CJ562" i="40"/>
  <c r="CI562" i="40"/>
  <c r="CH562" i="40"/>
  <c r="CG562" i="40"/>
  <c r="CF562" i="40"/>
  <c r="CE562" i="40"/>
  <c r="CD562" i="40"/>
  <c r="CC562" i="40"/>
  <c r="CB562" i="40"/>
  <c r="CA562" i="40"/>
  <c r="BZ562" i="40"/>
  <c r="BY562" i="40"/>
  <c r="BX562" i="40"/>
  <c r="BW562" i="40"/>
  <c r="BV562" i="40"/>
  <c r="BU562" i="40"/>
  <c r="BT562" i="40"/>
  <c r="BS562" i="40"/>
  <c r="BR562" i="40"/>
  <c r="BM562" i="40"/>
  <c r="BL562" i="40"/>
  <c r="BK562" i="40"/>
  <c r="BJ562" i="40"/>
  <c r="BI562" i="40"/>
  <c r="BH562" i="40"/>
  <c r="BG562" i="40"/>
  <c r="BF562" i="40"/>
  <c r="BE562" i="40"/>
  <c r="BD562" i="40"/>
  <c r="BC562" i="40"/>
  <c r="BB562" i="40"/>
  <c r="BA562" i="40"/>
  <c r="AZ562" i="40"/>
  <c r="AY562" i="40"/>
  <c r="AX562" i="40"/>
  <c r="AW562" i="40"/>
  <c r="AV562" i="40"/>
  <c r="AU562" i="40"/>
  <c r="AT562" i="40"/>
  <c r="AS562" i="40"/>
  <c r="AR562" i="40"/>
  <c r="AQ562" i="40"/>
  <c r="AP562" i="40"/>
  <c r="AO562" i="40"/>
  <c r="AN562" i="40"/>
  <c r="AM562" i="40"/>
  <c r="AK562" i="40"/>
  <c r="AH562" i="40"/>
  <c r="AB562" i="40"/>
  <c r="AA562" i="40"/>
  <c r="P562" i="40"/>
  <c r="L562" i="40"/>
  <c r="F562" i="40"/>
  <c r="AB561" i="40"/>
  <c r="AA561" i="40"/>
  <c r="P556" i="40"/>
  <c r="L556" i="40"/>
  <c r="I556" i="40"/>
  <c r="F556" i="40"/>
  <c r="X554" i="40"/>
  <c r="W554" i="40"/>
  <c r="U554" i="40"/>
  <c r="X553" i="40"/>
  <c r="W553" i="40"/>
  <c r="V553" i="40"/>
  <c r="U553" i="40"/>
  <c r="O553" i="40"/>
  <c r="P551" i="40"/>
  <c r="L551" i="40"/>
  <c r="I551" i="40"/>
  <c r="F551" i="40"/>
  <c r="X550" i="40"/>
  <c r="W550" i="40"/>
  <c r="V550" i="40"/>
  <c r="U550" i="40"/>
  <c r="T550" i="40"/>
  <c r="O550" i="40"/>
  <c r="X548" i="40"/>
  <c r="W548" i="40"/>
  <c r="V548" i="40"/>
  <c r="U548" i="40"/>
  <c r="T548" i="40"/>
  <c r="O548" i="40"/>
  <c r="P546" i="40"/>
  <c r="L546" i="40"/>
  <c r="I546" i="40"/>
  <c r="F546" i="40"/>
  <c r="X544" i="40"/>
  <c r="W544" i="40"/>
  <c r="V544" i="40"/>
  <c r="U544" i="40"/>
  <c r="T544" i="40"/>
  <c r="O544" i="40"/>
  <c r="X543" i="40"/>
  <c r="W543" i="40"/>
  <c r="V543" i="40"/>
  <c r="U543" i="40"/>
  <c r="T543" i="40"/>
  <c r="O543" i="40"/>
  <c r="P541" i="40"/>
  <c r="I541" i="40"/>
  <c r="F541" i="40"/>
  <c r="X538" i="40"/>
  <c r="W538" i="40"/>
  <c r="V538" i="40"/>
  <c r="U538" i="40"/>
  <c r="T538" i="40"/>
  <c r="O538" i="40"/>
  <c r="P536" i="40"/>
  <c r="L536" i="40"/>
  <c r="I536" i="40"/>
  <c r="F536" i="40"/>
  <c r="X535" i="40"/>
  <c r="W535" i="40"/>
  <c r="V535" i="40"/>
  <c r="U535" i="40"/>
  <c r="T535" i="40"/>
  <c r="O535" i="40"/>
  <c r="X534" i="40"/>
  <c r="W534" i="40"/>
  <c r="V534" i="40"/>
  <c r="U534" i="40"/>
  <c r="T534" i="40"/>
  <c r="O534" i="40"/>
  <c r="X533" i="40"/>
  <c r="W533" i="40"/>
  <c r="V533" i="40"/>
  <c r="U533" i="40"/>
  <c r="T533" i="40"/>
  <c r="O533" i="40"/>
  <c r="X528" i="40"/>
  <c r="W528" i="40"/>
  <c r="V528" i="40"/>
  <c r="U528" i="40"/>
  <c r="T528" i="40"/>
  <c r="O528" i="40"/>
  <c r="X527" i="40"/>
  <c r="W527" i="40"/>
  <c r="V527" i="40"/>
  <c r="U527" i="40"/>
  <c r="T527" i="40"/>
  <c r="O527" i="40"/>
  <c r="I525" i="40"/>
  <c r="F525" i="40"/>
  <c r="X523" i="40"/>
  <c r="W523" i="40"/>
  <c r="V523" i="40"/>
  <c r="U523" i="40"/>
  <c r="T523" i="40"/>
  <c r="O523" i="40"/>
  <c r="X522" i="40"/>
  <c r="W522" i="40"/>
  <c r="V522" i="40"/>
  <c r="U522" i="40"/>
  <c r="T522" i="40"/>
  <c r="O522" i="40"/>
  <c r="DM520" i="40"/>
  <c r="DM525" i="40" s="1"/>
  <c r="DL520" i="40"/>
  <c r="DL525" i="40" s="1"/>
  <c r="DK520" i="40"/>
  <c r="DK525" i="40" s="1"/>
  <c r="DJ520" i="40"/>
  <c r="DJ525" i="40" s="1"/>
  <c r="DI520" i="40"/>
  <c r="DI525" i="40" s="1"/>
  <c r="DH520" i="40"/>
  <c r="DH525" i="40" s="1"/>
  <c r="DG520" i="40"/>
  <c r="DG525" i="40" s="1"/>
  <c r="DF520" i="40"/>
  <c r="DF525" i="40" s="1"/>
  <c r="DE520" i="40"/>
  <c r="DE525" i="40" s="1"/>
  <c r="DD520" i="40"/>
  <c r="DD525" i="40" s="1"/>
  <c r="DC520" i="40"/>
  <c r="DC525" i="40" s="1"/>
  <c r="DB520" i="40"/>
  <c r="DB525" i="40" s="1"/>
  <c r="DA520" i="40"/>
  <c r="DA525" i="40" s="1"/>
  <c r="CZ520" i="40"/>
  <c r="CZ525" i="40" s="1"/>
  <c r="CY520" i="40"/>
  <c r="CY525" i="40" s="1"/>
  <c r="CX520" i="40"/>
  <c r="CX525" i="40" s="1"/>
  <c r="CW520" i="40"/>
  <c r="CW525" i="40" s="1"/>
  <c r="CV520" i="40"/>
  <c r="CV525" i="40" s="1"/>
  <c r="CU520" i="40"/>
  <c r="CU525" i="40" s="1"/>
  <c r="CT520" i="40"/>
  <c r="CT525" i="40" s="1"/>
  <c r="CS520" i="40"/>
  <c r="CS525" i="40" s="1"/>
  <c r="CR520" i="40"/>
  <c r="CR525" i="40" s="1"/>
  <c r="CQ520" i="40"/>
  <c r="CQ525" i="40" s="1"/>
  <c r="CP520" i="40"/>
  <c r="CP525" i="40" s="1"/>
  <c r="CO520" i="40"/>
  <c r="CO525" i="40" s="1"/>
  <c r="CN520" i="40"/>
  <c r="CN525" i="40" s="1"/>
  <c r="CM520" i="40"/>
  <c r="CM525" i="40" s="1"/>
  <c r="CL520" i="40"/>
  <c r="CL525" i="40" s="1"/>
  <c r="CK520" i="40"/>
  <c r="CK525" i="40" s="1"/>
  <c r="CJ520" i="40"/>
  <c r="CJ525" i="40" s="1"/>
  <c r="CI520" i="40"/>
  <c r="CI525" i="40" s="1"/>
  <c r="CH520" i="40"/>
  <c r="CH525" i="40" s="1"/>
  <c r="CG520" i="40"/>
  <c r="CG525" i="40" s="1"/>
  <c r="CF520" i="40"/>
  <c r="CF525" i="40" s="1"/>
  <c r="CE520" i="40"/>
  <c r="CE525" i="40" s="1"/>
  <c r="CD520" i="40"/>
  <c r="CD525" i="40" s="1"/>
  <c r="CC520" i="40"/>
  <c r="CC525" i="40" s="1"/>
  <c r="CB520" i="40"/>
  <c r="CB525" i="40" s="1"/>
  <c r="CA520" i="40"/>
  <c r="CA525" i="40" s="1"/>
  <c r="BZ520" i="40"/>
  <c r="BZ525" i="40" s="1"/>
  <c r="BY520" i="40"/>
  <c r="BY525" i="40" s="1"/>
  <c r="BX520" i="40"/>
  <c r="BX525" i="40" s="1"/>
  <c r="BW520" i="40"/>
  <c r="BW525" i="40" s="1"/>
  <c r="BV520" i="40"/>
  <c r="BV525" i="40" s="1"/>
  <c r="BU520" i="40"/>
  <c r="BU525" i="40" s="1"/>
  <c r="BT520" i="40"/>
  <c r="BT525" i="40" s="1"/>
  <c r="BS520" i="40"/>
  <c r="BS525" i="40" s="1"/>
  <c r="BR520" i="40"/>
  <c r="BR525" i="40" s="1"/>
  <c r="BM520" i="40"/>
  <c r="BM525" i="40" s="1"/>
  <c r="BL520" i="40"/>
  <c r="BL525" i="40" s="1"/>
  <c r="BK520" i="40"/>
  <c r="BK525" i="40" s="1"/>
  <c r="BJ520" i="40"/>
  <c r="BJ525" i="40" s="1"/>
  <c r="BI520" i="40"/>
  <c r="BI525" i="40" s="1"/>
  <c r="BH520" i="40"/>
  <c r="BH525" i="40" s="1"/>
  <c r="BG520" i="40"/>
  <c r="BG525" i="40" s="1"/>
  <c r="BF520" i="40"/>
  <c r="BF525" i="40" s="1"/>
  <c r="BE520" i="40"/>
  <c r="BE525" i="40" s="1"/>
  <c r="BD520" i="40"/>
  <c r="BD525" i="40" s="1"/>
  <c r="BC520" i="40"/>
  <c r="BC525" i="40" s="1"/>
  <c r="BB520" i="40"/>
  <c r="BB525" i="40" s="1"/>
  <c r="BA520" i="40"/>
  <c r="BA525" i="40" s="1"/>
  <c r="AZ520" i="40"/>
  <c r="AZ525" i="40" s="1"/>
  <c r="AY520" i="40"/>
  <c r="AY525" i="40" s="1"/>
  <c r="AX520" i="40"/>
  <c r="AX525" i="40" s="1"/>
  <c r="AW520" i="40"/>
  <c r="AW525" i="40" s="1"/>
  <c r="AV520" i="40"/>
  <c r="AV525" i="40" s="1"/>
  <c r="AU520" i="40"/>
  <c r="AU525" i="40" s="1"/>
  <c r="AT520" i="40"/>
  <c r="AT525" i="40" s="1"/>
  <c r="AS520" i="40"/>
  <c r="AS525" i="40" s="1"/>
  <c r="AR520" i="40"/>
  <c r="AR525" i="40" s="1"/>
  <c r="AQ520" i="40"/>
  <c r="AQ525" i="40" s="1"/>
  <c r="AP520" i="40"/>
  <c r="AP525" i="40" s="1"/>
  <c r="AO520" i="40"/>
  <c r="AO525" i="40" s="1"/>
  <c r="AK520" i="40"/>
  <c r="AK525" i="40" s="1"/>
  <c r="AH520" i="40"/>
  <c r="AH525" i="40" s="1"/>
  <c r="P520" i="40"/>
  <c r="L520" i="40"/>
  <c r="I520" i="40"/>
  <c r="F520" i="40"/>
  <c r="X519" i="40"/>
  <c r="W519" i="40"/>
  <c r="V519" i="40"/>
  <c r="T519" i="40"/>
  <c r="O519" i="40"/>
  <c r="X510" i="40"/>
  <c r="W510" i="40"/>
  <c r="V510" i="40"/>
  <c r="T510" i="40"/>
  <c r="O510" i="40"/>
  <c r="X509" i="40"/>
  <c r="W509" i="40"/>
  <c r="V509" i="40"/>
  <c r="T509" i="40"/>
  <c r="O509" i="40"/>
  <c r="X503" i="40"/>
  <c r="X507" i="40" s="1"/>
  <c r="W503" i="40"/>
  <c r="W507" i="40" s="1"/>
  <c r="V503" i="40"/>
  <c r="V507" i="40" s="1"/>
  <c r="U503" i="40"/>
  <c r="U507" i="40" s="1"/>
  <c r="T503" i="40"/>
  <c r="T507" i="40" s="1"/>
  <c r="O503" i="40"/>
  <c r="O507" i="40" s="1"/>
  <c r="P501" i="40"/>
  <c r="L501" i="40"/>
  <c r="I501" i="40"/>
  <c r="F501" i="40"/>
  <c r="X497" i="40"/>
  <c r="W497" i="40"/>
  <c r="V497" i="40"/>
  <c r="U497" i="40"/>
  <c r="T497" i="40"/>
  <c r="O497" i="40"/>
  <c r="I495" i="40"/>
  <c r="F495" i="40"/>
  <c r="P489" i="40"/>
  <c r="L489" i="40"/>
  <c r="I489" i="40"/>
  <c r="F489" i="40"/>
  <c r="AB489" i="40"/>
  <c r="DM466" i="40"/>
  <c r="DL466" i="40"/>
  <c r="DK466" i="40"/>
  <c r="DJ466" i="40"/>
  <c r="DI466" i="40"/>
  <c r="DH466" i="40"/>
  <c r="DG466" i="40"/>
  <c r="DF466" i="40"/>
  <c r="DE466" i="40"/>
  <c r="DD466" i="40"/>
  <c r="DC466" i="40"/>
  <c r="DB466" i="40"/>
  <c r="DA466" i="40"/>
  <c r="CZ466" i="40"/>
  <c r="CY466" i="40"/>
  <c r="CX466" i="40"/>
  <c r="CW466" i="40"/>
  <c r="CV466" i="40"/>
  <c r="CU466" i="40"/>
  <c r="CT466" i="40"/>
  <c r="CS466" i="40"/>
  <c r="CR466" i="40"/>
  <c r="CQ466" i="40"/>
  <c r="CP466" i="40"/>
  <c r="CO466" i="40"/>
  <c r="CN466" i="40"/>
  <c r="CM466" i="40"/>
  <c r="CL466" i="40"/>
  <c r="CK466" i="40"/>
  <c r="CJ466" i="40"/>
  <c r="CI466" i="40"/>
  <c r="CH466" i="40"/>
  <c r="CG466" i="40"/>
  <c r="CF466" i="40"/>
  <c r="CE466" i="40"/>
  <c r="CD466" i="40"/>
  <c r="CC466" i="40"/>
  <c r="CB466" i="40"/>
  <c r="CA466" i="40"/>
  <c r="BZ466" i="40"/>
  <c r="BY466" i="40"/>
  <c r="BX466" i="40"/>
  <c r="BW466" i="40"/>
  <c r="BV466" i="40"/>
  <c r="BU466" i="40"/>
  <c r="BT466" i="40"/>
  <c r="BS466" i="40"/>
  <c r="BR466" i="40"/>
  <c r="BM466" i="40"/>
  <c r="BL466" i="40"/>
  <c r="BK466" i="40"/>
  <c r="BJ466" i="40"/>
  <c r="BI466" i="40"/>
  <c r="BH466" i="40"/>
  <c r="BG466" i="40"/>
  <c r="BF466" i="40"/>
  <c r="BE466" i="40"/>
  <c r="BD466" i="40"/>
  <c r="BC466" i="40"/>
  <c r="BB466" i="40"/>
  <c r="BA466" i="40"/>
  <c r="AZ466" i="40"/>
  <c r="AY466" i="40"/>
  <c r="AX466" i="40"/>
  <c r="AW466" i="40"/>
  <c r="AV466" i="40"/>
  <c r="AU466" i="40"/>
  <c r="AT466" i="40"/>
  <c r="AS466" i="40"/>
  <c r="AR466" i="40"/>
  <c r="AQ466" i="40"/>
  <c r="AP466" i="40"/>
  <c r="AN466" i="40"/>
  <c r="AM466" i="40"/>
  <c r="AK466" i="40"/>
  <c r="AH466" i="40"/>
  <c r="AB466" i="40"/>
  <c r="AA466" i="40"/>
  <c r="P466" i="40"/>
  <c r="L466" i="40"/>
  <c r="F466" i="40"/>
  <c r="L461" i="40"/>
  <c r="I461" i="40"/>
  <c r="F461" i="40"/>
  <c r="X460" i="40"/>
  <c r="W460" i="40"/>
  <c r="V460" i="40"/>
  <c r="U460" i="40"/>
  <c r="T460" i="40"/>
  <c r="O460" i="40"/>
  <c r="X455" i="40"/>
  <c r="W455" i="40"/>
  <c r="V455" i="40"/>
  <c r="U455" i="40"/>
  <c r="T455" i="40"/>
  <c r="O455" i="40"/>
  <c r="X456" i="40"/>
  <c r="W456" i="40"/>
  <c r="V456" i="40"/>
  <c r="U456" i="40"/>
  <c r="T456" i="40"/>
  <c r="O456" i="40"/>
  <c r="X409" i="40"/>
  <c r="W409" i="40"/>
  <c r="V409" i="40"/>
  <c r="U409" i="40"/>
  <c r="T409" i="40"/>
  <c r="O409" i="40"/>
  <c r="P407" i="40"/>
  <c r="L407" i="40"/>
  <c r="I407" i="40"/>
  <c r="F407" i="40"/>
  <c r="X406" i="40"/>
  <c r="W406" i="40"/>
  <c r="V406" i="40"/>
  <c r="U406" i="40"/>
  <c r="T406" i="40"/>
  <c r="O406" i="40"/>
  <c r="P358" i="40"/>
  <c r="L358" i="40"/>
  <c r="I358" i="40"/>
  <c r="F358" i="40"/>
  <c r="X357" i="40"/>
  <c r="W357" i="40"/>
  <c r="V357" i="40"/>
  <c r="U357" i="40"/>
  <c r="T357" i="40"/>
  <c r="O357" i="40"/>
  <c r="O334" i="40"/>
  <c r="X331" i="40"/>
  <c r="W331" i="40"/>
  <c r="V331" i="40"/>
  <c r="U331" i="40"/>
  <c r="T331" i="40"/>
  <c r="O331" i="40"/>
  <c r="P329" i="40"/>
  <c r="L329" i="40"/>
  <c r="I329" i="40"/>
  <c r="F329" i="40"/>
  <c r="X328" i="40"/>
  <c r="W328" i="40"/>
  <c r="V328" i="40"/>
  <c r="U328" i="40"/>
  <c r="T328" i="40"/>
  <c r="O328" i="40"/>
  <c r="X319" i="40"/>
  <c r="W319" i="40"/>
  <c r="V319" i="40"/>
  <c r="U319" i="40"/>
  <c r="T319" i="40"/>
  <c r="O319" i="40"/>
  <c r="X313" i="40"/>
  <c r="W313" i="40"/>
  <c r="V313" i="40"/>
  <c r="U313" i="40"/>
  <c r="T313" i="40"/>
  <c r="X310" i="40"/>
  <c r="W310" i="40"/>
  <c r="V310" i="40"/>
  <c r="U310" i="40"/>
  <c r="T310" i="40"/>
  <c r="L308" i="40"/>
  <c r="I308" i="40"/>
  <c r="F308" i="40"/>
  <c r="X307" i="40"/>
  <c r="W307" i="40"/>
  <c r="V307" i="40"/>
  <c r="U307" i="40"/>
  <c r="T307" i="40"/>
  <c r="O307" i="40"/>
  <c r="X289" i="40"/>
  <c r="W289" i="40"/>
  <c r="V289" i="40"/>
  <c r="U289" i="40"/>
  <c r="T289" i="40"/>
  <c r="O289" i="40"/>
  <c r="X288" i="40"/>
  <c r="W288" i="40"/>
  <c r="V288" i="40"/>
  <c r="U288" i="40"/>
  <c r="T288" i="40"/>
  <c r="O288" i="40"/>
  <c r="X287" i="40"/>
  <c r="W287" i="40"/>
  <c r="V287" i="40"/>
  <c r="U287" i="40"/>
  <c r="T287" i="40"/>
  <c r="O287" i="40"/>
  <c r="X286" i="40"/>
  <c r="W286" i="40"/>
  <c r="V286" i="40"/>
  <c r="U286" i="40"/>
  <c r="T286" i="40"/>
  <c r="O286" i="40"/>
  <c r="X283" i="40"/>
  <c r="W283" i="40"/>
  <c r="V283" i="40"/>
  <c r="U283" i="40"/>
  <c r="T283" i="40"/>
  <c r="O283" i="40"/>
  <c r="X282" i="40"/>
  <c r="W282" i="40"/>
  <c r="V282" i="40"/>
  <c r="U282" i="40"/>
  <c r="T282" i="40"/>
  <c r="O282" i="40"/>
  <c r="X281" i="40"/>
  <c r="W281" i="40"/>
  <c r="V281" i="40"/>
  <c r="U281" i="40"/>
  <c r="T281" i="40"/>
  <c r="O281" i="40"/>
  <c r="X279" i="40"/>
  <c r="W279" i="40"/>
  <c r="V279" i="40"/>
  <c r="U279" i="40"/>
  <c r="T279" i="40"/>
  <c r="O279" i="40"/>
  <c r="X278" i="40"/>
  <c r="W278" i="40"/>
  <c r="V278" i="40"/>
  <c r="U278" i="40"/>
  <c r="T278" i="40"/>
  <c r="O278" i="40"/>
  <c r="P276" i="40"/>
  <c r="L276" i="40"/>
  <c r="I276" i="40"/>
  <c r="F276" i="40"/>
  <c r="X275" i="40"/>
  <c r="W275" i="40"/>
  <c r="V275" i="40"/>
  <c r="U275" i="40"/>
  <c r="T275" i="40"/>
  <c r="O275" i="40"/>
  <c r="X246" i="40"/>
  <c r="W246" i="40"/>
  <c r="V246" i="40"/>
  <c r="U246" i="40"/>
  <c r="T246" i="40"/>
  <c r="O246" i="40"/>
  <c r="P244" i="40"/>
  <c r="L244" i="40"/>
  <c r="I244" i="40"/>
  <c r="F244" i="40"/>
  <c r="X243" i="40"/>
  <c r="W243" i="40"/>
  <c r="V243" i="40"/>
  <c r="U243" i="40"/>
  <c r="T243" i="40"/>
  <c r="O243" i="40"/>
  <c r="X242" i="40"/>
  <c r="W242" i="40"/>
  <c r="V242" i="40"/>
  <c r="U242" i="40"/>
  <c r="T242" i="40"/>
  <c r="O242" i="40"/>
  <c r="X214" i="40"/>
  <c r="W214" i="40"/>
  <c r="V214" i="40"/>
  <c r="U214" i="40"/>
  <c r="T214" i="40"/>
  <c r="O214" i="40"/>
  <c r="X213" i="40"/>
  <c r="W213" i="40"/>
  <c r="V213" i="40"/>
  <c r="U213" i="40"/>
  <c r="T213" i="40"/>
  <c r="O213" i="40"/>
  <c r="X212" i="40"/>
  <c r="W212" i="40"/>
  <c r="V212" i="40"/>
  <c r="U212" i="40"/>
  <c r="T212" i="40"/>
  <c r="O212" i="40"/>
  <c r="P210" i="40"/>
  <c r="L210" i="40"/>
  <c r="I210" i="40"/>
  <c r="F210" i="40"/>
  <c r="X164" i="40"/>
  <c r="W164" i="40"/>
  <c r="X162" i="40"/>
  <c r="W162" i="40"/>
  <c r="V162" i="40"/>
  <c r="U162" i="40"/>
  <c r="T162" i="40"/>
  <c r="X149" i="40"/>
  <c r="W149" i="40"/>
  <c r="V149" i="40"/>
  <c r="U149" i="40"/>
  <c r="T149" i="40"/>
  <c r="X148" i="40"/>
  <c r="W148" i="40"/>
  <c r="V148" i="40"/>
  <c r="U148" i="40"/>
  <c r="T148" i="40"/>
  <c r="X147" i="40"/>
  <c r="W147" i="40"/>
  <c r="V147" i="40"/>
  <c r="U147" i="40"/>
  <c r="T147" i="40"/>
  <c r="X146" i="40"/>
  <c r="W146" i="40"/>
  <c r="V146" i="40"/>
  <c r="U146" i="40"/>
  <c r="T146" i="40"/>
  <c r="O146" i="40"/>
  <c r="X145" i="40"/>
  <c r="W145" i="40"/>
  <c r="V145" i="40"/>
  <c r="U145" i="40"/>
  <c r="T145" i="40"/>
  <c r="X144" i="40"/>
  <c r="W144" i="40"/>
  <c r="V144" i="40"/>
  <c r="U144" i="40"/>
  <c r="T144" i="40"/>
  <c r="X143" i="40"/>
  <c r="W143" i="40"/>
  <c r="V143" i="40"/>
  <c r="U143" i="40"/>
  <c r="T143" i="40"/>
  <c r="X142" i="40"/>
  <c r="W142" i="40"/>
  <c r="V142" i="40"/>
  <c r="U142" i="40"/>
  <c r="T142" i="40"/>
  <c r="L140" i="40"/>
  <c r="I140" i="40"/>
  <c r="F140" i="40"/>
  <c r="X119" i="40"/>
  <c r="W119" i="40"/>
  <c r="U119" i="40"/>
  <c r="T119" i="40"/>
  <c r="O119" i="40"/>
  <c r="X115" i="40"/>
  <c r="W115" i="40"/>
  <c r="U115" i="40"/>
  <c r="T115" i="40"/>
  <c r="O115" i="40"/>
  <c r="X114" i="40"/>
  <c r="W114" i="40"/>
  <c r="U114" i="40"/>
  <c r="T114" i="40"/>
  <c r="O114" i="40"/>
  <c r="P111" i="40"/>
  <c r="L111" i="40"/>
  <c r="I111" i="40"/>
  <c r="F111" i="40"/>
  <c r="X66" i="40"/>
  <c r="W66" i="40"/>
  <c r="U66" i="40"/>
  <c r="T66" i="40"/>
  <c r="O66" i="40"/>
  <c r="P64" i="40"/>
  <c r="L64" i="40"/>
  <c r="I64" i="40"/>
  <c r="F64" i="40"/>
  <c r="DM64" i="40"/>
  <c r="DM111" i="40" s="1"/>
  <c r="DM140" i="40" s="1"/>
  <c r="DM210" i="40" s="1"/>
  <c r="DM244" i="40" s="1"/>
  <c r="DM276" i="40" s="1"/>
  <c r="DM308" i="40" s="1"/>
  <c r="DM329" i="40" s="1"/>
  <c r="DM358" i="40" s="1"/>
  <c r="DM407" i="40" s="1"/>
  <c r="DM461" i="40" s="1"/>
  <c r="DM463" i="40" s="1"/>
  <c r="DL64" i="40"/>
  <c r="DL111" i="40" s="1"/>
  <c r="DL140" i="40" s="1"/>
  <c r="DL210" i="40" s="1"/>
  <c r="DL244" i="40" s="1"/>
  <c r="DL276" i="40" s="1"/>
  <c r="DL308" i="40" s="1"/>
  <c r="DL329" i="40" s="1"/>
  <c r="DL358" i="40" s="1"/>
  <c r="DL407" i="40" s="1"/>
  <c r="DL461" i="40" s="1"/>
  <c r="DL463" i="40" s="1"/>
  <c r="DK64" i="40"/>
  <c r="DK111" i="40" s="1"/>
  <c r="DK140" i="40" s="1"/>
  <c r="DK210" i="40" s="1"/>
  <c r="DK244" i="40" s="1"/>
  <c r="DK276" i="40" s="1"/>
  <c r="DK308" i="40" s="1"/>
  <c r="DK329" i="40" s="1"/>
  <c r="DK358" i="40" s="1"/>
  <c r="DK407" i="40" s="1"/>
  <c r="DK461" i="40" s="1"/>
  <c r="DK463" i="40" s="1"/>
  <c r="DJ64" i="40"/>
  <c r="DJ111" i="40" s="1"/>
  <c r="DJ140" i="40" s="1"/>
  <c r="DJ210" i="40" s="1"/>
  <c r="DJ244" i="40" s="1"/>
  <c r="DJ276" i="40" s="1"/>
  <c r="DJ308" i="40" s="1"/>
  <c r="DJ329" i="40" s="1"/>
  <c r="DJ358" i="40" s="1"/>
  <c r="DJ407" i="40" s="1"/>
  <c r="DJ461" i="40" s="1"/>
  <c r="DJ463" i="40" s="1"/>
  <c r="DI64" i="40"/>
  <c r="DI111" i="40" s="1"/>
  <c r="DI140" i="40" s="1"/>
  <c r="DI210" i="40" s="1"/>
  <c r="DI244" i="40" s="1"/>
  <c r="DI276" i="40" s="1"/>
  <c r="DI308" i="40" s="1"/>
  <c r="DI329" i="40" s="1"/>
  <c r="DI358" i="40" s="1"/>
  <c r="DI407" i="40" s="1"/>
  <c r="DI461" i="40" s="1"/>
  <c r="DI463" i="40" s="1"/>
  <c r="DH64" i="40"/>
  <c r="DH111" i="40" s="1"/>
  <c r="DH140" i="40" s="1"/>
  <c r="DH210" i="40" s="1"/>
  <c r="DH244" i="40" s="1"/>
  <c r="DH276" i="40" s="1"/>
  <c r="DH308" i="40" s="1"/>
  <c r="DH329" i="40" s="1"/>
  <c r="DH358" i="40" s="1"/>
  <c r="DH407" i="40" s="1"/>
  <c r="DH461" i="40" s="1"/>
  <c r="DH463" i="40" s="1"/>
  <c r="DG64" i="40"/>
  <c r="DG111" i="40" s="1"/>
  <c r="DG140" i="40" s="1"/>
  <c r="DG210" i="40" s="1"/>
  <c r="DG244" i="40" s="1"/>
  <c r="DG276" i="40" s="1"/>
  <c r="DG308" i="40" s="1"/>
  <c r="DG329" i="40" s="1"/>
  <c r="DG358" i="40" s="1"/>
  <c r="DG407" i="40" s="1"/>
  <c r="DG461" i="40" s="1"/>
  <c r="DG463" i="40" s="1"/>
  <c r="DF64" i="40"/>
  <c r="DF111" i="40" s="1"/>
  <c r="DF140" i="40" s="1"/>
  <c r="DF210" i="40" s="1"/>
  <c r="DF244" i="40" s="1"/>
  <c r="DF276" i="40" s="1"/>
  <c r="DF308" i="40" s="1"/>
  <c r="DF329" i="40" s="1"/>
  <c r="DF358" i="40" s="1"/>
  <c r="DF407" i="40" s="1"/>
  <c r="DF461" i="40" s="1"/>
  <c r="DF463" i="40" s="1"/>
  <c r="DE64" i="40"/>
  <c r="DE111" i="40" s="1"/>
  <c r="DE140" i="40" s="1"/>
  <c r="DE210" i="40" s="1"/>
  <c r="DE244" i="40" s="1"/>
  <c r="DE276" i="40" s="1"/>
  <c r="DE308" i="40" s="1"/>
  <c r="DE329" i="40" s="1"/>
  <c r="DE358" i="40" s="1"/>
  <c r="DE407" i="40" s="1"/>
  <c r="DE461" i="40" s="1"/>
  <c r="DE463" i="40" s="1"/>
  <c r="DD64" i="40"/>
  <c r="DD111" i="40" s="1"/>
  <c r="DD140" i="40" s="1"/>
  <c r="DD210" i="40" s="1"/>
  <c r="DD244" i="40" s="1"/>
  <c r="DD276" i="40" s="1"/>
  <c r="DD308" i="40" s="1"/>
  <c r="DD329" i="40" s="1"/>
  <c r="DD358" i="40" s="1"/>
  <c r="DD407" i="40" s="1"/>
  <c r="DD461" i="40" s="1"/>
  <c r="DD463" i="40" s="1"/>
  <c r="DC64" i="40"/>
  <c r="DC111" i="40" s="1"/>
  <c r="DC140" i="40" s="1"/>
  <c r="DC210" i="40" s="1"/>
  <c r="DC244" i="40" s="1"/>
  <c r="DC276" i="40" s="1"/>
  <c r="DC308" i="40" s="1"/>
  <c r="DC329" i="40" s="1"/>
  <c r="DC358" i="40" s="1"/>
  <c r="DC407" i="40" s="1"/>
  <c r="DC461" i="40" s="1"/>
  <c r="DC463" i="40" s="1"/>
  <c r="DB64" i="40"/>
  <c r="DB111" i="40" s="1"/>
  <c r="DB140" i="40" s="1"/>
  <c r="DB210" i="40" s="1"/>
  <c r="DB244" i="40" s="1"/>
  <c r="DB276" i="40" s="1"/>
  <c r="DB308" i="40" s="1"/>
  <c r="DB329" i="40" s="1"/>
  <c r="DB358" i="40" s="1"/>
  <c r="DB407" i="40" s="1"/>
  <c r="DB461" i="40" s="1"/>
  <c r="DB463" i="40" s="1"/>
  <c r="DA64" i="40"/>
  <c r="DA111" i="40" s="1"/>
  <c r="DA140" i="40" s="1"/>
  <c r="DA210" i="40" s="1"/>
  <c r="DA244" i="40" s="1"/>
  <c r="DA276" i="40" s="1"/>
  <c r="DA308" i="40" s="1"/>
  <c r="DA329" i="40" s="1"/>
  <c r="DA358" i="40" s="1"/>
  <c r="DA407" i="40" s="1"/>
  <c r="DA461" i="40" s="1"/>
  <c r="DA463" i="40" s="1"/>
  <c r="CZ64" i="40"/>
  <c r="CZ111" i="40" s="1"/>
  <c r="CZ140" i="40" s="1"/>
  <c r="CZ210" i="40" s="1"/>
  <c r="CZ244" i="40" s="1"/>
  <c r="CZ276" i="40" s="1"/>
  <c r="CZ308" i="40" s="1"/>
  <c r="CZ329" i="40" s="1"/>
  <c r="CZ358" i="40" s="1"/>
  <c r="CZ407" i="40" s="1"/>
  <c r="CZ461" i="40" s="1"/>
  <c r="CZ463" i="40" s="1"/>
  <c r="CY64" i="40"/>
  <c r="CY111" i="40" s="1"/>
  <c r="CY140" i="40" s="1"/>
  <c r="CY210" i="40" s="1"/>
  <c r="CY244" i="40" s="1"/>
  <c r="CY276" i="40" s="1"/>
  <c r="CY308" i="40" s="1"/>
  <c r="CY329" i="40" s="1"/>
  <c r="CY358" i="40" s="1"/>
  <c r="CY407" i="40" s="1"/>
  <c r="CY461" i="40" s="1"/>
  <c r="CY463" i="40" s="1"/>
  <c r="CX64" i="40"/>
  <c r="CX111" i="40" s="1"/>
  <c r="CX140" i="40" s="1"/>
  <c r="CX210" i="40" s="1"/>
  <c r="CX244" i="40" s="1"/>
  <c r="CX276" i="40" s="1"/>
  <c r="CX308" i="40" s="1"/>
  <c r="CX329" i="40" s="1"/>
  <c r="CX358" i="40" s="1"/>
  <c r="CX407" i="40" s="1"/>
  <c r="CX461" i="40" s="1"/>
  <c r="CX463" i="40" s="1"/>
  <c r="CW64" i="40"/>
  <c r="CW111" i="40" s="1"/>
  <c r="CW140" i="40" s="1"/>
  <c r="CW210" i="40" s="1"/>
  <c r="CW244" i="40" s="1"/>
  <c r="CW276" i="40" s="1"/>
  <c r="CW308" i="40" s="1"/>
  <c r="CW329" i="40" s="1"/>
  <c r="CW358" i="40" s="1"/>
  <c r="CW407" i="40" s="1"/>
  <c r="CW461" i="40" s="1"/>
  <c r="CW463" i="40" s="1"/>
  <c r="CV64" i="40"/>
  <c r="CV111" i="40" s="1"/>
  <c r="CV140" i="40" s="1"/>
  <c r="CV210" i="40" s="1"/>
  <c r="CV244" i="40" s="1"/>
  <c r="CV276" i="40" s="1"/>
  <c r="CV308" i="40" s="1"/>
  <c r="CV329" i="40" s="1"/>
  <c r="CV358" i="40" s="1"/>
  <c r="CV407" i="40" s="1"/>
  <c r="CV461" i="40" s="1"/>
  <c r="CV463" i="40" s="1"/>
  <c r="CU64" i="40"/>
  <c r="CU111" i="40" s="1"/>
  <c r="CU140" i="40" s="1"/>
  <c r="CU210" i="40" s="1"/>
  <c r="CU244" i="40" s="1"/>
  <c r="CU276" i="40" s="1"/>
  <c r="CU308" i="40" s="1"/>
  <c r="CU329" i="40" s="1"/>
  <c r="CU358" i="40" s="1"/>
  <c r="CU407" i="40" s="1"/>
  <c r="CU461" i="40" s="1"/>
  <c r="CU463" i="40" s="1"/>
  <c r="CT64" i="40"/>
  <c r="CT111" i="40" s="1"/>
  <c r="CT140" i="40" s="1"/>
  <c r="CT210" i="40" s="1"/>
  <c r="CT244" i="40" s="1"/>
  <c r="CT276" i="40" s="1"/>
  <c r="CT308" i="40" s="1"/>
  <c r="CT329" i="40" s="1"/>
  <c r="CT358" i="40" s="1"/>
  <c r="CT407" i="40" s="1"/>
  <c r="CT461" i="40" s="1"/>
  <c r="CT463" i="40" s="1"/>
  <c r="CS64" i="40"/>
  <c r="CS111" i="40" s="1"/>
  <c r="CS140" i="40" s="1"/>
  <c r="CS210" i="40" s="1"/>
  <c r="CS244" i="40" s="1"/>
  <c r="CS276" i="40" s="1"/>
  <c r="CS308" i="40" s="1"/>
  <c r="CS329" i="40" s="1"/>
  <c r="CS358" i="40" s="1"/>
  <c r="CS407" i="40" s="1"/>
  <c r="CS461" i="40" s="1"/>
  <c r="CS463" i="40" s="1"/>
  <c r="CR64" i="40"/>
  <c r="CR111" i="40" s="1"/>
  <c r="CR140" i="40" s="1"/>
  <c r="CR210" i="40" s="1"/>
  <c r="CR244" i="40" s="1"/>
  <c r="CR276" i="40" s="1"/>
  <c r="CR308" i="40" s="1"/>
  <c r="CR329" i="40" s="1"/>
  <c r="CR358" i="40" s="1"/>
  <c r="CR407" i="40" s="1"/>
  <c r="CR461" i="40" s="1"/>
  <c r="CR463" i="40" s="1"/>
  <c r="CQ64" i="40"/>
  <c r="CQ111" i="40" s="1"/>
  <c r="CQ140" i="40" s="1"/>
  <c r="CQ210" i="40" s="1"/>
  <c r="CQ244" i="40" s="1"/>
  <c r="CQ276" i="40" s="1"/>
  <c r="CQ308" i="40" s="1"/>
  <c r="CQ329" i="40" s="1"/>
  <c r="CQ358" i="40" s="1"/>
  <c r="CQ407" i="40" s="1"/>
  <c r="CQ461" i="40" s="1"/>
  <c r="CQ463" i="40" s="1"/>
  <c r="CP64" i="40"/>
  <c r="CP111" i="40" s="1"/>
  <c r="CP140" i="40" s="1"/>
  <c r="CP210" i="40" s="1"/>
  <c r="CP244" i="40" s="1"/>
  <c r="CP276" i="40" s="1"/>
  <c r="CP308" i="40" s="1"/>
  <c r="CP329" i="40" s="1"/>
  <c r="CP358" i="40" s="1"/>
  <c r="CP407" i="40" s="1"/>
  <c r="CP461" i="40" s="1"/>
  <c r="CP463" i="40" s="1"/>
  <c r="CO64" i="40"/>
  <c r="CO111" i="40" s="1"/>
  <c r="CO140" i="40" s="1"/>
  <c r="CO210" i="40" s="1"/>
  <c r="CO244" i="40" s="1"/>
  <c r="CO276" i="40" s="1"/>
  <c r="CO308" i="40" s="1"/>
  <c r="CO329" i="40" s="1"/>
  <c r="CO358" i="40" s="1"/>
  <c r="CO407" i="40" s="1"/>
  <c r="CO461" i="40" s="1"/>
  <c r="CO463" i="40" s="1"/>
  <c r="CN64" i="40"/>
  <c r="CN111" i="40" s="1"/>
  <c r="CN140" i="40" s="1"/>
  <c r="CN210" i="40" s="1"/>
  <c r="CN244" i="40" s="1"/>
  <c r="CN276" i="40" s="1"/>
  <c r="CN308" i="40" s="1"/>
  <c r="CN329" i="40" s="1"/>
  <c r="CN358" i="40" s="1"/>
  <c r="CN407" i="40" s="1"/>
  <c r="CN461" i="40" s="1"/>
  <c r="CN463" i="40" s="1"/>
  <c r="CM64" i="40"/>
  <c r="CM111" i="40" s="1"/>
  <c r="CM140" i="40" s="1"/>
  <c r="CM210" i="40" s="1"/>
  <c r="CM244" i="40" s="1"/>
  <c r="CM276" i="40" s="1"/>
  <c r="CM308" i="40" s="1"/>
  <c r="CM329" i="40" s="1"/>
  <c r="CM358" i="40" s="1"/>
  <c r="CM407" i="40" s="1"/>
  <c r="CM461" i="40" s="1"/>
  <c r="CM463" i="40" s="1"/>
  <c r="CL64" i="40"/>
  <c r="CL111" i="40" s="1"/>
  <c r="CL140" i="40" s="1"/>
  <c r="CL210" i="40" s="1"/>
  <c r="CL244" i="40" s="1"/>
  <c r="CL276" i="40" s="1"/>
  <c r="CL308" i="40" s="1"/>
  <c r="CL329" i="40" s="1"/>
  <c r="CL358" i="40" s="1"/>
  <c r="CL407" i="40" s="1"/>
  <c r="CL461" i="40" s="1"/>
  <c r="CL463" i="40" s="1"/>
  <c r="CK64" i="40"/>
  <c r="CK111" i="40" s="1"/>
  <c r="CK140" i="40" s="1"/>
  <c r="CK210" i="40" s="1"/>
  <c r="CK244" i="40" s="1"/>
  <c r="CK276" i="40" s="1"/>
  <c r="CK308" i="40" s="1"/>
  <c r="CK329" i="40" s="1"/>
  <c r="CK358" i="40" s="1"/>
  <c r="CK407" i="40" s="1"/>
  <c r="CK461" i="40" s="1"/>
  <c r="CK463" i="40" s="1"/>
  <c r="CJ64" i="40"/>
  <c r="CJ111" i="40" s="1"/>
  <c r="CJ140" i="40" s="1"/>
  <c r="CJ210" i="40" s="1"/>
  <c r="CJ244" i="40" s="1"/>
  <c r="CJ276" i="40" s="1"/>
  <c r="CJ308" i="40" s="1"/>
  <c r="CJ329" i="40" s="1"/>
  <c r="CJ358" i="40" s="1"/>
  <c r="CJ407" i="40" s="1"/>
  <c r="CJ461" i="40" s="1"/>
  <c r="CJ463" i="40" s="1"/>
  <c r="CI64" i="40"/>
  <c r="CI111" i="40" s="1"/>
  <c r="CI140" i="40" s="1"/>
  <c r="CI210" i="40" s="1"/>
  <c r="CI244" i="40" s="1"/>
  <c r="CI276" i="40" s="1"/>
  <c r="CI308" i="40" s="1"/>
  <c r="CI329" i="40" s="1"/>
  <c r="CI358" i="40" s="1"/>
  <c r="CI407" i="40" s="1"/>
  <c r="CI461" i="40" s="1"/>
  <c r="CI463" i="40" s="1"/>
  <c r="CH64" i="40"/>
  <c r="CH111" i="40" s="1"/>
  <c r="CH140" i="40" s="1"/>
  <c r="CH210" i="40" s="1"/>
  <c r="CH244" i="40" s="1"/>
  <c r="CH276" i="40" s="1"/>
  <c r="CH308" i="40" s="1"/>
  <c r="CH329" i="40" s="1"/>
  <c r="CH358" i="40" s="1"/>
  <c r="CH407" i="40" s="1"/>
  <c r="CH461" i="40" s="1"/>
  <c r="CH463" i="40" s="1"/>
  <c r="CG64" i="40"/>
  <c r="CG111" i="40" s="1"/>
  <c r="CG140" i="40" s="1"/>
  <c r="CG210" i="40" s="1"/>
  <c r="CG244" i="40" s="1"/>
  <c r="CG276" i="40" s="1"/>
  <c r="CG308" i="40" s="1"/>
  <c r="CG329" i="40" s="1"/>
  <c r="CG358" i="40" s="1"/>
  <c r="CG407" i="40" s="1"/>
  <c r="CG461" i="40" s="1"/>
  <c r="CG463" i="40" s="1"/>
  <c r="CF64" i="40"/>
  <c r="CF111" i="40" s="1"/>
  <c r="CF140" i="40" s="1"/>
  <c r="CF210" i="40" s="1"/>
  <c r="CF244" i="40" s="1"/>
  <c r="CF276" i="40" s="1"/>
  <c r="CF308" i="40" s="1"/>
  <c r="CF329" i="40" s="1"/>
  <c r="CF358" i="40" s="1"/>
  <c r="CF407" i="40" s="1"/>
  <c r="CF461" i="40" s="1"/>
  <c r="CF463" i="40" s="1"/>
  <c r="CE64" i="40"/>
  <c r="CE111" i="40" s="1"/>
  <c r="CE140" i="40" s="1"/>
  <c r="CE210" i="40" s="1"/>
  <c r="CE244" i="40" s="1"/>
  <c r="CE276" i="40" s="1"/>
  <c r="CE308" i="40" s="1"/>
  <c r="CE329" i="40" s="1"/>
  <c r="CE358" i="40" s="1"/>
  <c r="CE407" i="40" s="1"/>
  <c r="CE461" i="40" s="1"/>
  <c r="CE463" i="40" s="1"/>
  <c r="CD64" i="40"/>
  <c r="CD111" i="40" s="1"/>
  <c r="CD140" i="40" s="1"/>
  <c r="CD210" i="40" s="1"/>
  <c r="CD244" i="40" s="1"/>
  <c r="CD276" i="40" s="1"/>
  <c r="CD308" i="40" s="1"/>
  <c r="CD329" i="40" s="1"/>
  <c r="CD358" i="40" s="1"/>
  <c r="CD407" i="40" s="1"/>
  <c r="CD461" i="40" s="1"/>
  <c r="CD463" i="40" s="1"/>
  <c r="CC64" i="40"/>
  <c r="CC111" i="40" s="1"/>
  <c r="CC140" i="40" s="1"/>
  <c r="CC210" i="40" s="1"/>
  <c r="CC244" i="40" s="1"/>
  <c r="CC276" i="40" s="1"/>
  <c r="CC308" i="40" s="1"/>
  <c r="CC329" i="40" s="1"/>
  <c r="CC358" i="40" s="1"/>
  <c r="CC407" i="40" s="1"/>
  <c r="CC461" i="40" s="1"/>
  <c r="CC463" i="40" s="1"/>
  <c r="CB64" i="40"/>
  <c r="CB111" i="40" s="1"/>
  <c r="CB140" i="40" s="1"/>
  <c r="CB210" i="40" s="1"/>
  <c r="CB244" i="40" s="1"/>
  <c r="CB276" i="40" s="1"/>
  <c r="CB308" i="40" s="1"/>
  <c r="CB329" i="40" s="1"/>
  <c r="CB358" i="40" s="1"/>
  <c r="CB407" i="40" s="1"/>
  <c r="CB461" i="40" s="1"/>
  <c r="CB463" i="40" s="1"/>
  <c r="CA64" i="40"/>
  <c r="CA111" i="40" s="1"/>
  <c r="CA140" i="40" s="1"/>
  <c r="CA210" i="40" s="1"/>
  <c r="CA244" i="40" s="1"/>
  <c r="CA276" i="40" s="1"/>
  <c r="CA308" i="40" s="1"/>
  <c r="CA329" i="40" s="1"/>
  <c r="CA358" i="40" s="1"/>
  <c r="CA407" i="40" s="1"/>
  <c r="CA461" i="40" s="1"/>
  <c r="CA463" i="40" s="1"/>
  <c r="BZ64" i="40"/>
  <c r="BZ111" i="40" s="1"/>
  <c r="BZ140" i="40" s="1"/>
  <c r="BZ210" i="40" s="1"/>
  <c r="BZ244" i="40" s="1"/>
  <c r="BZ276" i="40" s="1"/>
  <c r="BZ308" i="40" s="1"/>
  <c r="BZ329" i="40" s="1"/>
  <c r="BZ358" i="40" s="1"/>
  <c r="BZ407" i="40" s="1"/>
  <c r="BZ461" i="40" s="1"/>
  <c r="BZ463" i="40" s="1"/>
  <c r="BY64" i="40"/>
  <c r="BY111" i="40" s="1"/>
  <c r="BY140" i="40" s="1"/>
  <c r="BY210" i="40" s="1"/>
  <c r="BY244" i="40" s="1"/>
  <c r="BY276" i="40" s="1"/>
  <c r="BY308" i="40" s="1"/>
  <c r="BY329" i="40" s="1"/>
  <c r="BY358" i="40" s="1"/>
  <c r="BY407" i="40" s="1"/>
  <c r="BY461" i="40" s="1"/>
  <c r="BY463" i="40" s="1"/>
  <c r="BX64" i="40"/>
  <c r="BX111" i="40" s="1"/>
  <c r="BX140" i="40" s="1"/>
  <c r="BX210" i="40" s="1"/>
  <c r="BX244" i="40" s="1"/>
  <c r="BX276" i="40" s="1"/>
  <c r="BX308" i="40" s="1"/>
  <c r="BX329" i="40" s="1"/>
  <c r="BX358" i="40" s="1"/>
  <c r="BX407" i="40" s="1"/>
  <c r="BX461" i="40" s="1"/>
  <c r="BX463" i="40" s="1"/>
  <c r="BW64" i="40"/>
  <c r="BW111" i="40" s="1"/>
  <c r="BW140" i="40" s="1"/>
  <c r="BW210" i="40" s="1"/>
  <c r="BW244" i="40" s="1"/>
  <c r="BW276" i="40" s="1"/>
  <c r="BW308" i="40" s="1"/>
  <c r="BW329" i="40" s="1"/>
  <c r="BW358" i="40" s="1"/>
  <c r="BW407" i="40" s="1"/>
  <c r="BW461" i="40" s="1"/>
  <c r="BW463" i="40" s="1"/>
  <c r="BV64" i="40"/>
  <c r="BV111" i="40" s="1"/>
  <c r="BV140" i="40" s="1"/>
  <c r="BV210" i="40" s="1"/>
  <c r="BV244" i="40" s="1"/>
  <c r="BV276" i="40" s="1"/>
  <c r="BV308" i="40" s="1"/>
  <c r="BV329" i="40" s="1"/>
  <c r="BV358" i="40" s="1"/>
  <c r="BV407" i="40" s="1"/>
  <c r="BV461" i="40" s="1"/>
  <c r="BV463" i="40" s="1"/>
  <c r="BU64" i="40"/>
  <c r="BU111" i="40" s="1"/>
  <c r="BU140" i="40" s="1"/>
  <c r="BU210" i="40" s="1"/>
  <c r="BU244" i="40" s="1"/>
  <c r="BU276" i="40" s="1"/>
  <c r="BU308" i="40" s="1"/>
  <c r="BU329" i="40" s="1"/>
  <c r="BU358" i="40" s="1"/>
  <c r="BU407" i="40" s="1"/>
  <c r="BU461" i="40" s="1"/>
  <c r="BU463" i="40" s="1"/>
  <c r="BT64" i="40"/>
  <c r="BT111" i="40" s="1"/>
  <c r="BT140" i="40" s="1"/>
  <c r="BT210" i="40" s="1"/>
  <c r="BT244" i="40" s="1"/>
  <c r="BT276" i="40" s="1"/>
  <c r="BT308" i="40" s="1"/>
  <c r="BT329" i="40" s="1"/>
  <c r="BT358" i="40" s="1"/>
  <c r="BT407" i="40" s="1"/>
  <c r="BT461" i="40" s="1"/>
  <c r="BT463" i="40" s="1"/>
  <c r="BS64" i="40"/>
  <c r="BS111" i="40" s="1"/>
  <c r="BS140" i="40" s="1"/>
  <c r="BS210" i="40" s="1"/>
  <c r="BS244" i="40" s="1"/>
  <c r="BS276" i="40" s="1"/>
  <c r="BS308" i="40" s="1"/>
  <c r="BS329" i="40" s="1"/>
  <c r="BS358" i="40" s="1"/>
  <c r="BS407" i="40" s="1"/>
  <c r="BS461" i="40" s="1"/>
  <c r="BS463" i="40" s="1"/>
  <c r="BR64" i="40"/>
  <c r="BR111" i="40" s="1"/>
  <c r="BR140" i="40" s="1"/>
  <c r="BR210" i="40" s="1"/>
  <c r="BR244" i="40" s="1"/>
  <c r="BR276" i="40" s="1"/>
  <c r="BR308" i="40" s="1"/>
  <c r="BR329" i="40" s="1"/>
  <c r="BR358" i="40" s="1"/>
  <c r="BR407" i="40" s="1"/>
  <c r="BR461" i="40" s="1"/>
  <c r="BR463" i="40" s="1"/>
  <c r="BM64" i="40"/>
  <c r="BM111" i="40" s="1"/>
  <c r="BM140" i="40" s="1"/>
  <c r="BM210" i="40" s="1"/>
  <c r="BM244" i="40" s="1"/>
  <c r="BM276" i="40" s="1"/>
  <c r="BM308" i="40" s="1"/>
  <c r="BM329" i="40" s="1"/>
  <c r="BM358" i="40" s="1"/>
  <c r="BM407" i="40" s="1"/>
  <c r="BM461" i="40" s="1"/>
  <c r="BM463" i="40" s="1"/>
  <c r="BL64" i="40"/>
  <c r="BL111" i="40" s="1"/>
  <c r="BK64" i="40"/>
  <c r="BK111" i="40" s="1"/>
  <c r="BJ64" i="40"/>
  <c r="BJ111" i="40" s="1"/>
  <c r="BI64" i="40"/>
  <c r="BI111" i="40" s="1"/>
  <c r="BH64" i="40"/>
  <c r="BH111" i="40" s="1"/>
  <c r="BG64" i="40"/>
  <c r="BG111" i="40" s="1"/>
  <c r="BF64" i="40"/>
  <c r="BF111" i="40" s="1"/>
  <c r="BE64" i="40"/>
  <c r="BE111" i="40" s="1"/>
  <c r="BD64" i="40"/>
  <c r="BD111" i="40" s="1"/>
  <c r="BC64" i="40"/>
  <c r="BC111" i="40" s="1"/>
  <c r="BB64" i="40"/>
  <c r="BB111" i="40" s="1"/>
  <c r="BA64" i="40"/>
  <c r="BA111" i="40" s="1"/>
  <c r="AZ64" i="40"/>
  <c r="AZ111" i="40" s="1"/>
  <c r="AY64" i="40"/>
  <c r="AY111" i="40" s="1"/>
  <c r="AX64" i="40"/>
  <c r="AX111" i="40" s="1"/>
  <c r="AX140" i="40" s="1"/>
  <c r="AW64" i="40"/>
  <c r="AW111" i="40" s="1"/>
  <c r="AW140" i="40" s="1"/>
  <c r="AV64" i="40"/>
  <c r="AU64" i="40"/>
  <c r="AU111" i="40" s="1"/>
  <c r="AU140" i="40" s="1"/>
  <c r="AT64" i="40"/>
  <c r="AS64" i="40"/>
  <c r="AS111" i="40" s="1"/>
  <c r="AR64" i="40"/>
  <c r="AN64" i="40"/>
  <c r="AN111" i="40" s="1"/>
  <c r="AK64" i="40"/>
  <c r="AK111" i="40" s="1"/>
  <c r="AB64" i="40"/>
  <c r="AB111" i="40" s="1"/>
  <c r="AB140" i="40" s="1"/>
  <c r="AB210" i="40" s="1"/>
  <c r="AB244" i="40" s="1"/>
  <c r="AB276" i="40" s="1"/>
  <c r="AB308" i="40" s="1"/>
  <c r="AB329" i="40" s="1"/>
  <c r="AB358" i="40" s="1"/>
  <c r="AB407" i="40" s="1"/>
  <c r="AB461" i="40" s="1"/>
  <c r="AB463" i="40" s="1"/>
  <c r="AA64" i="40"/>
  <c r="AA111" i="40" s="1"/>
  <c r="AA140" i="40" s="1"/>
  <c r="AA210" i="40" s="1"/>
  <c r="AA244" i="40" s="1"/>
  <c r="AH64" i="40"/>
  <c r="AB1389" i="40" l="1"/>
  <c r="BI727" i="40"/>
  <c r="BI735" i="40" s="1"/>
  <c r="BI750" i="40" s="1"/>
  <c r="BI756" i="40" s="1"/>
  <c r="BI758" i="40" s="1"/>
  <c r="DH727" i="40"/>
  <c r="DH735" i="40" s="1"/>
  <c r="DH750" i="40" s="1"/>
  <c r="DH756" i="40" s="1"/>
  <c r="DH758" i="40" s="1"/>
  <c r="BG727" i="40"/>
  <c r="BG735" i="40" s="1"/>
  <c r="BG750" i="40" s="1"/>
  <c r="BG756" i="40" s="1"/>
  <c r="BG758" i="40" s="1"/>
  <c r="BS727" i="40"/>
  <c r="BS735" i="40" s="1"/>
  <c r="BS750" i="40" s="1"/>
  <c r="BS756" i="40" s="1"/>
  <c r="BS758" i="40" s="1"/>
  <c r="BZ727" i="40"/>
  <c r="BZ735" i="40" s="1"/>
  <c r="BZ750" i="40" s="1"/>
  <c r="BZ756" i="40" s="1"/>
  <c r="BZ758" i="40" s="1"/>
  <c r="CH727" i="40"/>
  <c r="CH735" i="40" s="1"/>
  <c r="CH750" i="40" s="1"/>
  <c r="CH756" i="40" s="1"/>
  <c r="CH758" i="40" s="1"/>
  <c r="CP727" i="40"/>
  <c r="CP735" i="40" s="1"/>
  <c r="CP750" i="40" s="1"/>
  <c r="CP756" i="40" s="1"/>
  <c r="CP758" i="40" s="1"/>
  <c r="DF727" i="40"/>
  <c r="DF735" i="40" s="1"/>
  <c r="DF750" i="40" s="1"/>
  <c r="DF756" i="40" s="1"/>
  <c r="DF758" i="40" s="1"/>
  <c r="CZ727" i="40"/>
  <c r="CZ735" i="40" s="1"/>
  <c r="CZ750" i="40" s="1"/>
  <c r="CZ756" i="40" s="1"/>
  <c r="CZ758" i="40" s="1"/>
  <c r="AR727" i="40"/>
  <c r="AR735" i="40" s="1"/>
  <c r="AR750" i="40" s="1"/>
  <c r="AR756" i="40" s="1"/>
  <c r="AR758" i="40" s="1"/>
  <c r="AZ727" i="40"/>
  <c r="AZ735" i="40" s="1"/>
  <c r="AZ750" i="40" s="1"/>
  <c r="AZ756" i="40" s="1"/>
  <c r="AZ758" i="40" s="1"/>
  <c r="BH727" i="40"/>
  <c r="BH735" i="40" s="1"/>
  <c r="BH750" i="40" s="1"/>
  <c r="BH756" i="40" s="1"/>
  <c r="BH758" i="40" s="1"/>
  <c r="BT727" i="40"/>
  <c r="BT735" i="40" s="1"/>
  <c r="BT750" i="40" s="1"/>
  <c r="BT756" i="40" s="1"/>
  <c r="BT758" i="40" s="1"/>
  <c r="CA727" i="40"/>
  <c r="CA735" i="40" s="1"/>
  <c r="CA750" i="40" s="1"/>
  <c r="CA756" i="40" s="1"/>
  <c r="CA758" i="40" s="1"/>
  <c r="CI727" i="40"/>
  <c r="CI735" i="40" s="1"/>
  <c r="CI750" i="40" s="1"/>
  <c r="CI756" i="40" s="1"/>
  <c r="CI758" i="40" s="1"/>
  <c r="CQ727" i="40"/>
  <c r="CQ735" i="40" s="1"/>
  <c r="CQ750" i="40" s="1"/>
  <c r="CQ756" i="40" s="1"/>
  <c r="CQ758" i="40" s="1"/>
  <c r="CY727" i="40"/>
  <c r="CY735" i="40" s="1"/>
  <c r="CY750" i="40" s="1"/>
  <c r="CY756" i="40" s="1"/>
  <c r="CY758" i="40" s="1"/>
  <c r="DG727" i="40"/>
  <c r="DG735" i="40" s="1"/>
  <c r="DG750" i="40" s="1"/>
  <c r="DG756" i="40" s="1"/>
  <c r="DG758" i="40" s="1"/>
  <c r="CR727" i="40"/>
  <c r="CR735" i="40" s="1"/>
  <c r="CR750" i="40" s="1"/>
  <c r="CR756" i="40" s="1"/>
  <c r="CR758" i="40" s="1"/>
  <c r="AH727" i="40"/>
  <c r="AH735" i="40" s="1"/>
  <c r="AH750" i="40" s="1"/>
  <c r="AH756" i="40" s="1"/>
  <c r="AH758" i="40" s="1"/>
  <c r="AT727" i="40"/>
  <c r="AT735" i="40" s="1"/>
  <c r="AT750" i="40" s="1"/>
  <c r="AT756" i="40" s="1"/>
  <c r="AT758" i="40" s="1"/>
  <c r="BJ727" i="40"/>
  <c r="BJ735" i="40" s="1"/>
  <c r="BJ750" i="40" s="1"/>
  <c r="BJ756" i="40" s="1"/>
  <c r="BJ758" i="40" s="1"/>
  <c r="CC727" i="40"/>
  <c r="CC735" i="40" s="1"/>
  <c r="CC750" i="40" s="1"/>
  <c r="CC756" i="40" s="1"/>
  <c r="CC758" i="40" s="1"/>
  <c r="CK727" i="40"/>
  <c r="CK735" i="40" s="1"/>
  <c r="CK750" i="40" s="1"/>
  <c r="CK756" i="40" s="1"/>
  <c r="CK758" i="40" s="1"/>
  <c r="CS727" i="40"/>
  <c r="CS735" i="40" s="1"/>
  <c r="CS750" i="40" s="1"/>
  <c r="CS756" i="40" s="1"/>
  <c r="CS758" i="40" s="1"/>
  <c r="DA727" i="40"/>
  <c r="DA735" i="40" s="1"/>
  <c r="DA750" i="40" s="1"/>
  <c r="DA756" i="40" s="1"/>
  <c r="DA758" i="40" s="1"/>
  <c r="DI727" i="40"/>
  <c r="DI735" i="40" s="1"/>
  <c r="DI750" i="40" s="1"/>
  <c r="DI756" i="40" s="1"/>
  <c r="DI758" i="40" s="1"/>
  <c r="CJ727" i="40"/>
  <c r="CJ735" i="40" s="1"/>
  <c r="CJ750" i="40" s="1"/>
  <c r="CJ756" i="40" s="1"/>
  <c r="CJ758" i="40" s="1"/>
  <c r="AM727" i="40"/>
  <c r="AM735" i="40" s="1"/>
  <c r="AM750" i="40" s="1"/>
  <c r="AM756" i="40" s="1"/>
  <c r="AM758" i="40" s="1"/>
  <c r="AU727" i="40"/>
  <c r="AU735" i="40" s="1"/>
  <c r="AU750" i="40" s="1"/>
  <c r="AU756" i="40" s="1"/>
  <c r="AU758" i="40" s="1"/>
  <c r="BK727" i="40"/>
  <c r="BK735" i="40" s="1"/>
  <c r="BK750" i="40" s="1"/>
  <c r="BK756" i="40" s="1"/>
  <c r="BK758" i="40" s="1"/>
  <c r="BV727" i="40"/>
  <c r="BV735" i="40" s="1"/>
  <c r="BV750" i="40" s="1"/>
  <c r="BV756" i="40" s="1"/>
  <c r="BV758" i="40" s="1"/>
  <c r="CD727" i="40"/>
  <c r="CD735" i="40" s="1"/>
  <c r="CD750" i="40" s="1"/>
  <c r="CD756" i="40" s="1"/>
  <c r="CD758" i="40" s="1"/>
  <c r="CL727" i="40"/>
  <c r="CL735" i="40" s="1"/>
  <c r="CL750" i="40" s="1"/>
  <c r="CL756" i="40" s="1"/>
  <c r="CL758" i="40" s="1"/>
  <c r="CT727" i="40"/>
  <c r="CT735" i="40" s="1"/>
  <c r="CT750" i="40" s="1"/>
  <c r="CT756" i="40" s="1"/>
  <c r="CT758" i="40" s="1"/>
  <c r="DB727" i="40"/>
  <c r="DB735" i="40" s="1"/>
  <c r="DB750" i="40" s="1"/>
  <c r="DB756" i="40" s="1"/>
  <c r="DB758" i="40" s="1"/>
  <c r="DJ727" i="40"/>
  <c r="DJ735" i="40" s="1"/>
  <c r="DJ750" i="40" s="1"/>
  <c r="DJ756" i="40" s="1"/>
  <c r="DJ758" i="40" s="1"/>
  <c r="BL727" i="40"/>
  <c r="BL735" i="40" s="1"/>
  <c r="BL750" i="40" s="1"/>
  <c r="BL756" i="40" s="1"/>
  <c r="BL758" i="40" s="1"/>
  <c r="BW727" i="40"/>
  <c r="BW735" i="40" s="1"/>
  <c r="BW750" i="40" s="1"/>
  <c r="BW756" i="40" s="1"/>
  <c r="BW758" i="40" s="1"/>
  <c r="CE727" i="40"/>
  <c r="CE735" i="40" s="1"/>
  <c r="CE750" i="40" s="1"/>
  <c r="CE756" i="40" s="1"/>
  <c r="CE758" i="40" s="1"/>
  <c r="CM727" i="40"/>
  <c r="CM735" i="40" s="1"/>
  <c r="CM750" i="40" s="1"/>
  <c r="CM756" i="40" s="1"/>
  <c r="CM758" i="40" s="1"/>
  <c r="CU727" i="40"/>
  <c r="CU735" i="40" s="1"/>
  <c r="CU750" i="40" s="1"/>
  <c r="CU756" i="40" s="1"/>
  <c r="CU758" i="40" s="1"/>
  <c r="DC727" i="40"/>
  <c r="DC735" i="40" s="1"/>
  <c r="DC750" i="40" s="1"/>
  <c r="DC756" i="40" s="1"/>
  <c r="DC758" i="40" s="1"/>
  <c r="DK727" i="40"/>
  <c r="DK735" i="40" s="1"/>
  <c r="DK750" i="40" s="1"/>
  <c r="DK756" i="40" s="1"/>
  <c r="DK758" i="40" s="1"/>
  <c r="BU727" i="40"/>
  <c r="BU735" i="40" s="1"/>
  <c r="BU750" i="40" s="1"/>
  <c r="BU756" i="40" s="1"/>
  <c r="BU758" i="40" s="1"/>
  <c r="CB727" i="40"/>
  <c r="CB735" i="40" s="1"/>
  <c r="CB750" i="40" s="1"/>
  <c r="CB756" i="40" s="1"/>
  <c r="CB758" i="40" s="1"/>
  <c r="AB727" i="40"/>
  <c r="AB735" i="40" s="1"/>
  <c r="AB750" i="40" s="1"/>
  <c r="AB756" i="40" s="1"/>
  <c r="AB758" i="40" s="1"/>
  <c r="AO727" i="40"/>
  <c r="AO735" i="40" s="1"/>
  <c r="AO750" i="40" s="1"/>
  <c r="AO756" i="40" s="1"/>
  <c r="AO758" i="40" s="1"/>
  <c r="AW727" i="40"/>
  <c r="AW735" i="40" s="1"/>
  <c r="AW750" i="40" s="1"/>
  <c r="AW756" i="40" s="1"/>
  <c r="AW758" i="40" s="1"/>
  <c r="BE727" i="40"/>
  <c r="BE735" i="40" s="1"/>
  <c r="BE750" i="40" s="1"/>
  <c r="BE756" i="40" s="1"/>
  <c r="BE758" i="40" s="1"/>
  <c r="BM727" i="40"/>
  <c r="BM735" i="40" s="1"/>
  <c r="BM750" i="40" s="1"/>
  <c r="BM756" i="40" s="1"/>
  <c r="BM758" i="40" s="1"/>
  <c r="BX727" i="40"/>
  <c r="BX735" i="40" s="1"/>
  <c r="BX750" i="40" s="1"/>
  <c r="BX756" i="40" s="1"/>
  <c r="BX758" i="40" s="1"/>
  <c r="CF727" i="40"/>
  <c r="CF735" i="40" s="1"/>
  <c r="CF750" i="40" s="1"/>
  <c r="CF756" i="40" s="1"/>
  <c r="CF758" i="40" s="1"/>
  <c r="CN727" i="40"/>
  <c r="CN735" i="40" s="1"/>
  <c r="CN750" i="40" s="1"/>
  <c r="CN756" i="40" s="1"/>
  <c r="CN758" i="40" s="1"/>
  <c r="CV727" i="40"/>
  <c r="CV735" i="40" s="1"/>
  <c r="CV750" i="40" s="1"/>
  <c r="CV756" i="40" s="1"/>
  <c r="CV758" i="40" s="1"/>
  <c r="DD727" i="40"/>
  <c r="DD735" i="40" s="1"/>
  <c r="DD750" i="40" s="1"/>
  <c r="DD756" i="40" s="1"/>
  <c r="DD758" i="40" s="1"/>
  <c r="DL727" i="40"/>
  <c r="DL735" i="40" s="1"/>
  <c r="DL750" i="40" s="1"/>
  <c r="DL756" i="40" s="1"/>
  <c r="DL758" i="40" s="1"/>
  <c r="AK727" i="40"/>
  <c r="AK735" i="40" s="1"/>
  <c r="AK750" i="40" s="1"/>
  <c r="AK756" i="40" s="1"/>
  <c r="AK758" i="40" s="1"/>
  <c r="AP727" i="40"/>
  <c r="AP735" i="40" s="1"/>
  <c r="AP750" i="40" s="1"/>
  <c r="AP756" i="40" s="1"/>
  <c r="AP758" i="40" s="1"/>
  <c r="AX727" i="40"/>
  <c r="AX735" i="40" s="1"/>
  <c r="AX750" i="40" s="1"/>
  <c r="AX756" i="40" s="1"/>
  <c r="AX758" i="40" s="1"/>
  <c r="BR727" i="40"/>
  <c r="BR735" i="40" s="1"/>
  <c r="BR750" i="40" s="1"/>
  <c r="BR756" i="40" s="1"/>
  <c r="BR758" i="40" s="1"/>
  <c r="BY727" i="40"/>
  <c r="BY735" i="40" s="1"/>
  <c r="BY750" i="40" s="1"/>
  <c r="BY756" i="40" s="1"/>
  <c r="BY758" i="40" s="1"/>
  <c r="CG727" i="40"/>
  <c r="CG735" i="40" s="1"/>
  <c r="CG750" i="40" s="1"/>
  <c r="CG756" i="40" s="1"/>
  <c r="CG758" i="40" s="1"/>
  <c r="CO727" i="40"/>
  <c r="CO735" i="40" s="1"/>
  <c r="CO750" i="40" s="1"/>
  <c r="CO756" i="40" s="1"/>
  <c r="CO758" i="40" s="1"/>
  <c r="CW727" i="40"/>
  <c r="CW735" i="40" s="1"/>
  <c r="CW750" i="40" s="1"/>
  <c r="CW756" i="40" s="1"/>
  <c r="CW758" i="40" s="1"/>
  <c r="DE727" i="40"/>
  <c r="DE735" i="40" s="1"/>
  <c r="DE750" i="40" s="1"/>
  <c r="DE756" i="40" s="1"/>
  <c r="DE758" i="40" s="1"/>
  <c r="DM727" i="40"/>
  <c r="DM735" i="40" s="1"/>
  <c r="DM750" i="40" s="1"/>
  <c r="DM756" i="40" s="1"/>
  <c r="DM758" i="40" s="1"/>
  <c r="V905" i="40"/>
  <c r="V907" i="40"/>
  <c r="V909" i="40"/>
  <c r="V911" i="40"/>
  <c r="V913" i="40"/>
  <c r="V915" i="40"/>
  <c r="V906" i="40"/>
  <c r="V908" i="40"/>
  <c r="V910" i="40"/>
  <c r="V912" i="40"/>
  <c r="V914" i="40"/>
  <c r="V916" i="40"/>
  <c r="V904" i="40"/>
  <c r="O140" i="40"/>
  <c r="T140" i="40"/>
  <c r="BC140" i="40"/>
  <c r="BC210" i="40" s="1"/>
  <c r="BC244" i="40" s="1"/>
  <c r="BC276" i="40" s="1"/>
  <c r="BC308" i="40" s="1"/>
  <c r="BC329" i="40" s="1"/>
  <c r="BC358" i="40" s="1"/>
  <c r="BC407" i="40" s="1"/>
  <c r="BC461" i="40" s="1"/>
  <c r="BC463" i="40" s="1"/>
  <c r="BK140" i="40"/>
  <c r="BK210" i="40" s="1"/>
  <c r="BK244" i="40" s="1"/>
  <c r="BK276" i="40" s="1"/>
  <c r="BK308" i="40" s="1"/>
  <c r="BK329" i="40" s="1"/>
  <c r="BK358" i="40" s="1"/>
  <c r="BK407" i="40" s="1"/>
  <c r="BK461" i="40" s="1"/>
  <c r="BK463" i="40" s="1"/>
  <c r="BD140" i="40"/>
  <c r="BD210" i="40" s="1"/>
  <c r="BD244" i="40" s="1"/>
  <c r="BD276" i="40" s="1"/>
  <c r="BD308" i="40" s="1"/>
  <c r="BD329" i="40" s="1"/>
  <c r="BD358" i="40" s="1"/>
  <c r="BD407" i="40" s="1"/>
  <c r="BD461" i="40" s="1"/>
  <c r="BD463" i="40" s="1"/>
  <c r="BL140" i="40"/>
  <c r="BL210" i="40" s="1"/>
  <c r="BL244" i="40" s="1"/>
  <c r="BL276" i="40" s="1"/>
  <c r="BL308" i="40" s="1"/>
  <c r="BL329" i="40" s="1"/>
  <c r="BL358" i="40" s="1"/>
  <c r="BL407" i="40" s="1"/>
  <c r="BL461" i="40" s="1"/>
  <c r="BL463" i="40" s="1"/>
  <c r="BE140" i="40"/>
  <c r="BE210" i="40" s="1"/>
  <c r="BE244" i="40" s="1"/>
  <c r="BE276" i="40" s="1"/>
  <c r="BE308" i="40" s="1"/>
  <c r="BE329" i="40" s="1"/>
  <c r="BE358" i="40" s="1"/>
  <c r="BE407" i="40" s="1"/>
  <c r="BE461" i="40" s="1"/>
  <c r="BE463" i="40" s="1"/>
  <c r="AK140" i="40"/>
  <c r="AK210" i="40" s="1"/>
  <c r="AK244" i="40" s="1"/>
  <c r="AK276" i="40" s="1"/>
  <c r="AK308" i="40" s="1"/>
  <c r="AK329" i="40" s="1"/>
  <c r="AK358" i="40" s="1"/>
  <c r="AK407" i="40" s="1"/>
  <c r="AK461" i="40" s="1"/>
  <c r="AK463" i="40" s="1"/>
  <c r="BF140" i="40"/>
  <c r="BF210" i="40" s="1"/>
  <c r="BF244" i="40" s="1"/>
  <c r="BF276" i="40" s="1"/>
  <c r="BF308" i="40" s="1"/>
  <c r="BF329" i="40" s="1"/>
  <c r="BF358" i="40" s="1"/>
  <c r="BF407" i="40" s="1"/>
  <c r="BF461" i="40" s="1"/>
  <c r="BF463" i="40" s="1"/>
  <c r="AN140" i="40"/>
  <c r="AN210" i="40" s="1"/>
  <c r="AN244" i="40" s="1"/>
  <c r="AN276" i="40" s="1"/>
  <c r="AN308" i="40" s="1"/>
  <c r="AN329" i="40" s="1"/>
  <c r="AN358" i="40" s="1"/>
  <c r="AN407" i="40" s="1"/>
  <c r="AN461" i="40" s="1"/>
  <c r="AN463" i="40" s="1"/>
  <c r="AY140" i="40"/>
  <c r="AY210" i="40" s="1"/>
  <c r="AY244" i="40" s="1"/>
  <c r="AY276" i="40" s="1"/>
  <c r="AY308" i="40" s="1"/>
  <c r="AY329" i="40" s="1"/>
  <c r="AY358" i="40" s="1"/>
  <c r="AY407" i="40" s="1"/>
  <c r="AY461" i="40" s="1"/>
  <c r="AY463" i="40" s="1"/>
  <c r="BG140" i="40"/>
  <c r="BG210" i="40" s="1"/>
  <c r="BG244" i="40" s="1"/>
  <c r="BG276" i="40" s="1"/>
  <c r="BG308" i="40" s="1"/>
  <c r="BG329" i="40" s="1"/>
  <c r="BG358" i="40" s="1"/>
  <c r="BG407" i="40" s="1"/>
  <c r="BG461" i="40" s="1"/>
  <c r="BG463" i="40" s="1"/>
  <c r="AZ140" i="40"/>
  <c r="AZ210" i="40" s="1"/>
  <c r="AZ244" i="40" s="1"/>
  <c r="AZ276" i="40" s="1"/>
  <c r="AZ308" i="40" s="1"/>
  <c r="AZ329" i="40" s="1"/>
  <c r="AZ358" i="40" s="1"/>
  <c r="AZ407" i="40" s="1"/>
  <c r="AZ461" i="40" s="1"/>
  <c r="AZ463" i="40" s="1"/>
  <c r="BH140" i="40"/>
  <c r="BH210" i="40" s="1"/>
  <c r="BH244" i="40" s="1"/>
  <c r="BH276" i="40" s="1"/>
  <c r="BH308" i="40" s="1"/>
  <c r="BH329" i="40" s="1"/>
  <c r="BH358" i="40" s="1"/>
  <c r="BH407" i="40" s="1"/>
  <c r="BH461" i="40" s="1"/>
  <c r="BH463" i="40" s="1"/>
  <c r="AS140" i="40"/>
  <c r="AS210" i="40" s="1"/>
  <c r="AS244" i="40" s="1"/>
  <c r="AS276" i="40" s="1"/>
  <c r="AS308" i="40" s="1"/>
  <c r="AS329" i="40" s="1"/>
  <c r="AS358" i="40" s="1"/>
  <c r="AS407" i="40" s="1"/>
  <c r="AS461" i="40" s="1"/>
  <c r="AS463" i="40" s="1"/>
  <c r="BA140" i="40"/>
  <c r="BA210" i="40" s="1"/>
  <c r="BA244" i="40" s="1"/>
  <c r="BA276" i="40" s="1"/>
  <c r="BA308" i="40" s="1"/>
  <c r="BA329" i="40" s="1"/>
  <c r="BA358" i="40" s="1"/>
  <c r="BA407" i="40" s="1"/>
  <c r="BA461" i="40" s="1"/>
  <c r="BA463" i="40" s="1"/>
  <c r="BI140" i="40"/>
  <c r="BI210" i="40" s="1"/>
  <c r="BI244" i="40" s="1"/>
  <c r="BI276" i="40" s="1"/>
  <c r="BI308" i="40" s="1"/>
  <c r="BI329" i="40" s="1"/>
  <c r="BI358" i="40" s="1"/>
  <c r="BI407" i="40" s="1"/>
  <c r="BI461" i="40" s="1"/>
  <c r="BI463" i="40" s="1"/>
  <c r="BB140" i="40"/>
  <c r="BB210" i="40" s="1"/>
  <c r="BB244" i="40" s="1"/>
  <c r="BB276" i="40" s="1"/>
  <c r="BB308" i="40" s="1"/>
  <c r="BB329" i="40" s="1"/>
  <c r="BB358" i="40" s="1"/>
  <c r="BB407" i="40" s="1"/>
  <c r="BB461" i="40" s="1"/>
  <c r="BB463" i="40" s="1"/>
  <c r="BJ140" i="40"/>
  <c r="BJ210" i="40" s="1"/>
  <c r="BJ244" i="40" s="1"/>
  <c r="BJ276" i="40" s="1"/>
  <c r="BJ308" i="40" s="1"/>
  <c r="BJ329" i="40" s="1"/>
  <c r="BJ358" i="40" s="1"/>
  <c r="BJ407" i="40" s="1"/>
  <c r="BJ461" i="40" s="1"/>
  <c r="BJ463" i="40" s="1"/>
  <c r="AV111" i="40"/>
  <c r="U1779" i="40"/>
  <c r="W1534" i="40"/>
  <c r="V276" i="40"/>
  <c r="AB495" i="40"/>
  <c r="AB501" i="40" s="1"/>
  <c r="AB507" i="40" s="1"/>
  <c r="AB520" i="40" s="1"/>
  <c r="I2259" i="40"/>
  <c r="O2259" i="40"/>
  <c r="T2259" i="40"/>
  <c r="V1901" i="40"/>
  <c r="V1146" i="40"/>
  <c r="V2051" i="40"/>
  <c r="V1520" i="40"/>
  <c r="V2212" i="40"/>
  <c r="V536" i="40"/>
  <c r="W525" i="40"/>
  <c r="T531" i="40"/>
  <c r="W531" i="40"/>
  <c r="AP531" i="40"/>
  <c r="AP536" i="40" s="1"/>
  <c r="AP541" i="40" s="1"/>
  <c r="AP546" i="40" s="1"/>
  <c r="AX531" i="40"/>
  <c r="AX536" i="40" s="1"/>
  <c r="AX541" i="40" s="1"/>
  <c r="AX546" i="40" s="1"/>
  <c r="X531" i="40"/>
  <c r="BD531" i="40"/>
  <c r="BD536" i="40" s="1"/>
  <c r="BD541" i="40" s="1"/>
  <c r="BD546" i="40" s="1"/>
  <c r="AR531" i="40"/>
  <c r="AR536" i="40" s="1"/>
  <c r="AR541" i="40" s="1"/>
  <c r="AR546" i="40" s="1"/>
  <c r="BC531" i="40"/>
  <c r="BC536" i="40" s="1"/>
  <c r="BC541" i="40" s="1"/>
  <c r="BC546" i="40" s="1"/>
  <c r="AY531" i="40"/>
  <c r="AY536" i="40" s="1"/>
  <c r="AY541" i="40" s="1"/>
  <c r="AY546" i="40" s="1"/>
  <c r="AS531" i="40"/>
  <c r="AS536" i="40" s="1"/>
  <c r="AS541" i="40" s="1"/>
  <c r="AS546" i="40" s="1"/>
  <c r="AZ531" i="40"/>
  <c r="AZ536" i="40" s="1"/>
  <c r="AZ541" i="40" s="1"/>
  <c r="AZ546" i="40" s="1"/>
  <c r="AW531" i="40"/>
  <c r="AW536" i="40" s="1"/>
  <c r="AW541" i="40" s="1"/>
  <c r="AW546" i="40" s="1"/>
  <c r="AT531" i="40"/>
  <c r="AT536" i="40" s="1"/>
  <c r="AT541" i="40" s="1"/>
  <c r="AT546" i="40" s="1"/>
  <c r="BA531" i="40"/>
  <c r="BA536" i="40" s="1"/>
  <c r="BA541" i="40" s="1"/>
  <c r="BA546" i="40" s="1"/>
  <c r="BA551" i="40" s="1"/>
  <c r="BA556" i="40" s="1"/>
  <c r="BA558" i="40" s="1"/>
  <c r="AO531" i="40"/>
  <c r="AO536" i="40" s="1"/>
  <c r="AO541" i="40" s="1"/>
  <c r="AO546" i="40" s="1"/>
  <c r="AH531" i="40"/>
  <c r="AH536" i="40" s="1"/>
  <c r="AH541" i="40" s="1"/>
  <c r="AH546" i="40" s="1"/>
  <c r="AU531" i="40"/>
  <c r="AU536" i="40" s="1"/>
  <c r="AU541" i="40" s="1"/>
  <c r="AU546" i="40" s="1"/>
  <c r="BB531" i="40"/>
  <c r="BB536" i="40" s="1"/>
  <c r="BB541" i="40" s="1"/>
  <c r="BB546" i="40" s="1"/>
  <c r="AQ531" i="40"/>
  <c r="AQ536" i="40" s="1"/>
  <c r="AQ541" i="40" s="1"/>
  <c r="AQ546" i="40" s="1"/>
  <c r="AK531" i="40"/>
  <c r="AK536" i="40" s="1"/>
  <c r="AK541" i="40" s="1"/>
  <c r="AK546" i="40" s="1"/>
  <c r="AV531" i="40"/>
  <c r="AV536" i="40" s="1"/>
  <c r="AV541" i="40" s="1"/>
  <c r="AV546" i="40" s="1"/>
  <c r="V531" i="40"/>
  <c r="O531" i="40"/>
  <c r="U531" i="40"/>
  <c r="X525" i="40"/>
  <c r="O525" i="40"/>
  <c r="V525" i="40"/>
  <c r="T525" i="40"/>
  <c r="U525" i="40"/>
  <c r="T39" i="40"/>
  <c r="O39" i="40"/>
  <c r="U39" i="40"/>
  <c r="V2332" i="40"/>
  <c r="V2346" i="40" s="1"/>
  <c r="BF727" i="40"/>
  <c r="BF735" i="40" s="1"/>
  <c r="BF750" i="40" s="1"/>
  <c r="BF756" i="40" s="1"/>
  <c r="BF758" i="40" s="1"/>
  <c r="BB685" i="40"/>
  <c r="BB691" i="40" s="1"/>
  <c r="BB719" i="40" s="1"/>
  <c r="BA685" i="40"/>
  <c r="BA691" i="40" s="1"/>
  <c r="BA719" i="40" s="1"/>
  <c r="BC685" i="40"/>
  <c r="BC691" i="40" s="1"/>
  <c r="BC719" i="40" s="1"/>
  <c r="V358" i="40"/>
  <c r="U541" i="40"/>
  <c r="V2179" i="40"/>
  <c r="AX210" i="40"/>
  <c r="AX244" i="40" s="1"/>
  <c r="AX276" i="40" s="1"/>
  <c r="AX308" i="40" s="1"/>
  <c r="AX329" i="40" s="1"/>
  <c r="AX358" i="40" s="1"/>
  <c r="AX407" i="40" s="1"/>
  <c r="AX461" i="40" s="1"/>
  <c r="AX463" i="40" s="1"/>
  <c r="P2259" i="40"/>
  <c r="AR111" i="40"/>
  <c r="AA276" i="40"/>
  <c r="AA308" i="40" s="1"/>
  <c r="AA329" i="40" s="1"/>
  <c r="AA358" i="40" s="1"/>
  <c r="AA407" i="40" s="1"/>
  <c r="AA461" i="40" s="1"/>
  <c r="AA463" i="40" s="1"/>
  <c r="V1178" i="40"/>
  <c r="L2065" i="40"/>
  <c r="AS628" i="40"/>
  <c r="AS640" i="40" s="1"/>
  <c r="AS660" i="40" s="1"/>
  <c r="AS685" i="40" s="1"/>
  <c r="AS691" i="40" s="1"/>
  <c r="AS719" i="40" s="1"/>
  <c r="V1378" i="40"/>
  <c r="X541" i="40"/>
  <c r="W551" i="40"/>
  <c r="O640" i="40"/>
  <c r="N996" i="40"/>
  <c r="U2311" i="40"/>
  <c r="O735" i="40"/>
  <c r="F1915" i="40"/>
  <c r="T735" i="40"/>
  <c r="I2193" i="40"/>
  <c r="W520" i="40"/>
  <c r="P1149" i="40"/>
  <c r="O501" i="40"/>
  <c r="W628" i="40"/>
  <c r="T727" i="40"/>
  <c r="AN489" i="40"/>
  <c r="P558" i="40"/>
  <c r="X520" i="40"/>
  <c r="T546" i="40"/>
  <c r="AV640" i="40"/>
  <c r="AV660" i="40" s="1"/>
  <c r="AV685" i="40" s="1"/>
  <c r="AV691" i="40" s="1"/>
  <c r="AV719" i="40" s="1"/>
  <c r="U602" i="40"/>
  <c r="O727" i="40"/>
  <c r="X750" i="40"/>
  <c r="U756" i="40"/>
  <c r="T756" i="40"/>
  <c r="L2193" i="40"/>
  <c r="V2310" i="40"/>
  <c r="V501" i="40"/>
  <c r="U536" i="40"/>
  <c r="O541" i="40"/>
  <c r="AA640" i="40"/>
  <c r="AA660" i="40" s="1"/>
  <c r="AA685" i="40" s="1"/>
  <c r="AA691" i="40" s="1"/>
  <c r="AA719" i="40" s="1"/>
  <c r="O750" i="40"/>
  <c r="V756" i="40"/>
  <c r="O1041" i="40"/>
  <c r="O1043" i="40" s="1"/>
  <c r="AO64" i="40"/>
  <c r="AO111" i="40" s="1"/>
  <c r="AH111" i="40"/>
  <c r="T685" i="40"/>
  <c r="V691" i="40"/>
  <c r="O691" i="40"/>
  <c r="T750" i="40"/>
  <c r="AQ628" i="40"/>
  <c r="AQ640" i="40" s="1"/>
  <c r="AQ660" i="40" s="1"/>
  <c r="AQ685" i="40" s="1"/>
  <c r="AQ691" i="40" s="1"/>
  <c r="AQ719" i="40" s="1"/>
  <c r="AY660" i="40"/>
  <c r="AY685" i="40" s="1"/>
  <c r="AY691" i="40" s="1"/>
  <c r="AY719" i="40" s="1"/>
  <c r="BD691" i="40"/>
  <c r="BD719" i="40" s="1"/>
  <c r="V2307" i="40"/>
  <c r="O556" i="40"/>
  <c r="V602" i="40"/>
  <c r="O756" i="40"/>
  <c r="U1517" i="40"/>
  <c r="AM64" i="40"/>
  <c r="AM111" i="40" s="1"/>
  <c r="AU210" i="40"/>
  <c r="AU244" i="40" s="1"/>
  <c r="AU276" i="40" s="1"/>
  <c r="AU308" i="40" s="1"/>
  <c r="AU329" i="40" s="1"/>
  <c r="AU358" i="40" s="1"/>
  <c r="AU407" i="40" s="1"/>
  <c r="AU461" i="40" s="1"/>
  <c r="AU463" i="40" s="1"/>
  <c r="AA489" i="40"/>
  <c r="W541" i="40"/>
  <c r="O546" i="40"/>
  <c r="U551" i="40"/>
  <c r="W750" i="40"/>
  <c r="V660" i="40"/>
  <c r="V461" i="40"/>
  <c r="T1384" i="40"/>
  <c r="T590" i="40"/>
  <c r="V140" i="40"/>
  <c r="V727" i="40"/>
  <c r="O2369" i="40"/>
  <c r="W2369" i="40"/>
  <c r="D58" i="7" s="1"/>
  <c r="X536" i="40"/>
  <c r="T501" i="40"/>
  <c r="W536" i="40"/>
  <c r="T551" i="40"/>
  <c r="O602" i="40"/>
  <c r="T602" i="40"/>
  <c r="AP64" i="40"/>
  <c r="AP111" i="40" s="1"/>
  <c r="F558" i="40"/>
  <c r="U501" i="40"/>
  <c r="O520" i="40"/>
  <c r="O551" i="40"/>
  <c r="T556" i="40"/>
  <c r="O685" i="40"/>
  <c r="V329" i="40"/>
  <c r="T520" i="40"/>
  <c r="T541" i="40"/>
  <c r="U546" i="40"/>
  <c r="U556" i="40"/>
  <c r="O628" i="40"/>
  <c r="X727" i="40"/>
  <c r="X756" i="40"/>
  <c r="P996" i="40"/>
  <c r="U993" i="40"/>
  <c r="U996" i="40" s="1"/>
  <c r="L463" i="40"/>
  <c r="W501" i="40"/>
  <c r="U520" i="40"/>
  <c r="T536" i="40"/>
  <c r="L758" i="40"/>
  <c r="W685" i="40"/>
  <c r="X685" i="40"/>
  <c r="W727" i="40"/>
  <c r="X735" i="40"/>
  <c r="O2311" i="40"/>
  <c r="AN602" i="40"/>
  <c r="AN628" i="40" s="1"/>
  <c r="AN640" i="40" s="1"/>
  <c r="AN660" i="40" s="1"/>
  <c r="AN685" i="40" s="1"/>
  <c r="AN691" i="40" s="1"/>
  <c r="AN719" i="40" s="1"/>
  <c r="P463" i="40"/>
  <c r="X501" i="40"/>
  <c r="O536" i="40"/>
  <c r="V541" i="40"/>
  <c r="V551" i="40"/>
  <c r="X551" i="40"/>
  <c r="W556" i="40"/>
  <c r="X602" i="40"/>
  <c r="I1043" i="40"/>
  <c r="AT111" i="40"/>
  <c r="X546" i="40"/>
  <c r="X556" i="40"/>
  <c r="L1387" i="40"/>
  <c r="W735" i="40"/>
  <c r="X1040" i="40"/>
  <c r="X1043" i="40" s="1"/>
  <c r="W1384" i="40"/>
  <c r="F2193" i="40"/>
  <c r="I2311" i="40"/>
  <c r="T2311" i="40"/>
  <c r="V750" i="40"/>
  <c r="V1181" i="40"/>
  <c r="X2311" i="40"/>
  <c r="O2346" i="40"/>
  <c r="T2369" i="40"/>
  <c r="U735" i="40"/>
  <c r="T2346" i="40"/>
  <c r="X2346" i="40"/>
  <c r="V1155" i="40"/>
  <c r="U244" i="40"/>
  <c r="O590" i="40"/>
  <c r="U691" i="40"/>
  <c r="O111" i="40"/>
  <c r="V210" i="40"/>
  <c r="V244" i="40"/>
  <c r="O407" i="40"/>
  <c r="X461" i="40"/>
  <c r="W1185" i="40"/>
  <c r="U461" i="40"/>
  <c r="X1185" i="40"/>
  <c r="W358" i="40"/>
  <c r="U640" i="40"/>
  <c r="U942" i="40"/>
  <c r="U944" i="40" s="1"/>
  <c r="U590" i="40"/>
  <c r="O461" i="40"/>
  <c r="O660" i="40"/>
  <c r="T660" i="40"/>
  <c r="X140" i="40"/>
  <c r="X210" i="40"/>
  <c r="O210" i="40"/>
  <c r="X358" i="40"/>
  <c r="U407" i="40"/>
  <c r="T489" i="40"/>
  <c r="W111" i="40"/>
  <c r="V590" i="40"/>
  <c r="O329" i="40"/>
  <c r="V407" i="40"/>
  <c r="T461" i="40"/>
  <c r="W590" i="40"/>
  <c r="X590" i="40"/>
  <c r="X660" i="40"/>
  <c r="W64" i="40"/>
  <c r="X244" i="40"/>
  <c r="O64" i="40"/>
  <c r="O244" i="40"/>
  <c r="T244" i="40"/>
  <c r="U276" i="40"/>
  <c r="O358" i="40"/>
  <c r="U358" i="40"/>
  <c r="T640" i="40"/>
  <c r="V640" i="40"/>
  <c r="W244" i="40"/>
  <c r="X640" i="40"/>
  <c r="X64" i="40"/>
  <c r="T210" i="40"/>
  <c r="U210" i="40"/>
  <c r="T358" i="40"/>
  <c r="V489" i="40"/>
  <c r="X489" i="40"/>
  <c r="O489" i="40"/>
  <c r="I942" i="40"/>
  <c r="I945" i="40" s="1"/>
  <c r="T64" i="40"/>
  <c r="U111" i="40"/>
  <c r="W407" i="40"/>
  <c r="W461" i="40"/>
  <c r="U660" i="40"/>
  <c r="X329" i="40"/>
  <c r="U329" i="40"/>
  <c r="W329" i="40"/>
  <c r="O942" i="40"/>
  <c r="O945" i="40" s="1"/>
  <c r="O994" i="40"/>
  <c r="O996" i="40" s="1"/>
  <c r="O308" i="40"/>
  <c r="W308" i="40"/>
  <c r="T308" i="40"/>
  <c r="X308" i="40"/>
  <c r="V308" i="40"/>
  <c r="T111" i="40"/>
  <c r="V66" i="40"/>
  <c r="V111" i="40" s="1"/>
  <c r="AW210" i="40"/>
  <c r="AW244" i="40" s="1"/>
  <c r="AW276" i="40" s="1"/>
  <c r="AW308" i="40" s="1"/>
  <c r="AW329" i="40" s="1"/>
  <c r="AW358" i="40" s="1"/>
  <c r="AW407" i="40" s="1"/>
  <c r="AW461" i="40" s="1"/>
  <c r="AW463" i="40" s="1"/>
  <c r="T329" i="40"/>
  <c r="F463" i="40"/>
  <c r="W140" i="40"/>
  <c r="O276" i="40"/>
  <c r="U308" i="40"/>
  <c r="V520" i="40"/>
  <c r="U140" i="40"/>
  <c r="V556" i="40"/>
  <c r="X993" i="40"/>
  <c r="X996" i="40" s="1"/>
  <c r="W993" i="40"/>
  <c r="W996" i="40" s="1"/>
  <c r="AQ64" i="40"/>
  <c r="AQ111" i="40" s="1"/>
  <c r="U64" i="40"/>
  <c r="X111" i="40"/>
  <c r="T407" i="40"/>
  <c r="X407" i="40"/>
  <c r="AM489" i="40"/>
  <c r="L558" i="40"/>
  <c r="V546" i="40"/>
  <c r="T691" i="40"/>
  <c r="X691" i="40"/>
  <c r="I463" i="40"/>
  <c r="W210" i="40"/>
  <c r="W276" i="40"/>
  <c r="T276" i="40"/>
  <c r="X276" i="40"/>
  <c r="W489" i="40"/>
  <c r="V628" i="40"/>
  <c r="V685" i="40"/>
  <c r="I558" i="40"/>
  <c r="W602" i="40"/>
  <c r="T628" i="40"/>
  <c r="X628" i="40"/>
  <c r="W640" i="40"/>
  <c r="W660" i="40"/>
  <c r="U750" i="40"/>
  <c r="O1185" i="40"/>
  <c r="V1184" i="40"/>
  <c r="W546" i="40"/>
  <c r="P758" i="40"/>
  <c r="U628" i="40"/>
  <c r="U685" i="40"/>
  <c r="W691" i="40"/>
  <c r="F758" i="40"/>
  <c r="V735" i="40"/>
  <c r="W1043" i="40"/>
  <c r="I1149" i="40"/>
  <c r="O1384" i="40"/>
  <c r="V1377" i="40"/>
  <c r="I758" i="40"/>
  <c r="W756" i="40"/>
  <c r="T942" i="40"/>
  <c r="T945" i="40" s="1"/>
  <c r="P942" i="40"/>
  <c r="P945" i="40" s="1"/>
  <c r="I996" i="40"/>
  <c r="S1146" i="40"/>
  <c r="X1146" i="40" s="1"/>
  <c r="I1384" i="40"/>
  <c r="U727" i="40"/>
  <c r="X942" i="40"/>
  <c r="X945" i="40" s="1"/>
  <c r="E14" i="7" s="1"/>
  <c r="W942" i="40"/>
  <c r="W945" i="40" s="1"/>
  <c r="T993" i="40"/>
  <c r="T996" i="40" s="1"/>
  <c r="V993" i="40"/>
  <c r="V996" i="40" s="1"/>
  <c r="U1149" i="40"/>
  <c r="X1384" i="40"/>
  <c r="F1534" i="40"/>
  <c r="U1507" i="40"/>
  <c r="U1043" i="40"/>
  <c r="U1045" i="40" s="1"/>
  <c r="V1040" i="40"/>
  <c r="P1043" i="40"/>
  <c r="T1040" i="40"/>
  <c r="T1043" i="40" s="1"/>
  <c r="U1510" i="40"/>
  <c r="U1516" i="40"/>
  <c r="L1779" i="40"/>
  <c r="V1157" i="40"/>
  <c r="V1158" i="40"/>
  <c r="F2349" i="40"/>
  <c r="F2351" i="40" s="1"/>
  <c r="L1915" i="40"/>
  <c r="O2226" i="40"/>
  <c r="I2369" i="40"/>
  <c r="V1041" i="40"/>
  <c r="F1387" i="40"/>
  <c r="T1185" i="40"/>
  <c r="V1177" i="40"/>
  <c r="I1185" i="40"/>
  <c r="V1383" i="40"/>
  <c r="O1534" i="40"/>
  <c r="I1779" i="40"/>
  <c r="O1149" i="40"/>
  <c r="V1358" i="40"/>
  <c r="I2226" i="40"/>
  <c r="F2065" i="40"/>
  <c r="V2192" i="40"/>
  <c r="W2311" i="40"/>
  <c r="U2346" i="40"/>
  <c r="U2369" i="40"/>
  <c r="X2369" i="40"/>
  <c r="E32" i="7" s="1"/>
  <c r="V2364" i="40"/>
  <c r="V2369" i="40" s="1"/>
  <c r="E58" i="21" s="1"/>
  <c r="P2226" i="40"/>
  <c r="W2346" i="40"/>
  <c r="L2349" i="40"/>
  <c r="L2351" i="40" s="1"/>
  <c r="I1915" i="40"/>
  <c r="P2065" i="40"/>
  <c r="I2346" i="40"/>
  <c r="F830" i="40" l="1"/>
  <c r="I830" i="40"/>
  <c r="V463" i="40"/>
  <c r="V464" i="40" s="1"/>
  <c r="U463" i="40"/>
  <c r="U464" i="40" s="1"/>
  <c r="L830" i="40"/>
  <c r="P830" i="40"/>
  <c r="CM759" i="40"/>
  <c r="D41" i="7"/>
  <c r="D73" i="7" s="1"/>
  <c r="CX735" i="40"/>
  <c r="CX750" i="40" s="1"/>
  <c r="CX756" i="40" s="1"/>
  <c r="CX758" i="40" s="1"/>
  <c r="AS727" i="40"/>
  <c r="AS735" i="40" s="1"/>
  <c r="AS750" i="40" s="1"/>
  <c r="AS756" i="40" s="1"/>
  <c r="AS758" i="40" s="1"/>
  <c r="BC727" i="40"/>
  <c r="BC735" i="40" s="1"/>
  <c r="BC750" i="40" s="1"/>
  <c r="BC756" i="40" s="1"/>
  <c r="BC758" i="40" s="1"/>
  <c r="AA727" i="40"/>
  <c r="AA735" i="40" s="1"/>
  <c r="AA750" i="40" s="1"/>
  <c r="AA756" i="40" s="1"/>
  <c r="AA758" i="40" s="1"/>
  <c r="BA727" i="40"/>
  <c r="BA735" i="40" s="1"/>
  <c r="BA750" i="40" s="1"/>
  <c r="BA756" i="40" s="1"/>
  <c r="BA758" i="40" s="1"/>
  <c r="AV727" i="40"/>
  <c r="AV735" i="40" s="1"/>
  <c r="AV750" i="40" s="1"/>
  <c r="AV756" i="40" s="1"/>
  <c r="AV758" i="40" s="1"/>
  <c r="BB727" i="40"/>
  <c r="BB735" i="40" s="1"/>
  <c r="BB750" i="40" s="1"/>
  <c r="BB756" i="40" s="1"/>
  <c r="BB758" i="40" s="1"/>
  <c r="BD727" i="40"/>
  <c r="BD735" i="40" s="1"/>
  <c r="BD750" i="40" s="1"/>
  <c r="BD756" i="40" s="1"/>
  <c r="BD758" i="40" s="1"/>
  <c r="AY727" i="40"/>
  <c r="AY735" i="40" s="1"/>
  <c r="AY750" i="40" s="1"/>
  <c r="AY756" i="40" s="1"/>
  <c r="AY758" i="40" s="1"/>
  <c r="AN727" i="40"/>
  <c r="AN735" i="40" s="1"/>
  <c r="AN750" i="40" s="1"/>
  <c r="AN756" i="40" s="1"/>
  <c r="AN758" i="40" s="1"/>
  <c r="AQ727" i="40"/>
  <c r="AQ735" i="40" s="1"/>
  <c r="AQ750" i="40" s="1"/>
  <c r="AQ756" i="40" s="1"/>
  <c r="AQ758" i="40" s="1"/>
  <c r="V942" i="40"/>
  <c r="U998" i="40"/>
  <c r="U1387" i="40"/>
  <c r="AP140" i="40"/>
  <c r="AP210" i="40" s="1"/>
  <c r="AP244" i="40" s="1"/>
  <c r="AP276" i="40" s="1"/>
  <c r="AP308" i="40" s="1"/>
  <c r="AP329" i="40" s="1"/>
  <c r="AP358" i="40" s="1"/>
  <c r="AP407" i="40" s="1"/>
  <c r="AP461" i="40" s="1"/>
  <c r="AP463" i="40" s="1"/>
  <c r="AH140" i="40"/>
  <c r="AH210" i="40" s="1"/>
  <c r="AH244" i="40" s="1"/>
  <c r="AH276" i="40" s="1"/>
  <c r="AH308" i="40" s="1"/>
  <c r="AH329" i="40" s="1"/>
  <c r="AH358" i="40" s="1"/>
  <c r="AH407" i="40" s="1"/>
  <c r="AH461" i="40" s="1"/>
  <c r="AH463" i="40" s="1"/>
  <c r="AT140" i="40"/>
  <c r="AT210" i="40" s="1"/>
  <c r="AT244" i="40" s="1"/>
  <c r="AT276" i="40" s="1"/>
  <c r="AT308" i="40" s="1"/>
  <c r="AT329" i="40" s="1"/>
  <c r="AT358" i="40" s="1"/>
  <c r="AT407" i="40" s="1"/>
  <c r="AT461" i="40" s="1"/>
  <c r="AT463" i="40" s="1"/>
  <c r="AO140" i="40"/>
  <c r="AO210" i="40" s="1"/>
  <c r="AO244" i="40" s="1"/>
  <c r="AO276" i="40" s="1"/>
  <c r="AO308" i="40" s="1"/>
  <c r="AO329" i="40" s="1"/>
  <c r="AO358" i="40" s="1"/>
  <c r="AO407" i="40" s="1"/>
  <c r="AO461" i="40" s="1"/>
  <c r="AO463" i="40" s="1"/>
  <c r="AR140" i="40"/>
  <c r="AR210" i="40" s="1"/>
  <c r="AR244" i="40" s="1"/>
  <c r="AR276" i="40" s="1"/>
  <c r="AR308" i="40" s="1"/>
  <c r="AR329" i="40" s="1"/>
  <c r="AR358" i="40" s="1"/>
  <c r="AR407" i="40" s="1"/>
  <c r="AR461" i="40" s="1"/>
  <c r="AR463" i="40" s="1"/>
  <c r="AQ140" i="40"/>
  <c r="AQ210" i="40" s="1"/>
  <c r="AQ244" i="40" s="1"/>
  <c r="AQ276" i="40" s="1"/>
  <c r="AQ308" i="40" s="1"/>
  <c r="AQ329" i="40" s="1"/>
  <c r="AQ358" i="40" s="1"/>
  <c r="AQ407" i="40" s="1"/>
  <c r="AQ461" i="40" s="1"/>
  <c r="AQ463" i="40" s="1"/>
  <c r="AV140" i="40"/>
  <c r="AV210" i="40" s="1"/>
  <c r="AV244" i="40" s="1"/>
  <c r="AV276" i="40" s="1"/>
  <c r="AV308" i="40" s="1"/>
  <c r="AV329" i="40" s="1"/>
  <c r="AV358" i="40" s="1"/>
  <c r="AV407" i="40" s="1"/>
  <c r="AV461" i="40" s="1"/>
  <c r="AV463" i="40" s="1"/>
  <c r="AM140" i="40"/>
  <c r="AM210" i="40" s="1"/>
  <c r="AM244" i="40" s="1"/>
  <c r="AM276" i="40" s="1"/>
  <c r="AM308" i="40" s="1"/>
  <c r="AM329" i="40" s="1"/>
  <c r="AM358" i="40" s="1"/>
  <c r="AM407" i="40" s="1"/>
  <c r="AM461" i="40" s="1"/>
  <c r="AM463" i="40" s="1"/>
  <c r="V758" i="40"/>
  <c r="U758" i="40"/>
  <c r="U759" i="40" s="1"/>
  <c r="V558" i="40"/>
  <c r="U558" i="40"/>
  <c r="AB525" i="40"/>
  <c r="AB531" i="40" s="1"/>
  <c r="AB536" i="40" s="1"/>
  <c r="AB541" i="40" s="1"/>
  <c r="AB546" i="40" s="1"/>
  <c r="W558" i="40"/>
  <c r="X558" i="40"/>
  <c r="T558" i="40"/>
  <c r="AA495" i="40"/>
  <c r="AA501" i="40" s="1"/>
  <c r="AA507" i="40" s="1"/>
  <c r="AA520" i="40" s="1"/>
  <c r="AN495" i="40"/>
  <c r="AN501" i="40" s="1"/>
  <c r="AN507" i="40" s="1"/>
  <c r="AN520" i="40" s="1"/>
  <c r="AM495" i="40"/>
  <c r="AM501" i="40" s="1"/>
  <c r="AM507" i="40" s="1"/>
  <c r="AM520" i="40" s="1"/>
  <c r="E56" i="21"/>
  <c r="T1146" i="40"/>
  <c r="T1149" i="40" s="1"/>
  <c r="T1387" i="40" s="1"/>
  <c r="W1146" i="40"/>
  <c r="W1149" i="40" s="1"/>
  <c r="BB551" i="40"/>
  <c r="BB556" i="40" s="1"/>
  <c r="BB558" i="40" s="1"/>
  <c r="AW551" i="40"/>
  <c r="AW556" i="40" s="1"/>
  <c r="AW558" i="40"/>
  <c r="AW831" i="40" s="1"/>
  <c r="AH551" i="40"/>
  <c r="AH556" i="40" s="1"/>
  <c r="AH558" i="40"/>
  <c r="AO558" i="40"/>
  <c r="AO551" i="40"/>
  <c r="AO556" i="40" s="1"/>
  <c r="AY551" i="40"/>
  <c r="AY556" i="40" s="1"/>
  <c r="AY558" i="40" s="1"/>
  <c r="BC551" i="40"/>
  <c r="BC556" i="40" s="1"/>
  <c r="BC558" i="40" s="1"/>
  <c r="AK558" i="40"/>
  <c r="AK551" i="40"/>
  <c r="AK556" i="40" s="1"/>
  <c r="AQ551" i="40"/>
  <c r="AQ556" i="40" s="1"/>
  <c r="AQ558" i="40"/>
  <c r="AR558" i="40"/>
  <c r="AR551" i="40"/>
  <c r="AR556" i="40" s="1"/>
  <c r="AP551" i="40"/>
  <c r="AP556" i="40" s="1"/>
  <c r="AP558" i="40"/>
  <c r="AS551" i="40"/>
  <c r="AS556" i="40" s="1"/>
  <c r="AS558" i="40"/>
  <c r="AT551" i="40"/>
  <c r="AT556" i="40" s="1"/>
  <c r="AT558" i="40"/>
  <c r="AU551" i="40"/>
  <c r="AU556" i="40" s="1"/>
  <c r="AU558" i="40"/>
  <c r="AU831" i="40" s="1"/>
  <c r="AV558" i="40"/>
  <c r="AV551" i="40"/>
  <c r="AV556" i="40" s="1"/>
  <c r="AX551" i="40"/>
  <c r="AX556" i="40" s="1"/>
  <c r="AX558" i="40" s="1"/>
  <c r="DL531" i="40"/>
  <c r="DL536" i="40" s="1"/>
  <c r="DL541" i="40" s="1"/>
  <c r="DL546" i="40" s="1"/>
  <c r="DC531" i="40"/>
  <c r="DC536" i="40" s="1"/>
  <c r="DC541" i="40" s="1"/>
  <c r="DC546" i="40" s="1"/>
  <c r="CT531" i="40"/>
  <c r="CT536" i="40" s="1"/>
  <c r="CT541" i="40" s="1"/>
  <c r="CT546" i="40" s="1"/>
  <c r="CK531" i="40"/>
  <c r="CK536" i="40" s="1"/>
  <c r="CK541" i="40" s="1"/>
  <c r="CK546" i="40" s="1"/>
  <c r="CB531" i="40"/>
  <c r="CB536" i="40" s="1"/>
  <c r="CB541" i="40" s="1"/>
  <c r="CB546" i="40" s="1"/>
  <c r="BS531" i="40"/>
  <c r="BS536" i="40" s="1"/>
  <c r="BS541" i="40" s="1"/>
  <c r="BS546" i="40" s="1"/>
  <c r="BF531" i="40"/>
  <c r="BF536" i="40" s="1"/>
  <c r="BF541" i="40" s="1"/>
  <c r="BF546" i="40" s="1"/>
  <c r="BE531" i="40"/>
  <c r="BE536" i="40" s="1"/>
  <c r="BE541" i="40" s="1"/>
  <c r="BE546" i="40" s="1"/>
  <c r="DD531" i="40"/>
  <c r="DD536" i="40" s="1"/>
  <c r="DD541" i="40" s="1"/>
  <c r="DD546" i="40" s="1"/>
  <c r="CU531" i="40"/>
  <c r="CU536" i="40" s="1"/>
  <c r="CU541" i="40" s="1"/>
  <c r="CU546" i="40" s="1"/>
  <c r="CL531" i="40"/>
  <c r="CL536" i="40" s="1"/>
  <c r="CL541" i="40" s="1"/>
  <c r="CL546" i="40" s="1"/>
  <c r="CC531" i="40"/>
  <c r="CC536" i="40" s="1"/>
  <c r="CC541" i="40" s="1"/>
  <c r="CC546" i="40" s="1"/>
  <c r="BT531" i="40"/>
  <c r="BT536" i="40" s="1"/>
  <c r="BT541" i="40" s="1"/>
  <c r="BT546" i="40" s="1"/>
  <c r="DM531" i="40"/>
  <c r="DM536" i="40" s="1"/>
  <c r="DM541" i="40" s="1"/>
  <c r="DM546" i="40" s="1"/>
  <c r="CM531" i="40"/>
  <c r="CM536" i="40" s="1"/>
  <c r="CM541" i="40" s="1"/>
  <c r="CM546" i="40" s="1"/>
  <c r="BH531" i="40"/>
  <c r="BH536" i="40" s="1"/>
  <c r="BH541" i="40" s="1"/>
  <c r="BH546" i="40" s="1"/>
  <c r="DF531" i="40"/>
  <c r="DF536" i="40" s="1"/>
  <c r="DF541" i="40" s="1"/>
  <c r="DF546" i="40" s="1"/>
  <c r="V1384" i="40"/>
  <c r="CN531" i="40"/>
  <c r="CN536" i="40" s="1"/>
  <c r="CN541" i="40" s="1"/>
  <c r="CN546" i="40" s="1"/>
  <c r="BV531" i="40"/>
  <c r="BV536" i="40" s="1"/>
  <c r="BV541" i="40" s="1"/>
  <c r="BV546" i="40" s="1"/>
  <c r="BI531" i="40"/>
  <c r="BI536" i="40" s="1"/>
  <c r="BI541" i="40" s="1"/>
  <c r="BI546" i="40" s="1"/>
  <c r="DG531" i="40"/>
  <c r="DG536" i="40" s="1"/>
  <c r="DG541" i="40" s="1"/>
  <c r="DG546" i="40" s="1"/>
  <c r="CX531" i="40"/>
  <c r="CX536" i="40" s="1"/>
  <c r="CX541" i="40" s="1"/>
  <c r="CX546" i="40" s="1"/>
  <c r="CW531" i="40"/>
  <c r="CW536" i="40" s="1"/>
  <c r="CW541" i="40" s="1"/>
  <c r="CW546" i="40" s="1"/>
  <c r="AZ551" i="40"/>
  <c r="AZ556" i="40" s="1"/>
  <c r="AZ558" i="40" s="1"/>
  <c r="CF531" i="40"/>
  <c r="CF536" i="40" s="1"/>
  <c r="CF541" i="40" s="1"/>
  <c r="CF546" i="40" s="1"/>
  <c r="BW531" i="40"/>
  <c r="BW536" i="40" s="1"/>
  <c r="BW541" i="40" s="1"/>
  <c r="BW546" i="40" s="1"/>
  <c r="BJ531" i="40"/>
  <c r="BJ536" i="40" s="1"/>
  <c r="BJ541" i="40" s="1"/>
  <c r="BJ546" i="40" s="1"/>
  <c r="DH531" i="40"/>
  <c r="DH536" i="40" s="1"/>
  <c r="DH541" i="40" s="1"/>
  <c r="DH546" i="40" s="1"/>
  <c r="CY531" i="40"/>
  <c r="CY536" i="40" s="1"/>
  <c r="CY541" i="40" s="1"/>
  <c r="CY546" i="40" s="1"/>
  <c r="CP531" i="40"/>
  <c r="CP536" i="40" s="1"/>
  <c r="CP541" i="40" s="1"/>
  <c r="CP546" i="40" s="1"/>
  <c r="CP551" i="40" s="1"/>
  <c r="CP556" i="40" s="1"/>
  <c r="CP558" i="40" s="1"/>
  <c r="CP831" i="40" s="1"/>
  <c r="CO531" i="40"/>
  <c r="CO536" i="40" s="1"/>
  <c r="CO541" i="40" s="1"/>
  <c r="CO546" i="40" s="1"/>
  <c r="CD531" i="40"/>
  <c r="CD536" i="40" s="1"/>
  <c r="CD541" i="40" s="1"/>
  <c r="CD546" i="40" s="1"/>
  <c r="CE531" i="40"/>
  <c r="CE536" i="40" s="1"/>
  <c r="CE541" i="40" s="1"/>
  <c r="CE546" i="40" s="1"/>
  <c r="CE551" i="40" s="1"/>
  <c r="CE556" i="40" s="1"/>
  <c r="CE558" i="40" s="1"/>
  <c r="CE831" i="40" s="1"/>
  <c r="BD551" i="40"/>
  <c r="BD556" i="40" s="1"/>
  <c r="BD558" i="40" s="1"/>
  <c r="BX531" i="40"/>
  <c r="BX536" i="40" s="1"/>
  <c r="BX541" i="40" s="1"/>
  <c r="BX546" i="40" s="1"/>
  <c r="BK531" i="40"/>
  <c r="BK536" i="40" s="1"/>
  <c r="BK541" i="40" s="1"/>
  <c r="BK546" i="40" s="1"/>
  <c r="DI531" i="40"/>
  <c r="DI536" i="40" s="1"/>
  <c r="DI541" i="40" s="1"/>
  <c r="DI546" i="40" s="1"/>
  <c r="CZ531" i="40"/>
  <c r="CZ536" i="40" s="1"/>
  <c r="CZ541" i="40" s="1"/>
  <c r="CZ546" i="40" s="1"/>
  <c r="CZ551" i="40" s="1"/>
  <c r="CZ556" i="40" s="1"/>
  <c r="CZ558" i="40" s="1"/>
  <c r="CQ531" i="40"/>
  <c r="CQ536" i="40" s="1"/>
  <c r="CQ541" i="40" s="1"/>
  <c r="CQ546" i="40" s="1"/>
  <c r="CH531" i="40"/>
  <c r="CH536" i="40" s="1"/>
  <c r="CH541" i="40" s="1"/>
  <c r="CH546" i="40" s="1"/>
  <c r="CG531" i="40"/>
  <c r="CG536" i="40" s="1"/>
  <c r="CG541" i="40" s="1"/>
  <c r="CG546" i="40" s="1"/>
  <c r="CV531" i="40"/>
  <c r="CV536" i="40" s="1"/>
  <c r="CV541" i="40" s="1"/>
  <c r="CV546" i="40" s="1"/>
  <c r="CV551" i="40" s="1"/>
  <c r="CV556" i="40" s="1"/>
  <c r="CV558" i="40" s="1"/>
  <c r="BU531" i="40"/>
  <c r="BU536" i="40" s="1"/>
  <c r="BU541" i="40" s="1"/>
  <c r="BU546" i="40" s="1"/>
  <c r="DE531" i="40"/>
  <c r="DE536" i="40" s="1"/>
  <c r="DE541" i="40" s="1"/>
  <c r="DE546" i="40" s="1"/>
  <c r="BL531" i="40"/>
  <c r="BL536" i="40" s="1"/>
  <c r="BL541" i="40" s="1"/>
  <c r="BL546" i="40" s="1"/>
  <c r="DJ531" i="40"/>
  <c r="DJ536" i="40" s="1"/>
  <c r="DJ541" i="40" s="1"/>
  <c r="DJ546" i="40" s="1"/>
  <c r="DA531" i="40"/>
  <c r="DA536" i="40" s="1"/>
  <c r="DA541" i="40" s="1"/>
  <c r="DA546" i="40" s="1"/>
  <c r="CR531" i="40"/>
  <c r="CR536" i="40" s="1"/>
  <c r="CR541" i="40" s="1"/>
  <c r="CR546" i="40" s="1"/>
  <c r="CI531" i="40"/>
  <c r="CI536" i="40" s="1"/>
  <c r="CI541" i="40" s="1"/>
  <c r="CI546" i="40" s="1"/>
  <c r="BZ531" i="40"/>
  <c r="BZ536" i="40" s="1"/>
  <c r="BZ541" i="40" s="1"/>
  <c r="BZ546" i="40" s="1"/>
  <c r="BY531" i="40"/>
  <c r="BY536" i="40" s="1"/>
  <c r="BY541" i="40" s="1"/>
  <c r="BY546" i="40" s="1"/>
  <c r="DK531" i="40"/>
  <c r="DK536" i="40" s="1"/>
  <c r="DK541" i="40" s="1"/>
  <c r="DK546" i="40" s="1"/>
  <c r="DB531" i="40"/>
  <c r="DB536" i="40" s="1"/>
  <c r="DB541" i="40" s="1"/>
  <c r="DB546" i="40" s="1"/>
  <c r="CS531" i="40"/>
  <c r="CS536" i="40" s="1"/>
  <c r="CS541" i="40" s="1"/>
  <c r="CS546" i="40" s="1"/>
  <c r="CJ531" i="40"/>
  <c r="CJ536" i="40" s="1"/>
  <c r="CJ541" i="40" s="1"/>
  <c r="CJ546" i="40" s="1"/>
  <c r="CA531" i="40"/>
  <c r="CA536" i="40" s="1"/>
  <c r="CA541" i="40" s="1"/>
  <c r="CA546" i="40" s="1"/>
  <c r="BR531" i="40"/>
  <c r="BR536" i="40" s="1"/>
  <c r="BR541" i="40" s="1"/>
  <c r="BR546" i="40" s="1"/>
  <c r="BM531" i="40"/>
  <c r="BM536" i="40" s="1"/>
  <c r="BM541" i="40" s="1"/>
  <c r="BM546" i="40" s="1"/>
  <c r="BG531" i="40"/>
  <c r="BG536" i="40" s="1"/>
  <c r="BG541" i="40" s="1"/>
  <c r="BG546" i="40" s="1"/>
  <c r="F14" i="7"/>
  <c r="F32" i="7"/>
  <c r="F58" i="7"/>
  <c r="W2065" i="40"/>
  <c r="V1043" i="40"/>
  <c r="U2259" i="40"/>
  <c r="U2065" i="40"/>
  <c r="X2065" i="40"/>
  <c r="I2065" i="40"/>
  <c r="X1779" i="40"/>
  <c r="O2065" i="40"/>
  <c r="P1387" i="40"/>
  <c r="O2349" i="40"/>
  <c r="O2351" i="40" s="1"/>
  <c r="O1915" i="40"/>
  <c r="P2349" i="40"/>
  <c r="P2351" i="40" s="1"/>
  <c r="V2311" i="40"/>
  <c r="U945" i="40"/>
  <c r="U2226" i="40"/>
  <c r="T2065" i="40"/>
  <c r="O1387" i="40"/>
  <c r="O2193" i="40"/>
  <c r="V2226" i="40"/>
  <c r="X1915" i="40"/>
  <c r="T1534" i="40"/>
  <c r="O558" i="40"/>
  <c r="T758" i="40"/>
  <c r="X2226" i="40"/>
  <c r="X2349" i="40" s="1"/>
  <c r="W2226" i="40"/>
  <c r="O758" i="40"/>
  <c r="T2226" i="40"/>
  <c r="T2349" i="40" s="1"/>
  <c r="T2351" i="40" s="1"/>
  <c r="X1534" i="40"/>
  <c r="V1185" i="40"/>
  <c r="I1534" i="40"/>
  <c r="O463" i="40"/>
  <c r="U1534" i="40"/>
  <c r="V1534" i="40"/>
  <c r="V2353" i="40" s="1"/>
  <c r="T463" i="40"/>
  <c r="O1779" i="40"/>
  <c r="V1149" i="40"/>
  <c r="X758" i="40"/>
  <c r="W463" i="40"/>
  <c r="X463" i="40"/>
  <c r="W1915" i="40"/>
  <c r="U1151" i="40"/>
  <c r="V2065" i="40"/>
  <c r="E45" i="21" s="1"/>
  <c r="W1779" i="40"/>
  <c r="P1779" i="40"/>
  <c r="P1915" i="40"/>
  <c r="U1915" i="40"/>
  <c r="T1915" i="40"/>
  <c r="V1915" i="40"/>
  <c r="I1387" i="40"/>
  <c r="X2193" i="40"/>
  <c r="P2193" i="40"/>
  <c r="X1149" i="40"/>
  <c r="W758" i="40"/>
  <c r="V759" i="40" l="1"/>
  <c r="D39" i="7"/>
  <c r="F39" i="7" s="1"/>
  <c r="E10" i="7"/>
  <c r="F10" i="7" s="1"/>
  <c r="X1389" i="40"/>
  <c r="AB1390" i="40" s="1"/>
  <c r="V945" i="40"/>
  <c r="D35" i="21" s="1"/>
  <c r="V944" i="40"/>
  <c r="X1387" i="40"/>
  <c r="E26" i="7" s="1"/>
  <c r="E72" i="7" s="1"/>
  <c r="X2374" i="40"/>
  <c r="V1390" i="40"/>
  <c r="V1391" i="40"/>
  <c r="W1389" i="40" s="1"/>
  <c r="AR831" i="40"/>
  <c r="AR833" i="40" s="1"/>
  <c r="AT831" i="40"/>
  <c r="AT833" i="40" s="1"/>
  <c r="AY831" i="40"/>
  <c r="AY833" i="40" s="1"/>
  <c r="X1983" i="40"/>
  <c r="E16" i="7" s="1"/>
  <c r="AO831" i="40"/>
  <c r="AO833" i="40" s="1"/>
  <c r="AH831" i="40"/>
  <c r="AH833" i="40" s="1"/>
  <c r="AP831" i="40"/>
  <c r="AP833" i="40" s="1"/>
  <c r="T830" i="40"/>
  <c r="BD831" i="40"/>
  <c r="BD833" i="40" s="1"/>
  <c r="CP833" i="40"/>
  <c r="X830" i="40"/>
  <c r="BB831" i="40"/>
  <c r="BB833" i="40" s="1"/>
  <c r="W830" i="40"/>
  <c r="AV831" i="40"/>
  <c r="AV833" i="40" s="1"/>
  <c r="CZ831" i="40"/>
  <c r="CZ833" i="40" s="1"/>
  <c r="AK831" i="40"/>
  <c r="AK833" i="40" s="1"/>
  <c r="O830" i="40"/>
  <c r="AU833" i="40"/>
  <c r="BA831" i="40"/>
  <c r="BA833" i="40" s="1"/>
  <c r="AQ831" i="40"/>
  <c r="AQ833" i="40" s="1"/>
  <c r="BC831" i="40"/>
  <c r="BC833" i="40" s="1"/>
  <c r="AZ831" i="40"/>
  <c r="AZ833" i="40" s="1"/>
  <c r="AX831" i="40"/>
  <c r="AX833" i="40" s="1"/>
  <c r="CV831" i="40"/>
  <c r="CV833" i="40" s="1"/>
  <c r="CE833" i="40"/>
  <c r="V830" i="40"/>
  <c r="U833" i="40" s="1"/>
  <c r="AS831" i="40"/>
  <c r="AS833" i="40" s="1"/>
  <c r="U559" i="40"/>
  <c r="U830" i="40"/>
  <c r="V831" i="40" s="1"/>
  <c r="W831" i="40" s="1"/>
  <c r="E12" i="7"/>
  <c r="E73" i="7" s="1"/>
  <c r="X2351" i="40"/>
  <c r="V1387" i="40"/>
  <c r="V1388" i="40" s="1"/>
  <c r="AC1389" i="40" s="1"/>
  <c r="E49" i="21"/>
  <c r="W1387" i="40"/>
  <c r="D53" i="7" s="1"/>
  <c r="AW833" i="40"/>
  <c r="E7" i="7"/>
  <c r="D37" i="7"/>
  <c r="W1983" i="40"/>
  <c r="D44" i="7" s="1"/>
  <c r="V1187" i="40"/>
  <c r="F51" i="7"/>
  <c r="C57" i="41"/>
  <c r="C14" i="41"/>
  <c r="C32" i="41"/>
  <c r="AB551" i="40"/>
  <c r="AB556" i="40" s="1"/>
  <c r="AB558" i="40"/>
  <c r="AM525" i="40"/>
  <c r="AM531" i="40" s="1"/>
  <c r="AM536" i="40" s="1"/>
  <c r="AM541" i="40" s="1"/>
  <c r="AM546" i="40" s="1"/>
  <c r="AN525" i="40"/>
  <c r="AN531" i="40" s="1"/>
  <c r="AN536" i="40" s="1"/>
  <c r="AN541" i="40" s="1"/>
  <c r="AN546" i="40" s="1"/>
  <c r="AA525" i="40"/>
  <c r="AA531" i="40" s="1"/>
  <c r="AA536" i="40" s="1"/>
  <c r="AA541" i="40" s="1"/>
  <c r="AA546" i="40" s="1"/>
  <c r="U2349" i="40"/>
  <c r="U2351" i="40" s="1"/>
  <c r="W2349" i="40"/>
  <c r="D57" i="7" s="1"/>
  <c r="DB551" i="40"/>
  <c r="DB556" i="40" s="1"/>
  <c r="DB558" i="40" s="1"/>
  <c r="CL551" i="40"/>
  <c r="CL556" i="40" s="1"/>
  <c r="CL558" i="40" s="1"/>
  <c r="CQ551" i="40"/>
  <c r="CQ556" i="40" s="1"/>
  <c r="CQ558" i="40" s="1"/>
  <c r="CX551" i="40"/>
  <c r="CX556" i="40" s="1"/>
  <c r="CX558" i="40" s="1"/>
  <c r="CM551" i="40"/>
  <c r="CM556" i="40" s="1"/>
  <c r="CM558" i="40" s="1"/>
  <c r="BJ551" i="40"/>
  <c r="BJ556" i="40" s="1"/>
  <c r="BJ558" i="40" s="1"/>
  <c r="DL551" i="40"/>
  <c r="DL556" i="40" s="1"/>
  <c r="DL558" i="40" s="1"/>
  <c r="CN551" i="40"/>
  <c r="CN556" i="40" s="1"/>
  <c r="CN558" i="40" s="1"/>
  <c r="DJ551" i="40"/>
  <c r="DJ556" i="40" s="1"/>
  <c r="DJ558" i="40" s="1"/>
  <c r="CO551" i="40"/>
  <c r="CO556" i="40" s="1"/>
  <c r="CO558" i="40" s="1"/>
  <c r="BX551" i="40"/>
  <c r="BX556" i="40" s="1"/>
  <c r="BX558" i="40" s="1"/>
  <c r="CB551" i="40"/>
  <c r="CB556" i="40" s="1"/>
  <c r="CB558" i="40" s="1"/>
  <c r="BU551" i="40"/>
  <c r="BU556" i="40" s="1"/>
  <c r="BU558" i="40" s="1"/>
  <c r="BR551" i="40"/>
  <c r="BR556" i="40" s="1"/>
  <c r="BR558" i="40" s="1"/>
  <c r="CG551" i="40"/>
  <c r="CG556" i="40" s="1"/>
  <c r="CG558" i="40" s="1"/>
  <c r="BS551" i="40"/>
  <c r="BS556" i="40" s="1"/>
  <c r="BS558" i="40" s="1"/>
  <c r="CA551" i="40"/>
  <c r="CA556" i="40" s="1"/>
  <c r="CA558" i="40" s="1"/>
  <c r="CH551" i="40"/>
  <c r="CH556" i="40" s="1"/>
  <c r="CH558" i="40" s="1"/>
  <c r="DG551" i="40"/>
  <c r="DG556" i="40" s="1"/>
  <c r="DG558" i="40" s="1"/>
  <c r="BH551" i="40"/>
  <c r="BH556" i="40" s="1"/>
  <c r="BH558" i="40" s="1"/>
  <c r="CU551" i="40"/>
  <c r="CU556" i="40" s="1"/>
  <c r="CU558" i="40" s="1"/>
  <c r="BL551" i="40"/>
  <c r="BL556" i="40" s="1"/>
  <c r="BL558" i="40" s="1"/>
  <c r="DD551" i="40"/>
  <c r="DD556" i="40" s="1"/>
  <c r="DD558" i="40" s="1"/>
  <c r="CS551" i="40"/>
  <c r="CS556" i="40" s="1"/>
  <c r="CS558" i="40" s="1"/>
  <c r="CI551" i="40"/>
  <c r="CI556" i="40" s="1"/>
  <c r="CI558" i="40" s="1"/>
  <c r="BV551" i="40"/>
  <c r="BV556" i="40" s="1"/>
  <c r="BV558" i="40" s="1"/>
  <c r="CK551" i="40"/>
  <c r="CK556" i="40" s="1"/>
  <c r="CK558" i="40" s="1"/>
  <c r="CD551" i="40"/>
  <c r="CD556" i="40" s="1"/>
  <c r="CD558" i="40" s="1"/>
  <c r="BY551" i="40"/>
  <c r="BY556" i="40" s="1"/>
  <c r="BY558" i="40" s="1"/>
  <c r="CJ551" i="40"/>
  <c r="CJ556" i="40" s="1"/>
  <c r="CJ558" i="40" s="1"/>
  <c r="BI551" i="40"/>
  <c r="BI556" i="40" s="1"/>
  <c r="BI558" i="40" s="1"/>
  <c r="CR551" i="40"/>
  <c r="CR556" i="40" s="1"/>
  <c r="CR558" i="40" s="1"/>
  <c r="DM551" i="40"/>
  <c r="DM556" i="40" s="1"/>
  <c r="DM558" i="40" s="1"/>
  <c r="CT551" i="40"/>
  <c r="CT556" i="40" s="1"/>
  <c r="CT558" i="40" s="1"/>
  <c r="BF551" i="40"/>
  <c r="BF556" i="40" s="1"/>
  <c r="BF558" i="40" s="1"/>
  <c r="DF551" i="40"/>
  <c r="DF556" i="40" s="1"/>
  <c r="DF558" i="40" s="1"/>
  <c r="DE551" i="40"/>
  <c r="DE556" i="40" s="1"/>
  <c r="DE558" i="40" s="1"/>
  <c r="DA551" i="40"/>
  <c r="DA556" i="40" s="1"/>
  <c r="DA558" i="40" s="1"/>
  <c r="BT551" i="40"/>
  <c r="BT556" i="40" s="1"/>
  <c r="BT558" i="40" s="1"/>
  <c r="DC551" i="40"/>
  <c r="DC556" i="40" s="1"/>
  <c r="DC558" i="40" s="1"/>
  <c r="BK551" i="40"/>
  <c r="BK556" i="40" s="1"/>
  <c r="BK558" i="40" s="1"/>
  <c r="BM551" i="40"/>
  <c r="BM556" i="40" s="1"/>
  <c r="BM558" i="40" s="1"/>
  <c r="DK551" i="40"/>
  <c r="DK556" i="40" s="1"/>
  <c r="DK558" i="40" s="1"/>
  <c r="DH551" i="40"/>
  <c r="DH556" i="40" s="1"/>
  <c r="DH558" i="40" s="1"/>
  <c r="CW551" i="40"/>
  <c r="CW556" i="40" s="1"/>
  <c r="CW558" i="40" s="1"/>
  <c r="CC551" i="40"/>
  <c r="CC556" i="40" s="1"/>
  <c r="CC558" i="40" s="1"/>
  <c r="BE551" i="40"/>
  <c r="BE556" i="40" s="1"/>
  <c r="BE558" i="40" s="1"/>
  <c r="CF551" i="40"/>
  <c r="CF556" i="40" s="1"/>
  <c r="CF558" i="40" s="1"/>
  <c r="BZ551" i="40"/>
  <c r="BZ556" i="40" s="1"/>
  <c r="BZ558" i="40" s="1"/>
  <c r="BW551" i="40"/>
  <c r="BW556" i="40" s="1"/>
  <c r="BW558" i="40" s="1"/>
  <c r="DI551" i="40"/>
  <c r="DI556" i="40" s="1"/>
  <c r="DI558" i="40" s="1"/>
  <c r="CY551" i="40"/>
  <c r="CY556" i="40" s="1"/>
  <c r="CY558" i="40" s="1"/>
  <c r="BG551" i="40"/>
  <c r="BG556" i="40" s="1"/>
  <c r="BG558" i="40" s="1"/>
  <c r="V1389" i="40"/>
  <c r="D24" i="21"/>
  <c r="F24" i="21" s="1"/>
  <c r="D33" i="21"/>
  <c r="E41" i="21"/>
  <c r="V1779" i="40"/>
  <c r="E40" i="21" s="1"/>
  <c r="T1779" i="40"/>
  <c r="D6" i="21"/>
  <c r="V2193" i="40"/>
  <c r="W2193" i="40"/>
  <c r="W2195" i="40" s="1"/>
  <c r="D46" i="7" s="1"/>
  <c r="U2193" i="40"/>
  <c r="X2195" i="40"/>
  <c r="E18" i="7" s="1"/>
  <c r="D20" i="21"/>
  <c r="V1386" i="40"/>
  <c r="T2193" i="40"/>
  <c r="C10" i="41" l="1"/>
  <c r="C39" i="41"/>
  <c r="D71" i="7"/>
  <c r="E71" i="7"/>
  <c r="W2374" i="40"/>
  <c r="BG831" i="40"/>
  <c r="BG833" i="40" s="1"/>
  <c r="CW831" i="40"/>
  <c r="CW833" i="40" s="1"/>
  <c r="DE831" i="40"/>
  <c r="DE833" i="40" s="1"/>
  <c r="BY831" i="40"/>
  <c r="BY833" i="40" s="1"/>
  <c r="CU831" i="40"/>
  <c r="CU833" i="40" s="1"/>
  <c r="BU831" i="40"/>
  <c r="BU833" i="40" s="1"/>
  <c r="CM831" i="40"/>
  <c r="CM833" i="40" s="1"/>
  <c r="CC831" i="40"/>
  <c r="CC833" i="40" s="1"/>
  <c r="DA831" i="40"/>
  <c r="DA833" i="40" s="1"/>
  <c r="CJ831" i="40"/>
  <c r="CJ833" i="40" s="1"/>
  <c r="BL831" i="40"/>
  <c r="BL833" i="40" s="1"/>
  <c r="BR831" i="40"/>
  <c r="BR833" i="40" s="1"/>
  <c r="BJ831" i="40"/>
  <c r="BJ833" i="40" s="1"/>
  <c r="CY831" i="40"/>
  <c r="CY833" i="40" s="1"/>
  <c r="DH831" i="40"/>
  <c r="DH833" i="40" s="1"/>
  <c r="DF831" i="40"/>
  <c r="DF833" i="40" s="1"/>
  <c r="CD831" i="40"/>
  <c r="CD833" i="40" s="1"/>
  <c r="BH831" i="40"/>
  <c r="BH833" i="40" s="1"/>
  <c r="CB831" i="40"/>
  <c r="CB833" i="40" s="1"/>
  <c r="CX831" i="40"/>
  <c r="CX833" i="40" s="1"/>
  <c r="DI831" i="40"/>
  <c r="DI833" i="40" s="1"/>
  <c r="DK831" i="40"/>
  <c r="DK833" i="40" s="1"/>
  <c r="BF831" i="40"/>
  <c r="BF833" i="40" s="1"/>
  <c r="CK831" i="40"/>
  <c r="CK833" i="40" s="1"/>
  <c r="DG831" i="40"/>
  <c r="DG833" i="40" s="1"/>
  <c r="BX831" i="40"/>
  <c r="BX833" i="40" s="1"/>
  <c r="CQ831" i="40"/>
  <c r="CQ833" i="40" s="1"/>
  <c r="AB831" i="40"/>
  <c r="AB833" i="40" s="1"/>
  <c r="BW831" i="40"/>
  <c r="BW833" i="40" s="1"/>
  <c r="BM831" i="40"/>
  <c r="BM833" i="40" s="1"/>
  <c r="CT831" i="40"/>
  <c r="CT833" i="40" s="1"/>
  <c r="BV831" i="40"/>
  <c r="BV833" i="40" s="1"/>
  <c r="CH831" i="40"/>
  <c r="CH833" i="40" s="1"/>
  <c r="CO831" i="40"/>
  <c r="CO833" i="40" s="1"/>
  <c r="CL831" i="40"/>
  <c r="CL833" i="40" s="1"/>
  <c r="BZ831" i="40"/>
  <c r="BZ833" i="40" s="1"/>
  <c r="BK831" i="40"/>
  <c r="BK833" i="40" s="1"/>
  <c r="DM831" i="40"/>
  <c r="DM833" i="40" s="1"/>
  <c r="CI831" i="40"/>
  <c r="CI833" i="40" s="1"/>
  <c r="CA831" i="40"/>
  <c r="CA833" i="40" s="1"/>
  <c r="DJ831" i="40"/>
  <c r="DJ833" i="40" s="1"/>
  <c r="DB831" i="40"/>
  <c r="DB833" i="40" s="1"/>
  <c r="CF831" i="40"/>
  <c r="CF833" i="40" s="1"/>
  <c r="DC831" i="40"/>
  <c r="DC833" i="40" s="1"/>
  <c r="CR831" i="40"/>
  <c r="CR833" i="40" s="1"/>
  <c r="CS831" i="40"/>
  <c r="CS833" i="40" s="1"/>
  <c r="BS831" i="40"/>
  <c r="BS833" i="40" s="1"/>
  <c r="CN831" i="40"/>
  <c r="CN833" i="40" s="1"/>
  <c r="BE831" i="40"/>
  <c r="BE833" i="40" s="1"/>
  <c r="BT831" i="40"/>
  <c r="BT833" i="40" s="1"/>
  <c r="BI831" i="40"/>
  <c r="BI833" i="40" s="1"/>
  <c r="DD831" i="40"/>
  <c r="DD833" i="40" s="1"/>
  <c r="CG831" i="40"/>
  <c r="CG833" i="40" s="1"/>
  <c r="DL831" i="40"/>
  <c r="DL833" i="40" s="1"/>
  <c r="F12" i="7"/>
  <c r="D72" i="21"/>
  <c r="W2351" i="40"/>
  <c r="W2372" i="40" s="1"/>
  <c r="D64" i="7"/>
  <c r="D72" i="7"/>
  <c r="F53" i="7"/>
  <c r="F7" i="7"/>
  <c r="F37" i="7"/>
  <c r="V559" i="40"/>
  <c r="X2372" i="40"/>
  <c r="F26" i="7"/>
  <c r="D74" i="7"/>
  <c r="V1983" i="40"/>
  <c r="I26" i="44"/>
  <c r="J26" i="44" s="1"/>
  <c r="K26" i="44" s="1"/>
  <c r="J26" i="45"/>
  <c r="K26" i="45" s="1"/>
  <c r="L26" i="45" s="1"/>
  <c r="O26" i="45" s="1"/>
  <c r="D71" i="21"/>
  <c r="C51" i="41"/>
  <c r="AM558" i="40"/>
  <c r="AM551" i="40"/>
  <c r="AM556" i="40" s="1"/>
  <c r="AA551" i="40"/>
  <c r="AA556" i="40" s="1"/>
  <c r="AA558" i="40"/>
  <c r="AN558" i="40"/>
  <c r="AN831" i="40" s="1"/>
  <c r="AN551" i="40"/>
  <c r="AN556" i="40" s="1"/>
  <c r="E31" i="7"/>
  <c r="E74" i="7" s="1"/>
  <c r="F16" i="7"/>
  <c r="F18" i="7"/>
  <c r="E46" i="21"/>
  <c r="V2195" i="40"/>
  <c r="E38" i="21"/>
  <c r="E73" i="21" s="1"/>
  <c r="E6" i="21"/>
  <c r="E7" i="21"/>
  <c r="F7" i="21" s="1"/>
  <c r="E8" i="21"/>
  <c r="F8" i="21" s="1"/>
  <c r="E9" i="21"/>
  <c r="F9" i="21" s="1"/>
  <c r="E10" i="21"/>
  <c r="F10" i="21" s="1"/>
  <c r="E11" i="21"/>
  <c r="F11" i="21" s="1"/>
  <c r="E12" i="21"/>
  <c r="F12" i="21" s="1"/>
  <c r="E13" i="21"/>
  <c r="F13" i="21" s="1"/>
  <c r="E14" i="21"/>
  <c r="E15" i="21"/>
  <c r="F15" i="21" s="1"/>
  <c r="E16" i="21"/>
  <c r="E17" i="21"/>
  <c r="F17" i="21" s="1"/>
  <c r="E18" i="21"/>
  <c r="F18" i="21" s="1"/>
  <c r="E19" i="21"/>
  <c r="F19" i="21" s="1"/>
  <c r="E20" i="21"/>
  <c r="E21" i="21"/>
  <c r="F21" i="21" s="1"/>
  <c r="E22" i="21"/>
  <c r="F22" i="21" s="1"/>
  <c r="E23" i="21"/>
  <c r="F23" i="21" s="1"/>
  <c r="F29" i="21"/>
  <c r="J28" i="21" s="1"/>
  <c r="E33" i="21"/>
  <c r="E34" i="21"/>
  <c r="F34" i="21" s="1"/>
  <c r="J36" i="45" s="1"/>
  <c r="K36" i="45" s="1"/>
  <c r="F35" i="21"/>
  <c r="F36" i="21"/>
  <c r="J38" i="45" s="1"/>
  <c r="K38" i="45" s="1"/>
  <c r="L38" i="45" s="1"/>
  <c r="O38" i="45" s="1"/>
  <c r="F37" i="21"/>
  <c r="J39" i="45" s="1"/>
  <c r="K39" i="45" s="1"/>
  <c r="L39" i="45" s="1"/>
  <c r="O39" i="45" s="1"/>
  <c r="D39" i="21"/>
  <c r="D57" i="21"/>
  <c r="F57" i="21" s="1"/>
  <c r="J58" i="45" s="1"/>
  <c r="K58" i="45" s="1"/>
  <c r="L58" i="45" s="1"/>
  <c r="O58" i="45" s="1"/>
  <c r="D56" i="21"/>
  <c r="D52" i="21"/>
  <c r="D50" i="21"/>
  <c r="D59" i="21"/>
  <c r="F59" i="21" s="1"/>
  <c r="J60" i="45" s="1"/>
  <c r="K60" i="45" s="1"/>
  <c r="L60" i="45" s="1"/>
  <c r="O60" i="45" s="1"/>
  <c r="D58" i="21"/>
  <c r="D48" i="21"/>
  <c r="F48" i="21" s="1"/>
  <c r="J49" i="45" s="1"/>
  <c r="K49" i="45" s="1"/>
  <c r="L49" i="45" s="1"/>
  <c r="O49" i="45" s="1"/>
  <c r="D46" i="21"/>
  <c r="D45" i="21"/>
  <c r="D42" i="21"/>
  <c r="F42" i="21" s="1"/>
  <c r="J44" i="45" s="1"/>
  <c r="K44" i="45" s="1"/>
  <c r="L44" i="45" s="1"/>
  <c r="O44" i="45" s="1"/>
  <c r="D41" i="21"/>
  <c r="F41" i="21" s="1"/>
  <c r="J43" i="45" s="1"/>
  <c r="K43" i="45" s="1"/>
  <c r="L43" i="45" s="1"/>
  <c r="O43" i="45" s="1"/>
  <c r="D40" i="21"/>
  <c r="D38" i="21"/>
  <c r="D54" i="21"/>
  <c r="D53" i="21"/>
  <c r="F53" i="21" s="1"/>
  <c r="J54" i="45" s="1"/>
  <c r="K54" i="45" s="1"/>
  <c r="L54" i="45" s="1"/>
  <c r="O54" i="45" s="1"/>
  <c r="F71" i="7" l="1"/>
  <c r="C12" i="41"/>
  <c r="C52" i="41"/>
  <c r="C37" i="41"/>
  <c r="C26" i="41"/>
  <c r="C7" i="41"/>
  <c r="L36" i="45"/>
  <c r="O36" i="45" s="1"/>
  <c r="AA831" i="40"/>
  <c r="AA833" i="40" s="1"/>
  <c r="AM831" i="40"/>
  <c r="AM833" i="40" s="1"/>
  <c r="E72" i="21"/>
  <c r="J37" i="45"/>
  <c r="K37" i="45" s="1"/>
  <c r="L37" i="45" s="1"/>
  <c r="O37" i="45" s="1"/>
  <c r="J35" i="21"/>
  <c r="E64" i="7"/>
  <c r="E67" i="7"/>
  <c r="X2375" i="40"/>
  <c r="W2375" i="40"/>
  <c r="F72" i="7"/>
  <c r="D73" i="21"/>
  <c r="I13" i="44"/>
  <c r="J13" i="44" s="1"/>
  <c r="K13" i="44" s="1"/>
  <c r="J13" i="45"/>
  <c r="K13" i="45" s="1"/>
  <c r="L13" i="45" s="1"/>
  <c r="O13" i="45" s="1"/>
  <c r="I20" i="44"/>
  <c r="J20" i="44" s="1"/>
  <c r="K20" i="44" s="1"/>
  <c r="J20" i="45"/>
  <c r="K20" i="45" s="1"/>
  <c r="L20" i="45" s="1"/>
  <c r="O20" i="45" s="1"/>
  <c r="I12" i="44"/>
  <c r="J12" i="44" s="1"/>
  <c r="K12" i="44" s="1"/>
  <c r="J12" i="45"/>
  <c r="K12" i="45" s="1"/>
  <c r="L12" i="45" s="1"/>
  <c r="O12" i="45" s="1"/>
  <c r="I19" i="44"/>
  <c r="J19" i="44" s="1"/>
  <c r="K19" i="44" s="1"/>
  <c r="J19" i="45"/>
  <c r="K19" i="45" s="1"/>
  <c r="L19" i="45" s="1"/>
  <c r="O19" i="45" s="1"/>
  <c r="I29" i="44"/>
  <c r="J29" i="44" s="1"/>
  <c r="K29" i="44" s="1"/>
  <c r="J31" i="45"/>
  <c r="K31" i="45" s="1"/>
  <c r="L31" i="45" s="1"/>
  <c r="O31" i="45" s="1"/>
  <c r="I10" i="44"/>
  <c r="J10" i="44" s="1"/>
  <c r="K10" i="44" s="1"/>
  <c r="J10" i="45"/>
  <c r="K10" i="45" s="1"/>
  <c r="L10" i="45" s="1"/>
  <c r="O10" i="45" s="1"/>
  <c r="I11" i="44"/>
  <c r="J11" i="44" s="1"/>
  <c r="K11" i="44" s="1"/>
  <c r="J11" i="45"/>
  <c r="K11" i="45" s="1"/>
  <c r="L11" i="45" s="1"/>
  <c r="O11" i="45" s="1"/>
  <c r="I25" i="44"/>
  <c r="J25" i="44" s="1"/>
  <c r="K25" i="44" s="1"/>
  <c r="J25" i="45"/>
  <c r="K25" i="45" s="1"/>
  <c r="L25" i="45" s="1"/>
  <c r="O25" i="45" s="1"/>
  <c r="I17" i="44"/>
  <c r="J17" i="44" s="1"/>
  <c r="K17" i="44" s="1"/>
  <c r="J17" i="45"/>
  <c r="K17" i="45" s="1"/>
  <c r="L17" i="45" s="1"/>
  <c r="O17" i="45" s="1"/>
  <c r="I9" i="44"/>
  <c r="J9" i="44" s="1"/>
  <c r="K9" i="44" s="1"/>
  <c r="J9" i="45"/>
  <c r="K9" i="45" s="1"/>
  <c r="L9" i="45" s="1"/>
  <c r="O9" i="45" s="1"/>
  <c r="I21" i="44"/>
  <c r="J21" i="44" s="1"/>
  <c r="K21" i="44" s="1"/>
  <c r="J21" i="45"/>
  <c r="K21" i="45" s="1"/>
  <c r="L21" i="45" s="1"/>
  <c r="O21" i="45" s="1"/>
  <c r="I24" i="44"/>
  <c r="J24" i="44" s="1"/>
  <c r="K24" i="44" s="1"/>
  <c r="J24" i="45"/>
  <c r="K24" i="45" s="1"/>
  <c r="L24" i="45" s="1"/>
  <c r="O24" i="45" s="1"/>
  <c r="I23" i="44"/>
  <c r="J23" i="44" s="1"/>
  <c r="K23" i="44" s="1"/>
  <c r="J23" i="45"/>
  <c r="K23" i="45" s="1"/>
  <c r="L23" i="45" s="1"/>
  <c r="O23" i="45" s="1"/>
  <c r="I15" i="44"/>
  <c r="J15" i="44" s="1"/>
  <c r="K15" i="44" s="1"/>
  <c r="J15" i="45"/>
  <c r="K15" i="45" s="1"/>
  <c r="L15" i="45" s="1"/>
  <c r="O15" i="45" s="1"/>
  <c r="I14" i="44"/>
  <c r="J14" i="44" s="1"/>
  <c r="K14" i="44" s="1"/>
  <c r="J14" i="45"/>
  <c r="K14" i="45" s="1"/>
  <c r="L14" i="45" s="1"/>
  <c r="O14" i="45" s="1"/>
  <c r="AN833" i="40"/>
  <c r="E71" i="21"/>
  <c r="C43" i="41"/>
  <c r="C18" i="41"/>
  <c r="D62" i="7"/>
  <c r="C16" i="41"/>
  <c r="F31" i="7"/>
  <c r="D67" i="7"/>
  <c r="F14" i="21"/>
  <c r="F6" i="21"/>
  <c r="J6" i="21" s="1"/>
  <c r="F20" i="21"/>
  <c r="J20" i="21" s="1"/>
  <c r="F33" i="21"/>
  <c r="J35" i="45" s="1"/>
  <c r="K35" i="45" s="1"/>
  <c r="F16" i="21"/>
  <c r="F38" i="21"/>
  <c r="D55" i="21"/>
  <c r="F55" i="21" s="1"/>
  <c r="J56" i="45" s="1"/>
  <c r="K56" i="45" s="1"/>
  <c r="L56" i="45" s="1"/>
  <c r="O56" i="45" s="1"/>
  <c r="F46" i="21"/>
  <c r="J47" i="45" s="1"/>
  <c r="K47" i="45" s="1"/>
  <c r="L47" i="45" s="1"/>
  <c r="O47" i="45" s="1"/>
  <c r="F52" i="21"/>
  <c r="F45" i="21"/>
  <c r="F56" i="21"/>
  <c r="J56" i="21" s="1"/>
  <c r="F54" i="21"/>
  <c r="J55" i="45" s="1"/>
  <c r="K55" i="45" s="1"/>
  <c r="L55" i="45" s="1"/>
  <c r="O55" i="45" s="1"/>
  <c r="D44" i="21"/>
  <c r="F44" i="21" s="1"/>
  <c r="J45" i="45" s="1"/>
  <c r="K45" i="45" s="1"/>
  <c r="L45" i="45" s="1"/>
  <c r="O45" i="45" s="1"/>
  <c r="D47" i="21"/>
  <c r="F47" i="21" s="1"/>
  <c r="F58" i="21"/>
  <c r="J59" i="45" s="1"/>
  <c r="K59" i="45" s="1"/>
  <c r="L59" i="45" s="1"/>
  <c r="O59" i="45" s="1"/>
  <c r="F40" i="21"/>
  <c r="D49" i="21"/>
  <c r="F49" i="21" s="1"/>
  <c r="F39" i="21"/>
  <c r="J41" i="45" s="1"/>
  <c r="K41" i="45" s="1"/>
  <c r="L41" i="45" s="1"/>
  <c r="O41" i="45" s="1"/>
  <c r="F57" i="7"/>
  <c r="F46" i="7"/>
  <c r="F41" i="7"/>
  <c r="F44" i="7"/>
  <c r="J10" i="21" l="1"/>
  <c r="F73" i="7"/>
  <c r="G73" i="7" s="1"/>
  <c r="Y831" i="40"/>
  <c r="AA830" i="40" s="1"/>
  <c r="L35" i="45"/>
  <c r="O35" i="45" s="1"/>
  <c r="Y833" i="40"/>
  <c r="Y832" i="40" s="1"/>
  <c r="J32" i="21"/>
  <c r="F72" i="21"/>
  <c r="I72" i="21" s="1"/>
  <c r="J48" i="45"/>
  <c r="K48" i="45" s="1"/>
  <c r="L48" i="45" s="1"/>
  <c r="O48" i="45" s="1"/>
  <c r="J47" i="21"/>
  <c r="J53" i="45"/>
  <c r="K53" i="45" s="1"/>
  <c r="L53" i="45" s="1"/>
  <c r="O53" i="45" s="1"/>
  <c r="J52" i="21"/>
  <c r="J34" i="45"/>
  <c r="K34" i="45" s="1"/>
  <c r="L34" i="45" s="1"/>
  <c r="O34" i="45" s="1"/>
  <c r="J57" i="45"/>
  <c r="K57" i="45" s="1"/>
  <c r="L57" i="45" s="1"/>
  <c r="O57" i="45" s="1"/>
  <c r="J40" i="45"/>
  <c r="K40" i="45" s="1"/>
  <c r="L40" i="45" s="1"/>
  <c r="O40" i="45" s="1"/>
  <c r="J38" i="21"/>
  <c r="J46" i="45"/>
  <c r="K46" i="45" s="1"/>
  <c r="L46" i="45" s="1"/>
  <c r="O46" i="45" s="1"/>
  <c r="J45" i="21"/>
  <c r="J50" i="45"/>
  <c r="K50" i="45" s="1"/>
  <c r="L50" i="45" s="1"/>
  <c r="O50" i="45" s="1"/>
  <c r="J42" i="45"/>
  <c r="K42" i="45" s="1"/>
  <c r="L42" i="45" s="1"/>
  <c r="J40" i="21"/>
  <c r="F96" i="7"/>
  <c r="F97" i="7" s="1"/>
  <c r="F74" i="7"/>
  <c r="M75" i="21"/>
  <c r="I16" i="44"/>
  <c r="J16" i="44" s="1"/>
  <c r="K16" i="44" s="1"/>
  <c r="J16" i="45"/>
  <c r="K16" i="45" s="1"/>
  <c r="L16" i="45" s="1"/>
  <c r="O16" i="45" s="1"/>
  <c r="I18" i="44"/>
  <c r="J18" i="44" s="1"/>
  <c r="K18" i="44" s="1"/>
  <c r="J18" i="45"/>
  <c r="K18" i="45" s="1"/>
  <c r="L18" i="45" s="1"/>
  <c r="O18" i="45" s="1"/>
  <c r="I22" i="44"/>
  <c r="J22" i="44" s="1"/>
  <c r="K22" i="44" s="1"/>
  <c r="J22" i="45"/>
  <c r="K22" i="45" s="1"/>
  <c r="L22" i="45" s="1"/>
  <c r="O22" i="45" s="1"/>
  <c r="I8" i="44"/>
  <c r="J8" i="45"/>
  <c r="G72" i="7"/>
  <c r="D74" i="21"/>
  <c r="D80" i="21" s="1"/>
  <c r="E62" i="7"/>
  <c r="H37" i="21"/>
  <c r="F71" i="21"/>
  <c r="H29" i="21"/>
  <c r="F73" i="21"/>
  <c r="I73" i="21" s="1"/>
  <c r="H39" i="21"/>
  <c r="C44" i="41"/>
  <c r="C47" i="41"/>
  <c r="C36" i="41"/>
  <c r="C46" i="41"/>
  <c r="C56" i="41"/>
  <c r="C50" i="41"/>
  <c r="C42" i="41"/>
  <c r="C59" i="41"/>
  <c r="C58" i="41"/>
  <c r="C45" i="41"/>
  <c r="C55" i="41"/>
  <c r="C41" i="41"/>
  <c r="C31" i="41"/>
  <c r="E68" i="7"/>
  <c r="M39" i="45" l="1"/>
  <c r="O42" i="45"/>
  <c r="M41" i="45"/>
  <c r="G71" i="7"/>
  <c r="F77" i="7"/>
  <c r="F79" i="7" s="1"/>
  <c r="I30" i="44"/>
  <c r="I32" i="44" s="1"/>
  <c r="J8" i="44"/>
  <c r="J30" i="44" s="1"/>
  <c r="K8" i="45"/>
  <c r="G74" i="7"/>
  <c r="I71" i="21"/>
  <c r="C33" i="41"/>
  <c r="F62" i="7"/>
  <c r="G77" i="7" l="1"/>
  <c r="G79" i="7" s="1"/>
  <c r="K8" i="44"/>
  <c r="K30" i="44" s="1"/>
  <c r="L8" i="45"/>
  <c r="M31" i="45" s="1"/>
  <c r="I2349" i="40"/>
  <c r="I2351" i="40" s="1"/>
  <c r="V2245" i="40"/>
  <c r="V2259" i="40" s="1"/>
  <c r="V2374" i="40" s="1"/>
  <c r="O8" i="45" l="1"/>
  <c r="V2349" i="40"/>
  <c r="E50" i="21"/>
  <c r="V2354" i="40" l="1"/>
  <c r="V2351" i="40"/>
  <c r="F50" i="21"/>
  <c r="J49" i="21" s="1"/>
  <c r="E74" i="21"/>
  <c r="E80" i="21" s="1"/>
  <c r="E81" i="21" s="1"/>
  <c r="D68" i="7"/>
  <c r="F61" i="21" l="1"/>
  <c r="J61" i="21"/>
  <c r="V2372" i="40"/>
  <c r="F63" i="21" s="1"/>
  <c r="F74" i="21"/>
  <c r="J51" i="45"/>
  <c r="H59" i="21"/>
  <c r="H61" i="21" s="1"/>
  <c r="F65" i="21" l="1"/>
  <c r="V2375" i="40"/>
  <c r="I74" i="21"/>
  <c r="I77" i="21" s="1"/>
  <c r="F77" i="21"/>
  <c r="K51" i="45"/>
  <c r="J62" i="45"/>
  <c r="J64" i="45" s="1"/>
  <c r="L51" i="45" l="1"/>
  <c r="M60" i="45" s="1"/>
  <c r="K62" i="45"/>
  <c r="L62" i="45" l="1"/>
  <c r="O51" i="45"/>
  <c r="O62" i="45" s="1"/>
  <c r="E71" i="45"/>
  <c r="E36" i="44"/>
  <c r="F71" i="45" l="1"/>
  <c r="F36" i="44"/>
  <c r="T141" i="45" l="1"/>
  <c r="S141" i="45"/>
  <c r="R141" i="45"/>
  <c r="P141" i="45"/>
  <c r="O141" i="45"/>
  <c r="S143" i="45" l="1"/>
  <c r="S129" i="45"/>
  <c r="O71" i="41" s="1"/>
  <c r="R143" i="45"/>
  <c r="R129" i="45"/>
  <c r="N71" i="41" s="1"/>
  <c r="T143" i="45" l="1"/>
  <c r="T129" i="45"/>
  <c r="P71" i="41" s="1"/>
  <c r="S144" i="45"/>
  <c r="R144" i="45"/>
  <c r="P143" i="45"/>
  <c r="P129" i="45"/>
  <c r="L71" i="41" s="1"/>
  <c r="O143" i="45"/>
  <c r="Q71" i="41" l="1"/>
  <c r="T144" i="45"/>
  <c r="P144" i="45"/>
  <c r="O144" i="45"/>
  <c r="H7" i="41" l="1"/>
  <c r="I7" i="41" s="1"/>
  <c r="J7" i="41" l="1"/>
  <c r="K7" i="41" s="1"/>
  <c r="L7" i="41" s="1"/>
  <c r="M7" i="41" l="1"/>
  <c r="N7" i="41" s="1"/>
  <c r="O7" i="41" l="1"/>
  <c r="P7" i="41" s="1"/>
  <c r="Q7" i="41" s="1"/>
  <c r="E37" i="44" l="1"/>
  <c r="E72" i="45"/>
  <c r="D7" i="41"/>
  <c r="F37" i="44" l="1"/>
  <c r="F72" i="45"/>
  <c r="H27" i="41"/>
  <c r="H50" i="41"/>
  <c r="H47" i="41"/>
  <c r="H13" i="41"/>
  <c r="H15" i="41"/>
  <c r="H14" i="41"/>
  <c r="H51" i="41"/>
  <c r="E61" i="41"/>
  <c r="H43" i="41" l="1"/>
  <c r="I43" i="41" s="1"/>
  <c r="H23" i="41"/>
  <c r="I23" i="41" s="1"/>
  <c r="J23" i="41" s="1"/>
  <c r="H17" i="41"/>
  <c r="I17" i="41" s="1"/>
  <c r="I27" i="41"/>
  <c r="J27" i="41" s="1"/>
  <c r="K27" i="41" s="1"/>
  <c r="H45" i="41"/>
  <c r="I45" i="41" s="1"/>
  <c r="E70" i="41"/>
  <c r="E73" i="41" s="1"/>
  <c r="H18" i="41"/>
  <c r="I18" i="41" s="1"/>
  <c r="H39" i="41"/>
  <c r="I39" i="41" s="1"/>
  <c r="I51" i="41"/>
  <c r="H31" i="41"/>
  <c r="H19" i="41"/>
  <c r="I19" i="41" s="1"/>
  <c r="J19" i="41" s="1"/>
  <c r="H41" i="41"/>
  <c r="I41" i="41" s="1"/>
  <c r="H37" i="41"/>
  <c r="H33" i="41"/>
  <c r="F61" i="41"/>
  <c r="F62" i="41" s="1"/>
  <c r="I13" i="41"/>
  <c r="J13" i="41" s="1"/>
  <c r="K13" i="41" s="1"/>
  <c r="H42" i="41"/>
  <c r="H32" i="41"/>
  <c r="H9" i="41"/>
  <c r="H36" i="41"/>
  <c r="H54" i="41"/>
  <c r="H40" i="41"/>
  <c r="I40" i="41" s="1"/>
  <c r="H49" i="41"/>
  <c r="I49" i="41" s="1"/>
  <c r="I14" i="41"/>
  <c r="J14" i="41" s="1"/>
  <c r="H34" i="41"/>
  <c r="I50" i="41"/>
  <c r="J50" i="41" s="1"/>
  <c r="H11" i="41"/>
  <c r="J51" i="41"/>
  <c r="H28" i="41"/>
  <c r="I47" i="41"/>
  <c r="H48" i="41"/>
  <c r="I48" i="41" s="1"/>
  <c r="H57" i="41"/>
  <c r="I57" i="41" s="1"/>
  <c r="I15" i="41"/>
  <c r="J15" i="41" s="1"/>
  <c r="H8" i="41"/>
  <c r="H59" i="41"/>
  <c r="I33" i="41"/>
  <c r="H24" i="41"/>
  <c r="I24" i="41" s="1"/>
  <c r="J33" i="41"/>
  <c r="K33" i="41" l="1"/>
  <c r="K50" i="41"/>
  <c r="H29" i="41"/>
  <c r="I11" i="41"/>
  <c r="J11" i="41" s="1"/>
  <c r="K11" i="41" s="1"/>
  <c r="K14" i="41"/>
  <c r="L14" i="41" s="1"/>
  <c r="J39" i="41"/>
  <c r="K39" i="41" s="1"/>
  <c r="J18" i="41"/>
  <c r="H46" i="41"/>
  <c r="I46" i="41" s="1"/>
  <c r="J46" i="41" s="1"/>
  <c r="H21" i="41"/>
  <c r="I21" i="41" s="1"/>
  <c r="L33" i="41"/>
  <c r="J41" i="41"/>
  <c r="K41" i="41" s="1"/>
  <c r="J57" i="41"/>
  <c r="K57" i="41" s="1"/>
  <c r="I28" i="41"/>
  <c r="J28" i="41" s="1"/>
  <c r="J45" i="41"/>
  <c r="K45" i="41" s="1"/>
  <c r="L45" i="41" s="1"/>
  <c r="M45" i="41" s="1"/>
  <c r="H12" i="41"/>
  <c r="I12" i="41" s="1"/>
  <c r="I8" i="41"/>
  <c r="J8" i="41" s="1"/>
  <c r="H20" i="41"/>
  <c r="J17" i="41"/>
  <c r="I32" i="41"/>
  <c r="J32" i="41" s="1"/>
  <c r="K32" i="41" s="1"/>
  <c r="I9" i="41"/>
  <c r="K19" i="41"/>
  <c r="L19" i="41" s="1"/>
  <c r="H10" i="41"/>
  <c r="H53" i="41"/>
  <c r="I53" i="41" s="1"/>
  <c r="L27" i="41"/>
  <c r="I31" i="41"/>
  <c r="K51" i="41"/>
  <c r="L51" i="41" s="1"/>
  <c r="H52" i="41"/>
  <c r="I52" i="41" s="1"/>
  <c r="K23" i="41"/>
  <c r="L23" i="41" s="1"/>
  <c r="I36" i="41"/>
  <c r="J36" i="41" s="1"/>
  <c r="K36" i="41" s="1"/>
  <c r="L36" i="41" s="1"/>
  <c r="F70" i="41"/>
  <c r="H16" i="41"/>
  <c r="I16" i="41" s="1"/>
  <c r="J16" i="41" s="1"/>
  <c r="I54" i="41"/>
  <c r="J43" i="41"/>
  <c r="H26" i="41"/>
  <c r="I26" i="41" s="1"/>
  <c r="H58" i="41"/>
  <c r="H55" i="41"/>
  <c r="I55" i="41" s="1"/>
  <c r="J47" i="41"/>
  <c r="H38" i="41"/>
  <c r="H56" i="41"/>
  <c r="J48" i="41"/>
  <c r="K48" i="41" s="1"/>
  <c r="I34" i="41"/>
  <c r="J34" i="41" s="1"/>
  <c r="K34" i="41" s="1"/>
  <c r="I59" i="41"/>
  <c r="J59" i="41" s="1"/>
  <c r="K59" i="41" s="1"/>
  <c r="H25" i="41"/>
  <c r="I25" i="41" s="1"/>
  <c r="I42" i="41"/>
  <c r="J42" i="41" s="1"/>
  <c r="J40" i="41"/>
  <c r="L13" i="41"/>
  <c r="M13" i="41" s="1"/>
  <c r="G61" i="41"/>
  <c r="H44" i="41"/>
  <c r="H30" i="41"/>
  <c r="I30" i="41" s="1"/>
  <c r="I37" i="41"/>
  <c r="J49" i="41"/>
  <c r="H22" i="41"/>
  <c r="L50" i="41"/>
  <c r="J24" i="41"/>
  <c r="K24" i="41" s="1"/>
  <c r="K15" i="41"/>
  <c r="I29" i="41" l="1"/>
  <c r="J9" i="41"/>
  <c r="K9" i="41" s="1"/>
  <c r="N13" i="41"/>
  <c r="O13" i="41" s="1"/>
  <c r="P13" i="41" s="1"/>
  <c r="Q13" i="41" s="1"/>
  <c r="M19" i="41"/>
  <c r="N19" i="41" s="1"/>
  <c r="J26" i="41"/>
  <c r="K26" i="41" s="1"/>
  <c r="K18" i="41"/>
  <c r="L18" i="41" s="1"/>
  <c r="J21" i="41"/>
  <c r="L39" i="41"/>
  <c r="M39" i="41" s="1"/>
  <c r="N39" i="41" s="1"/>
  <c r="J52" i="41"/>
  <c r="M23" i="41"/>
  <c r="N23" i="41" s="1"/>
  <c r="L11" i="41"/>
  <c r="M11" i="41" s="1"/>
  <c r="L59" i="41"/>
  <c r="M27" i="41"/>
  <c r="K25" i="41"/>
  <c r="L41" i="41"/>
  <c r="K8" i="41"/>
  <c r="L57" i="41"/>
  <c r="M36" i="41"/>
  <c r="N36" i="41" s="1"/>
  <c r="K42" i="41"/>
  <c r="L42" i="41" s="1"/>
  <c r="K46" i="41"/>
  <c r="L46" i="41" s="1"/>
  <c r="J53" i="41"/>
  <c r="H61" i="41"/>
  <c r="H70" i="41" s="1"/>
  <c r="H73" i="41" s="1"/>
  <c r="K16" i="41"/>
  <c r="L16" i="41" s="1"/>
  <c r="I38" i="41"/>
  <c r="J38" i="41" s="1"/>
  <c r="J25" i="41"/>
  <c r="M51" i="41"/>
  <c r="N51" i="41"/>
  <c r="O51" i="41" s="1"/>
  <c r="I58" i="41"/>
  <c r="K17" i="41"/>
  <c r="K43" i="41"/>
  <c r="I10" i="41"/>
  <c r="J10" i="41" s="1"/>
  <c r="J37" i="41"/>
  <c r="K37" i="41" s="1"/>
  <c r="I44" i="41"/>
  <c r="J44" i="41" s="1"/>
  <c r="L34" i="41"/>
  <c r="M34" i="41" s="1"/>
  <c r="N34" i="41" s="1"/>
  <c r="M14" i="41"/>
  <c r="N14" i="41" s="1"/>
  <c r="K47" i="41"/>
  <c r="N45" i="41"/>
  <c r="I20" i="41"/>
  <c r="J20" i="41" s="1"/>
  <c r="M33" i="41"/>
  <c r="N33" i="41" s="1"/>
  <c r="O33" i="41" s="1"/>
  <c r="G70" i="41"/>
  <c r="G73" i="41" s="1"/>
  <c r="G62" i="41"/>
  <c r="I56" i="41"/>
  <c r="J56" i="41" s="1"/>
  <c r="M50" i="41"/>
  <c r="N50" i="41" s="1"/>
  <c r="K49" i="41"/>
  <c r="L32" i="41"/>
  <c r="F73" i="41"/>
  <c r="K40" i="41"/>
  <c r="K28" i="41"/>
  <c r="L28" i="41" s="1"/>
  <c r="J54" i="41"/>
  <c r="I22" i="41"/>
  <c r="J30" i="41"/>
  <c r="L48" i="41"/>
  <c r="J31" i="41"/>
  <c r="J55" i="41"/>
  <c r="L15" i="41"/>
  <c r="J12" i="41"/>
  <c r="L24" i="41"/>
  <c r="O23" i="41" l="1"/>
  <c r="P23" i="41" s="1"/>
  <c r="Q23" i="41" s="1"/>
  <c r="M42" i="41"/>
  <c r="N42" i="41" s="1"/>
  <c r="K54" i="41"/>
  <c r="O50" i="41"/>
  <c r="P50" i="41" s="1"/>
  <c r="J29" i="41"/>
  <c r="L9" i="41"/>
  <c r="M9" i="41" s="1"/>
  <c r="O19" i="41"/>
  <c r="P19" i="41" s="1"/>
  <c r="M15" i="41"/>
  <c r="N11" i="41"/>
  <c r="O11" i="41" s="1"/>
  <c r="P11" i="41" s="1"/>
  <c r="M57" i="41"/>
  <c r="M18" i="41"/>
  <c r="N18" i="41" s="1"/>
  <c r="O18" i="41" s="1"/>
  <c r="O39" i="41"/>
  <c r="P39" i="41" s="1"/>
  <c r="Q39" i="41" s="1"/>
  <c r="K44" i="41"/>
  <c r="L44" i="41" s="1"/>
  <c r="M44" i="41" s="1"/>
  <c r="N44" i="41" s="1"/>
  <c r="K21" i="41"/>
  <c r="D13" i="41"/>
  <c r="E96" i="45"/>
  <c r="F96" i="45" s="1"/>
  <c r="O36" i="41"/>
  <c r="P36" i="41" s="1"/>
  <c r="Q36" i="41" s="1"/>
  <c r="M28" i="41"/>
  <c r="L43" i="41"/>
  <c r="K30" i="41"/>
  <c r="L47" i="41"/>
  <c r="N27" i="41"/>
  <c r="O14" i="41"/>
  <c r="P14" i="41" s="1"/>
  <c r="L25" i="41"/>
  <c r="M25" i="41" s="1"/>
  <c r="P34" i="41"/>
  <c r="Q34" i="41" s="1"/>
  <c r="D34" i="41" s="1"/>
  <c r="O34" i="41"/>
  <c r="P33" i="41"/>
  <c r="Q33" i="41" s="1"/>
  <c r="D33" i="41" s="1"/>
  <c r="L30" i="41"/>
  <c r="M41" i="41"/>
  <c r="L8" i="41"/>
  <c r="L26" i="41"/>
  <c r="L37" i="41"/>
  <c r="M24" i="41"/>
  <c r="N24" i="41" s="1"/>
  <c r="J22" i="41"/>
  <c r="H62" i="41"/>
  <c r="K10" i="41"/>
  <c r="M59" i="41"/>
  <c r="N59" i="41" s="1"/>
  <c r="M46" i="41"/>
  <c r="N46" i="41" s="1"/>
  <c r="O45" i="41"/>
  <c r="P45" i="41" s="1"/>
  <c r="Q45" i="41" s="1"/>
  <c r="M16" i="41"/>
  <c r="K20" i="41"/>
  <c r="K31" i="41"/>
  <c r="L49" i="41"/>
  <c r="K55" i="41"/>
  <c r="P51" i="41"/>
  <c r="I61" i="41"/>
  <c r="I62" i="41" s="1"/>
  <c r="M48" i="41"/>
  <c r="L17" i="41"/>
  <c r="K12" i="41"/>
  <c r="L40" i="41"/>
  <c r="M32" i="41"/>
  <c r="N28" i="41"/>
  <c r="O28" i="41" s="1"/>
  <c r="Q51" i="41"/>
  <c r="E85" i="45" s="1"/>
  <c r="F85" i="45" s="1"/>
  <c r="K53" i="41"/>
  <c r="J58" i="41"/>
  <c r="Q50" i="41"/>
  <c r="K38" i="41"/>
  <c r="K52" i="41"/>
  <c r="L52" i="41" s="1"/>
  <c r="K56" i="41"/>
  <c r="L56" i="41" s="1"/>
  <c r="J61" i="41" l="1"/>
  <c r="J70" i="41" s="1"/>
  <c r="J73" i="41" s="1"/>
  <c r="E89" i="45"/>
  <c r="F89" i="45" s="1"/>
  <c r="D23" i="41"/>
  <c r="K29" i="41"/>
  <c r="P28" i="41"/>
  <c r="Q28" i="41" s="1"/>
  <c r="D28" i="41" s="1"/>
  <c r="O42" i="41"/>
  <c r="P42" i="41" s="1"/>
  <c r="Q42" i="41" s="1"/>
  <c r="M43" i="41"/>
  <c r="N43" i="41" s="1"/>
  <c r="L54" i="41"/>
  <c r="M54" i="41" s="1"/>
  <c r="N9" i="41"/>
  <c r="O9" i="41" s="1"/>
  <c r="P9" i="41" s="1"/>
  <c r="Q9" i="41" s="1"/>
  <c r="Q14" i="41"/>
  <c r="D14" i="41" s="1"/>
  <c r="N15" i="41"/>
  <c r="Q19" i="41"/>
  <c r="M40" i="41"/>
  <c r="N40" i="41" s="1"/>
  <c r="N57" i="41"/>
  <c r="L21" i="41"/>
  <c r="M56" i="41"/>
  <c r="N56" i="41" s="1"/>
  <c r="O56" i="41" s="1"/>
  <c r="P56" i="41" s="1"/>
  <c r="Q56" i="41" s="1"/>
  <c r="D39" i="41"/>
  <c r="E83" i="45"/>
  <c r="F83" i="45" s="1"/>
  <c r="E47" i="44"/>
  <c r="F47" i="44" s="1"/>
  <c r="P18" i="41"/>
  <c r="Q18" i="41" s="1"/>
  <c r="L12" i="41"/>
  <c r="M12" i="41" s="1"/>
  <c r="O46" i="41"/>
  <c r="P46" i="41" s="1"/>
  <c r="Q46" i="41" s="1"/>
  <c r="E80" i="45"/>
  <c r="F80" i="45" s="1"/>
  <c r="E44" i="44"/>
  <c r="F44" i="44" s="1"/>
  <c r="D36" i="41"/>
  <c r="E108" i="45"/>
  <c r="F108" i="45" s="1"/>
  <c r="D45" i="41"/>
  <c r="O27" i="41"/>
  <c r="P27" i="41" s="1"/>
  <c r="Q27" i="41" s="1"/>
  <c r="L38" i="41"/>
  <c r="M38" i="41" s="1"/>
  <c r="M8" i="41"/>
  <c r="M17" i="41"/>
  <c r="O44" i="41"/>
  <c r="P44" i="41" s="1"/>
  <c r="Q44" i="41" s="1"/>
  <c r="I70" i="41"/>
  <c r="N16" i="41"/>
  <c r="O16" i="41" s="1"/>
  <c r="P16" i="41" s="1"/>
  <c r="Q16" i="41" s="1"/>
  <c r="L31" i="41"/>
  <c r="M31" i="41" s="1"/>
  <c r="M47" i="41"/>
  <c r="K58" i="41"/>
  <c r="L58" i="41" s="1"/>
  <c r="M58" i="41" s="1"/>
  <c r="M37" i="41"/>
  <c r="N37" i="41" s="1"/>
  <c r="O37" i="41" s="1"/>
  <c r="Q11" i="41"/>
  <c r="M30" i="41"/>
  <c r="N32" i="41"/>
  <c r="O32" i="41" s="1"/>
  <c r="P32" i="41" s="1"/>
  <c r="Q32" i="41" s="1"/>
  <c r="D32" i="41" s="1"/>
  <c r="L53" i="41"/>
  <c r="M53" i="41" s="1"/>
  <c r="N53" i="41" s="1"/>
  <c r="M52" i="41"/>
  <c r="N52" i="41" s="1"/>
  <c r="L10" i="41"/>
  <c r="M10" i="41" s="1"/>
  <c r="N10" i="41" s="1"/>
  <c r="N25" i="41"/>
  <c r="O25" i="41" s="1"/>
  <c r="K22" i="41"/>
  <c r="M26" i="41"/>
  <c r="N26" i="41" s="1"/>
  <c r="N48" i="41"/>
  <c r="O48" i="41" s="1"/>
  <c r="P48" i="41" s="1"/>
  <c r="Q48" i="41" s="1"/>
  <c r="L20" i="41"/>
  <c r="M49" i="41"/>
  <c r="N49" i="41" s="1"/>
  <c r="O49" i="41" s="1"/>
  <c r="P49" i="41" s="1"/>
  <c r="O59" i="41"/>
  <c r="P59" i="41" s="1"/>
  <c r="E91" i="45"/>
  <c r="F91" i="45" s="1"/>
  <c r="D50" i="41"/>
  <c r="E86" i="45"/>
  <c r="F86" i="45" s="1"/>
  <c r="E49" i="44"/>
  <c r="F49" i="44" s="1"/>
  <c r="D51" i="41"/>
  <c r="O24" i="41"/>
  <c r="P24" i="41" s="1"/>
  <c r="Q24" i="41" s="1"/>
  <c r="N41" i="41"/>
  <c r="O41" i="41" s="1"/>
  <c r="P41" i="41" s="1"/>
  <c r="Q41" i="41" s="1"/>
  <c r="L55" i="41"/>
  <c r="M55" i="41" s="1"/>
  <c r="N55" i="41" s="1"/>
  <c r="O55" i="41" s="1"/>
  <c r="P55" i="41" s="1"/>
  <c r="Q55" i="41" s="1"/>
  <c r="J62" i="41" l="1"/>
  <c r="Q59" i="41"/>
  <c r="E115" i="45" s="1"/>
  <c r="F115" i="45" s="1"/>
  <c r="D42" i="41"/>
  <c r="E98" i="45"/>
  <c r="F98" i="45" s="1"/>
  <c r="O43" i="41"/>
  <c r="P43" i="41" s="1"/>
  <c r="Q43" i="41" s="1"/>
  <c r="D43" i="41" s="1"/>
  <c r="N58" i="41"/>
  <c r="O58" i="41" s="1"/>
  <c r="P58" i="41" s="1"/>
  <c r="Q58" i="41" s="1"/>
  <c r="E114" i="45" s="1"/>
  <c r="F114" i="45" s="1"/>
  <c r="O53" i="41"/>
  <c r="P53" i="41" s="1"/>
  <c r="N54" i="41"/>
  <c r="O54" i="41" s="1"/>
  <c r="L29" i="41"/>
  <c r="M29" i="41" s="1"/>
  <c r="N29" i="41" s="1"/>
  <c r="P25" i="41"/>
  <c r="Q25" i="41" s="1"/>
  <c r="E74" i="45"/>
  <c r="F74" i="45" s="1"/>
  <c r="E39" i="44"/>
  <c r="F39" i="44" s="1"/>
  <c r="D9" i="41"/>
  <c r="E104" i="45"/>
  <c r="F104" i="45" s="1"/>
  <c r="D19" i="41"/>
  <c r="O57" i="41"/>
  <c r="O40" i="41"/>
  <c r="P40" i="41" s="1"/>
  <c r="Q40" i="41" s="1"/>
  <c r="D40" i="41" s="1"/>
  <c r="O15" i="41"/>
  <c r="P15" i="41" s="1"/>
  <c r="Q35" i="41"/>
  <c r="E103" i="45"/>
  <c r="F103" i="45" s="1"/>
  <c r="D18" i="41"/>
  <c r="N12" i="41"/>
  <c r="O12" i="41" s="1"/>
  <c r="P12" i="41" s="1"/>
  <c r="Q12" i="41" s="1"/>
  <c r="O52" i="41"/>
  <c r="P52" i="41" s="1"/>
  <c r="Q52" i="41" s="1"/>
  <c r="M21" i="41"/>
  <c r="N21" i="41" s="1"/>
  <c r="O21" i="41" s="1"/>
  <c r="O26" i="41"/>
  <c r="P26" i="41" s="1"/>
  <c r="Q26" i="41" s="1"/>
  <c r="E112" i="45"/>
  <c r="F112" i="45" s="1"/>
  <c r="D56" i="41"/>
  <c r="D48" i="41"/>
  <c r="E120" i="45"/>
  <c r="F120" i="45" s="1"/>
  <c r="D16" i="41"/>
  <c r="E101" i="45"/>
  <c r="D27" i="41"/>
  <c r="E124" i="45"/>
  <c r="E111" i="45"/>
  <c r="F111" i="45" s="1"/>
  <c r="D55" i="41"/>
  <c r="E97" i="45"/>
  <c r="F97" i="45" s="1"/>
  <c r="D41" i="41"/>
  <c r="E41" i="44"/>
  <c r="F41" i="44" s="1"/>
  <c r="D11" i="41"/>
  <c r="E76" i="45"/>
  <c r="F76" i="45" s="1"/>
  <c r="I73" i="41"/>
  <c r="L22" i="41"/>
  <c r="M22" i="41" s="1"/>
  <c r="N22" i="41" s="1"/>
  <c r="N30" i="41"/>
  <c r="O30" i="41" s="1"/>
  <c r="E107" i="45"/>
  <c r="F107" i="45" s="1"/>
  <c r="D44" i="41"/>
  <c r="E109" i="45"/>
  <c r="F109" i="45" s="1"/>
  <c r="D46" i="41"/>
  <c r="D59" i="41"/>
  <c r="D24" i="41"/>
  <c r="E77" i="45"/>
  <c r="F77" i="45" s="1"/>
  <c r="E42" i="44"/>
  <c r="F42" i="44" s="1"/>
  <c r="K61" i="41"/>
  <c r="Q49" i="41"/>
  <c r="O10" i="41"/>
  <c r="P10" i="41" s="1"/>
  <c r="Q10" i="41" s="1"/>
  <c r="M20" i="41"/>
  <c r="N20" i="41" s="1"/>
  <c r="N31" i="41"/>
  <c r="O31" i="41" s="1"/>
  <c r="P31" i="41" s="1"/>
  <c r="P37" i="41"/>
  <c r="Q37" i="41" s="1"/>
  <c r="N17" i="41"/>
  <c r="N47" i="41"/>
  <c r="O47" i="41" s="1"/>
  <c r="P47" i="41" s="1"/>
  <c r="Q47" i="41" s="1"/>
  <c r="N8" i="41"/>
  <c r="N38" i="41"/>
  <c r="O38" i="41" s="1"/>
  <c r="P38" i="41" s="1"/>
  <c r="Q38" i="41" s="1"/>
  <c r="D58" i="41" l="1"/>
  <c r="L61" i="41"/>
  <c r="L70" i="41" s="1"/>
  <c r="L73" i="41" s="1"/>
  <c r="O29" i="41"/>
  <c r="P29" i="41" s="1"/>
  <c r="Q29" i="41" s="1"/>
  <c r="D29" i="41" s="1"/>
  <c r="Q53" i="41"/>
  <c r="D25" i="41"/>
  <c r="E78" i="45"/>
  <c r="F78" i="45" s="1"/>
  <c r="E125" i="45"/>
  <c r="F125" i="45" s="1"/>
  <c r="F133" i="45" s="1"/>
  <c r="P30" i="41"/>
  <c r="Q30" i="41" s="1"/>
  <c r="D30" i="41" s="1"/>
  <c r="O20" i="41"/>
  <c r="P20" i="41" s="1"/>
  <c r="Q20" i="41" s="1"/>
  <c r="E105" i="45" s="1"/>
  <c r="F105" i="45" s="1"/>
  <c r="P54" i="41"/>
  <c r="Q54" i="41" s="1"/>
  <c r="D54" i="41" s="1"/>
  <c r="E43" i="44"/>
  <c r="F43" i="44" s="1"/>
  <c r="D35" i="41"/>
  <c r="E79" i="45"/>
  <c r="F79" i="45" s="1"/>
  <c r="E84" i="45"/>
  <c r="F84" i="45" s="1"/>
  <c r="E48" i="44"/>
  <c r="F48" i="44" s="1"/>
  <c r="Q15" i="41"/>
  <c r="D15" i="41" s="1"/>
  <c r="P57" i="41"/>
  <c r="Q57" i="41" s="1"/>
  <c r="E95" i="45"/>
  <c r="F95" i="45" s="1"/>
  <c r="M72" i="21"/>
  <c r="D12" i="41"/>
  <c r="P21" i="41"/>
  <c r="Q21" i="41" s="1"/>
  <c r="Q31" i="41"/>
  <c r="D31" i="41" s="1"/>
  <c r="E110" i="45"/>
  <c r="F110" i="45" s="1"/>
  <c r="D47" i="41"/>
  <c r="O22" i="41"/>
  <c r="P22" i="41" s="1"/>
  <c r="Q22" i="41" s="1"/>
  <c r="E81" i="45"/>
  <c r="F81" i="45" s="1"/>
  <c r="E45" i="44"/>
  <c r="F45" i="44" s="1"/>
  <c r="D37" i="41"/>
  <c r="D38" i="41"/>
  <c r="E82" i="45"/>
  <c r="F82" i="45" s="1"/>
  <c r="E46" i="44"/>
  <c r="F46" i="44" s="1"/>
  <c r="E92" i="45"/>
  <c r="F92" i="45" s="1"/>
  <c r="D52" i="41"/>
  <c r="E40" i="44"/>
  <c r="F40" i="44" s="1"/>
  <c r="D10" i="41"/>
  <c r="E75" i="45"/>
  <c r="M71" i="21"/>
  <c r="F124" i="45"/>
  <c r="D53" i="41"/>
  <c r="E126" i="45"/>
  <c r="F126" i="45" s="1"/>
  <c r="F134" i="45" s="1"/>
  <c r="E121" i="45"/>
  <c r="F121" i="45" s="1"/>
  <c r="D49" i="41"/>
  <c r="M61" i="41"/>
  <c r="F101" i="45"/>
  <c r="N61" i="41"/>
  <c r="N70" i="41" s="1"/>
  <c r="N73" i="41" s="1"/>
  <c r="O8" i="41"/>
  <c r="P8" i="41" s="1"/>
  <c r="Q8" i="41" s="1"/>
  <c r="K70" i="41"/>
  <c r="K62" i="41"/>
  <c r="O17" i="41"/>
  <c r="P17" i="41" s="1"/>
  <c r="Q17" i="41" s="1"/>
  <c r="E90" i="45"/>
  <c r="D26" i="41"/>
  <c r="M73" i="21"/>
  <c r="F99" i="45" l="1"/>
  <c r="L62" i="41"/>
  <c r="D20" i="41"/>
  <c r="E106" i="45"/>
  <c r="F106" i="45" s="1"/>
  <c r="E113" i="45"/>
  <c r="F113" i="45" s="1"/>
  <c r="D57" i="41"/>
  <c r="M74" i="21"/>
  <c r="E99" i="45"/>
  <c r="N62" i="41"/>
  <c r="D21" i="41"/>
  <c r="E118" i="45"/>
  <c r="F118" i="45" s="1"/>
  <c r="M76" i="21"/>
  <c r="D22" i="41"/>
  <c r="E119" i="45"/>
  <c r="D17" i="41"/>
  <c r="E102" i="45"/>
  <c r="F90" i="45"/>
  <c r="F93" i="45" s="1"/>
  <c r="G93" i="45" s="1"/>
  <c r="E93" i="45"/>
  <c r="K73" i="41"/>
  <c r="E127" i="45"/>
  <c r="M70" i="41"/>
  <c r="M73" i="41" s="1"/>
  <c r="M62" i="41"/>
  <c r="O61" i="41"/>
  <c r="F132" i="45"/>
  <c r="F127" i="45"/>
  <c r="P61" i="41"/>
  <c r="E38" i="44"/>
  <c r="Q3" i="41"/>
  <c r="Q61" i="41"/>
  <c r="E73" i="45"/>
  <c r="D8" i="41"/>
  <c r="F75" i="45"/>
  <c r="F142" i="45" l="1"/>
  <c r="E142" i="45"/>
  <c r="S61" i="41" s="1"/>
  <c r="G99" i="45"/>
  <c r="M77" i="21"/>
  <c r="M78" i="21" s="1"/>
  <c r="F102" i="45"/>
  <c r="F116" i="45" s="1"/>
  <c r="G116" i="45" s="1"/>
  <c r="E116" i="45"/>
  <c r="P70" i="41"/>
  <c r="P62" i="41"/>
  <c r="O70" i="41"/>
  <c r="O73" i="41" s="1"/>
  <c r="O62" i="41"/>
  <c r="E87" i="45"/>
  <c r="E141" i="45"/>
  <c r="F73" i="45"/>
  <c r="E50" i="44"/>
  <c r="F38" i="44"/>
  <c r="F50" i="44" s="1"/>
  <c r="H50" i="44" s="1"/>
  <c r="F119" i="45"/>
  <c r="F122" i="45" s="1"/>
  <c r="G122" i="45" s="1"/>
  <c r="E122" i="45"/>
  <c r="M79" i="21"/>
  <c r="N79" i="21" s="1"/>
  <c r="Q66" i="41"/>
  <c r="E146" i="45"/>
  <c r="N77" i="21" l="1"/>
  <c r="O77" i="21" s="1"/>
  <c r="E129" i="45"/>
  <c r="E143" i="45"/>
  <c r="P73" i="41"/>
  <c r="Q73" i="41" s="1"/>
  <c r="Q78" i="41" s="1"/>
  <c r="Q70" i="41"/>
  <c r="M80" i="21"/>
  <c r="F87" i="45"/>
  <c r="G87" i="45" s="1"/>
  <c r="G139" i="45" s="1"/>
  <c r="F141" i="45"/>
  <c r="F143" i="45" s="1"/>
  <c r="O79" i="21"/>
  <c r="N83" i="21"/>
  <c r="E144" i="45" l="1"/>
  <c r="E147" i="45"/>
  <c r="F129" i="45"/>
  <c r="F148" i="45" l="1"/>
  <c r="F131" i="45"/>
  <c r="F139" i="45" s="1"/>
  <c r="G140" i="45" s="1"/>
  <c r="F144" i="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LADY DAYANA ARIAS HOYOS</author>
    <author>tc={97793100-A830-414E-BFFF-92F2CA2C509C}</author>
    <author>tc={E301506C-10F5-4952-BBBB-52A40EB26A6F}</author>
  </authors>
  <commentList>
    <comment ref="E1038" authorId="0" shapeId="0" xr:uid="{AB4EC6E9-EAB2-4EB6-B596-17F6537BB7BC}">
      <text>
        <r>
          <rPr>
            <b/>
            <sz val="9"/>
            <color indexed="81"/>
            <rFont val="Tahoma"/>
            <family val="2"/>
          </rPr>
          <t>LADY DAYANA ARIAS HOYOS:</t>
        </r>
        <r>
          <rPr>
            <sz val="9"/>
            <color indexed="81"/>
            <rFont val="Tahoma"/>
            <family val="2"/>
          </rPr>
          <t xml:space="preserve">
SISTEMA 18/04/2017</t>
        </r>
      </text>
    </comment>
    <comment ref="E1083" authorId="0" shapeId="0" xr:uid="{63ECA6A4-B3BB-40AB-8858-F4459895BC61}">
      <text>
        <r>
          <rPr>
            <b/>
            <sz val="9"/>
            <color indexed="81"/>
            <rFont val="Tahoma"/>
            <family val="2"/>
          </rPr>
          <t>LADY DAYANA ARIAS HOYOS:</t>
        </r>
        <r>
          <rPr>
            <sz val="9"/>
            <color indexed="81"/>
            <rFont val="Tahoma"/>
            <family val="2"/>
          </rPr>
          <t xml:space="preserve">
SISTEMA 18/04/2017</t>
        </r>
      </text>
    </comment>
    <comment ref="S1282" authorId="0" shapeId="0" xr:uid="{811405F6-5924-4DD4-9B77-8F0DA11ECB25}">
      <text>
        <r>
          <rPr>
            <b/>
            <sz val="9"/>
            <color indexed="81"/>
            <rFont val="Tahoma"/>
            <family val="2"/>
          </rPr>
          <t>LADY DAYANA ARIAS HOYOS:</t>
        </r>
        <r>
          <rPr>
            <sz val="9"/>
            <color indexed="81"/>
            <rFont val="Tahoma"/>
            <family val="2"/>
          </rPr>
          <t xml:space="preserve">
OK</t>
        </r>
      </text>
    </comment>
    <comment ref="S1313" authorId="0" shapeId="0" xr:uid="{3A98C1E5-3CA7-40E6-AE8A-188BE2C3A0D0}">
      <text>
        <r>
          <rPr>
            <b/>
            <sz val="9"/>
            <color indexed="81"/>
            <rFont val="Tahoma"/>
            <family val="2"/>
          </rPr>
          <t>LADY DAYANA ARIAS HOYOS:</t>
        </r>
        <r>
          <rPr>
            <sz val="9"/>
            <color indexed="81"/>
            <rFont val="Tahoma"/>
            <family val="2"/>
          </rPr>
          <t xml:space="preserve">
OK</t>
        </r>
      </text>
    </comment>
    <comment ref="S1379" authorId="0" shapeId="0" xr:uid="{9615AE6F-85AB-4ADA-9CBB-BA8F0E7DCA26}">
      <text>
        <r>
          <rPr>
            <b/>
            <sz val="9"/>
            <color indexed="81"/>
            <rFont val="Tahoma"/>
            <family val="2"/>
          </rPr>
          <t>LADY DAYANA ARIAS HOYOS:</t>
        </r>
        <r>
          <rPr>
            <sz val="9"/>
            <color indexed="81"/>
            <rFont val="Tahoma"/>
            <family val="2"/>
          </rPr>
          <t xml:space="preserve">
OK</t>
        </r>
      </text>
    </comment>
    <comment ref="V1520" authorId="1" shapeId="0" xr:uid="{97793100-A830-414E-BFFF-92F2CA2C50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Anticipo 20/13525 de 2018 por USD $1.415 fue compensado en COP$ 4.522.765. Genera diferncia respecto a SAP saldo solo COP.</t>
      </text>
    </comment>
    <comment ref="V2245" authorId="2" shapeId="0" xr:uid="{E301506C-10F5-4952-BBBB-52A40EB26A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Documento 51/4170 fue compensado en pesos por Docmento 15/10285 por COP$ 1.156.931.328. No generó diferencia en cambio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tc={87708BC1-C294-4727-ADF9-E5FEA4EE79D5}</author>
    <author>tc={8768AEA4-1879-4A71-95BB-A3D18C9D83B0}</author>
    <author>tc={8C37462F-E5A3-416A-9F51-E5B8D9BB2C88}</author>
  </authors>
  <commentList>
    <comment ref="E70" authorId="0" shapeId="0" xr:uid="{87708BC1-C294-4727-ADF9-E5FEA4EE79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Traer aquí los valores reclasificados al ORI desde la cuenta 4806011000 con documento MG</t>
      </text>
    </comment>
    <comment ref="L72" authorId="1" shapeId="0" xr:uid="{8768AEA4-1879-4A71-95BB-A3D18C9D83B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Doc SAP 7000000251 $216.820 reaclasificacion diferencia en cambio por Nohemy Muñoz</t>
      </text>
    </comment>
    <comment ref="L83" authorId="2" shapeId="0" xr:uid="{8C37462F-E5A3-416A-9F51-E5B8D9BB2C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1. Doc SAP 100025056 $778.084.440 BNP Paribas USD$ 6.684.000 Traslado al JPM
2. Doc SAP 100024991 $9.140 BNP Paribas USD$ 37,50 Comisiones</t>
      </text>
    </comment>
  </commentList>
</comments>
</file>

<file path=xl/sharedStrings.xml><?xml version="1.0" encoding="utf-8"?>
<sst xmlns="http://schemas.openxmlformats.org/spreadsheetml/2006/main" count="15861" uniqueCount="2660">
  <si>
    <t>Anticipos para adquisición de Bienes y</t>
  </si>
  <si>
    <t>Cuenta por cobrar vinculados economicos</t>
  </si>
  <si>
    <t>Cta Bce Diferencia en Cambio Anticipos</t>
  </si>
  <si>
    <t>JP Morgan Chase New York Bank - Saldo</t>
  </si>
  <si>
    <t>JP Morgan Chase New York Bank - Concili</t>
  </si>
  <si>
    <t>Banco de Bogota Miami-  Conv Celec - Is</t>
  </si>
  <si>
    <t>Banco de Bogota Miami - Conv Celec - Is</t>
  </si>
  <si>
    <t>BNP PARIBAS -  saldo</t>
  </si>
  <si>
    <t>BNP PARIBAS -  conciliacion</t>
  </si>
  <si>
    <t>Cta. Balance Dif. en Cambio Caja y Bcos</t>
  </si>
  <si>
    <t>Crédito Bancario Externo Largo Plazo</t>
  </si>
  <si>
    <t>Depósitos recibidos en administración -</t>
  </si>
  <si>
    <t>Adq. Bienes y servicios Nacionales - Bi</t>
  </si>
  <si>
    <t>Adq. bienes y servicios Nacionales - Se</t>
  </si>
  <si>
    <t>Cta Bce Diferencia en cambio Adq.Bienes</t>
  </si>
  <si>
    <t>Adq. Bienes y servicios del Exterior -</t>
  </si>
  <si>
    <t>Cta Bce Difer.en cambio Adq.Bienes y Se</t>
  </si>
  <si>
    <t>Otras Cuenta por pagar- Partes Relacion</t>
  </si>
  <si>
    <t>Cta Bce Difer.en cambio partes relacion</t>
  </si>
  <si>
    <t>Acreedores por Viáticos y Gastos de Via</t>
  </si>
  <si>
    <t>Acreedores por Seguros</t>
  </si>
  <si>
    <t>Cta Bce Difer.en cambio Otros pasivos</t>
  </si>
  <si>
    <t>Porción Corriente Crédito Banc.Externo</t>
  </si>
  <si>
    <t>OTROS PASIVOS</t>
  </si>
  <si>
    <t>Diferencia en Cambio Realizada Caja y B</t>
  </si>
  <si>
    <t>Diferencia en Cambio No Realizada Caja</t>
  </si>
  <si>
    <t>Diferencia en Cambio No Realizada Antic</t>
  </si>
  <si>
    <t>Difcambio realizada adquisición B y S n</t>
  </si>
  <si>
    <t>Difcambio no realizada adquisición B y</t>
  </si>
  <si>
    <t>Difcambio realizada adquisición B y S E</t>
  </si>
  <si>
    <t>Difcambio no realizada Operaci de Finan</t>
  </si>
  <si>
    <t>Difcambio realizada oper. Financia</t>
  </si>
  <si>
    <t>Difcambio no realizada Obligacion Arren</t>
  </si>
  <si>
    <t>Difcambio no realizada Otros pasivos</t>
  </si>
  <si>
    <t>Difcambio realizada caya y bancos del e</t>
  </si>
  <si>
    <t>Difcambio no realizada caja y bancos de</t>
  </si>
  <si>
    <t>Difcambio realizada anticipos y CxC</t>
  </si>
  <si>
    <t>Difcbio no realizada anticipos y CxC</t>
  </si>
  <si>
    <t>Difcambio  no realizada CxC vinculados</t>
  </si>
  <si>
    <t>Difer.en cambio - Adq.Bienes y Servicio</t>
  </si>
  <si>
    <t>Difcbio no realizada cpra B y S</t>
  </si>
  <si>
    <t>Difer.en cambio - Adq. Bienes y Servici</t>
  </si>
  <si>
    <t>Difcbio no realizada cpra B y S ext</t>
  </si>
  <si>
    <t>Otros Aj.x difer.en cambio No realizada</t>
  </si>
  <si>
    <t>Otros Aj.x difer cambio No realiz Otras</t>
  </si>
  <si>
    <t>Cuenta</t>
  </si>
  <si>
    <t>ISAGEN SA ESP</t>
  </si>
  <si>
    <t>Concepto</t>
  </si>
  <si>
    <t>Descripción</t>
  </si>
  <si>
    <t>IFRS 3L</t>
  </si>
  <si>
    <t>DEPURACIÓN RENTA LIQUIDA</t>
  </si>
  <si>
    <t>TIPO</t>
  </si>
  <si>
    <t>Comentarios</t>
  </si>
  <si>
    <t>Debito</t>
  </si>
  <si>
    <t>Crédito</t>
  </si>
  <si>
    <t>FISCAL RENTA</t>
  </si>
  <si>
    <t>Tasa cierre USD</t>
  </si>
  <si>
    <t>Moneda</t>
  </si>
  <si>
    <t>Fe-contab-</t>
  </si>
  <si>
    <t>No doc</t>
  </si>
  <si>
    <t>ENTRADAS 2019</t>
  </si>
  <si>
    <t>SALIDAS 2019</t>
  </si>
  <si>
    <t>SALDO FISCAL FINAL</t>
  </si>
  <si>
    <t>DIFERENCIA EN CAMBIO (COP)</t>
  </si>
  <si>
    <t>USD</t>
  </si>
  <si>
    <t>TRM CIERRE</t>
  </si>
  <si>
    <t>SALDO PESOS</t>
  </si>
  <si>
    <t>USD ENTRADAS</t>
  </si>
  <si>
    <t>TRM INICIAL</t>
  </si>
  <si>
    <t>ENTRADAS PESOS</t>
  </si>
  <si>
    <t>USD PAGOS</t>
  </si>
  <si>
    <t>TRM PAGO</t>
  </si>
  <si>
    <t>PAGO EN PESOS</t>
  </si>
  <si>
    <t xml:space="preserve"> SALDO USD</t>
  </si>
  <si>
    <t>SALDO  PESOS</t>
  </si>
  <si>
    <t>GASTO</t>
  </si>
  <si>
    <t>INGRESO</t>
  </si>
  <si>
    <t>SI</t>
  </si>
  <si>
    <t>INTERESES FINANCIEROS</t>
  </si>
  <si>
    <t>PAGO</t>
  </si>
  <si>
    <t xml:space="preserve">TOTAL BANCO JP MORGAN </t>
  </si>
  <si>
    <t>BANCOS BNP PARIBAS</t>
  </si>
  <si>
    <t>TOTAL BNP PARIBAS</t>
  </si>
  <si>
    <t>TOTALES BANCOS</t>
  </si>
  <si>
    <t>SALDO FISCAL 31/12/2016</t>
  </si>
  <si>
    <t>ENTRADAS 2017</t>
  </si>
  <si>
    <t>SALIDAS 2017</t>
  </si>
  <si>
    <t>CUENTA</t>
  </si>
  <si>
    <t>CONCEPTO</t>
  </si>
  <si>
    <t>CA 2019</t>
  </si>
  <si>
    <t>TOTALES  PRESTAMOS VINCULADOS</t>
  </si>
  <si>
    <t>CRÉDITO EXTERNO JBIC</t>
  </si>
  <si>
    <t>INTERESES ENERO</t>
  </si>
  <si>
    <t>INTERESES FEBRERO</t>
  </si>
  <si>
    <t>INTERESES MARZO</t>
  </si>
  <si>
    <t>INTERESES ABRIL</t>
  </si>
  <si>
    <t>INTERESES MAYO</t>
  </si>
  <si>
    <t>INTERESES JUNIO</t>
  </si>
  <si>
    <t>INTERESES JULIO</t>
  </si>
  <si>
    <t>INTERESES AGOSTO</t>
  </si>
  <si>
    <t>INTERESES SEPTIEMBRE</t>
  </si>
  <si>
    <t>INTERESES OCTUBRE</t>
  </si>
  <si>
    <t>INTERESES NOVIEMBRE</t>
  </si>
  <si>
    <t>INTERESES DICIEMBRE</t>
  </si>
  <si>
    <t>VALORACIÓN COSTO AMORTIZADO</t>
  </si>
  <si>
    <t>Cierre 2018</t>
  </si>
  <si>
    <t>COP</t>
  </si>
  <si>
    <t>Cierre 2019</t>
  </si>
  <si>
    <t>SUBTOTAL JBIC</t>
  </si>
  <si>
    <t>CRÉDITO EXTERNO HERMES</t>
  </si>
  <si>
    <t>Inteses Enero</t>
  </si>
  <si>
    <t>Inteses febrero</t>
  </si>
  <si>
    <t>Inteses Marzo</t>
  </si>
  <si>
    <t>Inteses Abril</t>
  </si>
  <si>
    <t>Inteses Mayo</t>
  </si>
  <si>
    <t>Inteses Junio</t>
  </si>
  <si>
    <t>Inteses Julio</t>
  </si>
  <si>
    <t>Inteses Agosto</t>
  </si>
  <si>
    <t>Inteses Septiembre</t>
  </si>
  <si>
    <t>Inteses Octubre</t>
  </si>
  <si>
    <t>Inteses Noviembre</t>
  </si>
  <si>
    <t>Inteses Diciembre</t>
  </si>
  <si>
    <t>SUBTOTAL  HERMES</t>
  </si>
  <si>
    <t>PAGO CAPITAL</t>
  </si>
  <si>
    <t>PAGO INTERESES</t>
  </si>
  <si>
    <t>SUBTOTAL CITIBANK (EN PESOS)</t>
  </si>
  <si>
    <t>TOTALES  CREDITO FINANCIERO EXTERNO</t>
  </si>
  <si>
    <t>ANTICIPOS 1420120200</t>
  </si>
  <si>
    <t>PESOS</t>
  </si>
  <si>
    <t xml:space="preserve">MOVIMIENTO ENERO </t>
  </si>
  <si>
    <t xml:space="preserve">MOVIMIENTO FEBRERO </t>
  </si>
  <si>
    <t xml:space="preserve">MOVIMIENTO MARZO </t>
  </si>
  <si>
    <t xml:space="preserve">MOVIMIENTO ABRIL </t>
  </si>
  <si>
    <t xml:space="preserve">MOVIMIENTO MAYO </t>
  </si>
  <si>
    <t xml:space="preserve">MOVIMIENTO JUNIO </t>
  </si>
  <si>
    <t xml:space="preserve">MOVIMIENTO JULIO </t>
  </si>
  <si>
    <t>MOVIMIENTO AGOSTO</t>
  </si>
  <si>
    <t>MOVIMIENTO SEPT</t>
  </si>
  <si>
    <t>MOVIMIENTO OCT</t>
  </si>
  <si>
    <t>MOVIMIENTO NOV</t>
  </si>
  <si>
    <t>MOVIMIENTO DIC</t>
  </si>
  <si>
    <t>SUBTOTAL   ANTICIPOS</t>
  </si>
  <si>
    <t>ADQ BIENES NLES 2401011000</t>
  </si>
  <si>
    <t>MOVIMIENTO SEP</t>
  </si>
  <si>
    <t>SUBTOTAL  ADQUISICIÓN BIENES NACIONALES</t>
  </si>
  <si>
    <t>ADQ SERVICIOS NLES  2401012000</t>
  </si>
  <si>
    <t>EURO</t>
  </si>
  <si>
    <t>SUBTOTAL  ADQUISICIÓN SERVICIOS NACIONALES</t>
  </si>
  <si>
    <t>ADQUISICIÓN DE BIENES  Y SERVICIOS NACIONALES</t>
  </si>
  <si>
    <t>ADQ BIENES EXTERIOR  2406010200</t>
  </si>
  <si>
    <t>MOVIMIENTO SEPTIEMBRE</t>
  </si>
  <si>
    <t>MOVIMIENTO OCTUBRE</t>
  </si>
  <si>
    <t>MOVIMIENTO NOVIEMBRE</t>
  </si>
  <si>
    <t>MOVIMIENTO DICIEMBRE</t>
  </si>
  <si>
    <t>SUBTOTAL  ADQUISICIÓN BIENES EXTERIOR</t>
  </si>
  <si>
    <t>ADQ SERVICIOS  EXTERIOR 2406010300</t>
  </si>
  <si>
    <t>CAD</t>
  </si>
  <si>
    <t>SUBTOTAL ADQ SERVICIOS EXTERIOR</t>
  </si>
  <si>
    <t>ADQUISICIÓN DE BIENES  Y SERVICIOS EXTERIOR</t>
  </si>
  <si>
    <t>VIATICOS Y GASTOS DE VIAJE   2425080000</t>
  </si>
  <si>
    <t>SUBTOTAL  VIATICOS Y GASTOS DE VIAJE</t>
  </si>
  <si>
    <t>SEGUROS  2425100000</t>
  </si>
  <si>
    <t>SUBTOTAL   SEGUROS</t>
  </si>
  <si>
    <t>DEPOSITOS EN ADMON  BID  2453010700</t>
  </si>
  <si>
    <t>DEPOSITOS EN ADMON  ECUADOR  2453010800</t>
  </si>
  <si>
    <t>SUBTOTAL DEPOSITOS EN ADMINISTRACIÓN</t>
  </si>
  <si>
    <t>RETENCIÓN CONTRACTUAL 2455070100</t>
  </si>
  <si>
    <t>SUBTOTAL   RETENCIÓN CONTRACTUAL</t>
  </si>
  <si>
    <t>TOTALES  OTRAS CXC Y CXP</t>
  </si>
  <si>
    <t>2490030000  Otras Cuenta por pagar- Partes Relacionadas</t>
  </si>
  <si>
    <t>MARZO</t>
  </si>
  <si>
    <t>JUNIO</t>
  </si>
  <si>
    <t>DIC</t>
  </si>
  <si>
    <t>SUBTOTAL   2490030000  CXP VINCULADA</t>
  </si>
  <si>
    <t xml:space="preserve">CUENTA </t>
  </si>
  <si>
    <t>Diferencia en Cambio  Realizada Anticip</t>
  </si>
  <si>
    <t>Difcambio realizada Otros pasivos</t>
  </si>
  <si>
    <t>Difcambio  no realizada Operde Finanto</t>
  </si>
  <si>
    <t xml:space="preserve">PATRIMONIO FISCAL </t>
  </si>
  <si>
    <t>DESCRIPCION</t>
  </si>
  <si>
    <t>Bancolombia Miami - USA</t>
  </si>
  <si>
    <t>JP Morgan Chase  - BID Saldo</t>
  </si>
  <si>
    <t>Bank of America Miami Florida USA- Sald</t>
  </si>
  <si>
    <t>Bank of America Miami Florida - Concili</t>
  </si>
  <si>
    <t>BNP PARIBAS -  pagos</t>
  </si>
  <si>
    <t>BNP PARIBAS -  ingresos por aplicar</t>
  </si>
  <si>
    <t>Cta Bce Difer.en cambio Depósitos en Ad</t>
  </si>
  <si>
    <t>Cuentas x Pagar  Retenciones Contractual</t>
  </si>
  <si>
    <t>Difcambio  no realizada Obligacion Arre</t>
  </si>
  <si>
    <t>COMPRA</t>
  </si>
  <si>
    <t>CAPITALIZA INTERES CR 2</t>
  </si>
  <si>
    <t>CAPITALIZA INTERESES CR 2/300</t>
  </si>
  <si>
    <t>Capitalización intereses contratos  2/01 - 2/150</t>
  </si>
  <si>
    <t>Prepago capital (cancelación cxc)</t>
  </si>
  <si>
    <t>INTERESES ABRIL (17-30)</t>
  </si>
  <si>
    <t>PAGO CR 2/300 CAPITALIZA</t>
  </si>
  <si>
    <t>PAGO INTERESES TOTAL</t>
  </si>
  <si>
    <t>SI INTERESES</t>
  </si>
  <si>
    <t>INTERESES ABRIL PARCIAL</t>
  </si>
  <si>
    <t>INTERESES OCTUBRE PARCIAL</t>
  </si>
  <si>
    <t>Inteses Abril Parcial</t>
  </si>
  <si>
    <t>Inteses Marzo Parcial</t>
  </si>
  <si>
    <t>Inteses Septiembre Parcial</t>
  </si>
  <si>
    <t>CRÉDITO CITIBANK ( EN PESOS)</t>
  </si>
  <si>
    <t>PRESTAMO CAPITAL</t>
  </si>
  <si>
    <t>Inteses Febrero</t>
  </si>
  <si>
    <t>CHF</t>
  </si>
  <si>
    <t>Difcambio no realizada CxC  vinculados</t>
  </si>
  <si>
    <t>Difcambio realizada CxC vinculados</t>
  </si>
  <si>
    <t>Difcambio realizada operacion financier</t>
  </si>
  <si>
    <r>
      <t>DIFERENCIA EN CAMBIO REALIZADA</t>
    </r>
    <r>
      <rPr>
        <b/>
        <i/>
        <sz val="14"/>
        <color indexed="30"/>
        <rFont val="Arial Unicode MS"/>
        <family val="2"/>
      </rPr>
      <t xml:space="preserve"> BANCOS</t>
    </r>
  </si>
  <si>
    <r>
      <rPr>
        <b/>
        <sz val="16"/>
        <color indexed="30"/>
        <rFont val="Calibri"/>
        <family val="2"/>
      </rPr>
      <t>BANCOS</t>
    </r>
    <r>
      <rPr>
        <b/>
        <sz val="16"/>
        <color indexed="8"/>
        <rFont val="Calibri"/>
        <family val="2"/>
      </rPr>
      <t xml:space="preserve"> JP MORGAN</t>
    </r>
  </si>
  <si>
    <t>Fe-transaccion</t>
  </si>
  <si>
    <r>
      <t xml:space="preserve">DIFERENCIA EN CAMBIO REALIZADA </t>
    </r>
    <r>
      <rPr>
        <b/>
        <i/>
        <sz val="14"/>
        <color indexed="30"/>
        <rFont val="Arial Unicode MS"/>
        <family val="2"/>
      </rPr>
      <t>PRESTAMOS A VINCULADOS (CXC)</t>
    </r>
  </si>
  <si>
    <r>
      <t xml:space="preserve">1470753000 </t>
    </r>
    <r>
      <rPr>
        <b/>
        <sz val="18"/>
        <color indexed="30"/>
        <rFont val="Calibri"/>
        <family val="2"/>
      </rPr>
      <t>PRESTAMOS VINCULADOS</t>
    </r>
  </si>
  <si>
    <r>
      <t>DIFERENCIA EN CAMBIO REALIZADA</t>
    </r>
    <r>
      <rPr>
        <b/>
        <i/>
        <sz val="14"/>
        <color indexed="30"/>
        <rFont val="Arial Unicode MS"/>
        <family val="2"/>
      </rPr>
      <t xml:space="preserve"> OBLIGACIONES FINANCIERAS (CXP)</t>
    </r>
  </si>
  <si>
    <r>
      <t>DIFERENCIA EN CAMBIO REALIZADA</t>
    </r>
    <r>
      <rPr>
        <b/>
        <i/>
        <sz val="14"/>
        <color indexed="30"/>
        <rFont val="Arial Unicode MS"/>
        <family val="2"/>
      </rPr>
      <t xml:space="preserve"> OTRAS CXC Y CXP</t>
    </r>
  </si>
  <si>
    <t>MOVIMIENTO MAYO</t>
  </si>
  <si>
    <t>INTERESES JUNIO (1-7)</t>
  </si>
  <si>
    <t>Inteses Febrero 1-27</t>
  </si>
  <si>
    <t>Inteses Agosto 1-29</t>
  </si>
  <si>
    <t xml:space="preserve">AJUSTE VALORACION </t>
  </si>
  <si>
    <t>Saldo SAP en USD</t>
  </si>
  <si>
    <t xml:space="preserve">IFRS </t>
  </si>
  <si>
    <t xml:space="preserve">DEPURACION </t>
  </si>
  <si>
    <t xml:space="preserve">RENTA FISCAL </t>
  </si>
  <si>
    <t>SUBTOTAL ENERO</t>
  </si>
  <si>
    <t>SUBTOTAL FEBRERO</t>
  </si>
  <si>
    <t>SUBTOTAL MARZO</t>
  </si>
  <si>
    <t>SUBTOTAL ABRIL</t>
  </si>
  <si>
    <t>SUBTOTAL MAYO</t>
  </si>
  <si>
    <t>SUBTOTAL JUNIO</t>
  </si>
  <si>
    <t>SUBTOTAL JULIO</t>
  </si>
  <si>
    <t>SUBTOTAL AGOSTO</t>
  </si>
  <si>
    <t>SUBTOTAL SEPTIEMBRE</t>
  </si>
  <si>
    <t>SUBTOTAL OCTUBRE</t>
  </si>
  <si>
    <t>SUBTOTAL NOVIEMBRE</t>
  </si>
  <si>
    <t>SUBTOTAL DICIEMBRE</t>
  </si>
  <si>
    <t>Saldo SAP moneda USD</t>
  </si>
  <si>
    <t>Difcambio no realizada Otros CxP partes relacionad</t>
  </si>
  <si>
    <t>Difcambio realizada otras CxP partes relacionada</t>
  </si>
  <si>
    <t>Otros Aj.x difer.en cambio Realizada - Otros pasivos</t>
  </si>
  <si>
    <t>Otros Aj.x difer.en cambio Realiza Otr CxP partes rel</t>
  </si>
  <si>
    <t>SUBTOTAL EDC (EN PESOS)</t>
  </si>
  <si>
    <t>INTERESES DIC/20XX</t>
  </si>
  <si>
    <t>TOTAL</t>
  </si>
  <si>
    <t>TOTAL GASTO DIF CAMB</t>
  </si>
  <si>
    <t>TOTAL INGRESO DIF CAMB</t>
  </si>
  <si>
    <t>Cifra control hoja</t>
  </si>
  <si>
    <t>TOTAL PATRIM NETO</t>
  </si>
  <si>
    <t>TOTALES HOJA MonExtranjera</t>
  </si>
  <si>
    <t>Diferencia</t>
  </si>
  <si>
    <t>Total Neto MonExtranjera</t>
  </si>
  <si>
    <t>Gasto Mon Extranjera</t>
  </si>
  <si>
    <t>Ingreso Mon Extranjera</t>
  </si>
  <si>
    <t>Total</t>
  </si>
  <si>
    <t>Cifra Control</t>
  </si>
  <si>
    <t>Dif</t>
  </si>
  <si>
    <t>Saldo SAP en COP</t>
  </si>
  <si>
    <t>Saldo SAP solo COP</t>
  </si>
  <si>
    <t>SALDO SAP ML (prueba)</t>
  </si>
  <si>
    <t>VALOR NETO GENERADO POR DIFERENCIA EN CAMBIO [ Ingreso (-) / Gasto (+) ]</t>
  </si>
  <si>
    <t>TOTAL BANCO JP MORGAN 2 (Pagos)</t>
  </si>
  <si>
    <t>BANCOS JP MORGAN 2 - PAGOS</t>
  </si>
  <si>
    <t>JPM Pagos 2 - saldo</t>
  </si>
  <si>
    <t>Difcambio realizada caja y bancos del e</t>
  </si>
  <si>
    <t>Difcambio  no realizada Derivados (teso</t>
  </si>
  <si>
    <t>Difcambio no realizada Derivados (tesor</t>
  </si>
  <si>
    <r>
      <t xml:space="preserve">DIFERENCIA EN CAMBIO REALIZADA </t>
    </r>
    <r>
      <rPr>
        <b/>
        <i/>
        <sz val="14"/>
        <color indexed="30"/>
        <rFont val="Arial Unicode MS"/>
        <family val="2"/>
      </rPr>
      <t>DERECHOS EN CONTRATOS DERIVADOS</t>
    </r>
  </si>
  <si>
    <r>
      <t xml:space="preserve">1217012407 </t>
    </r>
    <r>
      <rPr>
        <b/>
        <sz val="18"/>
        <color indexed="30"/>
        <rFont val="Calibri"/>
        <family val="2"/>
      </rPr>
      <t>Derechos en contraros derivados - Deuda</t>
    </r>
  </si>
  <si>
    <t>N/A</t>
  </si>
  <si>
    <t xml:space="preserve">Liquidacion Forward FND BBVA </t>
  </si>
  <si>
    <t>SUBTOTAL  DERIVADOS</t>
  </si>
  <si>
    <t>TOTALES  DERECHOS EN CONTRATOS DERIVADOS</t>
  </si>
  <si>
    <t>Forward ITAU</t>
  </si>
  <si>
    <t>Forward DAVIVIENDA</t>
  </si>
  <si>
    <t>JPM Pagos 2 - conciliacion</t>
  </si>
  <si>
    <t>VALORACIÓN CA CIERRE 2020</t>
  </si>
  <si>
    <t>NIT 811/000/740-4</t>
  </si>
  <si>
    <t>Forward Bancolombia</t>
  </si>
  <si>
    <t>Forward CITIBANK</t>
  </si>
  <si>
    <t>COMPRA DE DOLARES</t>
  </si>
  <si>
    <t>VENTA DE DOLARES</t>
  </si>
  <si>
    <t>SI JPM1</t>
  </si>
  <si>
    <t>CA 2021</t>
  </si>
  <si>
    <t>Inicial</t>
  </si>
  <si>
    <t>Pago</t>
  </si>
  <si>
    <t>Tasa Mon Extranj</t>
  </si>
  <si>
    <t>Acreedores por Transportes y Acarreos</t>
  </si>
  <si>
    <t>TRANSPORTES Y ACARREOS  2425530100</t>
  </si>
  <si>
    <t>X</t>
  </si>
  <si>
    <t>GBP</t>
  </si>
  <si>
    <t>ACREEDOR</t>
  </si>
  <si>
    <t>9,17% - Ajuste PEGI</t>
  </si>
  <si>
    <t>x</t>
  </si>
  <si>
    <t>MEDELLIN            Ledger 3L                                                                     RFBILA00/71783753 Página         1</t>
  </si>
  <si>
    <t>Sociedad</t>
  </si>
  <si>
    <t>IGEN</t>
  </si>
  <si>
    <t>División</t>
  </si>
  <si>
    <t>****</t>
  </si>
  <si>
    <t>Imptes en</t>
  </si>
  <si>
    <t>V</t>
  </si>
  <si>
    <t>Soc.</t>
  </si>
  <si>
    <t>Div.</t>
  </si>
  <si>
    <t>Textos............................................</t>
  </si>
  <si>
    <t>..Interv.informe.</t>
  </si>
  <si>
    <t>..Comp. periodos</t>
  </si>
  <si>
    <t>.......absolutos</t>
  </si>
  <si>
    <t>...Rel</t>
  </si>
  <si>
    <t xml:space="preserve"> Tot.</t>
  </si>
  <si>
    <t>S</t>
  </si>
  <si>
    <t>soc.</t>
  </si>
  <si>
    <t>inf.</t>
  </si>
  <si>
    <t>..................................................</t>
  </si>
  <si>
    <t>.....Desviación</t>
  </si>
  <si>
    <t>...Dsv</t>
  </si>
  <si>
    <t>Etapa</t>
  </si>
  <si>
    <t>ACTIVO</t>
  </si>
  <si>
    <t>ACTIVO NO CORRIENTE</t>
  </si>
  <si>
    <t>PROPIEDAD, PLANTA Y EQUIPO</t>
  </si>
  <si>
    <t>PROPIEDAD PLANTA Y EQUIPO EN SERVICIO</t>
  </si>
  <si>
    <t xml:space="preserve">      Plantas de Generacion Hidraulica</t>
  </si>
  <si>
    <t>Inventa.materiales -Hidraulica Largo pl</t>
  </si>
  <si>
    <t>Presas</t>
  </si>
  <si>
    <t>Plantas de Generación Hidráulicas</t>
  </si>
  <si>
    <t>Bienes adquiridos en leasing financiero</t>
  </si>
  <si>
    <t xml:space="preserve">     Total Plantas de Generacion Hidraulica</t>
  </si>
  <si>
    <t>*5*</t>
  </si>
  <si>
    <t xml:space="preserve">      Deterioro Inventarios Hidraulica</t>
  </si>
  <si>
    <t>Deterioro  Inventarios Hidraulica LP</t>
  </si>
  <si>
    <t xml:space="preserve">      Total Deterioro Inventarios Hidraulica</t>
  </si>
  <si>
    <t xml:space="preserve">      Plantas de Generación Térmica</t>
  </si>
  <si>
    <t>Inventa.materiales - Termica Largo plaz</t>
  </si>
  <si>
    <t>Plantas de Generación Térmicas</t>
  </si>
  <si>
    <t xml:space="preserve">     Total Plantas de Generación Térmica</t>
  </si>
  <si>
    <t xml:space="preserve">      Deterioro Inventarios Térmica</t>
  </si>
  <si>
    <t>Deterioro Inventarios Termica  LP</t>
  </si>
  <si>
    <t xml:space="preserve">      Total Deterioro Inventarios Térmica</t>
  </si>
  <si>
    <t xml:space="preserve">      Construcciones y Edificaciones</t>
  </si>
  <si>
    <t>Edificios y Casas</t>
  </si>
  <si>
    <t>Oficinas</t>
  </si>
  <si>
    <t>Cafeterías y Casinos</t>
  </si>
  <si>
    <t>Casetas y Campamentos</t>
  </si>
  <si>
    <t>Bodegas y Hangares</t>
  </si>
  <si>
    <t>Mejoras en propiedad ajena (arrendamien</t>
  </si>
  <si>
    <t>Arrendamientos Financieros Edificacione</t>
  </si>
  <si>
    <t xml:space="preserve">      Total Construcciones y Edificaciones</t>
  </si>
  <si>
    <t xml:space="preserve">      Equipos</t>
  </si>
  <si>
    <t>Maquinaria y Equipo de Construcción</t>
  </si>
  <si>
    <t>Maquinaria y Equipo  de Centros de Cont</t>
  </si>
  <si>
    <t>Equipo de Comunicación</t>
  </si>
  <si>
    <t>Equipo de Computación</t>
  </si>
  <si>
    <t>Equipo de transporte Terrestre</t>
  </si>
  <si>
    <t>Equipo de transporte Marítimo y Fluvial</t>
  </si>
  <si>
    <t>Arrendamientos Financieros Equipos</t>
  </si>
  <si>
    <t>Arrendamientos Financieros Transporte</t>
  </si>
  <si>
    <t xml:space="preserve">      Total Equipos</t>
  </si>
  <si>
    <t xml:space="preserve">      Terrenos</t>
  </si>
  <si>
    <t>Terrenos Rurales</t>
  </si>
  <si>
    <t>Terrenos pendientes por legalizar</t>
  </si>
  <si>
    <t xml:space="preserve">      Total Terrenos</t>
  </si>
  <si>
    <t>TOTAL PROPIEDAD PLANTA Y EQUIPO EN SERVICIO</t>
  </si>
  <si>
    <t>*4*</t>
  </si>
  <si>
    <t>DEPRECIACION Y AMORTIZACION ACUMULADA</t>
  </si>
  <si>
    <t>Depreciación Acumulada Edificaciones (C</t>
  </si>
  <si>
    <t>Depreciación Acumulada Presas (CR)</t>
  </si>
  <si>
    <t>Depreciación Acumulada mejoras propieda</t>
  </si>
  <si>
    <t>Depreciación Acumulada Plantas y Ductos</t>
  </si>
  <si>
    <t>Depreciación Acumulada Maquinaria y Equ</t>
  </si>
  <si>
    <t>Depreciación Acum. Eq. Comunicación y C</t>
  </si>
  <si>
    <t>Depreciación Acum. Eq. de Transporte Tr</t>
  </si>
  <si>
    <t>Deprec. acum. Bienes adq. en leasing fi</t>
  </si>
  <si>
    <t>Deprec. acum. Bienes adq. en Arrendamie</t>
  </si>
  <si>
    <t>Deprec.Acum.Bienes adq en Arrendto Fro</t>
  </si>
  <si>
    <t>Deprec.Acum. Bienes adq en Arrendamient</t>
  </si>
  <si>
    <t>TOTAL DEPRECIACION Y AMORTIZACION ACUMULADA</t>
  </si>
  <si>
    <t>EN CONSTRUCCION Y MONTAJE</t>
  </si>
  <si>
    <t>Anticip para adquisición de intangible</t>
  </si>
  <si>
    <t>Gastos Proyectos – Compra de activos</t>
  </si>
  <si>
    <t>Gastos Proyectos - Otros Cargos Directo</t>
  </si>
  <si>
    <t>Gastos Proyectos-Otros Cargos Directos</t>
  </si>
  <si>
    <t>Gtos Proyectos-Otros Cargos Directos-PM</t>
  </si>
  <si>
    <t>Gtos Proyectos-Otros Cargos Relac.Comun</t>
  </si>
  <si>
    <t>Gastos Proyectos - Cargos Generales</t>
  </si>
  <si>
    <t>Gastos Proyectos - Contratistas de Obra</t>
  </si>
  <si>
    <t>Gastos Proyectos - Montaje de Equipos</t>
  </si>
  <si>
    <t>Gastos Proyectos - Consultorias y Aseso</t>
  </si>
  <si>
    <t>Ajustes Costos Indirectos NIIF</t>
  </si>
  <si>
    <t>Construcción en curso - Proyectos</t>
  </si>
  <si>
    <t>Otras Inversiones en Curso - Ordenes de</t>
  </si>
  <si>
    <t>TOTAL EN CONSTRUCCION Y MONTAJE</t>
  </si>
  <si>
    <t>TOTAL PROPIEDAD, PLANTA Y EQUIPO</t>
  </si>
  <si>
    <t>*3*</t>
  </si>
  <si>
    <t xml:space="preserve"> ACTIVOS INTANGIBLES</t>
  </si>
  <si>
    <t>Credito Mercantil</t>
  </si>
  <si>
    <t>CERs</t>
  </si>
  <si>
    <t>Gastos Certificacion - Cargos directos</t>
  </si>
  <si>
    <t>Intangibles - Licencias</t>
  </si>
  <si>
    <t>Intangibles - Software</t>
  </si>
  <si>
    <t>Servidumbres</t>
  </si>
  <si>
    <t>Intangibles - Proyectos</t>
  </si>
  <si>
    <t>Amortización Acumulada Licencias (CR)</t>
  </si>
  <si>
    <t>Amortización Acumulada Software (CR)</t>
  </si>
  <si>
    <t>Amortización Acumulada Servidumbres (CR</t>
  </si>
  <si>
    <t>TOTAL ACTIVOS INTANGIBLES</t>
  </si>
  <si>
    <t>PRESTAMOS Y CXC LARGO PLAZO</t>
  </si>
  <si>
    <t>DE DIFICIL COBRO LARGO PLAZO</t>
  </si>
  <si>
    <t>Dificil cobro - Prestamos concedidos a</t>
  </si>
  <si>
    <t>Deudas de dificil cobro - servicios de</t>
  </si>
  <si>
    <t>Deudas de Difícil Cobro Rendimientos CX</t>
  </si>
  <si>
    <t>Deudas Difícil Cobro Otros Deudores</t>
  </si>
  <si>
    <t>TOTAL DE DIFICIL COBRO LARGO PLAZO</t>
  </si>
  <si>
    <t>CXC EMPLEADOS LARGO PLAZO</t>
  </si>
  <si>
    <t>Créditos a empleados - Vivienda</t>
  </si>
  <si>
    <t>Créditos a empleados - Vivienda CR</t>
  </si>
  <si>
    <t>Créditos a empleados - Vehículo</t>
  </si>
  <si>
    <t>Créditos a Empleados - Seguro de Incend</t>
  </si>
  <si>
    <t>Créditos a Empleados - Seguro Vida Deud</t>
  </si>
  <si>
    <t>Créditos a Empleados - Seguro plan salu</t>
  </si>
  <si>
    <t>Préstamo sobre Bono de Antigüedad</t>
  </si>
  <si>
    <t>Préstamos a Exempleados - Vivienda</t>
  </si>
  <si>
    <t>Préstamos a ¨Pensionados - Vivienda</t>
  </si>
  <si>
    <t>Prestamos - Pensionados poliza Salud</t>
  </si>
  <si>
    <t>Préstamos a Exempleados - Vehículo</t>
  </si>
  <si>
    <t>Ajuste Costo Amorizado Créditos Emplead</t>
  </si>
  <si>
    <t>TOTAL CXC EMPLEADOS LARGO PLAZO</t>
  </si>
  <si>
    <t>DETERIORO DEUDORES LARGO PLAZO</t>
  </si>
  <si>
    <t>Provisión Prestamos concedidos Exemplea</t>
  </si>
  <si>
    <t>Provisión deudores - servicios de energ</t>
  </si>
  <si>
    <t>Provisión Otros Deudores (Cr)</t>
  </si>
  <si>
    <t>TOTAL DETERIORO DEUDORES LARGO PLAZO</t>
  </si>
  <si>
    <t>TOTAL PRESTAMOS Y CXC LARGO PLAZO</t>
  </si>
  <si>
    <t>INVERSIONES</t>
  </si>
  <si>
    <t xml:space="preserve">     En acciones</t>
  </si>
  <si>
    <t>Inversiones en Entidades Privadas - Ele</t>
  </si>
  <si>
    <t>Inversiones en Entidades Privadas - Con</t>
  </si>
  <si>
    <t>Acciones Soc. economía mixta Nal - GENS</t>
  </si>
  <si>
    <t xml:space="preserve">    En acciones</t>
  </si>
  <si>
    <t xml:space="preserve">     Provision inversiones</t>
  </si>
  <si>
    <t>Provis.Protec.Invers. Soc.Ec.Mix Nal</t>
  </si>
  <si>
    <t>TOTAL INVERSIONES</t>
  </si>
  <si>
    <t>EFECTIVO RESTRINGIDO</t>
  </si>
  <si>
    <t>Cuenta Puente No corriente Restringido</t>
  </si>
  <si>
    <t>TOTAL EFECTIVO RESTRINGIDO</t>
  </si>
  <si>
    <t>OPERACIONES DE COBERTURA LARGO PLAZO</t>
  </si>
  <si>
    <t>Derechos en contraros derivados - Deuda</t>
  </si>
  <si>
    <t>TOTAL OPERACIONES DE COBERTURA LARGO PLAZO</t>
  </si>
  <si>
    <t>OTROS ACTIVOS LARGO PLAZO</t>
  </si>
  <si>
    <t>Mercancia en existencia - Terrenos</t>
  </si>
  <si>
    <t>Cargos Diferidos Proyectos</t>
  </si>
  <si>
    <t>TOTAL OTROS ACTIVOS LARGO PLAZO</t>
  </si>
  <si>
    <t>TOTAL ACTIVO NO CORRIENTE</t>
  </si>
  <si>
    <t>*2*</t>
  </si>
  <si>
    <t>ACTIVOS CORRIENTES</t>
  </si>
  <si>
    <t>INVENTARIOS</t>
  </si>
  <si>
    <t>Inventa.materiales - CR</t>
  </si>
  <si>
    <t>Inventa.material prestac.SS-Elem.acces</t>
  </si>
  <si>
    <t>Inventa.material prestac.SS-Eq.médico y</t>
  </si>
  <si>
    <t>Inventa.material prestac.SS-Muebles-ens</t>
  </si>
  <si>
    <t>Inventa.material prestac.SS-Eq.comunica</t>
  </si>
  <si>
    <t>Inventa.material prestac.SS-Eq.tracción</t>
  </si>
  <si>
    <t>Iventa.material prestac.SS-Redes lineas</t>
  </si>
  <si>
    <t>Inventa.material prestac.SS-Materiales</t>
  </si>
  <si>
    <t>Inventa.material prestac.SS-Herramienta</t>
  </si>
  <si>
    <t>Inventa.material prestac.SS-Eq.comedor-</t>
  </si>
  <si>
    <t>TOTAL INVENTARIOS</t>
  </si>
  <si>
    <t>DETERIORO INVENTARIOS</t>
  </si>
  <si>
    <t>Provisión Protección Inventarios (CR)</t>
  </si>
  <si>
    <t>Provision Inventarios - DB</t>
  </si>
  <si>
    <t>TOTAL DETERIORO INVENTARIOS</t>
  </si>
  <si>
    <t>TOTAL INVENTARIOS NETO</t>
  </si>
  <si>
    <t>PRESTAMOS Y CUENTAS POR COBRAR</t>
  </si>
  <si>
    <t xml:space="preserve">     Clientes</t>
  </si>
  <si>
    <t>Otras cuentas por cobrar - servicios de</t>
  </si>
  <si>
    <t>CXC Generación de Energía - Empresas de</t>
  </si>
  <si>
    <t>CXC Estimados Generación de Energía - B</t>
  </si>
  <si>
    <t>CXC Generación de Energía - Bolsa</t>
  </si>
  <si>
    <t>CXC Estimados Generación de Energía - L</t>
  </si>
  <si>
    <t>CXC Comercializ. de Energía - Usuarios</t>
  </si>
  <si>
    <t>Rendimientos de CXC Energía -  Usuarios</t>
  </si>
  <si>
    <t xml:space="preserve">     Total Clientes</t>
  </si>
  <si>
    <t xml:space="preserve">     Cuentas por Cobrar partes relacionadas</t>
  </si>
  <si>
    <t>Cuenta por cobrar Vinculados Economicos</t>
  </si>
  <si>
    <t xml:space="preserve"> Total Cuentas por Cobrar partes relacionadas</t>
  </si>
  <si>
    <t xml:space="preserve">    Cuentas por Cobrar Empleados</t>
  </si>
  <si>
    <t>Créditos a empleados - Corriente</t>
  </si>
  <si>
    <t>Créditos a empleados - Calamidad</t>
  </si>
  <si>
    <t>CxC empleados cta de nomina</t>
  </si>
  <si>
    <t>Otros Deudores - Rendimientos Préstamos</t>
  </si>
  <si>
    <t xml:space="preserve">    Total Cuentas por Cobrar Empleados</t>
  </si>
  <si>
    <t xml:space="preserve">     Anticipos y Avances</t>
  </si>
  <si>
    <t>Avances para Viáticos y Gastos de Viaje</t>
  </si>
  <si>
    <t xml:space="preserve">     Total Anticipos y Avances</t>
  </si>
  <si>
    <t xml:space="preserve">     Anticipo Impto. y Contribuciones</t>
  </si>
  <si>
    <t>Anticipo Contribuciones Especiales</t>
  </si>
  <si>
    <t>Anticipo del Impuesto de Industria y Co</t>
  </si>
  <si>
    <t>Anticipo de ICA causado</t>
  </si>
  <si>
    <t>Impuesto de Industria y Comercio a favo</t>
  </si>
  <si>
    <t>Autorretención ICA San Rafael</t>
  </si>
  <si>
    <t>Autorretención ICA Medellin</t>
  </si>
  <si>
    <t>Autorretención ICA Giron</t>
  </si>
  <si>
    <t>Autorretención ICA Soledad</t>
  </si>
  <si>
    <t>Autorretención ICA Betulia</t>
  </si>
  <si>
    <t>Autorretención ICA Norcasia</t>
  </si>
  <si>
    <t>Retencion de industria y Cio a favor</t>
  </si>
  <si>
    <t>Saldo a favor ICA</t>
  </si>
  <si>
    <t xml:space="preserve">     Total Anticipo Impto. y Contribuciones</t>
  </si>
  <si>
    <t xml:space="preserve">     Otras Cuentas por Cobrar</t>
  </si>
  <si>
    <t>Otros Deudores por Servicios Prestados</t>
  </si>
  <si>
    <t>Venta Material Reciclaje e Inservible</t>
  </si>
  <si>
    <t>Otros Deudores - CXC Varios</t>
  </si>
  <si>
    <t>Otros Deudores - Incapacidades EPS</t>
  </si>
  <si>
    <t xml:space="preserve">     Total Otras Cuentas por Cobrar</t>
  </si>
  <si>
    <t>TOTAL PRESTAMOS Y CUENTAS POR COBRAR</t>
  </si>
  <si>
    <t>OTROS ACTIVOS</t>
  </si>
  <si>
    <t>Anticip para adqu de otros activos  DB</t>
  </si>
  <si>
    <t>Gasto seguro pagado por anticipado</t>
  </si>
  <si>
    <t>TOTAL OTROS ACTIVOS</t>
  </si>
  <si>
    <t>INVERSIONES-PORTAFOLIO</t>
  </si>
  <si>
    <t>Fiduciaria Bancolombia - Fiducuenta</t>
  </si>
  <si>
    <t>Fidubogota - Sumar</t>
  </si>
  <si>
    <t>Fidubogota - Sumar - Conciliación</t>
  </si>
  <si>
    <t>Corredores Asociados - Interes</t>
  </si>
  <si>
    <t>Cartera Colectiva Correval</t>
  </si>
  <si>
    <t>Cartera Colectiva Valores Bancolombia</t>
  </si>
  <si>
    <t>Cartera Colectiva Valores Bancolombia c</t>
  </si>
  <si>
    <t>TOTAL INVERSIONES-PORTAFOLIO</t>
  </si>
  <si>
    <t>OPERACIONES DE COBERTURA</t>
  </si>
  <si>
    <t>Derechos en contraros derivados</t>
  </si>
  <si>
    <t>TOTAL OPERACIONES DE COBERTURA</t>
  </si>
  <si>
    <t>DISPONIBLE</t>
  </si>
  <si>
    <t xml:space="preserve">     Efectivo en Caja, bancos y Corporaciones</t>
  </si>
  <si>
    <t>Caja Menor Central Miel I</t>
  </si>
  <si>
    <t>Caja Menor Termocentro</t>
  </si>
  <si>
    <t>Caja Menor Central Amoya</t>
  </si>
  <si>
    <t>Caja Menor  Medellin</t>
  </si>
  <si>
    <t>Caja Menor  Sogamoso</t>
  </si>
  <si>
    <t>Caja Menor Oriente Antioqueño</t>
  </si>
  <si>
    <t>Caja Menor Luzma</t>
  </si>
  <si>
    <t>Cuenta Puente Caja Menor Central Miel I</t>
  </si>
  <si>
    <t>Cuenta Puente Caja Menor Termocentro</t>
  </si>
  <si>
    <t>Cuenta Puente Caja Menor Central Amoya</t>
  </si>
  <si>
    <t>Cuenta Puente Caja Menor  Medellin</t>
  </si>
  <si>
    <t>Cuenta Puente Caja Menor  Sogamoso</t>
  </si>
  <si>
    <t>Cuenta Puente Caja Menor Oriente Antioq</t>
  </si>
  <si>
    <t>Cuenta Puente Avances Cajas Menores</t>
  </si>
  <si>
    <t>Cuenta Puente Movimientos Cajas Menores</t>
  </si>
  <si>
    <t>Bancolombia C.Corriente Carabobo</t>
  </si>
  <si>
    <t>Bancolombia C.Cte Carabobo - Conciliaci</t>
  </si>
  <si>
    <t>Bancolombia C.Cte Carabobo - Ingresos x</t>
  </si>
  <si>
    <t>BBVA C.Corriente Poblado</t>
  </si>
  <si>
    <t>Banco Agrario Medellín</t>
  </si>
  <si>
    <t>Banco Agrario Medellín - Conciliacion</t>
  </si>
  <si>
    <t>JP Morgan pagos 2 - Saldo</t>
  </si>
  <si>
    <t>JP Morgan pagos 2 - conciliacion</t>
  </si>
  <si>
    <t>JP Morgan - Saldo restringido</t>
  </si>
  <si>
    <t>Cuenta Puente Restringido</t>
  </si>
  <si>
    <t>Cuenta Puente Corriente Restringido</t>
  </si>
  <si>
    <t>Colpatria</t>
  </si>
  <si>
    <t>Colpatria - Conciliacion</t>
  </si>
  <si>
    <t>Davivienda Ahorros Poblado</t>
  </si>
  <si>
    <t>Davivienda Ahorros Poblado - Conciliaci</t>
  </si>
  <si>
    <t>Bancolombia Cuenta de Ahorros</t>
  </si>
  <si>
    <t>Bancolombia Ahorros - Conciliación</t>
  </si>
  <si>
    <t>Bancolombia Ahorros - Ingresos x aplica</t>
  </si>
  <si>
    <t>BBVA Ahorros</t>
  </si>
  <si>
    <t>Citibank Ahorros ISAGEN</t>
  </si>
  <si>
    <t>Banco de Bogotá - Cuenta de Ahorros</t>
  </si>
  <si>
    <t>Banco de Bogotá - Cuenta de Ahorros - C</t>
  </si>
  <si>
    <t>Bancolombia WESP - Cuenta de Ahorros</t>
  </si>
  <si>
    <t>Bancolombia - Cuenta de Ahorros</t>
  </si>
  <si>
    <t>Bancolombia - Cuenta de Ahorros - Conci</t>
  </si>
  <si>
    <t>Bancolombia cuenta ahorros - Ingresos x</t>
  </si>
  <si>
    <t>Cuenta de Ahorros ITAU</t>
  </si>
  <si>
    <t>Cuenta de Ahorros  ITAU . - Conciliació</t>
  </si>
  <si>
    <t>Divivienda Ahorros</t>
  </si>
  <si>
    <t>Davivienda Ahorros - Conciliación</t>
  </si>
  <si>
    <t>Garantias TIE</t>
  </si>
  <si>
    <t>Encargo Fiduciario - F.Solidaridad Fidu</t>
  </si>
  <si>
    <t xml:space="preserve">     Total Efectivo en Caja, bancos y Corpora</t>
  </si>
  <si>
    <t>TOTAL DISPONIBLE</t>
  </si>
  <si>
    <t>TOTAL ACTIVOS CORRIENTES</t>
  </si>
  <si>
    <t>TOTAL ACTIVO</t>
  </si>
  <si>
    <t>*1*</t>
  </si>
  <si>
    <t>MEDELLIN            Ledger 3L                                                                     RFBILA00/71783753 Página         2</t>
  </si>
  <si>
    <t>PASIVO Y PATRIMONIO</t>
  </si>
  <si>
    <t>PATRIMONIO</t>
  </si>
  <si>
    <t>CAPITAL</t>
  </si>
  <si>
    <t>Capital Autorizado</t>
  </si>
  <si>
    <t>TOTAL CAPITAL</t>
  </si>
  <si>
    <t>RESERVAS</t>
  </si>
  <si>
    <t>Legal</t>
  </si>
  <si>
    <t>Reservas de Ley - Valor No Gravado</t>
  </si>
  <si>
    <t>Reservas de Ley - Valor  Gravado</t>
  </si>
  <si>
    <t>Total Legal</t>
  </si>
  <si>
    <t>Ocasional Inversiones</t>
  </si>
  <si>
    <t>Reserva Ocasional Gravada - Inversiones</t>
  </si>
  <si>
    <t>Res.Ocasional - Readquisicion de accion</t>
  </si>
  <si>
    <t>Total Ocasional Inversiones</t>
  </si>
  <si>
    <t>TOTAL RESERVAS</t>
  </si>
  <si>
    <t>PRIMA EN COLOCACION DE ACCIONES</t>
  </si>
  <si>
    <t>Prima en Colocación de Acciones</t>
  </si>
  <si>
    <t>Contribución Fusion</t>
  </si>
  <si>
    <t>TOTAL PRIMA EN COLOCACION DE ACCIONES</t>
  </si>
  <si>
    <t>GANANCIAS RETENIDAS</t>
  </si>
  <si>
    <t>Ganancias Retenidas</t>
  </si>
  <si>
    <t>Ganancias Retenidas- Diferencia en resu</t>
  </si>
  <si>
    <t>TOTAL GANANCIAS RETENIDAS</t>
  </si>
  <si>
    <t>OTROS RESULTADOS INTEGRALES</t>
  </si>
  <si>
    <t>Valoracion cobertura de flujo de efecti</t>
  </si>
  <si>
    <t>Ganancias (perdidas) Actuariales</t>
  </si>
  <si>
    <t>Impuesto diferido por (ORI)- Perdidas a</t>
  </si>
  <si>
    <t>Impuesto diferido por (ORI)- Coberturas</t>
  </si>
  <si>
    <t>Impuesto diferido por (ORI)- Cobert flu</t>
  </si>
  <si>
    <t>TOTAL OTROS RESULTADOS INTEGRALES</t>
  </si>
  <si>
    <t>UTILIDAD DEL EJERCICIO</t>
  </si>
  <si>
    <t>TOTAL PATRIMONIO</t>
  </si>
  <si>
    <t>PASIVO</t>
  </si>
  <si>
    <t>PASIVO NO CORRIENTE</t>
  </si>
  <si>
    <t>OPERACIONES DE FINANCIAMIENTO</t>
  </si>
  <si>
    <t xml:space="preserve">     Obligaciones Bonos</t>
  </si>
  <si>
    <t>Bonos Internos Largo Plazo</t>
  </si>
  <si>
    <t>Prima en Emisión de Bonos Internos Larg</t>
  </si>
  <si>
    <t xml:space="preserve">    Total Obligaciones Bonos</t>
  </si>
  <si>
    <t xml:space="preserve">     Obligaciones Financieras</t>
  </si>
  <si>
    <t xml:space="preserve">     Total Obligaciones Financieras</t>
  </si>
  <si>
    <t>Crédito Bancario Interno Largo Plazo</t>
  </si>
  <si>
    <t xml:space="preserve">     Obligaciones Partes Relacionadas</t>
  </si>
  <si>
    <t>Crédito Partes Relacionadas</t>
  </si>
  <si>
    <t xml:space="preserve">     Total Obligaciones Partes Relacionadas</t>
  </si>
  <si>
    <t xml:space="preserve">     Leasing Largo Plazo</t>
  </si>
  <si>
    <t>Leasing Interno Largo Plazo</t>
  </si>
  <si>
    <t xml:space="preserve">     Total Leasing Largo Plazo</t>
  </si>
  <si>
    <t xml:space="preserve">     Arrendamiento Financiero</t>
  </si>
  <si>
    <t>Obligacion  arrendamientos TIC</t>
  </si>
  <si>
    <t>Obligacion  arrendamientos Edificacione</t>
  </si>
  <si>
    <t>Obligacion arrendamientos financieros T</t>
  </si>
  <si>
    <t>Arrendamientos financieros corriente NI</t>
  </si>
  <si>
    <t>Arrendamientos financieros corriente (D</t>
  </si>
  <si>
    <t xml:space="preserve">     Total Arrendamiento Financiero</t>
  </si>
  <si>
    <t>TOTAL OPERACIONES DE FINANCIAMIENTO</t>
  </si>
  <si>
    <t>IMPUESTO A LA RENTA DIFERIDO</t>
  </si>
  <si>
    <t>Inversiones y Otros Activos Financieros</t>
  </si>
  <si>
    <t>Inventarios</t>
  </si>
  <si>
    <t>Propiedades, Planta y Equipo</t>
  </si>
  <si>
    <t>Otros Activos</t>
  </si>
  <si>
    <t>Obligaciones Financieras</t>
  </si>
  <si>
    <t>Otros Pasivos</t>
  </si>
  <si>
    <t>TOTAL IMPUESTO A LA RENTA DIFERIDO</t>
  </si>
  <si>
    <t>PASIVOS ESTIMADOS</t>
  </si>
  <si>
    <t xml:space="preserve">     Pensiones de Jubilacion</t>
  </si>
  <si>
    <t>Encargo Fiduciario -Fondo Pensiones</t>
  </si>
  <si>
    <t>Cálculo Actuarial de Pensiones actuales</t>
  </si>
  <si>
    <t>Calculo actuarial de futuras pensiones</t>
  </si>
  <si>
    <t xml:space="preserve">     Total Pensiones de Jubilacion</t>
  </si>
  <si>
    <t xml:space="preserve">     Litigios y Demandas</t>
  </si>
  <si>
    <t>Provisión PMA</t>
  </si>
  <si>
    <t>Provisión para Contingencias - Litigios</t>
  </si>
  <si>
    <t>Provisión Contingencias -Litigios y Dem</t>
  </si>
  <si>
    <t xml:space="preserve">     Total Litigios y Demandas</t>
  </si>
  <si>
    <t xml:space="preserve">     Obligaciones Estimadas</t>
  </si>
  <si>
    <t>Provisión Cesantías Régimen Anterior (U</t>
  </si>
  <si>
    <t>Provisión Prima de Antigüedad</t>
  </si>
  <si>
    <t>Provisión Quinquenios</t>
  </si>
  <si>
    <t>Auxilio de Salud</t>
  </si>
  <si>
    <t>Auxilio educativo</t>
  </si>
  <si>
    <t>Póliza de salud</t>
  </si>
  <si>
    <t xml:space="preserve">     Total Obligaciones Estimadas</t>
  </si>
  <si>
    <t>TOTAL PASIVOS ESTIMADOS</t>
  </si>
  <si>
    <t>CUENTAS POR PAGAR NO CORRIENTE</t>
  </si>
  <si>
    <t>Depós.recibidos en admón - Fondo de Sol</t>
  </si>
  <si>
    <t>TOTAL CUENTAS POR PAGAR NO CORRIENTE</t>
  </si>
  <si>
    <t>TOTAL PASIVO NO CORRIENTE</t>
  </si>
  <si>
    <t>PASIVO CORRIENTE</t>
  </si>
  <si>
    <t>CUENTAS POR PAGAR</t>
  </si>
  <si>
    <t xml:space="preserve">     Proveedores</t>
  </si>
  <si>
    <t>Adquis.Bienes y Servicios Nacionales -</t>
  </si>
  <si>
    <t>Estimados Adquis.Bienes y Servicios - E</t>
  </si>
  <si>
    <t>Adq. Bienes y Servicios Nales - Uso de</t>
  </si>
  <si>
    <t>Estimados Adquis.Bienes y Serv.-Uso lín</t>
  </si>
  <si>
    <t>Adq. Bienes y Servicios Nles - Servicio</t>
  </si>
  <si>
    <t>Adq. Bienes y Serv.Nles - Adm.Centros c</t>
  </si>
  <si>
    <t>Estimados Adq.Bienes y Serv.-Adm.C.cont</t>
  </si>
  <si>
    <t>CxP Facturas por Recibir por compra de</t>
  </si>
  <si>
    <t>CxP Adquisic.de Bienes Nales. Proyectos</t>
  </si>
  <si>
    <t>Depós.recibidos en admón - Corrientes</t>
  </si>
  <si>
    <t xml:space="preserve">     Total Proveedores</t>
  </si>
  <si>
    <t xml:space="preserve">     Acreedores</t>
  </si>
  <si>
    <t>Acreedores por Servicios Públicos</t>
  </si>
  <si>
    <t>Acreedores Aportes a Fondos Pensionales</t>
  </si>
  <si>
    <t>Acreedores Aportes a la Seguridad Socia</t>
  </si>
  <si>
    <t>Acreedores Aportes al ICBF-SENA y Cajas</t>
  </si>
  <si>
    <t>Acreedores Embargos Judiciales</t>
  </si>
  <si>
    <t>Acreedores Aporte Riesgos Profesionales</t>
  </si>
  <si>
    <t>Acreedores Librabzas</t>
  </si>
  <si>
    <t>Otros Acreedores - Cajas Menores</t>
  </si>
  <si>
    <t>Otros Acreedores - Varios</t>
  </si>
  <si>
    <t>CXP Servicios de Energia - Contribucion</t>
  </si>
  <si>
    <t xml:space="preserve">     Total Acreedores</t>
  </si>
  <si>
    <t xml:space="preserve">     Retenciones Contractuales</t>
  </si>
  <si>
    <t>Cuentas x Pagar  Retenciones Contractua</t>
  </si>
  <si>
    <t xml:space="preserve">     Total Retenciones Contractuales</t>
  </si>
  <si>
    <t>TOTAL CUENTAS POR PAGAR</t>
  </si>
  <si>
    <t xml:space="preserve">     Obligaciones Financieras Internas</t>
  </si>
  <si>
    <t>Porción Corriente Crédito Banc.Interno</t>
  </si>
  <si>
    <t>Porción Corriente Leasing Interno Largo</t>
  </si>
  <si>
    <t>Porción Corriente Bonos Internos Largo</t>
  </si>
  <si>
    <t xml:space="preserve">     Total Obligaciones Financieras Internas</t>
  </si>
  <si>
    <t xml:space="preserve">     Obligaciones Financieras Externas</t>
  </si>
  <si>
    <t xml:space="preserve">    Total Obligaciones Financieras Externas</t>
  </si>
  <si>
    <t>Porción Corriente Crédito Partes Relaci</t>
  </si>
  <si>
    <t xml:space="preserve">     Arrendamiento Financiero Corriente</t>
  </si>
  <si>
    <t>Arrendamientos financieros corriente (C</t>
  </si>
  <si>
    <t xml:space="preserve">     Total Arrendamiento Financiero Corriente</t>
  </si>
  <si>
    <t>OPERACIONES DE DERIVADOS</t>
  </si>
  <si>
    <t>TOTAL OPERACIONES DE DERIVADOS</t>
  </si>
  <si>
    <t>IMPUESTOS, CONTRIBUCIONES Y TASAS</t>
  </si>
  <si>
    <t xml:space="preserve">     Retenciones e Impuestos</t>
  </si>
  <si>
    <t>CxP Retención Fuente Salarios y Pagos L</t>
  </si>
  <si>
    <t>Ret.Fte Honorarios en General</t>
  </si>
  <si>
    <t>Ret.Fte Honorarios en General (11%)</t>
  </si>
  <si>
    <t>Ret.Fte Contratos de Construcción</t>
  </si>
  <si>
    <t>Ret.Fte Servicios Transporte de Carga</t>
  </si>
  <si>
    <t>Ret.Fte Servicios en General - Declaran</t>
  </si>
  <si>
    <t>Ret.Fte Transporte Terrestre de Pasajer</t>
  </si>
  <si>
    <t>Ret.Fte Restaurante Hotel y Hospedaje</t>
  </si>
  <si>
    <t>Ret.Fte Otros Ingresos Tributarios</t>
  </si>
  <si>
    <t>Ret.Fte Servicios del 2%</t>
  </si>
  <si>
    <t>Ret.Fte Arrendamientos Bienes Muebles (</t>
  </si>
  <si>
    <t>Ret.Fte Arrendamientos Bienes Raices</t>
  </si>
  <si>
    <t>Cedula de rentas de capital</t>
  </si>
  <si>
    <t>Retencion Fuente Rendimientos Financier</t>
  </si>
  <si>
    <t>Retencion Fuente Compras Combustibles</t>
  </si>
  <si>
    <t>Retencion Fuente Compras Suministros en</t>
  </si>
  <si>
    <t>Ret.Fte Renta servicios no residentes</t>
  </si>
  <si>
    <t>Cedula de rentas de trabajo</t>
  </si>
  <si>
    <t>Impuesto a las Ventas Retenido x Consig</t>
  </si>
  <si>
    <t>Impto Ventas Retenido bienes  19% (15%)</t>
  </si>
  <si>
    <t>Impto Ventas Retenido Servicios 19% (15</t>
  </si>
  <si>
    <t>Reteica Honorarios y Servicios Bogotá</t>
  </si>
  <si>
    <t>Reteica Compras y Otras Act Comerciales</t>
  </si>
  <si>
    <t>Reteica interventoría asesorias y afine</t>
  </si>
  <si>
    <t>Reteica Compras CALI</t>
  </si>
  <si>
    <t>Reteica Servicios CALI</t>
  </si>
  <si>
    <t>Reteica Compras y Servicios San Carlos</t>
  </si>
  <si>
    <t>Reteica Compras y Servicios Barranquill</t>
  </si>
  <si>
    <t>Reteica Compras y Servicios San Rafael</t>
  </si>
  <si>
    <t>Reteica Compras y Servicios VICTORIA</t>
  </si>
  <si>
    <t>Reteica Compras y Servicios MEDELLÍN</t>
  </si>
  <si>
    <t>Reteica Compras y Servicios GIRON</t>
  </si>
  <si>
    <t>Reteica Compras y Servicios  Bucaramang</t>
  </si>
  <si>
    <t>Reteica Compras y Servicios LEBRIJA</t>
  </si>
  <si>
    <t>Reteica Compras y Servicios Betulia</t>
  </si>
  <si>
    <t>Reteica Compras y Servicios B/meja</t>
  </si>
  <si>
    <t>Reteica Compras y Servicios San Vicente</t>
  </si>
  <si>
    <t>Reteica Compras y Servicios Norcasia</t>
  </si>
  <si>
    <t>Reteica Compras y Servicios Chaparral</t>
  </si>
  <si>
    <t>Reteica Compras y Servicios Granada</t>
  </si>
  <si>
    <t>Reteica Compras y Servicios Zapatoca</t>
  </si>
  <si>
    <t>Reteica Compras y Servicios Puerto Wilc</t>
  </si>
  <si>
    <t>Reteica Compras y Servicios Puerto Urib</t>
  </si>
  <si>
    <t>Reteica Compras y Servicios Amalfi</t>
  </si>
  <si>
    <t>Autorretenciones por Ingresos Honorario</t>
  </si>
  <si>
    <t>Autorretenciones por Ingresos Comisione</t>
  </si>
  <si>
    <t>Autorretenciones por Ingresos Servicios</t>
  </si>
  <si>
    <t>Autorretenciones por Ventas de Energia</t>
  </si>
  <si>
    <t>Autorretenciones por Otros Conceptos</t>
  </si>
  <si>
    <t>Autorretención Ingresos Estimados</t>
  </si>
  <si>
    <t>Autorretención Impuesto renta decreto 2</t>
  </si>
  <si>
    <t>Autorretenciones por Ventas de CERs</t>
  </si>
  <si>
    <t>Impuesto de Industria y Comercio por pa</t>
  </si>
  <si>
    <t>Contribuciones por pagar (diferentes a</t>
  </si>
  <si>
    <t>IVA Venta de Servicios</t>
  </si>
  <si>
    <t>Provisión Impuesto de Industria y Comer</t>
  </si>
  <si>
    <t xml:space="preserve">     Total Retenciones e Impuestos</t>
  </si>
  <si>
    <t xml:space="preserve">     Impuesto de Renta</t>
  </si>
  <si>
    <t>Retenc. en la Fuente a favor por Rendim</t>
  </si>
  <si>
    <t>Autorretención por Honorarios</t>
  </si>
  <si>
    <t>Autorretención por Comisiones</t>
  </si>
  <si>
    <t>Autorretención por Servicios</t>
  </si>
  <si>
    <t>Autorretención por Ventas - Energia</t>
  </si>
  <si>
    <t>Autorretención por Otros Conceptos</t>
  </si>
  <si>
    <t>Autorretención por Ventas - CERs</t>
  </si>
  <si>
    <t>Provisión Impuesto de Renta y Complemen</t>
  </si>
  <si>
    <t xml:space="preserve">     Total Impuesto de Renta</t>
  </si>
  <si>
    <t>TOTAL IMPUESTOS, CONTRIBUCIONES Y TASAS</t>
  </si>
  <si>
    <t>OBLIGACIONES LABORALES</t>
  </si>
  <si>
    <t>Intereses sobre Cesantías por Pagar</t>
  </si>
  <si>
    <t>Vacaciones por pagar</t>
  </si>
  <si>
    <t>Prima de Vacaciones por Pagar</t>
  </si>
  <si>
    <t>Otras Prestaciones sociales - Auxilio S</t>
  </si>
  <si>
    <t>Pensiones de Jubilación por Pagar</t>
  </si>
  <si>
    <t>TOTAL OBLIGACIONES LABORALES</t>
  </si>
  <si>
    <t>PROVISIONES</t>
  </si>
  <si>
    <t>Otras Provisiones - Compensa</t>
  </si>
  <si>
    <t>Otras Provisiones - Directivos</t>
  </si>
  <si>
    <t>TOTAL PROVISIONES</t>
  </si>
  <si>
    <t xml:space="preserve">     Anticipos Ventas Energia</t>
  </si>
  <si>
    <t>Ingresos recibidos x anticipado - Venta</t>
  </si>
  <si>
    <t xml:space="preserve">     Total Anticipos Ventas Energia</t>
  </si>
  <si>
    <t xml:space="preserve">     Otros</t>
  </si>
  <si>
    <t>Otras provisiones- Otros pasivos</t>
  </si>
  <si>
    <t>CXP cobro cartera de terceros - Alumbra</t>
  </si>
  <si>
    <t xml:space="preserve">     Total Otros</t>
  </si>
  <si>
    <t>TOTAL OTROS PASIVOS</t>
  </si>
  <si>
    <t>TOTAL PASIVO CORRIENTE</t>
  </si>
  <si>
    <t>TOTAL PASIVO</t>
  </si>
  <si>
    <t>TOTAL PASIVO Y PATRIMONIO</t>
  </si>
  <si>
    <t>MEDELLIN            Ledger 3L                                                                     RFBILA00/71783753 Página         3</t>
  </si>
  <si>
    <t>ESTADO DE RESULTADOS</t>
  </si>
  <si>
    <t>INGRESOS OPERACIONALES</t>
  </si>
  <si>
    <t xml:space="preserve">     Energia</t>
  </si>
  <si>
    <t>Generación-vtas LP mayoristas y comerci</t>
  </si>
  <si>
    <t>Generación-vtas LP mayoristas Respaldo</t>
  </si>
  <si>
    <t>Generación estimados vtas LP mayoristas</t>
  </si>
  <si>
    <t>Generación estimados ventas Respaldo</t>
  </si>
  <si>
    <t>Vtas misma empresa Generador a comercia</t>
  </si>
  <si>
    <t>Generación ventas bolsa y/o corto plazo</t>
  </si>
  <si>
    <t>Generación ventas bolsa AGC</t>
  </si>
  <si>
    <t>Generación- estimados en bolsa y/o CP -</t>
  </si>
  <si>
    <t>Generación- estimados en ventas bolsa A</t>
  </si>
  <si>
    <t>Remuneración Activos Subestación Calder</t>
  </si>
  <si>
    <t>Comercialización vtas LP usuarios no re</t>
  </si>
  <si>
    <t>Comercialización-estimados vtas LP no r</t>
  </si>
  <si>
    <t>Comercialización - ventas bolsa Desviac</t>
  </si>
  <si>
    <t>Comercialización-estimados vtas Bolsa</t>
  </si>
  <si>
    <t>Devolución cargo por confiabilidad</t>
  </si>
  <si>
    <t>Devolución cargo por confiabilidad-esti</t>
  </si>
  <si>
    <t xml:space="preserve">     Total Energia</t>
  </si>
  <si>
    <t xml:space="preserve">     Otros Bienes o Servicios</t>
  </si>
  <si>
    <t>Ventas CERs</t>
  </si>
  <si>
    <t>Cobros por acompañamientos de los opera</t>
  </si>
  <si>
    <t xml:space="preserve">     Total Otros Bienes o Servicios</t>
  </si>
  <si>
    <t>TOTAL INGRESOS OPERACIONALES</t>
  </si>
  <si>
    <t>COSTO DE VENTAS</t>
  </si>
  <si>
    <t xml:space="preserve">   Compra de energia</t>
  </si>
  <si>
    <t>compras de energía contratos</t>
  </si>
  <si>
    <t>Compras en Bloque y/o L.P.de Generador</t>
  </si>
  <si>
    <t>Compras en Bolsa y/o a Corto Plazo - T.</t>
  </si>
  <si>
    <t>Compras en Bolsa energia Generacion AGC</t>
  </si>
  <si>
    <t>Compras en Bolsa energia Generacion Des</t>
  </si>
  <si>
    <t>Compras de  Restricciones</t>
  </si>
  <si>
    <t>Arranque y parada</t>
  </si>
  <si>
    <t>Estimados compras de energía en bolsa y</t>
  </si>
  <si>
    <t>Estimados compras generación- AGC</t>
  </si>
  <si>
    <t>Estimados compras generación- Desviacio</t>
  </si>
  <si>
    <t>Estimados compras comercializacion-Rest</t>
  </si>
  <si>
    <t>Estimados arranque y parada</t>
  </si>
  <si>
    <t xml:space="preserve">  Total Compra de energia</t>
  </si>
  <si>
    <t xml:space="preserve">   Cargos por uso y conexión STN</t>
  </si>
  <si>
    <t>Conexión sistema de Transmision Naciona</t>
  </si>
  <si>
    <t>Estimados cargos por conexión</t>
  </si>
  <si>
    <t>Uso de líneas, redes y ductos - transmi</t>
  </si>
  <si>
    <t>Uso lineas, redes y ductos - transmisió</t>
  </si>
  <si>
    <t>Estimados cargos uso lineas y redes</t>
  </si>
  <si>
    <t xml:space="preserve">   Total Cargos por uso y conexión STN</t>
  </si>
  <si>
    <t xml:space="preserve">   Cnd, Crd´s y Sic</t>
  </si>
  <si>
    <t>Estimados Servicios Centros de Despacho</t>
  </si>
  <si>
    <t>Servicios Centros de Despacho y SIC Rea</t>
  </si>
  <si>
    <t xml:space="preserve">   Total Cnd, Crd´s y Sic</t>
  </si>
  <si>
    <t xml:space="preserve">   Transferencias de Ley 99 / 93</t>
  </si>
  <si>
    <t>Contribuciones Medio ambiente Ley 99/93</t>
  </si>
  <si>
    <t>Estimado Contribuc.Med.ambiente Ley 99/</t>
  </si>
  <si>
    <t xml:space="preserve">   Total Transferencias de Ley 99 / 93</t>
  </si>
  <si>
    <t xml:space="preserve">   Contribucion FAZNI</t>
  </si>
  <si>
    <t>Contribuciones FAZNI</t>
  </si>
  <si>
    <t>Estimados contribución FAZNI</t>
  </si>
  <si>
    <t xml:space="preserve">   Total Contribucion FAZNI</t>
  </si>
  <si>
    <t xml:space="preserve">   Depreciacion</t>
  </si>
  <si>
    <t>Depreciación Edificaciones</t>
  </si>
  <si>
    <t>Depreciación Mejoras en propiedad ajena</t>
  </si>
  <si>
    <t>Depreciación Plantas Ductos y Túneles</t>
  </si>
  <si>
    <t>Depreciación Presas</t>
  </si>
  <si>
    <t>Depreciación Maquinaria y Equipo</t>
  </si>
  <si>
    <t>Depreciación Maquinaria Leasing</t>
  </si>
  <si>
    <t>Depreciación Equipo de Comunicación y C</t>
  </si>
  <si>
    <t>Depreciación Arrend Equi de Comunica y</t>
  </si>
  <si>
    <t>Depreciación Equipo de Centros de Contr</t>
  </si>
  <si>
    <t>Depreciación Equipo de Transporte Tracc</t>
  </si>
  <si>
    <t>Depreciación Arrendamiento Transporte T</t>
  </si>
  <si>
    <t xml:space="preserve">   Total Depreciacion</t>
  </si>
  <si>
    <t xml:space="preserve">   Combustibles</t>
  </si>
  <si>
    <t>Costos de Comercialización Gas Natural</t>
  </si>
  <si>
    <t>Insumos directos Gas Combustible</t>
  </si>
  <si>
    <t xml:space="preserve">   Total Combustibles</t>
  </si>
  <si>
    <t xml:space="preserve">   Otros costos operacionales</t>
  </si>
  <si>
    <t>Sueldos de Personal</t>
  </si>
  <si>
    <t>Horas Extras Festivos y Recargos Noctur</t>
  </si>
  <si>
    <t>Incapacidades</t>
  </si>
  <si>
    <t>Prima de Vacaciones</t>
  </si>
  <si>
    <t>Prima Extralegales</t>
  </si>
  <si>
    <t>Prima Extralegales Prima de Antigüedad</t>
  </si>
  <si>
    <t>Vacaciones</t>
  </si>
  <si>
    <t>Bonificaciones</t>
  </si>
  <si>
    <t>Bonificacionesn no salariales</t>
  </si>
  <si>
    <t>Subsidio de Alimentación</t>
  </si>
  <si>
    <t>Auxilio de Transporte</t>
  </si>
  <si>
    <t>Cesantías</t>
  </si>
  <si>
    <t>Cesantías Régimen Anterior (UCP).</t>
  </si>
  <si>
    <t>Intereses a las Cesantías</t>
  </si>
  <si>
    <t>Capacitación- Bienestar Social y Estímu</t>
  </si>
  <si>
    <t>Capacitación Estudio Idiomas Extranjero</t>
  </si>
  <si>
    <t>Dotación y Suministro a Trabajadores</t>
  </si>
  <si>
    <t>Costos Deportivos y de Recreación</t>
  </si>
  <si>
    <t>Aportes a Cajas de Compensación Familia</t>
  </si>
  <si>
    <t>Aportes al ICBF</t>
  </si>
  <si>
    <t>Aportes a Seguridad Social en Salud - E</t>
  </si>
  <si>
    <t>Aportes al SENA</t>
  </si>
  <si>
    <t>Otros Aportes - Incentivo al Ahorro</t>
  </si>
  <si>
    <t>Costos Médicos y Drogas</t>
  </si>
  <si>
    <t>Otros Auxilios- Auxilios de Salud del S</t>
  </si>
  <si>
    <t>Otros Auxilios Subsidios Localización y</t>
  </si>
  <si>
    <t>Quinquenios - UCP</t>
  </si>
  <si>
    <t>Aportes Riesgos Profesionales - Emplead</t>
  </si>
  <si>
    <t>Aportes seguridad social a Independient</t>
  </si>
  <si>
    <t>Salario Integral</t>
  </si>
  <si>
    <t>Contratos Personal Temporal</t>
  </si>
  <si>
    <t>Apoyo Sostenimiento Aprendices</t>
  </si>
  <si>
    <t>Viáticos Comisión de Trabajo</t>
  </si>
  <si>
    <t>Viáticos capacitacion</t>
  </si>
  <si>
    <t>Gastos de Viajes Comisión de Trabajo</t>
  </si>
  <si>
    <t>Gastos de Viaje Capacitación</t>
  </si>
  <si>
    <t>Prima de Servicios</t>
  </si>
  <si>
    <t>Cotiz. a Entid.administ. del Reg.Prima</t>
  </si>
  <si>
    <t>Aportes Fondos Institucionales</t>
  </si>
  <si>
    <t>Estímulo a la Eficiencia - Compensación</t>
  </si>
  <si>
    <t>Estímulo a la Eficiencia - Comp. Varia.</t>
  </si>
  <si>
    <t>Otros Servicios Personales</t>
  </si>
  <si>
    <t>Estudios de Investigación</t>
  </si>
  <si>
    <t>Suscripciones y Afiliaciones</t>
  </si>
  <si>
    <t>Publicidad y Propaganda</t>
  </si>
  <si>
    <t>Fotocopias Utiles de Escritorio y Papel</t>
  </si>
  <si>
    <t>Telecomunicaciones</t>
  </si>
  <si>
    <t>Seguridad Industrial</t>
  </si>
  <si>
    <t>Transporte Fletes y Acarreos</t>
  </si>
  <si>
    <t>contrato de Administracion</t>
  </si>
  <si>
    <t>Elementos de aseo y cafeteria</t>
  </si>
  <si>
    <t>Otros Costos - Gestion Social</t>
  </si>
  <si>
    <t>Otros Costos -  Gestion Biofisica</t>
  </si>
  <si>
    <t>Otros Costos Grles. Atenci. Clientes Se</t>
  </si>
  <si>
    <t>Otros Ctos Gles.Atención Clientes Relac</t>
  </si>
  <si>
    <t>Otros Ctos Gles - (Gestoria)Atencion,em</t>
  </si>
  <si>
    <t>Centro de Gestión de Medida  Comerciali</t>
  </si>
  <si>
    <t>Otros Costos - Relacionamiento Estrateg</t>
  </si>
  <si>
    <t>Otros Costos - Gestion Recursos Natural</t>
  </si>
  <si>
    <t>Otros Ctos Gles - Gastos Legales</t>
  </si>
  <si>
    <t>Otros Ctos Gles - Equipos</t>
  </si>
  <si>
    <t>Otros Ctos Gles - Servicios TIC</t>
  </si>
  <si>
    <t>Arrendamientos Construcciones y Edifica</t>
  </si>
  <si>
    <t>Amortización intangibles</t>
  </si>
  <si>
    <t>Otras Contribuciones - CNO</t>
  </si>
  <si>
    <t>Estampillas Contratos y Ofertas de Ener</t>
  </si>
  <si>
    <t>Productos Químicos para Tratamiento Agu</t>
  </si>
  <si>
    <t>Mantenimiento de Construcciones y Edifi</t>
  </si>
  <si>
    <t>Materiales y Repuestos Civiles</t>
  </si>
  <si>
    <t>Mantenimiento Maquinaria y Equipo</t>
  </si>
  <si>
    <t>Materiales y Repuestos Electromecanicos</t>
  </si>
  <si>
    <t>Otros costos de mantenimiento</t>
  </si>
  <si>
    <t>Mantenimiento Equipo de Oficina</t>
  </si>
  <si>
    <t>Mantenimiento Equipo de Computacion y C</t>
  </si>
  <si>
    <t>Mantenimiento Equipo de Transporte</t>
  </si>
  <si>
    <t>Mantenimiento Terrenos</t>
  </si>
  <si>
    <t>Mantenimiento de Plantas</t>
  </si>
  <si>
    <t>Otros contratos de Mantto - Software y</t>
  </si>
  <si>
    <t>Honorarios Asesoría Técnica</t>
  </si>
  <si>
    <t>Otros Honorarios</t>
  </si>
  <si>
    <t>Servicios  Mesa de ayuda</t>
  </si>
  <si>
    <t>Servicios públicos - Acueducto</t>
  </si>
  <si>
    <t>Servicios públicos - Alcantarillado</t>
  </si>
  <si>
    <t>Servicios públicos - Aseo</t>
  </si>
  <si>
    <t>Servicios públicos -  Energía y Alumbra</t>
  </si>
  <si>
    <t>Servicios públicos -  Telecomunicacione</t>
  </si>
  <si>
    <t>Otros Costos Mantto - Combustibles y Lu</t>
  </si>
  <si>
    <t>Otros Costos Mantto - Equipo de Computo</t>
  </si>
  <si>
    <t>Otros Costos de Operación y Mantenimien</t>
  </si>
  <si>
    <t>Otros Costos de Operación -CERs</t>
  </si>
  <si>
    <t>Seguros de Cumplimiento</t>
  </si>
  <si>
    <t>Seguros de Vida Colectiva</t>
  </si>
  <si>
    <t>Seguros Flota y Equipo de Transporte</t>
  </si>
  <si>
    <t>Seguros  Responsabilidad Civil y extrac</t>
  </si>
  <si>
    <t>Seguros Daños Materiales Combinados</t>
  </si>
  <si>
    <t>Seguros Obligatorios Accidentes de Trán</t>
  </si>
  <si>
    <t>Póliza Salud Cirugia y Hospitalización</t>
  </si>
  <si>
    <t>Seguro Todo Riesgo Maquinaria</t>
  </si>
  <si>
    <t>Seguros Generales</t>
  </si>
  <si>
    <t>Seguro Accidentes Personales/Contratist</t>
  </si>
  <si>
    <t>Impuesto Predial</t>
  </si>
  <si>
    <t>Impuesto de Vehículos</t>
  </si>
  <si>
    <t>Otros Impuestos - De Industria y comerc</t>
  </si>
  <si>
    <t>Otros impuestos - tasas</t>
  </si>
  <si>
    <t>Otros impuestos - Publicidad exterior v</t>
  </si>
  <si>
    <t>Servicios Aseo</t>
  </si>
  <si>
    <t>Servicio Vigilancia</t>
  </si>
  <si>
    <t>Servicio Casino y Cafetería</t>
  </si>
  <si>
    <t xml:space="preserve">   Total Otros costos operacionales</t>
  </si>
  <si>
    <t>TOTAL COSTO DE VENTAS</t>
  </si>
  <si>
    <t>UTILIDAD BRUTA EN VENTAS</t>
  </si>
  <si>
    <t>OTROS INGRESOS</t>
  </si>
  <si>
    <t>Utilidad en venta de propiedades planta</t>
  </si>
  <si>
    <t>Comisiones Recaudo Tasa Seguridad Ciuda</t>
  </si>
  <si>
    <t>Ingresos extraord. x Sobrantes de Inven</t>
  </si>
  <si>
    <t>Ingresos extraord. x Recuperaciones</t>
  </si>
  <si>
    <t>Ingresos extraord. x Recuperaciones no</t>
  </si>
  <si>
    <t>Ingresos extraor x Recuperacion Provisi</t>
  </si>
  <si>
    <t>Ingresos extraord. x Indemnizaciones Da</t>
  </si>
  <si>
    <t>Otros Ingresos extraord. - Multas y San</t>
  </si>
  <si>
    <t>Otros ingresos extraordinarios- servici</t>
  </si>
  <si>
    <t>Otros ingresos extraordinarios</t>
  </si>
  <si>
    <t>Otros ingresos extraordinarios por iden</t>
  </si>
  <si>
    <t>TOTAL OTROS INGRESOS</t>
  </si>
  <si>
    <t>GASTOS DE ADMINISTRACION</t>
  </si>
  <si>
    <t>Sueldos del Personal</t>
  </si>
  <si>
    <t>Horas Extras y Festivos</t>
  </si>
  <si>
    <t>Honorarios Junta directiva</t>
  </si>
  <si>
    <t>Prima Vacaciones</t>
  </si>
  <si>
    <t>Bonificaciones no salarias</t>
  </si>
  <si>
    <t>Bonificaciones por Retiro</t>
  </si>
  <si>
    <t>Cesantias</t>
  </si>
  <si>
    <t>Cesantias Régimen Anterior (UCP).</t>
  </si>
  <si>
    <t>Capacitación Bienestar social y estímul</t>
  </si>
  <si>
    <t>Gastos Deportivos y de Recreación</t>
  </si>
  <si>
    <t>Viáticos capacitación</t>
  </si>
  <si>
    <t>Gastos de Viajes capacitación</t>
  </si>
  <si>
    <t>Subsidio Alimentación</t>
  </si>
  <si>
    <t>Primas Extralegales</t>
  </si>
  <si>
    <t>Prima extralegal - De antiguedad (UCP).</t>
  </si>
  <si>
    <t>Prima especial de Quinquenio (UCP)</t>
  </si>
  <si>
    <t>Otros Subsidios Localización</t>
  </si>
  <si>
    <t>Gastos Médicos y Drogas</t>
  </si>
  <si>
    <t>Otras contribuciones imputadas - Auxili</t>
  </si>
  <si>
    <t>Otras contribuciones imputadas- Auxilio</t>
  </si>
  <si>
    <t>Otras contribuc imputadas- Auxilios Edu</t>
  </si>
  <si>
    <t>Seguros de Vida - Hospitalización y Cir</t>
  </si>
  <si>
    <t>Poliza jubilados UCP</t>
  </si>
  <si>
    <t>Seguros de Vida - Accidentes Personales</t>
  </si>
  <si>
    <t>Aportes a Seg.Social en salud - Emplead</t>
  </si>
  <si>
    <t>Aportes Sindicales</t>
  </si>
  <si>
    <t>Aportes a Riesgos Profesionales - Emple</t>
  </si>
  <si>
    <t>Cotiz.a entid.adm Regimen de prima medi</t>
  </si>
  <si>
    <t>Otras Contribuciones efectivas - Incent</t>
  </si>
  <si>
    <t>Aportes ICBF</t>
  </si>
  <si>
    <t>Honorarios - Asesoría Financiera</t>
  </si>
  <si>
    <t>Honorarios - Asesoría Administrativa</t>
  </si>
  <si>
    <t>Honorarios - Asesoría Jurídica</t>
  </si>
  <si>
    <t>Honorarios - Auditorías</t>
  </si>
  <si>
    <t>Servicio Mesa de ayuda</t>
  </si>
  <si>
    <t>Vigilancia y seguridad</t>
  </si>
  <si>
    <t>Materiales y Suministros - Utiles de Pa</t>
  </si>
  <si>
    <t>Mantenimiento - Construcciones y edific</t>
  </si>
  <si>
    <t>Mantenimiento - Maquinaria  y otros Eq.</t>
  </si>
  <si>
    <t>Mantenimiento - Eq. de Computación y co</t>
  </si>
  <si>
    <t>Mantenimiento - Software y Licencias</t>
  </si>
  <si>
    <t>Reparación - Equipo de Oficina</t>
  </si>
  <si>
    <t>Arrendamientos - Eq. de computación y c</t>
  </si>
  <si>
    <t>Patrocinios</t>
  </si>
  <si>
    <t>Impresos-Publicaciones-Suscripciones y</t>
  </si>
  <si>
    <t>Comunicaciones y Transporte</t>
  </si>
  <si>
    <t>Seguros de Manejo</t>
  </si>
  <si>
    <t>Seguro de Flota y Equipo de Transporte</t>
  </si>
  <si>
    <t>Seguro de Reponsabilidad Civil y Extrac</t>
  </si>
  <si>
    <t>Seguros Daños Materiales</t>
  </si>
  <si>
    <t>Seguro de Transporte</t>
  </si>
  <si>
    <t>Seguro Riesgo Financiero</t>
  </si>
  <si>
    <t>Seguro Responsabilidad Civil Administra</t>
  </si>
  <si>
    <t>Seguro Obligatorio Accidentes de Tránsi</t>
  </si>
  <si>
    <t>Seguro Transporte de Valores</t>
  </si>
  <si>
    <t>Combustinles y lubricantes</t>
  </si>
  <si>
    <t>Servicios de Aseo- Cafetería y Restaura</t>
  </si>
  <si>
    <t>Procesamiento de información - Microfil</t>
  </si>
  <si>
    <t>Gastos Legales</t>
  </si>
  <si>
    <t>Otros Gastos Generales - Organización d</t>
  </si>
  <si>
    <t>Servicios Agencia de viajes</t>
  </si>
  <si>
    <t>Otros gastos generales- Equipo de compu</t>
  </si>
  <si>
    <t>Otros gastos generales- Servicios TIC</t>
  </si>
  <si>
    <t>Sanciones</t>
  </si>
  <si>
    <t>Industria y Comercio</t>
  </si>
  <si>
    <t>Impuesto sobre Vehículos</t>
  </si>
  <si>
    <t>Gravamen a los Movimientos Financieros</t>
  </si>
  <si>
    <t>Impuesto de Timbre</t>
  </si>
  <si>
    <t>Contribución a la SSPD y CREG</t>
  </si>
  <si>
    <t>Otros Impuestos - Alumbrado publico</t>
  </si>
  <si>
    <t>Depreciación Arrendamientos  Edificacio</t>
  </si>
  <si>
    <t>Depreciación Equip.Transporte Tracción</t>
  </si>
  <si>
    <t>Amortización de Licencias</t>
  </si>
  <si>
    <t>Amortización de Software</t>
  </si>
  <si>
    <t>TOTAL GASTOS DE ADMINISTRACION</t>
  </si>
  <si>
    <t>OTROS GASTOS</t>
  </si>
  <si>
    <t>Provisión prestacion servicios- deudore</t>
  </si>
  <si>
    <t>Provisión Otros Deudores</t>
  </si>
  <si>
    <t>Comisiones y Otros Gastos Bancarios</t>
  </si>
  <si>
    <t>Derechos en Fideicomiso</t>
  </si>
  <si>
    <t>Otras Comisiones</t>
  </si>
  <si>
    <t>Otros Gastos Financieros</t>
  </si>
  <si>
    <t>Otros Gastos Financieros - Intereses Ac</t>
  </si>
  <si>
    <t>Otros Gastos Financieros - Descuentos a</t>
  </si>
  <si>
    <t>Pérdida en baja de Propiedad Planta y E</t>
  </si>
  <si>
    <t>Donaciones</t>
  </si>
  <si>
    <t>Otros Gastos Extraordinarios</t>
  </si>
  <si>
    <t>TOTAL OTROS GASTOS</t>
  </si>
  <si>
    <t>INGRESOS FINANCIEROS</t>
  </si>
  <si>
    <t>Utilidad valoracion derivados - tesorer</t>
  </si>
  <si>
    <t>Pérdida valora de deriva- tesoreria</t>
  </si>
  <si>
    <t xml:space="preserve">   Intereses y Otros</t>
  </si>
  <si>
    <t>Rendimientos y Actualizaciones CXC Clie</t>
  </si>
  <si>
    <t>Intereses y Rendtos CXC - Otros deudore</t>
  </si>
  <si>
    <t>Otros Ing.Fros - Operad Red y medición</t>
  </si>
  <si>
    <t>Otros Ingresos Financieros- Intereses M</t>
  </si>
  <si>
    <t>Intereses sobre Depósitos Bancarios</t>
  </si>
  <si>
    <t>Otros ingresos Financieros - Desctos pr</t>
  </si>
  <si>
    <t xml:space="preserve">   Total Intereses y Otros</t>
  </si>
  <si>
    <t>TOTAL INGRESOS FINANCIEROS</t>
  </si>
  <si>
    <t xml:space="preserve">   Diferencia en Cambio</t>
  </si>
  <si>
    <t>Difcambio realizada  Derivados tesoreri</t>
  </si>
  <si>
    <t>Otros Aj.x difer.en cambio Realizada -</t>
  </si>
  <si>
    <t>Otros Aj.x difer.en cambio Realiza Otr</t>
  </si>
  <si>
    <t xml:space="preserve">   Total Diferencia en Cambio</t>
  </si>
  <si>
    <t>TOTAL DIFERENCIA EN CAMBIO</t>
  </si>
  <si>
    <t>GASTOS FINANCIEROS</t>
  </si>
  <si>
    <t>Utilidad valoración de derivados- otros</t>
  </si>
  <si>
    <t>Intereses de mora impuestos</t>
  </si>
  <si>
    <t>Intereses Operaciones financiamiento In</t>
  </si>
  <si>
    <t>Otros gastos de deuda</t>
  </si>
  <si>
    <t>Intereses Operaciones financiamiento Ex</t>
  </si>
  <si>
    <t>Intereses pensiones y beneficios labora</t>
  </si>
  <si>
    <t>Intereses actulizacion provisiones</t>
  </si>
  <si>
    <t>Costo por Intereses  arrendamientos fin</t>
  </si>
  <si>
    <t>Costo por Intereses arrendamientos Fros</t>
  </si>
  <si>
    <t>Intereses creditos Partes reslacionadas</t>
  </si>
  <si>
    <t>Pérdida valora deriva- Otros resulta in</t>
  </si>
  <si>
    <t>Pérdida Negociación y Venta Invers. Tit</t>
  </si>
  <si>
    <t>Auxilio tasas de interes empleados</t>
  </si>
  <si>
    <t xml:space="preserve">  Total Intereses y Otros</t>
  </si>
  <si>
    <t>TOTAL GASTOS FINANCIEROS</t>
  </si>
  <si>
    <t>(UTILIDAD) PERDIDA ANTES DE IMPUESTOS</t>
  </si>
  <si>
    <t>PROVISION IMPUESTO DE RENTA</t>
  </si>
  <si>
    <t>Provisión Impto de Renta y Complementar</t>
  </si>
  <si>
    <t>Provisión Impto de Renta y Complem. Dif</t>
  </si>
  <si>
    <t>TOTAL PROVISION IMPUESTO DE RENTA</t>
  </si>
  <si>
    <t>MEDELLIN            Ledger 3L                                                                     RFBILA00/71783753 Página         4</t>
  </si>
  <si>
    <t>UTILIDAD (PÉRDIDA) DEL EJERCICIO</t>
  </si>
  <si>
    <t>MEDELLIN            Ledger 3L                                                                     RFBILA00/71783753 Página         5</t>
  </si>
  <si>
    <t>CUENTAS NO ASIGNADAS</t>
  </si>
  <si>
    <t>Litigios y demandas Civiles</t>
  </si>
  <si>
    <t>Litigios y demandas administrativas</t>
  </si>
  <si>
    <t>Der.contigentes Contrato Pescadero-Itua</t>
  </si>
  <si>
    <t>Deudora Fiscal- Deducción x inver en ac</t>
  </si>
  <si>
    <t>Derechos conting. x contra-Litigios y D</t>
  </si>
  <si>
    <t>Derechos Cont. por Contra-Garantías Con</t>
  </si>
  <si>
    <t>Otros derechos contingentes por contra</t>
  </si>
  <si>
    <t>Otros Der.Conting.x Contra - Intereses</t>
  </si>
  <si>
    <t>Deudoras fiscales por Contra (CR)</t>
  </si>
  <si>
    <t>Respons.Contigentes Litigios o Demandas</t>
  </si>
  <si>
    <t>Respons.Contig. Litigios o Demandas Adm</t>
  </si>
  <si>
    <t>Mecanismos alternativos de solución de</t>
  </si>
  <si>
    <t>Otras Resp.Conting.Compromisos contrato</t>
  </si>
  <si>
    <t>Ajuste por Inflación Patrimonio</t>
  </si>
  <si>
    <t>Banca Comercial - Club Deal</t>
  </si>
  <si>
    <t>Convenio recaudos con Terceros - Alumbr</t>
  </si>
  <si>
    <t>Conv.recaudos x contra-Tasa Seguri Ciud</t>
  </si>
  <si>
    <t>Otras Acreed de control operación de in</t>
  </si>
  <si>
    <t>Resp.Conting. por contra Litigios y Dem</t>
  </si>
  <si>
    <t>Mecanismo alternativos de soluciones co</t>
  </si>
  <si>
    <t>Otras responsabilidades contingentes x</t>
  </si>
  <si>
    <t>Cierre anual (CR)</t>
  </si>
  <si>
    <t>Préstamos por recibir (DB)</t>
  </si>
  <si>
    <t>Acre.de Contr x contra</t>
  </si>
  <si>
    <t>Convenio recaudos con Terceros - Tasa S</t>
  </si>
  <si>
    <t>Conv.recaudos x contra-Alumbrado Públic</t>
  </si>
  <si>
    <t>TOTAL CUENTAS NO ASIGNADAS</t>
  </si>
  <si>
    <t>Bancolombia Miami</t>
  </si>
  <si>
    <t>Chase Manhattan Pago</t>
  </si>
  <si>
    <t>Chase Manhattan Ingr</t>
  </si>
  <si>
    <t>JP Morgan Cha BID.Sa</t>
  </si>
  <si>
    <t>B. Bogota Miami-Pago</t>
  </si>
  <si>
    <t>BANCOS</t>
  </si>
  <si>
    <t>CREDITO EXTERNO</t>
  </si>
  <si>
    <t>OTRAS C X P</t>
  </si>
  <si>
    <t>OTRAS C X C</t>
  </si>
  <si>
    <t>Obligacion  arrendamientos Equipos</t>
  </si>
  <si>
    <t>Impresos y Publicaciones</t>
  </si>
  <si>
    <t>Tasas y Peajes</t>
  </si>
  <si>
    <t>Anticipo del 20% del Contrato 34/11528</t>
  </si>
  <si>
    <t>Fiduciaria Bancolombia - Fiducuenta - C</t>
  </si>
  <si>
    <t>Citibank Ahorros ISAGEN - Conciliación</t>
  </si>
  <si>
    <t>Cesantías por pagar</t>
  </si>
  <si>
    <t>Otros Costos Generales</t>
  </si>
  <si>
    <t>Difcambio no realizada caja y bancos  J</t>
  </si>
  <si>
    <t>Difcambio no realizada caja y bancos  B</t>
  </si>
  <si>
    <t>Difcambio realizada Pagos JPM  Obligaci</t>
  </si>
  <si>
    <t>Difcambio realizada caja y bancos JPM</t>
  </si>
  <si>
    <t>Bancos</t>
  </si>
  <si>
    <t>Deuda</t>
  </si>
  <si>
    <t>Contable</t>
  </si>
  <si>
    <t>No Realz</t>
  </si>
  <si>
    <t>Fiscal Realiz</t>
  </si>
  <si>
    <t>Realiz</t>
  </si>
  <si>
    <t>Derivados</t>
  </si>
  <si>
    <t>Pat NIIF vs Fsical</t>
  </si>
  <si>
    <t>Contable Neta</t>
  </si>
  <si>
    <t>IFRS</t>
  </si>
  <si>
    <t>FISCAL</t>
  </si>
  <si>
    <t>Realizada</t>
  </si>
  <si>
    <t>No Realizada</t>
  </si>
  <si>
    <t>Diferencia en cambio  BANCOS (P&amp;G)</t>
  </si>
  <si>
    <t>Diferencia en cambio  ANTICIPOS (P&amp;G)</t>
  </si>
  <si>
    <t>Diferencia en cambio  CXC VINCULADOS (P&amp;G)</t>
  </si>
  <si>
    <t>Diferencia en cambio  OTRAS CXP (P&amp;G)</t>
  </si>
  <si>
    <t>Diferencia en cambio  DEUDA (P&amp;G)</t>
  </si>
  <si>
    <t>Diferencia en cambio  DERIVADOS (P&amp;G)</t>
  </si>
  <si>
    <t>Diferencia en cambio  CASH HELD (P&amp;G)</t>
  </si>
  <si>
    <t>SUBTOTAL SUMIMOTO (EN PESOS)</t>
  </si>
  <si>
    <t>Ajuste Fiscal</t>
  </si>
  <si>
    <t>Dif Cambio</t>
  </si>
  <si>
    <t>Cifra control</t>
  </si>
  <si>
    <t>Otras CxC y Anticipos</t>
  </si>
  <si>
    <t>Otras CxP</t>
  </si>
  <si>
    <r>
      <t xml:space="preserve">TOTAL MOVIMIENTO </t>
    </r>
    <r>
      <rPr>
        <b/>
        <sz val="10"/>
        <color rgb="FFFF0000"/>
        <rFont val="Calibri"/>
        <family val="2"/>
        <scheme val="minor"/>
      </rPr>
      <t>FISCAL</t>
    </r>
    <r>
      <rPr>
        <b/>
        <sz val="10"/>
        <color rgb="FF0070C0"/>
        <rFont val="Calibri"/>
        <family val="2"/>
        <scheme val="minor"/>
      </rPr>
      <t xml:space="preserve"> DEL PERIODO</t>
    </r>
  </si>
  <si>
    <t>Cierre 2022</t>
  </si>
  <si>
    <t>VALORACION CA CIERRE 2022</t>
  </si>
  <si>
    <t>CA 2022</t>
  </si>
  <si>
    <t xml:space="preserve">Tipo de tasa: </t>
  </si>
  <si>
    <t>MEDIA (Es la unica que muestra COP/USD)</t>
  </si>
  <si>
    <t>COP/MON</t>
  </si>
  <si>
    <t>USD/MON</t>
  </si>
  <si>
    <t>MON/USD</t>
  </si>
  <si>
    <t>EUR</t>
  </si>
  <si>
    <t>JPY</t>
  </si>
  <si>
    <t>Saldo Kardex USD</t>
  </si>
  <si>
    <t>Arrendamientos Equipos de Comunicación</t>
  </si>
  <si>
    <t>Reteica Compras y Servicios Salgar</t>
  </si>
  <si>
    <t>Autoretencion ICA Norcasia</t>
  </si>
  <si>
    <t>CXP cobro cartera de terceros - Tasa Se</t>
  </si>
  <si>
    <t>Depreciación Arrendamientos Equipos Com</t>
  </si>
  <si>
    <t>Arrendamientos Eq. de Computación y Com</t>
  </si>
  <si>
    <t>Auxilios de Transporte</t>
  </si>
  <si>
    <t>Difcambio realizada caja y bancos  JPM</t>
  </si>
  <si>
    <t>Difcambio realizada caja y bancos  BNP</t>
  </si>
  <si>
    <t>Difcambio realizada caja y bancos BNP</t>
  </si>
  <si>
    <t>Deprec. acum. Arrendamientos Equipos Co</t>
  </si>
  <si>
    <t>ISAGEN S.A. E.S.P</t>
  </si>
  <si>
    <t>Año 2022</t>
  </si>
  <si>
    <t>Saldo Contable Diciembre 2021</t>
  </si>
  <si>
    <t>Saldo Fiscal Diciembre 2021</t>
  </si>
  <si>
    <t>Movimiento</t>
  </si>
  <si>
    <t>Saldo Contable mes actual</t>
  </si>
  <si>
    <t>Saldo Fiscal mes actual</t>
  </si>
  <si>
    <t>Conciliación diferencia en cambio - Bancos</t>
  </si>
  <si>
    <t>Ajuste</t>
  </si>
  <si>
    <t>Diferencia deuda moneda extranjera libro 3L y 0L</t>
  </si>
  <si>
    <t>Estimados compras de energía contratos</t>
  </si>
  <si>
    <t>Viáticos y Gastos de Viaje - Personal n</t>
  </si>
  <si>
    <t>Difcambio realizada Pagos JPM Obligacio</t>
  </si>
  <si>
    <t>20% Amortizar Anticipo</t>
  </si>
  <si>
    <t>34/10113- Amortización Parcial ítem (i)A-Anexo W-1</t>
  </si>
  <si>
    <t>60% Certificado EXW</t>
  </si>
  <si>
    <t>10% Llegada a Puerto</t>
  </si>
  <si>
    <t>10% Certificado Terminación Sustancial</t>
  </si>
  <si>
    <t>Total Dif Camb en Balance</t>
  </si>
  <si>
    <t>Total Dif Camb Fiscal</t>
  </si>
  <si>
    <t>Diferencias</t>
  </si>
  <si>
    <t>Enero</t>
  </si>
  <si>
    <t>Febrero</t>
  </si>
  <si>
    <t>240101XXXX</t>
  </si>
  <si>
    <t>SUBTOTAL  240101XXXX</t>
  </si>
  <si>
    <t>Credito Responsabilidad administrativa</t>
  </si>
  <si>
    <t>Certific.Depósito a Término Mon. Ext.-</t>
  </si>
  <si>
    <t>Diferencia en Cambio Inversiones Moneda</t>
  </si>
  <si>
    <t>OPERACIONES DE DERIVADOS LARGO PLAZO</t>
  </si>
  <si>
    <t>TOTAL OPERACIONES DE DERIVADOS LARGO PLAZO</t>
  </si>
  <si>
    <t>Retención en la Fuente por Otros concep</t>
  </si>
  <si>
    <t>Difcambio no realizada inversiones</t>
  </si>
  <si>
    <t>Dififerencia  Cambio "No Realizada" Fiscal</t>
  </si>
  <si>
    <t>Diferencia en cambio  INVERSIONES (P&amp;G)</t>
  </si>
  <si>
    <t>Inversiones</t>
  </si>
  <si>
    <t>Marzo</t>
  </si>
  <si>
    <t>CDT M.E.</t>
  </si>
  <si>
    <t>Inversiones (CDT M.E.</t>
  </si>
  <si>
    <t>Gasto Neto</t>
  </si>
  <si>
    <t>Ingreso Negociación de Divisas</t>
  </si>
  <si>
    <t>Según analisis cuenta 1202049905</t>
  </si>
  <si>
    <t>Cuenta 
1202049905</t>
  </si>
  <si>
    <t>Efecto Total en P&amp;G</t>
  </si>
  <si>
    <t>Ajuste Fiscal Total</t>
  </si>
  <si>
    <t>BALANCE 3L</t>
  </si>
  <si>
    <t>Negociacion de Divisas Cta 1202049905</t>
  </si>
  <si>
    <t>Total P&amp;G</t>
  </si>
  <si>
    <t>CONTABILIDAD</t>
  </si>
  <si>
    <t>Por Justificar</t>
  </si>
  <si>
    <t xml:space="preserve">Efecto Total en P&amp;G </t>
  </si>
  <si>
    <t>CREDITO 1000004151</t>
  </si>
  <si>
    <t>SI CREDITO 1000003600 (EDC #1)</t>
  </si>
  <si>
    <t>SI CREDITO 1000004000 (EDC #2)</t>
  </si>
  <si>
    <t>Banco Davivienda</t>
  </si>
  <si>
    <t>Reteica Compras y Servicios San Luis An</t>
  </si>
  <si>
    <t>Reteica Compras y Servicios  Cocorná</t>
  </si>
  <si>
    <t>Reteica Compras y Servicios Gomez Plata</t>
  </si>
  <si>
    <t>Ajuste Ejercicios Anteriores Impuestos</t>
  </si>
  <si>
    <t>Amortización 34/11528 - ESTUDIOS PREFACT SEDIMENTO</t>
  </si>
  <si>
    <t>AMORTIZACIÓN CONTRATO 34/11528 FACTURA GAC-2198</t>
  </si>
  <si>
    <t>ANDRITZ HYDRO AG</t>
  </si>
  <si>
    <t>Anticipos</t>
  </si>
  <si>
    <t>CxP</t>
  </si>
  <si>
    <t>SUBTOTAL  CITIBANK</t>
  </si>
  <si>
    <t>Abril</t>
  </si>
  <si>
    <t>UTILIDAD NEGOCIACION DE DIVISAS</t>
  </si>
  <si>
    <t>PERDIDA NEGOCIACION DE DIVISAS</t>
  </si>
  <si>
    <t>Ingreso Negociación de Divisas Acumulado</t>
  </si>
  <si>
    <t>Gasto Negociación de Divisas Acumulado</t>
  </si>
  <si>
    <t>Bancolombia Cuenta Ahorros - Pagos</t>
  </si>
  <si>
    <t>Banco Occidente - Conciliacion</t>
  </si>
  <si>
    <t>OPERACIONES CON DERIVADOS</t>
  </si>
  <si>
    <t xml:space="preserve">   Operaciones con Derivados</t>
  </si>
  <si>
    <t xml:space="preserve">   Total Oparaciones con Derivados, neto</t>
  </si>
  <si>
    <t>TOTAL OPERACIONES CON DERIVADOS,NETO</t>
  </si>
  <si>
    <t>Difcbio realizada inversiones</t>
  </si>
  <si>
    <t>CREDITO 1000004253</t>
  </si>
  <si>
    <t>CREDITO 1000004257 (EDC #3)</t>
  </si>
  <si>
    <t>CREDITO 1000004200 (SM #2)</t>
  </si>
  <si>
    <t>AMORTIZACIÓN CONTRATO 34/11528 FACTURA GAC-2205</t>
  </si>
  <si>
    <r>
      <rPr>
        <b/>
        <i/>
        <sz val="11"/>
        <color rgb="FF0070C0"/>
        <rFont val="Calibri"/>
        <family val="2"/>
        <scheme val="minor"/>
      </rPr>
      <t>Saldo SAP COP vs Saldo COP Fiscal</t>
    </r>
    <r>
      <rPr>
        <i/>
        <sz val="11"/>
        <color rgb="FF7030A0"/>
        <rFont val="Calibri"/>
        <family val="2"/>
        <scheme val="minor"/>
      </rPr>
      <t xml:space="preserve">  = </t>
    </r>
    <r>
      <rPr>
        <b/>
        <i/>
        <sz val="11"/>
        <color rgb="FFC00000"/>
        <rFont val="Calibri"/>
        <family val="2"/>
        <scheme val="minor"/>
      </rPr>
      <t>Dif Camb No Realizada de "Kardex de USD"</t>
    </r>
  </si>
  <si>
    <r>
      <t>Saldo SAP COP vs Saldo COP Fiscal</t>
    </r>
    <r>
      <rPr>
        <i/>
        <sz val="11"/>
        <color rgb="FF7030A0"/>
        <rFont val="Calibri"/>
        <family val="2"/>
        <scheme val="minor"/>
      </rPr>
      <t xml:space="preserve">  = </t>
    </r>
    <r>
      <rPr>
        <b/>
        <i/>
        <sz val="11"/>
        <color rgb="FFC00000"/>
        <rFont val="Calibri"/>
        <family val="2"/>
        <scheme val="minor"/>
      </rPr>
      <t>Dif Camb No Realizada de "Kardex de USD"</t>
    </r>
  </si>
  <si>
    <t>Mayo</t>
  </si>
  <si>
    <t>CRÉDITO USD CITIBANK #4151</t>
  </si>
  <si>
    <t>CRÉDITO USD CITIBANK #4253</t>
  </si>
  <si>
    <t>Arrendamientos Financieros Terrenos</t>
  </si>
  <si>
    <t>CTAS X COBRAR PARTES RELACIONADAS LARGO PLAZO</t>
  </si>
  <si>
    <t>TOTAL CTAS X COBRAR PARTES RELACIONADAS LARGO</t>
  </si>
  <si>
    <t>Derechos en  coberturas Swap - Deuda LP</t>
  </si>
  <si>
    <t>Inventarios- Costos indirectos en trans</t>
  </si>
  <si>
    <t>Gasto pagados por anticipado</t>
  </si>
  <si>
    <t>Banco Davivienda  Cte - Conciliacion</t>
  </si>
  <si>
    <t>Banco Occidente - Saldo</t>
  </si>
  <si>
    <t>Valoracion coberturas Swap</t>
  </si>
  <si>
    <t>Impuesto diferido por (ORI)-coberturas</t>
  </si>
  <si>
    <t>Ganancia o pérdida coberturas de valor</t>
  </si>
  <si>
    <t>Obligaciones coberturas Swap deuda deud</t>
  </si>
  <si>
    <t>Obligaciones coberturas Swap deuda CP</t>
  </si>
  <si>
    <t>Impuesto Renta- Descuento tributario po</t>
  </si>
  <si>
    <t>Depreciación Arrendamientos Terrenos</t>
  </si>
  <si>
    <t>Dividendos</t>
  </si>
  <si>
    <t>Costo Amortizado CxC vinculados Economi</t>
  </si>
  <si>
    <t>Difcambio realizada Pagos BNP Obligacio</t>
  </si>
  <si>
    <t>Difcambio no realizada coberturas Swap</t>
  </si>
  <si>
    <t>Utilidad coberturas de valor razonable</t>
  </si>
  <si>
    <t>Pérdida coberturas de valor razonable</t>
  </si>
  <si>
    <t>Junio</t>
  </si>
  <si>
    <t>Negociación de Divisas</t>
  </si>
  <si>
    <t>NEGOCIACION DIVISAS</t>
  </si>
  <si>
    <t>TOTAL ACUMULADO AÑO</t>
  </si>
  <si>
    <t>Diferenc por conciliar</t>
  </si>
  <si>
    <t>Anexo 3 Ctto34-12804, pago en USD a TRM 22-07-2022</t>
  </si>
  <si>
    <t>MON/EX</t>
  </si>
  <si>
    <t>ENTRADAS MON/EX</t>
  </si>
  <si>
    <t>PAGOS MON/EX</t>
  </si>
  <si>
    <t xml:space="preserve"> SALDO MON/EX</t>
  </si>
  <si>
    <t>DIFERENCIA EN CAMBIO REALIZADA CERTIFICADOS DEPOSITO A TERMINO MON/ EX/ (TIME DEPOSIT)</t>
  </si>
  <si>
    <t>1201060100 Certific/Depósito a Término Mon/ Ext/- Time Deposi</t>
  </si>
  <si>
    <t>TOTALES  CERTIFICADOS DEPOSITO A TERMINO MON/ EX/ (TIME DEPOSIT)</t>
  </si>
  <si>
    <t>ELECNOR SERVICIOS Y PROYECTOS S/A/</t>
  </si>
  <si>
    <t>34/10113 - ítem (i) A del Anexo W-1 (1/1 Anexo L)</t>
  </si>
  <si>
    <t>Maquinaria y Equipo Herramientas y Acce</t>
  </si>
  <si>
    <t>Obligacion  arrendamientos Terrenos</t>
  </si>
  <si>
    <t>Difcambio realizada derivados tesoreria</t>
  </si>
  <si>
    <t>Cuenta por cobrar vinculados economicos - Corrient</t>
  </si>
  <si>
    <t>SI (CR )</t>
  </si>
  <si>
    <t>Julio</t>
  </si>
  <si>
    <t xml:space="preserve"> </t>
  </si>
  <si>
    <t>Difcambio realizada inversiones</t>
  </si>
  <si>
    <t>Agosto</t>
  </si>
  <si>
    <t>Mes anterior</t>
  </si>
  <si>
    <t>Traslado entre cuetas bancarias por $2,500,000 generó diferencia en cambio realizada por vaolor de $226,400,000 (Debito y Credito)</t>
  </si>
  <si>
    <t xml:space="preserve">AMORTIZACION CONTRATO 34/11528 FACTURA GAC-2225  </t>
  </si>
  <si>
    <t xml:space="preserve">     Credito Bancario Interno Largo Plazo</t>
  </si>
  <si>
    <t xml:space="preserve">     Total Credito Bancario Interno Largo Pla</t>
  </si>
  <si>
    <t>Otros Recaudos Favor de Tercero Contrat</t>
  </si>
  <si>
    <t>Otros Impuestos - Alumbrado Público</t>
  </si>
  <si>
    <t>Septiembre</t>
  </si>
  <si>
    <t>Esta diferenci corresponde a Negociacion Divisas</t>
  </si>
  <si>
    <r>
      <t xml:space="preserve">Mvto </t>
    </r>
    <r>
      <rPr>
        <b/>
        <i/>
        <u val="singleAccounting"/>
        <sz val="12"/>
        <color rgb="FFFF0000"/>
        <rFont val="Calibri"/>
        <family val="2"/>
        <scheme val="minor"/>
      </rPr>
      <t xml:space="preserve">Neto </t>
    </r>
    <r>
      <rPr>
        <b/>
        <i/>
        <sz val="12"/>
        <color rgb="FFFF0000"/>
        <rFont val="Calibri"/>
        <family val="2"/>
        <scheme val="minor"/>
      </rPr>
      <t>por Mes</t>
    </r>
  </si>
  <si>
    <t>CRÉDITO EDC #3600 ( EN PESOS)</t>
  </si>
  <si>
    <t>CRÉDITO EDC #4000 ( EN PESOS)</t>
  </si>
  <si>
    <t>CRÉDITO EDC #4257 ( EN PESOS)</t>
  </si>
  <si>
    <t>CRÉDITO SUMITOMO #4050 ( EN PESOS)</t>
  </si>
  <si>
    <t>CRÉDITO SUMITOMO #4200 ( EN PESOS)</t>
  </si>
  <si>
    <t xml:space="preserve">AMORTIZACION CONTRATO 34/12804 FACTURA 8015901809 </t>
  </si>
  <si>
    <t>Rendimientos de CXC Energía - Empresas</t>
  </si>
  <si>
    <t>Caja Menor Gestion Proyectos</t>
  </si>
  <si>
    <t>Cuenta Puente Caja menor Gestion Proyec</t>
  </si>
  <si>
    <t>Acreedores por Arrendamientos</t>
  </si>
  <si>
    <t>Octubre</t>
  </si>
  <si>
    <t>DERIVADOS</t>
  </si>
  <si>
    <t>INVERSIONES (CDT)</t>
  </si>
  <si>
    <t>Otras CxC - Anticipos</t>
  </si>
  <si>
    <t>DEUDA</t>
  </si>
  <si>
    <t>OTRAS CXC</t>
  </si>
  <si>
    <t>OTRAS CXP</t>
  </si>
  <si>
    <t>Por justificar</t>
  </si>
  <si>
    <t>Total por justificar</t>
  </si>
  <si>
    <t>Dif Camb Reclasif a ORI (1110053038 Restringido Bancos)</t>
  </si>
  <si>
    <t>Negociacion Divisas + Reclasif ORI restringido</t>
  </si>
  <si>
    <t xml:space="preserve">AMORTIZACIÓN CONTRATO 34/13284 FACTURA 20226043  </t>
  </si>
  <si>
    <t xml:space="preserve">Amortización 34/12804 CONTROL Y REGULADOR VELOCIDA  </t>
  </si>
  <si>
    <t xml:space="preserve">Amortiz 34/11528 - ESTUDIOS PREFACT SEDIMENTOS SCA  </t>
  </si>
  <si>
    <t xml:space="preserve">Anticipo 20% USD-Contrato EPC-BSB500 a BSB504  </t>
  </si>
  <si>
    <t>INSTALACIONES NEGRATIN SL</t>
  </si>
  <si>
    <t>Rendimientos de CXC Energía - en Bolsa</t>
  </si>
  <si>
    <t>Impuesto a las Ventas a favor - IVA</t>
  </si>
  <si>
    <t>Cuenta puente - Otros deudores</t>
  </si>
  <si>
    <t>Corredores Asociados - Interes - Concil</t>
  </si>
  <si>
    <t>Banco CITI BANK NA</t>
  </si>
  <si>
    <t>Consolidado de Impuestos y Retenciones</t>
  </si>
  <si>
    <t>Castigos Proyectos</t>
  </si>
  <si>
    <t>Noviembre</t>
  </si>
  <si>
    <t>Fiscal</t>
  </si>
  <si>
    <t>VIATICOS 1420110000</t>
  </si>
  <si>
    <t>SALIDAS</t>
  </si>
  <si>
    <t>ENTRADAS</t>
  </si>
  <si>
    <t>CRÉDITO EDC #4500 ( EN PESOS)</t>
  </si>
  <si>
    <t>CREDITO 1000004500 (EDC #4)</t>
  </si>
  <si>
    <t>(01.2022-12.2022)</t>
  </si>
  <si>
    <t>Cta puente Plantas de generacion (CR)</t>
  </si>
  <si>
    <t>Plantas de Generación Térmicas (CR)</t>
  </si>
  <si>
    <t>Cta puente Plantas de generacion (DB)</t>
  </si>
  <si>
    <t>Cta puente Edificaciones,Equipos,terren</t>
  </si>
  <si>
    <t>Deterioro por venta</t>
  </si>
  <si>
    <t>Deterioro Inventarios Termica  LP (DB)</t>
  </si>
  <si>
    <t>Cta puente Construccion y Edificaciones</t>
  </si>
  <si>
    <t>Cta puente Equipos</t>
  </si>
  <si>
    <t>Cta puente Terrenos</t>
  </si>
  <si>
    <t xml:space="preserve">      Plantas de Generación Eólica</t>
  </si>
  <si>
    <t>Plantas de Generación Eólica</t>
  </si>
  <si>
    <t xml:space="preserve">      Total Plantas de Generación Eólica</t>
  </si>
  <si>
    <t xml:space="preserve">      Plantas de Generación Solar</t>
  </si>
  <si>
    <t>Plantas de Generación Solar</t>
  </si>
  <si>
    <t xml:space="preserve">      Total Plantas de Generación Solar</t>
  </si>
  <si>
    <t>Depreciación Acumulada Plantas TCN (DB)</t>
  </si>
  <si>
    <t>Cta puente Intangibles - Licencias</t>
  </si>
  <si>
    <t>Inventa.materiale TCN corto plazo (CR)</t>
  </si>
  <si>
    <t>Provision Inventarios TCN - DB</t>
  </si>
  <si>
    <t>Rend Operad Red y medicion</t>
  </si>
  <si>
    <t>Provisión por desmantelamiento</t>
  </si>
  <si>
    <t>Otras Provisiones -  transferencias de</t>
  </si>
  <si>
    <t>Otros ingresos recibidos por anticipado</t>
  </si>
  <si>
    <t>Deterioro Propiedad Planta y Equipo</t>
  </si>
  <si>
    <t xml:space="preserve">ANTICIPO 30% OC 3400014919 </t>
  </si>
  <si>
    <t xml:space="preserve">AMORTIZACIÓN CONTRATO 34/10112 FACTURA ESYP92 </t>
  </si>
  <si>
    <t xml:space="preserve">AMORTIZACIÓN CONTRATO 34/10112 FACTURA ESYP94 </t>
  </si>
  <si>
    <t xml:space="preserve">AMORTIZACIÓN CONTRATO 34/11528 FACTURA GAC2249 </t>
  </si>
  <si>
    <t xml:space="preserve">Suministro Limpiarejas CRQ GNQ </t>
  </si>
  <si>
    <t xml:space="preserve">15% de los ítems 4 y 5 34/13284 </t>
  </si>
  <si>
    <t xml:space="preserve">AMORTIZACION CONTRATO 34/11528 FACTURA GAC2261 </t>
  </si>
  <si>
    <t xml:space="preserve">34/12040 PARARRAYOS ALTA TRM FECHA PAGO EURO </t>
  </si>
  <si>
    <t xml:space="preserve">34/14295 AMORTIGUADOR TRM FECHA DE PAGO </t>
  </si>
  <si>
    <t xml:space="preserve">34/14202 TARJETA BIM TRM FECHA PAGO </t>
  </si>
  <si>
    <t xml:space="preserve">34/7823 OperacyMmtoAeroge TRMFECHA PAGO FACT </t>
  </si>
  <si>
    <t xml:space="preserve">34/10112 10%TerminaciónSustancial TRM FECHAPAGO </t>
  </si>
  <si>
    <t xml:space="preserve">34/13284 Limpiarejas Centrales menores </t>
  </si>
  <si>
    <t xml:space="preserve">DESGLOSE 51/10105 CRUCE CON ANTICIPO </t>
  </si>
  <si>
    <t xml:space="preserve">DESGLOSE 51/10105 PAGO POSICION </t>
  </si>
  <si>
    <t xml:space="preserve">34/9738 Isagen financings 23/11 al 02/12 700202885 </t>
  </si>
  <si>
    <t xml:space="preserve">9,17% Certificado Terminación Sustancial - PEGI </t>
  </si>
  <si>
    <t xml:space="preserve">9,17% - Ajuste PEGI </t>
  </si>
  <si>
    <t>BANCOS CITI BANK NA</t>
  </si>
  <si>
    <t>TOTAL BANCO CITI BANK NA</t>
  </si>
  <si>
    <t>NETO MENSUAL</t>
  </si>
  <si>
    <t>TOTAL AÑO</t>
  </si>
  <si>
    <t>Contable (P&amp;G)</t>
  </si>
  <si>
    <t>Diciembre</t>
  </si>
  <si>
    <t>SI BNP PARIBAS</t>
  </si>
  <si>
    <t>SI CITI BANK</t>
  </si>
  <si>
    <t>SALDO FISCAL 31/12/2022</t>
  </si>
  <si>
    <t xml:space="preserve">SUBTOTAL  </t>
  </si>
  <si>
    <t>Cierre 2023</t>
  </si>
  <si>
    <t>VALORACION CA CIERRE 2023</t>
  </si>
  <si>
    <t>Banco CITI BANK NA-  saldo</t>
  </si>
  <si>
    <t>Banco CITI BANK NA- Conciliacion</t>
  </si>
  <si>
    <t>31.01.2023</t>
  </si>
  <si>
    <t>COMISIONES</t>
  </si>
  <si>
    <t>05.01.2023</t>
  </si>
  <si>
    <t>06.01.2023</t>
  </si>
  <si>
    <t>10.01.2023</t>
  </si>
  <si>
    <t>11.01.2023</t>
  </si>
  <si>
    <t>12.01.2023</t>
  </si>
  <si>
    <t>13.01.2023</t>
  </si>
  <si>
    <t>17.01.2023</t>
  </si>
  <si>
    <t xml:space="preserve">Viatico Brasil Liliana Sarmiento </t>
  </si>
  <si>
    <t>26.07.2022</t>
  </si>
  <si>
    <t>01.08.2022</t>
  </si>
  <si>
    <t>01.09.2022</t>
  </si>
  <si>
    <t>06.09.2022</t>
  </si>
  <si>
    <t>07.09.2022</t>
  </si>
  <si>
    <t>15.09.2022</t>
  </si>
  <si>
    <t>30.09.2022</t>
  </si>
  <si>
    <t>06.10.2022</t>
  </si>
  <si>
    <t>16.01.2023</t>
  </si>
  <si>
    <t>22.12.2022</t>
  </si>
  <si>
    <t xml:space="preserve">34/14215 - TRM fecha de pago </t>
  </si>
  <si>
    <t xml:space="preserve">AFFIRMATUM - Pronto Pago </t>
  </si>
  <si>
    <t>usd</t>
  </si>
  <si>
    <t xml:space="preserve">34/10115 Contrato AOM WESP 01 - TRMFECHAPAGOFACT </t>
  </si>
  <si>
    <t>AFIRMATUM PRONTO PAGO</t>
  </si>
  <si>
    <t xml:space="preserve">34/14658 CARTUCHO DE FILTRADO SINTERIZADO </t>
  </si>
  <si>
    <t xml:space="preserve">3/6200 - Suscripción Información pronósticos en t </t>
  </si>
  <si>
    <t xml:space="preserve">34/11800 Derecho de uso MEGA </t>
  </si>
  <si>
    <t xml:space="preserve">34/11267 SOPORTE-MTTO LICENCIAMIENTO ENCASE </t>
  </si>
  <si>
    <t xml:space="preserve">34/11903 - Manejo canal ético - Enero a Junio 2023 </t>
  </si>
  <si>
    <t xml:space="preserve">34/9738 - Isagen financings 03/12 al 19/01 </t>
  </si>
  <si>
    <t xml:space="preserve">34/15108 Servicios log  // Symcam </t>
  </si>
  <si>
    <t xml:space="preserve">45/6471 - Contrato Bloomberg Enero-Abril 2023 </t>
  </si>
  <si>
    <t xml:space="preserve">42/46564 - PAGO FACTURA SCIO MENSAJE SWIFT DIC/22 </t>
  </si>
  <si>
    <t>Depreciación Acumulada Plantas de Gener</t>
  </si>
  <si>
    <t>BBVA Ahorros - Conciliación</t>
  </si>
  <si>
    <t>Autorr.Ventas  IREC-S</t>
  </si>
  <si>
    <t>IVA Compra transitorio</t>
  </si>
  <si>
    <t>Autorretención por  IREC-S</t>
  </si>
  <si>
    <t>Provisión Cesantías</t>
  </si>
  <si>
    <t>Provisión Intereses sobre Cesantías</t>
  </si>
  <si>
    <t>Provisión Vacaciones</t>
  </si>
  <si>
    <t>Provisión Prima de Servicios</t>
  </si>
  <si>
    <t>Provisión Prima de Vacaciones</t>
  </si>
  <si>
    <t>Provisión Primas Extralegales</t>
  </si>
  <si>
    <t>Ventas IRECs</t>
  </si>
  <si>
    <t>Depreciación  Plantas de Generación Eól</t>
  </si>
  <si>
    <t>Depreciación  Plantas de Generación Sol</t>
  </si>
  <si>
    <t>Deterioro de otros activos</t>
  </si>
  <si>
    <t>Pérdidas en fondos de inversión</t>
  </si>
  <si>
    <t>*MM1100- Inversión/Incremento 0100000004605</t>
  </si>
  <si>
    <t>*MM1100- Inversión/Incremento 0100000004609</t>
  </si>
  <si>
    <t>*MM1100- Inversión/Incremento 0100000004608</t>
  </si>
  <si>
    <t>*MM1120+ Inversión/Reembolso final 0100000004605</t>
  </si>
  <si>
    <t xml:space="preserve"> Cta.mayor</t>
  </si>
  <si>
    <t>*</t>
  </si>
  <si>
    <t xml:space="preserve"> Sociedad</t>
  </si>
  <si>
    <t xml:space="preserve"> Ledger</t>
  </si>
  <si>
    <t>3L</t>
  </si>
  <si>
    <t xml:space="preserve"> Año</t>
  </si>
  <si>
    <t>Ejerc./mes</t>
  </si>
  <si>
    <t>St</t>
  </si>
  <si>
    <t>Lib.mayor</t>
  </si>
  <si>
    <t>Cla</t>
  </si>
  <si>
    <t>Fe.contab.</t>
  </si>
  <si>
    <t>Texto</t>
  </si>
  <si>
    <t>Mon.</t>
  </si>
  <si>
    <t>Nº doc.</t>
  </si>
  <si>
    <t>Fecha doc.</t>
  </si>
  <si>
    <t xml:space="preserve">       Importe en MD</t>
  </si>
  <si>
    <t xml:space="preserve"> Tp.camb.ef.</t>
  </si>
  <si>
    <t>CT</t>
  </si>
  <si>
    <t xml:space="preserve">       Importe en ML</t>
  </si>
  <si>
    <t>ML</t>
  </si>
  <si>
    <t>Fecha doc/</t>
  </si>
  <si>
    <t>TRM Doc</t>
  </si>
  <si>
    <t>TRM Fecha Doc</t>
  </si>
  <si>
    <t>Diferencia en Cambio</t>
  </si>
  <si>
    <t>D/C</t>
  </si>
  <si>
    <t>Cuenta Ingreso o gasto</t>
  </si>
  <si>
    <t>2022/01</t>
  </si>
  <si>
    <t>ZI</t>
  </si>
  <si>
    <t>03.01.2022</t>
  </si>
  <si>
    <t>*FX2000- Venta divisas 0100000004258</t>
  </si>
  <si>
    <t>19.01.2022</t>
  </si>
  <si>
    <t>*FX2000- Venta divisas 0100000004259</t>
  </si>
  <si>
    <t>28.01.2022</t>
  </si>
  <si>
    <t>*FX2000- Venta divisas 0100000004265</t>
  </si>
  <si>
    <t>31.01.2022</t>
  </si>
  <si>
    <t>*FX1000+ Compra divisas 0100000004266</t>
  </si>
  <si>
    <t>18.01.2022</t>
  </si>
  <si>
    <t>*FX1000+ Compra divisas 0100000004254</t>
  </si>
  <si>
    <t>24.01.2022</t>
  </si>
  <si>
    <t>*FX2000- Venta divisas 0100000004254</t>
  </si>
  <si>
    <t>*FX1000+ Compra divisas 0100000004258</t>
  </si>
  <si>
    <t>*FX1000+ Compra divisas 0100000004259</t>
  </si>
  <si>
    <t>*FX1000+ Compra divisas 0100000004265</t>
  </si>
  <si>
    <t>4806010300/4806011400/5803010300</t>
  </si>
  <si>
    <t>*FX2000- Venta divisas 0100000004266</t>
  </si>
  <si>
    <t>DL</t>
  </si>
  <si>
    <t>*DE1200- Intereses 0400000000080</t>
  </si>
  <si>
    <t>*DE1200+ Intereses 0400000000080</t>
  </si>
  <si>
    <t>06.01.2022</t>
  </si>
  <si>
    <t>*DE1200- Intereses 0400000000008</t>
  </si>
  <si>
    <t>*DE1200+ Intereses 0400000000008</t>
  </si>
  <si>
    <t>*DE1200- Intereses 0400000000047</t>
  </si>
  <si>
    <t>*DE1200+ Intereses 0400000000047</t>
  </si>
  <si>
    <t>*DE1200- Intereses 0400000000048</t>
  </si>
  <si>
    <t>*DE1200+ Intereses 0400000000048</t>
  </si>
  <si>
    <t>11.01.2022</t>
  </si>
  <si>
    <t>*DE1200- Intereses 0400000000009</t>
  </si>
  <si>
    <t>*DE1200+ Intereses 0400000000009</t>
  </si>
  <si>
    <t>*DE1200- Intereses 0400000000045</t>
  </si>
  <si>
    <t>*DE1200+ Intereses 0400000000045</t>
  </si>
  <si>
    <t>13.01.2022</t>
  </si>
  <si>
    <t>*DE1200- Intereses 0400000000042</t>
  </si>
  <si>
    <t>*DE1200+ Intereses 0400000000042</t>
  </si>
  <si>
    <t>17.01.2022</t>
  </si>
  <si>
    <t>*DE1200- Intereses 0400000000004</t>
  </si>
  <si>
    <t>*DE1200+ Intereses 0400000000004</t>
  </si>
  <si>
    <t>*DE1200- Intereses 0400000000011</t>
  </si>
  <si>
    <t>*DE1200+ Intereses 0400000000011</t>
  </si>
  <si>
    <t>*DE1200- Intereses 0400000000006</t>
  </si>
  <si>
    <t>*DE1200+ Intereses 0400000000006</t>
  </si>
  <si>
    <t>*DE1200- Intereses 0400000000043</t>
  </si>
  <si>
    <t>*DE1200+ Intereses 0400000000043</t>
  </si>
  <si>
    <t>TD</t>
  </si>
  <si>
    <t>*FX2001- Venta divisas 0400000000016</t>
  </si>
  <si>
    <t>*FX2001- Venta divisas 0400000000089</t>
  </si>
  <si>
    <t>*FX2001- Venta divisas 0400000000053</t>
  </si>
  <si>
    <t>ZD</t>
  </si>
  <si>
    <t>*CML1120 0001000000016</t>
  </si>
  <si>
    <t>ZP</t>
  </si>
  <si>
    <t>ZS</t>
  </si>
  <si>
    <t>*CML1110 0001000000015</t>
  </si>
  <si>
    <t>*CML1110 0001000000016</t>
  </si>
  <si>
    <t>*CML1110 0001000003054</t>
  </si>
  <si>
    <t>*CML1110 0001000003057</t>
  </si>
  <si>
    <t>*CML1110 0001000003055</t>
  </si>
  <si>
    <t>*CML1110 0001000003052</t>
  </si>
  <si>
    <t>*CML1110 0001000003050</t>
  </si>
  <si>
    <t>2022/02</t>
  </si>
  <si>
    <t>17.02.2022</t>
  </si>
  <si>
    <t>*FX2000- Venta divisas 0100000004267</t>
  </si>
  <si>
    <t>*FX2000- Venta divisas 0100000004268</t>
  </si>
  <si>
    <t>*FX2000- Venta divisas 0100000004269</t>
  </si>
  <si>
    <t>18.02.2022</t>
  </si>
  <si>
    <t>*FX2000- Venta divisas 0100000004282</t>
  </si>
  <si>
    <t>*FX2000- Venta divisas 0100000004283</t>
  </si>
  <si>
    <t>*FX2000- Venta divisas 0100000004284</t>
  </si>
  <si>
    <t>24.02.2022</t>
  </si>
  <si>
    <t>*FX2000- Venta divisas 0100000004285</t>
  </si>
  <si>
    <t>25.02.2022</t>
  </si>
  <si>
    <t>*FX2000- Venta divisas 0100000004286</t>
  </si>
  <si>
    <t>28.02.2022</t>
  </si>
  <si>
    <t>*FX1000+ Compra divisas 0100000004289</t>
  </si>
  <si>
    <t>*FX1000+ Compra divisas 0100000004290</t>
  </si>
  <si>
    <t>*FX1000+ Compra divisas 0100000004291</t>
  </si>
  <si>
    <t>*FX1000+ Compra divisas 0100000004267</t>
  </si>
  <si>
    <t>*FX1000+ Compra divisas 0100000004268</t>
  </si>
  <si>
    <t>*FX1000+ Compra divisas 0100000004269</t>
  </si>
  <si>
    <t>*FX1000+ Compra divisas 0100000004282</t>
  </si>
  <si>
    <t>*FX1000+ Compra divisas 0100000004283</t>
  </si>
  <si>
    <t>*FX1000+ Compra divisas 0100000004284</t>
  </si>
  <si>
    <t>*FX1000+ Compra divisas 0100000004285</t>
  </si>
  <si>
    <t>*FX1000+ Compra divisas 0100000004286</t>
  </si>
  <si>
    <t>*FX2000- Venta divisas 0100000004289</t>
  </si>
  <si>
    <t>*FX2000- Venta divisas 0100000004290</t>
  </si>
  <si>
    <t>*FX2000- Venta divisas 0100000004291</t>
  </si>
  <si>
    <t>*DE1200+ Intereses 0400000000007</t>
  </si>
  <si>
    <t>*DE1200- Intereses 0400000000007</t>
  </si>
  <si>
    <t>*DE1200- Intereses 0400000000041</t>
  </si>
  <si>
    <t>*DE1200+ Intereses 0400000000041</t>
  </si>
  <si>
    <t>*DE1200- Intereses 0400000000046</t>
  </si>
  <si>
    <t>*DE1200+ Intereses 0400000000046</t>
  </si>
  <si>
    <t>21.02.2022</t>
  </si>
  <si>
    <t>*CML1110 0001000003902</t>
  </si>
  <si>
    <t>*CML1110 0001000003901</t>
  </si>
  <si>
    <t>*CML1110 0001000003900</t>
  </si>
  <si>
    <t>*CML1110 0001000003700</t>
  </si>
  <si>
    <t>*CML1110 0001000003000</t>
  </si>
  <si>
    <t>*CML1110 0001000003801</t>
  </si>
  <si>
    <t>*CML1110 0001000003001</t>
  </si>
  <si>
    <t>*CML1110 0001000003002</t>
  </si>
  <si>
    <t>*CML1110 0001000003800</t>
  </si>
  <si>
    <t>2022/03</t>
  </si>
  <si>
    <t>03.03.2022</t>
  </si>
  <si>
    <t>*FX2000- Venta divisas 0100000004292</t>
  </si>
  <si>
    <t>11.03.2022</t>
  </si>
  <si>
    <t>*FX2000- Venta divisas 0100000004293</t>
  </si>
  <si>
    <t>*FX2000- Venta divisas 0100000004296</t>
  </si>
  <si>
    <t>*FX2000- Venta divisas 0100000004297</t>
  </si>
  <si>
    <t>14.03.2022</t>
  </si>
  <si>
    <t>*FX2000- Venta divisas 0100000004299</t>
  </si>
  <si>
    <t>*FX2000- Venta divisas 0100000004300</t>
  </si>
  <si>
    <t>*FX2000- Venta divisas 0100000004304</t>
  </si>
  <si>
    <t>16.03.2022</t>
  </si>
  <si>
    <t>*FX2000- Venta divisas 0100000004309</t>
  </si>
  <si>
    <t>*FX2000- Venta divisas 0100000004311</t>
  </si>
  <si>
    <t>*FX2000- Venta divisas 0100000004313</t>
  </si>
  <si>
    <t>*FX2000- Venta divisas 0100000004314</t>
  </si>
  <si>
    <t>*FX2000- Venta divisas 0100000004315</t>
  </si>
  <si>
    <t>*FX2000- Venta divisas 0100000004316</t>
  </si>
  <si>
    <t>*FX2000- Venta divisas 0100000004294</t>
  </si>
  <si>
    <t>*FX2000- Venta divisas 0100000004295</t>
  </si>
  <si>
    <t>*FX2000- Venta divisas 0100000004298</t>
  </si>
  <si>
    <t>*FX2000- Venta divisas 0100000004301</t>
  </si>
  <si>
    <t>*FX2000- Venta divisas 0100000004302</t>
  </si>
  <si>
    <t>*FX2000- Venta divisas 0100000004303</t>
  </si>
  <si>
    <t>*FX2000- Venta divisas 0100000004305</t>
  </si>
  <si>
    <t>*FX2000- Venta divisas 0100000004306</t>
  </si>
  <si>
    <t>*FX2000- Venta divisas 0100000004307</t>
  </si>
  <si>
    <t>*FX2000- Venta divisas 0100000004308</t>
  </si>
  <si>
    <t>*FX2000- Venta divisas 0100000004312</t>
  </si>
  <si>
    <t>*FX2000- Venta divisas 0100000004310</t>
  </si>
  <si>
    <t>24.03.2022</t>
  </si>
  <si>
    <t>*FX2000- Venta divisas 0100000004319</t>
  </si>
  <si>
    <t>*FX2000- Venta divisas 0100000004321</t>
  </si>
  <si>
    <t>07.03.2022</t>
  </si>
  <si>
    <t>*FX1000+ Compra divisas 0100000004325</t>
  </si>
  <si>
    <t>29.03.2022</t>
  </si>
  <si>
    <t>*FX2000- Venta divisas 0100000004331</t>
  </si>
  <si>
    <t>28.03.2022</t>
  </si>
  <si>
    <t>*FX1000+ Compra divisas 0100000004328</t>
  </si>
  <si>
    <t>*FX1000+ Compra divisas 0100000004329</t>
  </si>
  <si>
    <t>31.03.2022</t>
  </si>
  <si>
    <t>*FX1000+ Compra divisas 0100000004332</t>
  </si>
  <si>
    <t>*FX1000+ Compra divisas 0100000004326</t>
  </si>
  <si>
    <t>*FX1000+ Compra divisas 0100000004292</t>
  </si>
  <si>
    <t>*FX1000+ Compra divisas 0100000004293</t>
  </si>
  <si>
    <t>*FX1000+ Compra divisas 0100000004296</t>
  </si>
  <si>
    <t>*FX1000+ Compra divisas 0100000004297</t>
  </si>
  <si>
    <t>*FX1000+ Compra divisas 0100000004299</t>
  </si>
  <si>
    <t>*FX1000+ Compra divisas 0100000004300</t>
  </si>
  <si>
    <t>*FX1000+ Compra divisas 0100000004304</t>
  </si>
  <si>
    <t>*FX1000+ Compra divisas 0100000004309</t>
  </si>
  <si>
    <t>*FX1000+ Compra divisas 0100000004311</t>
  </si>
  <si>
    <t>*FX1000+ Compra divisas 0100000004313</t>
  </si>
  <si>
    <t>*FX1000+ Compra divisas 0100000004314</t>
  </si>
  <si>
    <t>*FX1000+ Compra divisas 0100000004315</t>
  </si>
  <si>
    <t>*FX1000+ Compra divisas 0100000004316</t>
  </si>
  <si>
    <t>*FX1000+ Compra divisas 0100000004294</t>
  </si>
  <si>
    <t>*FX1000+ Compra divisas 0100000004295</t>
  </si>
  <si>
    <t>*FX1000+ Compra divisas 0100000004298</t>
  </si>
  <si>
    <t>*FX1000+ Compra divisas 0100000004301</t>
  </si>
  <si>
    <t>*FX1000+ Compra divisas 0100000004302</t>
  </si>
  <si>
    <t>*FX1000+ Compra divisas 0100000004303</t>
  </si>
  <si>
    <t>*FX1000+ Compra divisas 0100000004305</t>
  </si>
  <si>
    <t>*FX1000+ Compra divisas 0100000004306</t>
  </si>
  <si>
    <t>*FX1000+ Compra divisas 0100000004307</t>
  </si>
  <si>
    <t>*FX1000+ Compra divisas 0100000004308</t>
  </si>
  <si>
    <t>*FX1000+ Compra divisas 0100000004312</t>
  </si>
  <si>
    <t>*FX1000+ Compra divisas 0100000004310</t>
  </si>
  <si>
    <t>*FX1000+ Compra divisas 0100000004319</t>
  </si>
  <si>
    <t>*FX1000+ Compra divisas 0100000004321</t>
  </si>
  <si>
    <t>*FX2000- Venta divisas 0100000004325</t>
  </si>
  <si>
    <t>*FX2000- Venta divisas 0100000004326</t>
  </si>
  <si>
    <t>*FX1000+ Compra divisas 0100000004331</t>
  </si>
  <si>
    <t>*FX2000- Venta divisas 0100000004328</t>
  </si>
  <si>
    <t>*FX2000- Venta divisas 0100000004329</t>
  </si>
  <si>
    <t>*FX2000- Venta divisas 0100000004332</t>
  </si>
  <si>
    <t>*DE1200- Intereses 0400000000010</t>
  </si>
  <si>
    <t>*DE1200+ Intereses 0400000000010</t>
  </si>
  <si>
    <t>MD</t>
  </si>
  <si>
    <t>LIQUIDACIÓN SWAP CITIBANK</t>
  </si>
  <si>
    <t>*FX2001- Venta divisas 0400000000054</t>
  </si>
  <si>
    <t>*FX2001- Venta divisas 0400000000055</t>
  </si>
  <si>
    <t>*FX2001- Venta divisas 0400000000056</t>
  </si>
  <si>
    <t>15.03.2022</t>
  </si>
  <si>
    <t>23.03.2022</t>
  </si>
  <si>
    <t>25.03.2022</t>
  </si>
  <si>
    <t>*CML1110 0001000003450</t>
  </si>
  <si>
    <t>*CML1110 0001000003451</t>
  </si>
  <si>
    <t>*CML1110 0001000003453</t>
  </si>
  <si>
    <t>*CML1110 0001000003452</t>
  </si>
  <si>
    <t>*CML1110 0001000003650</t>
  </si>
  <si>
    <t>*CML1110 0001000002400</t>
  </si>
  <si>
    <t>*CML1110 0001000002401</t>
  </si>
  <si>
    <t>*CML1110 0001000000027</t>
  </si>
  <si>
    <t>*CML1110 0001000000030</t>
  </si>
  <si>
    <t>*CML1110 0001000003051</t>
  </si>
  <si>
    <t>*CML1110 0001000003651</t>
  </si>
  <si>
    <t>*CML1120 0001000001001</t>
  </si>
  <si>
    <t>*CML1110 0001000001001</t>
  </si>
  <si>
    <t>2022/04</t>
  </si>
  <si>
    <t>11.04.2022</t>
  </si>
  <si>
    <t>*FX2000- Venta divisas 0100000004337</t>
  </si>
  <si>
    <t>22.04.2022</t>
  </si>
  <si>
    <t>*FX2000- Venta divisas 0100000004339</t>
  </si>
  <si>
    <t>19.04.2022</t>
  </si>
  <si>
    <t>*FX2000- Venta divisas 0100000004338</t>
  </si>
  <si>
    <t>29.04.2022</t>
  </si>
  <si>
    <t>*FX1000+ Compra divisas 0100000004356</t>
  </si>
  <si>
    <t>*FX1000+ Compra divisas 0100000004357</t>
  </si>
  <si>
    <t>*FX2000- Venta divisas 0100000004358</t>
  </si>
  <si>
    <t>06.04.2022</t>
  </si>
  <si>
    <t>*FX1000+ Compra divisas 0100000004335</t>
  </si>
  <si>
    <t>08.04.2022</t>
  </si>
  <si>
    <t>*FX1000+ Compra divisas 0100000004336</t>
  </si>
  <si>
    <t>*FX1000+ Compra divisas 0100000004337</t>
  </si>
  <si>
    <t>*FX1000+ Compra divisas 0100000004339</t>
  </si>
  <si>
    <t>*FX1000+ Compra divisas 0100000004338</t>
  </si>
  <si>
    <t>*FX2000- Venta divisas 0100000004335</t>
  </si>
  <si>
    <t>*FX2000- Venta divisas 0100000004336</t>
  </si>
  <si>
    <t>En SAP Se compensó con TRM del 9 de Abril $3.777,41</t>
  </si>
  <si>
    <t>*FX2000- Venta divisas 0100000004356</t>
  </si>
  <si>
    <t>*FX2000- Venta divisas 0100000004357</t>
  </si>
  <si>
    <t>*FX1000+ Compra divisas 0100000004358</t>
  </si>
  <si>
    <t>18.04.2022</t>
  </si>
  <si>
    <t>MT</t>
  </si>
  <si>
    <t>01.04.2022</t>
  </si>
  <si>
    <t>CUMPLIMIENTO SWAP CITIBANK</t>
  </si>
  <si>
    <t>*FX2001- Venta divisas 0400000000091</t>
  </si>
  <si>
    <t>*FX2001- Venta divisas 0400000000092</t>
  </si>
  <si>
    <t>*FX2001- Venta divisas 0400000000057</t>
  </si>
  <si>
    <t>*FX2001- Venta divisas 0400000000058</t>
  </si>
  <si>
    <t>13.04.2022</t>
  </si>
  <si>
    <t>*CML1120 0001000003052</t>
  </si>
  <si>
    <t>25.04.2022</t>
  </si>
  <si>
    <t>*CML1110 0001000003550</t>
  </si>
  <si>
    <t>*CMLZ010 0001000004100</t>
  </si>
  <si>
    <t>2022/05</t>
  </si>
  <si>
    <t>03.05.2022</t>
  </si>
  <si>
    <t>*FX2000- Venta divisas 0100000004360</t>
  </si>
  <si>
    <t>09.05.2022</t>
  </si>
  <si>
    <t>*FX2000- Venta divisas 0100000004361</t>
  </si>
  <si>
    <t>17.05.2022</t>
  </si>
  <si>
    <t>*FX2000- Venta divisas 0100000004369</t>
  </si>
  <si>
    <t>*FX2000- Venta divisas 0100000004370</t>
  </si>
  <si>
    <t>20.05.2022</t>
  </si>
  <si>
    <t>*FX2000- Venta divisas 0100000004373</t>
  </si>
  <si>
    <t>*FX2000- Venta divisas 0100000004374</t>
  </si>
  <si>
    <t>24.05.2022</t>
  </si>
  <si>
    <t>*FX2000- Venta divisas 0100000004378</t>
  </si>
  <si>
    <t>*FX2000- Venta divisas 0100000004379</t>
  </si>
  <si>
    <t>*FX2000- Venta divisas 0100000004380</t>
  </si>
  <si>
    <t>*FX2000- Venta divisas 0100000004381</t>
  </si>
  <si>
    <t>*FX2000- Venta divisas 0100000004383</t>
  </si>
  <si>
    <t>*FX2000- Venta divisas 0100000004384</t>
  </si>
  <si>
    <t>*FX2000- Venta divisas 0100000004386</t>
  </si>
  <si>
    <t>*FX2000- Venta divisas 0100000004385</t>
  </si>
  <si>
    <t>31.05.2022</t>
  </si>
  <si>
    <t>*FX1000+ Compra divisas 0100000004396</t>
  </si>
  <si>
    <t>*FX2000- Venta divisas 0100000004387</t>
  </si>
  <si>
    <t>*FX2000- Venta divisas 0100000004388</t>
  </si>
  <si>
    <t>26.05.2022</t>
  </si>
  <si>
    <t>*FX2000- Venta divisas 0100000004389</t>
  </si>
  <si>
    <t>*FX2000- Venta divisas 0100000004382</t>
  </si>
  <si>
    <t>*FX1000+ Compra divisas 0100000004393</t>
  </si>
  <si>
    <t>*FX1000+ Compra divisas 0100000004394</t>
  </si>
  <si>
    <t>27.05.2022</t>
  </si>
  <si>
    <t>*FX2000- Venta divisas 0100000004398</t>
  </si>
  <si>
    <t>25.05.2022</t>
  </si>
  <si>
    <t>*FX2000- Venta divisas 0100000004377</t>
  </si>
  <si>
    <t>*FX2000- Venta divisas 0100000004395</t>
  </si>
  <si>
    <t>*FX2000- Venta divisas 0100000004399</t>
  </si>
  <si>
    <t>*FX1000+ Compra divisas 0100000004397</t>
  </si>
  <si>
    <t>*FX2000- Venta divisas 0100000004400</t>
  </si>
  <si>
    <t>*FX1000+ Compra divisas 0100000004376</t>
  </si>
  <si>
    <t>04.05.2022</t>
  </si>
  <si>
    <t>*FX1000+ Compra divisas 0100000004375</t>
  </si>
  <si>
    <t>*FX1000+ Compra divisas 0100000004360</t>
  </si>
  <si>
    <t>*FX1000+ Compra divisas 0100000004361</t>
  </si>
  <si>
    <t>*FX1000+ Compra divisas 0100000004369</t>
  </si>
  <si>
    <t>*FX1000+ Compra divisas 0100000004370</t>
  </si>
  <si>
    <t>*FX1000+ Compra divisas 0100000004373</t>
  </si>
  <si>
    <t>*FX1000+ Compra divisas 0100000004374</t>
  </si>
  <si>
    <t>*FX1000+ Compra divisas 0100000004378</t>
  </si>
  <si>
    <t>*FX1000+ Compra divisas 0100000004379</t>
  </si>
  <si>
    <t>*FX1000+ Compra divisas 0100000004380</t>
  </si>
  <si>
    <t>*FX1000+ Compra divisas 0100000004381</t>
  </si>
  <si>
    <t>*FX1000+ Compra divisas 0100000004383</t>
  </si>
  <si>
    <t>*FX1000+ Compra divisas 0100000004384</t>
  </si>
  <si>
    <t>*FX1000+ Compra divisas 0100000004386</t>
  </si>
  <si>
    <t>*FX1000+ Compra divisas 0100000004385</t>
  </si>
  <si>
    <t>*FX2000- Venta divisas 0100000004396</t>
  </si>
  <si>
    <t>*FX1000+ Compra divisas 0100000004387</t>
  </si>
  <si>
    <t>*FX1000+ Compra divisas 0100000004388</t>
  </si>
  <si>
    <t>*FX1000+ Compra divisas 0100000004389</t>
  </si>
  <si>
    <t>*FX2000- Venta divisas 0100000004376</t>
  </si>
  <si>
    <t>*FX2000- Venta divisas 0100000004375</t>
  </si>
  <si>
    <t>*FX1000+ Compra divisas 0100000004382</t>
  </si>
  <si>
    <t>*FX2000- Venta divisas 0100000004393</t>
  </si>
  <si>
    <t>*FX2000- Venta divisas 0100000004394</t>
  </si>
  <si>
    <t>*FX1000+ Compra divisas 0100000004398</t>
  </si>
  <si>
    <t>*FX1000+ Compra divisas 0100000004377</t>
  </si>
  <si>
    <t>*FX1000+ Compra divisas 0100000004395</t>
  </si>
  <si>
    <t>*FX1000+ Compra divisas 0100000004399</t>
  </si>
  <si>
    <t>*FX2000- Venta divisas 0100000004397</t>
  </si>
  <si>
    <t>*FX1000+ Compra divisas 0100000004400</t>
  </si>
  <si>
    <t>*FX2001- Venta divisas 0400000000059</t>
  </si>
  <si>
    <t>*FX2001- Venta divisas 0400000000093</t>
  </si>
  <si>
    <t>*FX2001- Venta divisas 0400000000098</t>
  </si>
  <si>
    <t>*FX2001- Venta divisas 0400000000090</t>
  </si>
  <si>
    <t>*FX2001- Venta divisas 0400000000095</t>
  </si>
  <si>
    <t>*FX2001- Venta divisas 0400000000097</t>
  </si>
  <si>
    <t>*FX2001- Venta divisas 0400000000096</t>
  </si>
  <si>
    <t>*FX2001- Venta divisas 0400000000060</t>
  </si>
  <si>
    <t>*FX2001- Venta divisas 0400000000099</t>
  </si>
  <si>
    <t>*FX2001- Venta divisas 0400000000101</t>
  </si>
  <si>
    <t>*FX2001- Venta divisas 0400000000100</t>
  </si>
  <si>
    <t>16.05.2022</t>
  </si>
  <si>
    <t>*CML1120 0001000003501</t>
  </si>
  <si>
    <t>19.05.2022</t>
  </si>
  <si>
    <t>*CML1110 0001000003501</t>
  </si>
  <si>
    <t>2022/06</t>
  </si>
  <si>
    <t>02.06.2022</t>
  </si>
  <si>
    <t>*FX2000- Venta divisas 0100000004401</t>
  </si>
  <si>
    <t>*FX2000- Venta divisas 0100000004402</t>
  </si>
  <si>
    <t>*FX2000- Venta divisas 0100000004403</t>
  </si>
  <si>
    <t>06.06.2022</t>
  </si>
  <si>
    <t>*FX1000+ Compra divisas 0100000004404</t>
  </si>
  <si>
    <t>07.06.2022</t>
  </si>
  <si>
    <t>*FX2000- Venta divisas 0100000004416</t>
  </si>
  <si>
    <t>08.06.2022</t>
  </si>
  <si>
    <t>*FX2000- Venta divisas 0100000004405</t>
  </si>
  <si>
    <t>10.06.2022</t>
  </si>
  <si>
    <t>*FX1000+ Compra divisas 0100000004406</t>
  </si>
  <si>
    <t>16.06.2022</t>
  </si>
  <si>
    <t>*FX1000+ Compra divisas 0100000004424</t>
  </si>
  <si>
    <t>28.06.2022</t>
  </si>
  <si>
    <t>*FX1000+ Compra divisas 0100000004421</t>
  </si>
  <si>
    <t>*FX1000+ Compra divisas 0100000004422</t>
  </si>
  <si>
    <t>*FX1000+ Compra divisas 0100000004423</t>
  </si>
  <si>
    <t>*FX2000- Venta divisas 0100000004419</t>
  </si>
  <si>
    <t>*FX2000- Venta divisas 0100000004420</t>
  </si>
  <si>
    <t>30.06.2022</t>
  </si>
  <si>
    <t>*FX1000+ Compra divisas 0100000004425</t>
  </si>
  <si>
    <t>*FX1000+ Compra divisas 0100000004401</t>
  </si>
  <si>
    <t>*FX1000+ Compra divisas 0100000004402</t>
  </si>
  <si>
    <t>*FX1000+ Compra divisas 0100000004403</t>
  </si>
  <si>
    <t>*FX2000- Venta divisas 0100000004404</t>
  </si>
  <si>
    <t>*FX1000+ Compra divisas 0100000004416</t>
  </si>
  <si>
    <t>*FX1000+ Compra divisas 0100000004405</t>
  </si>
  <si>
    <t>*FX2000- Venta divisas 0100000004406</t>
  </si>
  <si>
    <t>*FX2000- Venta divisas 0100000004424</t>
  </si>
  <si>
    <t>*FX2000- Venta divisas 0100000004421</t>
  </si>
  <si>
    <t>*FX2000- Venta divisas 0100000004422</t>
  </si>
  <si>
    <t>*FX2000- Venta divisas 0100000004423</t>
  </si>
  <si>
    <t>*FX1000+ Compra divisas 0100000004419</t>
  </si>
  <si>
    <t>*FX1000+ Compra divisas 0100000004420</t>
  </si>
  <si>
    <t>*FX2000- Venta divisas 0100000004425</t>
  </si>
  <si>
    <t>*FX2001- Venta divisas 0400000000061</t>
  </si>
  <si>
    <t>29.06.2022</t>
  </si>
  <si>
    <t>*CML1115 0001000003750</t>
  </si>
  <si>
    <t>03.06.2022</t>
  </si>
  <si>
    <t>13.06.2022</t>
  </si>
  <si>
    <t>22.06.2022</t>
  </si>
  <si>
    <t>23.06.2022</t>
  </si>
  <si>
    <t>*CMLZ017 0001000004200</t>
  </si>
  <si>
    <t>*CML1110 0001000004102</t>
  </si>
  <si>
    <t>*CML1110 0001000004101</t>
  </si>
  <si>
    <t>21.06.2022</t>
  </si>
  <si>
    <t>*CMLZ010 0001000004150</t>
  </si>
  <si>
    <t>*CML1110 0001000003950</t>
  </si>
  <si>
    <t>*CML1110 0001000003750</t>
  </si>
  <si>
    <t>2022/07</t>
  </si>
  <si>
    <t>06.07.2022</t>
  </si>
  <si>
    <t>*FX2000- Venta divisas 0100000004427</t>
  </si>
  <si>
    <t>07.07.2022</t>
  </si>
  <si>
    <t>*FX1000+ Compra divisas 0100000004428</t>
  </si>
  <si>
    <t>*FX1000+ Compra divisas 0100000004429</t>
  </si>
  <si>
    <t>*FX2000- Venta divisas 0100000004443</t>
  </si>
  <si>
    <t>29.07.2022</t>
  </si>
  <si>
    <t>*FX1000+ Compra divisas 0100000004447</t>
  </si>
  <si>
    <t>*FX2000- Venta divisas 0100000004444</t>
  </si>
  <si>
    <t>*FX2000- Venta divisas 0100000004445</t>
  </si>
  <si>
    <t>08.07.2022</t>
  </si>
  <si>
    <t>*FX1000+ Compra divisas 0100000004430</t>
  </si>
  <si>
    <t>*FX1000+ Compra divisas 0100000004448</t>
  </si>
  <si>
    <t>*FX1000+ Compra divisas 0100000004449</t>
  </si>
  <si>
    <t>*FX1000+ Compra divisas 0100000004426</t>
  </si>
  <si>
    <t>*FX2000- Venta divisas 0100000004426</t>
  </si>
  <si>
    <t>*FX1000+ Compra divisas 0100000004427</t>
  </si>
  <si>
    <t>*FX2000- Venta divisas 0100000004428</t>
  </si>
  <si>
    <t>*FX2000- Venta divisas 0100000004429</t>
  </si>
  <si>
    <t>*FX2000- Venta divisas 0100000004430</t>
  </si>
  <si>
    <t>*FX1000+ Compra divisas 0100000004443</t>
  </si>
  <si>
    <t>*FX2000- Venta divisas 0100000004447</t>
  </si>
  <si>
    <t>*FX1000+ Compra divisas 0100000004444</t>
  </si>
  <si>
    <t>*FX1000+ Compra divisas 0100000004445</t>
  </si>
  <si>
    <t>*FX2000- Venta divisas 0100000004448</t>
  </si>
  <si>
    <t>*FX2000- Venta divisas 0100000004449</t>
  </si>
  <si>
    <t>01.07.2022</t>
  </si>
  <si>
    <t>18.07.2022</t>
  </si>
  <si>
    <t>LIQUIDACIÓN SWAP XCCY CITIBANK1</t>
  </si>
  <si>
    <t>LIQUIDACIÓN SWAP XCCY CITIBANK 2</t>
  </si>
  <si>
    <t>CUMPLIMIENTO SWAP CITI 07072022</t>
  </si>
  <si>
    <t>*FX2001- Venta divisas 0400000000062</t>
  </si>
  <si>
    <t>*FX2001- Venta divisas 0400000000076</t>
  </si>
  <si>
    <t>*CML1120 0001000000015</t>
  </si>
  <si>
    <t>11.07.2022</t>
  </si>
  <si>
    <t>13.07.2022</t>
  </si>
  <si>
    <t>*CML1110 0001000004253</t>
  </si>
  <si>
    <t>*CML1110 0001000004151</t>
  </si>
  <si>
    <t>2022/08</t>
  </si>
  <si>
    <t>12.08.2022</t>
  </si>
  <si>
    <t>*FX2000- Venta divisas 0100000004451</t>
  </si>
  <si>
    <t>*FX2000- Venta divisas 0100000004452</t>
  </si>
  <si>
    <t>*FX2000- Venta divisas 0100000004453</t>
  </si>
  <si>
    <t>*FX2000- Venta divisas 0100000004454</t>
  </si>
  <si>
    <t>*FX2000- Venta divisas 0100000004455</t>
  </si>
  <si>
    <t>26.08.2022</t>
  </si>
  <si>
    <t>*FX2000- Venta divisas 0100000004470</t>
  </si>
  <si>
    <t>19.08.2022</t>
  </si>
  <si>
    <t>*FX2000- Venta divisas 0100000004471</t>
  </si>
  <si>
    <t>*FX2000- Venta divisas 0100000004491</t>
  </si>
  <si>
    <t>31.08.2022</t>
  </si>
  <si>
    <t>*FX1000+ Compra divisas 0100000004499</t>
  </si>
  <si>
    <t>*FX1000+ Compra divisas 0100000004500</t>
  </si>
  <si>
    <t>*FX2000- Venta divisas 0100000004501</t>
  </si>
  <si>
    <t>08.08.2022</t>
  </si>
  <si>
    <t>*FX1000+ Compra divisas 0100000004450</t>
  </si>
  <si>
    <t>18.08.2022</t>
  </si>
  <si>
    <t>*FX1000+ Compra divisas 0100000004469</t>
  </si>
  <si>
    <t>*FX2000- Venta divisas 0100000004450</t>
  </si>
  <si>
    <t>*FX1000+ Compra divisas 0100000004451</t>
  </si>
  <si>
    <t>*FX1000+ Compra divisas 0100000004452</t>
  </si>
  <si>
    <t>*FX1000+ Compra divisas 0100000004453</t>
  </si>
  <si>
    <t>*FX1000+ Compra divisas 0100000004454</t>
  </si>
  <si>
    <t>*FX1000+ Compra divisas 0100000004455</t>
  </si>
  <si>
    <t>*FX2000- Venta divisas 0100000004469</t>
  </si>
  <si>
    <t>*FX1000+ Compra divisas 0100000004470</t>
  </si>
  <si>
    <t>*FX1000+ Compra divisas 0100000004471</t>
  </si>
  <si>
    <t>*FX1000+ Compra divisas 0100000004491</t>
  </si>
  <si>
    <t>*FX2000- Venta divisas 0100000004499</t>
  </si>
  <si>
    <t>*FX2000- Venta divisas 0100000004500</t>
  </si>
  <si>
    <t>*FX1000+ Compra divisas 0100000004501</t>
  </si>
  <si>
    <t>*FX2001- Venta divisas 0400000000102</t>
  </si>
  <si>
    <t>29.08.2022</t>
  </si>
  <si>
    <t>*CMLZ110 0001000004150</t>
  </si>
  <si>
    <t>*CML1110 0001000004150</t>
  </si>
  <si>
    <t>2022/09</t>
  </si>
  <si>
    <t>*FX1000+ Compra divisas 0100000004502</t>
  </si>
  <si>
    <t>*FX2000- Venta divisas 0100000004503</t>
  </si>
  <si>
    <t>28.09.2022</t>
  </si>
  <si>
    <t>*FX1000+ Compra divisas 0100000004508</t>
  </si>
  <si>
    <t>*FX1000+ Compra divisas 0100000004509</t>
  </si>
  <si>
    <t>26.09.2022</t>
  </si>
  <si>
    <t>*FX2000- Venta divisas 0100000004510</t>
  </si>
  <si>
    <t>27.09.2022</t>
  </si>
  <si>
    <t>*FX2000- Venta divisas 0100000004511</t>
  </si>
  <si>
    <t>*FX2000- Venta divisas 0100000004512</t>
  </si>
  <si>
    <t>*FX1000+ Compra divisas 0100000004513</t>
  </si>
  <si>
    <t>12.09.2022</t>
  </si>
  <si>
    <t>*FX2000- Venta divisas 0100000004504</t>
  </si>
  <si>
    <t>*FX2000- Venta divisas 0100000004502</t>
  </si>
  <si>
    <t>*FX1000+ Compra divisas 0100000004503</t>
  </si>
  <si>
    <t>*FX2000- Venta divisas 0100000004508</t>
  </si>
  <si>
    <t>*FX2000- Venta divisas 0100000004509</t>
  </si>
  <si>
    <t>*FX1000+ Compra divisas 0100000004510</t>
  </si>
  <si>
    <t>*FX1000+ Compra divisas 0100000004511</t>
  </si>
  <si>
    <t>*FX1000+ Compra divisas 0100000004512</t>
  </si>
  <si>
    <t>*FX2000- Venta divisas 0100000004513</t>
  </si>
  <si>
    <t>*FX1000+ Compra divisas 0100000004504</t>
  </si>
  <si>
    <t>05.09.2022</t>
  </si>
  <si>
    <t>13.09.2022</t>
  </si>
  <si>
    <t>23.09.2022</t>
  </si>
  <si>
    <t>2022/10</t>
  </si>
  <si>
    <t>03.10.2022</t>
  </si>
  <si>
    <t>*FX1000+ Compra divisas 0100000004514</t>
  </si>
  <si>
    <t>*FX2000- Venta divisas 0100000004514</t>
  </si>
  <si>
    <t>*FX1000+ Compra divisas 0100000004515</t>
  </si>
  <si>
    <t>*FX2000- Venta divisas 0100000004515</t>
  </si>
  <si>
    <t>07.10.2022</t>
  </si>
  <si>
    <t>*FX1000+ Compra divisas 0100000004516</t>
  </si>
  <si>
    <t>*FX2000- Venta divisas 0100000004516</t>
  </si>
  <si>
    <t>*FX1000+ Compra divisas 0100000004517</t>
  </si>
  <si>
    <t>*FX2000- Venta divisas 0100000004517</t>
  </si>
  <si>
    <t>11.10.2022</t>
  </si>
  <si>
    <t>*FX1000+ Compra divisas 0100000004518</t>
  </si>
  <si>
    <t>*FX2000- Venta divisas 0100000004518</t>
  </si>
  <si>
    <t>26.10.2022</t>
  </si>
  <si>
    <t>*FX1000+ Compra divisas 0100000004525</t>
  </si>
  <si>
    <t>*FX2000- Venta divisas 0100000004525</t>
  </si>
  <si>
    <t>31.10.2022</t>
  </si>
  <si>
    <t>*FX1000+ Compra divisas 0100000004526</t>
  </si>
  <si>
    <t>*FX2000- Venta divisas 0100000004526</t>
  </si>
  <si>
    <t>LIQUIDACIÓN SWAP XCCY CITIBANK 1</t>
  </si>
  <si>
    <t>COMPENSACION SWAP CITI 07.10.2022</t>
  </si>
  <si>
    <t>*FX2001- Venta divisas 0400000000103</t>
  </si>
  <si>
    <t>*CML1120 0001000003054</t>
  </si>
  <si>
    <t>*CML1120 0001000003057</t>
  </si>
  <si>
    <t>*CML1120 0001000003055</t>
  </si>
  <si>
    <t>13.10.2022</t>
  </si>
  <si>
    <t>*CML1115 0001000004400</t>
  </si>
  <si>
    <t>18.10.2022</t>
  </si>
  <si>
    <t>24.10.2022</t>
  </si>
  <si>
    <t>*CML1110 0001000004400</t>
  </si>
  <si>
    <t>2022/11</t>
  </si>
  <si>
    <t>15.11.2022</t>
  </si>
  <si>
    <t>*FX1000+ Compra divisas 0100000004527</t>
  </si>
  <si>
    <t>*FX2000- Venta divisas 0100000004527</t>
  </si>
  <si>
    <t>*FX1000+ Compra divisas 0100000004528</t>
  </si>
  <si>
    <t>*FX2000- Venta divisas 0100000004528</t>
  </si>
  <si>
    <t>*FX1000+ Compra divisas 0100000004529</t>
  </si>
  <si>
    <t>*FX2000- Venta divisas 0100000004529</t>
  </si>
  <si>
    <t>*FX1000+ Compra divisas 0100000004530</t>
  </si>
  <si>
    <t>*FX2000- Venta divisas 0100000004530</t>
  </si>
  <si>
    <t>*FX1000+ Compra divisas 0100000004531</t>
  </si>
  <si>
    <t>*FX2000- Venta divisas 0100000004531</t>
  </si>
  <si>
    <t>*FX1000+ Compra divisas 0100000004532</t>
  </si>
  <si>
    <t>*FX2000- Venta divisas 0100000004532</t>
  </si>
  <si>
    <t>22.11.2022</t>
  </si>
  <si>
    <t>*FX1000+ Compra divisas 0100000004547</t>
  </si>
  <si>
    <t>*FX2000- Venta divisas 0100000004547</t>
  </si>
  <si>
    <t>28.11.2022</t>
  </si>
  <si>
    <t>*FX1000+ Compra divisas 0100000004542</t>
  </si>
  <si>
    <t>*FX2000- Venta divisas 0100000004542</t>
  </si>
  <si>
    <t>29.11.2022</t>
  </si>
  <si>
    <t>*FX1000+ Compra divisas 0100000004546</t>
  </si>
  <si>
    <t>*FX2000- Venta divisas 0100000004546</t>
  </si>
  <si>
    <t>30.11.2022</t>
  </si>
  <si>
    <t>*FX1000+ Compra divisas 0100000004545</t>
  </si>
  <si>
    <t>*FX2000- Venta divisas 0100000004545</t>
  </si>
  <si>
    <t>21.11.2022</t>
  </si>
  <si>
    <t>LIQUIDACIÓN SWAP BBVA</t>
  </si>
  <si>
    <t>CUMPLIMIENTO SWAP BBVA 21112022</t>
  </si>
  <si>
    <t>*FX2001- Venta divisas 0400000000104</t>
  </si>
  <si>
    <t>23.11.2022</t>
  </si>
  <si>
    <t>*CML1110 0001000004300</t>
  </si>
  <si>
    <t>*CML1110 0001000004100</t>
  </si>
  <si>
    <t>*CML1110 0001000004250</t>
  </si>
  <si>
    <t>*CML1110 0001000004251</t>
  </si>
  <si>
    <t>*CML1110 0001000004301</t>
  </si>
  <si>
    <t>*CML1110 0001000004254</t>
  </si>
  <si>
    <t>2022/12</t>
  </si>
  <si>
    <t>01.12.2022</t>
  </si>
  <si>
    <t>*FX1000+ Compra divisas 0100000004551</t>
  </si>
  <si>
    <t>*FX2000- Venta divisas 0100000004551</t>
  </si>
  <si>
    <t>02.12.2022</t>
  </si>
  <si>
    <t>*FX1000+ Compra divisas 0100000004549</t>
  </si>
  <si>
    <t>*FX2000- Venta divisas 0100000004549</t>
  </si>
  <si>
    <t>*FX1000+ Compra divisas 0100000004548</t>
  </si>
  <si>
    <t>*FX2000- Venta divisas 0100000004548</t>
  </si>
  <si>
    <t>05.12.2022</t>
  </si>
  <si>
    <t>*FX1000+ Compra divisas 0100000004592</t>
  </si>
  <si>
    <t>*FX2000- Venta divisas 0100000004592</t>
  </si>
  <si>
    <t>06.12.2022</t>
  </si>
  <si>
    <t>*FX1000+ Compra divisas 0100000004550</t>
  </si>
  <si>
    <t>*FX2000- Venta divisas 0100000004550</t>
  </si>
  <si>
    <t>07.12.2022</t>
  </si>
  <si>
    <t>*FX1000+ Compra divisas 0100000004552</t>
  </si>
  <si>
    <t>*FX2000- Venta divisas 0100000004552</t>
  </si>
  <si>
    <t>09.12.2022</t>
  </si>
  <si>
    <t>*FX1000+ Compra divisas 0100000004556</t>
  </si>
  <si>
    <t>*FX2000- Venta divisas 0100000004556</t>
  </si>
  <si>
    <t>*FX1000+ Compra divisas 0100000004557</t>
  </si>
  <si>
    <t>*FX2000- Venta divisas 0100000004557</t>
  </si>
  <si>
    <t>*FX1000+ Compra divisas 0100000004555</t>
  </si>
  <si>
    <t>*FX2000- Venta divisas 0100000004555</t>
  </si>
  <si>
    <t>12.12.2022</t>
  </si>
  <si>
    <t>*FX1000+ Compra divisas 0100000004553</t>
  </si>
  <si>
    <t>*FX2000- Venta divisas 0100000004553</t>
  </si>
  <si>
    <t>*FX1000+ Compra divisas 0100000004554</t>
  </si>
  <si>
    <t>*FX2000- Venta divisas 0100000004554</t>
  </si>
  <si>
    <t>16.12.2022</t>
  </si>
  <si>
    <t>*FX1000+ Compra divisas 0100000004583</t>
  </si>
  <si>
    <t>*FX2000- Venta divisas 0100000004583</t>
  </si>
  <si>
    <t>19.12.2022</t>
  </si>
  <si>
    <t>*FX1000+ Compra divisas 0100000004590</t>
  </si>
  <si>
    <t>*FX2000- Venta divisas 0100000004590</t>
  </si>
  <si>
    <t>*FX1000+ Compra divisas 0100000004584</t>
  </si>
  <si>
    <t>*FX2000- Venta divisas 0100000004584</t>
  </si>
  <si>
    <t>*FX1000+ Compra divisas 0100000004585</t>
  </si>
  <si>
    <t>*FX2000- Venta divisas 0100000004585</t>
  </si>
  <si>
    <t>*FX1000+ Compra divisas 0100000004586</t>
  </si>
  <si>
    <t>*FX2000- Venta divisas 0100000004586</t>
  </si>
  <si>
    <t>*FX1000+ Compra divisas 0100000004599</t>
  </si>
  <si>
    <t>*FX2000- Venta divisas 0100000004599</t>
  </si>
  <si>
    <t>23.12.2022</t>
  </si>
  <si>
    <t>*FX1000+ Compra divisas 0100000004589</t>
  </si>
  <si>
    <t>*FX2000- Venta divisas 0100000004589</t>
  </si>
  <si>
    <t>27.12.2022</t>
  </si>
  <si>
    <t>*FX1000+ Compra divisas 0100000004588</t>
  </si>
  <si>
    <t>*FX2000- Venta divisas 0100000004588</t>
  </si>
  <si>
    <t>28.12.2022</t>
  </si>
  <si>
    <t>*FX1000+ Compra divisas 0100000004593</t>
  </si>
  <si>
    <t>*FX2000- Venta divisas 0100000004593</t>
  </si>
  <si>
    <t>*FX1000+ Compra divisas 0100000004594</t>
  </si>
  <si>
    <t>*FX2000- Venta divisas 0100000004594</t>
  </si>
  <si>
    <t>*FX2001- Venta divisas 0400000000109</t>
  </si>
  <si>
    <t>*FX2001- Venta divisas 0400000000105</t>
  </si>
  <si>
    <t>13.12.2022</t>
  </si>
  <si>
    <t>21.12.2022</t>
  </si>
  <si>
    <t>26.12.2022</t>
  </si>
  <si>
    <t>*CMLZ017 0001000004400</t>
  </si>
  <si>
    <t>TOTAL ACUMULADO</t>
  </si>
  <si>
    <t>2023/01</t>
  </si>
  <si>
    <t>*FX1000+ Compra divisas 0100000004601</t>
  </si>
  <si>
    <t>*FX2000- Venta divisas 0100000004601</t>
  </si>
  <si>
    <t>*FX1000+ Compra divisas 0100000004602</t>
  </si>
  <si>
    <t>*FX2000- Venta divisas 0100000004602</t>
  </si>
  <si>
    <t>*FX1000+ Compra divisas 0100000004603</t>
  </si>
  <si>
    <t>*FX2000- Venta divisas 0100000004603</t>
  </si>
  <si>
    <t>*FX1000+ Compra divisas 0100000004604</t>
  </si>
  <si>
    <t>*FX2000- Venta divisas 0100000004604</t>
  </si>
  <si>
    <t>*FX1000+ Compra divisas 0100000004606</t>
  </si>
  <si>
    <t>*FX2000- Venta divisas 0100000004606</t>
  </si>
  <si>
    <t>*FX1000+ Compra divisas 0100000004607</t>
  </si>
  <si>
    <t>*FX2000- Venta divisas 0100000004607</t>
  </si>
  <si>
    <t>*FX1000+ Compra divisas 0100000004622</t>
  </si>
  <si>
    <t>*FX2000- Venta divisas 0100000004622</t>
  </si>
  <si>
    <t>*FX1000+ Compra divisas 0100000004623</t>
  </si>
  <si>
    <t>*FX2000- Venta divisas 0100000004623</t>
  </si>
  <si>
    <t>*FX1000+ Compra divisas 0100000004627</t>
  </si>
  <si>
    <t>*FX2000- Venta divisas 0100000004627</t>
  </si>
  <si>
    <t>COMPENSACION PAGO CITI 10012023</t>
  </si>
  <si>
    <t>02.01.2023</t>
  </si>
  <si>
    <t>*CMLZ017 0001000004500</t>
  </si>
  <si>
    <t>Etiquetas de fila</t>
  </si>
  <si>
    <t>Total general</t>
  </si>
  <si>
    <t>Etiquetas de columna</t>
  </si>
  <si>
    <t>1-INGRESO</t>
  </si>
  <si>
    <t>2-GASTO</t>
  </si>
  <si>
    <t>Suma de Diferencia en Cambio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</si>
  <si>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</si>
  <si>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</si>
  <si>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</si>
  <si>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</si>
  <si>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</si>
  <si>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</si>
  <si>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</si>
  <si>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</si>
  <si>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</si>
  <si>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</si>
  <si>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</si>
  <si>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Año 2023</t>
  </si>
  <si>
    <t>INTERESES</t>
  </si>
  <si>
    <t>Compra de Divisas USD BANCOLOMBIA</t>
  </si>
  <si>
    <t>Pago de Linklaters LLP</t>
  </si>
  <si>
    <t>Pago de Crédito CITIBANK Interéses</t>
  </si>
  <si>
    <t>Cumplimiento SWAP CITIBANK 1</t>
  </si>
  <si>
    <t>Cumplimiento SWAP CITIBANK 2</t>
  </si>
  <si>
    <t>Pago de SYSCAM CORP</t>
  </si>
  <si>
    <t>Comisiones</t>
  </si>
  <si>
    <t>Pago de Automatic Filters INC TEKLEEN</t>
  </si>
  <si>
    <t>Pago de Bloomberg Finance LP</t>
  </si>
  <si>
    <t>Pago de BRE Accionista</t>
  </si>
  <si>
    <t>Pago de SWIFT</t>
  </si>
  <si>
    <t>Constitución Time Deposit (CDT)</t>
  </si>
  <si>
    <t>Intereses</t>
  </si>
  <si>
    <t>Compra de Divisas USD COLPATRIA</t>
  </si>
  <si>
    <t>Vencimiento Time Deposit</t>
  </si>
  <si>
    <t>COMPRA DE DIVISAS</t>
  </si>
  <si>
    <t>Trasladao al JPM 30/01/2023</t>
  </si>
  <si>
    <t>Traslado al BNP #1 10/01/2023</t>
  </si>
  <si>
    <t>Traslado al BNP #2 13/01/2023</t>
  </si>
  <si>
    <t>Traslado al BNP #3 20/01/2023</t>
  </si>
  <si>
    <t>Traslado del BNP 30/01/2023</t>
  </si>
  <si>
    <t>Traslado del JPM #1 10/01/2023</t>
  </si>
  <si>
    <t>Traslado del JPM #2 13/01/2023</t>
  </si>
  <si>
    <t>Traslado del JPM #3 20/01/2023</t>
  </si>
  <si>
    <t>Saldo Contable Diciembre 2022</t>
  </si>
  <si>
    <t>Saldo Fiscal Diciembre 2022</t>
  </si>
  <si>
    <t>CMB DIC 2022</t>
  </si>
  <si>
    <t>???</t>
  </si>
  <si>
    <t>VALORACIÓN CA CIERRE</t>
  </si>
  <si>
    <t>Saldo viene de 2020</t>
  </si>
  <si>
    <t>27.02.2023</t>
  </si>
  <si>
    <t>*FX1000+ Compra divisas 0100000004656</t>
  </si>
  <si>
    <t>*FX2000- Venta divisas 0100000004656</t>
  </si>
  <si>
    <t>28.02.2023</t>
  </si>
  <si>
    <t>*FX1000+ Compra divisas 0100000004657</t>
  </si>
  <si>
    <t>*FX2000- Venta divisas 0100000004657</t>
  </si>
  <si>
    <t>*FX1000+ Compra divisas 0100000004658</t>
  </si>
  <si>
    <t>*FX2000- Venta divisas 0100000004658</t>
  </si>
  <si>
    <t>13.02.2023</t>
  </si>
  <si>
    <t>17.02.2023</t>
  </si>
  <si>
    <t>20.02.2023</t>
  </si>
  <si>
    <t>*CML1110 0001000004302</t>
  </si>
  <si>
    <t>ANULADO</t>
  </si>
  <si>
    <t>Mes</t>
  </si>
  <si>
    <t>COMPENSACION</t>
  </si>
  <si>
    <t xml:space="preserve">Amortización 34/11528 - ESTUDIOS PREFACT SEDIMENT </t>
  </si>
  <si>
    <t>GAC2287</t>
  </si>
  <si>
    <t xml:space="preserve">Factura Proforma-Primer Pago 34/15417 </t>
  </si>
  <si>
    <t xml:space="preserve">Certificate redemptions -Ene 2023 </t>
  </si>
  <si>
    <t xml:space="preserve">3/6265 Regional Summer Academy  John Jairo Cardona </t>
  </si>
  <si>
    <t xml:space="preserve">3/6149 - Renov Soporte y mtto Animaker </t>
  </si>
  <si>
    <t>Pago de Elecnor S/ A/</t>
  </si>
  <si>
    <t xml:space="preserve">*Solic/de  04/09/22 a   07/09/22 A // New York- Es </t>
  </si>
  <si>
    <t xml:space="preserve">*Solic/de  18/09/22 a   25/09/22 A // AREQUIPA - P </t>
  </si>
  <si>
    <t xml:space="preserve">*Solic/de  24/09/22 a   02/10/22 A // Madrid-Españ </t>
  </si>
  <si>
    <t xml:space="preserve">*Solic/de  18/09/22 a   25/09/22 A // AREQUIPA -PE </t>
  </si>
  <si>
    <t xml:space="preserve">*Solic/de  26/09/22 a   01/10/22 A // Costa Rica </t>
  </si>
  <si>
    <t xml:space="preserve">*Solic/de  03/10/22 a   08/10/22 A // Brasil </t>
  </si>
  <si>
    <t xml:space="preserve">*Solic/de  02/10/22 a   07/10/22 A // New York- Es </t>
  </si>
  <si>
    <t xml:space="preserve">*Solic/de  06/11/22 a   09/11/22 A // Tulum Mexico </t>
  </si>
  <si>
    <t xml:space="preserve">*Solic/de  06/11/22 a   13/11/22 A // REPUBLICA DO </t>
  </si>
  <si>
    <t xml:space="preserve">*Solic/de  06/11/22 a   13/11/22 A // Republica Do </t>
  </si>
  <si>
    <t>4812/37  34/14694 MEDIDOR AISLAMIENT 06/12/2022</t>
  </si>
  <si>
    <t>4825/83  34/14135 HIDROMETRIA COMPU TRM 09/12/2022</t>
  </si>
  <si>
    <t>4778/28  34/13918 HERRAMTOPCASE 15/12/22</t>
  </si>
  <si>
    <t>4778/28  34/13784 HERRAMTOPCASE 15/12/22</t>
  </si>
  <si>
    <t>4802/48  34/13821 CONJUNTO VALVULA  TRM 19/12/22</t>
  </si>
  <si>
    <t>4975/58  34/14674 MULTIPLEXOR EOTEC TRM 2/11/22</t>
  </si>
  <si>
    <t>4781/28  34/14773 PREFILTLINEA/POSFILTROTRM 20/12/</t>
  </si>
  <si>
    <t>4769/29  34/14998 BOMBA NEUMATICA TRM 21/12/22</t>
  </si>
  <si>
    <t>4648/70  34/14968 SENSOR DE NIVEL TRM 01/02/2023</t>
  </si>
  <si>
    <t>4648/70  34/13058 MEDIDOR FLUJO TRM 01/02/2023</t>
  </si>
  <si>
    <t>4584/44  34/15256 MATERI HIDROMETRIA TRM 03/02/23</t>
  </si>
  <si>
    <t>4584/44  34/15304 BOMBA HIDRAULICA TRM 03/02/23</t>
  </si>
  <si>
    <t>4669/74  34/14848 MATERIAL MECANICO TRM 06/02/23</t>
  </si>
  <si>
    <t>4775/99  34/14193 FILTRO R928006818 TRM 08/02/23</t>
  </si>
  <si>
    <t>4742/05  34/15030 MOTOR TRIFASICO TRM 10/02/23</t>
  </si>
  <si>
    <t>4818/62  34/15043 EQUIPOS COMPUTO TRM 14/02/23</t>
  </si>
  <si>
    <t>4783,24 34/13894 MANOMETRO DIGITALTRM 15/02/23</t>
  </si>
  <si>
    <t>4878/24  34/14378 BOMBA SUMERGIBLE TRM 16/02/23</t>
  </si>
  <si>
    <t>4966/33  34/14755 FUENTE TIS 300-124P TRM 17/02/23</t>
  </si>
  <si>
    <t>4966/33  34/15379 ABSORBENTE TRM 17/02/23</t>
  </si>
  <si>
    <t>4918/94  34/14459 VALVULA PROPORCIONA TRM 21/02/23</t>
  </si>
  <si>
    <t>4924/91  34/14858 ELECTRONICO TRM 23/02/2023</t>
  </si>
  <si>
    <t>4924/91  34/15116 MODULO DE MEDICION TRM 23/02/23</t>
  </si>
  <si>
    <t>4966/33  34/15449 REVESTIMIENTO TRM 17/02/23</t>
  </si>
  <si>
    <t>4853/90  34/14931 MODULO DE ENTRADAS TRM 24/02/23</t>
  </si>
  <si>
    <t>4849/65 34/14782 CORDON PRENSAESTOPA TRM 27/02/23</t>
  </si>
  <si>
    <t>4810/20  34/15001 FILTRO SUCCION ACEITE TRM 3/1/23</t>
  </si>
  <si>
    <t>4989/58  34/15005 TRANSMISOR  TRM 6/1/23</t>
  </si>
  <si>
    <t>5061/21  34/14717 ABSORBENTEBIODEGR TRM 8/11/22</t>
  </si>
  <si>
    <t>4702/67 TRM del 20/1/2023 COQUILLA BUJE TIPO GOEK</t>
  </si>
  <si>
    <t>4842/26  34/15060CAMARA TERMOGRAFICA TRM 4/1/22</t>
  </si>
  <si>
    <t>4631/64 34/14844 MALETIN HERRAMIENT TRM 23/01/2023</t>
  </si>
  <si>
    <t>4761/64 TRM del 22/12/22 - BOMBA SUMERGIBLE UNILIF</t>
  </si>
  <si>
    <t>4683/85 34/14574 SENSOR RADIACION TRM 20-01-23</t>
  </si>
  <si>
    <t xml:space="preserve">4605/291TRM del 10/10/2022 - CAJA DE HERRAMIENTAS </t>
  </si>
  <si>
    <t>4631/64 34/14584 MOTOBOMBA SUMERGIBLE TRM 23/01/23</t>
  </si>
  <si>
    <t>4809/51  34/14891 BOBINADISPARO/CIERRE 30/11/22</t>
  </si>
  <si>
    <t>4691/09 TRM del 18/1/2023 - BOBINA DE CIERRE INTER</t>
  </si>
  <si>
    <t>4975,58  34/14674 DIODO RECTIFICADOR TRM 02/11/22</t>
  </si>
  <si>
    <t>4631/64  34/14569  FILTRO REGULADOR TRM 23/01/23</t>
  </si>
  <si>
    <t>4748/54  34/14375 SENSOR DE NIVEL TRM 12/1/23</t>
  </si>
  <si>
    <t>4885/66  34/13154 CONTROLADOR/TARJETA TRM 10/1/23</t>
  </si>
  <si>
    <t>4958/42  34/13985 MODULO DE MEDICION 22/11/22</t>
  </si>
  <si>
    <t>4551/02  34/14171 BOBINA SOLENOIDE TRM 24/01/23</t>
  </si>
  <si>
    <t>4648/70  34/15194 RESISTENCIA CALEFAC TRM 01/02/23</t>
  </si>
  <si>
    <t>4648/70  34/14859 MATERIAL MECANICO TRM 01/02/2023</t>
  </si>
  <si>
    <t>4669/74  34/15100 SENSOR INDUCTIVO TRM 06/02/23</t>
  </si>
  <si>
    <t>4776/25  34/14927 SELLO HIDRAULICO TRM 07/02/23</t>
  </si>
  <si>
    <t>4776/25  34/15335 MATERIAL COMPUTO TRM 07/02/23</t>
  </si>
  <si>
    <t>4777/73  34/15242 CONDENSADOR TRM 13/02/2023</t>
  </si>
  <si>
    <t>4777/73  34/14959 KIT DE PROGRAMACION TRM 12/02/23</t>
  </si>
  <si>
    <t>5053/23 Euro BanRep - FILTRO DE ACEITE PI 3115</t>
  </si>
  <si>
    <t>5122/01  34/15260 FILTRO ACEITE TRM 08/02/23</t>
  </si>
  <si>
    <t>5106/59  34/13554 REGULADOR DE TENSION THYNE1</t>
  </si>
  <si>
    <t>5179/80  34/14802 KIT DE REPUESTO TRM BancoRepubl</t>
  </si>
  <si>
    <t>5032/27 EURO BANREP 34/14394 FILTRO REGULADOR</t>
  </si>
  <si>
    <t>5032/27 EURO BANREP 34/14926 ELEMENTO FILTRANTE</t>
  </si>
  <si>
    <t>5032/27 EURO BANREP 34/14190 ELEMENTO FILTRANTE</t>
  </si>
  <si>
    <t>5032/27 EURO BANREP 34/15102 ELEMENTO FILTRANTE 12</t>
  </si>
  <si>
    <t>4818/32  34/11902 AprovisInfraestrucTIC 7/12/22</t>
  </si>
  <si>
    <t xml:space="preserve">MANDATO 4825/83 9/12/22 34/12816 Gastos Reembolsa </t>
  </si>
  <si>
    <t xml:space="preserve">34/10112 Ítem 2/1 del Anexo TRM fecha pago factura </t>
  </si>
  <si>
    <t>4836/24 TRM del 13/12/2022 - Soporte de fábrica pa</t>
  </si>
  <si>
    <t>4769/29  34/12870RastSatelitalInreachTRM 21/12/22</t>
  </si>
  <si>
    <t>4745/04 TRM del 27/12/2022 - Renov/ Suscrip Licenc</t>
  </si>
  <si>
    <t>4802/48  34/3835 PlatafoEnergySuite TRM 19/12/22</t>
  </si>
  <si>
    <t>4783/24 TRM del 15/2/2023 - Mtto anual Primestone</t>
  </si>
  <si>
    <t>4966/33 TRM del 17/2/2023 AprovisInfraestrucTIC</t>
  </si>
  <si>
    <t>4918/94 TRM del 20/2/2023 - Rastreo satelital Inre</t>
  </si>
  <si>
    <t>4853/90 TRM del 24/2/2023 - IMPLEMENTACIÓN</t>
  </si>
  <si>
    <t>4849/65 TRM del 27/2/2023 - SEDIMENT SCA/2023</t>
  </si>
  <si>
    <t>4748/54  34/3835 PlatafoEnergySuite TRM 12/1/23</t>
  </si>
  <si>
    <t>4842/26  34/11902 AprovisInfraestrucTIC 4/1/23</t>
  </si>
  <si>
    <t>4691/09 TRM del 18/1/2023 -Rastreo satelital Inrea</t>
  </si>
  <si>
    <t>4702/67 TRM del 19/1/2023 - Act/ Soporte y Garant</t>
  </si>
  <si>
    <t>4693/99  TRM 16/1/2023 - Mtto anual Primestone</t>
  </si>
  <si>
    <t>4531/75 TRM del 27/1/2022 - RENOVACION LICENCIAS</t>
  </si>
  <si>
    <t>4742/05 TRM 10/02/2023 - RENOVACION LICENCIAS 2023</t>
  </si>
  <si>
    <t>4769/85 TRM del 9/2/2023 - PlatafoEnergySuite</t>
  </si>
  <si>
    <t xml:space="preserve">3/6029 - Renovación suscripción a PVsyst 7/2 Prof </t>
  </si>
  <si>
    <t>4761/64 TRM del 22/12/2022 - SEGURO RCE CAPA PRIMA</t>
  </si>
  <si>
    <t>4693/99 TRM 17/1/2023 - SEGURO RCE CAPA SECUNDARIA</t>
  </si>
  <si>
    <t xml:space="preserve">34/9738 - Isagen financings 15/12 al 31/12 </t>
  </si>
  <si>
    <t xml:space="preserve">COMPENSACION POLIZA RIESGO LA PREVISORA </t>
  </si>
  <si>
    <t>Trasladao al JPM 28/02/2023</t>
  </si>
  <si>
    <t>Pago Mega MLA 51/82</t>
  </si>
  <si>
    <t>Pago Open TXT 51/242</t>
  </si>
  <si>
    <t>Pago Tuv Rheiland Shangai Co 17/25</t>
  </si>
  <si>
    <t>Pago a Ethicglobal 51/557</t>
  </si>
  <si>
    <t>Pago a LINKLATERS LLP 51/568</t>
  </si>
  <si>
    <t>Pago - EUROPEAN CENTRE FOR MEDIUM RANGE 51/670</t>
  </si>
  <si>
    <t>Cumplimiento Swap Colpatria</t>
  </si>
  <si>
    <t>Traslado del BNP 28/02/2023</t>
  </si>
  <si>
    <t>Pago BRE Colombia Hydro Finance Ltda</t>
  </si>
  <si>
    <t>Otros Acreedores - Tarjeta de Credito</t>
  </si>
  <si>
    <t>Reteica Compras y Servicios Municipio S</t>
  </si>
  <si>
    <t>Anticipos por Donaciones</t>
  </si>
  <si>
    <t>Otros gastos generales</t>
  </si>
  <si>
    <t>Total P&amp;G Fiscal</t>
  </si>
  <si>
    <t>PROVISIÓN DE RENTA AÑO 2023</t>
  </si>
  <si>
    <t>CA 2023</t>
  </si>
  <si>
    <t xml:space="preserve">*Solic.de  23.03.23 a   01.04.23 A .. Sao Paulo </t>
  </si>
  <si>
    <t xml:space="preserve">Proforma inv. 17 mar Ctto 3400014897 -anticipo 10% </t>
  </si>
  <si>
    <t>5026.18 34/15515 ARMARIO COMPACTO EURO</t>
  </si>
  <si>
    <t>24.03.2023</t>
  </si>
  <si>
    <t>03.03.2023</t>
  </si>
  <si>
    <t>06.03.2023</t>
  </si>
  <si>
    <t>13.03.2023</t>
  </si>
  <si>
    <t>02.03.2023</t>
  </si>
  <si>
    <t>27.03.2023</t>
  </si>
  <si>
    <t>01.03.2023</t>
  </si>
  <si>
    <t>23.03.2023</t>
  </si>
  <si>
    <t>4818.62  34/14870 BATERIA DE RECAMBIO TRM 14.02.23</t>
  </si>
  <si>
    <t>4814.11  34/15239 CABLE 100410-06000 TRM 01.03.23</t>
  </si>
  <si>
    <t>4814.11  34/14822 MOTOR Z025.607 TRM 01.03.23</t>
  </si>
  <si>
    <t>4814.11  34/15450 ESCOBILLON NYLON TRM 01.03.23</t>
  </si>
  <si>
    <t>4848.78 34/15000 INSTRUMENTA Y CONTRO TRM 02.03.23</t>
  </si>
  <si>
    <t>4780,89 34/14676 COJINETE-20 BOMBA TRM 06.03.23</t>
  </si>
  <si>
    <t>4855.83  34/15468 RESISTENCIA TRM 03.03.23</t>
  </si>
  <si>
    <t>4848.78  34/15513 COMPUTO/ MUEBLES TRM 02.03.23</t>
  </si>
  <si>
    <t>4734,42 34/15427 ASPIRADORA SOLIDOS TRM 07.03.23</t>
  </si>
  <si>
    <t>4639.04 34/15352 ACOPLE NEUMATICO TRM 02.02.23</t>
  </si>
  <si>
    <t>4755.59 34/15543 )PINZA AMPERIMETRICA TRM 09.03.23</t>
  </si>
  <si>
    <t>4755.59  34/15587 BREAKER BIPOLAR 16A TRM 09.03.23</t>
  </si>
  <si>
    <t>28.03.2023</t>
  </si>
  <si>
    <t>4855.83 34/15258 PLATAFORMA COLECTORA TRM 03.03.23</t>
  </si>
  <si>
    <t>4632.20 34/15337 VALVULA DESAIREACION TRM 31.01.23</t>
  </si>
  <si>
    <t>4780.89  34/14719 FILTRO SEPARADOR TRM 06.03.23</t>
  </si>
  <si>
    <t>4748.14 34/15305 LLAVE DE TORQUE TRM 13.03.23</t>
  </si>
  <si>
    <t>4769.76 34/15304 MANGUERAS DOBLES TRM 14.03.23</t>
  </si>
  <si>
    <t>4866.50 34/15210 MODULO DE MEDICION TRM 17.03.23</t>
  </si>
  <si>
    <t>4824.25 34/15043 WORKSTATION HP TRM 21.03.23</t>
  </si>
  <si>
    <t>4824.25  34/15433 MOTOR TRIFASICO TRM 21.03.23</t>
  </si>
  <si>
    <t>4776.09 34/15165 RELE DE PROTECCION TRM 23.03.23</t>
  </si>
  <si>
    <t>4755.12 34/15438 GABINETE DE PROTECCI TRM 24.03.23</t>
  </si>
  <si>
    <t>4734.42 34/14573 VALVULA DE MAXIMA TRM 07.03.23</t>
  </si>
  <si>
    <t>4835.51 34/15605 ANALIZADOR BATERIAS TRM 16.03.23</t>
  </si>
  <si>
    <t>4755.12  34/14472 TRANSCEIVER MULTIMO TRM 24.03.23</t>
  </si>
  <si>
    <t>4741.76 34/15546 MATERIALES ELECTRICO TRM 27.03.23</t>
  </si>
  <si>
    <t>4686.83 34/15817 VARIADOR VELOCIDAD TRM 28.03.23</t>
  </si>
  <si>
    <t>4686.83 34/14883 SENSOR POSICION TRM 28.03.23</t>
  </si>
  <si>
    <t>4686.83 34/15431 TRANSMISOR DE NIVEL TRM 28.03.23</t>
  </si>
  <si>
    <t>4866.50 34/15372 CARGADOR REGULADOR TRM 17.03.23</t>
  </si>
  <si>
    <t>4849.65 TRM del 27.02.2023 - Capacitac. Sistema Op</t>
  </si>
  <si>
    <t>5075.07 Euro del 10/03/2023 - Valoración Director</t>
  </si>
  <si>
    <t>29.03.2023</t>
  </si>
  <si>
    <t>4780.89 TRM del 6/3/2023 Renovación Antimalware Co</t>
  </si>
  <si>
    <t>4835.51  TRM 16/03/2023 -RENOVACION LICENCIAS 2023</t>
  </si>
  <si>
    <t>30.03.2023</t>
  </si>
  <si>
    <t xml:space="preserve">34/3835 - Plataforma Energy Suite SaaS 2023 </t>
  </si>
  <si>
    <t>4769.76 TRM del 14/3/2023 AprovisInfraestrucTIC</t>
  </si>
  <si>
    <t>4824.25 TRM del 21/3/2023 - Rastreo satelital Inre</t>
  </si>
  <si>
    <t xml:space="preserve">3/6178 - Renov Soporte y mtto SAP TRM Fecha pago </t>
  </si>
  <si>
    <t>4755.12 TRM del 24/03/202 MANTTO PRODUCTOS NPM Y S</t>
  </si>
  <si>
    <t xml:space="preserve">34/7823 OperacyMmtoAeroge TRM FECHA PAGO FACT </t>
  </si>
  <si>
    <t xml:space="preserve">34/14897 - 10% Contra Perf Guarantee </t>
  </si>
  <si>
    <t xml:space="preserve">Pago 10% del 51/2012 Contra Performan Guarantee </t>
  </si>
  <si>
    <t xml:space="preserve">Pago 90%  51/2012 a 90 fecha BL </t>
  </si>
  <si>
    <t xml:space="preserve">34/14897 - 10% Contra Perf Guarantee - 2do batch </t>
  </si>
  <si>
    <t xml:space="preserve">Pago 10% del 51/2013 Contra Performan Guarantee </t>
  </si>
  <si>
    <t xml:space="preserve">Pago 90%  51/2013 a 90 fecha BL </t>
  </si>
  <si>
    <t xml:space="preserve">Certificate redemptions 17 y 20-2-2023 </t>
  </si>
  <si>
    <t xml:space="preserve">3/6306 - Renovación servicio de soporte, mantenim </t>
  </si>
  <si>
    <t xml:space="preserve">42/46564 - PAGO FACTURA  SWIFT FEBRERO/23 </t>
  </si>
  <si>
    <t xml:space="preserve">42/46564 - PAGO FC.SWIFT FEB 2023 </t>
  </si>
  <si>
    <t>31.03.2023</t>
  </si>
  <si>
    <t>15.03.2023</t>
  </si>
  <si>
    <t xml:space="preserve">34/15387 - Plataforma Ingles corp 2023 </t>
  </si>
  <si>
    <t xml:space="preserve">34/12390 - Suscrip software comercial GUROBI 2023 </t>
  </si>
  <si>
    <t xml:space="preserve">N.C.42/46564 - PAGO FC.SWIFT FEB 2023 </t>
  </si>
  <si>
    <t xml:space="preserve">34/9738 - Isagen financings 21/02 al 23/03 </t>
  </si>
  <si>
    <t xml:space="preserve">34/15825 - PZA TRANSPORTE PANELES SOLARES SABANALA </t>
  </si>
  <si>
    <t>Venta divisas a Bancolombia</t>
  </si>
  <si>
    <t>Ajuste intereses</t>
  </si>
  <si>
    <t>Intereses financieros</t>
  </si>
  <si>
    <t>Compra de divisas a Colpatria</t>
  </si>
  <si>
    <t>Constitucion de CDT</t>
  </si>
  <si>
    <t>Cumplimiento CDT</t>
  </si>
  <si>
    <t>Traslado al JPM 17/03/2023</t>
  </si>
  <si>
    <t>Traslado del JPM 08/03/2023</t>
  </si>
  <si>
    <t>Traslado al JPM 27/03/2023</t>
  </si>
  <si>
    <t>Traslado al JPM 31/03/2023</t>
  </si>
  <si>
    <t>Compra divisas a Colpatria</t>
  </si>
  <si>
    <t>Compra divisas a Banco Bogota</t>
  </si>
  <si>
    <t>Pago intereses a Banco Santander</t>
  </si>
  <si>
    <t>Pago SWIFT</t>
  </si>
  <si>
    <t>Compra divisas a Bancolombia</t>
  </si>
  <si>
    <t>Pago intereses EDC</t>
  </si>
  <si>
    <t>Pago IRECs</t>
  </si>
  <si>
    <t>Traslado al BNP 08/03/2023</t>
  </si>
  <si>
    <t>Traslado del BNP 17/03/2023</t>
  </si>
  <si>
    <t>Pago Canada Solar International</t>
  </si>
  <si>
    <t>Traslado del BNP 27/03/2023</t>
  </si>
  <si>
    <t>Pago LINKLATERS</t>
  </si>
  <si>
    <t>Cumplimiento FWD Bancolombia</t>
  </si>
  <si>
    <t>Pago EMD Internacional</t>
  </si>
  <si>
    <t>Traslado del BNP 31/03/2023</t>
  </si>
  <si>
    <t>Pago BRE Colombia Hydro Finance</t>
  </si>
  <si>
    <t>*FX1000+ Compra divisas 0100000004659</t>
  </si>
  <si>
    <t>*FX2000- Venta divisas 0100000004659</t>
  </si>
  <si>
    <t>*FX1000+ Compra divisas 0100000004660</t>
  </si>
  <si>
    <t>*FX2000- Venta divisas 0100000004660</t>
  </si>
  <si>
    <t>*FX1000+ Compra divisas 0100000004661</t>
  </si>
  <si>
    <t>*FX2000- Venta divisas 0100000004661</t>
  </si>
  <si>
    <t>*FX1000+ Compra divisas 0100000004664</t>
  </si>
  <si>
    <t>*FX2000- Venta divisas 0100000004664</t>
  </si>
  <si>
    <t>*FX1000+ Compra divisas 0100000004663</t>
  </si>
  <si>
    <t>*FX2000- Venta divisas 0100000004663</t>
  </si>
  <si>
    <t>*FX1000+ Compra divisas 0100000004662</t>
  </si>
  <si>
    <t>*FX2000- Venta divisas 0100000004662</t>
  </si>
  <si>
    <t>*FX1000+ Compra divisas 0100000004671</t>
  </si>
  <si>
    <t>*FX2000- Venta divisas 0100000004671</t>
  </si>
  <si>
    <t>*FX1000+ Compra divisas 0100000004678</t>
  </si>
  <si>
    <t>*FX2000- Venta divisas 0100000004678</t>
  </si>
  <si>
    <t>*FX1000+ Compra divisas 0100000004680</t>
  </si>
  <si>
    <t>*FX2000- Venta divisas 0100000004680</t>
  </si>
  <si>
    <t>*FX1000+ Compra divisas 0100000004681</t>
  </si>
  <si>
    <t>*FX2000- Venta divisas 0100000004681</t>
  </si>
  <si>
    <t>*FX1000+ Compra divisas 0100000004682</t>
  </si>
  <si>
    <t>*FX2000- Venta divisas 0100000004682</t>
  </si>
  <si>
    <t>*FX1000+ Compra divisas 0100000004686</t>
  </si>
  <si>
    <t>*FX2000- Venta divisas 0100000004686</t>
  </si>
  <si>
    <t>*FX1000+ Compra divisas 0100000004688</t>
  </si>
  <si>
    <t>*FX2000- Venta divisas 0100000004688</t>
  </si>
  <si>
    <t>*FX1000+ Compra divisas 0100000004687</t>
  </si>
  <si>
    <t>*FX2000- Venta divisas 0100000004687</t>
  </si>
  <si>
    <t>*FX2001- Venta divisas 0400000000119</t>
  </si>
  <si>
    <t>*CML1120 0001000003051</t>
  </si>
  <si>
    <t>Gastos Generales Proyectos Interventori</t>
  </si>
  <si>
    <t>CLIENTES LARGO PLAZO</t>
  </si>
  <si>
    <t>CxC porción no corriente energía (DB)</t>
  </si>
  <si>
    <t>TOTAL CLIENTES LARGO PLAZO</t>
  </si>
  <si>
    <t>CxC porción no corriente energía (CR)</t>
  </si>
  <si>
    <t>Res.Ocasional No Gravada - Inversiones</t>
  </si>
  <si>
    <t>Estimados proveedores- Servicio naciona</t>
  </si>
  <si>
    <t>Obligaciones en contratos derivados</t>
  </si>
  <si>
    <t>Impuesto de Circulación y Tránsito por</t>
  </si>
  <si>
    <t>Remuneracion Mandato TCN</t>
  </si>
  <si>
    <t>Otros Costos Redención de IRECs</t>
  </si>
  <si>
    <t>Ajuste de Ejercicios Anteriores Ingreso</t>
  </si>
  <si>
    <t>Gastos de software en la nube</t>
  </si>
  <si>
    <t>Aj.ejercicios anteriores Gtos Gles - De</t>
  </si>
  <si>
    <t>Difcambio realizada Pagos BNP  Obligaci</t>
  </si>
  <si>
    <t>*MM1100- Inversión/Incremento 0100000004679</t>
  </si>
  <si>
    <t>*MM1120+ Inversión/Reembolso final 0100000004609</t>
  </si>
  <si>
    <r>
      <t xml:space="preserve">Difcambio 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Operde Finanto</t>
    </r>
  </si>
  <si>
    <r>
      <t>Difcambio</t>
    </r>
    <r>
      <rPr>
        <sz val="11"/>
        <color rgb="FFFF0000"/>
        <rFont val="Calibri"/>
        <family val="2"/>
        <scheme val="minor"/>
      </rPr>
      <t xml:space="preserve"> no realizada</t>
    </r>
    <r>
      <rPr>
        <sz val="11"/>
        <color theme="1"/>
        <rFont val="Calibri"/>
        <family val="2"/>
        <scheme val="minor"/>
      </rPr>
      <t xml:space="preserve"> Operaci de Finan</t>
    </r>
  </si>
  <si>
    <r>
      <t xml:space="preserve">Difcambio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caja y bancos  B</t>
    </r>
  </si>
  <si>
    <r>
      <t xml:space="preserve">Difcambio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caja y bancos  J</t>
    </r>
  </si>
  <si>
    <r>
      <t>Difcambio</t>
    </r>
    <r>
      <rPr>
        <sz val="11"/>
        <color rgb="FFFF0000"/>
        <rFont val="Calibri"/>
        <family val="2"/>
        <scheme val="minor"/>
      </rPr>
      <t xml:space="preserve"> no realizada </t>
    </r>
    <r>
      <rPr>
        <sz val="11"/>
        <color theme="1"/>
        <rFont val="Calibri"/>
        <family val="2"/>
        <scheme val="minor"/>
      </rPr>
      <t>caja y bancos de</t>
    </r>
  </si>
  <si>
    <r>
      <t xml:space="preserve">Difcambio </t>
    </r>
    <r>
      <rPr>
        <sz val="11"/>
        <color rgb="FFFF0000"/>
        <rFont val="Calibri"/>
        <family val="2"/>
        <scheme val="minor"/>
      </rPr>
      <t xml:space="preserve">no realizada </t>
    </r>
    <r>
      <rPr>
        <sz val="11"/>
        <color theme="1"/>
        <rFont val="Calibri"/>
        <family val="2"/>
        <scheme val="minor"/>
      </rPr>
      <t>caja y bancos  J</t>
    </r>
  </si>
  <si>
    <r>
      <t xml:space="preserve">Diferencia en Cambio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Caja</t>
    </r>
  </si>
  <si>
    <r>
      <t>Diferencia en Cambio</t>
    </r>
    <r>
      <rPr>
        <sz val="11"/>
        <color rgb="FFFF0000"/>
        <rFont val="Calibri"/>
        <family val="2"/>
        <scheme val="minor"/>
      </rPr>
      <t xml:space="preserve"> No Realizada</t>
    </r>
    <r>
      <rPr>
        <sz val="11"/>
        <color theme="1"/>
        <rFont val="Calibri"/>
        <family val="2"/>
        <scheme val="minor"/>
      </rPr>
      <t xml:space="preserve"> Antic</t>
    </r>
  </si>
  <si>
    <r>
      <t xml:space="preserve">Difcbio </t>
    </r>
    <r>
      <rPr>
        <sz val="11"/>
        <color rgb="FFFF0000"/>
        <rFont val="Calibri"/>
        <family val="2"/>
        <scheme val="minor"/>
      </rPr>
      <t xml:space="preserve">no realizada </t>
    </r>
    <r>
      <rPr>
        <sz val="11"/>
        <color theme="1"/>
        <rFont val="Calibri"/>
        <family val="2"/>
        <scheme val="minor"/>
      </rPr>
      <t>anticipos y CxC</t>
    </r>
  </si>
  <si>
    <r>
      <t xml:space="preserve">Difcambio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adquisición B y</t>
    </r>
  </si>
  <si>
    <r>
      <t xml:space="preserve">Difcbio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cpra B y S</t>
    </r>
  </si>
  <si>
    <r>
      <t xml:space="preserve">Difcbio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cpra B y S ext</t>
    </r>
  </si>
  <si>
    <r>
      <t xml:space="preserve">Difcambio 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Obligacion Arre</t>
    </r>
  </si>
  <si>
    <r>
      <t xml:space="preserve">Otros Aj.x difer.en cambio </t>
    </r>
    <r>
      <rPr>
        <sz val="11"/>
        <color rgb="FFFF0000"/>
        <rFont val="Calibri"/>
        <family val="2"/>
        <scheme val="minor"/>
      </rPr>
      <t>No realizada</t>
    </r>
  </si>
  <si>
    <r>
      <t xml:space="preserve">Otros Aj.x difer cambio </t>
    </r>
    <r>
      <rPr>
        <sz val="11"/>
        <color rgb="FFFF0000"/>
        <rFont val="Calibri"/>
        <family val="2"/>
        <scheme val="minor"/>
      </rPr>
      <t xml:space="preserve">No realiz </t>
    </r>
    <r>
      <rPr>
        <sz val="11"/>
        <color theme="1"/>
        <rFont val="Calibri"/>
        <family val="2"/>
        <scheme val="minor"/>
      </rPr>
      <t>Otras</t>
    </r>
  </si>
  <si>
    <r>
      <t xml:space="preserve">Difcambio </t>
    </r>
    <r>
      <rPr>
        <sz val="11"/>
        <color rgb="FFFF0000"/>
        <rFont val="Calibri"/>
        <family val="2"/>
        <scheme val="minor"/>
      </rPr>
      <t>no realizada</t>
    </r>
    <r>
      <rPr>
        <sz val="11"/>
        <color theme="1"/>
        <rFont val="Calibri"/>
        <family val="2"/>
        <scheme val="minor"/>
      </rPr>
      <t xml:space="preserve"> inversiones</t>
    </r>
  </si>
  <si>
    <r>
      <t>Difcambio</t>
    </r>
    <r>
      <rPr>
        <sz val="11"/>
        <color rgb="FFFF0000"/>
        <rFont val="Calibri"/>
        <family val="2"/>
        <scheme val="minor"/>
      </rPr>
      <t xml:space="preserve"> no realizada</t>
    </r>
    <r>
      <rPr>
        <sz val="11"/>
        <color theme="1"/>
        <rFont val="Calibri"/>
        <family val="2"/>
        <scheme val="minor"/>
      </rPr>
      <t xml:space="preserve"> inversiones</t>
    </r>
  </si>
  <si>
    <t xml:space="preserve">Cumplimiento FWD Bancolombia </t>
  </si>
  <si>
    <t>Cumplimiento time deposit</t>
  </si>
  <si>
    <t>Compra de divisas Bancolombia</t>
  </si>
  <si>
    <t>Traslado al JPM 27/04/2023</t>
  </si>
  <si>
    <t>Pago Industrias Metalurgicas Esgueva</t>
  </si>
  <si>
    <t>Compra de divisas Banco Itau</t>
  </si>
  <si>
    <t>Pago - I - REC Service BV</t>
  </si>
  <si>
    <t xml:space="preserve">Pago Crédito Citi Intereses </t>
  </si>
  <si>
    <t xml:space="preserve">Cumplimiento Swap Citibank </t>
  </si>
  <si>
    <t>Pago Industrias Metalurgicas Esgueva 17/48</t>
  </si>
  <si>
    <t>Pago Industrias Metalurgicas Esgueva 17/51</t>
  </si>
  <si>
    <t>Pago Gurobi</t>
  </si>
  <si>
    <t>Traslado del BNP 27/04/2023</t>
  </si>
  <si>
    <t>Pago Banco Santander, comisión de garantías. Dcto SAP 19/1320</t>
  </si>
  <si>
    <t>Pago intereses a BRE Colombia Hydro Finance Ltda</t>
  </si>
  <si>
    <t>Pago a LINKLATERS LLP</t>
  </si>
  <si>
    <t>*MM1120+ Inversión/Reembolso final 0100000004679</t>
  </si>
  <si>
    <t xml:space="preserve">*Solic.de  25.04.23 a   29.04.23 A .. Bilbao Españ   </t>
  </si>
  <si>
    <t>17.04.2023</t>
  </si>
  <si>
    <t xml:space="preserve">15% hitos 4 y 5 contrato 34-13284   </t>
  </si>
  <si>
    <t xml:space="preserve">Despa en España contra la entrega del BL. 34/13284   </t>
  </si>
  <si>
    <t>TUV RHEINLAND SHANGHAI CO LTD</t>
  </si>
  <si>
    <t>CANADIAN SOLAR INTERNATIONAL LIMITE</t>
  </si>
  <si>
    <t xml:space="preserve">Amortización 3411528 ESTUDIOS PREFACTI SEDIMENTOS   </t>
  </si>
  <si>
    <t>GAC2313</t>
  </si>
  <si>
    <t>28.04.2023</t>
  </si>
  <si>
    <t xml:space="preserve">Amortización 34/14129 - Factura Cial Equipos Impor   </t>
  </si>
  <si>
    <t>FVR2300116</t>
  </si>
  <si>
    <t>GOLDER ASSOCIATES COLOMBIA S.A.S.</t>
  </si>
  <si>
    <t>ANDRITZ HYDRO LTDA.</t>
  </si>
  <si>
    <t>INDUSTRIAS METALURGICAS ESGUEVA S.A</t>
  </si>
  <si>
    <t>ELECNOR SERVICIOS Y PROYECTOS S.A.U</t>
  </si>
  <si>
    <t xml:space="preserve">4980.72  34/15260 MATERIAL MECANICO TRM 11.04.23 </t>
  </si>
  <si>
    <t>11.04.2023</t>
  </si>
  <si>
    <t>10.04.2023</t>
  </si>
  <si>
    <t>26.04.2023</t>
  </si>
  <si>
    <t xml:space="preserve">4954.63  34/15885 CONECTOR RECTO TRM 10.04.23 </t>
  </si>
  <si>
    <t xml:space="preserve">   </t>
  </si>
  <si>
    <t xml:space="preserve">4980.72  34/15730 ELEMENTO FILTRANTE TRM 11.04.23 </t>
  </si>
  <si>
    <t>04.04.2023</t>
  </si>
  <si>
    <t>13.04.2023</t>
  </si>
  <si>
    <t>24.04.2023</t>
  </si>
  <si>
    <t xml:space="preserve">4603.00  34/15093 MATERIALES ELECTRONI TRM 04.04.23 </t>
  </si>
  <si>
    <t xml:space="preserve">4587.31  34/15516 MANOMETRO DIGITAL TRM 05.04.23 </t>
  </si>
  <si>
    <t xml:space="preserve">4564.24  34/15043 MATERIALES  COMPUTO TRM 11.04.23 </t>
  </si>
  <si>
    <t xml:space="preserve">4564.24  34/15792 REVESTIMIENTO EPOXIC TRM 11.04.23 </t>
  </si>
  <si>
    <t xml:space="preserve">34/15710 SENSOR INDUCTIVO TRM 16.03.23   </t>
  </si>
  <si>
    <t xml:space="preserve">4627.27  34/15871 ELEMENTO DE FILTRO TRM 31.03.2023 </t>
  </si>
  <si>
    <t xml:space="preserve">4535.78  34/15155 FUENTE ALIMENTACION TRM 21.04.23 </t>
  </si>
  <si>
    <t xml:space="preserve">4570.91  34/15512 BOMBA SUMERGIBLE TRM 10.04.2023 </t>
  </si>
  <si>
    <t xml:space="preserve">4627.27  34/15863 LED PILOTO AMARILLO TRM 31.03.23 </t>
  </si>
  <si>
    <t xml:space="preserve">4535,78  34/15606 MULTIMETRO DIGITAL TRM 21.04.23 </t>
  </si>
  <si>
    <t xml:space="preserve">4603.00  34/15655 TRANSCEIVER TFC110MS TRM 04.04.23 </t>
  </si>
  <si>
    <t xml:space="preserve">4564.24  34/15414 NULL MODEM CABLE TRM 11.04.23 </t>
  </si>
  <si>
    <t xml:space="preserve">4564.24  34/15569 RESPUESTO/REPARACIÓN TRM 11.04.23 </t>
  </si>
  <si>
    <t xml:space="preserve">4570.91  TRM del 10/4/2023 - EXTENSION GARANTIAS </t>
  </si>
  <si>
    <t xml:space="preserve">4686.83TRM del 28/3/2023 - RENOV SOPORTE -MMTO LIC   </t>
  </si>
  <si>
    <t xml:space="preserve">4646.08  TRM del 3/4/23 - SUSCRIPCIONES 5 LICNCIAS </t>
  </si>
  <si>
    <t xml:space="preserve">34/13439 Eval y diagnóstico Trasnform TRM DIA PAGO   </t>
  </si>
  <si>
    <t xml:space="preserve">4523.4 TRM del 22/4/2023 Rastreo satelital Inrear  </t>
  </si>
  <si>
    <t xml:space="preserve">4523.64  TRM del 24/4/2023 AprovisInfraestrucTIC </t>
  </si>
  <si>
    <t xml:space="preserve">4486.60  TRM del 26/4/23 - ESTUDIOS PREFACTI SEDIME </t>
  </si>
  <si>
    <t xml:space="preserve">34/5708 Licenciamiento Microsoft TRM fecha de pago   </t>
  </si>
  <si>
    <t>TRM 4523.64    24/4/2023 - 34/13561 - Serv SAP4Hana</t>
  </si>
  <si>
    <t xml:space="preserve">4523.64   TRM 24/4/2023 - 34/13561 - Serv SAP4Hana </t>
  </si>
  <si>
    <t xml:space="preserve">34/7823 OperacyMmtoAeroge TRMFECHAPAGOFACT   </t>
  </si>
  <si>
    <t xml:space="preserve">34/10115 Contrato AOM WESP 01 - TRMFECHAPAGOFACT   </t>
  </si>
  <si>
    <t xml:space="preserve">4552.59  TRM del 26/4/23 - MANTTO PRODUCTOS NPM Y S </t>
  </si>
  <si>
    <t xml:space="preserve">4473.07  TRM del 19/4/2023 - PlatafoEnergySuites </t>
  </si>
  <si>
    <t xml:space="preserve">4564.24  TRM del 11/4/2023 renovacion licencia Proy </t>
  </si>
  <si>
    <t xml:space="preserve">AFFIRMATUM - Pronto Pago   </t>
  </si>
  <si>
    <t xml:space="preserve">34/14129 - Factura Cial Equipos Importados-BSB500   </t>
  </si>
  <si>
    <t xml:space="preserve">34/15628 - Repuestos para Limpiarrejas Calderas   </t>
  </si>
  <si>
    <t xml:space="preserve">50% AL MOMENTO DE LA RECEPCION DEL DOC TRANSPOR   </t>
  </si>
  <si>
    <t xml:space="preserve">25% A LA LLEGADA DE LA MCIA A PUERTO COLOMBIANO   </t>
  </si>
  <si>
    <t xml:space="preserve">25% PUESTA EN MARCHA DE RESPUESTOS EN LA CENTRAL   </t>
  </si>
  <si>
    <t xml:space="preserve">Certificate redemptions 1 y 14-03-2023   </t>
  </si>
  <si>
    <t xml:space="preserve">3/6472 - RENOV SOPORT-MMTO LICENCIAS XTOOLS   </t>
  </si>
  <si>
    <t xml:space="preserve">34/14242 - Servicio Monitoreo INSAR Fase 1 2023   </t>
  </si>
  <si>
    <t xml:space="preserve">34/15387 - Clases ingles personalizadas abril 2023   </t>
  </si>
  <si>
    <t xml:space="preserve">34/9738 - Isagen financings 23/03 a 20/04   </t>
  </si>
  <si>
    <t xml:space="preserve">42/46564 - PAGO FACTURA SWIFT MARZO/23   </t>
  </si>
  <si>
    <t xml:space="preserve">Pag com Gar SANTANDER   </t>
  </si>
  <si>
    <t xml:space="preserve">PZA TRANSPORTE PANELES SOLARES SABANALA   </t>
  </si>
  <si>
    <t xml:space="preserve">4516.76   TRM del 12/4/23 Emb 01 gastos en destino </t>
  </si>
  <si>
    <t xml:space="preserve">4516.76   TRM del 12/4/23 ingreso para terceros </t>
  </si>
  <si>
    <t xml:space="preserve">34/15526 -Emb 03 gastos en destino no gravados   </t>
  </si>
  <si>
    <t xml:space="preserve">34/15526 - Emb 03 Flete paneles   </t>
  </si>
  <si>
    <t xml:space="preserve">34/15526 - Emb 04 Flete paneles   </t>
  </si>
  <si>
    <t xml:space="preserve">34/15526 - Emb 04 gastos en destino no gravados   </t>
  </si>
  <si>
    <t>ISAGEN S.A. E.S.P.                    PRESENTACION DE ESTADOS FINANCIEROS NIIF                    Hora 22:34:32     Fecha 02.05.2023</t>
  </si>
  <si>
    <t>(01.2023-04.2023)</t>
  </si>
  <si>
    <t>*5000,0</t>
  </si>
  <si>
    <t>Anticipo Rte fte compra inmueble</t>
  </si>
  <si>
    <t>*645,8-</t>
  </si>
  <si>
    <t>*489,2-</t>
  </si>
  <si>
    <t>*450,0-</t>
  </si>
  <si>
    <t>efectivo restringido proyectos</t>
  </si>
  <si>
    <t>*4850,0</t>
  </si>
  <si>
    <t>Aportes Voluntarios a Fondos de Pension</t>
  </si>
  <si>
    <t>Acreedores Sindicato</t>
  </si>
  <si>
    <t>Acreedores Fondo de Empleados</t>
  </si>
  <si>
    <t>Otros Acreedores - Otros Descuentos de</t>
  </si>
  <si>
    <t>*600,0-</t>
  </si>
  <si>
    <t>*234,8-</t>
  </si>
  <si>
    <t>IVA Compra de Servicios - Descontable (</t>
  </si>
  <si>
    <t>provisión Sobretasa Bomberil_Medellin</t>
  </si>
  <si>
    <t>Anticipo de Impuesto sobre la Renta</t>
  </si>
  <si>
    <t>Sobretasa Bomberil_Medellin</t>
  </si>
  <si>
    <t>Recuperacion Provisiones impuesto de re</t>
  </si>
  <si>
    <t>*FX1000+ Compra divisas 0100000004689</t>
  </si>
  <si>
    <t>*FX2000- Venta divisas 0100000004689</t>
  </si>
  <si>
    <t>*FX1000+ Compra divisas 0100000004692</t>
  </si>
  <si>
    <t>*FX2000- Venta divisas 0100000004692</t>
  </si>
  <si>
    <t>*FX1000+ Compra divisas 0100000004693</t>
  </si>
  <si>
    <t>*FX2000- Venta divisas 0100000004693</t>
  </si>
  <si>
    <t>*FX1000+ Compra divisas 0100000004690</t>
  </si>
  <si>
    <t>*FX2000- Venta divisas 0100000004690</t>
  </si>
  <si>
    <t>*FX1000+ Compra divisas 0100000004691</t>
  </si>
  <si>
    <t>*FX2000- Venta divisas 0100000004691</t>
  </si>
  <si>
    <t>*FX1000+ Compra divisas 0100000004703</t>
  </si>
  <si>
    <t>*FX2000- Venta divisas 0100000004703</t>
  </si>
  <si>
    <t>*FX1000+ Compra divisas 0100000004704</t>
  </si>
  <si>
    <t>*FX2000- Venta divisas 0100000004704</t>
  </si>
  <si>
    <t>*FX1000+ Compra divisas 0100000004705</t>
  </si>
  <si>
    <t>*FX2000- Venta divisas 0100000004705</t>
  </si>
  <si>
    <t>COMPENSACION SWAP XCCY CITIBANK</t>
  </si>
  <si>
    <t>*FX2001- Venta divisas 0400000000111</t>
  </si>
  <si>
    <t>*FX2001- Venta divisas 0400000000120</t>
  </si>
  <si>
    <t>*CMLZ011 0001000003050</t>
  </si>
  <si>
    <t xml:space="preserve">esto 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</si>
</sst>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0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_);\(&quot;$&quot;\ #,##0\)"/>
    <numFmt numFmtId="165" formatCode="&quot;$&quot;\ #,##0.00_);\(&quot;$&quot;\ #,##0.00\)"/>
    <numFmt numFmtId="166" formatCode="&quot;$&quot;\ #,##0.00_);[Red]\(&quot;$&quot;\ #,##0.00\)"/>
    <numFmt numFmtId="167" formatCode="_(* #,##0_);_(* \(#,##0\);_(* &quot;-&quot;_);_(@_)"/>
    <numFmt numFmtId="168" formatCode="_(&quot;$&quot;\ * #,##0.00_);_(&quot;$&quot;\ * \(#,##0.00\);_(&quot;$&quot;\ * &quot;-&quot;??_);_(@_)"/>
    <numFmt numFmtId="169" formatCode="_(* #,##0.00_);_(* \(#,##0.00\);_(* &quot;-&quot;??_);_(@_)"/>
    <numFmt numFmtId="170" formatCode="_(* #,##0_);_(* \(#,##0\);_(* &quot;-&quot;??_);_(@_)"/>
    <numFmt numFmtId="171" formatCode="_ &quot;$&quot;\ * #,##0_ ;_ &quot;$&quot;\ * \-#,##0_ ;_ &quot;$&quot;\ * &quot;-&quot;_ ;_ @_ "/>
    <numFmt numFmtId="172" formatCode="_ * #,##0_ ;_ * \-#,##0_ ;_ * &quot;-&quot;??_ ;_ @_ "/>
    <numFmt numFmtId="173" formatCode="_(* #,##0.0_);_(* \(#,##0.0\);_(* &quot;-&quot;??_);_(@_)"/>
    <numFmt numFmtId="174" formatCode="_(&quot;$&quot;* #,##0.00_);_(&quot;$&quot;* \(#,##0.00\);_(&quot;$&quot;* &quot;-&quot;??_);_(@_)"/>
    <numFmt numFmtId="175" formatCode="_(&quot;$&quot;* #,##0_);_(&quot;$&quot;* \(#,##0\);_(&quot;$&quot;* &quot;-&quot;??_);_(@_)"/>
    <numFmt numFmtId="176" formatCode="#,##0;[Red]\(#,##0\)"/>
    <numFmt numFmtId="177" formatCode="0.0%"/>
    <numFmt numFmtId="178" formatCode="_(&quot;$&quot;* #,##0.000000_);_(&quot;$&quot;* \(#,##0.000000\);_(&quot;$&quot;* &quot;-&quot;??_);_(@_)"/>
    <numFmt numFmtId="179" formatCode="0_);\(0\)"/>
    <numFmt numFmtId="180" formatCode="_(* #,##0_);_(* \(#,##0\);_(* &quot;--- &quot;_)"/>
    <numFmt numFmtId="181" formatCode="_(&quot;$&quot;* #,##0_);_(&quot;$&quot;* \(#,##0\);_(&quot;$&quot;* &quot;--- &quot;_)"/>
    <numFmt numFmtId="182" formatCode="#,##0.0000000000000_);[Red]\(#,##0.0000000000000\)"/>
    <numFmt numFmtId="183" formatCode="_(#,##0.0_);[Red]_(\(#,##0.0\);\ &quot;-- &quot;"/>
    <numFmt numFmtId="184" formatCode="#,##0.0_);[Red]\(#,##0.0\)"/>
    <numFmt numFmtId="185" formatCode="_ * #,##0.00_ ;_ * \-#,##0.00_ ;_ * &quot;-&quot;??_ ;_ @_ "/>
    <numFmt numFmtId="186" formatCode="&quot;$&quot;#,##0;[Red]&quot;$&quot;\-#,##0"/>
    <numFmt numFmtId="187" formatCode="_-* #,##0.00\ _€_-;\-* #,##0.00\ _€_-;_-* &quot;-&quot;??\ _€_-;_-@_-"/>
    <numFmt numFmtId="188" formatCode="&quot;$&quot;#,##0.00_);[Red]\(&quot;$&quot;#,##0.00\);&quot;--  &quot;;_(@_)"/>
    <numFmt numFmtId="189" formatCode="&quot;$&quot;#,##0.0_);[Red]\(&quot;$&quot;#,##0.0\)"/>
    <numFmt numFmtId="190" formatCode="mmm\-d\-yyyy"/>
    <numFmt numFmtId="191" formatCode="mmm\-yyyy"/>
    <numFmt numFmtId="192" formatCode="_-[$€-2]* #,##0.00_-;\-[$€-2]* #,##0.00_-;_-[$€-2]* &quot;-&quot;??_-"/>
    <numFmt numFmtId="193" formatCode="_([$€]* #,##0.00_);_([$€]* \(#,##0.00\);_([$€]* &quot;-&quot;??_);_(@_)"/>
    <numFmt numFmtId="194" formatCode="_-* #,##0.00\ &quot;€&quot;_-;\-* #,##0.00\ &quot;€&quot;_-;_-* &quot;-&quot;??\ &quot;€&quot;_-;_-@_-"/>
    <numFmt numFmtId="195" formatCode="_ * #,##0_ ;_ * \-#,##0_ ;_ * &quot;-&quot;_ ;_ @_ "/>
    <numFmt numFmtId="196" formatCode="#.00"/>
    <numFmt numFmtId="197" formatCode="###0_);\(###0\)"/>
    <numFmt numFmtId="198" formatCode="#,##0.00;\(#,##0.00\)"/>
    <numFmt numFmtId="199" formatCode="_ * #,##0.0_ ;_ * \-#,##0.0_ ;_ * &quot;-&quot;?_ ;_ @_ "/>
    <numFmt numFmtId="200" formatCode=";;;"/>
    <numFmt numFmtId="201" formatCode="#,##0.00\ &quot;Pts&quot;;\-#,##0.00\ &quot;Pts&quot;"/>
    <numFmt numFmtId="202" formatCode="#,##0.0000000_);\(#,##0.0000000\)"/>
    <numFmt numFmtId="203" formatCode="0.000000000"/>
    <numFmt numFmtId="204" formatCode="0.0%;[Red]\(0.0%\)"/>
    <numFmt numFmtId="205" formatCode="#,##0.000_);[Red]\(#,##0.000\)"/>
    <numFmt numFmtId="206" formatCode="#,##0.0_);\(#,##0.0\)"/>
    <numFmt numFmtId="207" formatCode="#,##0;\(#,##0\)"/>
    <numFmt numFmtId="208" formatCode="_(&quot;R$&quot;* #,##0_);_(&quot;R$&quot;* \(#,##0\);_(&quot;R$&quot;* &quot;-&quot;_);_(@_)"/>
    <numFmt numFmtId="209" formatCode="_(&quot;R$&quot;* #,##0.00_);_(&quot;R$&quot;* \(#,##0.00\);_(&quot;R$&quot;* &quot;-&quot;??_);_(@_)"/>
    <numFmt numFmtId="210" formatCode="_-* #,##0.00\ _p_t_a_-;\-* #,##0.00\ _p_t_a_-;_-* &quot;-&quot;??\ _p_t_a_-;_-@_-"/>
    <numFmt numFmtId="211" formatCode="_(* #,##0.0_);_(* \(#,##0.0\);_(* &quot;-&quot;?_);_(@_)"/>
    <numFmt numFmtId="212" formatCode="#,##0.00\x;\(#,##0.00\x\)"/>
    <numFmt numFmtId="213" formatCode="_(* #,##0.00000_);_(* \(#,##0.00000\);_(* &quot;-&quot;_);_(@_)"/>
    <numFmt numFmtId="214" formatCode="&quot;xxxx&quot;"/>
    <numFmt numFmtId="215" formatCode="#,##0.0_);[Red]\(#,##0.0\);&quot;--  &quot;"/>
    <numFmt numFmtId="216" formatCode="0.00_)"/>
    <numFmt numFmtId="217" formatCode="#,##0.000_);\(#,##0.000\)"/>
    <numFmt numFmtId="218" formatCode="[$$-240A]\ #,##0.000"/>
    <numFmt numFmtId="219" formatCode="#,##0.0_)\ \ ;[Red]\(#,##0.0\)\ \ "/>
    <numFmt numFmtId="220" formatCode="#,##0.00\x_);[Red]\(#,##0.00\x\);&quot;--  &quot;"/>
    <numFmt numFmtId="221" formatCode="#,##0.00_)&quot; &quot;;[Red]\(#,##0.00\)&quot; &quot;"/>
    <numFmt numFmtId="222" formatCode="_(* #,##0.00\x_);_(* \(#,##0.00\x\);_(* &quot;-&quot;??_);_(@_)"/>
    <numFmt numFmtId="223" formatCode="0%_);\(0%\)"/>
    <numFmt numFmtId="224" formatCode="_(* #,##0.0_);_(* \(#,##0.0\);_(* &quot;-&quot;_);_(@_)"/>
    <numFmt numFmtId="225" formatCode="0.0%;[Red]\(0.0%\);&quot;--  &quot;"/>
    <numFmt numFmtId="226" formatCode="&quot;Cr$&quot;#,##0_);[Red]\(&quot;Cr$&quot;#,##0\)"/>
    <numFmt numFmtId="227" formatCode="_(&quot;$&quot;* #,##0.00\x_);_(&quot;$&quot;* \(#,##0.00\x\);_(&quot;$&quot;* &quot;-&quot;??_);_(@_)"/>
    <numFmt numFmtId="228" formatCode="&quot;$&quot;#,##0.0_);\(&quot;$&quot;#,##0.0\)"/>
    <numFmt numFmtId="229" formatCode="#,##0.00\x;#,##0.00\x"/>
    <numFmt numFmtId="230" formatCode="\I\n\c\/\(d\ \ "/>
    <numFmt numFmtId="231" formatCode="#,##0.00000000_);\(#,##0.00000000\)"/>
    <numFmt numFmtId="232" formatCode="\ #,##0"/>
    <numFmt numFmtId="233" formatCode="yyyy"/>
    <numFmt numFmtId="234" formatCode="#,##0.00;\(#,##0.00\);_(* &quot;-&quot;_)"/>
    <numFmt numFmtId="235" formatCode="_(* #,##0.00\x_);_(* \(#,##0.00\x\);_(* &quot;-&quot;_);_(@_)"/>
    <numFmt numFmtId="236" formatCode="0.00\ "/>
    <numFmt numFmtId="237" formatCode="General_)"/>
    <numFmt numFmtId="238" formatCode="#,##0.00\ &quot;Pts&quot;;[Red]\-#,##0.00\ &quot;Pts&quot;"/>
    <numFmt numFmtId="239" formatCode="_(* #,##0.0000_);_(* \(#,##0.0000\);_(* &quot;-&quot;??_);_(@_)"/>
    <numFmt numFmtId="240" formatCode="0.0000"/>
    <numFmt numFmtId="241" formatCode="#,##0_ ;[Red]\-#,##0\ "/>
  </numFmts>
  <fonts count="2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 Unicode MS"/>
      <family val="2"/>
    </font>
    <font>
      <b/>
      <sz val="12"/>
      <color theme="1"/>
      <name val="Arial Unicode MS"/>
      <family val="2"/>
    </font>
    <font>
      <sz val="11"/>
      <color rgb="FFC00000"/>
      <name val="Calibri"/>
      <family val="2"/>
      <scheme val="minor"/>
    </font>
    <font>
      <sz val="11"/>
      <color theme="1"/>
      <name val="Arial Unicode MS"/>
      <family val="2"/>
    </font>
    <font>
      <sz val="12"/>
      <name val="Britannic Bold"/>
      <family val="2"/>
    </font>
    <font>
      <u/>
      <sz val="10"/>
      <color indexed="12"/>
      <name val="System"/>
      <family val="2"/>
    </font>
    <font>
      <sz val="10"/>
      <name val="System"/>
      <family val="2"/>
    </font>
    <font>
      <b/>
      <sz val="10"/>
      <name val="Arial Unicode MS"/>
      <family val="2"/>
    </font>
    <font>
      <sz val="10"/>
      <name val="Arial"/>
      <family val="2"/>
    </font>
    <font>
      <sz val="10"/>
      <name val="Verdana"/>
      <family val="2"/>
    </font>
    <font>
      <u/>
      <sz val="10"/>
      <color indexed="12"/>
      <name val="Arial Unicode MS"/>
      <family val="2"/>
    </font>
    <font>
      <sz val="11"/>
      <color indexed="8"/>
      <name val="Calibri"/>
      <family val="2"/>
    </font>
    <font>
      <sz val="10"/>
      <color theme="1"/>
      <name val="Arial Unicode MS"/>
      <family val="2"/>
    </font>
    <font>
      <sz val="11"/>
      <color theme="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Arial Unicode MS"/>
      <family val="2"/>
    </font>
    <font>
      <b/>
      <sz val="14"/>
      <color theme="1"/>
      <name val="Arial Unicode MS"/>
      <family val="2"/>
    </font>
    <font>
      <b/>
      <i/>
      <sz val="14"/>
      <color theme="2" tint="-0.749992370372631"/>
      <name val="Arial Unicode MS"/>
      <family val="2"/>
    </font>
    <font>
      <i/>
      <sz val="11"/>
      <color rgb="FF00B05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14"/>
      <color theme="2" tint="-0.74999237037263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i/>
      <sz val="12"/>
      <color theme="5" tint="-0.499984740745262"/>
      <name val="Calibri"/>
      <family val="2"/>
      <scheme val="minor"/>
    </font>
    <font>
      <sz val="11"/>
      <color rgb="FFFF0066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5"/>
      <color rgb="FF0070C0"/>
      <name val="Calibri"/>
      <family val="2"/>
      <scheme val="minor"/>
    </font>
    <font>
      <b/>
      <sz val="15"/>
      <name val="Calibri"/>
      <family val="2"/>
      <scheme val="minor"/>
    </font>
    <font>
      <b/>
      <sz val="15"/>
      <color rgb="FFC00000"/>
      <name val="Calibri"/>
      <family val="2"/>
      <scheme val="minor"/>
    </font>
    <font>
      <b/>
      <sz val="15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sz val="11"/>
      <color rgb="FF00CC00"/>
      <name val="Calibri"/>
      <family val="2"/>
      <scheme val="minor"/>
    </font>
    <font>
      <b/>
      <sz val="14"/>
      <color rgb="FF00CC00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b/>
      <sz val="12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i/>
      <sz val="11"/>
      <color theme="5" tint="-0.499984740745262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i/>
      <sz val="11"/>
      <color rgb="FFFF0066"/>
      <name val="Calibri"/>
      <family val="2"/>
      <scheme val="minor"/>
    </font>
    <font>
      <b/>
      <i/>
      <sz val="14"/>
      <color indexed="30"/>
      <name val="Arial Unicode MS"/>
      <family val="2"/>
    </font>
    <font>
      <b/>
      <sz val="16"/>
      <color indexed="30"/>
      <name val="Calibri"/>
      <family val="2"/>
    </font>
    <font>
      <b/>
      <sz val="16"/>
      <color indexed="8"/>
      <name val="Calibri"/>
      <family val="2"/>
    </font>
    <font>
      <b/>
      <sz val="18"/>
      <color indexed="30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"/>
      <color indexed="8"/>
      <name val="Courier"/>
      <family val="3"/>
    </font>
    <font>
      <sz val="11"/>
      <color rgb="FF9C6500"/>
      <name val="Calibri"/>
      <family val="2"/>
      <scheme val="minor"/>
    </font>
    <font>
      <sz val="10"/>
      <color theme="1"/>
      <name val="Arial"/>
      <family val="2"/>
    </font>
    <font>
      <b/>
      <sz val="9"/>
      <name val="Arial"/>
      <family val="2"/>
    </font>
    <font>
      <sz val="10"/>
      <name val="Helv"/>
      <charset val="204"/>
    </font>
    <font>
      <sz val="11"/>
      <color indexed="9"/>
      <name val="Calibri"/>
      <family val="2"/>
    </font>
    <font>
      <sz val="10"/>
      <color indexed="12"/>
      <name val="Times New Roman"/>
      <family val="1"/>
    </font>
    <font>
      <sz val="8"/>
      <name val="Arial"/>
      <family val="2"/>
    </font>
    <font>
      <sz val="10"/>
      <name val="FuturaA Bk BT"/>
    </font>
    <font>
      <sz val="11"/>
      <color indexed="20"/>
      <name val="Calibri"/>
      <family val="2"/>
    </font>
    <font>
      <sz val="10"/>
      <color indexed="12"/>
      <name val="Arial"/>
      <family val="2"/>
    </font>
    <font>
      <sz val="8"/>
      <color indexed="12"/>
      <name val="Arial"/>
      <family val="2"/>
    </font>
    <font>
      <b/>
      <sz val="10"/>
      <name val="MS Sans Serif"/>
      <family val="2"/>
    </font>
    <font>
      <b/>
      <i/>
      <sz val="12"/>
      <name val="Times New Roman"/>
      <family val="1"/>
    </font>
    <font>
      <sz val="11"/>
      <color indexed="17"/>
      <name val="Calibri"/>
      <family val="2"/>
    </font>
    <font>
      <sz val="8"/>
      <name val="Times"/>
      <family val="1"/>
    </font>
    <font>
      <b/>
      <sz val="11"/>
      <color indexed="52"/>
      <name val="Calibri"/>
      <family val="2"/>
    </font>
    <font>
      <sz val="9"/>
      <color indexed="10"/>
      <name val="Geneva"/>
      <family val="2"/>
    </font>
    <font>
      <sz val="10"/>
      <name val="Arial CE"/>
      <charset val="238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8"/>
      <name val="Verdana"/>
      <family val="2"/>
    </font>
    <font>
      <sz val="10"/>
      <color indexed="8"/>
      <name val="Arial"/>
      <family val="2"/>
    </font>
    <font>
      <sz val="10"/>
      <color theme="1"/>
      <name val="EYInterstate"/>
      <family val="2"/>
    </font>
    <font>
      <sz val="10"/>
      <name val="Times New Roman"/>
      <family val="1"/>
    </font>
    <font>
      <b/>
      <u/>
      <sz val="8"/>
      <name val="Times New Roman"/>
      <family val="1"/>
    </font>
    <font>
      <b/>
      <sz val="8"/>
      <name val="Arial"/>
      <family val="2"/>
    </font>
    <font>
      <i/>
      <sz val="10"/>
      <color indexed="17"/>
      <name val="Times New Roman"/>
      <family val="1"/>
    </font>
    <font>
      <sz val="10"/>
      <name val="Courier New CE"/>
    </font>
    <font>
      <b/>
      <sz val="11"/>
      <color indexed="56"/>
      <name val="Calibri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0"/>
      <name val="Arial CE"/>
      <family val="2"/>
      <charset val="238"/>
    </font>
    <font>
      <i/>
      <sz val="1"/>
      <color indexed="8"/>
      <name val="Courier"/>
      <family val="3"/>
    </font>
    <font>
      <sz val="10"/>
      <color indexed="24"/>
      <name val="Arial"/>
      <family val="2"/>
    </font>
    <font>
      <u/>
      <sz val="10"/>
      <color indexed="36"/>
      <name val="Courier"/>
      <family val="3"/>
    </font>
    <font>
      <sz val="10"/>
      <color indexed="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8"/>
      <color indexed="39"/>
      <name val="Arial"/>
      <family val="2"/>
    </font>
    <font>
      <sz val="11"/>
      <name val="Arial"/>
      <family val="2"/>
    </font>
    <font>
      <u/>
      <sz val="10"/>
      <color indexed="12"/>
      <name val="Courier"/>
      <family val="3"/>
    </font>
    <font>
      <b/>
      <sz val="9"/>
      <name val="Geneva"/>
      <family val="2"/>
    </font>
    <font>
      <u/>
      <sz val="10"/>
      <color indexed="18"/>
      <name val="Arial"/>
      <family val="2"/>
    </font>
    <font>
      <u/>
      <sz val="10"/>
      <color indexed="28"/>
      <name val="Arial"/>
      <family val="2"/>
    </font>
    <font>
      <sz val="10"/>
      <name val="MS Sans Serif"/>
      <family val="2"/>
    </font>
    <font>
      <sz val="12"/>
      <color indexed="12"/>
      <name val="Times New Roman"/>
      <family val="1"/>
    </font>
    <font>
      <sz val="10"/>
      <name val="Trebuchet MS"/>
      <family val="2"/>
    </font>
    <font>
      <sz val="10"/>
      <name val="Courier"/>
      <family val="3"/>
    </font>
    <font>
      <sz val="11"/>
      <color indexed="60"/>
      <name val="Calibri"/>
      <family val="2"/>
    </font>
    <font>
      <b/>
      <i/>
      <sz val="16"/>
      <name val="Helv"/>
    </font>
    <font>
      <sz val="9"/>
      <name val="Times New Roman"/>
      <family val="1"/>
    </font>
    <font>
      <sz val="8"/>
      <name val="Arial CE"/>
    </font>
    <font>
      <b/>
      <sz val="11"/>
      <color indexed="63"/>
      <name val="Calibri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i/>
      <sz val="10"/>
      <color indexed="23"/>
      <name val="Arial"/>
      <family val="2"/>
    </font>
    <font>
      <sz val="10"/>
      <color indexed="23"/>
      <name val="Arial"/>
      <family val="2"/>
    </font>
    <font>
      <i/>
      <sz val="8"/>
      <name val="Arial"/>
      <family val="2"/>
    </font>
    <font>
      <sz val="10"/>
      <color indexed="12"/>
      <name val="Trebuchet MS"/>
      <family val="2"/>
    </font>
    <font>
      <sz val="8"/>
      <color indexed="60"/>
      <name val="Arial"/>
      <family val="2"/>
    </font>
    <font>
      <sz val="10"/>
      <color indexed="9"/>
      <name val="Arial"/>
      <family val="2"/>
    </font>
    <font>
      <i/>
      <sz val="10"/>
      <color indexed="10"/>
      <name val="Futura Bk BT"/>
      <family val="2"/>
    </font>
    <font>
      <sz val="10"/>
      <name val="Futura Bk BT"/>
    </font>
    <font>
      <sz val="7"/>
      <color indexed="12"/>
      <name val="Arial"/>
      <family val="2"/>
    </font>
    <font>
      <sz val="8"/>
      <color indexed="10"/>
      <name val="Arial"/>
      <family val="2"/>
    </font>
    <font>
      <b/>
      <sz val="8"/>
      <color indexed="8"/>
      <name val="Arial"/>
      <family val="2"/>
    </font>
    <font>
      <b/>
      <i/>
      <sz val="12"/>
      <color indexed="8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b/>
      <sz val="16"/>
      <color indexed="8"/>
      <name val="Arial"/>
      <family val="2"/>
    </font>
    <font>
      <sz val="10"/>
      <color indexed="30"/>
      <name val="Arial"/>
      <family val="2"/>
    </font>
    <font>
      <sz val="6"/>
      <name val="Arial"/>
      <family val="2"/>
    </font>
    <font>
      <sz val="11"/>
      <color indexed="10"/>
      <name val="Calibri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2"/>
    </font>
    <font>
      <i/>
      <sz val="10"/>
      <name val="Times New Roman"/>
      <family val="1"/>
    </font>
    <font>
      <b/>
      <sz val="11"/>
      <color indexed="8"/>
      <name val="Calibri"/>
      <family val="2"/>
    </font>
    <font>
      <b/>
      <sz val="7"/>
      <color indexed="12"/>
      <name val="Arial"/>
      <family val="2"/>
    </font>
    <font>
      <sz val="12"/>
      <color indexed="14"/>
      <name val="Times New Roman"/>
      <family val="1"/>
    </font>
    <font>
      <sz val="8"/>
      <color indexed="9"/>
      <name val="Arial"/>
      <family val="2"/>
    </font>
    <font>
      <b/>
      <i/>
      <sz val="12"/>
      <color indexed="23"/>
      <name val="Arial"/>
      <family val="2"/>
    </font>
    <font>
      <b/>
      <sz val="13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CC33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theme="0"/>
      <name val="Arial Unicode MS"/>
      <family val="2"/>
    </font>
    <font>
      <i/>
      <sz val="11"/>
      <color rgb="FFFF0000"/>
      <name val="Arial Unicode MS"/>
      <family val="2"/>
    </font>
    <font>
      <i/>
      <sz val="11"/>
      <color rgb="FF0070C0"/>
      <name val="Arial Unicode MS"/>
    </font>
    <font>
      <b/>
      <i/>
      <sz val="11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0"/>
      <color theme="9" tint="-0.249977111117893"/>
      <name val="Calibri"/>
      <family val="2"/>
      <scheme val="minor"/>
    </font>
    <font>
      <b/>
      <sz val="16"/>
      <color theme="1"/>
      <name val="Calibri"/>
      <family val="2"/>
    </font>
    <font>
      <b/>
      <i/>
      <sz val="11"/>
      <color rgb="FFC00000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  <charset val="204"/>
    </font>
    <font>
      <sz val="10"/>
      <name val="Arial Unicode MS"/>
      <family val="2"/>
    </font>
    <font>
      <i/>
      <sz val="10"/>
      <name val="Arial Unicode MS"/>
      <family val="2"/>
    </font>
    <font>
      <i/>
      <sz val="10"/>
      <color rgb="FFFF0000"/>
      <name val="Arial Unicode MS"/>
      <family val="2"/>
    </font>
    <font>
      <sz val="10"/>
      <color theme="1"/>
      <name val="Calibri"/>
      <family val="2"/>
      <scheme val="minor"/>
    </font>
    <font>
      <sz val="10"/>
      <color rgb="FFFF3399"/>
      <name val="Arial Unicode MS"/>
      <family val="2"/>
    </font>
    <font>
      <i/>
      <sz val="10"/>
      <color rgb="FFFF3399"/>
      <name val="Arial Unicode MS"/>
      <family val="2"/>
    </font>
    <font>
      <b/>
      <sz val="10"/>
      <color theme="1"/>
      <name val="Arial Unicode MS"/>
      <family val="2"/>
    </font>
    <font>
      <b/>
      <i/>
      <sz val="10"/>
      <color theme="1"/>
      <name val="Arial Unicode MS"/>
      <family val="2"/>
    </font>
    <font>
      <i/>
      <sz val="10"/>
      <color rgb="FF0070C0"/>
      <name val="Arial Unicode MS"/>
    </font>
    <font>
      <b/>
      <i/>
      <sz val="10"/>
      <name val="Arial Unicode MS"/>
      <family val="2"/>
    </font>
    <font>
      <sz val="10"/>
      <name val="Calibri"/>
      <family val="2"/>
      <scheme val="minor"/>
    </font>
    <font>
      <sz val="10"/>
      <color rgb="FFFF0000"/>
      <name val="Arial Unicode MS"/>
    </font>
    <font>
      <b/>
      <i/>
      <sz val="10"/>
      <name val="Arial Unicode MS"/>
    </font>
    <font>
      <b/>
      <sz val="10"/>
      <name val="Arial Unicode MS"/>
    </font>
    <font>
      <b/>
      <sz val="10"/>
      <color rgb="FF0070C0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1"/>
      <color theme="8" tint="-0.249977111117893"/>
      <name val="Calibri"/>
      <family val="2"/>
      <scheme val="minor"/>
    </font>
    <font>
      <b/>
      <sz val="16"/>
      <color theme="9" tint="-0.499984740745262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0"/>
      <color rgb="FF7030A0"/>
      <name val="Calibri"/>
      <family val="2"/>
      <scheme val="minor"/>
    </font>
    <font>
      <i/>
      <sz val="10"/>
      <color rgb="FFC00000"/>
      <name val="Arial Unicode MS"/>
      <family val="2"/>
    </font>
    <font>
      <i/>
      <sz val="10"/>
      <color rgb="FF0070C0"/>
      <name val="Arial Unicode MS"/>
      <family val="2"/>
    </font>
    <font>
      <b/>
      <i/>
      <sz val="10"/>
      <color rgb="FFC00000"/>
      <name val="Arial Unicode MS"/>
      <family val="2"/>
    </font>
    <font>
      <i/>
      <sz val="10"/>
      <color theme="5" tint="-0.249977111117893"/>
      <name val="Arial Unicode MS"/>
      <family val="2"/>
    </font>
    <font>
      <b/>
      <i/>
      <sz val="16"/>
      <color rgb="FFC0000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i/>
      <sz val="12"/>
      <color rgb="FFC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1"/>
      <color theme="7" tint="-0.499984740745262"/>
      <name val="Calibri"/>
      <family val="2"/>
      <scheme val="minor"/>
    </font>
    <font>
      <i/>
      <sz val="11"/>
      <color rgb="FF7030A0"/>
      <name val="Arial Unicode MS"/>
    </font>
    <font>
      <b/>
      <i/>
      <sz val="11"/>
      <color theme="7" tint="-0.499984740745262"/>
      <name val="Calibri"/>
      <family val="2"/>
      <scheme val="minor"/>
    </font>
    <font>
      <b/>
      <i/>
      <sz val="11"/>
      <color rgb="FF00B0F0"/>
      <name val="Calibri"/>
      <family val="2"/>
      <scheme val="minor"/>
    </font>
    <font>
      <i/>
      <sz val="12"/>
      <color theme="0"/>
      <name val="Calibri"/>
      <family val="2"/>
      <scheme val="minor"/>
    </font>
    <font>
      <i/>
      <sz val="12"/>
      <color theme="9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rgb="FFC00000"/>
      <name val="Calibri"/>
      <family val="2"/>
      <scheme val="minor"/>
    </font>
    <font>
      <b/>
      <i/>
      <sz val="10"/>
      <color rgb="FFC00000"/>
      <name val="Calibri"/>
      <family val="2"/>
      <scheme val="minor"/>
    </font>
    <font>
      <b/>
      <i/>
      <u val="singleAccounting"/>
      <sz val="12"/>
      <color rgb="FFFF000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i/>
      <sz val="10"/>
      <color rgb="FFFF0066"/>
      <name val="Calibri"/>
      <family val="2"/>
      <scheme val="minor"/>
    </font>
    <font>
      <b/>
      <i/>
      <sz val="10"/>
      <color rgb="FFFF0066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</fonts>
  <fills count="152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gray125">
        <bgColor theme="8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gray125">
        <bgColor rgb="FFFFFF66"/>
      </patternFill>
    </fill>
    <fill>
      <patternFill patternType="solid">
        <fgColor rgb="FF00CC00"/>
        <bgColor indexed="64"/>
      </patternFill>
    </fill>
    <fill>
      <patternFill patternType="solid">
        <fgColor rgb="FF92D050"/>
        <bgColor indexed="64"/>
      </patternFill>
    </fill>
    <fill>
      <patternFill patternType="gray125">
        <bgColor theme="7" tint="0.59999389629810485"/>
      </patternFill>
    </fill>
    <fill>
      <patternFill patternType="solid">
        <fgColor theme="8" tint="0.39997558519241921"/>
        <bgColor indexed="64"/>
      </patternFill>
    </fill>
    <fill>
      <patternFill patternType="gray125">
        <bgColor theme="9" tint="0.39997558519241921"/>
      </patternFill>
    </fill>
    <fill>
      <patternFill patternType="gray0625">
        <bgColor theme="1" tint="0.499984740745262"/>
      </patternFill>
    </fill>
    <fill>
      <patternFill patternType="solid">
        <fgColor theme="0" tint="-0.499984740745262"/>
        <bgColor indexed="64"/>
      </patternFill>
    </fill>
    <fill>
      <patternFill patternType="gray0625">
        <bgColor theme="6" tint="0.59999389629810485"/>
      </patternFill>
    </fill>
    <fill>
      <patternFill patternType="gray0625">
        <bgColor rgb="FFFFFF99"/>
      </patternFill>
    </fill>
    <fill>
      <patternFill patternType="gray0625">
        <bgColor theme="3" tint="0.79998168889431442"/>
      </patternFill>
    </fill>
    <fill>
      <patternFill patternType="gray0625">
        <bgColor theme="9" tint="0.39997558519241921"/>
      </patternFill>
    </fill>
    <fill>
      <patternFill patternType="solid">
        <fgColor rgb="FFFF9966"/>
        <bgColor indexed="64"/>
      </patternFill>
    </fill>
    <fill>
      <patternFill patternType="gray125">
        <bgColor rgb="FFFF9966"/>
      </patternFill>
    </fill>
    <fill>
      <patternFill patternType="solid">
        <fgColor theme="9" tint="-0.249977111117893"/>
        <bgColor indexed="64"/>
      </patternFill>
    </fill>
    <fill>
      <patternFill patternType="gray125">
        <bgColor theme="6" tint="0.59999389629810485"/>
      </patternFill>
    </fill>
    <fill>
      <patternFill patternType="gray125">
        <bgColor rgb="FFFFFF99"/>
      </patternFill>
    </fill>
    <fill>
      <patternFill patternType="gray125">
        <bgColor theme="3" tint="0.79998168889431442"/>
      </patternFill>
    </fill>
    <fill>
      <patternFill patternType="gray125">
        <bgColor rgb="FFFFCCFF"/>
      </patternFill>
    </fill>
    <fill>
      <patternFill patternType="solid">
        <fgColor indexed="2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8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34"/>
      </patternFill>
    </fill>
    <fill>
      <patternFill patternType="gray0625">
        <fgColor indexed="11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9"/>
      </patternFill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40"/>
      </patternFill>
    </fill>
    <fill>
      <patternFill patternType="solid">
        <fgColor indexed="1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</fills>
  <borders count="16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hair">
        <color indexed="63"/>
      </top>
      <bottom style="hair">
        <color indexed="63"/>
      </bottom>
      <diagonal/>
    </border>
    <border>
      <left style="thick">
        <color indexed="9"/>
      </left>
      <right/>
      <top style="hair">
        <color indexed="63"/>
      </top>
      <bottom style="hair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ck">
        <color indexed="9"/>
      </left>
      <right/>
      <top style="thin">
        <color indexed="63"/>
      </top>
      <bottom style="hair">
        <color indexed="63"/>
      </bottom>
      <diagonal/>
    </border>
    <border>
      <left/>
      <right/>
      <top/>
      <bottom style="medium">
        <color indexed="24"/>
      </bottom>
      <diagonal/>
    </border>
    <border>
      <left style="thick">
        <color indexed="9"/>
      </left>
      <right style="thick">
        <color indexed="9"/>
      </right>
      <top style="thin">
        <color indexed="48"/>
      </top>
      <bottom style="thin">
        <color indexed="4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ck">
        <color indexed="9"/>
      </left>
      <right/>
      <top style="thin">
        <color indexed="63"/>
      </top>
      <bottom style="hair">
        <color indexed="63"/>
      </bottom>
      <diagonal/>
    </border>
    <border>
      <left style="thick">
        <color indexed="9"/>
      </left>
      <right style="thick">
        <color indexed="9"/>
      </right>
      <top style="thin">
        <color indexed="48"/>
      </top>
      <bottom style="thin">
        <color indexed="4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auto="1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auto="1"/>
      </left>
      <right/>
      <top/>
      <bottom/>
      <diagonal/>
    </border>
  </borders>
  <cellStyleXfs count="3519">
    <xf numFmtId="0" fontId="0" fillId="0" borderId="0"/>
    <xf numFmtId="169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8" fillId="0" borderId="0"/>
    <xf numFmtId="0" fontId="10" fillId="0" borderId="0"/>
    <xf numFmtId="171" fontId="12" fillId="0" borderId="0" applyFont="0" applyFill="0" applyBorder="0" applyAlignment="0" applyProtection="0"/>
    <xf numFmtId="0" fontId="8" fillId="0" borderId="0"/>
    <xf numFmtId="16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2" fillId="0" borderId="0"/>
    <xf numFmtId="169" fontId="15" fillId="0" borderId="0" applyFont="0" applyFill="0" applyBorder="0" applyAlignment="0" applyProtection="0"/>
    <xf numFmtId="0" fontId="10" fillId="0" borderId="0"/>
    <xf numFmtId="9" fontId="13" fillId="0" borderId="0" applyFont="0" applyFill="0" applyBorder="0" applyAlignment="0" applyProtection="0"/>
    <xf numFmtId="0" fontId="1" fillId="0" borderId="0"/>
    <xf numFmtId="0" fontId="12" fillId="0" borderId="0"/>
    <xf numFmtId="174" fontId="12" fillId="0" borderId="0" applyFont="0" applyFill="0" applyBorder="0" applyAlignment="0" applyProtection="0"/>
    <xf numFmtId="174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81" fillId="0" borderId="0" applyNumberFormat="0" applyFill="0" applyBorder="0" applyAlignment="0" applyProtection="0"/>
    <xf numFmtId="0" fontId="82" fillId="0" borderId="43" applyNumberFormat="0" applyFill="0" applyAlignment="0" applyProtection="0"/>
    <xf numFmtId="0" fontId="83" fillId="0" borderId="44" applyNumberFormat="0" applyFill="0" applyAlignment="0" applyProtection="0"/>
    <xf numFmtId="0" fontId="84" fillId="0" borderId="45" applyNumberFormat="0" applyFill="0" applyAlignment="0" applyProtection="0"/>
    <xf numFmtId="0" fontId="84" fillId="0" borderId="0" applyNumberFormat="0" applyFill="0" applyBorder="0" applyAlignment="0" applyProtection="0"/>
    <xf numFmtId="0" fontId="85" fillId="50" borderId="0" applyNumberFormat="0" applyBorder="0" applyAlignment="0" applyProtection="0"/>
    <xf numFmtId="0" fontId="86" fillId="51" borderId="0" applyNumberFormat="0" applyBorder="0" applyAlignment="0" applyProtection="0"/>
    <xf numFmtId="0" fontId="87" fillId="52" borderId="0" applyNumberFormat="0" applyBorder="0" applyAlignment="0" applyProtection="0"/>
    <xf numFmtId="0" fontId="88" fillId="53" borderId="46" applyNumberFormat="0" applyAlignment="0" applyProtection="0"/>
    <xf numFmtId="0" fontId="89" fillId="54" borderId="47" applyNumberFormat="0" applyAlignment="0" applyProtection="0"/>
    <xf numFmtId="0" fontId="90" fillId="54" borderId="46" applyNumberFormat="0" applyAlignment="0" applyProtection="0"/>
    <xf numFmtId="0" fontId="91" fillId="0" borderId="48" applyNumberFormat="0" applyFill="0" applyAlignment="0" applyProtection="0"/>
    <xf numFmtId="0" fontId="92" fillId="55" borderId="49" applyNumberFormat="0" applyAlignment="0" applyProtection="0"/>
    <xf numFmtId="0" fontId="2" fillId="0" borderId="0" applyNumberFormat="0" applyFill="0" applyBorder="0" applyAlignment="0" applyProtection="0"/>
    <xf numFmtId="0" fontId="1" fillId="56" borderId="50" applyNumberFormat="0" applyFont="0" applyAlignment="0" applyProtection="0"/>
    <xf numFmtId="0" fontId="93" fillId="0" borderId="0" applyNumberFormat="0" applyFill="0" applyBorder="0" applyAlignment="0" applyProtection="0"/>
    <xf numFmtId="0" fontId="3" fillId="0" borderId="51" applyNumberFormat="0" applyFill="0" applyAlignment="0" applyProtection="0"/>
    <xf numFmtId="0" fontId="94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94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94" fillId="65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68" borderId="0" applyNumberFormat="0" applyBorder="0" applyAlignment="0" applyProtection="0"/>
    <xf numFmtId="0" fontId="94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2" borderId="0" applyNumberFormat="0" applyBorder="0" applyAlignment="0" applyProtection="0"/>
    <xf numFmtId="0" fontId="94" fillId="73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94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80" borderId="0" applyNumberFormat="0" applyBorder="0" applyAlignment="0" applyProtection="0"/>
    <xf numFmtId="16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98" fillId="52" borderId="0" applyNumberFormat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2" fillId="0" borderId="0"/>
    <xf numFmtId="0" fontId="12" fillId="0" borderId="0"/>
    <xf numFmtId="177" fontId="163" fillId="12" borderId="87"/>
    <xf numFmtId="16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2" fillId="0" borderId="0"/>
    <xf numFmtId="0" fontId="1" fillId="0" borderId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2" fillId="0" borderId="0" applyFont="0" applyFill="0" applyBorder="0" applyAlignment="0" applyProtection="0"/>
    <xf numFmtId="0" fontId="99" fillId="0" borderId="0"/>
    <xf numFmtId="0" fontId="12" fillId="0" borderId="0" applyNumberFormat="0" applyFill="0" applyBorder="0" applyAlignment="0" applyProtection="0"/>
    <xf numFmtId="169" fontId="99" fillId="0" borderId="0" applyFont="0" applyFill="0" applyBorder="0" applyAlignment="0" applyProtection="0"/>
    <xf numFmtId="0" fontId="12" fillId="0" borderId="0"/>
    <xf numFmtId="169" fontId="99" fillId="0" borderId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9" fontId="99" fillId="0" borderId="0" applyFont="0" applyFill="0" applyBorder="0" applyAlignment="0" applyProtection="0"/>
    <xf numFmtId="0" fontId="101" fillId="0" borderId="0"/>
    <xf numFmtId="0" fontId="12" fillId="0" borderId="0" applyNumberFormat="0" applyFill="0" applyBorder="0" applyAlignment="0" applyProtection="0"/>
    <xf numFmtId="0" fontId="10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5" fillId="81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5" fillId="82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5" fillId="83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5" fillId="84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5" fillId="85" borderId="0" applyNumberFormat="0" applyBorder="0" applyAlignment="0" applyProtection="0"/>
    <xf numFmtId="0" fontId="1" fillId="78" borderId="0" applyNumberFormat="0" applyBorder="0" applyAlignment="0" applyProtection="0"/>
    <xf numFmtId="0" fontId="1" fillId="78" borderId="0" applyNumberFormat="0" applyBorder="0" applyAlignment="0" applyProtection="0"/>
    <xf numFmtId="0" fontId="15" fillId="86" borderId="0" applyNumberFormat="0" applyBorder="0" applyAlignment="0" applyProtection="0"/>
    <xf numFmtId="0" fontId="15" fillId="81" borderId="0" applyNumberFormat="0" applyBorder="0" applyAlignment="0" applyProtection="0"/>
    <xf numFmtId="0" fontId="15" fillId="81" borderId="0" applyNumberFormat="0" applyBorder="0" applyAlignment="0" applyProtection="0"/>
    <xf numFmtId="0" fontId="15" fillId="8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84" borderId="0" applyNumberFormat="0" applyBorder="0" applyAlignment="0" applyProtection="0"/>
    <xf numFmtId="0" fontId="15" fillId="85" borderId="0" applyNumberFormat="0" applyBorder="0" applyAlignment="0" applyProtection="0"/>
    <xf numFmtId="0" fontId="15" fillId="85" borderId="0" applyNumberFormat="0" applyBorder="0" applyAlignment="0" applyProtection="0"/>
    <xf numFmtId="0" fontId="15" fillId="86" borderId="0" applyNumberFormat="0" applyBorder="0" applyAlignment="0" applyProtection="0"/>
    <xf numFmtId="0" fontId="15" fillId="86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5" fillId="87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5" fillId="88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5" fillId="89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5" fillId="84" borderId="0" applyNumberFormat="0" applyBorder="0" applyAlignment="0" applyProtection="0"/>
    <xf numFmtId="0" fontId="1" fillId="75" borderId="0" applyNumberFormat="0" applyBorder="0" applyAlignment="0" applyProtection="0"/>
    <xf numFmtId="0" fontId="1" fillId="75" borderId="0" applyNumberFormat="0" applyBorder="0" applyAlignment="0" applyProtection="0"/>
    <xf numFmtId="0" fontId="15" fillId="87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5" fillId="90" borderId="0" applyNumberFormat="0" applyBorder="0" applyAlignment="0" applyProtection="0"/>
    <xf numFmtId="0" fontId="15" fillId="87" borderId="0" applyNumberFormat="0" applyBorder="0" applyAlignment="0" applyProtection="0"/>
    <xf numFmtId="0" fontId="15" fillId="87" borderId="0" applyNumberFormat="0" applyBorder="0" applyAlignment="0" applyProtection="0"/>
    <xf numFmtId="0" fontId="15" fillId="88" borderId="0" applyNumberFormat="0" applyBorder="0" applyAlignment="0" applyProtection="0"/>
    <xf numFmtId="0" fontId="15" fillId="88" borderId="0" applyNumberFormat="0" applyBorder="0" applyAlignment="0" applyProtection="0"/>
    <xf numFmtId="0" fontId="15" fillId="89" borderId="0" applyNumberFormat="0" applyBorder="0" applyAlignment="0" applyProtection="0"/>
    <xf numFmtId="0" fontId="15" fillId="89" borderId="0" applyNumberFormat="0" applyBorder="0" applyAlignment="0" applyProtection="0"/>
    <xf numFmtId="0" fontId="15" fillId="84" borderId="0" applyNumberFormat="0" applyBorder="0" applyAlignment="0" applyProtection="0"/>
    <xf numFmtId="0" fontId="15" fillId="84" borderId="0" applyNumberFormat="0" applyBorder="0" applyAlignment="0" applyProtection="0"/>
    <xf numFmtId="0" fontId="15" fillId="87" borderId="0" applyNumberFormat="0" applyBorder="0" applyAlignment="0" applyProtection="0"/>
    <xf numFmtId="0" fontId="15" fillId="87" borderId="0" applyNumberFormat="0" applyBorder="0" applyAlignment="0" applyProtection="0"/>
    <xf numFmtId="0" fontId="15" fillId="90" borderId="0" applyNumberFormat="0" applyBorder="0" applyAlignment="0" applyProtection="0"/>
    <xf numFmtId="0" fontId="15" fillId="90" borderId="0" applyNumberFormat="0" applyBorder="0" applyAlignment="0" applyProtection="0"/>
    <xf numFmtId="0" fontId="94" fillId="60" borderId="0" applyNumberFormat="0" applyBorder="0" applyAlignment="0" applyProtection="0"/>
    <xf numFmtId="0" fontId="94" fillId="60" borderId="0" applyNumberFormat="0" applyBorder="0" applyAlignment="0" applyProtection="0"/>
    <xf numFmtId="0" fontId="102" fillId="91" borderId="0" applyNumberFormat="0" applyBorder="0" applyAlignment="0" applyProtection="0"/>
    <xf numFmtId="0" fontId="94" fillId="64" borderId="0" applyNumberFormat="0" applyBorder="0" applyAlignment="0" applyProtection="0"/>
    <xf numFmtId="0" fontId="94" fillId="64" borderId="0" applyNumberFormat="0" applyBorder="0" applyAlignment="0" applyProtection="0"/>
    <xf numFmtId="0" fontId="102" fillId="88" borderId="0" applyNumberFormat="0" applyBorder="0" applyAlignment="0" applyProtection="0"/>
    <xf numFmtId="0" fontId="94" fillId="68" borderId="0" applyNumberFormat="0" applyBorder="0" applyAlignment="0" applyProtection="0"/>
    <xf numFmtId="0" fontId="94" fillId="68" borderId="0" applyNumberFormat="0" applyBorder="0" applyAlignment="0" applyProtection="0"/>
    <xf numFmtId="0" fontId="102" fillId="89" borderId="0" applyNumberFormat="0" applyBorder="0" applyAlignment="0" applyProtection="0"/>
    <xf numFmtId="0" fontId="94" fillId="72" borderId="0" applyNumberFormat="0" applyBorder="0" applyAlignment="0" applyProtection="0"/>
    <xf numFmtId="0" fontId="94" fillId="72" borderId="0" applyNumberFormat="0" applyBorder="0" applyAlignment="0" applyProtection="0"/>
    <xf numFmtId="0" fontId="102" fillId="92" borderId="0" applyNumberFormat="0" applyBorder="0" applyAlignment="0" applyProtection="0"/>
    <xf numFmtId="0" fontId="94" fillId="76" borderId="0" applyNumberFormat="0" applyBorder="0" applyAlignment="0" applyProtection="0"/>
    <xf numFmtId="0" fontId="94" fillId="76" borderId="0" applyNumberFormat="0" applyBorder="0" applyAlignment="0" applyProtection="0"/>
    <xf numFmtId="0" fontId="102" fillId="93" borderId="0" applyNumberFormat="0" applyBorder="0" applyAlignment="0" applyProtection="0"/>
    <xf numFmtId="0" fontId="94" fillId="80" borderId="0" applyNumberFormat="0" applyBorder="0" applyAlignment="0" applyProtection="0"/>
    <xf numFmtId="0" fontId="94" fillId="80" borderId="0" applyNumberFormat="0" applyBorder="0" applyAlignment="0" applyProtection="0"/>
    <xf numFmtId="0" fontId="102" fillId="94" borderId="0" applyNumberFormat="0" applyBorder="0" applyAlignment="0" applyProtection="0"/>
    <xf numFmtId="0" fontId="102" fillId="91" borderId="0" applyNumberFormat="0" applyBorder="0" applyAlignment="0" applyProtection="0"/>
    <xf numFmtId="0" fontId="102" fillId="91" borderId="0" applyNumberFormat="0" applyBorder="0" applyAlignment="0" applyProtection="0"/>
    <xf numFmtId="0" fontId="102" fillId="88" borderId="0" applyNumberFormat="0" applyBorder="0" applyAlignment="0" applyProtection="0"/>
    <xf numFmtId="0" fontId="102" fillId="88" borderId="0" applyNumberFormat="0" applyBorder="0" applyAlignment="0" applyProtection="0"/>
    <xf numFmtId="0" fontId="102" fillId="89" borderId="0" applyNumberFormat="0" applyBorder="0" applyAlignment="0" applyProtection="0"/>
    <xf numFmtId="0" fontId="102" fillId="89" borderId="0" applyNumberFormat="0" applyBorder="0" applyAlignment="0" applyProtection="0"/>
    <xf numFmtId="0" fontId="102" fillId="92" borderId="0" applyNumberFormat="0" applyBorder="0" applyAlignment="0" applyProtection="0"/>
    <xf numFmtId="0" fontId="102" fillId="92" borderId="0" applyNumberFormat="0" applyBorder="0" applyAlignment="0" applyProtection="0"/>
    <xf numFmtId="0" fontId="102" fillId="93" borderId="0" applyNumberFormat="0" applyBorder="0" applyAlignment="0" applyProtection="0"/>
    <xf numFmtId="0" fontId="102" fillId="93" borderId="0" applyNumberFormat="0" applyBorder="0" applyAlignment="0" applyProtection="0"/>
    <xf numFmtId="0" fontId="102" fillId="94" borderId="0" applyNumberFormat="0" applyBorder="0" applyAlignment="0" applyProtection="0"/>
    <xf numFmtId="0" fontId="102" fillId="94" borderId="0" applyNumberFormat="0" applyBorder="0" applyAlignment="0" applyProtection="0"/>
    <xf numFmtId="0" fontId="94" fillId="57" borderId="0" applyNumberFormat="0" applyBorder="0" applyAlignment="0" applyProtection="0"/>
    <xf numFmtId="0" fontId="94" fillId="57" borderId="0" applyNumberFormat="0" applyBorder="0" applyAlignment="0" applyProtection="0"/>
    <xf numFmtId="0" fontId="102" fillId="95" borderId="0" applyNumberFormat="0" applyBorder="0" applyAlignment="0" applyProtection="0"/>
    <xf numFmtId="0" fontId="94" fillId="61" borderId="0" applyNumberFormat="0" applyBorder="0" applyAlignment="0" applyProtection="0"/>
    <xf numFmtId="0" fontId="94" fillId="61" borderId="0" applyNumberFormat="0" applyBorder="0" applyAlignment="0" applyProtection="0"/>
    <xf numFmtId="0" fontId="102" fillId="96" borderId="0" applyNumberFormat="0" applyBorder="0" applyAlignment="0" applyProtection="0"/>
    <xf numFmtId="0" fontId="94" fillId="65" borderId="0" applyNumberFormat="0" applyBorder="0" applyAlignment="0" applyProtection="0"/>
    <xf numFmtId="0" fontId="94" fillId="65" borderId="0" applyNumberFormat="0" applyBorder="0" applyAlignment="0" applyProtection="0"/>
    <xf numFmtId="0" fontId="102" fillId="97" borderId="0" applyNumberFormat="0" applyBorder="0" applyAlignment="0" applyProtection="0"/>
    <xf numFmtId="0" fontId="94" fillId="69" borderId="0" applyNumberFormat="0" applyBorder="0" applyAlignment="0" applyProtection="0"/>
    <xf numFmtId="0" fontId="94" fillId="69" borderId="0" applyNumberFormat="0" applyBorder="0" applyAlignment="0" applyProtection="0"/>
    <xf numFmtId="0" fontId="102" fillId="92" borderId="0" applyNumberFormat="0" applyBorder="0" applyAlignment="0" applyProtection="0"/>
    <xf numFmtId="0" fontId="94" fillId="73" borderId="0" applyNumberFormat="0" applyBorder="0" applyAlignment="0" applyProtection="0"/>
    <xf numFmtId="0" fontId="94" fillId="73" borderId="0" applyNumberFormat="0" applyBorder="0" applyAlignment="0" applyProtection="0"/>
    <xf numFmtId="0" fontId="102" fillId="93" borderId="0" applyNumberFormat="0" applyBorder="0" applyAlignment="0" applyProtection="0"/>
    <xf numFmtId="0" fontId="94" fillId="77" borderId="0" applyNumberFormat="0" applyBorder="0" applyAlignment="0" applyProtection="0"/>
    <xf numFmtId="0" fontId="94" fillId="77" borderId="0" applyNumberFormat="0" applyBorder="0" applyAlignment="0" applyProtection="0"/>
    <xf numFmtId="0" fontId="102" fillId="98" borderId="0" applyNumberFormat="0" applyBorder="0" applyAlignment="0" applyProtection="0"/>
    <xf numFmtId="37" fontId="12" fillId="17" borderId="52" applyFill="0" applyBorder="0" applyAlignment="0" applyProtection="0"/>
    <xf numFmtId="180" fontId="103" fillId="0" borderId="0" applyFont="0" applyFill="0" applyBorder="0" applyAlignment="0" applyProtection="0"/>
    <xf numFmtId="181" fontId="103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04" fillId="0" borderId="0" applyFill="0" applyBorder="0" applyProtection="0">
      <alignment horizontal="right"/>
    </xf>
    <xf numFmtId="0" fontId="12" fillId="0" borderId="0" applyNumberFormat="0" applyFill="0" applyBorder="0" applyAlignment="0" applyProtection="0"/>
    <xf numFmtId="0" fontId="105" fillId="99" borderId="0"/>
    <xf numFmtId="0" fontId="86" fillId="51" borderId="0" applyNumberFormat="0" applyBorder="0" applyAlignment="0" applyProtection="0"/>
    <xf numFmtId="0" fontId="86" fillId="51" borderId="0" applyNumberFormat="0" applyBorder="0" applyAlignment="0" applyProtection="0"/>
    <xf numFmtId="0" fontId="106" fillId="82" borderId="0" applyNumberFormat="0" applyBorder="0" applyAlignment="0" applyProtection="0"/>
    <xf numFmtId="39" fontId="107" fillId="20" borderId="0" applyNumberFormat="0" applyFill="0" applyBorder="0" applyAlignment="0" applyProtection="0">
      <alignment horizontal="center"/>
    </xf>
    <xf numFmtId="184" fontId="108" fillId="12" borderId="0" applyNumberFormat="0" applyFill="0" applyBorder="0" applyAlignment="0" applyProtection="0">
      <alignment horizontal="center"/>
    </xf>
    <xf numFmtId="164" fontId="109" fillId="0" borderId="42" applyAlignment="0" applyProtection="0"/>
    <xf numFmtId="0" fontId="110" fillId="0" borderId="53" applyFill="0" applyProtection="0">
      <alignment horizontal="right"/>
    </xf>
    <xf numFmtId="0" fontId="111" fillId="83" borderId="0" applyNumberFormat="0" applyBorder="0" applyAlignment="0" applyProtection="0"/>
    <xf numFmtId="0" fontId="111" fillId="83" borderId="0" applyNumberFormat="0" applyBorder="0" applyAlignment="0" applyProtection="0"/>
    <xf numFmtId="39" fontId="112" fillId="0" borderId="0" applyFill="0" applyBorder="0" applyAlignment="0"/>
    <xf numFmtId="0" fontId="90" fillId="54" borderId="46" applyNumberFormat="0" applyAlignment="0" applyProtection="0"/>
    <xf numFmtId="0" fontId="90" fillId="54" borderId="46" applyNumberFormat="0" applyAlignment="0" applyProtection="0"/>
    <xf numFmtId="0" fontId="113" fillId="100" borderId="54" applyNumberFormat="0" applyAlignment="0" applyProtection="0"/>
    <xf numFmtId="0" fontId="113" fillId="100" borderId="54" applyNumberFormat="0" applyAlignment="0" applyProtection="0"/>
    <xf numFmtId="0" fontId="113" fillId="100" borderId="54" applyNumberFormat="0" applyAlignment="0" applyProtection="0"/>
    <xf numFmtId="0" fontId="114" fillId="0" borderId="0"/>
    <xf numFmtId="0" fontId="115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116" fillId="101" borderId="55" applyNumberFormat="0" applyAlignment="0" applyProtection="0"/>
    <xf numFmtId="0" fontId="116" fillId="101" borderId="55" applyNumberFormat="0" applyAlignment="0" applyProtection="0"/>
    <xf numFmtId="0" fontId="117" fillId="0" borderId="56" applyNumberFormat="0" applyFill="0" applyAlignment="0" applyProtection="0"/>
    <xf numFmtId="0" fontId="117" fillId="0" borderId="56" applyNumberFormat="0" applyFill="0" applyAlignment="0" applyProtection="0"/>
    <xf numFmtId="166" fontId="12" fillId="0" borderId="57" applyFont="0" applyFill="0" applyBorder="0" applyProtection="0">
      <alignment horizontal="right"/>
    </xf>
    <xf numFmtId="0" fontId="92" fillId="55" borderId="49" applyNumberFormat="0" applyAlignment="0" applyProtection="0"/>
    <xf numFmtId="1" fontId="118" fillId="49" borderId="10">
      <alignment horizontal="right" vertical="center"/>
    </xf>
    <xf numFmtId="169" fontId="119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99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20" fillId="0" borderId="0" applyFont="0" applyFill="0" applyBorder="0" applyAlignment="0" applyProtection="0"/>
    <xf numFmtId="169" fontId="12" fillId="0" borderId="0" applyFont="0" applyFill="0" applyBorder="0" applyAlignment="0" applyProtection="0"/>
    <xf numFmtId="169" fontId="99" fillId="0" borderId="0" applyFont="0" applyFill="0" applyBorder="0" applyAlignment="0" applyProtection="0"/>
    <xf numFmtId="169" fontId="12" fillId="0" borderId="0" applyFont="0" applyFill="0" applyBorder="0" applyAlignment="0" applyProtection="0"/>
    <xf numFmtId="186" fontId="121" fillId="0" borderId="0" applyFont="0" applyFill="0" applyBorder="0" applyAlignment="0" applyProtection="0"/>
    <xf numFmtId="186" fontId="121" fillId="0" borderId="0" applyFont="0" applyFill="0" applyBorder="0" applyAlignment="0" applyProtection="0"/>
    <xf numFmtId="186" fontId="121" fillId="0" borderId="0" applyFont="0" applyFill="0" applyBorder="0" applyAlignment="0" applyProtection="0"/>
    <xf numFmtId="186" fontId="121" fillId="0" borderId="0" applyFont="0" applyFill="0" applyBorder="0" applyAlignment="0" applyProtection="0"/>
    <xf numFmtId="185" fontId="121" fillId="0" borderId="0" applyFont="0" applyFill="0" applyBorder="0" applyAlignment="0" applyProtection="0"/>
    <xf numFmtId="169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69" fontId="15" fillId="0" borderId="0" applyFont="0" applyFill="0" applyBorder="0" applyAlignment="0" applyProtection="0"/>
    <xf numFmtId="185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37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99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99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40" fontId="12" fillId="0" borderId="0" applyFont="0" applyFill="0" applyBorder="0" applyProtection="0">
      <alignment horizontal="right"/>
    </xf>
    <xf numFmtId="3" fontId="122" fillId="0" borderId="0" applyFont="0" applyFill="0" applyBorder="0" applyAlignment="0" applyProtection="0"/>
    <xf numFmtId="37" fontId="12" fillId="16" borderId="52" applyFill="0" applyBorder="0" applyAlignment="0" applyProtection="0"/>
    <xf numFmtId="188" fontId="104" fillId="0" borderId="58" applyFont="0" applyFill="0" applyBorder="0" applyAlignment="0" applyProtection="0"/>
    <xf numFmtId="189" fontId="104" fillId="0" borderId="0" applyFont="0" applyFill="0" applyBorder="0" applyAlignment="0"/>
    <xf numFmtId="166" fontId="12" fillId="0" borderId="59">
      <protection locked="0"/>
    </xf>
    <xf numFmtId="168" fontId="15" fillId="0" borderId="0" applyFont="0" applyFill="0" applyBorder="0" applyAlignment="0" applyProtection="0"/>
    <xf numFmtId="168" fontId="99" fillId="0" borderId="0" applyFont="0" applyFill="0" applyBorder="0" applyAlignment="0" applyProtection="0"/>
    <xf numFmtId="0" fontId="122" fillId="0" borderId="0" applyFont="0" applyFill="0" applyBorder="0" applyAlignment="0" applyProtection="0"/>
    <xf numFmtId="14" fontId="123" fillId="12" borderId="21" applyFill="0" applyBorder="0">
      <alignment horizontal="right"/>
    </xf>
    <xf numFmtId="22" fontId="124" fillId="0" borderId="0">
      <alignment horizontal="left"/>
    </xf>
    <xf numFmtId="15" fontId="123" fillId="0" borderId="0" applyFill="0" applyBorder="0" applyAlignment="0"/>
    <xf numFmtId="184" fontId="123" fillId="102" borderId="0" applyFont="0" applyFill="0" applyBorder="0" applyAlignment="0" applyProtection="0"/>
    <xf numFmtId="190" fontId="108" fillId="102" borderId="19" applyFont="0" applyFill="0" applyBorder="0" applyAlignment="0" applyProtection="0"/>
    <xf numFmtId="190" fontId="104" fillId="102" borderId="0" applyFont="0" applyFill="0" applyBorder="0" applyAlignment="0" applyProtection="0"/>
    <xf numFmtId="17" fontId="123" fillId="0" borderId="0" applyFill="0" applyBorder="0">
      <alignment horizontal="right"/>
    </xf>
    <xf numFmtId="191" fontId="123" fillId="0" borderId="37"/>
    <xf numFmtId="14" fontId="123" fillId="12" borderId="21" applyFill="0" applyBorder="0">
      <alignment horizontal="right"/>
    </xf>
    <xf numFmtId="190" fontId="123" fillId="0" borderId="0" applyFill="0" applyBorder="0">
      <alignment horizontal="right"/>
    </xf>
    <xf numFmtId="189" fontId="12" fillId="0" borderId="23">
      <alignment horizontal="center"/>
    </xf>
    <xf numFmtId="0" fontId="125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65" fontId="104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02" fillId="95" borderId="0" applyNumberFormat="0" applyBorder="0" applyAlignment="0" applyProtection="0"/>
    <xf numFmtId="0" fontId="102" fillId="95" borderId="0" applyNumberFormat="0" applyBorder="0" applyAlignment="0" applyProtection="0"/>
    <xf numFmtId="0" fontId="102" fillId="96" borderId="0" applyNumberFormat="0" applyBorder="0" applyAlignment="0" applyProtection="0"/>
    <xf numFmtId="0" fontId="102" fillId="96" borderId="0" applyNumberFormat="0" applyBorder="0" applyAlignment="0" applyProtection="0"/>
    <xf numFmtId="0" fontId="102" fillId="97" borderId="0" applyNumberFormat="0" applyBorder="0" applyAlignment="0" applyProtection="0"/>
    <xf numFmtId="0" fontId="102" fillId="97" borderId="0" applyNumberFormat="0" applyBorder="0" applyAlignment="0" applyProtection="0"/>
    <xf numFmtId="0" fontId="102" fillId="92" borderId="0" applyNumberFormat="0" applyBorder="0" applyAlignment="0" applyProtection="0"/>
    <xf numFmtId="0" fontId="102" fillId="92" borderId="0" applyNumberFormat="0" applyBorder="0" applyAlignment="0" applyProtection="0"/>
    <xf numFmtId="0" fontId="102" fillId="93" borderId="0" applyNumberFormat="0" applyBorder="0" applyAlignment="0" applyProtection="0"/>
    <xf numFmtId="0" fontId="102" fillId="93" borderId="0" applyNumberFormat="0" applyBorder="0" applyAlignment="0" applyProtection="0"/>
    <xf numFmtId="0" fontId="102" fillId="98" borderId="0" applyNumberFormat="0" applyBorder="0" applyAlignment="0" applyProtection="0"/>
    <xf numFmtId="0" fontId="102" fillId="98" borderId="0" applyNumberFormat="0" applyBorder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9" fillId="86" borderId="54" applyNumberFormat="0" applyAlignment="0" applyProtection="0"/>
    <xf numFmtId="0" fontId="129" fillId="86" borderId="54" applyNumberFormat="0" applyAlignment="0" applyProtection="0"/>
    <xf numFmtId="0" fontId="12" fillId="0" borderId="0" applyNumberFormat="0" applyFill="0" applyBorder="0" applyAlignment="0" applyProtection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194" fontId="12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195" fontId="131" fillId="0" borderId="0" applyFont="0" applyFill="0" applyBorder="0" applyAlignment="0" applyProtection="0"/>
    <xf numFmtId="185" fontId="131" fillId="0" borderId="0" applyFont="0" applyFill="0" applyBorder="0" applyAlignment="0" applyProtection="0"/>
    <xf numFmtId="196" fontId="132" fillId="0" borderId="0">
      <protection locked="0"/>
    </xf>
    <xf numFmtId="196" fontId="97" fillId="0" borderId="0">
      <protection locked="0"/>
    </xf>
    <xf numFmtId="196" fontId="97" fillId="0" borderId="0">
      <protection locked="0"/>
    </xf>
    <xf numFmtId="196" fontId="97" fillId="0" borderId="0">
      <protection locked="0"/>
    </xf>
    <xf numFmtId="196" fontId="132" fillId="0" borderId="0">
      <protection locked="0"/>
    </xf>
    <xf numFmtId="196" fontId="97" fillId="0" borderId="0">
      <protection locked="0"/>
    </xf>
    <xf numFmtId="196" fontId="97" fillId="0" borderId="0">
      <protection locked="0"/>
    </xf>
    <xf numFmtId="3" fontId="133" fillId="0" borderId="0" applyFont="0" applyFill="0" applyBorder="0" applyAlignment="0" applyProtection="0"/>
    <xf numFmtId="2" fontId="122" fillId="0" borderId="0" applyFont="0" applyFill="0" applyBorder="0" applyAlignment="0" applyProtection="0"/>
    <xf numFmtId="197" fontId="12" fillId="102" borderId="0" applyFont="0" applyFill="0" applyBorder="0" applyAlignment="0"/>
    <xf numFmtId="0" fontId="134" fillId="0" borderId="0" applyNumberFormat="0" applyFill="0" applyBorder="0" applyAlignment="0" applyProtection="0">
      <alignment vertical="top"/>
      <protection locked="0"/>
    </xf>
    <xf numFmtId="198" fontId="135" fillId="0" borderId="0"/>
    <xf numFmtId="199" fontId="119" fillId="16" borderId="60" applyFill="0" applyBorder="0">
      <alignment vertical="center"/>
    </xf>
    <xf numFmtId="195" fontId="12" fillId="16" borderId="61" applyFill="0" applyBorder="0">
      <alignment vertical="center"/>
    </xf>
    <xf numFmtId="0" fontId="85" fillId="50" borderId="0" applyNumberFormat="0" applyBorder="0" applyAlignment="0" applyProtection="0"/>
    <xf numFmtId="38" fontId="104" fillId="16" borderId="0" applyNumberFormat="0" applyBorder="0" applyAlignment="0" applyProtection="0"/>
    <xf numFmtId="0" fontId="136" fillId="0" borderId="22" applyNumberFormat="0" applyAlignment="0" applyProtection="0">
      <alignment horizontal="left" vertical="center"/>
    </xf>
    <xf numFmtId="37" fontId="137" fillId="103" borderId="0">
      <alignment vertical="center"/>
    </xf>
    <xf numFmtId="0" fontId="136" fillId="0" borderId="35">
      <alignment horizontal="left" vertical="center"/>
    </xf>
    <xf numFmtId="37" fontId="138" fillId="103" borderId="0">
      <alignment horizontal="left" vertical="center"/>
    </xf>
    <xf numFmtId="0" fontId="136" fillId="0" borderId="35">
      <alignment horizontal="left" vertical="center"/>
    </xf>
    <xf numFmtId="37" fontId="139" fillId="103" borderId="0">
      <alignment horizontal="left"/>
    </xf>
    <xf numFmtId="14" fontId="95" fillId="49" borderId="5">
      <alignment horizontal="center" vertical="center" wrapText="1"/>
    </xf>
    <xf numFmtId="0" fontId="82" fillId="0" borderId="43" applyNumberFormat="0" applyFill="0" applyAlignment="0" applyProtection="0"/>
    <xf numFmtId="0" fontId="82" fillId="0" borderId="43" applyNumberFormat="0" applyFill="0" applyAlignment="0" applyProtection="0"/>
    <xf numFmtId="0" fontId="140" fillId="0" borderId="62" applyNumberFormat="0" applyFill="0" applyAlignment="0" applyProtection="0"/>
    <xf numFmtId="0" fontId="83" fillId="0" borderId="44" applyNumberFormat="0" applyFill="0" applyAlignment="0" applyProtection="0"/>
    <xf numFmtId="0" fontId="83" fillId="0" borderId="44" applyNumberFormat="0" applyFill="0" applyAlignment="0" applyProtection="0"/>
    <xf numFmtId="0" fontId="141" fillId="0" borderId="63" applyNumberFormat="0" applyFill="0" applyAlignment="0" applyProtection="0"/>
    <xf numFmtId="0" fontId="84" fillId="0" borderId="45" applyNumberFormat="0" applyFill="0" applyAlignment="0" applyProtection="0"/>
    <xf numFmtId="0" fontId="84" fillId="0" borderId="45" applyNumberFormat="0" applyFill="0" applyAlignment="0" applyProtection="0"/>
    <xf numFmtId="0" fontId="126" fillId="0" borderId="64" applyNumberFormat="0" applyFill="0" applyAlignment="0" applyProtection="0"/>
    <xf numFmtId="0" fontId="84" fillId="0" borderId="0" applyNumberFormat="0" applyFill="0" applyBorder="0" applyAlignment="0" applyProtection="0"/>
    <xf numFmtId="14" fontId="95" fillId="49" borderId="5">
      <alignment horizontal="center" vertical="center" wrapText="1"/>
    </xf>
    <xf numFmtId="0" fontId="100" fillId="0" borderId="0" applyFill="0" applyBorder="0" applyProtection="0">
      <alignment horizontal="right"/>
    </xf>
    <xf numFmtId="200" fontId="12" fillId="0" borderId="0" applyFont="0" applyFill="0" applyBorder="0" applyAlignment="0" applyProtection="0">
      <alignment vertical="top" wrapText="1"/>
    </xf>
    <xf numFmtId="176" fontId="142" fillId="0" borderId="0" applyFill="0" applyBorder="0" applyAlignment="0" applyProtection="0"/>
    <xf numFmtId="0" fontId="143" fillId="103" borderId="65" applyNumberFormat="0" applyFont="0" applyBorder="0" applyAlignment="0">
      <alignment vertical="center"/>
    </xf>
    <xf numFmtId="0" fontId="143" fillId="12" borderId="39" applyNumberFormat="0" applyFont="0" applyBorder="0" applyAlignment="0"/>
    <xf numFmtId="0" fontId="144" fillId="0" borderId="0" applyNumberFormat="0" applyFill="0" applyBorder="0" applyAlignment="0" applyProtection="0">
      <alignment vertical="top"/>
      <protection locked="0"/>
    </xf>
    <xf numFmtId="0" fontId="106" fillId="82" borderId="0" applyNumberFormat="0" applyBorder="0" applyAlignment="0" applyProtection="0"/>
    <xf numFmtId="0" fontId="106" fillId="82" borderId="0" applyNumberFormat="0" applyBorder="0" applyAlignment="0" applyProtection="0"/>
    <xf numFmtId="201" fontId="12" fillId="0" borderId="0" applyNumberFormat="0" applyFill="0" applyBorder="0" applyAlignment="0" applyProtection="0"/>
    <xf numFmtId="201" fontId="12" fillId="0" borderId="0" applyNumberFormat="0" applyFill="0" applyBorder="0" applyAlignment="0" applyProtection="0"/>
    <xf numFmtId="10" fontId="104" fillId="102" borderId="10" applyNumberFormat="0" applyBorder="0" applyAlignment="0" applyProtection="0"/>
    <xf numFmtId="0" fontId="88" fillId="53" borderId="46" applyNumberFormat="0" applyAlignment="0" applyProtection="0"/>
    <xf numFmtId="166" fontId="104" fillId="0" borderId="0"/>
    <xf numFmtId="202" fontId="12" fillId="102" borderId="0" applyFont="0" applyBorder="0" applyAlignment="0" applyProtection="0">
      <protection locked="0"/>
    </xf>
    <xf numFmtId="203" fontId="12" fillId="102" borderId="0" applyFont="0" applyBorder="0" applyAlignment="0">
      <protection locked="0"/>
    </xf>
    <xf numFmtId="184" fontId="142" fillId="104" borderId="0">
      <protection locked="0"/>
    </xf>
    <xf numFmtId="0" fontId="145" fillId="105" borderId="0" applyNumberFormat="0" applyBorder="0" applyAlignment="0">
      <protection locked="0"/>
    </xf>
    <xf numFmtId="204" fontId="108" fillId="102" borderId="0" applyBorder="0" applyAlignment="0">
      <protection locked="0"/>
    </xf>
    <xf numFmtId="10" fontId="104" fillId="102" borderId="0">
      <protection locked="0"/>
    </xf>
    <xf numFmtId="205" fontId="12" fillId="0" borderId="0"/>
    <xf numFmtId="184" fontId="12" fillId="102" borderId="0" applyNumberFormat="0" applyBorder="0" applyAlignment="0">
      <protection locked="0"/>
    </xf>
    <xf numFmtId="0" fontId="95" fillId="20" borderId="1" applyNumberFormat="0" applyFont="0" applyBorder="0">
      <alignment horizontal="left"/>
      <protection locked="0"/>
    </xf>
    <xf numFmtId="206" fontId="107" fillId="102" borderId="0">
      <protection locked="0"/>
    </xf>
    <xf numFmtId="177" fontId="107" fillId="102" borderId="0">
      <protection locked="0"/>
    </xf>
    <xf numFmtId="207" fontId="12" fillId="16" borderId="39" applyFill="0" applyBorder="0" applyAlignment="0"/>
    <xf numFmtId="0" fontId="146" fillId="0" borderId="0" applyNumberFormat="0" applyFill="0" applyBorder="0" applyAlignment="0" applyProtection="0">
      <alignment vertical="top"/>
      <protection locked="0"/>
    </xf>
    <xf numFmtId="0" fontId="147" fillId="0" borderId="0" applyNumberFormat="0" applyFill="0" applyBorder="0" applyAlignment="0" applyProtection="0">
      <alignment vertical="top"/>
      <protection locked="0"/>
    </xf>
    <xf numFmtId="0" fontId="146" fillId="0" borderId="0" applyNumberFormat="0" applyFill="0" applyBorder="0" applyAlignment="0" applyProtection="0">
      <alignment vertical="top"/>
      <protection locked="0"/>
    </xf>
    <xf numFmtId="37" fontId="123" fillId="0" borderId="10" applyNumberFormat="0" applyFont="0" applyFill="0" applyAlignment="0" applyProtection="0"/>
    <xf numFmtId="37" fontId="12" fillId="103" borderId="0">
      <alignment horizontal="left" indent="1"/>
    </xf>
    <xf numFmtId="37" fontId="12" fillId="103" borderId="0">
      <alignment horizontal="left" indent="2"/>
    </xf>
    <xf numFmtId="0" fontId="12" fillId="103" borderId="0">
      <alignment horizontal="left" vertical="center" indent="1"/>
    </xf>
    <xf numFmtId="0" fontId="91" fillId="0" borderId="48" applyNumberFormat="0" applyFill="0" applyAlignment="0" applyProtection="0"/>
    <xf numFmtId="206" fontId="12" fillId="0" borderId="0" applyNumberFormat="0" applyFont="0" applyFill="0" applyBorder="0" applyAlignment="0"/>
    <xf numFmtId="14" fontId="123" fillId="0" borderId="37" applyFont="0" applyFill="0" applyBorder="0" applyAlignment="0" applyProtection="0"/>
    <xf numFmtId="0" fontId="115" fillId="0" borderId="0" applyFont="0" applyFill="0" applyBorder="0" applyAlignment="0" applyProtection="0"/>
    <xf numFmtId="38" fontId="148" fillId="0" borderId="0" applyFont="0" applyFill="0" applyBorder="0" applyAlignment="0" applyProtection="0"/>
    <xf numFmtId="40" fontId="148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19" fillId="0" borderId="0" applyFont="0" applyFill="0" applyBorder="0" applyAlignment="0" applyProtection="0"/>
    <xf numFmtId="172" fontId="12" fillId="0" borderId="0" applyFont="0" applyFill="0" applyBorder="0" applyAlignment="0" applyProtection="0"/>
    <xf numFmtId="169" fontId="119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" fillId="0" borderId="0" applyFont="0" applyFill="0" applyBorder="0" applyAlignment="0" applyProtection="0"/>
    <xf numFmtId="169" fontId="119" fillId="0" borderId="0" applyFont="0" applyFill="0" applyBorder="0" applyAlignment="0" applyProtection="0"/>
    <xf numFmtId="169" fontId="1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19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69" fontId="15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208" fontId="121" fillId="0" borderId="0" applyFont="0" applyFill="0" applyBorder="0" applyAlignment="0" applyProtection="0"/>
    <xf numFmtId="209" fontId="121" fillId="0" borderId="0" applyFont="0" applyFill="0" applyBorder="0" applyAlignment="0" applyProtection="0"/>
    <xf numFmtId="168" fontId="15" fillId="0" borderId="0" applyFont="0" applyFill="0" applyBorder="0" applyAlignment="0" applyProtection="0"/>
    <xf numFmtId="210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3" fillId="0" borderId="0" applyFont="0" applyFill="0" applyBorder="0" applyAlignment="0" applyProtection="0"/>
    <xf numFmtId="206" fontId="12" fillId="0" borderId="0" applyNumberFormat="0" applyFill="0" applyBorder="0" applyAlignment="0" applyProtection="0"/>
    <xf numFmtId="211" fontId="149" fillId="0" borderId="37" applyBorder="0"/>
    <xf numFmtId="177" fontId="149" fillId="17" borderId="0" applyNumberFormat="0" applyFont="0" applyFill="0"/>
    <xf numFmtId="206" fontId="12" fillId="0" borderId="0" applyNumberFormat="0" applyFill="0" applyBorder="0" applyAlignment="0" applyProtection="0"/>
    <xf numFmtId="212" fontId="12" fillId="0" borderId="0" applyFont="0" applyFill="0" applyBorder="0" applyAlignment="0" applyProtection="0"/>
    <xf numFmtId="212" fontId="150" fillId="0" borderId="0" applyFont="0" applyFill="0" applyBorder="0" applyAlignment="0" applyProtection="0"/>
    <xf numFmtId="213" fontId="12" fillId="16" borderId="0" applyFont="0" applyBorder="0" applyAlignment="0" applyProtection="0">
      <alignment horizontal="right"/>
      <protection hidden="1"/>
    </xf>
    <xf numFmtId="0" fontId="151" fillId="0" borderId="0"/>
    <xf numFmtId="0" fontId="98" fillId="52" borderId="0" applyNumberFormat="0" applyBorder="0" applyAlignment="0" applyProtection="0"/>
    <xf numFmtId="0" fontId="152" fillId="106" borderId="0" applyNumberFormat="0" applyBorder="0" applyAlignment="0" applyProtection="0"/>
    <xf numFmtId="0" fontId="151" fillId="0" borderId="0"/>
    <xf numFmtId="214" fontId="12" fillId="103" borderId="66" applyFont="0" applyBorder="0">
      <alignment horizontal="center" vertical="center"/>
    </xf>
    <xf numFmtId="215" fontId="104" fillId="0" borderId="0" applyFont="0" applyFill="0" applyBorder="0" applyAlignment="0" applyProtection="0">
      <alignment horizontal="right"/>
    </xf>
    <xf numFmtId="216" fontId="153" fillId="0" borderId="0"/>
    <xf numFmtId="38" fontId="104" fillId="0" borderId="0" applyFont="0" applyFill="0" applyBorder="0" applyAlignment="0"/>
    <xf numFmtId="206" fontId="104" fillId="0" borderId="0" applyFont="0" applyFill="0" applyBorder="0" applyAlignment="0" applyProtection="0"/>
    <xf numFmtId="39" fontId="12" fillId="0" borderId="0" applyFont="0" applyFill="0" applyBorder="0" applyAlignment="0" applyProtection="0"/>
    <xf numFmtId="217" fontId="12" fillId="0" borderId="0" applyFont="0" applyFill="0" applyBorder="0" applyAlignment="0" applyProtection="0"/>
    <xf numFmtId="218" fontId="1" fillId="0" borderId="0"/>
    <xf numFmtId="0" fontId="12" fillId="0" borderId="0"/>
    <xf numFmtId="0" fontId="15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9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9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9" fillId="0" borderId="0"/>
    <xf numFmtId="0" fontId="12" fillId="0" borderId="0"/>
    <xf numFmtId="0" fontId="12" fillId="0" borderId="0"/>
    <xf numFmtId="0" fontId="120" fillId="0" borderId="0"/>
    <xf numFmtId="0" fontId="120" fillId="0" borderId="0"/>
    <xf numFmtId="0" fontId="12" fillId="0" borderId="0"/>
    <xf numFmtId="0" fontId="99" fillId="0" borderId="0"/>
    <xf numFmtId="0" fontId="12" fillId="0" borderId="0"/>
    <xf numFmtId="37" fontId="12" fillId="0" borderId="0"/>
    <xf numFmtId="0" fontId="1" fillId="0" borderId="0"/>
    <xf numFmtId="0" fontId="99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9" fillId="0" borderId="0"/>
    <xf numFmtId="0" fontId="1" fillId="0" borderId="0"/>
    <xf numFmtId="0" fontId="12" fillId="0" borderId="0"/>
    <xf numFmtId="0" fontId="1" fillId="0" borderId="0"/>
    <xf numFmtId="0" fontId="99" fillId="0" borderId="0"/>
    <xf numFmtId="0" fontId="99" fillId="0" borderId="0"/>
    <xf numFmtId="0" fontId="1" fillId="0" borderId="0"/>
    <xf numFmtId="0" fontId="99" fillId="0" borderId="0"/>
    <xf numFmtId="0" fontId="99" fillId="0" borderId="0"/>
    <xf numFmtId="0" fontId="12" fillId="0" borderId="0"/>
    <xf numFmtId="0" fontId="99" fillId="0" borderId="0"/>
    <xf numFmtId="0" fontId="12" fillId="0" borderId="0"/>
    <xf numFmtId="0" fontId="99" fillId="0" borderId="0"/>
    <xf numFmtId="0" fontId="99" fillId="0" borderId="0"/>
    <xf numFmtId="0" fontId="99" fillId="0" borderId="0"/>
    <xf numFmtId="0" fontId="12" fillId="0" borderId="0"/>
    <xf numFmtId="0" fontId="12" fillId="0" borderId="0"/>
    <xf numFmtId="0" fontId="12" fillId="0" borderId="0"/>
    <xf numFmtId="184" fontId="123" fillId="0" borderId="0" applyNumberFormat="0" applyFill="0" applyBorder="0" applyAlignment="0" applyProtection="0"/>
    <xf numFmtId="219" fontId="104" fillId="0" borderId="0" applyFont="0" applyFill="0" applyBorder="0" applyAlignment="0" applyProtection="0"/>
    <xf numFmtId="0" fontId="131" fillId="0" borderId="0"/>
    <xf numFmtId="40" fontId="123" fillId="0" borderId="0">
      <alignment horizontal="left"/>
    </xf>
    <xf numFmtId="0" fontId="148" fillId="0" borderId="0"/>
    <xf numFmtId="184" fontId="104" fillId="0" borderId="0"/>
    <xf numFmtId="0" fontId="155" fillId="0" borderId="0"/>
    <xf numFmtId="0" fontId="115" fillId="0" borderId="0"/>
    <xf numFmtId="220" fontId="104" fillId="0" borderId="0" applyFont="0" applyFill="0" applyBorder="0" applyAlignment="0" applyProtection="0"/>
    <xf numFmtId="221" fontId="104" fillId="0" borderId="0" applyFont="0" applyFill="0" applyBorder="0" applyAlignment="0" applyProtection="0"/>
    <xf numFmtId="0" fontId="12" fillId="107" borderId="67" applyNumberFormat="0" applyFont="0" applyAlignment="0" applyProtection="0"/>
    <xf numFmtId="0" fontId="1" fillId="56" borderId="50" applyNumberFormat="0" applyFont="0" applyAlignment="0" applyProtection="0"/>
    <xf numFmtId="0" fontId="12" fillId="107" borderId="67" applyNumberFormat="0" applyFont="0" applyAlignment="0" applyProtection="0"/>
    <xf numFmtId="0" fontId="1" fillId="56" borderId="50" applyNumberFormat="0" applyFont="0" applyAlignment="0" applyProtection="0"/>
    <xf numFmtId="179" fontId="12" fillId="0" borderId="0" applyFont="0" applyFill="0" applyBorder="0" applyAlignment="0" applyProtection="0"/>
    <xf numFmtId="222" fontId="12" fillId="0" borderId="0" applyFont="0" applyFill="0" applyBorder="0" applyAlignment="0" applyProtection="0"/>
    <xf numFmtId="0" fontId="89" fillId="54" borderId="47" applyNumberFormat="0" applyAlignment="0" applyProtection="0"/>
    <xf numFmtId="0" fontId="89" fillId="54" borderId="47" applyNumberFormat="0" applyAlignment="0" applyProtection="0"/>
    <xf numFmtId="0" fontId="156" fillId="100" borderId="68" applyNumberFormat="0" applyAlignment="0" applyProtection="0"/>
    <xf numFmtId="39" fontId="119" fillId="17" borderId="0">
      <alignment horizontal="right"/>
    </xf>
    <xf numFmtId="0" fontId="157" fillId="17" borderId="0">
      <alignment horizontal="center" vertical="center"/>
    </xf>
    <xf numFmtId="0" fontId="158" fillId="17" borderId="41"/>
    <xf numFmtId="0" fontId="157" fillId="17" borderId="0" applyBorder="0">
      <alignment horizontal="centerContinuous"/>
    </xf>
    <xf numFmtId="0" fontId="159" fillId="17" borderId="0" applyBorder="0">
      <alignment horizontal="centerContinuous"/>
    </xf>
    <xf numFmtId="37" fontId="12" fillId="103" borderId="0" applyBorder="0"/>
    <xf numFmtId="37" fontId="160" fillId="103" borderId="0"/>
    <xf numFmtId="4" fontId="12" fillId="103" borderId="0"/>
    <xf numFmtId="4" fontId="161" fillId="103" borderId="0"/>
    <xf numFmtId="177" fontId="12" fillId="103" borderId="0">
      <alignment horizontal="right"/>
    </xf>
    <xf numFmtId="177" fontId="160" fillId="103" borderId="0">
      <alignment horizontal="right"/>
    </xf>
    <xf numFmtId="3" fontId="12" fillId="103" borderId="52" applyFill="0" applyBorder="0" applyAlignment="0" applyProtection="0">
      <alignment vertical="top"/>
    </xf>
    <xf numFmtId="223" fontId="12" fillId="0" borderId="0" applyFont="0" applyFill="0" applyBorder="0" applyAlignment="0" applyProtection="0"/>
    <xf numFmtId="224" fontId="12" fillId="0" borderId="0" applyFont="0" applyFill="0" applyBorder="0" applyAlignment="0"/>
    <xf numFmtId="177" fontId="12" fillId="0" borderId="0" applyFont="0" applyFill="0" applyBorder="0" applyAlignment="0" applyProtection="0"/>
    <xf numFmtId="225" fontId="162" fillId="0" borderId="0" applyFill="0" applyBorder="0" applyAlignment="0" applyProtection="0"/>
    <xf numFmtId="204" fontId="104" fillId="0" borderId="0" applyFont="0" applyFill="0" applyBorder="0" applyAlignment="0"/>
    <xf numFmtId="10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177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226" fontId="12" fillId="0" borderId="0" applyFont="0" applyFill="0" applyBorder="0" applyProtection="0">
      <alignment horizontal="right"/>
    </xf>
    <xf numFmtId="177" fontId="163" fillId="12" borderId="67"/>
    <xf numFmtId="227" fontId="12" fillId="0" borderId="0" applyFont="0" applyFill="0" applyBorder="0" applyAlignment="0" applyProtection="0"/>
    <xf numFmtId="38" fontId="164" fillId="0" borderId="0" applyNumberForma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65" fillId="0" borderId="0" applyFont="0" applyFill="0" applyBorder="0" applyAlignment="0" applyProtection="0"/>
    <xf numFmtId="201" fontId="12" fillId="0" borderId="0" applyNumberFormat="0" applyAlignment="0">
      <alignment horizontal="left"/>
    </xf>
    <xf numFmtId="0" fontId="166" fillId="0" borderId="10">
      <alignment horizontal="center" vertical="center"/>
    </xf>
    <xf numFmtId="0" fontId="167" fillId="0" borderId="69" applyBorder="0">
      <alignment vertical="top"/>
      <protection locked="0"/>
    </xf>
    <xf numFmtId="228" fontId="168" fillId="0" borderId="0"/>
    <xf numFmtId="229" fontId="121" fillId="0" borderId="42" applyFont="0" applyFill="0" applyBorder="0" applyAlignment="0" applyProtection="0"/>
    <xf numFmtId="230" fontId="12" fillId="0" borderId="0" applyFont="0" applyFill="0" applyBorder="0" applyProtection="0">
      <alignment horizontal="right"/>
    </xf>
    <xf numFmtId="231" fontId="12" fillId="0" borderId="0" applyFont="0" applyFill="0" applyBorder="0" applyProtection="0">
      <alignment horizontal="right"/>
    </xf>
    <xf numFmtId="184" fontId="169" fillId="0" borderId="0" applyNumberFormat="0" applyFill="0" applyBorder="0" applyAlignment="0" applyProtection="0">
      <alignment horizontal="left"/>
    </xf>
    <xf numFmtId="0" fontId="104" fillId="0" borderId="0">
      <alignment horizontal="right"/>
    </xf>
    <xf numFmtId="0" fontId="156" fillId="100" borderId="68" applyNumberFormat="0" applyAlignment="0" applyProtection="0"/>
    <xf numFmtId="0" fontId="156" fillId="100" borderId="68" applyNumberFormat="0" applyAlignment="0" applyProtection="0"/>
    <xf numFmtId="4" fontId="170" fillId="12" borderId="70" applyNumberFormat="0" applyProtection="0">
      <alignment vertical="center"/>
    </xf>
    <xf numFmtId="4" fontId="171" fillId="12" borderId="70" applyNumberFormat="0" applyProtection="0">
      <alignment vertical="center"/>
    </xf>
    <xf numFmtId="4" fontId="172" fillId="12" borderId="70" applyNumberFormat="0" applyProtection="0">
      <alignment horizontal="left" vertical="center" indent="1"/>
    </xf>
    <xf numFmtId="4" fontId="170" fillId="108" borderId="70" applyNumberFormat="0" applyProtection="0">
      <alignment horizontal="left" vertical="center" wrapText="1" indent="1"/>
    </xf>
    <xf numFmtId="4" fontId="172" fillId="109" borderId="70" applyNumberFormat="0" applyProtection="0">
      <alignment horizontal="right" vertical="center"/>
    </xf>
    <xf numFmtId="4" fontId="172" fillId="110" borderId="70" applyNumberFormat="0" applyProtection="0">
      <alignment horizontal="right" vertical="center"/>
    </xf>
    <xf numFmtId="4" fontId="172" fillId="111" borderId="70" applyNumberFormat="0" applyProtection="0">
      <alignment horizontal="right" vertical="center"/>
    </xf>
    <xf numFmtId="4" fontId="172" fillId="112" borderId="70" applyNumberFormat="0" applyProtection="0">
      <alignment horizontal="right" vertical="center"/>
    </xf>
    <xf numFmtId="4" fontId="172" fillId="25" borderId="70" applyNumberFormat="0" applyProtection="0">
      <alignment horizontal="right" vertical="center"/>
    </xf>
    <xf numFmtId="4" fontId="172" fillId="103" borderId="70" applyNumberFormat="0" applyProtection="0">
      <alignment horizontal="right" vertical="center"/>
    </xf>
    <xf numFmtId="4" fontId="172" fillId="23" borderId="70" applyNumberFormat="0" applyProtection="0">
      <alignment horizontal="right" vertical="center"/>
    </xf>
    <xf numFmtId="4" fontId="172" fillId="113" borderId="70" applyNumberFormat="0" applyProtection="0">
      <alignment horizontal="right" vertical="center"/>
    </xf>
    <xf numFmtId="4" fontId="172" fillId="114" borderId="70" applyNumberFormat="0" applyProtection="0">
      <alignment horizontal="right" vertical="center"/>
    </xf>
    <xf numFmtId="4" fontId="158" fillId="115" borderId="71" applyNumberFormat="0" applyProtection="0">
      <alignment horizontal="left" vertical="center" indent="1"/>
    </xf>
    <xf numFmtId="4" fontId="173" fillId="116" borderId="0" applyNumberFormat="0" applyProtection="0">
      <alignment horizontal="left" vertical="center" indent="1"/>
    </xf>
    <xf numFmtId="4" fontId="173" fillId="117" borderId="0" applyNumberFormat="0" applyProtection="0">
      <alignment horizontal="left" vertical="center" indent="1"/>
    </xf>
    <xf numFmtId="4" fontId="174" fillId="116" borderId="70" applyNumberFormat="0" applyProtection="0">
      <alignment horizontal="right" vertical="center"/>
    </xf>
    <xf numFmtId="4" fontId="119" fillId="116" borderId="0" applyNumberFormat="0" applyProtection="0">
      <alignment horizontal="left" vertical="center" indent="1"/>
    </xf>
    <xf numFmtId="4" fontId="119" fillId="118" borderId="0" applyNumberFormat="0" applyProtection="0">
      <alignment horizontal="left" vertical="center" indent="1"/>
    </xf>
    <xf numFmtId="4" fontId="174" fillId="11" borderId="70" applyNumberFormat="0" applyProtection="0">
      <alignment vertical="center"/>
    </xf>
    <xf numFmtId="4" fontId="175" fillId="11" borderId="70" applyNumberFormat="0" applyProtection="0">
      <alignment vertical="center"/>
    </xf>
    <xf numFmtId="4" fontId="173" fillId="116" borderId="72" applyNumberFormat="0" applyProtection="0">
      <alignment horizontal="left" vertical="center" indent="1"/>
    </xf>
    <xf numFmtId="232" fontId="12" fillId="16" borderId="73">
      <alignment horizontal="right" vertical="center"/>
      <protection locked="0"/>
    </xf>
    <xf numFmtId="4" fontId="175" fillId="11" borderId="70" applyNumberFormat="0" applyProtection="0">
      <alignment horizontal="right" vertical="center"/>
    </xf>
    <xf numFmtId="4" fontId="119" fillId="119" borderId="70" applyNumberFormat="0" applyProtection="0">
      <alignment horizontal="left" vertical="center" indent="1"/>
    </xf>
    <xf numFmtId="0" fontId="176" fillId="0" borderId="74" applyNumberFormat="0" applyProtection="0">
      <alignment horizontal="left" vertical="center" indent="1"/>
    </xf>
    <xf numFmtId="4" fontId="177" fillId="100" borderId="75" applyNumberFormat="0" applyProtection="0">
      <alignment horizontal="right" vertical="center"/>
    </xf>
    <xf numFmtId="0" fontId="12" fillId="0" borderId="76" applyNumberFormat="0" applyFont="0" applyFill="0" applyAlignment="0" applyProtection="0"/>
    <xf numFmtId="0" fontId="12" fillId="0" borderId="0" applyNumberFormat="0" applyFont="0" applyFill="0" applyBorder="0" applyAlignment="0" applyProtection="0"/>
    <xf numFmtId="0" fontId="12" fillId="0" borderId="67" applyNumberFormat="0" applyFont="0" applyFill="0" applyAlignment="0" applyProtection="0"/>
    <xf numFmtId="0" fontId="136" fillId="0" borderId="0" applyFill="0" applyBorder="0" applyProtection="0">
      <alignment horizontal="left"/>
    </xf>
    <xf numFmtId="43" fontId="12" fillId="0" borderId="0" applyFont="0" applyFill="0" applyBorder="0" applyAlignment="0" applyProtection="0"/>
    <xf numFmtId="0" fontId="12" fillId="0" borderId="0"/>
    <xf numFmtId="12" fontId="12" fillId="0" borderId="0" applyFont="0" applyFill="0" applyBorder="0" applyProtection="0">
      <alignment horizontal="right"/>
    </xf>
    <xf numFmtId="233" fontId="12" fillId="120" borderId="0" applyFont="0" applyFill="0" applyBorder="0" applyProtection="0">
      <alignment horizontal="right"/>
    </xf>
    <xf numFmtId="234" fontId="104" fillId="0" borderId="0" applyFill="0" applyBorder="0" applyProtection="0">
      <alignment horizontal="right" wrapText="1"/>
    </xf>
    <xf numFmtId="0" fontId="119" fillId="0" borderId="0" applyNumberFormat="0" applyBorder="0" applyAlignment="0"/>
    <xf numFmtId="0" fontId="119" fillId="0" borderId="0" applyNumberFormat="0" applyBorder="0" applyAlignment="0"/>
    <xf numFmtId="0" fontId="158" fillId="0" borderId="0" applyNumberFormat="0" applyBorder="0" applyAlignment="0"/>
    <xf numFmtId="0" fontId="172" fillId="0" borderId="0" applyNumberFormat="0" applyBorder="0" applyAlignment="0"/>
    <xf numFmtId="1" fontId="178" fillId="0" borderId="0"/>
    <xf numFmtId="0" fontId="104" fillId="0" borderId="0"/>
    <xf numFmtId="0" fontId="151" fillId="0" borderId="0"/>
    <xf numFmtId="37" fontId="119" fillId="0" borderId="0" applyBorder="0" applyAlignment="0" applyProtection="0"/>
    <xf numFmtId="0" fontId="179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235" fontId="12" fillId="0" borderId="0" applyFill="0" applyBorder="0" applyAlignment="0" applyProtection="0">
      <alignment horizontal="right"/>
    </xf>
    <xf numFmtId="0" fontId="180" fillId="0" borderId="0" applyFill="0" applyBorder="0" applyProtection="0">
      <alignment horizontal="center" vertical="top"/>
    </xf>
    <xf numFmtId="236" fontId="12" fillId="0" borderId="0"/>
    <xf numFmtId="0" fontId="181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40" fillId="0" borderId="62" applyNumberFormat="0" applyFill="0" applyAlignment="0" applyProtection="0"/>
    <xf numFmtId="0" fontId="140" fillId="0" borderId="62" applyNumberFormat="0" applyFill="0" applyAlignment="0" applyProtection="0"/>
    <xf numFmtId="0" fontId="141" fillId="0" borderId="63" applyNumberFormat="0" applyFill="0" applyAlignment="0" applyProtection="0"/>
    <xf numFmtId="0" fontId="141" fillId="0" borderId="63" applyNumberFormat="0" applyFill="0" applyAlignment="0" applyProtection="0"/>
    <xf numFmtId="0" fontId="126" fillId="0" borderId="64" applyNumberFormat="0" applyFill="0" applyAlignment="0" applyProtection="0"/>
    <xf numFmtId="0" fontId="126" fillId="0" borderId="64" applyNumberFormat="0" applyFill="0" applyAlignment="0" applyProtection="0"/>
    <xf numFmtId="0" fontId="181" fillId="0" borderId="0" applyNumberFormat="0" applyFill="0" applyBorder="0" applyAlignment="0" applyProtection="0"/>
    <xf numFmtId="0" fontId="182" fillId="0" borderId="0" applyFill="0" applyBorder="0" applyAlignment="0" applyProtection="0"/>
    <xf numFmtId="0" fontId="3" fillId="0" borderId="51" applyNumberFormat="0" applyFill="0" applyAlignment="0" applyProtection="0"/>
    <xf numFmtId="0" fontId="183" fillId="0" borderId="77" applyNumberFormat="0" applyFill="0" applyAlignment="0" applyProtection="0"/>
    <xf numFmtId="37" fontId="95" fillId="103" borderId="0">
      <alignment horizontal="left" indent="1"/>
    </xf>
    <xf numFmtId="37" fontId="95" fillId="16" borderId="0">
      <alignment horizontal="left" vertical="center"/>
    </xf>
    <xf numFmtId="237" fontId="184" fillId="0" borderId="0">
      <alignment horizontal="left"/>
      <protection locked="0"/>
    </xf>
    <xf numFmtId="37" fontId="185" fillId="0" borderId="0">
      <protection locked="0"/>
    </xf>
    <xf numFmtId="238" fontId="12" fillId="0" borderId="0" applyFont="0" applyFill="0" applyBorder="0" applyAlignment="0" applyProtection="0"/>
    <xf numFmtId="238" fontId="12" fillId="0" borderId="0" applyFont="0" applyFill="0" applyBorder="0" applyAlignment="0" applyProtection="0"/>
    <xf numFmtId="2" fontId="133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2" fillId="0" borderId="0" applyNumberFormat="0" applyFill="0" applyBorder="0" applyAlignment="0" applyProtection="0"/>
    <xf numFmtId="184" fontId="186" fillId="0" borderId="0" applyNumberFormat="0" applyFill="0" applyBorder="0" applyAlignment="0" applyProtection="0"/>
    <xf numFmtId="40" fontId="12" fillId="0" borderId="0">
      <alignment horizontal="left" wrapText="1"/>
    </xf>
    <xf numFmtId="1" fontId="136" fillId="103" borderId="0">
      <alignment horizontal="right" vertical="center"/>
    </xf>
    <xf numFmtId="1" fontId="187" fillId="103" borderId="0">
      <alignment horizontal="right" vertical="center"/>
    </xf>
    <xf numFmtId="0" fontId="12" fillId="0" borderId="0" applyNumberForma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0" fillId="0" borderId="0"/>
    <xf numFmtId="169" fontId="99" fillId="0" borderId="0" applyFont="0" applyFill="0" applyBorder="0" applyAlignment="0" applyProtection="0"/>
    <xf numFmtId="0" fontId="10" fillId="0" borderId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" fillId="0" borderId="0"/>
    <xf numFmtId="167" fontId="99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0" fontId="81" fillId="0" borderId="0" applyNumberFormat="0" applyFill="0" applyBorder="0" applyAlignment="0" applyProtection="0"/>
    <xf numFmtId="0" fontId="83" fillId="0" borderId="44" applyNumberFormat="0" applyFill="0" applyAlignment="0" applyProtection="0"/>
    <xf numFmtId="0" fontId="84" fillId="0" borderId="45" applyNumberFormat="0" applyFill="0" applyAlignment="0" applyProtection="0"/>
    <xf numFmtId="0" fontId="84" fillId="0" borderId="0" applyNumberFormat="0" applyFill="0" applyBorder="0" applyAlignment="0" applyProtection="0"/>
    <xf numFmtId="0" fontId="85" fillId="50" borderId="0" applyNumberFormat="0" applyBorder="0" applyAlignment="0" applyProtection="0"/>
    <xf numFmtId="0" fontId="86" fillId="51" borderId="0" applyNumberFormat="0" applyBorder="0" applyAlignment="0" applyProtection="0"/>
    <xf numFmtId="0" fontId="88" fillId="53" borderId="46" applyNumberFormat="0" applyAlignment="0" applyProtection="0"/>
    <xf numFmtId="0" fontId="89" fillId="54" borderId="47" applyNumberFormat="0" applyAlignment="0" applyProtection="0"/>
    <xf numFmtId="0" fontId="90" fillId="54" borderId="46" applyNumberFormat="0" applyAlignment="0" applyProtection="0"/>
    <xf numFmtId="0" fontId="91" fillId="0" borderId="48" applyNumberFormat="0" applyFill="0" applyAlignment="0" applyProtection="0"/>
    <xf numFmtId="0" fontId="92" fillId="55" borderId="49" applyNumberFormat="0" applyAlignment="0" applyProtection="0"/>
    <xf numFmtId="0" fontId="2" fillId="0" borderId="0" applyNumberFormat="0" applyFill="0" applyBorder="0" applyAlignment="0" applyProtection="0"/>
    <xf numFmtId="0" fontId="1" fillId="56" borderId="50" applyNumberFormat="0" applyFont="0" applyAlignment="0" applyProtection="0"/>
    <xf numFmtId="0" fontId="93" fillId="0" borderId="0" applyNumberFormat="0" applyFill="0" applyBorder="0" applyAlignment="0" applyProtection="0"/>
    <xf numFmtId="0" fontId="94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94" fillId="60" borderId="0" applyNumberFormat="0" applyBorder="0" applyAlignment="0" applyProtection="0"/>
    <xf numFmtId="0" fontId="94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94" fillId="64" borderId="0" applyNumberFormat="0" applyBorder="0" applyAlignment="0" applyProtection="0"/>
    <xf numFmtId="0" fontId="94" fillId="65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94" fillId="68" borderId="0" applyNumberFormat="0" applyBorder="0" applyAlignment="0" applyProtection="0"/>
    <xf numFmtId="0" fontId="94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94" fillId="72" borderId="0" applyNumberFormat="0" applyBorder="0" applyAlignment="0" applyProtection="0"/>
    <xf numFmtId="0" fontId="94" fillId="73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94" fillId="76" borderId="0" applyNumberFormat="0" applyBorder="0" applyAlignment="0" applyProtection="0"/>
    <xf numFmtId="0" fontId="94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94" fillId="80" borderId="0" applyNumberFormat="0" applyBorder="0" applyAlignment="0" applyProtection="0"/>
    <xf numFmtId="0" fontId="1" fillId="0" borderId="0"/>
    <xf numFmtId="0" fontId="1" fillId="56" borderId="50" applyNumberFormat="0" applyFont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56" borderId="50" applyNumberFormat="0" applyFont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0" borderId="0"/>
    <xf numFmtId="0" fontId="99" fillId="0" borderId="0"/>
    <xf numFmtId="164" fontId="109" fillId="0" borderId="42" applyAlignment="0" applyProtection="0"/>
    <xf numFmtId="0" fontId="113" fillId="100" borderId="54" applyNumberFormat="0" applyAlignment="0" applyProtection="0"/>
    <xf numFmtId="0" fontId="113" fillId="100" borderId="54" applyNumberFormat="0" applyAlignment="0" applyProtection="0"/>
    <xf numFmtId="0" fontId="113" fillId="100" borderId="54" applyNumberFormat="0" applyAlignment="0" applyProtection="0"/>
    <xf numFmtId="166" fontId="12" fillId="0" borderId="59">
      <protection locked="0"/>
    </xf>
    <xf numFmtId="14" fontId="123" fillId="12" borderId="21" applyFill="0" applyBorder="0">
      <alignment horizontal="right"/>
    </xf>
    <xf numFmtId="0" fontId="129" fillId="86" borderId="54" applyNumberFormat="0" applyAlignment="0" applyProtection="0"/>
    <xf numFmtId="0" fontId="129" fillId="86" borderId="54" applyNumberFormat="0" applyAlignment="0" applyProtection="0"/>
    <xf numFmtId="0" fontId="136" fillId="0" borderId="22" applyNumberFormat="0" applyAlignment="0" applyProtection="0">
      <alignment horizontal="left" vertical="center"/>
    </xf>
    <xf numFmtId="0" fontId="136" fillId="0" borderId="35">
      <alignment horizontal="left" vertical="center"/>
    </xf>
    <xf numFmtId="14" fontId="95" fillId="49" borderId="5">
      <alignment horizontal="center" vertical="center" wrapText="1"/>
    </xf>
    <xf numFmtId="14" fontId="95" fillId="49" borderId="5">
      <alignment horizontal="center" vertical="center" wrapText="1"/>
    </xf>
    <xf numFmtId="0" fontId="143" fillId="103" borderId="65" applyNumberFormat="0" applyFont="0" applyBorder="0" applyAlignment="0">
      <alignment vertical="center"/>
    </xf>
    <xf numFmtId="229" fontId="121" fillId="0" borderId="42" applyFont="0" applyFill="0" applyBorder="0" applyAlignment="0" applyProtection="0"/>
    <xf numFmtId="4" fontId="158" fillId="115" borderId="71" applyNumberFormat="0" applyProtection="0">
      <alignment horizontal="left" vertical="center" indent="1"/>
    </xf>
    <xf numFmtId="0" fontId="12" fillId="0" borderId="0"/>
    <xf numFmtId="169" fontId="12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6" borderId="0" applyNumberFormat="0" applyBorder="0" applyAlignment="0" applyProtection="0"/>
    <xf numFmtId="0" fontId="1" fillId="66" borderId="0" applyNumberFormat="0" applyBorder="0" applyAlignment="0" applyProtection="0"/>
    <xf numFmtId="0" fontId="1" fillId="70" borderId="0" applyNumberFormat="0" applyBorder="0" applyAlignment="0" applyProtection="0"/>
    <xf numFmtId="0" fontId="1" fillId="70" borderId="0" applyNumberFormat="0" applyBorder="0" applyAlignment="0" applyProtection="0"/>
    <xf numFmtId="0" fontId="1" fillId="74" borderId="0" applyNumberFormat="0" applyBorder="0" applyAlignment="0" applyProtection="0"/>
    <xf numFmtId="0" fontId="1" fillId="74" borderId="0" applyNumberFormat="0" applyBorder="0" applyAlignment="0" applyProtection="0"/>
    <xf numFmtId="0" fontId="1" fillId="78" borderId="0" applyNumberFormat="0" applyBorder="0" applyAlignment="0" applyProtection="0"/>
    <xf numFmtId="0" fontId="1" fillId="78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63" borderId="0" applyNumberFormat="0" applyBorder="0" applyAlignment="0" applyProtection="0"/>
    <xf numFmtId="0" fontId="1" fillId="67" borderId="0" applyNumberFormat="0" applyBorder="0" applyAlignment="0" applyProtection="0"/>
    <xf numFmtId="0" fontId="1" fillId="67" borderId="0" applyNumberFormat="0" applyBorder="0" applyAlignment="0" applyProtection="0"/>
    <xf numFmtId="0" fontId="1" fillId="71" borderId="0" applyNumberFormat="0" applyBorder="0" applyAlignment="0" applyProtection="0"/>
    <xf numFmtId="0" fontId="1" fillId="71" borderId="0" applyNumberFormat="0" applyBorder="0" applyAlignment="0" applyProtection="0"/>
    <xf numFmtId="0" fontId="1" fillId="75" borderId="0" applyNumberFormat="0" applyBorder="0" applyAlignment="0" applyProtection="0"/>
    <xf numFmtId="0" fontId="1" fillId="75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164" fontId="109" fillId="0" borderId="42" applyAlignment="0" applyProtection="0"/>
    <xf numFmtId="0" fontId="110" fillId="0" borderId="53" applyFill="0" applyProtection="0">
      <alignment horizontal="right"/>
    </xf>
    <xf numFmtId="0" fontId="113" fillId="100" borderId="54" applyNumberFormat="0" applyAlignment="0" applyProtection="0"/>
    <xf numFmtId="0" fontId="113" fillId="100" borderId="54" applyNumberFormat="0" applyAlignment="0" applyProtection="0"/>
    <xf numFmtId="0" fontId="113" fillId="100" borderId="54" applyNumberFormat="0" applyAlignment="0" applyProtection="0"/>
    <xf numFmtId="166" fontId="12" fillId="0" borderId="57" applyFont="0" applyFill="0" applyBorder="0" applyProtection="0">
      <alignment horizontal="right"/>
    </xf>
    <xf numFmtId="1" fontId="118" fillId="49" borderId="10">
      <alignment horizontal="right" vertical="center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36" fillId="0" borderId="35">
      <alignment horizontal="left" vertical="center"/>
    </xf>
    <xf numFmtId="166" fontId="12" fillId="0" borderId="59">
      <protection locked="0"/>
    </xf>
    <xf numFmtId="168" fontId="15" fillId="0" borderId="0" applyFont="0" applyFill="0" applyBorder="0" applyAlignment="0" applyProtection="0"/>
    <xf numFmtId="168" fontId="99" fillId="0" borderId="0" applyFont="0" applyFill="0" applyBorder="0" applyAlignment="0" applyProtection="0"/>
    <xf numFmtId="14" fontId="123" fillId="12" borderId="21" applyFill="0" applyBorder="0">
      <alignment horizontal="right"/>
    </xf>
    <xf numFmtId="189" fontId="12" fillId="0" borderId="23">
      <alignment horizontal="center"/>
    </xf>
    <xf numFmtId="165" fontId="104" fillId="0" borderId="0"/>
    <xf numFmtId="37" fontId="123" fillId="0" borderId="10" applyNumberFormat="0" applyFont="0" applyFill="0" applyAlignment="0" applyProtection="0"/>
    <xf numFmtId="0" fontId="129" fillId="86" borderId="54" applyNumberFormat="0" applyAlignment="0" applyProtection="0"/>
    <xf numFmtId="0" fontId="129" fillId="86" borderId="54" applyNumberFormat="0" applyAlignment="0" applyProtection="0"/>
    <xf numFmtId="0" fontId="136" fillId="0" borderId="35">
      <alignment horizontal="left" vertical="center"/>
    </xf>
    <xf numFmtId="10" fontId="104" fillId="102" borderId="10" applyNumberFormat="0" applyBorder="0" applyAlignment="0" applyProtection="0"/>
    <xf numFmtId="0" fontId="136" fillId="0" borderId="35">
      <alignment horizontal="left" vertical="center"/>
    </xf>
    <xf numFmtId="0" fontId="136" fillId="0" borderId="22" applyNumberFormat="0" applyAlignment="0" applyProtection="0">
      <alignment horizontal="left" vertical="center"/>
    </xf>
    <xf numFmtId="0" fontId="136" fillId="0" borderId="35">
      <alignment horizontal="left" vertical="center"/>
    </xf>
    <xf numFmtId="14" fontId="95" fillId="49" borderId="5">
      <alignment horizontal="center" vertical="center" wrapText="1"/>
    </xf>
    <xf numFmtId="14" fontId="123" fillId="12" borderId="79" applyFill="0" applyBorder="0">
      <alignment horizontal="right"/>
    </xf>
    <xf numFmtId="14" fontId="95" fillId="49" borderId="5">
      <alignment horizontal="center" vertical="center" wrapText="1"/>
    </xf>
    <xf numFmtId="0" fontId="136" fillId="0" borderId="35">
      <alignment horizontal="left" vertical="center"/>
    </xf>
    <xf numFmtId="0" fontId="143" fillId="103" borderId="65" applyNumberFormat="0" applyFont="0" applyBorder="0" applyAlignment="0">
      <alignment vertical="center"/>
    </xf>
    <xf numFmtId="10" fontId="104" fillId="102" borderId="10" applyNumberFormat="0" applyBorder="0" applyAlignment="0" applyProtection="0"/>
    <xf numFmtId="166" fontId="104" fillId="0" borderId="0"/>
    <xf numFmtId="0" fontId="95" fillId="20" borderId="1" applyNumberFormat="0" applyFont="0" applyBorder="0">
      <alignment horizontal="left"/>
      <protection locked="0"/>
    </xf>
    <xf numFmtId="37" fontId="123" fillId="0" borderId="10" applyNumberFormat="0" applyFont="0" applyFill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4" fontId="123" fillId="12" borderId="79" applyFill="0" applyBorder="0">
      <alignment horizontal="right"/>
    </xf>
    <xf numFmtId="168" fontId="15" fillId="0" borderId="0" applyFont="0" applyFill="0" applyBorder="0" applyAlignment="0" applyProtection="0"/>
    <xf numFmtId="214" fontId="12" fillId="103" borderId="66" applyFont="0" applyBorder="0">
      <alignment horizontal="center" vertical="center"/>
    </xf>
    <xf numFmtId="218" fontId="1" fillId="0" borderId="0"/>
    <xf numFmtId="0" fontId="1" fillId="0" borderId="0"/>
    <xf numFmtId="1" fontId="118" fillId="49" borderId="10">
      <alignment horizontal="right" vertical="center"/>
    </xf>
    <xf numFmtId="0" fontId="1" fillId="0" borderId="0"/>
    <xf numFmtId="164" fontId="109" fillId="0" borderId="78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189" fontId="12" fillId="0" borderId="23">
      <alignment horizontal="center"/>
    </xf>
    <xf numFmtId="0" fontId="12" fillId="0" borderId="0"/>
    <xf numFmtId="4" fontId="158" fillId="115" borderId="71" applyNumberFormat="0" applyProtection="0">
      <alignment horizontal="left" vertical="center" indent="1"/>
    </xf>
    <xf numFmtId="0" fontId="12" fillId="107" borderId="67" applyNumberFormat="0" applyFont="0" applyAlignment="0" applyProtection="0"/>
    <xf numFmtId="0" fontId="1" fillId="56" borderId="50" applyNumberFormat="0" applyFont="0" applyAlignment="0" applyProtection="0"/>
    <xf numFmtId="0" fontId="12" fillId="107" borderId="67" applyNumberFormat="0" applyFont="0" applyAlignment="0" applyProtection="0"/>
    <xf numFmtId="0" fontId="1" fillId="56" borderId="50" applyNumberFormat="0" applyFont="0" applyAlignment="0" applyProtection="0"/>
    <xf numFmtId="14" fontId="123" fillId="12" borderId="79" applyFill="0" applyBorder="0">
      <alignment horizontal="right"/>
    </xf>
    <xf numFmtId="0" fontId="156" fillId="100" borderId="68" applyNumberFormat="0" applyAlignment="0" applyProtection="0"/>
    <xf numFmtId="16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63" fillId="12" borderId="67"/>
    <xf numFmtId="0" fontId="166" fillId="0" borderId="10">
      <alignment horizontal="center" vertical="center"/>
    </xf>
    <xf numFmtId="229" fontId="121" fillId="0" borderId="42" applyFont="0" applyFill="0" applyBorder="0" applyAlignment="0" applyProtection="0"/>
    <xf numFmtId="0" fontId="156" fillId="100" borderId="68" applyNumberFormat="0" applyAlignment="0" applyProtection="0"/>
    <xf numFmtId="0" fontId="156" fillId="100" borderId="68" applyNumberFormat="0" applyAlignment="0" applyProtection="0"/>
    <xf numFmtId="4" fontId="170" fillId="12" borderId="70" applyNumberFormat="0" applyProtection="0">
      <alignment vertical="center"/>
    </xf>
    <xf numFmtId="4" fontId="171" fillId="12" borderId="70" applyNumberFormat="0" applyProtection="0">
      <alignment vertical="center"/>
    </xf>
    <xf numFmtId="4" fontId="172" fillId="12" borderId="70" applyNumberFormat="0" applyProtection="0">
      <alignment horizontal="left" vertical="center" indent="1"/>
    </xf>
    <xf numFmtId="4" fontId="170" fillId="108" borderId="70" applyNumberFormat="0" applyProtection="0">
      <alignment horizontal="left" vertical="center" wrapText="1" indent="1"/>
    </xf>
    <xf numFmtId="4" fontId="172" fillId="109" borderId="70" applyNumberFormat="0" applyProtection="0">
      <alignment horizontal="right" vertical="center"/>
    </xf>
    <xf numFmtId="4" fontId="172" fillId="110" borderId="70" applyNumberFormat="0" applyProtection="0">
      <alignment horizontal="right" vertical="center"/>
    </xf>
    <xf numFmtId="4" fontId="172" fillId="111" borderId="70" applyNumberFormat="0" applyProtection="0">
      <alignment horizontal="right" vertical="center"/>
    </xf>
    <xf numFmtId="4" fontId="172" fillId="112" borderId="70" applyNumberFormat="0" applyProtection="0">
      <alignment horizontal="right" vertical="center"/>
    </xf>
    <xf numFmtId="4" fontId="172" fillId="25" borderId="70" applyNumberFormat="0" applyProtection="0">
      <alignment horizontal="right" vertical="center"/>
    </xf>
    <xf numFmtId="4" fontId="172" fillId="103" borderId="70" applyNumberFormat="0" applyProtection="0">
      <alignment horizontal="right" vertical="center"/>
    </xf>
    <xf numFmtId="4" fontId="172" fillId="23" borderId="70" applyNumberFormat="0" applyProtection="0">
      <alignment horizontal="right" vertical="center"/>
    </xf>
    <xf numFmtId="4" fontId="172" fillId="113" borderId="70" applyNumberFormat="0" applyProtection="0">
      <alignment horizontal="right" vertical="center"/>
    </xf>
    <xf numFmtId="4" fontId="172" fillId="114" borderId="70" applyNumberFormat="0" applyProtection="0">
      <alignment horizontal="right" vertical="center"/>
    </xf>
    <xf numFmtId="4" fontId="158" fillId="115" borderId="71" applyNumberFormat="0" applyProtection="0">
      <alignment horizontal="left" vertical="center" indent="1"/>
    </xf>
    <xf numFmtId="4" fontId="174" fillId="116" borderId="70" applyNumberFormat="0" applyProtection="0">
      <alignment horizontal="right" vertical="center"/>
    </xf>
    <xf numFmtId="4" fontId="174" fillId="11" borderId="70" applyNumberFormat="0" applyProtection="0">
      <alignment vertical="center"/>
    </xf>
    <xf numFmtId="4" fontId="175" fillId="11" borderId="70" applyNumberFormat="0" applyProtection="0">
      <alignment vertical="center"/>
    </xf>
    <xf numFmtId="4" fontId="173" fillId="116" borderId="72" applyNumberFormat="0" applyProtection="0">
      <alignment horizontal="left" vertical="center" indent="1"/>
    </xf>
    <xf numFmtId="232" fontId="12" fillId="16" borderId="73">
      <alignment horizontal="right" vertical="center"/>
      <protection locked="0"/>
    </xf>
    <xf numFmtId="4" fontId="175" fillId="11" borderId="70" applyNumberFormat="0" applyProtection="0">
      <alignment horizontal="right" vertical="center"/>
    </xf>
    <xf numFmtId="4" fontId="119" fillId="119" borderId="70" applyNumberFormat="0" applyProtection="0">
      <alignment horizontal="left" vertical="center" indent="1"/>
    </xf>
    <xf numFmtId="4" fontId="177" fillId="100" borderId="75" applyNumberFormat="0" applyProtection="0">
      <alignment horizontal="right" vertical="center"/>
    </xf>
    <xf numFmtId="0" fontId="12" fillId="0" borderId="76" applyNumberFormat="0" applyFont="0" applyFill="0" applyAlignment="0" applyProtection="0"/>
    <xf numFmtId="0" fontId="12" fillId="0" borderId="0"/>
    <xf numFmtId="0" fontId="12" fillId="0" borderId="67" applyNumberFormat="0" applyFont="0" applyFill="0" applyAlignment="0" applyProtection="0"/>
    <xf numFmtId="0" fontId="95" fillId="20" borderId="1" applyNumberFormat="0" applyFont="0" applyBorder="0">
      <alignment horizontal="left"/>
      <protection locked="0"/>
    </xf>
    <xf numFmtId="0" fontId="183" fillId="0" borderId="77" applyNumberFormat="0" applyFill="0" applyAlignment="0" applyProtection="0"/>
    <xf numFmtId="14" fontId="123" fillId="12" borderId="79" applyFill="0" applyBorder="0">
      <alignment horizontal="right"/>
    </xf>
    <xf numFmtId="169" fontId="12" fillId="0" borderId="0" applyFont="0" applyFill="0" applyBorder="0" applyAlignment="0" applyProtection="0"/>
    <xf numFmtId="0" fontId="12" fillId="0" borderId="0"/>
    <xf numFmtId="0" fontId="1" fillId="0" borderId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0" fontId="1" fillId="0" borderId="0"/>
    <xf numFmtId="14" fontId="123" fillId="12" borderId="79" applyFill="0" applyBorder="0">
      <alignment horizontal="right"/>
    </xf>
    <xf numFmtId="0" fontId="136" fillId="0" borderId="35">
      <alignment horizontal="left" vertical="center"/>
    </xf>
    <xf numFmtId="0" fontId="136" fillId="0" borderId="22" applyNumberFormat="0" applyAlignment="0" applyProtection="0">
      <alignment horizontal="left" vertical="center"/>
    </xf>
    <xf numFmtId="0" fontId="1" fillId="56" borderId="50" applyNumberFormat="0" applyFont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0" borderId="0"/>
    <xf numFmtId="0" fontId="1" fillId="56" borderId="50" applyNumberFormat="0" applyFont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56" borderId="50" applyNumberFormat="0" applyFont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70" borderId="0" applyNumberFormat="0" applyBorder="0" applyAlignment="0" applyProtection="0"/>
    <xf numFmtId="0" fontId="1" fillId="71" borderId="0" applyNumberFormat="0" applyBorder="0" applyAlignment="0" applyProtection="0"/>
    <xf numFmtId="0" fontId="1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0" borderId="0"/>
    <xf numFmtId="169" fontId="12" fillId="0" borderId="0" applyFont="0" applyFill="0" applyBorder="0" applyAlignment="0" applyProtection="0"/>
    <xf numFmtId="0" fontId="166" fillId="0" borderId="10">
      <alignment horizontal="center" vertical="center"/>
    </xf>
    <xf numFmtId="229" fontId="121" fillId="0" borderId="78" applyFont="0" applyFill="0" applyBorder="0" applyAlignment="0" applyProtection="0"/>
    <xf numFmtId="4" fontId="158" fillId="115" borderId="71" applyNumberFormat="0" applyProtection="0">
      <alignment horizontal="left" vertical="center" indent="1"/>
    </xf>
    <xf numFmtId="169" fontId="12" fillId="0" borderId="0" applyFont="0" applyFill="0" applyBorder="0" applyAlignment="0" applyProtection="0"/>
    <xf numFmtId="0" fontId="136" fillId="0" borderId="35">
      <alignment horizontal="left" vertical="center"/>
    </xf>
    <xf numFmtId="0" fontId="136" fillId="0" borderId="35">
      <alignment horizontal="left" vertical="center"/>
    </xf>
    <xf numFmtId="169" fontId="12" fillId="0" borderId="0" applyFont="0" applyFill="0" applyBorder="0" applyAlignment="0" applyProtection="0"/>
    <xf numFmtId="0" fontId="12" fillId="0" borderId="0"/>
    <xf numFmtId="0" fontId="95" fillId="20" borderId="1" applyNumberFormat="0" applyFont="0" applyBorder="0">
      <alignment horizontal="left"/>
      <protection locked="0"/>
    </xf>
    <xf numFmtId="0" fontId="12" fillId="0" borderId="0"/>
    <xf numFmtId="0" fontId="12" fillId="0" borderId="0"/>
    <xf numFmtId="0" fontId="136" fillId="0" borderId="22" applyNumberFormat="0" applyAlignment="0" applyProtection="0">
      <alignment horizontal="left" vertical="center"/>
    </xf>
    <xf numFmtId="169" fontId="12" fillId="0" borderId="0" applyFont="0" applyFill="0" applyBorder="0" applyAlignment="0" applyProtection="0"/>
    <xf numFmtId="4" fontId="158" fillId="115" borderId="71" applyNumberFormat="0" applyProtection="0">
      <alignment horizontal="left" vertical="center" indent="1"/>
    </xf>
    <xf numFmtId="14" fontId="123" fillId="12" borderId="79" applyFill="0" applyBorder="0">
      <alignment horizontal="right"/>
    </xf>
    <xf numFmtId="169" fontId="12" fillId="0" borderId="0" applyFont="0" applyFill="0" applyBorder="0" applyAlignment="0" applyProtection="0"/>
    <xf numFmtId="14" fontId="123" fillId="12" borderId="79" applyFill="0" applyBorder="0">
      <alignment horizontal="right"/>
    </xf>
    <xf numFmtId="0" fontId="183" fillId="0" borderId="94" applyNumberFormat="0" applyFill="0" applyAlignment="0" applyProtection="0"/>
    <xf numFmtId="0" fontId="136" fillId="0" borderId="104">
      <alignment horizontal="left" vertical="center"/>
    </xf>
    <xf numFmtId="0" fontId="12" fillId="107" borderId="87" applyNumberFormat="0" applyFont="0" applyAlignment="0" applyProtection="0"/>
    <xf numFmtId="4" fontId="170" fillId="108" borderId="89" applyNumberFormat="0" applyProtection="0">
      <alignment horizontal="left" vertical="center" wrapText="1" indent="1"/>
    </xf>
    <xf numFmtId="4" fontId="171" fillId="12" borderId="89" applyNumberFormat="0" applyProtection="0">
      <alignment vertical="center"/>
    </xf>
    <xf numFmtId="0" fontId="136" fillId="0" borderId="99" applyNumberFormat="0" applyAlignment="0" applyProtection="0">
      <alignment horizontal="left" vertical="center"/>
    </xf>
    <xf numFmtId="4" fontId="170" fillId="12" borderId="89" applyNumberFormat="0" applyProtection="0">
      <alignment vertical="center"/>
    </xf>
    <xf numFmtId="0" fontId="113" fillId="100" borderId="84" applyNumberFormat="0" applyAlignment="0" applyProtection="0"/>
    <xf numFmtId="0" fontId="126" fillId="0" borderId="64" applyNumberFormat="0" applyFill="0" applyAlignment="0" applyProtection="0"/>
    <xf numFmtId="4" fontId="171" fillId="12" borderId="89" applyNumberFormat="0" applyProtection="0">
      <alignment vertical="center"/>
    </xf>
    <xf numFmtId="214" fontId="12" fillId="103" borderId="66" applyFont="0" applyBorder="0">
      <alignment horizontal="center" vertical="center"/>
    </xf>
    <xf numFmtId="166" fontId="12" fillId="0" borderId="57" applyFont="0" applyFill="0" applyBorder="0" applyProtection="0">
      <alignment horizontal="right"/>
    </xf>
    <xf numFmtId="0" fontId="129" fillId="86" borderId="84" applyNumberFormat="0" applyAlignment="0" applyProtection="0"/>
    <xf numFmtId="1" fontId="118" fillId="49" borderId="102">
      <alignment horizontal="right" vertical="center"/>
    </xf>
    <xf numFmtId="0" fontId="12" fillId="107" borderId="87" applyNumberFormat="0" applyFont="0" applyAlignment="0" applyProtection="0"/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95" fillId="20" borderId="1" applyNumberFormat="0" applyFont="0" applyBorder="0">
      <alignment horizontal="left"/>
      <protection locked="0"/>
    </xf>
    <xf numFmtId="4" fontId="170" fillId="108" borderId="89" applyNumberFormat="0" applyProtection="0">
      <alignment horizontal="left" vertical="center" wrapText="1" indent="1"/>
    </xf>
    <xf numFmtId="166" fontId="12" fillId="0" borderId="85">
      <protection locked="0"/>
    </xf>
    <xf numFmtId="4" fontId="174" fillId="11" borderId="89" applyNumberFormat="0" applyProtection="0">
      <alignment vertical="center"/>
    </xf>
    <xf numFmtId="166" fontId="12" fillId="0" borderId="57" applyFont="0" applyFill="0" applyBorder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164" fontId="109" fillId="0" borderId="95" applyAlignment="0" applyProtection="0"/>
    <xf numFmtId="189" fontId="12" fillId="0" borderId="101">
      <alignment horizontal="center"/>
    </xf>
    <xf numFmtId="189" fontId="12" fillId="0" borderId="101">
      <alignment horizontal="center"/>
    </xf>
    <xf numFmtId="4" fontId="172" fillId="12" borderId="89" applyNumberFormat="0" applyProtection="0">
      <alignment horizontal="left" vertical="center" indent="1"/>
    </xf>
    <xf numFmtId="164" fontId="109" fillId="0" borderId="95" applyAlignment="0" applyProtection="0"/>
    <xf numFmtId="177" fontId="163" fillId="12" borderId="87"/>
    <xf numFmtId="14" fontId="123" fillId="12" borderId="103" applyFill="0" applyBorder="0">
      <alignment horizontal="right"/>
    </xf>
    <xf numFmtId="4" fontId="172" fillId="109" borderId="89" applyNumberFormat="0" applyProtection="0">
      <alignment horizontal="right" vertical="center"/>
    </xf>
    <xf numFmtId="0" fontId="129" fillId="86" borderId="84" applyNumberFormat="0" applyAlignment="0" applyProtection="0"/>
    <xf numFmtId="4" fontId="158" fillId="115" borderId="71" applyNumberFormat="0" applyProtection="0">
      <alignment horizontal="left" vertical="center" indent="1"/>
    </xf>
    <xf numFmtId="4" fontId="173" fillId="116" borderId="90" applyNumberFormat="0" applyProtection="0">
      <alignment horizontal="left" vertical="center" indent="1"/>
    </xf>
    <xf numFmtId="0" fontId="129" fillId="86" borderId="84" applyNumberFormat="0" applyAlignment="0" applyProtection="0"/>
    <xf numFmtId="0" fontId="156" fillId="100" borderId="88" applyNumberFormat="0" applyAlignment="0" applyProtection="0"/>
    <xf numFmtId="4" fontId="172" fillId="113" borderId="89" applyNumberFormat="0" applyProtection="0">
      <alignment horizontal="right" vertical="center"/>
    </xf>
    <xf numFmtId="0" fontId="95" fillId="20" borderId="97" applyNumberFormat="0" applyFont="0" applyBorder="0">
      <alignment horizontal="left"/>
      <protection locked="0"/>
    </xf>
    <xf numFmtId="0" fontId="136" fillId="0" borderId="104">
      <alignment horizontal="left" vertical="center"/>
    </xf>
    <xf numFmtId="0" fontId="113" fillId="100" borderId="84" applyNumberFormat="0" applyAlignment="0" applyProtection="0"/>
    <xf numFmtId="37" fontId="123" fillId="0" borderId="102" applyNumberFormat="0" applyFont="0" applyFill="0" applyAlignment="0" applyProtection="0"/>
    <xf numFmtId="4" fontId="174" fillId="116" borderId="89" applyNumberFormat="0" applyProtection="0">
      <alignment horizontal="right" vertical="center"/>
    </xf>
    <xf numFmtId="4" fontId="177" fillId="100" borderId="92" applyNumberFormat="0" applyProtection="0">
      <alignment horizontal="right" vertical="center"/>
    </xf>
    <xf numFmtId="0" fontId="113" fillId="100" borderId="84" applyNumberFormat="0" applyAlignment="0" applyProtection="0"/>
    <xf numFmtId="14" fontId="95" fillId="49" borderId="5">
      <alignment horizontal="center" vertical="center" wrapText="1"/>
    </xf>
    <xf numFmtId="4" fontId="175" fillId="11" borderId="89" applyNumberFormat="0" applyProtection="0">
      <alignment horizontal="right" vertical="center"/>
    </xf>
    <xf numFmtId="189" fontId="12" fillId="0" borderId="101">
      <alignment horizontal="center"/>
    </xf>
    <xf numFmtId="4" fontId="172" fillId="110" borderId="89" applyNumberFormat="0" applyProtection="0">
      <alignment horizontal="right" vertical="center"/>
    </xf>
    <xf numFmtId="166" fontId="12" fillId="0" borderId="85">
      <protection locked="0"/>
    </xf>
    <xf numFmtId="0" fontId="113" fillId="100" borderId="84" applyNumberFormat="0" applyAlignment="0" applyProtection="0"/>
    <xf numFmtId="0" fontId="1" fillId="0" borderId="0"/>
    <xf numFmtId="169" fontId="1" fillId="0" borderId="0" applyFont="0" applyFill="0" applyBorder="0" applyAlignment="0" applyProtection="0"/>
    <xf numFmtId="0" fontId="113" fillId="100" borderId="84" applyNumberFormat="0" applyAlignment="0" applyProtection="0"/>
    <xf numFmtId="0" fontId="12" fillId="0" borderId="87" applyNumberFormat="0" applyFont="0" applyFill="0" applyAlignment="0" applyProtection="0"/>
    <xf numFmtId="0" fontId="136" fillId="0" borderId="104">
      <alignment horizontal="left" vertical="center"/>
    </xf>
    <xf numFmtId="4" fontId="175" fillId="11" borderId="89" applyNumberFormat="0" applyProtection="0">
      <alignment vertical="center"/>
    </xf>
    <xf numFmtId="177" fontId="163" fillId="12" borderId="87"/>
    <xf numFmtId="4" fontId="172" fillId="114" borderId="89" applyNumberFormat="0" applyProtection="0">
      <alignment horizontal="right" vertical="center"/>
    </xf>
    <xf numFmtId="0" fontId="156" fillId="100" borderId="88" applyNumberFormat="0" applyAlignment="0" applyProtection="0"/>
    <xf numFmtId="14" fontId="123" fillId="12" borderId="103" applyFill="0" applyBorder="0">
      <alignment horizontal="right"/>
    </xf>
    <xf numFmtId="0" fontId="12" fillId="107" borderId="87" applyNumberFormat="0" applyFont="0" applyAlignment="0" applyProtection="0"/>
    <xf numFmtId="0" fontId="183" fillId="0" borderId="94" applyNumberFormat="0" applyFill="0" applyAlignment="0" applyProtection="0"/>
    <xf numFmtId="0" fontId="12" fillId="107" borderId="87" applyNumberFormat="0" applyFont="0" applyAlignment="0" applyProtection="0"/>
    <xf numFmtId="4" fontId="172" fillId="113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166" fontId="12" fillId="0" borderId="85">
      <protection locked="0"/>
    </xf>
    <xf numFmtId="4" fontId="170" fillId="108" borderId="89" applyNumberFormat="0" applyProtection="0">
      <alignment horizontal="left" vertical="center" wrapText="1" indent="1"/>
    </xf>
    <xf numFmtId="164" fontId="109" fillId="0" borderId="95" applyAlignment="0" applyProtection="0"/>
    <xf numFmtId="1" fontId="118" fillId="49" borderId="102">
      <alignment horizontal="right" vertical="center"/>
    </xf>
    <xf numFmtId="0" fontId="12" fillId="0" borderId="87" applyNumberFormat="0" applyFont="0" applyFill="0" applyAlignment="0" applyProtection="0"/>
    <xf numFmtId="0" fontId="156" fillId="100" borderId="88" applyNumberFormat="0" applyAlignment="0" applyProtection="0"/>
    <xf numFmtId="0" fontId="12" fillId="0" borderId="93" applyNumberFormat="0" applyFont="0" applyFill="0" applyAlignment="0" applyProtection="0"/>
    <xf numFmtId="4" fontId="177" fillId="100" borderId="92" applyNumberFormat="0" applyProtection="0">
      <alignment horizontal="right" vertical="center"/>
    </xf>
    <xf numFmtId="214" fontId="12" fillId="103" borderId="66" applyFont="0" applyBorder="0">
      <alignment horizontal="center" vertical="center"/>
    </xf>
    <xf numFmtId="4" fontId="119" fillId="119" borderId="89" applyNumberFormat="0" applyProtection="0">
      <alignment horizontal="left" vertical="center" indent="1"/>
    </xf>
    <xf numFmtId="0" fontId="110" fillId="0" borderId="83" applyFill="0" applyProtection="0">
      <alignment horizontal="right"/>
    </xf>
    <xf numFmtId="4" fontId="173" fillId="116" borderId="90" applyNumberFormat="0" applyProtection="0">
      <alignment horizontal="left" vertical="center" indent="1"/>
    </xf>
    <xf numFmtId="4" fontId="175" fillId="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4" fillId="11" borderId="89" applyNumberFormat="0" applyProtection="0">
      <alignment vertical="center"/>
    </xf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58" fillId="115" borderId="71" applyNumberFormat="0" applyProtection="0">
      <alignment horizontal="left" vertical="center" indent="1"/>
    </xf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1" fontId="118" fillId="49" borderId="82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2" borderId="89" applyNumberFormat="0" applyProtection="0">
      <alignment vertical="center"/>
    </xf>
    <xf numFmtId="0" fontId="156" fillId="100" borderId="88" applyNumberFormat="0" applyAlignment="0" applyProtection="0"/>
    <xf numFmtId="4" fontId="174" fillId="11" borderId="89" applyNumberFormat="0" applyProtection="0">
      <alignment vertical="center"/>
    </xf>
    <xf numFmtId="10" fontId="104" fillId="102" borderId="102" applyNumberFormat="0" applyBorder="0" applyAlignment="0" applyProtection="0"/>
    <xf numFmtId="0" fontId="113" fillId="100" borderId="84" applyNumberFormat="0" applyAlignment="0" applyProtection="0"/>
    <xf numFmtId="0" fontId="156" fillId="100" borderId="88" applyNumberFormat="0" applyAlignment="0" applyProtection="0"/>
    <xf numFmtId="37" fontId="123" fillId="0" borderId="102" applyNumberFormat="0" applyFont="0" applyFill="0" applyAlignment="0" applyProtection="0"/>
    <xf numFmtId="0" fontId="166" fillId="0" borderId="102">
      <alignment horizontal="center" vertical="center"/>
    </xf>
    <xf numFmtId="0" fontId="156" fillId="100" borderId="88" applyNumberFormat="0" applyAlignment="0" applyProtection="0"/>
    <xf numFmtId="177" fontId="163" fillId="12" borderId="87"/>
    <xf numFmtId="0" fontId="129" fillId="86" borderId="84" applyNumberFormat="0" applyAlignment="0" applyProtection="0"/>
    <xf numFmtId="0" fontId="113" fillId="100" borderId="84" applyNumberFormat="0" applyAlignment="0" applyProtection="0"/>
    <xf numFmtId="177" fontId="163" fillId="12" borderId="87"/>
    <xf numFmtId="0" fontId="129" fillId="86" borderId="84" applyNumberFormat="0" applyAlignment="0" applyProtection="0"/>
    <xf numFmtId="164" fontId="109" fillId="0" borderId="95" applyAlignment="0" applyProtection="0"/>
    <xf numFmtId="10" fontId="104" fillId="102" borderId="102" applyNumberFormat="0" applyBorder="0" applyAlignment="0" applyProtection="0"/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4" fontId="175" fillId="11" borderId="89" applyNumberFormat="0" applyProtection="0">
      <alignment horizontal="right" vertical="center"/>
    </xf>
    <xf numFmtId="14" fontId="123" fillId="12" borderId="79" applyFill="0" applyBorder="0">
      <alignment horizontal="right"/>
    </xf>
    <xf numFmtId="14" fontId="123" fillId="12" borderId="103" applyFill="0" applyBorder="0">
      <alignment horizontal="right"/>
    </xf>
    <xf numFmtId="190" fontId="108" fillId="102" borderId="19" applyFont="0" applyFill="0" applyBorder="0" applyAlignment="0" applyProtection="0"/>
    <xf numFmtId="0" fontId="113" fillId="100" borderId="84" applyNumberFormat="0" applyAlignment="0" applyProtection="0"/>
    <xf numFmtId="191" fontId="123" fillId="0" borderId="37"/>
    <xf numFmtId="0" fontId="156" fillId="100" borderId="88" applyNumberFormat="0" applyAlignment="0" applyProtection="0"/>
    <xf numFmtId="189" fontId="12" fillId="0" borderId="81">
      <alignment horizontal="center"/>
    </xf>
    <xf numFmtId="0" fontId="156" fillId="100" borderId="88" applyNumberFormat="0" applyAlignment="0" applyProtection="0"/>
    <xf numFmtId="169" fontId="1" fillId="0" borderId="0" applyFont="0" applyFill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183" fillId="0" borderId="94" applyNumberFormat="0" applyFill="0" applyAlignment="0" applyProtection="0"/>
    <xf numFmtId="0" fontId="110" fillId="0" borderId="83" applyFill="0" applyProtection="0">
      <alignment horizontal="right"/>
    </xf>
    <xf numFmtId="10" fontId="104" fillId="102" borderId="102" applyNumberFormat="0" applyBorder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0" fillId="108" borderId="89" applyNumberFormat="0" applyProtection="0">
      <alignment horizontal="left" vertical="center" wrapText="1" indent="1"/>
    </xf>
    <xf numFmtId="177" fontId="163" fillId="12" borderId="87"/>
    <xf numFmtId="0" fontId="156" fillId="100" borderId="88" applyNumberFormat="0" applyAlignment="0" applyProtection="0"/>
    <xf numFmtId="166" fontId="12" fillId="0" borderId="57" applyFont="0" applyFill="0" applyBorder="0" applyProtection="0">
      <alignment horizontal="right"/>
    </xf>
    <xf numFmtId="0" fontId="156" fillId="100" borderId="88" applyNumberFormat="0" applyAlignment="0" applyProtection="0"/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0" fontId="136" fillId="0" borderId="80">
      <alignment horizontal="left" vertical="center"/>
    </xf>
    <xf numFmtId="4" fontId="172" fillId="12" borderId="89" applyNumberFormat="0" applyProtection="0">
      <alignment horizontal="left" vertical="center" indent="1"/>
    </xf>
    <xf numFmtId="4" fontId="171" fillId="12" borderId="89" applyNumberFormat="0" applyProtection="0">
      <alignment vertical="center"/>
    </xf>
    <xf numFmtId="1" fontId="118" fillId="49" borderId="102">
      <alignment horizontal="right" vertical="center"/>
    </xf>
    <xf numFmtId="4" fontId="177" fillId="100" borderId="92" applyNumberFormat="0" applyProtection="0">
      <alignment horizontal="right" vertical="center"/>
    </xf>
    <xf numFmtId="0" fontId="12" fillId="0" borderId="87" applyNumberFormat="0" applyFont="0" applyFill="0" applyAlignment="0" applyProtection="0"/>
    <xf numFmtId="4" fontId="172" fillId="112" borderId="89" applyNumberFormat="0" applyProtection="0">
      <alignment horizontal="right"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0" fontId="143" fillId="12" borderId="39" applyNumberFormat="0" applyFont="0" applyBorder="0" applyAlignment="0"/>
    <xf numFmtId="169" fontId="1" fillId="0" borderId="0" applyFont="0" applyFill="0" applyBorder="0" applyAlignment="0" applyProtection="0"/>
    <xf numFmtId="10" fontId="104" fillId="102" borderId="82" applyNumberFormat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66" fontId="12" fillId="0" borderId="57" applyFont="0" applyFill="0" applyBorder="0" applyProtection="0">
      <alignment horizontal="right"/>
    </xf>
    <xf numFmtId="1" fontId="118" fillId="49" borderId="102">
      <alignment horizontal="right" vertical="center"/>
    </xf>
    <xf numFmtId="0" fontId="126" fillId="0" borderId="64" applyNumberFormat="0" applyFill="0" applyAlignment="0" applyProtection="0"/>
    <xf numFmtId="4" fontId="174" fillId="11" borderId="89" applyNumberFormat="0" applyProtection="0">
      <alignment vertical="center"/>
    </xf>
    <xf numFmtId="207" fontId="12" fillId="16" borderId="39" applyFill="0" applyBorder="0" applyAlignment="0"/>
    <xf numFmtId="4" fontId="172" fillId="12" borderId="89" applyNumberFormat="0" applyProtection="0">
      <alignment horizontal="left" vertical="center" indent="1"/>
    </xf>
    <xf numFmtId="37" fontId="123" fillId="0" borderId="82" applyNumberFormat="0" applyFont="0" applyFill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14" fontId="123" fillId="0" borderId="37" applyFont="0" applyFill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4" fontId="123" fillId="12" borderId="103" applyFill="0" applyBorder="0">
      <alignment horizontal="right"/>
    </xf>
    <xf numFmtId="177" fontId="163" fillId="12" borderId="87"/>
    <xf numFmtId="4" fontId="172" fillId="103" borderId="89" applyNumberFormat="0" applyProtection="0">
      <alignment horizontal="right" vertical="center"/>
    </xf>
    <xf numFmtId="211" fontId="149" fillId="0" borderId="37" applyBorder="0"/>
    <xf numFmtId="0" fontId="136" fillId="0" borderId="80">
      <alignment horizontal="left" vertical="center"/>
    </xf>
    <xf numFmtId="0" fontId="156" fillId="100" borderId="88" applyNumberFormat="0" applyAlignment="0" applyProtection="0"/>
    <xf numFmtId="4" fontId="170" fillId="108" borderId="89" applyNumberFormat="0" applyProtection="0">
      <alignment horizontal="left" vertical="center" wrapText="1" indent="1"/>
    </xf>
    <xf numFmtId="0" fontId="113" fillId="100" borderId="84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190" fontId="108" fillId="102" borderId="19" applyFont="0" applyFill="0" applyBorder="0" applyAlignment="0" applyProtection="0"/>
    <xf numFmtId="229" fontId="121" fillId="0" borderId="95" applyFont="0" applyFill="0" applyBorder="0" applyAlignment="0" applyProtection="0"/>
    <xf numFmtId="0" fontId="12" fillId="0" borderId="87" applyNumberFormat="0" applyFont="0" applyFill="0" applyAlignment="0" applyProtection="0"/>
    <xf numFmtId="177" fontId="163" fillId="12" borderId="87"/>
    <xf numFmtId="14" fontId="123" fillId="12" borderId="103" applyFill="0" applyBorder="0">
      <alignment horizontal="right"/>
    </xf>
    <xf numFmtId="4" fontId="172" fillId="109" borderId="89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0" fontId="12" fillId="0" borderId="87" applyNumberFormat="0" applyFont="0" applyFill="0" applyAlignment="0" applyProtection="0"/>
    <xf numFmtId="0" fontId="12" fillId="107" borderId="87" applyNumberFormat="0" applyFont="0" applyAlignment="0" applyProtection="0"/>
    <xf numFmtId="0" fontId="166" fillId="0" borderId="102">
      <alignment horizontal="center" vertical="center"/>
    </xf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0" fontId="110" fillId="0" borderId="83" applyFill="0" applyProtection="0">
      <alignment horizontal="right"/>
    </xf>
    <xf numFmtId="0" fontId="113" fillId="100" borderId="84" applyNumberFormat="0" applyAlignment="0" applyProtection="0"/>
    <xf numFmtId="169" fontId="1" fillId="0" borderId="0" applyFont="0" applyFill="0" applyBorder="0" applyAlignment="0" applyProtection="0"/>
    <xf numFmtId="0" fontId="1" fillId="0" borderId="0"/>
    <xf numFmtId="0" fontId="166" fillId="0" borderId="102">
      <alignment horizontal="center" vertical="center"/>
    </xf>
    <xf numFmtId="0" fontId="12" fillId="0" borderId="87" applyNumberFormat="0" applyFont="0" applyFill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36" fillId="0" borderId="104">
      <alignment horizontal="left" vertical="center"/>
    </xf>
    <xf numFmtId="4" fontId="175" fillId="11" borderId="89" applyNumberFormat="0" applyProtection="0">
      <alignment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66" fillId="0" borderId="102">
      <alignment horizontal="center" vertical="center"/>
    </xf>
    <xf numFmtId="0" fontId="129" fillId="86" borderId="84" applyNumberFormat="0" applyAlignment="0" applyProtection="0"/>
    <xf numFmtId="4" fontId="174" fillId="11" borderId="89" applyNumberFormat="0" applyProtection="0">
      <alignment vertical="center"/>
    </xf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83" fillId="0" borderId="94" applyNumberFormat="0" applyFill="0" applyAlignment="0" applyProtection="0"/>
    <xf numFmtId="0" fontId="110" fillId="0" borderId="53" applyFill="0" applyProtection="0">
      <alignment horizontal="right"/>
    </xf>
    <xf numFmtId="4" fontId="174" fillId="116" borderId="89" applyNumberFormat="0" applyProtection="0">
      <alignment horizontal="right" vertical="center"/>
    </xf>
    <xf numFmtId="37" fontId="123" fillId="0" borderId="102" applyNumberFormat="0" applyFont="0" applyFill="0" applyAlignment="0" applyProtection="0"/>
    <xf numFmtId="164" fontId="109" fillId="0" borderId="95" applyAlignment="0" applyProtection="0"/>
    <xf numFmtId="0" fontId="110" fillId="0" borderId="53" applyFill="0" applyProtection="0">
      <alignment horizontal="right"/>
    </xf>
    <xf numFmtId="0" fontId="156" fillId="100" borderId="88" applyNumberFormat="0" applyAlignment="0" applyProtection="0"/>
    <xf numFmtId="166" fontId="12" fillId="0" borderId="85">
      <protection locked="0"/>
    </xf>
    <xf numFmtId="4" fontId="172" fillId="112" borderId="89" applyNumberFormat="0" applyProtection="0">
      <alignment horizontal="right" vertical="center"/>
    </xf>
    <xf numFmtId="0" fontId="113" fillId="100" borderId="84" applyNumberFormat="0" applyAlignment="0" applyProtection="0"/>
    <xf numFmtId="0" fontId="12" fillId="107" borderId="87" applyNumberFormat="0" applyFont="0" applyAlignment="0" applyProtection="0"/>
    <xf numFmtId="14" fontId="95" fillId="49" borderId="5">
      <alignment horizontal="center" vertical="center" wrapText="1"/>
    </xf>
    <xf numFmtId="4" fontId="173" fillId="116" borderId="90" applyNumberFormat="0" applyProtection="0">
      <alignment horizontal="left" vertical="center" indent="1"/>
    </xf>
    <xf numFmtId="166" fontId="12" fillId="0" borderId="85">
      <protection locked="0"/>
    </xf>
    <xf numFmtId="232" fontId="12" fillId="16" borderId="91">
      <alignment horizontal="right" vertical="center"/>
      <protection locked="0"/>
    </xf>
    <xf numFmtId="189" fontId="12" fillId="0" borderId="101">
      <alignment horizontal="center"/>
    </xf>
    <xf numFmtId="4" fontId="171" fillId="12" borderId="89" applyNumberFormat="0" applyProtection="0">
      <alignment vertical="center"/>
    </xf>
    <xf numFmtId="177" fontId="163" fillId="12" borderId="87"/>
    <xf numFmtId="0" fontId="136" fillId="0" borderId="99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36" fillId="0" borderId="80">
      <alignment horizontal="left" vertical="center"/>
    </xf>
    <xf numFmtId="0" fontId="136" fillId="0" borderId="104">
      <alignment horizontal="left" vertical="center"/>
    </xf>
    <xf numFmtId="164" fontId="109" fillId="0" borderId="95" applyAlignment="0" applyProtection="0"/>
    <xf numFmtId="4" fontId="174" fillId="11" borderId="89" applyNumberFormat="0" applyProtection="0">
      <alignment vertical="center"/>
    </xf>
    <xf numFmtId="4" fontId="174" fillId="116" borderId="89" applyNumberFormat="0" applyProtection="0">
      <alignment horizontal="right" vertical="center"/>
    </xf>
    <xf numFmtId="0" fontId="166" fillId="0" borderId="82">
      <alignment horizontal="center" vertical="center"/>
    </xf>
    <xf numFmtId="177" fontId="163" fillId="12" borderId="87"/>
    <xf numFmtId="4" fontId="158" fillId="115" borderId="98" applyNumberFormat="0" applyProtection="0">
      <alignment horizontal="left" vertical="center" indent="1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36" fillId="0" borderId="104">
      <alignment horizontal="lef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4" fillId="116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2" fillId="111" borderId="89" applyNumberFormat="0" applyProtection="0">
      <alignment horizontal="right" vertical="center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4" fontId="173" fillId="116" borderId="90" applyNumberFormat="0" applyProtection="0">
      <alignment horizontal="left" vertical="center" indent="1"/>
    </xf>
    <xf numFmtId="4" fontId="172" fillId="109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214" fontId="12" fillId="103" borderId="66" applyFont="0" applyBorder="0">
      <alignment horizontal="center" vertical="center"/>
    </xf>
    <xf numFmtId="1" fontId="118" fillId="49" borderId="102">
      <alignment horizontal="right" vertical="center"/>
    </xf>
    <xf numFmtId="4" fontId="172" fillId="25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2" fillId="25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169" fontId="1" fillId="0" borderId="0" applyFont="0" applyFill="0" applyBorder="0" applyAlignment="0" applyProtection="0"/>
    <xf numFmtId="0" fontId="183" fillId="0" borderId="94" applyNumberFormat="0" applyFill="0" applyAlignment="0" applyProtection="0"/>
    <xf numFmtId="166" fontId="12" fillId="0" borderId="85">
      <protection locked="0"/>
    </xf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4" fontId="172" fillId="25" borderId="89" applyNumberFormat="0" applyProtection="0">
      <alignment horizontal="right" vertical="center"/>
    </xf>
    <xf numFmtId="0" fontId="136" fillId="0" borderId="104">
      <alignment horizontal="left" vertical="center"/>
    </xf>
    <xf numFmtId="4" fontId="172" fillId="2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0" fontId="1" fillId="0" borderId="0"/>
    <xf numFmtId="232" fontId="12" fillId="16" borderId="91">
      <alignment horizontal="right" vertical="center"/>
      <protection locked="0"/>
    </xf>
    <xf numFmtId="0" fontId="129" fillId="86" borderId="84" applyNumberFormat="0" applyAlignment="0" applyProtection="0"/>
    <xf numFmtId="232" fontId="12" fillId="16" borderId="91">
      <alignment horizontal="right" vertical="center"/>
      <protection locked="0"/>
    </xf>
    <xf numFmtId="4" fontId="172" fillId="10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2" fillId="0" borderId="93" applyNumberFormat="0" applyFont="0" applyFill="0" applyAlignment="0" applyProtection="0"/>
    <xf numFmtId="0" fontId="12" fillId="107" borderId="87" applyNumberFormat="0" applyFont="0" applyAlignment="0" applyProtection="0"/>
    <xf numFmtId="4" fontId="119" fillId="119" borderId="89" applyNumberFormat="0" applyProtection="0">
      <alignment horizontal="left" vertical="center" indent="1"/>
    </xf>
    <xf numFmtId="0" fontId="113" fillId="100" borderId="84" applyNumberFormat="0" applyAlignment="0" applyProtection="0"/>
    <xf numFmtId="0" fontId="136" fillId="0" borderId="80">
      <alignment horizontal="left" vertical="center"/>
    </xf>
    <xf numFmtId="0" fontId="183" fillId="0" borderId="94" applyNumberFormat="0" applyFill="0" applyAlignment="0" applyProtection="0"/>
    <xf numFmtId="0" fontId="1" fillId="0" borderId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77" fontId="163" fillId="12" borderId="87"/>
    <xf numFmtId="4" fontId="175" fillId="11" borderId="89" applyNumberFormat="0" applyProtection="0">
      <alignment horizontal="right" vertical="center"/>
    </xf>
    <xf numFmtId="0" fontId="129" fillId="86" borderId="84" applyNumberFormat="0" applyAlignment="0" applyProtection="0"/>
    <xf numFmtId="4" fontId="172" fillId="114" borderId="89" applyNumberFormat="0" applyProtection="0">
      <alignment horizontal="right" vertical="center"/>
    </xf>
    <xf numFmtId="0" fontId="156" fillId="100" borderId="88" applyNumberFormat="0" applyAlignment="0" applyProtection="0"/>
    <xf numFmtId="0" fontId="136" fillId="0" borderId="104">
      <alignment horizontal="left" vertical="center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7" fillId="100" borderId="92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5" fillId="11" borderId="89" applyNumberFormat="0" applyProtection="0">
      <alignment horizontal="right" vertical="center"/>
    </xf>
    <xf numFmtId="0" fontId="176" fillId="0" borderId="74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56" fillId="100" borderId="88" applyNumberFormat="0" applyAlignment="0" applyProtection="0"/>
    <xf numFmtId="14" fontId="123" fillId="12" borderId="103" applyFill="0" applyBorder="0">
      <alignment horizontal="right"/>
    </xf>
    <xf numFmtId="189" fontId="12" fillId="0" borderId="101">
      <alignment horizontal="center"/>
    </xf>
    <xf numFmtId="0" fontId="113" fillId="100" borderId="84" applyNumberFormat="0" applyAlignment="0" applyProtection="0"/>
    <xf numFmtId="0" fontId="12" fillId="0" borderId="93" applyNumberFormat="0" applyFont="0" applyFill="0" applyAlignment="0" applyProtection="0"/>
    <xf numFmtId="4" fontId="170" fillId="108" borderId="89" applyNumberFormat="0" applyProtection="0">
      <alignment horizontal="left" vertical="center" wrapText="1" indent="1"/>
    </xf>
    <xf numFmtId="164" fontId="109" fillId="0" borderId="78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79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4" fontId="172" fillId="110" borderId="89" applyNumberFormat="0" applyProtection="0">
      <alignment horizontal="right" vertical="center"/>
    </xf>
    <xf numFmtId="0" fontId="136" fillId="0" borderId="80">
      <alignment horizontal="left"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229" fontId="121" fillId="0" borderId="78" applyFont="0" applyFill="0" applyBorder="0" applyAlignment="0" applyProtection="0"/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29" fillId="86" borderId="84" applyNumberFormat="0" applyAlignment="0" applyProtection="0"/>
    <xf numFmtId="4" fontId="172" fillId="111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72" fillId="110" borderId="89" applyNumberFormat="0" applyProtection="0">
      <alignment horizontal="right" vertical="center"/>
    </xf>
    <xf numFmtId="0" fontId="113" fillId="100" borderId="84" applyNumberFormat="0" applyAlignment="0" applyProtection="0"/>
    <xf numFmtId="4" fontId="158" fillId="115" borderId="98" applyNumberFormat="0" applyProtection="0">
      <alignment horizontal="left" vertical="center" indent="1"/>
    </xf>
    <xf numFmtId="0" fontId="110" fillId="0" borderId="83" applyFill="0" applyProtection="0">
      <alignment horizontal="right"/>
    </xf>
    <xf numFmtId="4" fontId="172" fillId="23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0" fontId="129" fillId="86" borderId="84" applyNumberFormat="0" applyAlignment="0" applyProtection="0"/>
    <xf numFmtId="14" fontId="123" fillId="12" borderId="79" applyFill="0" applyBorder="0">
      <alignment horizontal="right"/>
    </xf>
    <xf numFmtId="166" fontId="12" fillId="0" borderId="85">
      <protection locked="0"/>
    </xf>
    <xf numFmtId="4" fontId="119" fillId="119" borderId="89" applyNumberFormat="0" applyProtection="0">
      <alignment horizontal="left" vertical="center" indent="1"/>
    </xf>
    <xf numFmtId="0" fontId="110" fillId="0" borderId="83" applyFill="0" applyProtection="0">
      <alignment horizontal="right"/>
    </xf>
    <xf numFmtId="164" fontId="109" fillId="0" borderId="78" applyAlignment="0" applyProtection="0"/>
    <xf numFmtId="0" fontId="110" fillId="0" borderId="8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2" fillId="111" borderId="89" applyNumberFormat="0" applyProtection="0">
      <alignment horizontal="right" vertical="center"/>
    </xf>
    <xf numFmtId="1" fontId="118" fillId="49" borderId="82">
      <alignment horizontal="right" vertical="center"/>
    </xf>
    <xf numFmtId="0" fontId="143" fillId="103" borderId="86" applyNumberFormat="0" applyFont="0" applyBorder="0" applyAlignment="0">
      <alignment vertical="center"/>
    </xf>
    <xf numFmtId="0" fontId="136" fillId="0" borderId="80">
      <alignment horizontal="left" vertical="center"/>
    </xf>
    <xf numFmtId="166" fontId="12" fillId="0" borderId="85">
      <protection locked="0"/>
    </xf>
    <xf numFmtId="166" fontId="12" fillId="0" borderId="57" applyFont="0" applyFill="0" applyBorder="0" applyProtection="0">
      <alignment horizontal="right"/>
    </xf>
    <xf numFmtId="14" fontId="123" fillId="12" borderId="79" applyFill="0" applyBorder="0">
      <alignment horizontal="right"/>
    </xf>
    <xf numFmtId="189" fontId="12" fillId="0" borderId="81">
      <alignment horizontal="center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80">
      <alignment horizontal="left" vertical="center"/>
    </xf>
    <xf numFmtId="0" fontId="136" fillId="0" borderId="80">
      <alignment horizontal="left" vertical="center"/>
    </xf>
    <xf numFmtId="4" fontId="175" fillId="11" borderId="89" applyNumberFormat="0" applyProtection="0">
      <alignment horizontal="right" vertical="center"/>
    </xf>
    <xf numFmtId="0" fontId="136" fillId="0" borderId="80">
      <alignment horizontal="left" vertical="center"/>
    </xf>
    <xf numFmtId="4" fontId="172" fillId="112" borderId="89" applyNumberFormat="0" applyProtection="0">
      <alignment horizontal="right" vertical="center"/>
    </xf>
    <xf numFmtId="0" fontId="136" fillId="0" borderId="80">
      <alignment horizontal="left" vertical="center"/>
    </xf>
    <xf numFmtId="0" fontId="143" fillId="103" borderId="86" applyNumberFormat="0" applyFont="0" applyBorder="0" applyAlignment="0">
      <alignment vertical="center"/>
    </xf>
    <xf numFmtId="10" fontId="104" fillId="102" borderId="82" applyNumberFormat="0" applyBorder="0" applyAlignment="0" applyProtection="0"/>
    <xf numFmtId="0" fontId="95" fillId="20" borderId="1" applyNumberFormat="0" applyFont="0" applyBorder="0">
      <alignment horizontal="left"/>
      <protection locked="0"/>
    </xf>
    <xf numFmtId="37" fontId="123" fillId="0" borderId="82" applyNumberFormat="0" applyFont="0" applyFill="0" applyAlignment="0" applyProtection="0"/>
    <xf numFmtId="4" fontId="172" fillId="111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164" fontId="109" fillId="0" borderId="95" applyAlignment="0" applyProtection="0"/>
    <xf numFmtId="14" fontId="123" fillId="12" borderId="79" applyFill="0" applyBorder="0">
      <alignment horizontal="right"/>
    </xf>
    <xf numFmtId="0" fontId="156" fillId="100" borderId="88" applyNumberFormat="0" applyAlignment="0" applyProtection="0"/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4" fontId="172" fillId="109" borderId="89" applyNumberFormat="0" applyProtection="0">
      <alignment horizontal="right" vertical="center"/>
    </xf>
    <xf numFmtId="189" fontId="12" fillId="0" borderId="81">
      <alignment horizontal="center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66" fontId="12" fillId="0" borderId="85">
      <protection locked="0"/>
    </xf>
    <xf numFmtId="177" fontId="163" fillId="12" borderId="87"/>
    <xf numFmtId="0" fontId="166" fillId="0" borderId="82">
      <alignment horizontal="center" vertical="center"/>
    </xf>
    <xf numFmtId="229" fontId="121" fillId="0" borderId="78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4" fontId="172" fillId="111" borderId="89" applyNumberFormat="0" applyProtection="0">
      <alignment horizontal="right" vertical="center"/>
    </xf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0" fontId="104" fillId="102" borderId="102" applyNumberFormat="0" applyBorder="0" applyAlignment="0" applyProtection="0"/>
    <xf numFmtId="4" fontId="170" fillId="108" borderId="89" applyNumberFormat="0" applyProtection="0">
      <alignment horizontal="left" vertical="center" wrapText="1" indent="1"/>
    </xf>
    <xf numFmtId="4" fontId="172" fillId="112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0" fontId="136" fillId="0" borderId="80">
      <alignment horizontal="left" vertical="center"/>
    </xf>
    <xf numFmtId="0" fontId="136" fillId="0" borderId="104">
      <alignment horizontal="left" vertical="center"/>
    </xf>
    <xf numFmtId="0" fontId="156" fillId="100" borderId="88" applyNumberFormat="0" applyAlignment="0" applyProtection="0"/>
    <xf numFmtId="4" fontId="172" fillId="113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166" fontId="12" fillId="0" borderId="85">
      <protection locked="0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4" fontId="172" fillId="110" borderId="89" applyNumberFormat="0" applyProtection="0">
      <alignment horizontal="right"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83" fillId="0" borderId="94" applyNumberFormat="0" applyFill="0" applyAlignment="0" applyProtection="0"/>
    <xf numFmtId="10" fontId="104" fillId="102" borderId="102" applyNumberFormat="0" applyBorder="0" applyAlignment="0" applyProtection="0"/>
    <xf numFmtId="232" fontId="12" fillId="16" borderId="91">
      <alignment horizontal="right" vertical="center"/>
      <protection locked="0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214" fontId="12" fillId="103" borderId="66" applyFont="0" applyBorder="0">
      <alignment horizontal="center" vertical="center"/>
    </xf>
    <xf numFmtId="0" fontId="129" fillId="86" borderId="84" applyNumberFormat="0" applyAlignment="0" applyProtection="0"/>
    <xf numFmtId="0" fontId="113" fillId="100" borderId="84" applyNumberFormat="0" applyAlignment="0" applyProtection="0"/>
    <xf numFmtId="0" fontId="136" fillId="0" borderId="104">
      <alignment horizontal="left" vertical="center"/>
    </xf>
    <xf numFmtId="4" fontId="171" fillId="12" borderId="89" applyNumberFormat="0" applyProtection="0">
      <alignment vertical="center"/>
    </xf>
    <xf numFmtId="164" fontId="109" fillId="0" borderId="95" applyAlignment="0" applyProtection="0"/>
    <xf numFmtId="4" fontId="158" fillId="115" borderId="71" applyNumberFormat="0" applyProtection="0">
      <alignment horizontal="left" vertical="center" indent="1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36" fillId="0" borderId="80">
      <alignment horizontal="left" vertical="center"/>
    </xf>
    <xf numFmtId="0" fontId="136" fillId="0" borderId="80">
      <alignment horizontal="left" vertical="center"/>
    </xf>
    <xf numFmtId="4" fontId="172" fillId="110" borderId="89" applyNumberFormat="0" applyProtection="0">
      <alignment horizontal="right" vertical="center"/>
    </xf>
    <xf numFmtId="232" fontId="12" fillId="16" borderId="91">
      <alignment horizontal="right" vertical="center"/>
      <protection locked="0"/>
    </xf>
    <xf numFmtId="4" fontId="172" fillId="112" borderId="89" applyNumberFormat="0" applyProtection="0">
      <alignment horizontal="right" vertical="center"/>
    </xf>
    <xf numFmtId="166" fontId="12" fillId="0" borderId="57" applyFont="0" applyFill="0" applyBorder="0" applyProtection="0">
      <alignment horizontal="right"/>
    </xf>
    <xf numFmtId="4" fontId="172" fillId="112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166" fontId="12" fillId="0" borderId="85">
      <protection locked="0"/>
    </xf>
    <xf numFmtId="4" fontId="171" fillId="12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0" fontId="1" fillId="0" borderId="0"/>
    <xf numFmtId="164" fontId="109" fillId="0" borderId="95" applyAlignment="0" applyProtection="0"/>
    <xf numFmtId="4" fontId="172" fillId="103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164" fontId="109" fillId="0" borderId="95" applyAlignment="0" applyProtection="0"/>
    <xf numFmtId="37" fontId="123" fillId="0" borderId="102" applyNumberFormat="0" applyFont="0" applyFill="0" applyAlignment="0" applyProtection="0"/>
    <xf numFmtId="4" fontId="175" fillId="11" borderId="89" applyNumberFormat="0" applyProtection="0">
      <alignment vertical="center"/>
    </xf>
    <xf numFmtId="4" fontId="158" fillId="115" borderId="71" applyNumberFormat="0" applyProtection="0">
      <alignment horizontal="left" vertical="center" indent="1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56" fillId="100" borderId="88" applyNumberFormat="0" applyAlignment="0" applyProtection="0"/>
    <xf numFmtId="14" fontId="95" fillId="49" borderId="5">
      <alignment horizontal="center" vertical="center" wrapText="1"/>
    </xf>
    <xf numFmtId="177" fontId="163" fillId="12" borderId="87"/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71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29" fillId="86" borderId="84" applyNumberFormat="0" applyAlignment="0" applyProtection="0"/>
    <xf numFmtId="0" fontId="183" fillId="0" borderId="94" applyNumberFormat="0" applyFill="0" applyAlignment="0" applyProtection="0"/>
    <xf numFmtId="4" fontId="172" fillId="114" borderId="89" applyNumberFormat="0" applyProtection="0">
      <alignment horizontal="right" vertical="center"/>
    </xf>
    <xf numFmtId="0" fontId="129" fillId="86" borderId="84" applyNumberFormat="0" applyAlignment="0" applyProtection="0"/>
    <xf numFmtId="0" fontId="12" fillId="107" borderId="87" applyNumberFormat="0" applyFont="0" applyAlignment="0" applyProtection="0"/>
    <xf numFmtId="0" fontId="136" fillId="0" borderId="96" applyNumberFormat="0" applyAlignment="0" applyProtection="0">
      <alignment horizontal="left" vertical="center"/>
    </xf>
    <xf numFmtId="0" fontId="113" fillId="100" borderId="84" applyNumberFormat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189" fontId="12" fillId="0" borderId="101">
      <alignment horizontal="center"/>
    </xf>
    <xf numFmtId="0" fontId="113" fillId="100" borderId="84" applyNumberFormat="0" applyAlignment="0" applyProtection="0"/>
    <xf numFmtId="4" fontId="172" fillId="114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0" fontId="12" fillId="0" borderId="87" applyNumberFormat="0" applyFont="0" applyFill="0" applyAlignment="0" applyProtection="0"/>
    <xf numFmtId="4" fontId="172" fillId="25" borderId="89" applyNumberFormat="0" applyProtection="0">
      <alignment horizontal="right" vertical="center"/>
    </xf>
    <xf numFmtId="0" fontId="136" fillId="0" borderId="99" applyNumberFormat="0" applyAlignment="0" applyProtection="0">
      <alignment horizontal="left" vertical="center"/>
    </xf>
    <xf numFmtId="164" fontId="109" fillId="0" borderId="95" applyAlignment="0" applyProtection="0"/>
    <xf numFmtId="164" fontId="109" fillId="0" borderId="95" applyAlignment="0" applyProtection="0"/>
    <xf numFmtId="4" fontId="172" fillId="103" borderId="89" applyNumberFormat="0" applyProtection="0">
      <alignment horizontal="right" vertical="center"/>
    </xf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166" fontId="12" fillId="0" borderId="57" applyFont="0" applyFill="0" applyBorder="0" applyProtection="0">
      <alignment horizontal="right"/>
    </xf>
    <xf numFmtId="0" fontId="156" fillId="100" borderId="88" applyNumberFormat="0" applyAlignment="0" applyProtection="0"/>
    <xf numFmtId="0" fontId="110" fillId="0" borderId="53" applyFill="0" applyProtection="0">
      <alignment horizontal="right"/>
    </xf>
    <xf numFmtId="4" fontId="172" fillId="110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2" fillId="110" borderId="89" applyNumberFormat="0" applyProtection="0">
      <alignment horizontal="right" vertical="center"/>
    </xf>
    <xf numFmtId="0" fontId="113" fillId="100" borderId="84" applyNumberFormat="0" applyAlignment="0" applyProtection="0"/>
    <xf numFmtId="4" fontId="158" fillId="115" borderId="98" applyNumberFormat="0" applyProtection="0">
      <alignment horizontal="left" vertical="center" indent="1"/>
    </xf>
    <xf numFmtId="4" fontId="170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4" fontId="158" fillId="115" borderId="71" applyNumberFormat="0" applyProtection="0">
      <alignment horizontal="left" vertical="center" indent="1"/>
    </xf>
    <xf numFmtId="169" fontId="1" fillId="0" borderId="0" applyFont="0" applyFill="0" applyBorder="0" applyAlignment="0" applyProtection="0"/>
    <xf numFmtId="0" fontId="1" fillId="0" borderId="0"/>
    <xf numFmtId="0" fontId="95" fillId="20" borderId="97" applyNumberFormat="0" applyFont="0" applyBorder="0">
      <alignment horizontal="left"/>
      <protection locked="0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0" fontId="136" fillId="0" borderId="96" applyNumberFormat="0" applyAlignment="0" applyProtection="0">
      <alignment horizontal="left" vertical="center"/>
    </xf>
    <xf numFmtId="4" fontId="158" fillId="115" borderId="71" applyNumberFormat="0" applyProtection="0">
      <alignment horizontal="left" vertical="center" indent="1"/>
    </xf>
    <xf numFmtId="0" fontId="136" fillId="0" borderId="104">
      <alignment horizontal="left" vertical="center"/>
    </xf>
    <xf numFmtId="0" fontId="136" fillId="0" borderId="99" applyNumberFormat="0" applyAlignment="0" applyProtection="0">
      <alignment horizontal="lef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76" fillId="0" borderId="74" applyNumberFormat="0" applyProtection="0">
      <alignment horizontal="left" vertical="center" indent="1"/>
    </xf>
    <xf numFmtId="0" fontId="12" fillId="0" borderId="87" applyNumberFormat="0" applyFont="0" applyFill="0" applyAlignment="0" applyProtection="0"/>
    <xf numFmtId="0" fontId="113" fillId="100" borderId="84" applyNumberFormat="0" applyAlignment="0" applyProtection="0"/>
    <xf numFmtId="0" fontId="183" fillId="0" borderId="94" applyNumberFormat="0" applyFill="0" applyAlignment="0" applyProtection="0"/>
    <xf numFmtId="232" fontId="12" fillId="16" borderId="91">
      <alignment horizontal="right" vertical="center"/>
      <protection locked="0"/>
    </xf>
    <xf numFmtId="0" fontId="156" fillId="100" borderId="88" applyNumberFormat="0" applyAlignment="0" applyProtection="0"/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3" fillId="116" borderId="90" applyNumberFormat="0" applyProtection="0">
      <alignment horizontal="left" vertical="center" indent="1"/>
    </xf>
    <xf numFmtId="0" fontId="113" fillId="100" borderId="84" applyNumberFormat="0" applyAlignment="0" applyProtection="0"/>
    <xf numFmtId="0" fontId="136" fillId="0" borderId="99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9" fillId="86" borderId="84" applyNumberFormat="0" applyAlignment="0" applyProtection="0"/>
    <xf numFmtId="0" fontId="136" fillId="0" borderId="99" applyNumberFormat="0" applyAlignment="0" applyProtection="0">
      <alignment horizontal="left" vertical="center"/>
    </xf>
    <xf numFmtId="0" fontId="12" fillId="107" borderId="87" applyNumberFormat="0" applyFont="0" applyAlignment="0" applyProtection="0"/>
    <xf numFmtId="14" fontId="123" fillId="12" borderId="79" applyFill="0" applyBorder="0">
      <alignment horizontal="right"/>
    </xf>
    <xf numFmtId="0" fontId="183" fillId="0" borderId="94" applyNumberFormat="0" applyFill="0" applyAlignment="0" applyProtection="0"/>
    <xf numFmtId="4" fontId="172" fillId="23" borderId="89" applyNumberFormat="0" applyProtection="0">
      <alignment horizontal="right" vertical="center"/>
    </xf>
    <xf numFmtId="4" fontId="173" fillId="116" borderId="90" applyNumberFormat="0" applyProtection="0">
      <alignment horizontal="left" vertical="center" indent="1"/>
    </xf>
    <xf numFmtId="4" fontId="172" fillId="12" borderId="89" applyNumberFormat="0" applyProtection="0">
      <alignment horizontal="left" vertical="center" indent="1"/>
    </xf>
    <xf numFmtId="4" fontId="172" fillId="109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0" fontId="12" fillId="107" borderId="87" applyNumberFormat="0" applyFont="0" applyAlignment="0" applyProtection="0"/>
    <xf numFmtId="0" fontId="166" fillId="0" borderId="102">
      <alignment horizontal="center" vertical="center"/>
    </xf>
    <xf numFmtId="0" fontId="12" fillId="107" borderId="87" applyNumberFormat="0" applyFont="0" applyAlignment="0" applyProtection="0"/>
    <xf numFmtId="0" fontId="113" fillId="100" borderId="84" applyNumberFormat="0" applyAlignment="0" applyProtection="0"/>
    <xf numFmtId="0" fontId="12" fillId="107" borderId="87" applyNumberFormat="0" applyFont="0" applyAlignment="0" applyProtection="0"/>
    <xf numFmtId="4" fontId="172" fillId="25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12" fillId="107" borderId="87" applyNumberFormat="0" applyFont="0" applyAlignment="0" applyProtection="0"/>
    <xf numFmtId="4" fontId="175" fillId="11" borderId="89" applyNumberFormat="0" applyProtection="0">
      <alignment horizontal="right" vertical="center"/>
    </xf>
    <xf numFmtId="0" fontId="95" fillId="20" borderId="100" applyNumberFormat="0" applyFont="0" applyBorder="0">
      <alignment horizontal="left"/>
      <protection locked="0"/>
    </xf>
    <xf numFmtId="4" fontId="119" fillId="119" borderId="89" applyNumberFormat="0" applyProtection="0">
      <alignment horizontal="left" vertical="center" indent="1"/>
    </xf>
    <xf numFmtId="0" fontId="12" fillId="0" borderId="93" applyNumberFormat="0" applyFont="0" applyFill="0" applyAlignment="0" applyProtection="0"/>
    <xf numFmtId="0" fontId="136" fillId="0" borderId="99" applyNumberFormat="0" applyAlignment="0" applyProtection="0">
      <alignment horizontal="left" vertical="center"/>
    </xf>
    <xf numFmtId="4" fontId="158" fillId="115" borderId="98" applyNumberFormat="0" applyProtection="0">
      <alignment horizontal="left" vertical="center" indent="1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1" fontId="118" fillId="49" borderId="102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0" fontId="12" fillId="0" borderId="87" applyNumberFormat="0" applyFont="0" applyFill="0" applyAlignment="0" applyProtection="0"/>
    <xf numFmtId="0" fontId="95" fillId="20" borderId="100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4" fontId="172" fillId="111" borderId="89" applyNumberFormat="0" applyProtection="0">
      <alignment horizontal="right" vertical="center"/>
    </xf>
    <xf numFmtId="177" fontId="163" fillId="12" borderId="87"/>
    <xf numFmtId="14" fontId="123" fillId="12" borderId="103" applyFill="0" applyBorder="0">
      <alignment horizontal="right"/>
    </xf>
    <xf numFmtId="0" fontId="156" fillId="100" borderId="88" applyNumberFormat="0" applyAlignment="0" applyProtection="0"/>
    <xf numFmtId="14" fontId="95" fillId="49" borderId="5">
      <alignment horizontal="center" vertical="center" wrapText="1"/>
    </xf>
    <xf numFmtId="0" fontId="113" fillId="100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0" fontId="95" fillId="20" borderId="1" applyNumberFormat="0" applyFont="0" applyBorder="0">
      <alignment horizontal="left"/>
      <protection locked="0"/>
    </xf>
    <xf numFmtId="0" fontId="136" fillId="0" borderId="104">
      <alignment horizontal="left" vertical="center"/>
    </xf>
    <xf numFmtId="0" fontId="113" fillId="100" borderId="84" applyNumberFormat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37" fontId="123" fillId="0" borderId="102" applyNumberFormat="0" applyFont="0" applyFill="0" applyAlignment="0" applyProtection="0"/>
    <xf numFmtId="10" fontId="104" fillId="102" borderId="102" applyNumberFormat="0" applyBorder="0" applyAlignment="0" applyProtection="0"/>
    <xf numFmtId="0" fontId="136" fillId="0" borderId="104">
      <alignment horizontal="left" vertical="center"/>
    </xf>
    <xf numFmtId="37" fontId="123" fillId="0" borderId="102" applyNumberFormat="0" applyFont="0" applyFill="0" applyAlignment="0" applyProtection="0"/>
    <xf numFmtId="0" fontId="129" fillId="86" borderId="84" applyNumberFormat="0" applyAlignment="0" applyProtection="0"/>
    <xf numFmtId="4" fontId="172" fillId="23" borderId="89" applyNumberFormat="0" applyProtection="0">
      <alignment horizontal="right" vertical="center"/>
    </xf>
    <xf numFmtId="164" fontId="109" fillId="0" borderId="95" applyAlignment="0" applyProtection="0"/>
    <xf numFmtId="0" fontId="113" fillId="100" borderId="84" applyNumberFormat="0" applyAlignment="0" applyProtection="0"/>
    <xf numFmtId="14" fontId="123" fillId="12" borderId="103" applyFill="0" applyBorder="0">
      <alignment horizontal="right"/>
    </xf>
    <xf numFmtId="0" fontId="166" fillId="0" borderId="102">
      <alignment horizontal="center" vertical="center"/>
    </xf>
    <xf numFmtId="229" fontId="121" fillId="0" borderId="95" applyFont="0" applyFill="0" applyBorder="0" applyAlignment="0" applyProtection="0"/>
    <xf numFmtId="0" fontId="136" fillId="0" borderId="104">
      <alignment horizontal="left" vertical="center"/>
    </xf>
    <xf numFmtId="4" fontId="172" fillId="112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10" fontId="104" fillId="102" borderId="102" applyNumberFormat="0" applyBorder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95" fillId="20" borderId="97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37" fontId="123" fillId="0" borderId="102" applyNumberFormat="0" applyFont="0" applyFill="0" applyAlignment="0" applyProtection="0"/>
    <xf numFmtId="0" fontId="136" fillId="0" borderId="104">
      <alignment horizontal="left" vertical="center"/>
    </xf>
    <xf numFmtId="0" fontId="136" fillId="0" borderId="96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13" fillId="100" borderId="84" applyNumberFormat="0" applyAlignment="0" applyProtection="0"/>
    <xf numFmtId="0" fontId="136" fillId="0" borderId="104">
      <alignment horizontal="left" vertical="center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166" fontId="12" fillId="0" borderId="85">
      <protection locked="0"/>
    </xf>
    <xf numFmtId="0" fontId="110" fillId="0" borderId="53" applyFill="0" applyProtection="0">
      <alignment horizontal="right"/>
    </xf>
    <xf numFmtId="0" fontId="156" fillId="100" borderId="88" applyNumberFormat="0" applyAlignment="0" applyProtection="0"/>
    <xf numFmtId="0" fontId="136" fillId="0" borderId="104">
      <alignment horizontal="left" vertical="center"/>
    </xf>
    <xf numFmtId="0" fontId="129" fillId="86" borderId="84" applyNumberFormat="0" applyAlignment="0" applyProtection="0"/>
    <xf numFmtId="4" fontId="171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95" fillId="20" borderId="1" applyNumberFormat="0" applyFont="0" applyBorder="0">
      <alignment horizontal="left"/>
      <protection locked="0"/>
    </xf>
    <xf numFmtId="0" fontId="136" fillId="0" borderId="96" applyNumberFormat="0" applyAlignment="0" applyProtection="0">
      <alignment horizontal="left" vertical="center"/>
    </xf>
    <xf numFmtId="4" fontId="158" fillId="115" borderId="71" applyNumberFormat="0" applyProtection="0">
      <alignment horizontal="left" vertical="center" indent="1"/>
    </xf>
    <xf numFmtId="0" fontId="12" fillId="0" borderId="0"/>
    <xf numFmtId="169" fontId="12" fillId="0" borderId="0" applyFont="0" applyFill="0" applyBorder="0" applyAlignment="0" applyProtection="0"/>
    <xf numFmtId="1" fontId="118" fillId="49" borderId="102">
      <alignment horizontal="right" vertical="center"/>
    </xf>
    <xf numFmtId="0" fontId="143" fillId="103" borderId="86" applyNumberFormat="0" applyFont="0" applyBorder="0" applyAlignment="0">
      <alignment vertical="center"/>
    </xf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191" fontId="123" fillId="0" borderId="37"/>
    <xf numFmtId="189" fontId="12" fillId="0" borderId="23">
      <alignment horizontal="center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22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0" fontId="143" fillId="12" borderId="39" applyNumberFormat="0" applyFont="0" applyBorder="0" applyAlignment="0"/>
    <xf numFmtId="207" fontId="12" fillId="16" borderId="39" applyFill="0" applyBorder="0" applyAlignment="0"/>
    <xf numFmtId="14" fontId="123" fillId="0" borderId="37" applyFont="0" applyFill="0" applyBorder="0" applyAlignment="0" applyProtection="0"/>
    <xf numFmtId="211" fontId="149" fillId="0" borderId="37" applyBorder="0"/>
    <xf numFmtId="214" fontId="12" fillId="103" borderId="66" applyFont="0" applyBorder="0">
      <alignment horizontal="center" vertical="center"/>
    </xf>
    <xf numFmtId="0" fontId="136" fillId="0" borderId="104">
      <alignment horizontal="left" vertical="center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69" fontId="12" fillId="0" borderId="0" applyFont="0" applyFill="0" applyBorder="0" applyAlignment="0" applyProtection="0"/>
    <xf numFmtId="0" fontId="12" fillId="0" borderId="0"/>
    <xf numFmtId="14" fontId="123" fillId="12" borderId="103" applyFill="0" applyBorder="0">
      <alignment horizontal="right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22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129" fillId="86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" fontId="118" fillId="49" borderId="102">
      <alignment horizontal="right" vertical="center"/>
    </xf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189" fontId="12" fillId="0" borderId="23">
      <alignment horizontal="center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36" fillId="0" borderId="22" applyNumberFormat="0" applyAlignment="0" applyProtection="0">
      <alignment horizontal="left" vertical="center"/>
    </xf>
    <xf numFmtId="0" fontId="136" fillId="0" borderId="104">
      <alignment horizontal="left" vertical="center"/>
    </xf>
    <xf numFmtId="14" fontId="95" fillId="49" borderId="5">
      <alignment horizontal="center" vertical="center" wrapText="1"/>
    </xf>
    <xf numFmtId="14" fontId="123" fillId="12" borderId="103" applyFill="0" applyBorder="0">
      <alignment horizontal="right"/>
    </xf>
    <xf numFmtId="14" fontId="95" fillId="49" borderId="5">
      <alignment horizontal="center" vertical="center" wrapText="1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37" fontId="123" fillId="0" borderId="102" applyNumberFormat="0" applyFont="0" applyFill="0" applyAlignment="0" applyProtection="0"/>
    <xf numFmtId="14" fontId="123" fillId="12" borderId="103" applyFill="0" applyBorder="0">
      <alignment horizontal="right"/>
    </xf>
    <xf numFmtId="214" fontId="12" fillId="103" borderId="66" applyFont="0" applyBorder="0">
      <alignment horizontal="center" vertical="center"/>
    </xf>
    <xf numFmtId="164" fontId="109" fillId="0" borderId="95" applyAlignment="0" applyProtection="0"/>
    <xf numFmtId="189" fontId="12" fillId="0" borderId="23">
      <alignment horizontal="center"/>
    </xf>
    <xf numFmtId="4" fontId="158" fillId="115" borderId="98" applyNumberFormat="0" applyProtection="0">
      <alignment horizontal="left" vertical="center" indent="1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4" fontId="123" fillId="12" borderId="103" applyFill="0" applyBorder="0">
      <alignment horizontal="right"/>
    </xf>
    <xf numFmtId="0" fontId="156" fillId="100" borderId="88" applyNumberFormat="0" applyAlignment="0" applyProtection="0"/>
    <xf numFmtId="177" fontId="163" fillId="12" borderId="87"/>
    <xf numFmtId="0" fontId="166" fillId="0" borderId="102">
      <alignment horizontal="center"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95" fillId="20" borderId="1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36" fillId="0" borderId="104">
      <alignment horizontal="left" vertical="center"/>
    </xf>
    <xf numFmtId="0" fontId="136" fillId="0" borderId="22" applyNumberFormat="0" applyAlignment="0" applyProtection="0">
      <alignment horizontal="left" vertical="center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95" fillId="20" borderId="1" applyNumberFormat="0" applyFont="0" applyBorder="0">
      <alignment horizontal="left"/>
      <protection locked="0"/>
    </xf>
    <xf numFmtId="0" fontId="136" fillId="0" borderId="22" applyNumberFormat="0" applyAlignment="0" applyProtection="0">
      <alignment horizontal="left" vertical="center"/>
    </xf>
    <xf numFmtId="4" fontId="158" fillId="115" borderId="98" applyNumberFormat="0" applyProtection="0">
      <alignment horizontal="left" vertical="center" indent="1"/>
    </xf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83" fillId="0" borderId="94" applyNumberFormat="0" applyFill="0" applyAlignment="0" applyProtection="0"/>
    <xf numFmtId="4" fontId="171" fillId="12" borderId="89" applyNumberFormat="0" applyProtection="0">
      <alignment vertical="center"/>
    </xf>
    <xf numFmtId="0" fontId="113" fillId="100" borderId="84" applyNumberFormat="0" applyAlignment="0" applyProtection="0"/>
    <xf numFmtId="214" fontId="12" fillId="103" borderId="66" applyFont="0" applyBorder="0">
      <alignment horizontal="center" vertical="center"/>
    </xf>
    <xf numFmtId="166" fontId="12" fillId="0" borderId="57" applyFont="0" applyFill="0" applyBorder="0" applyProtection="0">
      <alignment horizontal="right"/>
    </xf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4" fontId="170" fillId="108" borderId="89" applyNumberFormat="0" applyProtection="0">
      <alignment horizontal="left" vertical="center" wrapText="1" indent="1"/>
    </xf>
    <xf numFmtId="166" fontId="12" fillId="0" borderId="85">
      <protection locked="0"/>
    </xf>
    <xf numFmtId="4" fontId="174" fillId="11" borderId="89" applyNumberFormat="0" applyProtection="0">
      <alignment vertical="center"/>
    </xf>
    <xf numFmtId="166" fontId="12" fillId="0" borderId="57" applyFont="0" applyFill="0" applyBorder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164" fontId="109" fillId="0" borderId="95" applyAlignment="0" applyProtection="0"/>
    <xf numFmtId="189" fontId="12" fillId="0" borderId="23">
      <alignment horizontal="center"/>
    </xf>
    <xf numFmtId="189" fontId="12" fillId="0" borderId="23">
      <alignment horizontal="center"/>
    </xf>
    <xf numFmtId="164" fontId="109" fillId="0" borderId="95" applyAlignment="0" applyProtection="0"/>
    <xf numFmtId="177" fontId="163" fillId="12" borderId="87"/>
    <xf numFmtId="0" fontId="129" fillId="86" borderId="84" applyNumberFormat="0" applyAlignment="0" applyProtection="0"/>
    <xf numFmtId="4" fontId="158" fillId="115" borderId="98" applyNumberFormat="0" applyProtection="0">
      <alignment horizontal="left" vertical="center" indent="1"/>
    </xf>
    <xf numFmtId="4" fontId="173" fillId="116" borderId="90" applyNumberFormat="0" applyProtection="0">
      <alignment horizontal="left" vertical="center" indent="1"/>
    </xf>
    <xf numFmtId="0" fontId="129" fillId="86" borderId="84" applyNumberFormat="0" applyAlignment="0" applyProtection="0"/>
    <xf numFmtId="0" fontId="156" fillId="100" borderId="88" applyNumberFormat="0" applyAlignment="0" applyProtection="0"/>
    <xf numFmtId="0" fontId="95" fillId="20" borderId="1" applyNumberFormat="0" applyFont="0" applyBorder="0">
      <alignment horizontal="left"/>
      <protection locked="0"/>
    </xf>
    <xf numFmtId="0" fontId="113" fillId="100" borderId="84" applyNumberFormat="0" applyAlignment="0" applyProtection="0"/>
    <xf numFmtId="14" fontId="95" fillId="49" borderId="5">
      <alignment horizontal="center" vertical="center" wrapText="1"/>
    </xf>
    <xf numFmtId="166" fontId="12" fillId="0" borderId="57" applyFont="0" applyFill="0" applyBorder="0" applyProtection="0">
      <alignment horizontal="right"/>
    </xf>
    <xf numFmtId="0" fontId="12" fillId="0" borderId="87" applyNumberFormat="0" applyFont="0" applyFill="0" applyAlignment="0" applyProtection="0"/>
    <xf numFmtId="177" fontId="163" fillId="12" borderId="87"/>
    <xf numFmtId="4" fontId="172" fillId="114" borderId="89" applyNumberFormat="0" applyProtection="0">
      <alignment horizontal="right" vertical="center"/>
    </xf>
    <xf numFmtId="0" fontId="156" fillId="100" borderId="88" applyNumberFormat="0" applyAlignment="0" applyProtection="0"/>
    <xf numFmtId="14" fontId="123" fillId="12" borderId="103" applyFill="0" applyBorder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64" fontId="109" fillId="0" borderId="95" applyAlignment="0" applyProtection="0"/>
    <xf numFmtId="0" fontId="12" fillId="0" borderId="87" applyNumberFormat="0" applyFont="0" applyFill="0" applyAlignment="0" applyProtection="0"/>
    <xf numFmtId="0" fontId="12" fillId="0" borderId="93" applyNumberFormat="0" applyFont="0" applyFill="0" applyAlignment="0" applyProtection="0"/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0" fontId="110" fillId="0" borderId="53" applyFill="0" applyProtection="0">
      <alignment horizontal="right"/>
    </xf>
    <xf numFmtId="4" fontId="173" fillId="116" borderId="90" applyNumberFormat="0" applyProtection="0">
      <alignment horizontal="left" vertical="center" indent="1"/>
    </xf>
    <xf numFmtId="4" fontId="175" fillId="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4" fillId="11" borderId="89" applyNumberFormat="0" applyProtection="0">
      <alignment vertical="center"/>
    </xf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1" fontId="118" fillId="49" borderId="102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2" borderId="89" applyNumberFormat="0" applyProtection="0">
      <alignment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77" fontId="163" fillId="12" borderId="87"/>
    <xf numFmtId="166" fontId="12" fillId="0" borderId="85">
      <protection locked="0"/>
    </xf>
    <xf numFmtId="14" fontId="123" fillId="12" borderId="103" applyFill="0" applyBorder="0">
      <alignment horizontal="right"/>
    </xf>
    <xf numFmtId="190" fontId="108" fillId="102" borderId="19" applyFont="0" applyFill="0" applyBorder="0" applyAlignment="0" applyProtection="0"/>
    <xf numFmtId="189" fontId="12" fillId="0" borderId="23">
      <alignment horizontal="center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183" fillId="0" borderId="94" applyNumberFormat="0" applyFill="0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57" applyFont="0" applyFill="0" applyBorder="0" applyProtection="0">
      <alignment horizontal="right"/>
    </xf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0" fontId="136" fillId="0" borderId="104">
      <alignment horizontal="left" vertical="center"/>
    </xf>
    <xf numFmtId="4" fontId="172" fillId="12" borderId="89" applyNumberFormat="0" applyProtection="0">
      <alignment horizontal="left" vertical="center" indent="1"/>
    </xf>
    <xf numFmtId="4" fontId="171" fillId="12" borderId="89" applyNumberFormat="0" applyProtection="0">
      <alignment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6" fillId="0" borderId="64" applyNumberFormat="0" applyFill="0" applyAlignment="0" applyProtection="0"/>
    <xf numFmtId="37" fontId="123" fillId="0" borderId="102" applyNumberFormat="0" applyFont="0" applyFill="0" applyAlignment="0" applyProtection="0"/>
    <xf numFmtId="0" fontId="136" fillId="0" borderId="104">
      <alignment horizontal="left" vertical="center"/>
    </xf>
    <xf numFmtId="0" fontId="156" fillId="100" borderId="88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177" fontId="163" fillId="12" borderId="87"/>
    <xf numFmtId="4" fontId="172" fillId="109" borderId="89" applyNumberFormat="0" applyProtection="0">
      <alignment horizontal="righ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0" fontId="12" fillId="0" borderId="87" applyNumberFormat="0" applyFont="0" applyFill="0" applyAlignment="0" applyProtection="0"/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4" fontId="95" fillId="49" borderId="5">
      <alignment horizontal="center" vertical="center" wrapText="1"/>
    </xf>
    <xf numFmtId="177" fontId="163" fillId="12" borderId="87"/>
    <xf numFmtId="0" fontId="136" fillId="0" borderId="22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66" fillId="0" borderId="102">
      <alignment horizontal="center" vertical="center"/>
    </xf>
    <xf numFmtId="177" fontId="163" fillId="12" borderId="87"/>
    <xf numFmtId="4" fontId="158" fillId="115" borderId="98" applyNumberFormat="0" applyProtection="0">
      <alignment horizontal="left" vertical="center" indent="1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4" fillId="116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2" fillId="111" borderId="89" applyNumberFormat="0" applyProtection="0">
      <alignment horizontal="right" vertical="center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4" fontId="173" fillId="116" borderId="90" applyNumberFormat="0" applyProtection="0">
      <alignment horizontal="left" vertical="center" indent="1"/>
    </xf>
    <xf numFmtId="4" fontId="172" fillId="109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83" fillId="0" borderId="94" applyNumberFormat="0" applyFill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32" fontId="12" fillId="16" borderId="91">
      <alignment horizontal="right" vertical="center"/>
      <protection locked="0"/>
    </xf>
    <xf numFmtId="0" fontId="129" fillId="86" borderId="84" applyNumberFormat="0" applyAlignment="0" applyProtection="0"/>
    <xf numFmtId="232" fontId="12" fillId="16" borderId="91">
      <alignment horizontal="right" vertical="center"/>
      <protection locked="0"/>
    </xf>
    <xf numFmtId="4" fontId="172" fillId="10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5" fillId="11" borderId="89" applyNumberFormat="0" applyProtection="0">
      <alignment horizontal="right" vertical="center"/>
    </xf>
    <xf numFmtId="0" fontId="176" fillId="0" borderId="74" applyNumberFormat="0" applyProtection="0">
      <alignment horizontal="left" vertical="center" indent="1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" fillId="0" borderId="93" applyNumberFormat="0" applyFont="0" applyFill="0" applyAlignment="0" applyProtection="0"/>
    <xf numFmtId="4" fontId="170" fillId="108" borderId="89" applyNumberFormat="0" applyProtection="0">
      <alignment horizontal="left" vertical="center" wrapText="1" indent="1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4" fontId="172" fillId="110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229" fontId="121" fillId="0" borderId="95" applyFont="0" applyFill="0" applyBorder="0" applyAlignment="0" applyProtection="0"/>
    <xf numFmtId="4" fontId="171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4" fontId="172" fillId="111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0" fontId="113" fillId="100" borderId="84" applyNumberFormat="0" applyAlignment="0" applyProtection="0"/>
    <xf numFmtId="4" fontId="158" fillId="115" borderId="98" applyNumberFormat="0" applyProtection="0">
      <alignment horizontal="left" vertical="center" indent="1"/>
    </xf>
    <xf numFmtId="0" fontId="110" fillId="0" borderId="53" applyFill="0" applyProtection="0">
      <alignment horizontal="right"/>
    </xf>
    <xf numFmtId="4" fontId="172" fillId="23" borderId="89" applyNumberFormat="0" applyProtection="0">
      <alignment horizontal="right" vertical="center"/>
    </xf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166" fontId="12" fillId="0" borderId="85">
      <protection locked="0"/>
    </xf>
    <xf numFmtId="0" fontId="110" fillId="0" borderId="53" applyFill="0" applyProtection="0">
      <alignment horizontal="right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2" fillId="111" borderId="89" applyNumberFormat="0" applyProtection="0">
      <alignment horizontal="right" vertical="center"/>
    </xf>
    <xf numFmtId="1" fontId="118" fillId="49" borderId="102">
      <alignment horizontal="right" vertical="center"/>
    </xf>
    <xf numFmtId="0" fontId="143" fillId="103" borderId="86" applyNumberFormat="0" applyFont="0" applyBorder="0" applyAlignment="0">
      <alignment vertical="center"/>
    </xf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189" fontId="12" fillId="0" borderId="23">
      <alignment horizontal="center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4" fontId="175" fillId="11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0" fontId="95" fillId="20" borderId="1" applyNumberFormat="0" applyFont="0" applyBorder="0">
      <alignment horizontal="left"/>
      <protection locked="0"/>
    </xf>
    <xf numFmtId="37" fontId="123" fillId="0" borderId="102" applyNumberFormat="0" applyFont="0" applyFill="0" applyAlignment="0" applyProtection="0"/>
    <xf numFmtId="4" fontId="172" fillId="109" borderId="89" applyNumberFormat="0" applyProtection="0">
      <alignment horizontal="right" vertical="center"/>
    </xf>
    <xf numFmtId="164" fontId="109" fillId="0" borderId="95" applyAlignment="0" applyProtection="0"/>
    <xf numFmtId="14" fontId="123" fillId="12" borderId="103" applyFill="0" applyBorder="0">
      <alignment horizontal="right"/>
    </xf>
    <xf numFmtId="0" fontId="126" fillId="0" borderId="64" applyNumberFormat="0" applyFill="0" applyAlignment="0" applyProtection="0"/>
    <xf numFmtId="0" fontId="113" fillId="100" borderId="84" applyNumberFormat="0" applyAlignment="0" applyProtection="0"/>
    <xf numFmtId="189" fontId="12" fillId="0" borderId="23">
      <alignment horizontal="center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66" fillId="0" borderId="102">
      <alignment horizontal="center"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4" fontId="172" fillId="112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0" fontId="136" fillId="0" borderId="104">
      <alignment horizontal="left" vertical="center"/>
    </xf>
    <xf numFmtId="229" fontId="121" fillId="0" borderId="95" applyFont="0" applyFill="0" applyBorder="0" applyAlignment="0" applyProtection="0"/>
    <xf numFmtId="166" fontId="12" fillId="0" borderId="85">
      <protection locked="0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0" fontId="113" fillId="100" borderId="84" applyNumberFormat="0" applyAlignment="0" applyProtection="0"/>
    <xf numFmtId="232" fontId="12" fillId="16" borderId="91">
      <alignment horizontal="right" vertical="center"/>
      <protection locked="0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214" fontId="12" fillId="103" borderId="66" applyFont="0" applyBorder="0">
      <alignment horizontal="center" vertical="center"/>
    </xf>
    <xf numFmtId="164" fontId="109" fillId="0" borderId="95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166" fontId="12" fillId="0" borderId="57" applyFont="0" applyFill="0" applyBorder="0" applyProtection="0">
      <alignment horizontal="right"/>
    </xf>
    <xf numFmtId="4" fontId="172" fillId="112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164" fontId="109" fillId="0" borderId="95" applyAlignment="0" applyProtection="0"/>
    <xf numFmtId="4" fontId="172" fillId="103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58" fillId="115" borderId="98" applyNumberFormat="0" applyProtection="0">
      <alignment horizontal="left" vertical="center" indent="1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2" fillId="107" borderId="87" applyNumberFormat="0" applyFont="0" applyAlignment="0" applyProtection="0"/>
    <xf numFmtId="0" fontId="136" fillId="0" borderId="22" applyNumberFormat="0" applyAlignment="0" applyProtection="0">
      <alignment horizontal="left" vertical="center"/>
    </xf>
    <xf numFmtId="0" fontId="113" fillId="100" borderId="84" applyNumberFormat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189" fontId="12" fillId="0" borderId="23">
      <alignment horizontal="center"/>
    </xf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4" fontId="172" fillId="25" borderId="89" applyNumberFormat="0" applyProtection="0">
      <alignment horizontal="right" vertical="center"/>
    </xf>
    <xf numFmtId="0" fontId="136" fillId="0" borderId="22" applyNumberFormat="0" applyAlignment="0" applyProtection="0">
      <alignment horizontal="left" vertical="center"/>
    </xf>
    <xf numFmtId="164" fontId="109" fillId="0" borderId="95" applyAlignment="0" applyProtection="0"/>
    <xf numFmtId="164" fontId="109" fillId="0" borderId="95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4" fontId="170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95" fillId="20" borderId="1" applyNumberFormat="0" applyFont="0" applyBorder="0">
      <alignment horizontal="left"/>
      <protection locked="0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0" fontId="136" fillId="0" borderId="22" applyNumberFormat="0" applyAlignment="0" applyProtection="0">
      <alignment horizontal="left" vertical="center"/>
    </xf>
    <xf numFmtId="4" fontId="158" fillId="115" borderId="98" applyNumberFormat="0" applyProtection="0">
      <alignment horizontal="left" vertical="center" indent="1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58" fillId="115" borderId="98" applyNumberFormat="0" applyProtection="0">
      <alignment horizontal="left" vertical="center" indent="1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36" fillId="0" borderId="22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229" fontId="121" fillId="0" borderId="95" applyFont="0" applyFill="0" applyBorder="0" applyAlignment="0" applyProtection="0"/>
    <xf numFmtId="4" fontId="158" fillId="115" borderId="98" applyNumberFormat="0" applyProtection="0">
      <alignment horizontal="left" vertical="center" indent="1"/>
    </xf>
    <xf numFmtId="0" fontId="95" fillId="20" borderId="1" applyNumberFormat="0" applyFont="0" applyBorder="0">
      <alignment horizontal="left"/>
      <protection locked="0"/>
    </xf>
    <xf numFmtId="0" fontId="136" fillId="0" borderId="22" applyNumberFormat="0" applyAlignment="0" applyProtection="0">
      <alignment horizontal="left" vertical="center"/>
    </xf>
    <xf numFmtId="4" fontId="158" fillId="115" borderId="98" applyNumberFormat="0" applyProtection="0">
      <alignment horizontal="left" vertical="center" indent="1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87" applyNumberFormat="0" applyFont="0" applyFill="0" applyAlignment="0" applyProtection="0"/>
    <xf numFmtId="0" fontId="95" fillId="20" borderId="1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4" fontId="175" fillId="11" borderId="89" applyNumberFormat="0" applyProtection="0">
      <alignment vertical="center"/>
    </xf>
    <xf numFmtId="229" fontId="121" fillId="0" borderId="95" applyFont="0" applyFill="0" applyBorder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2" fillId="107" borderId="87" applyNumberFormat="0" applyFont="0" applyAlignment="0" applyProtection="0"/>
    <xf numFmtId="0" fontId="183" fillId="0" borderId="94" applyNumberFormat="0" applyFill="0" applyAlignment="0" applyProtection="0"/>
    <xf numFmtId="0" fontId="136" fillId="0" borderId="104">
      <alignment horizontal="left" vertical="center"/>
    </xf>
    <xf numFmtId="0" fontId="136" fillId="0" borderId="99" applyNumberFormat="0" applyAlignment="0" applyProtection="0">
      <alignment horizontal="left" vertical="center"/>
    </xf>
    <xf numFmtId="0" fontId="12" fillId="0" borderId="93" applyNumberFormat="0" applyFont="0" applyFill="0" applyAlignment="0" applyProtection="0"/>
    <xf numFmtId="14" fontId="123" fillId="12" borderId="103" applyFill="0" applyBorder="0">
      <alignment horizontal="right"/>
    </xf>
    <xf numFmtId="4" fontId="174" fillId="116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0" fontId="156" fillId="100" borderId="88" applyNumberFormat="0" applyAlignment="0" applyProtection="0"/>
    <xf numFmtId="4" fontId="119" fillId="119" borderId="89" applyNumberFormat="0" applyProtection="0">
      <alignment horizontal="left" vertical="center" indent="1"/>
    </xf>
    <xf numFmtId="4" fontId="172" fillId="114" borderId="89" applyNumberFormat="0" applyProtection="0">
      <alignment horizontal="right" vertical="center"/>
    </xf>
    <xf numFmtId="0" fontId="113" fillId="100" borderId="84" applyNumberFormat="0" applyAlignment="0" applyProtection="0"/>
    <xf numFmtId="4" fontId="172" fillId="109" borderId="89" applyNumberFormat="0" applyProtection="0">
      <alignment horizontal="right" vertical="center"/>
    </xf>
    <xf numFmtId="0" fontId="166" fillId="0" borderId="102">
      <alignment horizontal="center" vertical="center"/>
    </xf>
    <xf numFmtId="0" fontId="129" fillId="86" borderId="84" applyNumberFormat="0" applyAlignment="0" applyProtection="0"/>
    <xf numFmtId="232" fontId="12" fillId="16" borderId="91">
      <alignment horizontal="right" vertical="center"/>
      <protection locked="0"/>
    </xf>
    <xf numFmtId="0" fontId="136" fillId="0" borderId="104">
      <alignment horizontal="left" vertical="center"/>
    </xf>
    <xf numFmtId="4" fontId="172" fillId="23" borderId="89" applyNumberFormat="0" applyProtection="0">
      <alignment horizontal="right" vertical="center"/>
    </xf>
    <xf numFmtId="0" fontId="110" fillId="0" borderId="53" applyFill="0" applyProtection="0">
      <alignment horizontal="right"/>
    </xf>
    <xf numFmtId="4" fontId="172" fillId="12" borderId="89" applyNumberFormat="0" applyProtection="0">
      <alignment horizontal="left" vertical="center" indent="1"/>
    </xf>
    <xf numFmtId="4" fontId="158" fillId="115" borderId="98" applyNumberFormat="0" applyProtection="0">
      <alignment horizontal="left" vertical="center" indent="1"/>
    </xf>
    <xf numFmtId="229" fontId="121" fillId="0" borderId="95" applyFont="0" applyFill="0" applyBorder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36" fillId="0" borderId="99" applyNumberFormat="0" applyAlignment="0" applyProtection="0">
      <alignment horizontal="left" vertical="center"/>
    </xf>
    <xf numFmtId="0" fontId="143" fillId="103" borderId="86" applyNumberFormat="0" applyFont="0" applyBorder="0" applyAlignment="0">
      <alignment vertical="center"/>
    </xf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99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0" fontId="136" fillId="0" borderId="104">
      <alignment horizontal="left" vertical="center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99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36" fillId="0" borderId="99" applyNumberFormat="0" applyAlignment="0" applyProtection="0">
      <alignment horizontal="left" vertical="center"/>
    </xf>
    <xf numFmtId="0" fontId="136" fillId="0" borderId="104">
      <alignment horizontal="left" vertical="center"/>
    </xf>
    <xf numFmtId="14" fontId="123" fillId="12" borderId="103" applyFill="0" applyBorder="0">
      <alignment horizontal="right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4" fontId="123" fillId="12" borderId="103" applyFill="0" applyBorder="0">
      <alignment horizontal="right"/>
    </xf>
    <xf numFmtId="0" fontId="156" fillId="100" borderId="88" applyNumberFormat="0" applyAlignment="0" applyProtection="0"/>
    <xf numFmtId="177" fontId="163" fillId="12" borderId="87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95" fillId="20" borderId="1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36" fillId="0" borderId="104">
      <alignment horizontal="left" vertical="center"/>
    </xf>
    <xf numFmtId="0" fontId="136" fillId="0" borderId="99" applyNumberFormat="0" applyAlignment="0" applyProtection="0">
      <alignment horizontal="left" vertical="center"/>
    </xf>
    <xf numFmtId="229" fontId="121" fillId="0" borderId="95" applyFont="0" applyFill="0" applyBorder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95" fillId="20" borderId="100" applyNumberFormat="0" applyFont="0" applyBorder="0">
      <alignment horizontal="left"/>
      <protection locked="0"/>
    </xf>
    <xf numFmtId="0" fontId="136" fillId="0" borderId="99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83" fillId="0" borderId="94" applyNumberFormat="0" applyFill="0" applyAlignment="0" applyProtection="0"/>
    <xf numFmtId="4" fontId="171" fillId="12" borderId="89" applyNumberFormat="0" applyProtection="0">
      <alignment vertical="center"/>
    </xf>
    <xf numFmtId="0" fontId="113" fillId="100" borderId="84" applyNumberFormat="0" applyAlignment="0" applyProtection="0"/>
    <xf numFmtId="166" fontId="12" fillId="0" borderId="57" applyFont="0" applyFill="0" applyBorder="0" applyProtection="0">
      <alignment horizontal="right"/>
    </xf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4" fontId="170" fillId="108" borderId="89" applyNumberFormat="0" applyProtection="0">
      <alignment horizontal="left" vertical="center" wrapText="1" indent="1"/>
    </xf>
    <xf numFmtId="166" fontId="12" fillId="0" borderId="85">
      <protection locked="0"/>
    </xf>
    <xf numFmtId="4" fontId="174" fillId="11" borderId="89" applyNumberFormat="0" applyProtection="0">
      <alignment vertical="center"/>
    </xf>
    <xf numFmtId="166" fontId="12" fillId="0" borderId="57" applyFont="0" applyFill="0" applyBorder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164" fontId="109" fillId="0" borderId="95" applyAlignment="0" applyProtection="0"/>
    <xf numFmtId="189" fontId="12" fillId="0" borderId="101">
      <alignment horizontal="center"/>
    </xf>
    <xf numFmtId="189" fontId="12" fillId="0" borderId="101">
      <alignment horizontal="center"/>
    </xf>
    <xf numFmtId="164" fontId="109" fillId="0" borderId="95" applyAlignment="0" applyProtection="0"/>
    <xf numFmtId="177" fontId="163" fillId="12" borderId="87"/>
    <xf numFmtId="0" fontId="129" fillId="86" borderId="84" applyNumberFormat="0" applyAlignment="0" applyProtection="0"/>
    <xf numFmtId="4" fontId="173" fillId="116" borderId="90" applyNumberFormat="0" applyProtection="0">
      <alignment horizontal="left" vertical="center" indent="1"/>
    </xf>
    <xf numFmtId="0" fontId="129" fillId="86" borderId="84" applyNumberFormat="0" applyAlignment="0" applyProtection="0"/>
    <xf numFmtId="0" fontId="156" fillId="100" borderId="88" applyNumberFormat="0" applyAlignment="0" applyProtection="0"/>
    <xf numFmtId="0" fontId="95" fillId="20" borderId="1" applyNumberFormat="0" applyFont="0" applyBorder="0">
      <alignment horizontal="left"/>
      <protection locked="0"/>
    </xf>
    <xf numFmtId="0" fontId="113" fillId="100" borderId="84" applyNumberFormat="0" applyAlignment="0" applyProtection="0"/>
    <xf numFmtId="0" fontId="12" fillId="0" borderId="87" applyNumberFormat="0" applyFont="0" applyFill="0" applyAlignment="0" applyProtection="0"/>
    <xf numFmtId="177" fontId="163" fillId="12" borderId="87"/>
    <xf numFmtId="4" fontId="172" fillId="114" borderId="89" applyNumberFormat="0" applyProtection="0">
      <alignment horizontal="right" vertical="center"/>
    </xf>
    <xf numFmtId="0" fontId="156" fillId="100" borderId="88" applyNumberFormat="0" applyAlignment="0" applyProtection="0"/>
    <xf numFmtId="14" fontId="123" fillId="12" borderId="103" applyFill="0" applyBorder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64" fontId="109" fillId="0" borderId="95" applyAlignment="0" applyProtection="0"/>
    <xf numFmtId="0" fontId="12" fillId="0" borderId="87" applyNumberFormat="0" applyFont="0" applyFill="0" applyAlignment="0" applyProtection="0"/>
    <xf numFmtId="0" fontId="12" fillId="0" borderId="93" applyNumberFormat="0" applyFont="0" applyFill="0" applyAlignment="0" applyProtection="0"/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0" fontId="110" fillId="0" borderId="53" applyFill="0" applyProtection="0">
      <alignment horizontal="right"/>
    </xf>
    <xf numFmtId="4" fontId="173" fillId="116" borderId="90" applyNumberFormat="0" applyProtection="0">
      <alignment horizontal="left" vertical="center" indent="1"/>
    </xf>
    <xf numFmtId="4" fontId="175" fillId="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4" fillId="11" borderId="89" applyNumberFormat="0" applyProtection="0">
      <alignment vertical="center"/>
    </xf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1" fontId="118" fillId="49" borderId="102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2" borderId="89" applyNumberFormat="0" applyProtection="0">
      <alignment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77" fontId="163" fillId="12" borderId="87"/>
    <xf numFmtId="166" fontId="12" fillId="0" borderId="85">
      <protection locked="0"/>
    </xf>
    <xf numFmtId="14" fontId="123" fillId="12" borderId="103" applyFill="0" applyBorder="0">
      <alignment horizontal="right"/>
    </xf>
    <xf numFmtId="190" fontId="108" fillId="102" borderId="19" applyFont="0" applyFill="0" applyBorder="0" applyAlignment="0" applyProtection="0"/>
    <xf numFmtId="189" fontId="12" fillId="0" borderId="101">
      <alignment horizontal="center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183" fillId="0" borderId="94" applyNumberFormat="0" applyFill="0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57" applyFont="0" applyFill="0" applyBorder="0" applyProtection="0">
      <alignment horizontal="right"/>
    </xf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0" fontId="136" fillId="0" borderId="104">
      <alignment horizontal="left" vertical="center"/>
    </xf>
    <xf numFmtId="4" fontId="172" fillId="12" borderId="89" applyNumberFormat="0" applyProtection="0">
      <alignment horizontal="left" vertical="center" indent="1"/>
    </xf>
    <xf numFmtId="4" fontId="171" fillId="12" borderId="89" applyNumberFormat="0" applyProtection="0">
      <alignment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37" fontId="123" fillId="0" borderId="102" applyNumberFormat="0" applyFont="0" applyFill="0" applyAlignment="0" applyProtection="0"/>
    <xf numFmtId="0" fontId="136" fillId="0" borderId="104">
      <alignment horizontal="left" vertical="center"/>
    </xf>
    <xf numFmtId="0" fontId="156" fillId="100" borderId="88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177" fontId="163" fillId="12" borderId="87"/>
    <xf numFmtId="4" fontId="172" fillId="109" borderId="89" applyNumberFormat="0" applyProtection="0">
      <alignment horizontal="righ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0" fontId="12" fillId="0" borderId="87" applyNumberFormat="0" applyFont="0" applyFill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77" fontId="163" fillId="12" borderId="87"/>
    <xf numFmtId="0" fontId="136" fillId="0" borderId="99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66" fillId="0" borderId="102">
      <alignment horizontal="center" vertical="center"/>
    </xf>
    <xf numFmtId="177" fontId="163" fillId="12" borderId="87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4" fillId="116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2" fillId="111" borderId="89" applyNumberFormat="0" applyProtection="0">
      <alignment horizontal="right" vertical="center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4" fontId="173" fillId="116" borderId="90" applyNumberFormat="0" applyProtection="0">
      <alignment horizontal="left" vertical="center" indent="1"/>
    </xf>
    <xf numFmtId="4" fontId="172" fillId="109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83" fillId="0" borderId="94" applyNumberFormat="0" applyFill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166" fontId="12" fillId="0" borderId="85">
      <protection locked="0"/>
    </xf>
    <xf numFmtId="232" fontId="12" fillId="16" borderId="91">
      <alignment horizontal="right" vertical="center"/>
      <protection locked="0"/>
    </xf>
    <xf numFmtId="0" fontId="129" fillId="86" borderId="84" applyNumberFormat="0" applyAlignment="0" applyProtection="0"/>
    <xf numFmtId="232" fontId="12" fillId="16" borderId="91">
      <alignment horizontal="right" vertical="center"/>
      <protection locked="0"/>
    </xf>
    <xf numFmtId="4" fontId="172" fillId="10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5" fillId="11" borderId="89" applyNumberFormat="0" applyProtection="0">
      <alignment horizontal="right"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" fillId="0" borderId="93" applyNumberFormat="0" applyFont="0" applyFill="0" applyAlignment="0" applyProtection="0"/>
    <xf numFmtId="4" fontId="170" fillId="108" borderId="89" applyNumberFormat="0" applyProtection="0">
      <alignment horizontal="left" vertical="center" wrapText="1" indent="1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4" fontId="172" fillId="110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229" fontId="121" fillId="0" borderId="95" applyFont="0" applyFill="0" applyBorder="0" applyAlignment="0" applyProtection="0"/>
    <xf numFmtId="4" fontId="171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4" fontId="172" fillId="111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4" fontId="172" fillId="23" borderId="89" applyNumberFormat="0" applyProtection="0">
      <alignment horizontal="right" vertical="center"/>
    </xf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166" fontId="12" fillId="0" borderId="85">
      <protection locked="0"/>
    </xf>
    <xf numFmtId="0" fontId="110" fillId="0" borderId="53" applyFill="0" applyProtection="0">
      <alignment horizontal="right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2" fillId="111" borderId="89" applyNumberFormat="0" applyProtection="0">
      <alignment horizontal="right" vertical="center"/>
    </xf>
    <xf numFmtId="1" fontId="118" fillId="49" borderId="102">
      <alignment horizontal="right" vertical="center"/>
    </xf>
    <xf numFmtId="0" fontId="143" fillId="103" borderId="86" applyNumberFormat="0" applyFont="0" applyBorder="0" applyAlignment="0">
      <alignment vertical="center"/>
    </xf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189" fontId="12" fillId="0" borderId="101">
      <alignment horizontal="center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4" fontId="175" fillId="11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37" fontId="123" fillId="0" borderId="102" applyNumberFormat="0" applyFont="0" applyFill="0" applyAlignment="0" applyProtection="0"/>
    <xf numFmtId="4" fontId="172" fillId="109" borderId="89" applyNumberFormat="0" applyProtection="0">
      <alignment horizontal="right" vertical="center"/>
    </xf>
    <xf numFmtId="164" fontId="109" fillId="0" borderId="95" applyAlignment="0" applyProtection="0"/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189" fontId="12" fillId="0" borderId="101">
      <alignment horizontal="center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66" fillId="0" borderId="102">
      <alignment horizontal="center"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4" fontId="172" fillId="112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36" fillId="0" borderId="104">
      <alignment horizontal="left" vertical="center"/>
    </xf>
    <xf numFmtId="229" fontId="121" fillId="0" borderId="95" applyFont="0" applyFill="0" applyBorder="0" applyAlignment="0" applyProtection="0"/>
    <xf numFmtId="166" fontId="12" fillId="0" borderId="85">
      <protection locked="0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0" fontId="113" fillId="100" borderId="84" applyNumberFormat="0" applyAlignment="0" applyProtection="0"/>
    <xf numFmtId="232" fontId="12" fillId="16" borderId="91">
      <alignment horizontal="right" vertical="center"/>
      <protection locked="0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164" fontId="109" fillId="0" borderId="95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166" fontId="12" fillId="0" borderId="57" applyFont="0" applyFill="0" applyBorder="0" applyProtection="0">
      <alignment horizontal="right"/>
    </xf>
    <xf numFmtId="4" fontId="172" fillId="112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164" fontId="109" fillId="0" borderId="95" applyAlignment="0" applyProtection="0"/>
    <xf numFmtId="4" fontId="172" fillId="103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2" fillId="107" borderId="87" applyNumberFormat="0" applyFont="0" applyAlignment="0" applyProtection="0"/>
    <xf numFmtId="0" fontId="136" fillId="0" borderId="99" applyNumberFormat="0" applyAlignment="0" applyProtection="0">
      <alignment horizontal="left" vertical="center"/>
    </xf>
    <xf numFmtId="0" fontId="113" fillId="100" borderId="84" applyNumberFormat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189" fontId="12" fillId="0" borderId="101">
      <alignment horizontal="center"/>
    </xf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4" fontId="172" fillId="25" borderId="89" applyNumberFormat="0" applyProtection="0">
      <alignment horizontal="right" vertical="center"/>
    </xf>
    <xf numFmtId="0" fontId="136" fillId="0" borderId="99" applyNumberFormat="0" applyAlignment="0" applyProtection="0">
      <alignment horizontal="left" vertical="center"/>
    </xf>
    <xf numFmtId="164" fontId="109" fillId="0" borderId="95" applyAlignment="0" applyProtection="0"/>
    <xf numFmtId="164" fontId="109" fillId="0" borderId="95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4" fontId="170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0" fontId="95" fillId="20" borderId="1" applyNumberFormat="0" applyFont="0" applyBorder="0">
      <alignment horizontal="left"/>
      <protection locked="0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0" fontId="136" fillId="0" borderId="99" applyNumberFormat="0" applyAlignment="0" applyProtection="0">
      <alignment horizontal="lef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36" fillId="0" borderId="99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229" fontId="121" fillId="0" borderId="95" applyFont="0" applyFill="0" applyBorder="0" applyAlignment="0" applyProtection="0"/>
    <xf numFmtId="0" fontId="95" fillId="20" borderId="1" applyNumberFormat="0" applyFont="0" applyBorder="0">
      <alignment horizontal="left"/>
      <protection locked="0"/>
    </xf>
    <xf numFmtId="0" fontId="136" fillId="0" borderId="99" applyNumberFormat="0" applyAlignment="0" applyProtection="0">
      <alignment horizontal="lef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87" applyNumberFormat="0" applyFont="0" applyFill="0" applyAlignment="0" applyProtection="0"/>
    <xf numFmtId="0" fontId="95" fillId="20" borderId="1" applyNumberFormat="0" applyFont="0" applyBorder="0">
      <alignment horizontal="left"/>
      <protection locked="0"/>
    </xf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229" fontId="121" fillId="0" borderId="95" applyFont="0" applyFill="0" applyBorder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229" fontId="121" fillId="0" borderId="95" applyFont="0" applyFill="0" applyBorder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95" fillId="20" borderId="97" applyNumberFormat="0" applyFont="0" applyBorder="0">
      <alignment horizontal="left"/>
      <protection locked="0"/>
    </xf>
    <xf numFmtId="4" fontId="158" fillId="115" borderId="98" applyNumberFormat="0" applyProtection="0">
      <alignment horizontal="left" vertical="center" indent="1"/>
    </xf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96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96" applyNumberFormat="0" applyAlignment="0" applyProtection="0">
      <alignment horizontal="left" vertical="center"/>
    </xf>
    <xf numFmtId="0" fontId="136" fillId="0" borderId="104">
      <alignment horizontal="left" vertical="center"/>
    </xf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36" fillId="0" borderId="96" applyNumberFormat="0" applyAlignment="0" applyProtection="0">
      <alignment horizontal="left" vertical="center"/>
    </xf>
    <xf numFmtId="0" fontId="136" fillId="0" borderId="104">
      <alignment horizontal="left" vertical="center"/>
    </xf>
    <xf numFmtId="14" fontId="123" fillId="12" borderId="103" applyFill="0" applyBorder="0">
      <alignment horizontal="right"/>
    </xf>
    <xf numFmtId="0" fontId="136" fillId="0" borderId="104">
      <alignment horizontal="left"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4" fontId="123" fillId="12" borderId="103" applyFill="0" applyBorder="0">
      <alignment horizontal="right"/>
    </xf>
    <xf numFmtId="0" fontId="156" fillId="100" borderId="88" applyNumberFormat="0" applyAlignment="0" applyProtection="0"/>
    <xf numFmtId="177" fontId="163" fillId="12" borderId="87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36" fillId="0" borderId="104">
      <alignment horizontal="left" vertical="center"/>
    </xf>
    <xf numFmtId="0" fontId="136" fillId="0" borderId="96" applyNumberFormat="0" applyAlignment="0" applyProtection="0">
      <alignment horizontal="left" vertical="center"/>
    </xf>
    <xf numFmtId="229" fontId="121" fillId="0" borderId="95" applyFont="0" applyFill="0" applyBorder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95" fillId="20" borderId="97" applyNumberFormat="0" applyFont="0" applyBorder="0">
      <alignment horizontal="left"/>
      <protection locked="0"/>
    </xf>
    <xf numFmtId="0" fontId="136" fillId="0" borderId="96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0" fontId="183" fillId="0" borderId="94" applyNumberFormat="0" applyFill="0" applyAlignment="0" applyProtection="0"/>
    <xf numFmtId="4" fontId="171" fillId="12" borderId="89" applyNumberFormat="0" applyProtection="0">
      <alignment vertical="center"/>
    </xf>
    <xf numFmtId="0" fontId="113" fillId="100" borderId="84" applyNumberForma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4" fontId="170" fillId="108" borderId="89" applyNumberFormat="0" applyProtection="0">
      <alignment horizontal="left" vertical="center" wrapText="1" indent="1"/>
    </xf>
    <xf numFmtId="166" fontId="12" fillId="0" borderId="85">
      <protection locked="0"/>
    </xf>
    <xf numFmtId="4" fontId="174" fillId="11" borderId="89" applyNumberFormat="0" applyProtection="0">
      <alignment vertical="center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164" fontId="109" fillId="0" borderId="95" applyAlignment="0" applyProtection="0"/>
    <xf numFmtId="164" fontId="109" fillId="0" borderId="95" applyAlignment="0" applyProtection="0"/>
    <xf numFmtId="177" fontId="163" fillId="12" borderId="87"/>
    <xf numFmtId="0" fontId="129" fillId="86" borderId="84" applyNumberFormat="0" applyAlignment="0" applyProtection="0"/>
    <xf numFmtId="4" fontId="173" fillId="116" borderId="90" applyNumberFormat="0" applyProtection="0">
      <alignment horizontal="left" vertical="center" indent="1"/>
    </xf>
    <xf numFmtId="0" fontId="129" fillId="86" borderId="84" applyNumberFormat="0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" fillId="0" borderId="87" applyNumberFormat="0" applyFont="0" applyFill="0" applyAlignment="0" applyProtection="0"/>
    <xf numFmtId="177" fontId="163" fillId="12" borderId="87"/>
    <xf numFmtId="4" fontId="172" fillId="114" borderId="89" applyNumberFormat="0" applyProtection="0">
      <alignment horizontal="right" vertical="center"/>
    </xf>
    <xf numFmtId="0" fontId="156" fillId="100" borderId="88" applyNumberFormat="0" applyAlignment="0" applyProtection="0"/>
    <xf numFmtId="14" fontId="123" fillId="12" borderId="103" applyFill="0" applyBorder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164" fontId="109" fillId="0" borderId="95" applyAlignment="0" applyProtection="0"/>
    <xf numFmtId="0" fontId="12" fillId="0" borderId="87" applyNumberFormat="0" applyFont="0" applyFill="0" applyAlignment="0" applyProtection="0"/>
    <xf numFmtId="0" fontId="12" fillId="0" borderId="93" applyNumberFormat="0" applyFont="0" applyFill="0" applyAlignment="0" applyProtection="0"/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0" fontId="110" fillId="0" borderId="53" applyFill="0" applyProtection="0">
      <alignment horizontal="right"/>
    </xf>
    <xf numFmtId="4" fontId="173" fillId="116" borderId="90" applyNumberFormat="0" applyProtection="0">
      <alignment horizontal="left" vertical="center" indent="1"/>
    </xf>
    <xf numFmtId="4" fontId="175" fillId="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4" fillId="11" borderId="89" applyNumberFormat="0" applyProtection="0">
      <alignment vertical="center"/>
    </xf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1" fontId="118" fillId="49" borderId="102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2" borderId="89" applyNumberFormat="0" applyProtection="0">
      <alignment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77" fontId="163" fillId="12" borderId="87"/>
    <xf numFmtId="166" fontId="12" fillId="0" borderId="85">
      <protection locked="0"/>
    </xf>
    <xf numFmtId="14" fontId="123" fillId="12" borderId="103" applyFill="0" applyBorder="0">
      <alignment horizontal="right"/>
    </xf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0" fontId="183" fillId="0" borderId="94" applyNumberFormat="0" applyFill="0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7" fillId="100" borderId="92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0" fontId="136" fillId="0" borderId="104">
      <alignment horizontal="left" vertical="center"/>
    </xf>
    <xf numFmtId="4" fontId="172" fillId="12" borderId="89" applyNumberFormat="0" applyProtection="0">
      <alignment horizontal="left" vertical="center" indent="1"/>
    </xf>
    <xf numFmtId="4" fontId="171" fillId="12" borderId="89" applyNumberFormat="0" applyProtection="0">
      <alignment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37" fontId="123" fillId="0" borderId="102" applyNumberFormat="0" applyFont="0" applyFill="0" applyAlignment="0" applyProtection="0"/>
    <xf numFmtId="0" fontId="136" fillId="0" borderId="104">
      <alignment horizontal="left" vertical="center"/>
    </xf>
    <xf numFmtId="0" fontId="156" fillId="100" borderId="88" applyNumberFormat="0" applyAlignment="0" applyProtection="0"/>
    <xf numFmtId="0" fontId="129" fillId="86" borderId="84" applyNumberFormat="0" applyAlignment="0" applyProtection="0"/>
    <xf numFmtId="0" fontId="129" fillId="86" borderId="84" applyNumberFormat="0" applyAlignment="0" applyProtection="0"/>
    <xf numFmtId="177" fontId="163" fillId="12" borderId="87"/>
    <xf numFmtId="4" fontId="172" fillId="109" borderId="89" applyNumberFormat="0" applyProtection="0">
      <alignment horizontal="righ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0" fontId="12" fillId="0" borderId="87" applyNumberFormat="0" applyFont="0" applyFill="0" applyAlignment="0" applyProtection="0"/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177" fontId="163" fillId="12" borderId="87"/>
    <xf numFmtId="0" fontId="136" fillId="0" borderId="96" applyNumberFormat="0" applyAlignment="0" applyProtection="0">
      <alignment horizontal="left" vertical="center"/>
    </xf>
    <xf numFmtId="0" fontId="136" fillId="0" borderId="104">
      <alignment horizontal="left" vertical="center"/>
    </xf>
    <xf numFmtId="0" fontId="166" fillId="0" borderId="102">
      <alignment horizontal="center" vertical="center"/>
    </xf>
    <xf numFmtId="177" fontId="163" fillId="12" borderId="87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4" fillId="116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2" fillId="111" borderId="89" applyNumberFormat="0" applyProtection="0">
      <alignment horizontal="right" vertical="center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4" fontId="173" fillId="116" borderId="90" applyNumberFormat="0" applyProtection="0">
      <alignment horizontal="left" vertical="center" indent="1"/>
    </xf>
    <xf numFmtId="4" fontId="172" fillId="109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83" fillId="0" borderId="94" applyNumberFormat="0" applyFill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4" fontId="172" fillId="25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32" fontId="12" fillId="16" borderId="91">
      <alignment horizontal="right" vertical="center"/>
      <protection locked="0"/>
    </xf>
    <xf numFmtId="0" fontId="129" fillId="86" borderId="84" applyNumberFormat="0" applyAlignment="0" applyProtection="0"/>
    <xf numFmtId="232" fontId="12" fillId="16" borderId="91">
      <alignment horizontal="right" vertical="center"/>
      <protection locked="0"/>
    </xf>
    <xf numFmtId="4" fontId="172" fillId="10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4" fillId="116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4" fontId="175" fillId="11" borderId="89" applyNumberFormat="0" applyProtection="0">
      <alignment horizontal="right" vertical="center"/>
    </xf>
    <xf numFmtId="0" fontId="156" fillId="100" borderId="88" applyNumberFormat="0" applyAlignment="0" applyProtection="0"/>
    <xf numFmtId="0" fontId="113" fillId="100" borderId="84" applyNumberFormat="0" applyAlignment="0" applyProtection="0"/>
    <xf numFmtId="0" fontId="12" fillId="0" borderId="93" applyNumberFormat="0" applyFont="0" applyFill="0" applyAlignment="0" applyProtection="0"/>
    <xf numFmtId="4" fontId="170" fillId="108" borderId="89" applyNumberFormat="0" applyProtection="0">
      <alignment horizontal="left" vertical="center" wrapText="1" indent="1"/>
    </xf>
    <xf numFmtId="164" fontId="109" fillId="0" borderId="95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4" fontId="172" fillId="110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29" fillId="86" borderId="84" applyNumberFormat="0" applyAlignment="0" applyProtection="0"/>
    <xf numFmtId="0" fontId="143" fillId="103" borderId="86" applyNumberFormat="0" applyFont="0" applyBorder="0" applyAlignment="0">
      <alignment vertical="center"/>
    </xf>
    <xf numFmtId="229" fontId="121" fillId="0" borderId="95" applyFont="0" applyFill="0" applyBorder="0" applyAlignment="0" applyProtection="0"/>
    <xf numFmtId="4" fontId="171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4" fontId="172" fillId="111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0" fontId="113" fillId="100" borderId="84" applyNumberFormat="0" applyAlignment="0" applyProtection="0"/>
    <xf numFmtId="0" fontId="110" fillId="0" borderId="53" applyFill="0" applyProtection="0">
      <alignment horizontal="right"/>
    </xf>
    <xf numFmtId="4" fontId="172" fillId="23" borderId="89" applyNumberFormat="0" applyProtection="0">
      <alignment horizontal="right" vertical="center"/>
    </xf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166" fontId="12" fillId="0" borderId="85">
      <protection locked="0"/>
    </xf>
    <xf numFmtId="0" fontId="110" fillId="0" borderId="53" applyFill="0" applyProtection="0">
      <alignment horizontal="right"/>
    </xf>
    <xf numFmtId="164" fontId="109" fillId="0" borderId="95" applyAlignment="0" applyProtection="0"/>
    <xf numFmtId="0" fontId="110" fillId="0" borderId="53" applyFill="0" applyProtection="0">
      <alignment horizontal="right"/>
    </xf>
    <xf numFmtId="0" fontId="113" fillId="100" borderId="84" applyNumberFormat="0" applyAlignment="0" applyProtection="0"/>
    <xf numFmtId="0" fontId="113" fillId="100" borderId="84" applyNumberFormat="0" applyAlignment="0" applyProtection="0"/>
    <xf numFmtId="0" fontId="113" fillId="100" borderId="84" applyNumberFormat="0" applyAlignment="0" applyProtection="0"/>
    <xf numFmtId="4" fontId="172" fillId="111" borderId="89" applyNumberFormat="0" applyProtection="0">
      <alignment horizontal="right" vertical="center"/>
    </xf>
    <xf numFmtId="1" fontId="118" fillId="49" borderId="102">
      <alignment horizontal="right" vertical="center"/>
    </xf>
    <xf numFmtId="0" fontId="143" fillId="103" borderId="86" applyNumberFormat="0" applyFont="0" applyBorder="0" applyAlignment="0">
      <alignment vertical="center"/>
    </xf>
    <xf numFmtId="0" fontId="136" fillId="0" borderId="104">
      <alignment horizontal="left" vertical="center"/>
    </xf>
    <xf numFmtId="166" fontId="12" fillId="0" borderId="85">
      <protection locked="0"/>
    </xf>
    <xf numFmtId="14" fontId="123" fillId="12" borderId="103" applyFill="0" applyBorder="0">
      <alignment horizontal="right"/>
    </xf>
    <xf numFmtId="0" fontId="129" fillId="86" borderId="84" applyNumberFormat="0" applyAlignment="0" applyProtection="0"/>
    <xf numFmtId="0" fontId="129" fillId="86" borderId="84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4" fontId="175" fillId="11" borderId="89" applyNumberFormat="0" applyProtection="0">
      <alignment horizontal="right" vertical="center"/>
    </xf>
    <xf numFmtId="0" fontId="136" fillId="0" borderId="104">
      <alignment horizontal="left" vertical="center"/>
    </xf>
    <xf numFmtId="0" fontId="136" fillId="0" borderId="104">
      <alignment horizontal="left" vertical="center"/>
    </xf>
    <xf numFmtId="0" fontId="143" fillId="103" borderId="86" applyNumberFormat="0" applyFont="0" applyBorder="0" applyAlignment="0">
      <alignment vertical="center"/>
    </xf>
    <xf numFmtId="10" fontId="104" fillId="102" borderId="102" applyNumberFormat="0" applyBorder="0" applyAlignment="0" applyProtection="0"/>
    <xf numFmtId="37" fontId="123" fillId="0" borderId="102" applyNumberFormat="0" applyFont="0" applyFill="0" applyAlignment="0" applyProtection="0"/>
    <xf numFmtId="4" fontId="172" fillId="109" borderId="89" applyNumberFormat="0" applyProtection="0">
      <alignment horizontal="right" vertical="center"/>
    </xf>
    <xf numFmtId="164" fontId="109" fillId="0" borderId="95" applyAlignment="0" applyProtection="0"/>
    <xf numFmtId="14" fontId="123" fillId="12" borderId="103" applyFill="0" applyBorder="0">
      <alignment horizontal="right"/>
    </xf>
    <xf numFmtId="0" fontId="113" fillId="100" borderId="84" applyNumberFormat="0" applyAlignment="0" applyProtection="0"/>
    <xf numFmtId="0" fontId="156" fillId="100" borderId="88" applyNumberFormat="0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66" fillId="0" borderId="102">
      <alignment horizontal="center" vertical="center"/>
    </xf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229" fontId="121" fillId="0" borderId="95" applyFont="0" applyFill="0" applyBorder="0" applyAlignment="0" applyProtection="0"/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4" fontId="172" fillId="112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0" fontId="136" fillId="0" borderId="104">
      <alignment horizontal="left" vertical="center"/>
    </xf>
    <xf numFmtId="229" fontId="121" fillId="0" borderId="95" applyFont="0" applyFill="0" applyBorder="0" applyAlignment="0" applyProtection="0"/>
    <xf numFmtId="166" fontId="12" fillId="0" borderId="85">
      <protection locked="0"/>
    </xf>
    <xf numFmtId="0" fontId="143" fillId="103" borderId="86" applyNumberFormat="0" applyFont="0" applyBorder="0" applyAlignment="0">
      <alignment vertical="center"/>
    </xf>
    <xf numFmtId="164" fontId="109" fillId="0" borderId="95" applyAlignment="0" applyProtection="0"/>
    <xf numFmtId="0" fontId="113" fillId="100" borderId="84" applyNumberFormat="0" applyAlignment="0" applyProtection="0"/>
    <xf numFmtId="232" fontId="12" fillId="16" borderId="91">
      <alignment horizontal="right" vertical="center"/>
      <protection locked="0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164" fontId="109" fillId="0" borderId="95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36" fillId="0" borderId="104">
      <alignment horizontal="left" vertical="center"/>
    </xf>
    <xf numFmtId="0" fontId="136" fillId="0" borderId="104">
      <alignment horizontal="left" vertical="center"/>
    </xf>
    <xf numFmtId="4" fontId="172" fillId="112" borderId="89" applyNumberFormat="0" applyProtection="0">
      <alignment horizontal="right" vertical="center"/>
    </xf>
    <xf numFmtId="4" fontId="170" fillId="12" borderId="89" applyNumberFormat="0" applyProtection="0">
      <alignment vertical="center"/>
    </xf>
    <xf numFmtId="164" fontId="109" fillId="0" borderId="95" applyAlignment="0" applyProtection="0"/>
    <xf numFmtId="4" fontId="172" fillId="103" borderId="89" applyNumberFormat="0" applyProtection="0">
      <alignment horizontal="right" vertical="center"/>
    </xf>
    <xf numFmtId="4" fontId="172" fillId="109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5" fillId="11" borderId="89" applyNumberFormat="0" applyProtection="0">
      <alignment vertical="center"/>
    </xf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2" fillId="107" borderId="87" applyNumberFormat="0" applyFont="0" applyAlignment="0" applyProtection="0"/>
    <xf numFmtId="0" fontId="136" fillId="0" borderId="96" applyNumberFormat="0" applyAlignment="0" applyProtection="0">
      <alignment horizontal="left" vertical="center"/>
    </xf>
    <xf numFmtId="0" fontId="113" fillId="100" borderId="84" applyNumberFormat="0" applyAlignment="0" applyProtection="0"/>
    <xf numFmtId="0" fontId="129" fillId="86" borderId="84" applyNumberFormat="0" applyAlignment="0" applyProtection="0"/>
    <xf numFmtId="166" fontId="12" fillId="0" borderId="85">
      <protection locked="0"/>
    </xf>
    <xf numFmtId="0" fontId="113" fillId="100" borderId="84" applyNumberFormat="0" applyAlignment="0" applyProtection="0"/>
    <xf numFmtId="229" fontId="121" fillId="0" borderId="95" applyFont="0" applyFill="0" applyBorder="0" applyAlignment="0" applyProtection="0"/>
    <xf numFmtId="0" fontId="129" fillId="86" borderId="84" applyNumberFormat="0" applyAlignment="0" applyProtection="0"/>
    <xf numFmtId="4" fontId="172" fillId="25" borderId="89" applyNumberFormat="0" applyProtection="0">
      <alignment horizontal="right" vertical="center"/>
    </xf>
    <xf numFmtId="0" fontId="136" fillId="0" borderId="96" applyNumberFormat="0" applyAlignment="0" applyProtection="0">
      <alignment horizontal="left" vertical="center"/>
    </xf>
    <xf numFmtId="164" fontId="109" fillId="0" borderId="95" applyAlignment="0" applyProtection="0"/>
    <xf numFmtId="164" fontId="109" fillId="0" borderId="95" applyAlignment="0" applyProtection="0"/>
    <xf numFmtId="0" fontId="156" fillId="100" borderId="88" applyNumberFormat="0" applyAlignment="0" applyProtection="0"/>
    <xf numFmtId="0" fontId="113" fillId="100" borderId="84" applyNumberFormat="0" applyAlignment="0" applyProtection="0"/>
    <xf numFmtId="4" fontId="170" fillId="12" borderId="89" applyNumberFormat="0" applyProtection="0">
      <alignment vertical="center"/>
    </xf>
    <xf numFmtId="229" fontId="121" fillId="0" borderId="95" applyFont="0" applyFill="0" applyBorder="0" applyAlignment="0" applyProtection="0"/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0" fontId="136" fillId="0" borderId="96" applyNumberFormat="0" applyAlignment="0" applyProtection="0">
      <alignment horizontal="lef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0" fontId="136" fillId="0" borderId="96" applyNumberFormat="0" applyAlignment="0" applyProtection="0">
      <alignment horizontal="left" vertical="center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9" fillId="86" borderId="84" applyNumberFormat="0" applyAlignment="0" applyProtection="0"/>
    <xf numFmtId="14" fontId="123" fillId="12" borderId="103" applyFill="0" applyBorder="0">
      <alignment horizontal="right"/>
    </xf>
    <xf numFmtId="229" fontId="121" fillId="0" borderId="95" applyFont="0" applyFill="0" applyBorder="0" applyAlignment="0" applyProtection="0"/>
    <xf numFmtId="0" fontId="136" fillId="0" borderId="96" applyNumberFormat="0" applyAlignment="0" applyProtection="0">
      <alignment horizontal="left" vertical="center"/>
    </xf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229" fontId="121" fillId="0" borderId="95" applyFont="0" applyFill="0" applyBorder="0" applyAlignment="0" applyProtection="0"/>
    <xf numFmtId="14" fontId="123" fillId="12" borderId="103" applyFill="0" applyBorder="0">
      <alignment horizontal="right"/>
    </xf>
    <xf numFmtId="14" fontId="123" fillId="12" borderId="103" applyFill="0" applyBorder="0">
      <alignment horizontal="right"/>
    </xf>
    <xf numFmtId="164" fontId="109" fillId="0" borderId="95" applyAlignment="0" applyProtection="0"/>
    <xf numFmtId="0" fontId="12" fillId="107" borderId="87" applyNumberFormat="0" applyFont="0" applyAlignment="0" applyProtection="0"/>
    <xf numFmtId="0" fontId="12" fillId="107" borderId="87" applyNumberFormat="0" applyFont="0" applyAlignment="0" applyProtection="0"/>
    <xf numFmtId="0" fontId="156" fillId="100" borderId="88" applyNumberFormat="0" applyAlignment="0" applyProtection="0"/>
    <xf numFmtId="177" fontId="163" fillId="12" borderId="87"/>
    <xf numFmtId="0" fontId="156" fillId="100" borderId="88" applyNumberFormat="0" applyAlignment="0" applyProtection="0"/>
    <xf numFmtId="0" fontId="156" fillId="100" borderId="88" applyNumberFormat="0" applyAlignment="0" applyProtection="0"/>
    <xf numFmtId="4" fontId="170" fillId="12" borderId="89" applyNumberFormat="0" applyProtection="0">
      <alignment vertical="center"/>
    </xf>
    <xf numFmtId="4" fontId="171" fillId="12" borderId="89" applyNumberFormat="0" applyProtection="0">
      <alignment vertical="center"/>
    </xf>
    <xf numFmtId="4" fontId="172" fillId="12" borderId="89" applyNumberFormat="0" applyProtection="0">
      <alignment horizontal="left" vertical="center" indent="1"/>
    </xf>
    <xf numFmtId="4" fontId="170" fillId="108" borderId="89" applyNumberFormat="0" applyProtection="0">
      <alignment horizontal="left" vertical="center" wrapText="1" indent="1"/>
    </xf>
    <xf numFmtId="4" fontId="172" fillId="109" borderId="89" applyNumberFormat="0" applyProtection="0">
      <alignment horizontal="right" vertical="center"/>
    </xf>
    <xf numFmtId="4" fontId="172" fillId="110" borderId="89" applyNumberFormat="0" applyProtection="0">
      <alignment horizontal="right" vertical="center"/>
    </xf>
    <xf numFmtId="4" fontId="172" fillId="111" borderId="89" applyNumberFormat="0" applyProtection="0">
      <alignment horizontal="right" vertical="center"/>
    </xf>
    <xf numFmtId="4" fontId="172" fillId="112" borderId="89" applyNumberFormat="0" applyProtection="0">
      <alignment horizontal="right" vertical="center"/>
    </xf>
    <xf numFmtId="4" fontId="172" fillId="25" borderId="89" applyNumberFormat="0" applyProtection="0">
      <alignment horizontal="right" vertical="center"/>
    </xf>
    <xf numFmtId="4" fontId="172" fillId="103" borderId="89" applyNumberFormat="0" applyProtection="0">
      <alignment horizontal="right" vertical="center"/>
    </xf>
    <xf numFmtId="4" fontId="172" fillId="23" borderId="89" applyNumberFormat="0" applyProtection="0">
      <alignment horizontal="right" vertical="center"/>
    </xf>
    <xf numFmtId="4" fontId="172" fillId="113" borderId="89" applyNumberFormat="0" applyProtection="0">
      <alignment horizontal="right" vertical="center"/>
    </xf>
    <xf numFmtId="4" fontId="172" fillId="114" borderId="89" applyNumberFormat="0" applyProtection="0">
      <alignment horizontal="right" vertical="center"/>
    </xf>
    <xf numFmtId="4" fontId="174" fillId="116" borderId="89" applyNumberFormat="0" applyProtection="0">
      <alignment horizontal="right" vertical="center"/>
    </xf>
    <xf numFmtId="4" fontId="174" fillId="11" borderId="89" applyNumberFormat="0" applyProtection="0">
      <alignment vertical="center"/>
    </xf>
    <xf numFmtId="4" fontId="175" fillId="11" borderId="89" applyNumberFormat="0" applyProtection="0">
      <alignment vertical="center"/>
    </xf>
    <xf numFmtId="4" fontId="173" fillId="116" borderId="90" applyNumberFormat="0" applyProtection="0">
      <alignment horizontal="left" vertical="center" indent="1"/>
    </xf>
    <xf numFmtId="232" fontId="12" fillId="16" borderId="91">
      <alignment horizontal="right" vertical="center"/>
      <protection locked="0"/>
    </xf>
    <xf numFmtId="4" fontId="175" fillId="11" borderId="89" applyNumberFormat="0" applyProtection="0">
      <alignment horizontal="right" vertical="center"/>
    </xf>
    <xf numFmtId="4" fontId="119" fillId="119" borderId="89" applyNumberFormat="0" applyProtection="0">
      <alignment horizontal="left" vertical="center" indent="1"/>
    </xf>
    <xf numFmtId="4" fontId="177" fillId="100" borderId="92" applyNumberFormat="0" applyProtection="0">
      <alignment horizontal="right" vertical="center"/>
    </xf>
    <xf numFmtId="0" fontId="12" fillId="0" borderId="93" applyNumberFormat="0" applyFont="0" applyFill="0" applyAlignment="0" applyProtection="0"/>
    <xf numFmtId="0" fontId="12" fillId="0" borderId="87" applyNumberFormat="0" applyFont="0" applyFill="0" applyAlignment="0" applyProtection="0"/>
    <xf numFmtId="0" fontId="183" fillId="0" borderId="94" applyNumberFormat="0" applyFill="0" applyAlignment="0" applyProtection="0"/>
    <xf numFmtId="229" fontId="121" fillId="0" borderId="95" applyFont="0" applyFill="0" applyBorder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169" fontId="1" fillId="0" borderId="0" applyFont="0" applyFill="0" applyBorder="0" applyAlignment="0" applyProtection="0"/>
    <xf numFmtId="0" fontId="17" fillId="0" borderId="0"/>
    <xf numFmtId="0" fontId="1" fillId="0" borderId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9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2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20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6" fillId="0" borderId="0" applyNumberForma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7" fillId="0" borderId="0"/>
  </cellStyleXfs>
  <cellXfs count="2637">
    <xf numFmtId="0" fontId="0" fillId="0" borderId="0" xfId="0"/>
    <xf numFmtId="0" fontId="7" fillId="10" borderId="2" xfId="0" applyFont="1" applyFill="1" applyBorder="1"/>
    <xf numFmtId="173" fontId="23" fillId="18" borderId="9" xfId="1" applyNumberFormat="1" applyFont="1" applyFill="1" applyBorder="1"/>
    <xf numFmtId="170" fontId="0" fillId="0" borderId="0" xfId="1" applyNumberFormat="1" applyFont="1"/>
    <xf numFmtId="0" fontId="2" fillId="0" borderId="0" xfId="0" applyFont="1"/>
    <xf numFmtId="0" fontId="0" fillId="10" borderId="0" xfId="0" applyFill="1"/>
    <xf numFmtId="0" fontId="0" fillId="10" borderId="5" xfId="0" applyFill="1" applyBorder="1"/>
    <xf numFmtId="0" fontId="0" fillId="0" borderId="0" xfId="0" applyAlignment="1">
      <alignment horizontal="center"/>
    </xf>
    <xf numFmtId="14" fontId="0" fillId="0" borderId="0" xfId="0" applyNumberFormat="1"/>
    <xf numFmtId="170" fontId="2" fillId="0" borderId="0" xfId="1" applyNumberFormat="1" applyFont="1"/>
    <xf numFmtId="169" fontId="2" fillId="0" borderId="0" xfId="1" applyFont="1"/>
    <xf numFmtId="170" fontId="33" fillId="0" borderId="0" xfId="1" applyNumberFormat="1" applyFont="1"/>
    <xf numFmtId="3" fontId="2" fillId="0" borderId="0" xfId="0" applyNumberFormat="1" applyFont="1"/>
    <xf numFmtId="0" fontId="34" fillId="0" borderId="0" xfId="0" applyFont="1"/>
    <xf numFmtId="169" fontId="2" fillId="0" borderId="0" xfId="1" applyFont="1" applyFill="1" applyAlignment="1">
      <alignment horizontal="center"/>
    </xf>
    <xf numFmtId="169" fontId="35" fillId="0" borderId="0" xfId="1" applyFont="1" applyFill="1"/>
    <xf numFmtId="0" fontId="0" fillId="10" borderId="0" xfId="0" applyFill="1" applyAlignment="1">
      <alignment horizontal="center"/>
    </xf>
    <xf numFmtId="14" fontId="0" fillId="10" borderId="0" xfId="0" applyNumberFormat="1" applyFill="1"/>
    <xf numFmtId="0" fontId="0" fillId="10" borderId="3" xfId="0" applyFill="1" applyBorder="1" applyAlignment="1">
      <alignment horizontal="center"/>
    </xf>
    <xf numFmtId="0" fontId="7" fillId="10" borderId="4" xfId="0" applyFont="1" applyFill="1" applyBorder="1"/>
    <xf numFmtId="0" fontId="0" fillId="10" borderId="5" xfId="0" applyFill="1" applyBorder="1" applyAlignment="1">
      <alignment horizontal="center"/>
    </xf>
    <xf numFmtId="14" fontId="0" fillId="10" borderId="5" xfId="0" applyNumberFormat="1" applyFill="1" applyBorder="1"/>
    <xf numFmtId="0" fontId="0" fillId="10" borderId="6" xfId="0" applyFill="1" applyBorder="1" applyAlignment="1">
      <alignment horizontal="center"/>
    </xf>
    <xf numFmtId="174" fontId="16" fillId="8" borderId="0" xfId="15" applyFont="1" applyFill="1"/>
    <xf numFmtId="169" fontId="36" fillId="0" borderId="0" xfId="1" applyFont="1" applyFill="1"/>
    <xf numFmtId="0" fontId="36" fillId="0" borderId="0" xfId="0" applyFont="1"/>
    <xf numFmtId="169" fontId="42" fillId="27" borderId="9" xfId="1" applyFont="1" applyFill="1" applyBorder="1"/>
    <xf numFmtId="0" fontId="3" fillId="0" borderId="0" xfId="0" applyFont="1" applyAlignment="1">
      <alignment horizontal="center"/>
    </xf>
    <xf numFmtId="0" fontId="3" fillId="14" borderId="12" xfId="0" applyFont="1" applyFill="1" applyBorder="1" applyAlignment="1">
      <alignment horizontal="center"/>
    </xf>
    <xf numFmtId="0" fontId="3" fillId="14" borderId="13" xfId="0" applyFont="1" applyFill="1" applyBorder="1" applyAlignment="1">
      <alignment horizontal="center"/>
    </xf>
    <xf numFmtId="169" fontId="3" fillId="14" borderId="12" xfId="1" applyFont="1" applyFill="1" applyBorder="1" applyAlignment="1">
      <alignment horizontal="center"/>
    </xf>
    <xf numFmtId="174" fontId="3" fillId="14" borderId="13" xfId="2" applyFont="1" applyFill="1" applyBorder="1" applyAlignment="1">
      <alignment horizontal="center"/>
    </xf>
    <xf numFmtId="170" fontId="3" fillId="14" borderId="14" xfId="1" applyNumberFormat="1" applyFont="1" applyFill="1" applyBorder="1" applyAlignment="1">
      <alignment horizontal="center"/>
    </xf>
    <xf numFmtId="173" fontId="3" fillId="18" borderId="12" xfId="1" applyNumberFormat="1" applyFont="1" applyFill="1" applyBorder="1" applyAlignment="1">
      <alignment horizontal="center"/>
    </xf>
    <xf numFmtId="174" fontId="3" fillId="18" borderId="13" xfId="2" applyFont="1" applyFill="1" applyBorder="1" applyAlignment="1">
      <alignment horizontal="center"/>
    </xf>
    <xf numFmtId="170" fontId="3" fillId="18" borderId="14" xfId="1" applyNumberFormat="1" applyFont="1" applyFill="1" applyBorder="1" applyAlignment="1">
      <alignment horizontal="center"/>
    </xf>
    <xf numFmtId="169" fontId="3" fillId="7" borderId="12" xfId="1" applyFont="1" applyFill="1" applyBorder="1" applyAlignment="1">
      <alignment horizontal="center"/>
    </xf>
    <xf numFmtId="174" fontId="3" fillId="7" borderId="13" xfId="2" applyFont="1" applyFill="1" applyBorder="1" applyAlignment="1">
      <alignment horizontal="center"/>
    </xf>
    <xf numFmtId="170" fontId="3" fillId="7" borderId="15" xfId="1" applyNumberFormat="1" applyFont="1" applyFill="1" applyBorder="1" applyAlignment="1">
      <alignment horizontal="center"/>
    </xf>
    <xf numFmtId="169" fontId="3" fillId="24" borderId="12" xfId="1" applyFont="1" applyFill="1" applyBorder="1" applyAlignment="1">
      <alignment horizontal="center"/>
    </xf>
    <xf numFmtId="170" fontId="3" fillId="24" borderId="14" xfId="1" applyNumberFormat="1" applyFont="1" applyFill="1" applyBorder="1" applyAlignment="1">
      <alignment horizontal="center" wrapText="1"/>
    </xf>
    <xf numFmtId="170" fontId="3" fillId="28" borderId="16" xfId="1" applyNumberFormat="1" applyFont="1" applyFill="1" applyBorder="1" applyAlignment="1">
      <alignment horizontal="center"/>
    </xf>
    <xf numFmtId="170" fontId="3" fillId="28" borderId="13" xfId="1" applyNumberFormat="1" applyFont="1" applyFill="1" applyBorder="1" applyAlignment="1">
      <alignment horizontal="center"/>
    </xf>
    <xf numFmtId="0" fontId="3" fillId="28" borderId="14" xfId="0" applyFont="1" applyFill="1" applyBorder="1" applyAlignment="1">
      <alignment horizontal="center"/>
    </xf>
    <xf numFmtId="169" fontId="33" fillId="0" borderId="0" xfId="1" applyFont="1" applyFill="1" applyAlignment="1">
      <alignment horizontal="center"/>
    </xf>
    <xf numFmtId="169" fontId="38" fillId="27" borderId="9" xfId="1" applyFont="1" applyFill="1" applyBorder="1" applyAlignment="1">
      <alignment horizontal="center"/>
    </xf>
    <xf numFmtId="14" fontId="43" fillId="29" borderId="17" xfId="0" applyNumberFormat="1" applyFont="1" applyFill="1" applyBorder="1"/>
    <xf numFmtId="174" fontId="43" fillId="29" borderId="19" xfId="2" applyFont="1" applyFill="1" applyBorder="1"/>
    <xf numFmtId="170" fontId="43" fillId="29" borderId="29" xfId="1" applyNumberFormat="1" applyFont="1" applyFill="1" applyBorder="1"/>
    <xf numFmtId="173" fontId="43" fillId="29" borderId="30" xfId="1" applyNumberFormat="1" applyFont="1" applyFill="1" applyBorder="1"/>
    <xf numFmtId="170" fontId="43" fillId="29" borderId="24" xfId="1" applyNumberFormat="1" applyFont="1" applyFill="1" applyBorder="1"/>
    <xf numFmtId="169" fontId="43" fillId="29" borderId="18" xfId="1" applyFont="1" applyFill="1" applyBorder="1"/>
    <xf numFmtId="170" fontId="43" fillId="29" borderId="18" xfId="1" applyNumberFormat="1" applyFont="1" applyFill="1" applyBorder="1"/>
    <xf numFmtId="0" fontId="36" fillId="27" borderId="9" xfId="0" applyFont="1" applyFill="1" applyBorder="1"/>
    <xf numFmtId="169" fontId="36" fillId="27" borderId="9" xfId="1" applyFont="1" applyFill="1" applyBorder="1"/>
    <xf numFmtId="0" fontId="0" fillId="0" borderId="9" xfId="0" applyBorder="1"/>
    <xf numFmtId="14" fontId="0" fillId="0" borderId="9" xfId="0" applyNumberFormat="1" applyBorder="1"/>
    <xf numFmtId="0" fontId="44" fillId="0" borderId="9" xfId="0" applyFont="1" applyBorder="1"/>
    <xf numFmtId="169" fontId="44" fillId="1" borderId="9" xfId="1" applyFont="1" applyFill="1" applyBorder="1"/>
    <xf numFmtId="173" fontId="44" fillId="18" borderId="31" xfId="1" applyNumberFormat="1" applyFont="1" applyFill="1" applyBorder="1"/>
    <xf numFmtId="169" fontId="44" fillId="24" borderId="9" xfId="1" applyFont="1" applyFill="1" applyBorder="1"/>
    <xf numFmtId="0" fontId="44" fillId="0" borderId="0" xfId="0" applyFont="1"/>
    <xf numFmtId="0" fontId="29" fillId="24" borderId="12" xfId="0" applyFont="1" applyFill="1" applyBorder="1"/>
    <xf numFmtId="0" fontId="29" fillId="24" borderId="13" xfId="0" applyFont="1" applyFill="1" applyBorder="1"/>
    <xf numFmtId="0" fontId="29" fillId="24" borderId="13" xfId="0" applyFont="1" applyFill="1" applyBorder="1" applyAlignment="1">
      <alignment horizontal="center"/>
    </xf>
    <xf numFmtId="14" fontId="29" fillId="24" borderId="12" xfId="0" applyNumberFormat="1" applyFont="1" applyFill="1" applyBorder="1"/>
    <xf numFmtId="169" fontId="29" fillId="24" borderId="12" xfId="1" applyFont="1" applyFill="1" applyBorder="1"/>
    <xf numFmtId="174" fontId="29" fillId="24" borderId="13" xfId="2" applyFont="1" applyFill="1" applyBorder="1"/>
    <xf numFmtId="170" fontId="29" fillId="24" borderId="15" xfId="1" applyNumberFormat="1" applyFont="1" applyFill="1" applyBorder="1"/>
    <xf numFmtId="173" fontId="29" fillId="18" borderId="32" xfId="1" applyNumberFormat="1" applyFont="1" applyFill="1" applyBorder="1"/>
    <xf numFmtId="174" fontId="29" fillId="18" borderId="13" xfId="2" applyFont="1" applyFill="1" applyBorder="1"/>
    <xf numFmtId="170" fontId="29" fillId="18" borderId="33" xfId="1" applyNumberFormat="1" applyFont="1" applyFill="1" applyBorder="1"/>
    <xf numFmtId="169" fontId="29" fillId="7" borderId="12" xfId="1" applyFont="1" applyFill="1" applyBorder="1"/>
    <xf numFmtId="174" fontId="29" fillId="7" borderId="13" xfId="2" applyFont="1" applyFill="1" applyBorder="1"/>
    <xf numFmtId="170" fontId="29" fillId="7" borderId="15" xfId="1" applyNumberFormat="1" applyFont="1" applyFill="1" applyBorder="1"/>
    <xf numFmtId="169" fontId="41" fillId="24" borderId="12" xfId="1" applyFont="1" applyFill="1" applyBorder="1"/>
    <xf numFmtId="170" fontId="29" fillId="24" borderId="14" xfId="1" applyNumberFormat="1" applyFont="1" applyFill="1" applyBorder="1"/>
    <xf numFmtId="170" fontId="3" fillId="28" borderId="16" xfId="1" applyNumberFormat="1" applyFont="1" applyFill="1" applyBorder="1"/>
    <xf numFmtId="170" fontId="3" fillId="28" borderId="13" xfId="1" applyNumberFormat="1" applyFont="1" applyFill="1" applyBorder="1"/>
    <xf numFmtId="169" fontId="38" fillId="15" borderId="12" xfId="1" applyFont="1" applyFill="1" applyBorder="1"/>
    <xf numFmtId="169" fontId="38" fillId="15" borderId="13" xfId="1" applyFont="1" applyFill="1" applyBorder="1"/>
    <xf numFmtId="0" fontId="24" fillId="21" borderId="9" xfId="0" applyFont="1" applyFill="1" applyBorder="1"/>
    <xf numFmtId="169" fontId="24" fillId="30" borderId="9" xfId="1" applyFont="1" applyFill="1" applyBorder="1"/>
    <xf numFmtId="169" fontId="24" fillId="21" borderId="9" xfId="1" applyFont="1" applyFill="1" applyBorder="1"/>
    <xf numFmtId="170" fontId="24" fillId="21" borderId="9" xfId="1" applyNumberFormat="1" applyFont="1" applyFill="1" applyBorder="1"/>
    <xf numFmtId="170" fontId="24" fillId="27" borderId="9" xfId="1" applyNumberFormat="1" applyFont="1" applyFill="1" applyBorder="1"/>
    <xf numFmtId="0" fontId="24" fillId="0" borderId="0" xfId="0" applyFont="1"/>
    <xf numFmtId="0" fontId="24" fillId="0" borderId="19" xfId="0" applyFont="1" applyBorder="1"/>
    <xf numFmtId="0" fontId="24" fillId="0" borderId="19" xfId="0" applyFont="1" applyBorder="1" applyAlignment="1">
      <alignment horizontal="center"/>
    </xf>
    <xf numFmtId="0" fontId="0" fillId="0" borderId="17" xfId="0" applyBorder="1"/>
    <xf numFmtId="0" fontId="0" fillId="0" borderId="19" xfId="0" applyBorder="1"/>
    <xf numFmtId="0" fontId="0" fillId="0" borderId="19" xfId="0" applyBorder="1" applyAlignment="1">
      <alignment horizontal="center"/>
    </xf>
    <xf numFmtId="0" fontId="0" fillId="28" borderId="20" xfId="0" applyFill="1" applyBorder="1" applyAlignment="1">
      <alignment horizontal="center"/>
    </xf>
    <xf numFmtId="170" fontId="36" fillId="27" borderId="9" xfId="1" applyNumberFormat="1" applyFont="1" applyFill="1" applyBorder="1"/>
    <xf numFmtId="170" fontId="44" fillId="28" borderId="9" xfId="1" applyNumberFormat="1" applyFont="1" applyFill="1" applyBorder="1"/>
    <xf numFmtId="170" fontId="44" fillId="27" borderId="9" xfId="1" applyNumberFormat="1" applyFont="1" applyFill="1" applyBorder="1"/>
    <xf numFmtId="170" fontId="29" fillId="7" borderId="14" xfId="1" applyNumberFormat="1" applyFont="1" applyFill="1" applyBorder="1"/>
    <xf numFmtId="170" fontId="29" fillId="28" borderId="12" xfId="1" applyNumberFormat="1" applyFont="1" applyFill="1" applyBorder="1"/>
    <xf numFmtId="170" fontId="29" fillId="28" borderId="13" xfId="1" applyNumberFormat="1" applyFont="1" applyFill="1" applyBorder="1"/>
    <xf numFmtId="168" fontId="36" fillId="0" borderId="0" xfId="0" applyNumberFormat="1" applyFont="1"/>
    <xf numFmtId="0" fontId="28" fillId="0" borderId="17" xfId="0" applyFont="1" applyBorder="1"/>
    <xf numFmtId="0" fontId="28" fillId="0" borderId="19" xfId="0" applyFont="1" applyBorder="1" applyAlignment="1">
      <alignment horizontal="center"/>
    </xf>
    <xf numFmtId="169" fontId="28" fillId="1" borderId="17" xfId="1" applyFont="1" applyFill="1" applyBorder="1"/>
    <xf numFmtId="174" fontId="28" fillId="1" borderId="19" xfId="2" applyFont="1" applyFill="1" applyBorder="1"/>
    <xf numFmtId="170" fontId="28" fillId="1" borderId="29" xfId="1" applyNumberFormat="1" applyFont="1" applyFill="1" applyBorder="1"/>
    <xf numFmtId="173" fontId="28" fillId="18" borderId="30" xfId="1" applyNumberFormat="1" applyFont="1" applyFill="1" applyBorder="1"/>
    <xf numFmtId="174" fontId="28" fillId="18" borderId="19" xfId="2" applyFont="1" applyFill="1" applyBorder="1"/>
    <xf numFmtId="170" fontId="28" fillId="18" borderId="24" xfId="1" applyNumberFormat="1" applyFont="1" applyFill="1" applyBorder="1"/>
    <xf numFmtId="169" fontId="28" fillId="7" borderId="18" xfId="1" applyFont="1" applyFill="1" applyBorder="1"/>
    <xf numFmtId="174" fontId="28" fillId="7" borderId="19" xfId="2" applyFont="1" applyFill="1" applyBorder="1"/>
    <xf numFmtId="170" fontId="28" fillId="7" borderId="20" xfId="1" applyNumberFormat="1" applyFont="1" applyFill="1" applyBorder="1"/>
    <xf numFmtId="169" fontId="28" fillId="24" borderId="9" xfId="1" applyFont="1" applyFill="1" applyBorder="1"/>
    <xf numFmtId="170" fontId="28" fillId="28" borderId="17" xfId="1" applyNumberFormat="1" applyFont="1" applyFill="1" applyBorder="1"/>
    <xf numFmtId="170" fontId="28" fillId="28" borderId="19" xfId="1" applyNumberFormat="1" applyFont="1" applyFill="1" applyBorder="1"/>
    <xf numFmtId="0" fontId="28" fillId="28" borderId="20" xfId="0" applyFont="1" applyFill="1" applyBorder="1" applyAlignment="1">
      <alignment horizontal="center"/>
    </xf>
    <xf numFmtId="169" fontId="28" fillId="0" borderId="0" xfId="1" applyFont="1" applyFill="1" applyAlignment="1">
      <alignment horizontal="center"/>
    </xf>
    <xf numFmtId="0" fontId="28" fillId="0" borderId="0" xfId="0" applyFont="1"/>
    <xf numFmtId="169" fontId="26" fillId="1" borderId="17" xfId="1" applyFont="1" applyFill="1" applyBorder="1"/>
    <xf numFmtId="174" fontId="26" fillId="1" borderId="19" xfId="2" applyFont="1" applyFill="1" applyBorder="1"/>
    <xf numFmtId="170" fontId="26" fillId="1" borderId="29" xfId="1" applyNumberFormat="1" applyFont="1" applyFill="1" applyBorder="1"/>
    <xf numFmtId="174" fontId="26" fillId="18" borderId="19" xfId="2" applyFont="1" applyFill="1" applyBorder="1"/>
    <xf numFmtId="170" fontId="26" fillId="18" borderId="24" xfId="1" applyNumberFormat="1" applyFont="1" applyFill="1" applyBorder="1"/>
    <xf numFmtId="174" fontId="26" fillId="7" borderId="19" xfId="2" applyFont="1" applyFill="1" applyBorder="1"/>
    <xf numFmtId="170" fontId="26" fillId="7" borderId="20" xfId="1" applyNumberFormat="1" applyFont="1" applyFill="1" applyBorder="1"/>
    <xf numFmtId="169" fontId="26" fillId="24" borderId="9" xfId="1" applyFont="1" applyFill="1" applyBorder="1"/>
    <xf numFmtId="170" fontId="26" fillId="28" borderId="17" xfId="1" applyNumberFormat="1" applyFont="1" applyFill="1" applyBorder="1"/>
    <xf numFmtId="170" fontId="26" fillId="28" borderId="19" xfId="1" applyNumberFormat="1" applyFont="1" applyFill="1" applyBorder="1"/>
    <xf numFmtId="0" fontId="26" fillId="28" borderId="20" xfId="0" applyFont="1" applyFill="1" applyBorder="1" applyAlignment="1">
      <alignment horizontal="center"/>
    </xf>
    <xf numFmtId="0" fontId="26" fillId="0" borderId="0" xfId="0" applyFont="1"/>
    <xf numFmtId="0" fontId="0" fillId="21" borderId="9" xfId="0" applyFill="1" applyBorder="1"/>
    <xf numFmtId="169" fontId="38" fillId="15" borderId="16" xfId="1" applyFont="1" applyFill="1" applyBorder="1"/>
    <xf numFmtId="0" fontId="26" fillId="0" borderId="17" xfId="0" applyFont="1" applyBorder="1"/>
    <xf numFmtId="0" fontId="26" fillId="0" borderId="19" xfId="0" applyFont="1" applyBorder="1"/>
    <xf numFmtId="0" fontId="26" fillId="0" borderId="1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169" fontId="34" fillId="1" borderId="17" xfId="1" applyFont="1" applyFill="1" applyBorder="1"/>
    <xf numFmtId="174" fontId="34" fillId="1" borderId="19" xfId="2" applyFont="1" applyFill="1" applyBorder="1"/>
    <xf numFmtId="170" fontId="34" fillId="1" borderId="29" xfId="1" applyNumberFormat="1" applyFont="1" applyFill="1" applyBorder="1"/>
    <xf numFmtId="174" fontId="34" fillId="18" borderId="19" xfId="2" applyFont="1" applyFill="1" applyBorder="1"/>
    <xf numFmtId="170" fontId="34" fillId="18" borderId="24" xfId="1" applyNumberFormat="1" applyFont="1" applyFill="1" applyBorder="1"/>
    <xf numFmtId="169" fontId="34" fillId="7" borderId="18" xfId="1" applyFont="1" applyFill="1" applyBorder="1"/>
    <xf numFmtId="174" fontId="34" fillId="7" borderId="19" xfId="2" applyFont="1" applyFill="1" applyBorder="1"/>
    <xf numFmtId="170" fontId="34" fillId="7" borderId="20" xfId="1" applyNumberFormat="1" applyFont="1" applyFill="1" applyBorder="1"/>
    <xf numFmtId="169" fontId="34" fillId="24" borderId="9" xfId="1" applyFont="1" applyFill="1" applyBorder="1"/>
    <xf numFmtId="170" fontId="34" fillId="28" borderId="17" xfId="1" applyNumberFormat="1" applyFont="1" applyFill="1" applyBorder="1"/>
    <xf numFmtId="170" fontId="34" fillId="28" borderId="19" xfId="1" applyNumberFormat="1" applyFont="1" applyFill="1" applyBorder="1"/>
    <xf numFmtId="0" fontId="34" fillId="28" borderId="20" xfId="0" applyFont="1" applyFill="1" applyBorder="1" applyAlignment="1">
      <alignment horizontal="center"/>
    </xf>
    <xf numFmtId="0" fontId="45" fillId="0" borderId="0" xfId="0" applyFont="1"/>
    <xf numFmtId="0" fontId="2" fillId="0" borderId="0" xfId="0" applyFont="1" applyAlignment="1">
      <alignment horizontal="center"/>
    </xf>
    <xf numFmtId="14" fontId="2" fillId="0" borderId="0" xfId="0" applyNumberFormat="1" applyFont="1"/>
    <xf numFmtId="169" fontId="2" fillId="0" borderId="0" xfId="1" applyFont="1" applyFill="1"/>
    <xf numFmtId="49" fontId="2" fillId="0" borderId="0" xfId="2" applyNumberFormat="1" applyFont="1" applyFill="1"/>
    <xf numFmtId="170" fontId="2" fillId="0" borderId="0" xfId="1" applyNumberFormat="1" applyFont="1" applyFill="1"/>
    <xf numFmtId="173" fontId="2" fillId="0" borderId="0" xfId="1" applyNumberFormat="1" applyFont="1" applyFill="1"/>
    <xf numFmtId="174" fontId="2" fillId="0" borderId="0" xfId="2" applyFont="1" applyFill="1"/>
    <xf numFmtId="175" fontId="33" fillId="0" borderId="0" xfId="2" applyNumberFormat="1" applyFont="1" applyFill="1"/>
    <xf numFmtId="170" fontId="27" fillId="0" borderId="0" xfId="1" applyNumberFormat="1" applyFont="1" applyFill="1" applyAlignment="1">
      <alignment horizontal="center"/>
    </xf>
    <xf numFmtId="169" fontId="27" fillId="0" borderId="0" xfId="1" applyFont="1" applyFill="1" applyAlignment="1">
      <alignment horizontal="center"/>
    </xf>
    <xf numFmtId="170" fontId="33" fillId="0" borderId="0" xfId="1" applyNumberFormat="1" applyFont="1" applyFill="1" applyAlignment="1">
      <alignment horizontal="center"/>
    </xf>
    <xf numFmtId="14" fontId="43" fillId="29" borderId="19" xfId="0" applyNumberFormat="1" applyFont="1" applyFill="1" applyBorder="1"/>
    <xf numFmtId="169" fontId="43" fillId="29" borderId="19" xfId="1" applyFont="1" applyFill="1" applyBorder="1"/>
    <xf numFmtId="173" fontId="43" fillId="29" borderId="19" xfId="1" applyNumberFormat="1" applyFont="1" applyFill="1" applyBorder="1"/>
    <xf numFmtId="0" fontId="23" fillId="0" borderId="9" xfId="0" applyFont="1" applyBorder="1"/>
    <xf numFmtId="169" fontId="23" fillId="1" borderId="9" xfId="1" applyFont="1" applyFill="1" applyBorder="1"/>
    <xf numFmtId="170" fontId="23" fillId="28" borderId="9" xfId="1" applyNumberFormat="1" applyFont="1" applyFill="1" applyBorder="1"/>
    <xf numFmtId="0" fontId="23" fillId="0" borderId="0" xfId="0" applyFont="1"/>
    <xf numFmtId="169" fontId="29" fillId="24" borderId="13" xfId="1" applyFont="1" applyFill="1" applyBorder="1"/>
    <xf numFmtId="170" fontId="29" fillId="24" borderId="13" xfId="1" applyNumberFormat="1" applyFont="1" applyFill="1" applyBorder="1"/>
    <xf numFmtId="173" fontId="29" fillId="18" borderId="13" xfId="1" applyNumberFormat="1" applyFont="1" applyFill="1" applyBorder="1"/>
    <xf numFmtId="170" fontId="29" fillId="18" borderId="13" xfId="1" applyNumberFormat="1" applyFont="1" applyFill="1" applyBorder="1"/>
    <xf numFmtId="169" fontId="29" fillId="7" borderId="13" xfId="1" applyFont="1" applyFill="1" applyBorder="1"/>
    <xf numFmtId="170" fontId="29" fillId="7" borderId="13" xfId="1" applyNumberFormat="1" applyFont="1" applyFill="1" applyBorder="1"/>
    <xf numFmtId="174" fontId="38" fillId="3" borderId="16" xfId="2" applyFont="1" applyFill="1" applyBorder="1"/>
    <xf numFmtId="169" fontId="29" fillId="24" borderId="33" xfId="1" applyFont="1" applyFill="1" applyBorder="1"/>
    <xf numFmtId="170" fontId="29" fillId="24" borderId="33" xfId="1" applyNumberFormat="1" applyFont="1" applyFill="1" applyBorder="1"/>
    <xf numFmtId="0" fontId="47" fillId="0" borderId="9" xfId="0" applyFont="1" applyBorder="1"/>
    <xf numFmtId="169" fontId="47" fillId="1" borderId="9" xfId="1" applyFont="1" applyFill="1" applyBorder="1"/>
    <xf numFmtId="173" fontId="47" fillId="18" borderId="31" xfId="1" applyNumberFormat="1" applyFont="1" applyFill="1" applyBorder="1"/>
    <xf numFmtId="169" fontId="47" fillId="7" borderId="9" xfId="1" applyFont="1" applyFill="1" applyBorder="1"/>
    <xf numFmtId="169" fontId="47" fillId="24" borderId="9" xfId="1" applyFont="1" applyFill="1" applyBorder="1"/>
    <xf numFmtId="170" fontId="47" fillId="28" borderId="9" xfId="1" applyNumberFormat="1" applyFont="1" applyFill="1" applyBorder="1"/>
    <xf numFmtId="0" fontId="47" fillId="0" borderId="0" xfId="0" applyFont="1"/>
    <xf numFmtId="0" fontId="48" fillId="0" borderId="0" xfId="0" applyFont="1"/>
    <xf numFmtId="169" fontId="38" fillId="0" borderId="0" xfId="1" applyFont="1" applyFill="1"/>
    <xf numFmtId="0" fontId="29" fillId="24" borderId="15" xfId="0" applyFont="1" applyFill="1" applyBorder="1" applyAlignment="1">
      <alignment horizontal="center"/>
    </xf>
    <xf numFmtId="49" fontId="2" fillId="0" borderId="0" xfId="2" applyNumberFormat="1" applyFont="1" applyAlignment="1">
      <alignment horizontal="center"/>
    </xf>
    <xf numFmtId="173" fontId="2" fillId="0" borderId="0" xfId="1" applyNumberFormat="1" applyFont="1"/>
    <xf numFmtId="174" fontId="2" fillId="0" borderId="0" xfId="2" applyFont="1"/>
    <xf numFmtId="170" fontId="33" fillId="0" borderId="0" xfId="1" applyNumberFormat="1" applyFont="1" applyAlignment="1">
      <alignment horizontal="center"/>
    </xf>
    <xf numFmtId="169" fontId="23" fillId="24" borderId="9" xfId="1" applyFont="1" applyFill="1" applyBorder="1"/>
    <xf numFmtId="169" fontId="23" fillId="7" borderId="9" xfId="1" applyFont="1" applyFill="1" applyBorder="1"/>
    <xf numFmtId="170" fontId="3" fillId="28" borderId="12" xfId="1" applyNumberFormat="1" applyFont="1" applyFill="1" applyBorder="1"/>
    <xf numFmtId="174" fontId="38" fillId="3" borderId="12" xfId="2" applyFont="1" applyFill="1" applyBorder="1"/>
    <xf numFmtId="174" fontId="38" fillId="3" borderId="13" xfId="2" applyFont="1" applyFill="1" applyBorder="1"/>
    <xf numFmtId="0" fontId="30" fillId="0" borderId="0" xfId="0" applyFont="1"/>
    <xf numFmtId="0" fontId="44" fillId="0" borderId="19" xfId="0" applyFont="1" applyBorder="1"/>
    <xf numFmtId="0" fontId="44" fillId="0" borderId="19" xfId="0" applyFont="1" applyBorder="1" applyAlignment="1">
      <alignment horizontal="center"/>
    </xf>
    <xf numFmtId="169" fontId="44" fillId="7" borderId="9" xfId="1" applyFont="1" applyFill="1" applyBorder="1"/>
    <xf numFmtId="169" fontId="44" fillId="0" borderId="9" xfId="1" applyFont="1" applyFill="1" applyBorder="1"/>
    <xf numFmtId="169" fontId="36" fillId="0" borderId="9" xfId="1" applyFont="1" applyFill="1" applyBorder="1"/>
    <xf numFmtId="0" fontId="24" fillId="0" borderId="9" xfId="0" applyFont="1" applyBorder="1"/>
    <xf numFmtId="169" fontId="24" fillId="1" borderId="9" xfId="1" applyFont="1" applyFill="1" applyBorder="1"/>
    <xf numFmtId="169" fontId="24" fillId="7" borderId="9" xfId="1" applyFont="1" applyFill="1" applyBorder="1"/>
    <xf numFmtId="170" fontId="24" fillId="28" borderId="9" xfId="1" applyNumberFormat="1" applyFont="1" applyFill="1" applyBorder="1"/>
    <xf numFmtId="0" fontId="32" fillId="0" borderId="9" xfId="0" applyFont="1" applyBorder="1"/>
    <xf numFmtId="14" fontId="32" fillId="0" borderId="9" xfId="0" applyNumberFormat="1" applyFont="1" applyBorder="1"/>
    <xf numFmtId="169" fontId="32" fillId="1" borderId="9" xfId="1" applyFont="1" applyFill="1" applyBorder="1"/>
    <xf numFmtId="174" fontId="38" fillId="3" borderId="14" xfId="2" applyFont="1" applyFill="1" applyBorder="1"/>
    <xf numFmtId="49" fontId="2" fillId="0" borderId="0" xfId="2" applyNumberFormat="1" applyFont="1" applyFill="1" applyAlignment="1">
      <alignment horizontal="center"/>
    </xf>
    <xf numFmtId="168" fontId="2" fillId="0" borderId="0" xfId="0" applyNumberFormat="1" applyFont="1"/>
    <xf numFmtId="0" fontId="53" fillId="0" borderId="0" xfId="0" applyFont="1"/>
    <xf numFmtId="169" fontId="3" fillId="0" borderId="0" xfId="1" applyFont="1" applyFill="1" applyAlignment="1">
      <alignment horizontal="center"/>
    </xf>
    <xf numFmtId="175" fontId="0" fillId="0" borderId="0" xfId="0" applyNumberFormat="1"/>
    <xf numFmtId="169" fontId="38" fillId="0" borderId="0" xfId="1" applyFont="1" applyFill="1" applyAlignment="1">
      <alignment horizontal="center"/>
    </xf>
    <xf numFmtId="169" fontId="2" fillId="0" borderId="0" xfId="1" applyFont="1" applyFill="1" applyAlignment="1">
      <alignment horizontal="center" vertical="center"/>
    </xf>
    <xf numFmtId="169" fontId="36" fillId="0" borderId="0" xfId="1" applyFont="1" applyFill="1" applyAlignment="1">
      <alignment vertical="center"/>
    </xf>
    <xf numFmtId="0" fontId="0" fillId="0" borderId="0" xfId="0" applyAlignment="1">
      <alignment vertical="center"/>
    </xf>
    <xf numFmtId="0" fontId="43" fillId="29" borderId="29" xfId="0" applyFont="1" applyFill="1" applyBorder="1" applyAlignment="1">
      <alignment horizontal="center"/>
    </xf>
    <xf numFmtId="173" fontId="43" fillId="29" borderId="17" xfId="1" applyNumberFormat="1" applyFont="1" applyFill="1" applyBorder="1"/>
    <xf numFmtId="14" fontId="0" fillId="0" borderId="25" xfId="0" applyNumberFormat="1" applyBorder="1"/>
    <xf numFmtId="169" fontId="54" fillId="0" borderId="0" xfId="1" applyFont="1" applyFill="1" applyAlignment="1">
      <alignment horizontal="center"/>
    </xf>
    <xf numFmtId="0" fontId="6" fillId="34" borderId="9" xfId="0" applyFont="1" applyFill="1" applyBorder="1"/>
    <xf numFmtId="14" fontId="6" fillId="0" borderId="25" xfId="0" applyNumberFormat="1" applyFont="1" applyBorder="1"/>
    <xf numFmtId="169" fontId="6" fillId="1" borderId="9" xfId="1" applyFont="1" applyFill="1" applyBorder="1"/>
    <xf numFmtId="169" fontId="6" fillId="34" borderId="9" xfId="1" applyFont="1" applyFill="1" applyBorder="1"/>
    <xf numFmtId="170" fontId="6" fillId="28" borderId="9" xfId="1" applyNumberFormat="1" applyFont="1" applyFill="1" applyBorder="1"/>
    <xf numFmtId="169" fontId="6" fillId="0" borderId="0" xfId="1" applyFont="1" applyFill="1"/>
    <xf numFmtId="169" fontId="6" fillId="7" borderId="9" xfId="1" applyFont="1" applyFill="1" applyBorder="1"/>
    <xf numFmtId="0" fontId="55" fillId="0" borderId="9" xfId="0" applyFont="1" applyBorder="1"/>
    <xf numFmtId="14" fontId="55" fillId="0" borderId="25" xfId="0" applyNumberFormat="1" applyFont="1" applyBorder="1"/>
    <xf numFmtId="169" fontId="55" fillId="1" borderId="9" xfId="1" applyFont="1" applyFill="1" applyBorder="1"/>
    <xf numFmtId="173" fontId="55" fillId="18" borderId="9" xfId="1" applyNumberFormat="1" applyFont="1" applyFill="1" applyBorder="1"/>
    <xf numFmtId="169" fontId="55" fillId="7" borderId="9" xfId="1" applyFont="1" applyFill="1" applyBorder="1"/>
    <xf numFmtId="169" fontId="55" fillId="24" borderId="9" xfId="1" applyFont="1" applyFill="1" applyBorder="1"/>
    <xf numFmtId="170" fontId="55" fillId="28" borderId="9" xfId="1" applyNumberFormat="1" applyFont="1" applyFill="1" applyBorder="1"/>
    <xf numFmtId="0" fontId="55" fillId="0" borderId="0" xfId="0" applyFont="1"/>
    <xf numFmtId="0" fontId="56" fillId="29" borderId="9" xfId="0" applyFont="1" applyFill="1" applyBorder="1"/>
    <xf numFmtId="14" fontId="56" fillId="29" borderId="25" xfId="0" applyNumberFormat="1" applyFont="1" applyFill="1" applyBorder="1"/>
    <xf numFmtId="169" fontId="56" fillId="29" borderId="9" xfId="1" applyFont="1" applyFill="1" applyBorder="1"/>
    <xf numFmtId="173" fontId="56" fillId="29" borderId="9" xfId="1" applyNumberFormat="1" applyFont="1" applyFill="1" applyBorder="1"/>
    <xf numFmtId="170" fontId="56" fillId="29" borderId="9" xfId="1" applyNumberFormat="1" applyFont="1" applyFill="1" applyBorder="1"/>
    <xf numFmtId="169" fontId="55" fillId="18" borderId="9" xfId="1" applyFont="1" applyFill="1" applyBorder="1"/>
    <xf numFmtId="0" fontId="0" fillId="0" borderId="12" xfId="0" applyBorder="1"/>
    <xf numFmtId="0" fontId="0" fillId="0" borderId="13" xfId="0" applyBorder="1"/>
    <xf numFmtId="0" fontId="0" fillId="0" borderId="15" xfId="0" applyBorder="1" applyAlignment="1">
      <alignment horizontal="center"/>
    </xf>
    <xf numFmtId="14" fontId="0" fillId="0" borderId="26" xfId="0" applyNumberFormat="1" applyBorder="1"/>
    <xf numFmtId="0" fontId="0" fillId="0" borderId="14" xfId="0" applyBorder="1" applyAlignment="1">
      <alignment horizontal="center"/>
    </xf>
    <xf numFmtId="0" fontId="0" fillId="28" borderId="14" xfId="0" applyFill="1" applyBorder="1" applyAlignment="1">
      <alignment horizontal="center"/>
    </xf>
    <xf numFmtId="169" fontId="57" fillId="0" borderId="0" xfId="1" applyFont="1" applyFill="1" applyAlignment="1">
      <alignment horizontal="center"/>
    </xf>
    <xf numFmtId="0" fontId="29" fillId="0" borderId="0" xfId="0" applyFont="1"/>
    <xf numFmtId="169" fontId="47" fillId="0" borderId="0" xfId="1" applyFont="1"/>
    <xf numFmtId="169" fontId="60" fillId="0" borderId="0" xfId="1" applyFont="1" applyFill="1" applyAlignment="1">
      <alignment horizontal="center"/>
    </xf>
    <xf numFmtId="0" fontId="41" fillId="0" borderId="0" xfId="0" applyFont="1"/>
    <xf numFmtId="0" fontId="3" fillId="10" borderId="12" xfId="0" applyFont="1" applyFill="1" applyBorder="1" applyAlignment="1">
      <alignment horizontal="center" vertical="center"/>
    </xf>
    <xf numFmtId="0" fontId="3" fillId="10" borderId="13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14" fontId="0" fillId="0" borderId="36" xfId="0" applyNumberFormat="1" applyBorder="1"/>
    <xf numFmtId="0" fontId="0" fillId="0" borderId="20" xfId="0" applyBorder="1" applyAlignment="1">
      <alignment horizontal="center"/>
    </xf>
    <xf numFmtId="0" fontId="0" fillId="19" borderId="9" xfId="0" applyFill="1" applyBorder="1"/>
    <xf numFmtId="14" fontId="0" fillId="19" borderId="25" xfId="0" applyNumberFormat="1" applyFill="1" applyBorder="1"/>
    <xf numFmtId="169" fontId="36" fillId="19" borderId="0" xfId="1" applyFont="1" applyFill="1"/>
    <xf numFmtId="0" fontId="0" fillId="19" borderId="0" xfId="0" applyFill="1"/>
    <xf numFmtId="17" fontId="0" fillId="0" borderId="20" xfId="0" applyNumberFormat="1" applyBorder="1" applyAlignment="1">
      <alignment horizontal="center"/>
    </xf>
    <xf numFmtId="0" fontId="56" fillId="29" borderId="17" xfId="0" applyFont="1" applyFill="1" applyBorder="1"/>
    <xf numFmtId="0" fontId="56" fillId="29" borderId="19" xfId="0" applyFont="1" applyFill="1" applyBorder="1"/>
    <xf numFmtId="0" fontId="56" fillId="29" borderId="29" xfId="0" applyFont="1" applyFill="1" applyBorder="1" applyAlignment="1">
      <alignment horizontal="center"/>
    </xf>
    <xf numFmtId="14" fontId="56" fillId="29" borderId="36" xfId="0" applyNumberFormat="1" applyFont="1" applyFill="1" applyBorder="1"/>
    <xf numFmtId="0" fontId="56" fillId="29" borderId="20" xfId="0" applyFont="1" applyFill="1" applyBorder="1" applyAlignment="1">
      <alignment horizontal="center"/>
    </xf>
    <xf numFmtId="169" fontId="56" fillId="29" borderId="17" xfId="1" applyFont="1" applyFill="1" applyBorder="1"/>
    <xf numFmtId="174" fontId="56" fillId="29" borderId="19" xfId="2" applyFont="1" applyFill="1" applyBorder="1"/>
    <xf numFmtId="170" fontId="56" fillId="29" borderId="20" xfId="1" applyNumberFormat="1" applyFont="1" applyFill="1" applyBorder="1"/>
    <xf numFmtId="173" fontId="56" fillId="29" borderId="17" xfId="1" applyNumberFormat="1" applyFont="1" applyFill="1" applyBorder="1"/>
    <xf numFmtId="170" fontId="56" fillId="29" borderId="17" xfId="1" applyNumberFormat="1" applyFont="1" applyFill="1" applyBorder="1"/>
    <xf numFmtId="170" fontId="56" fillId="29" borderId="19" xfId="1" applyNumberFormat="1" applyFont="1" applyFill="1" applyBorder="1"/>
    <xf numFmtId="169" fontId="61" fillId="0" borderId="0" xfId="1" applyFont="1" applyFill="1"/>
    <xf numFmtId="14" fontId="23" fillId="0" borderId="25" xfId="0" applyNumberFormat="1" applyFont="1" applyBorder="1"/>
    <xf numFmtId="169" fontId="54" fillId="1" borderId="9" xfId="1" applyFont="1" applyFill="1" applyBorder="1"/>
    <xf numFmtId="169" fontId="23" fillId="0" borderId="0" xfId="1" applyFont="1" applyFill="1"/>
    <xf numFmtId="0" fontId="63" fillId="29" borderId="17" xfId="0" applyFont="1" applyFill="1" applyBorder="1"/>
    <xf numFmtId="0" fontId="63" fillId="29" borderId="19" xfId="0" applyFont="1" applyFill="1" applyBorder="1"/>
    <xf numFmtId="0" fontId="63" fillId="29" borderId="29" xfId="0" applyFont="1" applyFill="1" applyBorder="1" applyAlignment="1">
      <alignment horizontal="center"/>
    </xf>
    <xf numFmtId="14" fontId="63" fillId="29" borderId="36" xfId="0" applyNumberFormat="1" applyFont="1" applyFill="1" applyBorder="1"/>
    <xf numFmtId="0" fontId="63" fillId="29" borderId="20" xfId="0" applyFont="1" applyFill="1" applyBorder="1" applyAlignment="1">
      <alignment horizontal="center"/>
    </xf>
    <xf numFmtId="169" fontId="63" fillId="29" borderId="17" xfId="1" applyFont="1" applyFill="1" applyBorder="1"/>
    <xf numFmtId="174" fontId="63" fillId="29" borderId="19" xfId="2" applyFont="1" applyFill="1" applyBorder="1"/>
    <xf numFmtId="170" fontId="63" fillId="29" borderId="20" xfId="1" applyNumberFormat="1" applyFont="1" applyFill="1" applyBorder="1"/>
    <xf numFmtId="173" fontId="63" fillId="29" borderId="17" xfId="1" applyNumberFormat="1" applyFont="1" applyFill="1" applyBorder="1"/>
    <xf numFmtId="170" fontId="63" fillId="29" borderId="17" xfId="1" applyNumberFormat="1" applyFont="1" applyFill="1" applyBorder="1"/>
    <xf numFmtId="170" fontId="63" fillId="29" borderId="19" xfId="1" applyNumberFormat="1" applyFont="1" applyFill="1" applyBorder="1"/>
    <xf numFmtId="169" fontId="64" fillId="0" borderId="0" xfId="1" applyFont="1" applyFill="1"/>
    <xf numFmtId="0" fontId="64" fillId="0" borderId="0" xfId="0" applyFont="1"/>
    <xf numFmtId="169" fontId="65" fillId="29" borderId="17" xfId="1" applyFont="1" applyFill="1" applyBorder="1"/>
    <xf numFmtId="174" fontId="65" fillId="29" borderId="19" xfId="2" applyFont="1" applyFill="1" applyBorder="1"/>
    <xf numFmtId="170" fontId="65" fillId="29" borderId="20" xfId="1" applyNumberFormat="1" applyFont="1" applyFill="1" applyBorder="1"/>
    <xf numFmtId="169" fontId="23" fillId="18" borderId="9" xfId="1" applyFont="1" applyFill="1" applyBorder="1"/>
    <xf numFmtId="169" fontId="43" fillId="36" borderId="24" xfId="1" applyFont="1" applyFill="1" applyBorder="1"/>
    <xf numFmtId="170" fontId="43" fillId="37" borderId="17" xfId="1" applyNumberFormat="1" applyFont="1" applyFill="1" applyBorder="1"/>
    <xf numFmtId="170" fontId="43" fillId="37" borderId="19" xfId="1" applyNumberFormat="1" applyFont="1" applyFill="1" applyBorder="1"/>
    <xf numFmtId="0" fontId="43" fillId="37" borderId="20" xfId="0" applyFont="1" applyFill="1" applyBorder="1" applyAlignment="1">
      <alignment horizontal="center"/>
    </xf>
    <xf numFmtId="14" fontId="66" fillId="0" borderId="9" xfId="0" applyNumberFormat="1" applyFont="1" applyBorder="1"/>
    <xf numFmtId="169" fontId="66" fillId="40" borderId="9" xfId="1" applyFont="1" applyFill="1" applyBorder="1"/>
    <xf numFmtId="170" fontId="66" fillId="37" borderId="9" xfId="1" applyNumberFormat="1" applyFont="1" applyFill="1" applyBorder="1"/>
    <xf numFmtId="0" fontId="66" fillId="0" borderId="0" xfId="0" applyFont="1"/>
    <xf numFmtId="14" fontId="66" fillId="0" borderId="17" xfId="0" applyNumberFormat="1" applyFont="1" applyBorder="1"/>
    <xf numFmtId="0" fontId="66" fillId="0" borderId="19" xfId="0" applyFont="1" applyBorder="1" applyAlignment="1">
      <alignment horizontal="center"/>
    </xf>
    <xf numFmtId="169" fontId="66" fillId="1" borderId="17" xfId="1" applyFont="1" applyFill="1" applyBorder="1"/>
    <xf numFmtId="174" fontId="66" fillId="13" borderId="19" xfId="2" applyFont="1" applyFill="1" applyBorder="1"/>
    <xf numFmtId="170" fontId="66" fillId="18" borderId="24" xfId="1" applyNumberFormat="1" applyFont="1" applyFill="1" applyBorder="1"/>
    <xf numFmtId="169" fontId="66" fillId="7" borderId="18" xfId="1" applyFont="1" applyFill="1" applyBorder="1"/>
    <xf numFmtId="174" fontId="66" fillId="7" borderId="19" xfId="2" applyFont="1" applyFill="1" applyBorder="1"/>
    <xf numFmtId="170" fontId="66" fillId="24" borderId="24" xfId="1" applyNumberFormat="1" applyFont="1" applyFill="1" applyBorder="1"/>
    <xf numFmtId="170" fontId="66" fillId="37" borderId="17" xfId="1" applyNumberFormat="1" applyFont="1" applyFill="1" applyBorder="1"/>
    <xf numFmtId="170" fontId="66" fillId="37" borderId="19" xfId="1" applyNumberFormat="1" applyFont="1" applyFill="1" applyBorder="1"/>
    <xf numFmtId="0" fontId="66" fillId="37" borderId="20" xfId="0" applyFont="1" applyFill="1" applyBorder="1" applyAlignment="1">
      <alignment horizontal="center"/>
    </xf>
    <xf numFmtId="0" fontId="66" fillId="0" borderId="17" xfId="0" applyFont="1" applyBorder="1"/>
    <xf numFmtId="0" fontId="66" fillId="0" borderId="19" xfId="0" applyFont="1" applyBorder="1"/>
    <xf numFmtId="173" fontId="43" fillId="29" borderId="37" xfId="1" applyNumberFormat="1" applyFont="1" applyFill="1" applyBorder="1"/>
    <xf numFmtId="169" fontId="43" fillId="36" borderId="18" xfId="1" applyFont="1" applyFill="1" applyBorder="1"/>
    <xf numFmtId="174" fontId="43" fillId="36" borderId="19" xfId="2" applyFont="1" applyFill="1" applyBorder="1"/>
    <xf numFmtId="169" fontId="43" fillId="36" borderId="37" xfId="1" applyFont="1" applyFill="1" applyBorder="1"/>
    <xf numFmtId="169" fontId="63" fillId="36" borderId="17" xfId="1" applyFont="1" applyFill="1" applyBorder="1"/>
    <xf numFmtId="169" fontId="66" fillId="7" borderId="9" xfId="1" applyFont="1" applyFill="1" applyBorder="1"/>
    <xf numFmtId="0" fontId="67" fillId="0" borderId="0" xfId="0" applyFont="1"/>
    <xf numFmtId="169" fontId="38" fillId="10" borderId="0" xfId="1" applyFont="1" applyFill="1" applyAlignment="1">
      <alignment horizontal="center" vertical="center"/>
    </xf>
    <xf numFmtId="0" fontId="0" fillId="0" borderId="37" xfId="0" applyBorder="1"/>
    <xf numFmtId="169" fontId="36" fillId="0" borderId="0" xfId="1" applyFont="1" applyFill="1" applyBorder="1"/>
    <xf numFmtId="173" fontId="68" fillId="29" borderId="17" xfId="1" applyNumberFormat="1" applyFont="1" applyFill="1" applyBorder="1"/>
    <xf numFmtId="174" fontId="68" fillId="29" borderId="19" xfId="2" applyFont="1" applyFill="1" applyBorder="1"/>
    <xf numFmtId="170" fontId="68" fillId="29" borderId="20" xfId="1" applyNumberFormat="1" applyFont="1" applyFill="1" applyBorder="1"/>
    <xf numFmtId="169" fontId="68" fillId="29" borderId="17" xfId="1" applyFont="1" applyFill="1" applyBorder="1"/>
    <xf numFmtId="170" fontId="68" fillId="29" borderId="17" xfId="1" applyNumberFormat="1" applyFont="1" applyFill="1" applyBorder="1"/>
    <xf numFmtId="170" fontId="68" fillId="29" borderId="19" xfId="1" applyNumberFormat="1" applyFont="1" applyFill="1" applyBorder="1"/>
    <xf numFmtId="0" fontId="68" fillId="29" borderId="20" xfId="0" applyFont="1" applyFill="1" applyBorder="1" applyAlignment="1">
      <alignment horizontal="center"/>
    </xf>
    <xf numFmtId="169" fontId="69" fillId="0" borderId="0" xfId="1" applyFont="1" applyFill="1" applyBorder="1"/>
    <xf numFmtId="0" fontId="69" fillId="0" borderId="0" xfId="0" applyFont="1"/>
    <xf numFmtId="174" fontId="25" fillId="43" borderId="19" xfId="2" applyFont="1" applyFill="1" applyBorder="1"/>
    <xf numFmtId="173" fontId="25" fillId="42" borderId="17" xfId="1" applyNumberFormat="1" applyFont="1" applyFill="1" applyBorder="1"/>
    <xf numFmtId="174" fontId="25" fillId="42" borderId="19" xfId="2" applyFont="1" applyFill="1" applyBorder="1"/>
    <xf numFmtId="0" fontId="25" fillId="0" borderId="9" xfId="0" applyFont="1" applyBorder="1"/>
    <xf numFmtId="14" fontId="25" fillId="0" borderId="25" xfId="0" applyNumberFormat="1" applyFont="1" applyBorder="1"/>
    <xf numFmtId="169" fontId="25" fillId="1" borderId="9" xfId="1" applyFont="1" applyFill="1" applyBorder="1"/>
    <xf numFmtId="173" fontId="25" fillId="18" borderId="9" xfId="1" applyNumberFormat="1" applyFont="1" applyFill="1" applyBorder="1"/>
    <xf numFmtId="169" fontId="25" fillId="7" borderId="9" xfId="1" applyFont="1" applyFill="1" applyBorder="1"/>
    <xf numFmtId="174" fontId="71" fillId="29" borderId="19" xfId="2" applyFont="1" applyFill="1" applyBorder="1"/>
    <xf numFmtId="0" fontId="72" fillId="0" borderId="0" xfId="0" applyFont="1"/>
    <xf numFmtId="170" fontId="2" fillId="0" borderId="0" xfId="0" applyNumberFormat="1" applyFont="1" applyAlignment="1">
      <alignment horizontal="center"/>
    </xf>
    <xf numFmtId="174" fontId="25" fillId="13" borderId="19" xfId="2" applyFont="1" applyFill="1" applyBorder="1"/>
    <xf numFmtId="173" fontId="25" fillId="18" borderId="17" xfId="1" applyNumberFormat="1" applyFont="1" applyFill="1" applyBorder="1"/>
    <xf numFmtId="174" fontId="25" fillId="18" borderId="19" xfId="2" applyFont="1" applyFill="1" applyBorder="1"/>
    <xf numFmtId="174" fontId="25" fillId="7" borderId="19" xfId="2" applyFont="1" applyFill="1" applyBorder="1"/>
    <xf numFmtId="169" fontId="25" fillId="24" borderId="9" xfId="1" applyFont="1" applyFill="1" applyBorder="1"/>
    <xf numFmtId="170" fontId="25" fillId="28" borderId="9" xfId="1" applyNumberFormat="1" applyFont="1" applyFill="1" applyBorder="1"/>
    <xf numFmtId="174" fontId="25" fillId="48" borderId="19" xfId="2" applyFont="1" applyFill="1" applyBorder="1"/>
    <xf numFmtId="174" fontId="25" fillId="6" borderId="19" xfId="2" applyFont="1" applyFill="1" applyBorder="1"/>
    <xf numFmtId="169" fontId="43" fillId="37" borderId="17" xfId="1" applyFont="1" applyFill="1" applyBorder="1"/>
    <xf numFmtId="169" fontId="73" fillId="0" borderId="0" xfId="1" applyFont="1" applyFill="1" applyBorder="1" applyAlignment="1">
      <alignment horizontal="center"/>
    </xf>
    <xf numFmtId="173" fontId="25" fillId="6" borderId="17" xfId="1" applyNumberFormat="1" applyFont="1" applyFill="1" applyBorder="1"/>
    <xf numFmtId="170" fontId="25" fillId="6" borderId="20" xfId="1" applyNumberFormat="1" applyFont="1" applyFill="1" applyBorder="1"/>
    <xf numFmtId="170" fontId="25" fillId="6" borderId="17" xfId="1" applyNumberFormat="1" applyFont="1" applyFill="1" applyBorder="1"/>
    <xf numFmtId="170" fontId="25" fillId="6" borderId="19" xfId="1" applyNumberFormat="1" applyFont="1" applyFill="1" applyBorder="1"/>
    <xf numFmtId="169" fontId="25" fillId="24" borderId="17" xfId="1" applyFont="1" applyFill="1" applyBorder="1"/>
    <xf numFmtId="170" fontId="25" fillId="24" borderId="20" xfId="1" applyNumberFormat="1" applyFont="1" applyFill="1" applyBorder="1"/>
    <xf numFmtId="170" fontId="25" fillId="28" borderId="17" xfId="1" applyNumberFormat="1" applyFont="1" applyFill="1" applyBorder="1"/>
    <xf numFmtId="170" fontId="25" fillId="28" borderId="19" xfId="1" applyNumberFormat="1" applyFont="1" applyFill="1" applyBorder="1"/>
    <xf numFmtId="169" fontId="73" fillId="0" borderId="0" xfId="1" applyFont="1" applyFill="1" applyAlignment="1">
      <alignment horizontal="center"/>
    </xf>
    <xf numFmtId="170" fontId="74" fillId="0" borderId="0" xfId="1" applyNumberFormat="1" applyFont="1" applyFill="1" applyAlignment="1">
      <alignment horizontal="center"/>
    </xf>
    <xf numFmtId="169" fontId="35" fillId="0" borderId="0" xfId="1" applyFont="1" applyFill="1" applyAlignment="1">
      <alignment vertical="center"/>
    </xf>
    <xf numFmtId="170" fontId="71" fillId="29" borderId="38" xfId="1" applyNumberFormat="1" applyFont="1" applyFill="1" applyBorder="1"/>
    <xf numFmtId="170" fontId="71" fillId="29" borderId="39" xfId="1" applyNumberFormat="1" applyFont="1" applyFill="1" applyBorder="1"/>
    <xf numFmtId="0" fontId="71" fillId="29" borderId="34" xfId="0" applyFont="1" applyFill="1" applyBorder="1" applyAlignment="1">
      <alignment horizontal="center"/>
    </xf>
    <xf numFmtId="0" fontId="75" fillId="0" borderId="0" xfId="0" applyFont="1"/>
    <xf numFmtId="169" fontId="73" fillId="0" borderId="37" xfId="1" applyFont="1" applyFill="1" applyBorder="1" applyAlignment="1">
      <alignment horizontal="center"/>
    </xf>
    <xf numFmtId="0" fontId="25" fillId="0" borderId="19" xfId="0" applyFont="1" applyBorder="1" applyAlignment="1">
      <alignment horizontal="left"/>
    </xf>
    <xf numFmtId="0" fontId="76" fillId="0" borderId="0" xfId="0" applyFont="1"/>
    <xf numFmtId="0" fontId="25" fillId="6" borderId="19" xfId="0" applyFont="1" applyFill="1" applyBorder="1" applyAlignment="1">
      <alignment horizontal="left"/>
    </xf>
    <xf numFmtId="169" fontId="25" fillId="18" borderId="9" xfId="1" applyFont="1" applyFill="1" applyBorder="1"/>
    <xf numFmtId="169" fontId="74" fillId="0" borderId="0" xfId="1" applyFont="1" applyFill="1" applyAlignment="1">
      <alignment horizontal="center"/>
    </xf>
    <xf numFmtId="170" fontId="43" fillId="29" borderId="38" xfId="1" applyNumberFormat="1" applyFont="1" applyFill="1" applyBorder="1"/>
    <xf numFmtId="170" fontId="43" fillId="29" borderId="39" xfId="1" applyNumberFormat="1" applyFont="1" applyFill="1" applyBorder="1"/>
    <xf numFmtId="0" fontId="43" fillId="29" borderId="34" xfId="0" applyFont="1" applyFill="1" applyBorder="1" applyAlignment="1">
      <alignment horizontal="center"/>
    </xf>
    <xf numFmtId="178" fontId="25" fillId="7" borderId="19" xfId="2" applyNumberFormat="1" applyFont="1" applyFill="1" applyBorder="1"/>
    <xf numFmtId="0" fontId="44" fillId="0" borderId="17" xfId="0" applyFont="1" applyBorder="1"/>
    <xf numFmtId="169" fontId="44" fillId="1" borderId="17" xfId="1" applyFont="1" applyFill="1" applyBorder="1"/>
    <xf numFmtId="174" fontId="44" fillId="13" borderId="19" xfId="2" applyFont="1" applyFill="1" applyBorder="1"/>
    <xf numFmtId="170" fontId="44" fillId="13" borderId="20" xfId="1" applyNumberFormat="1" applyFont="1" applyFill="1" applyBorder="1"/>
    <xf numFmtId="173" fontId="44" fillId="18" borderId="17" xfId="1" applyNumberFormat="1" applyFont="1" applyFill="1" applyBorder="1"/>
    <xf numFmtId="174" fontId="44" fillId="18" borderId="19" xfId="2" applyFont="1" applyFill="1" applyBorder="1"/>
    <xf numFmtId="170" fontId="44" fillId="18" borderId="20" xfId="1" applyNumberFormat="1" applyFont="1" applyFill="1" applyBorder="1"/>
    <xf numFmtId="169" fontId="44" fillId="7" borderId="17" xfId="1" applyFont="1" applyFill="1" applyBorder="1"/>
    <xf numFmtId="174" fontId="44" fillId="7" borderId="19" xfId="2" applyFont="1" applyFill="1" applyBorder="1"/>
    <xf numFmtId="170" fontId="44" fillId="7" borderId="20" xfId="1" applyNumberFormat="1" applyFont="1" applyFill="1" applyBorder="1"/>
    <xf numFmtId="169" fontId="32" fillId="24" borderId="17" xfId="1" applyFont="1" applyFill="1" applyBorder="1"/>
    <xf numFmtId="170" fontId="32" fillId="24" borderId="20" xfId="1" applyNumberFormat="1" applyFont="1" applyFill="1" applyBorder="1"/>
    <xf numFmtId="170" fontId="32" fillId="28" borderId="17" xfId="1" applyNumberFormat="1" applyFont="1" applyFill="1" applyBorder="1"/>
    <xf numFmtId="170" fontId="32" fillId="28" borderId="19" xfId="1" applyNumberFormat="1" applyFont="1" applyFill="1" applyBorder="1"/>
    <xf numFmtId="0" fontId="44" fillId="28" borderId="20" xfId="0" applyFont="1" applyFill="1" applyBorder="1" applyAlignment="1">
      <alignment horizontal="center"/>
    </xf>
    <xf numFmtId="169" fontId="44" fillId="0" borderId="0" xfId="1" applyFont="1" applyFill="1"/>
    <xf numFmtId="169" fontId="35" fillId="0" borderId="37" xfId="1" applyFont="1" applyFill="1" applyBorder="1"/>
    <xf numFmtId="0" fontId="25" fillId="0" borderId="37" xfId="0" applyFont="1" applyBorder="1"/>
    <xf numFmtId="169" fontId="73" fillId="0" borderId="0" xfId="1" applyFont="1" applyFill="1"/>
    <xf numFmtId="169" fontId="35" fillId="0" borderId="0" xfId="1" applyFont="1" applyFill="1" applyBorder="1"/>
    <xf numFmtId="0" fontId="25" fillId="0" borderId="0" xfId="0" applyFont="1"/>
    <xf numFmtId="173" fontId="1" fillId="10" borderId="0" xfId="1" applyNumberFormat="1" applyFont="1" applyFill="1" applyBorder="1"/>
    <xf numFmtId="174" fontId="1" fillId="10" borderId="0" xfId="2" applyFont="1" applyFill="1" applyBorder="1"/>
    <xf numFmtId="170" fontId="1" fillId="10" borderId="0" xfId="1" applyNumberFormat="1" applyFont="1" applyFill="1" applyBorder="1"/>
    <xf numFmtId="169" fontId="1" fillId="10" borderId="0" xfId="1" applyFont="1" applyFill="1" applyBorder="1"/>
    <xf numFmtId="173" fontId="1" fillId="10" borderId="5" xfId="1" applyNumberFormat="1" applyFont="1" applyFill="1" applyBorder="1"/>
    <xf numFmtId="174" fontId="1" fillId="10" borderId="5" xfId="2" applyFont="1" applyFill="1" applyBorder="1"/>
    <xf numFmtId="170" fontId="1" fillId="10" borderId="5" xfId="1" applyNumberFormat="1" applyFont="1" applyFill="1" applyBorder="1"/>
    <xf numFmtId="169" fontId="1" fillId="10" borderId="5" xfId="1" applyFont="1" applyFill="1" applyBorder="1"/>
    <xf numFmtId="169" fontId="1" fillId="0" borderId="0" xfId="1" applyFont="1"/>
    <xf numFmtId="174" fontId="1" fillId="0" borderId="0" xfId="2" applyFont="1"/>
    <xf numFmtId="170" fontId="1" fillId="0" borderId="0" xfId="1" applyNumberFormat="1" applyFont="1"/>
    <xf numFmtId="173" fontId="1" fillId="0" borderId="0" xfId="1" applyNumberFormat="1" applyFont="1"/>
    <xf numFmtId="169" fontId="1" fillId="8" borderId="0" xfId="1" applyFont="1" applyFill="1"/>
    <xf numFmtId="174" fontId="1" fillId="18" borderId="19" xfId="2" applyFont="1" applyFill="1" applyBorder="1"/>
    <xf numFmtId="169" fontId="1" fillId="1" borderId="9" xfId="1" applyFont="1" applyFill="1" applyBorder="1"/>
    <xf numFmtId="173" fontId="1" fillId="18" borderId="31" xfId="1" applyNumberFormat="1" applyFont="1" applyFill="1" applyBorder="1"/>
    <xf numFmtId="169" fontId="1" fillId="24" borderId="9" xfId="1" applyFont="1" applyFill="1" applyBorder="1"/>
    <xf numFmtId="169" fontId="1" fillId="18" borderId="31" xfId="1" applyFont="1" applyFill="1" applyBorder="1"/>
    <xf numFmtId="169" fontId="1" fillId="1" borderId="17" xfId="1" applyFont="1" applyFill="1" applyBorder="1"/>
    <xf numFmtId="174" fontId="1" fillId="1" borderId="19" xfId="2" applyFont="1" applyFill="1" applyBorder="1"/>
    <xf numFmtId="170" fontId="1" fillId="1" borderId="29" xfId="1" applyNumberFormat="1" applyFont="1" applyFill="1" applyBorder="1"/>
    <xf numFmtId="173" fontId="1" fillId="18" borderId="30" xfId="1" applyNumberFormat="1" applyFont="1" applyFill="1" applyBorder="1"/>
    <xf numFmtId="170" fontId="1" fillId="18" borderId="24" xfId="1" applyNumberFormat="1" applyFont="1" applyFill="1" applyBorder="1"/>
    <xf numFmtId="169" fontId="1" fillId="7" borderId="18" xfId="1" applyFont="1" applyFill="1" applyBorder="1"/>
    <xf numFmtId="174" fontId="1" fillId="7" borderId="19" xfId="2" applyFont="1" applyFill="1" applyBorder="1"/>
    <xf numFmtId="170" fontId="1" fillId="7" borderId="20" xfId="1" applyNumberFormat="1" applyFont="1" applyFill="1" applyBorder="1"/>
    <xf numFmtId="170" fontId="1" fillId="28" borderId="17" xfId="1" applyNumberFormat="1" applyFont="1" applyFill="1" applyBorder="1"/>
    <xf numFmtId="170" fontId="1" fillId="28" borderId="19" xfId="1" applyNumberFormat="1" applyFont="1" applyFill="1" applyBorder="1"/>
    <xf numFmtId="169" fontId="1" fillId="21" borderId="9" xfId="1" applyFont="1" applyFill="1" applyBorder="1"/>
    <xf numFmtId="169" fontId="1" fillId="7" borderId="9" xfId="1" applyFont="1" applyFill="1" applyBorder="1"/>
    <xf numFmtId="0" fontId="2" fillId="0" borderId="17" xfId="0" applyFont="1" applyBorder="1"/>
    <xf numFmtId="169" fontId="2" fillId="7" borderId="18" xfId="1" applyFont="1" applyFill="1" applyBorder="1"/>
    <xf numFmtId="174" fontId="2" fillId="7" borderId="19" xfId="2" applyFont="1" applyFill="1" applyBorder="1"/>
    <xf numFmtId="169" fontId="2" fillId="24" borderId="9" xfId="1" applyFont="1" applyFill="1" applyBorder="1"/>
    <xf numFmtId="170" fontId="2" fillId="28" borderId="9" xfId="1" applyNumberFormat="1" applyFont="1" applyFill="1" applyBorder="1"/>
    <xf numFmtId="169" fontId="33" fillId="8" borderId="0" xfId="1" applyFont="1" applyFill="1" applyAlignment="1">
      <alignment horizontal="center"/>
    </xf>
    <xf numFmtId="173" fontId="1" fillId="18" borderId="9" xfId="1" applyNumberFormat="1" applyFont="1" applyFill="1" applyBorder="1"/>
    <xf numFmtId="169" fontId="1" fillId="24" borderId="25" xfId="1" applyFont="1" applyFill="1" applyBorder="1"/>
    <xf numFmtId="169" fontId="2" fillId="8" borderId="0" xfId="1" applyFont="1" applyFill="1"/>
    <xf numFmtId="173" fontId="1" fillId="0" borderId="0" xfId="1" applyNumberFormat="1" applyFont="1" applyFill="1"/>
    <xf numFmtId="174" fontId="1" fillId="0" borderId="0" xfId="2" applyFont="1" applyFill="1"/>
    <xf numFmtId="170" fontId="1" fillId="0" borderId="0" xfId="1" applyNumberFormat="1" applyFont="1" applyFill="1"/>
    <xf numFmtId="169" fontId="1" fillId="0" borderId="0" xfId="1" applyFont="1" applyFill="1"/>
    <xf numFmtId="169" fontId="1" fillId="7" borderId="0" xfId="1" applyFont="1" applyFill="1"/>
    <xf numFmtId="173" fontId="1" fillId="18" borderId="17" xfId="1" applyNumberFormat="1" applyFont="1" applyFill="1" applyBorder="1"/>
    <xf numFmtId="169" fontId="1" fillId="7" borderId="17" xfId="1" applyFont="1" applyFill="1" applyBorder="1"/>
    <xf numFmtId="170" fontId="1" fillId="18" borderId="20" xfId="1" applyNumberFormat="1" applyFont="1" applyFill="1" applyBorder="1"/>
    <xf numFmtId="169" fontId="1" fillId="18" borderId="9" xfId="1" applyFont="1" applyFill="1" applyBorder="1"/>
    <xf numFmtId="169" fontId="1" fillId="35" borderId="9" xfId="1" applyFont="1" applyFill="1" applyBorder="1"/>
    <xf numFmtId="173" fontId="1" fillId="19" borderId="9" xfId="1" applyNumberFormat="1" applyFont="1" applyFill="1" applyBorder="1"/>
    <xf numFmtId="169" fontId="1" fillId="19" borderId="9" xfId="1" applyFont="1" applyFill="1" applyBorder="1"/>
    <xf numFmtId="174" fontId="1" fillId="13" borderId="19" xfId="2" applyFont="1" applyFill="1" applyBorder="1"/>
    <xf numFmtId="170" fontId="1" fillId="13" borderId="20" xfId="1" applyNumberFormat="1" applyFont="1" applyFill="1" applyBorder="1"/>
    <xf numFmtId="169" fontId="1" fillId="1" borderId="12" xfId="1" applyFont="1" applyFill="1" applyBorder="1"/>
    <xf numFmtId="174" fontId="1" fillId="13" borderId="13" xfId="2" applyFont="1" applyFill="1" applyBorder="1"/>
    <xf numFmtId="170" fontId="1" fillId="13" borderId="14" xfId="1" applyNumberFormat="1" applyFont="1" applyFill="1" applyBorder="1"/>
    <xf numFmtId="173" fontId="1" fillId="18" borderId="12" xfId="1" applyNumberFormat="1" applyFont="1" applyFill="1" applyBorder="1"/>
    <xf numFmtId="174" fontId="1" fillId="18" borderId="13" xfId="2" applyFont="1" applyFill="1" applyBorder="1"/>
    <xf numFmtId="170" fontId="1" fillId="18" borderId="14" xfId="1" applyNumberFormat="1" applyFont="1" applyFill="1" applyBorder="1"/>
    <xf numFmtId="169" fontId="1" fillId="7" borderId="12" xfId="1" applyFont="1" applyFill="1" applyBorder="1"/>
    <xf numFmtId="174" fontId="1" fillId="7" borderId="13" xfId="2" applyFont="1" applyFill="1" applyBorder="1"/>
    <xf numFmtId="170" fontId="1" fillId="7" borderId="14" xfId="1" applyNumberFormat="1" applyFont="1" applyFill="1" applyBorder="1"/>
    <xf numFmtId="169" fontId="1" fillId="24" borderId="12" xfId="1" applyFont="1" applyFill="1" applyBorder="1"/>
    <xf numFmtId="170" fontId="1" fillId="24" borderId="14" xfId="1" applyNumberFormat="1" applyFont="1" applyFill="1" applyBorder="1"/>
    <xf numFmtId="170" fontId="1" fillId="28" borderId="12" xfId="1" applyNumberFormat="1" applyFont="1" applyFill="1" applyBorder="1"/>
    <xf numFmtId="170" fontId="1" fillId="28" borderId="13" xfId="1" applyNumberFormat="1" applyFont="1" applyFill="1" applyBorder="1"/>
    <xf numFmtId="49" fontId="1" fillId="0" borderId="0" xfId="2" applyNumberFormat="1" applyFont="1" applyAlignment="1">
      <alignment horizontal="center"/>
    </xf>
    <xf numFmtId="170" fontId="1" fillId="19" borderId="9" xfId="1" applyNumberFormat="1" applyFont="1" applyFill="1" applyBorder="1"/>
    <xf numFmtId="169" fontId="1" fillId="39" borderId="9" xfId="1" applyFont="1" applyFill="1" applyBorder="1"/>
    <xf numFmtId="173" fontId="1" fillId="38" borderId="9" xfId="1" applyNumberFormat="1" applyFont="1" applyFill="1" applyBorder="1"/>
    <xf numFmtId="169" fontId="1" fillId="40" borderId="9" xfId="1" applyFont="1" applyFill="1" applyBorder="1"/>
    <xf numFmtId="169" fontId="1" fillId="41" borderId="9" xfId="1" applyFont="1" applyFill="1" applyBorder="1"/>
    <xf numFmtId="170" fontId="1" fillId="37" borderId="9" xfId="1" applyNumberFormat="1" applyFont="1" applyFill="1" applyBorder="1"/>
    <xf numFmtId="169" fontId="33" fillId="8" borderId="0" xfId="1" applyFont="1" applyFill="1"/>
    <xf numFmtId="169" fontId="1" fillId="6" borderId="9" xfId="1" applyFont="1" applyFill="1" applyBorder="1"/>
    <xf numFmtId="170" fontId="1" fillId="6" borderId="9" xfId="1" applyNumberFormat="1" applyFont="1" applyFill="1" applyBorder="1"/>
    <xf numFmtId="170" fontId="33" fillId="0" borderId="0" xfId="1" applyNumberFormat="1" applyFont="1" applyFill="1"/>
    <xf numFmtId="0" fontId="21" fillId="10" borderId="117" xfId="0" applyFont="1" applyFill="1" applyBorder="1"/>
    <xf numFmtId="0" fontId="0" fillId="10" borderId="100" xfId="0" applyFill="1" applyBorder="1"/>
    <xf numFmtId="0" fontId="0" fillId="10" borderId="100" xfId="0" applyFill="1" applyBorder="1" applyAlignment="1">
      <alignment horizontal="center"/>
    </xf>
    <xf numFmtId="14" fontId="0" fillId="10" borderId="100" xfId="0" applyNumberFormat="1" applyFill="1" applyBorder="1"/>
    <xf numFmtId="173" fontId="1" fillId="10" borderId="100" xfId="1" applyNumberFormat="1" applyFont="1" applyFill="1" applyBorder="1"/>
    <xf numFmtId="174" fontId="1" fillId="10" borderId="100" xfId="2" applyFont="1" applyFill="1" applyBorder="1"/>
    <xf numFmtId="170" fontId="1" fillId="10" borderId="100" xfId="1" applyNumberFormat="1" applyFont="1" applyFill="1" applyBorder="1"/>
    <xf numFmtId="169" fontId="1" fillId="10" borderId="100" xfId="1" applyFont="1" applyFill="1" applyBorder="1"/>
    <xf numFmtId="0" fontId="0" fillId="10" borderId="118" xfId="0" applyFill="1" applyBorder="1" applyAlignment="1">
      <alignment horizontal="center"/>
    </xf>
    <xf numFmtId="0" fontId="22" fillId="26" borderId="119" xfId="0" applyFont="1" applyFill="1" applyBorder="1"/>
    <xf numFmtId="0" fontId="37" fillId="26" borderId="99" xfId="0" applyFont="1" applyFill="1" applyBorder="1"/>
    <xf numFmtId="0" fontId="37" fillId="26" borderId="99" xfId="0" applyFont="1" applyFill="1" applyBorder="1" applyAlignment="1">
      <alignment horizontal="center"/>
    </xf>
    <xf numFmtId="14" fontId="37" fillId="26" borderId="99" xfId="0" applyNumberFormat="1" applyFont="1" applyFill="1" applyBorder="1"/>
    <xf numFmtId="169" fontId="37" fillId="26" borderId="99" xfId="1" applyFont="1" applyFill="1" applyBorder="1"/>
    <xf numFmtId="174" fontId="37" fillId="26" borderId="99" xfId="2" applyFont="1" applyFill="1" applyBorder="1"/>
    <xf numFmtId="170" fontId="37" fillId="26" borderId="99" xfId="1" applyNumberFormat="1" applyFont="1" applyFill="1" applyBorder="1"/>
    <xf numFmtId="173" fontId="37" fillId="26" borderId="99" xfId="1" applyNumberFormat="1" applyFont="1" applyFill="1" applyBorder="1"/>
    <xf numFmtId="0" fontId="37" fillId="26" borderId="120" xfId="0" applyFont="1" applyFill="1" applyBorder="1" applyAlignment="1">
      <alignment horizontal="center"/>
    </xf>
    <xf numFmtId="14" fontId="38" fillId="27" borderId="108" xfId="1" applyNumberFormat="1" applyFont="1" applyFill="1" applyBorder="1" applyAlignment="1">
      <alignment horizontal="center"/>
    </xf>
    <xf numFmtId="14" fontId="38" fillId="27" borderId="115" xfId="1" applyNumberFormat="1" applyFont="1" applyFill="1" applyBorder="1" applyAlignment="1">
      <alignment horizontal="center"/>
    </xf>
    <xf numFmtId="14" fontId="0" fillId="0" borderId="115" xfId="0" applyNumberFormat="1" applyBorder="1"/>
    <xf numFmtId="0" fontId="39" fillId="14" borderId="108" xfId="0" applyFont="1" applyFill="1" applyBorder="1"/>
    <xf numFmtId="0" fontId="39" fillId="14" borderId="115" xfId="0" applyFont="1" applyFill="1" applyBorder="1"/>
    <xf numFmtId="169" fontId="42" fillId="8" borderId="106" xfId="1" applyFont="1" applyFill="1" applyBorder="1"/>
    <xf numFmtId="169" fontId="42" fillId="27" borderId="106" xfId="1" applyFont="1" applyFill="1" applyBorder="1"/>
    <xf numFmtId="174" fontId="1" fillId="18" borderId="106" xfId="2" applyFont="1" applyFill="1" applyBorder="1"/>
    <xf numFmtId="169" fontId="38" fillId="27" borderId="106" xfId="1" applyFont="1" applyFill="1" applyBorder="1" applyAlignment="1">
      <alignment horizontal="center"/>
    </xf>
    <xf numFmtId="0" fontId="36" fillId="0" borderId="106" xfId="0" applyFont="1" applyBorder="1"/>
    <xf numFmtId="0" fontId="36" fillId="27" borderId="106" xfId="0" applyFont="1" applyFill="1" applyBorder="1"/>
    <xf numFmtId="169" fontId="36" fillId="27" borderId="106" xfId="1" applyFont="1" applyFill="1" applyBorder="1"/>
    <xf numFmtId="0" fontId="0" fillId="0" borderId="106" xfId="0" applyBorder="1"/>
    <xf numFmtId="0" fontId="0" fillId="0" borderId="106" xfId="0" applyBorder="1" applyAlignment="1">
      <alignment horizontal="center"/>
    </xf>
    <xf numFmtId="174" fontId="1" fillId="1" borderId="106" xfId="2" applyFont="1" applyFill="1" applyBorder="1"/>
    <xf numFmtId="170" fontId="1" fillId="1" borderId="105" xfId="1" applyNumberFormat="1" applyFont="1" applyFill="1" applyBorder="1"/>
    <xf numFmtId="170" fontId="1" fillId="18" borderId="126" xfId="1" applyNumberFormat="1" applyFont="1" applyFill="1" applyBorder="1"/>
    <xf numFmtId="169" fontId="1" fillId="7" borderId="103" xfId="1" applyFont="1" applyFill="1" applyBorder="1"/>
    <xf numFmtId="174" fontId="1" fillId="7" borderId="106" xfId="2" applyFont="1" applyFill="1" applyBorder="1"/>
    <xf numFmtId="170" fontId="1" fillId="7" borderId="105" xfId="1" applyNumberFormat="1" applyFont="1" applyFill="1" applyBorder="1"/>
    <xf numFmtId="170" fontId="1" fillId="24" borderId="107" xfId="1" applyNumberFormat="1" applyFont="1" applyFill="1" applyBorder="1"/>
    <xf numFmtId="170" fontId="1" fillId="28" borderId="103" xfId="1" applyNumberFormat="1" applyFont="1" applyFill="1" applyBorder="1"/>
    <xf numFmtId="0" fontId="0" fillId="28" borderId="107" xfId="0" applyFill="1" applyBorder="1" applyAlignment="1">
      <alignment horizontal="center"/>
    </xf>
    <xf numFmtId="169" fontId="36" fillId="0" borderId="106" xfId="0" applyNumberFormat="1" applyFont="1" applyBorder="1"/>
    <xf numFmtId="0" fontId="44" fillId="0" borderId="106" xfId="0" applyFont="1" applyBorder="1"/>
    <xf numFmtId="174" fontId="44" fillId="1" borderId="106" xfId="2" applyFont="1" applyFill="1" applyBorder="1"/>
    <xf numFmtId="170" fontId="44" fillId="1" borderId="105" xfId="1" applyNumberFormat="1" applyFont="1" applyFill="1" applyBorder="1"/>
    <xf numFmtId="174" fontId="44" fillId="18" borderId="106" xfId="2" applyFont="1" applyFill="1" applyBorder="1"/>
    <xf numFmtId="170" fontId="44" fillId="18" borderId="126" xfId="1" applyNumberFormat="1" applyFont="1" applyFill="1" applyBorder="1"/>
    <xf numFmtId="169" fontId="44" fillId="7" borderId="103" xfId="1" applyFont="1" applyFill="1" applyBorder="1"/>
    <xf numFmtId="174" fontId="44" fillId="7" borderId="106" xfId="2" applyFont="1" applyFill="1" applyBorder="1"/>
    <xf numFmtId="170" fontId="44" fillId="7" borderId="105" xfId="1" applyNumberFormat="1" applyFont="1" applyFill="1" applyBorder="1"/>
    <xf numFmtId="170" fontId="44" fillId="24" borderId="107" xfId="1" applyNumberFormat="1" applyFont="1" applyFill="1" applyBorder="1"/>
    <xf numFmtId="170" fontId="44" fillId="28" borderId="106" xfId="1" applyNumberFormat="1" applyFont="1" applyFill="1" applyBorder="1"/>
    <xf numFmtId="0" fontId="44" fillId="28" borderId="107" xfId="0" applyFont="1" applyFill="1" applyBorder="1" applyAlignment="1">
      <alignment horizontal="center"/>
    </xf>
    <xf numFmtId="0" fontId="0" fillId="0" borderId="108" xfId="0" applyBorder="1"/>
    <xf numFmtId="0" fontId="0" fillId="0" borderId="115" xfId="0" applyBorder="1"/>
    <xf numFmtId="0" fontId="0" fillId="0" borderId="115" xfId="0" applyBorder="1" applyAlignment="1">
      <alignment horizontal="center"/>
    </xf>
    <xf numFmtId="169" fontId="1" fillId="1" borderId="108" xfId="1" applyFont="1" applyFill="1" applyBorder="1"/>
    <xf numFmtId="174" fontId="1" fillId="1" borderId="115" xfId="2" applyFont="1" applyFill="1" applyBorder="1"/>
    <xf numFmtId="170" fontId="1" fillId="1" borderId="127" xfId="1" applyNumberFormat="1" applyFont="1" applyFill="1" applyBorder="1"/>
    <xf numFmtId="174" fontId="1" fillId="18" borderId="115" xfId="2" applyFont="1" applyFill="1" applyBorder="1"/>
    <xf numFmtId="170" fontId="1" fillId="18" borderId="125" xfId="1" applyNumberFormat="1" applyFont="1" applyFill="1" applyBorder="1"/>
    <xf numFmtId="169" fontId="1" fillId="7" borderId="114" xfId="1" applyFont="1" applyFill="1" applyBorder="1"/>
    <xf numFmtId="174" fontId="1" fillId="7" borderId="115" xfId="2" applyFont="1" applyFill="1" applyBorder="1"/>
    <xf numFmtId="170" fontId="1" fillId="7" borderId="116" xfId="1" applyNumberFormat="1" applyFont="1" applyFill="1" applyBorder="1"/>
    <xf numFmtId="169" fontId="1" fillId="24" borderId="108" xfId="1" applyFont="1" applyFill="1" applyBorder="1"/>
    <xf numFmtId="170" fontId="1" fillId="24" borderId="116" xfId="1" applyNumberFormat="1" applyFont="1" applyFill="1" applyBorder="1"/>
    <xf numFmtId="170" fontId="1" fillId="28" borderId="108" xfId="1" applyNumberFormat="1" applyFont="1" applyFill="1" applyBorder="1"/>
    <xf numFmtId="170" fontId="1" fillId="28" borderId="115" xfId="1" applyNumberFormat="1" applyFont="1" applyFill="1" applyBorder="1"/>
    <xf numFmtId="0" fontId="0" fillId="28" borderId="116" xfId="0" applyFill="1" applyBorder="1" applyAlignment="1">
      <alignment horizontal="center"/>
    </xf>
    <xf numFmtId="0" fontId="36" fillId="27" borderId="108" xfId="0" applyFont="1" applyFill="1" applyBorder="1"/>
    <xf numFmtId="0" fontId="36" fillId="27" borderId="115" xfId="0" applyFont="1" applyFill="1" applyBorder="1"/>
    <xf numFmtId="0" fontId="36" fillId="0" borderId="115" xfId="0" applyFont="1" applyBorder="1"/>
    <xf numFmtId="0" fontId="24" fillId="21" borderId="106" xfId="0" applyFont="1" applyFill="1" applyBorder="1"/>
    <xf numFmtId="174" fontId="24" fillId="30" borderId="106" xfId="2" applyFont="1" applyFill="1" applyBorder="1"/>
    <xf numFmtId="170" fontId="24" fillId="30" borderId="105" xfId="1" applyNumberFormat="1" applyFont="1" applyFill="1" applyBorder="1"/>
    <xf numFmtId="174" fontId="24" fillId="21" borderId="106" xfId="2" applyFont="1" applyFill="1" applyBorder="1"/>
    <xf numFmtId="170" fontId="24" fillId="21" borderId="126" xfId="1" applyNumberFormat="1" applyFont="1" applyFill="1" applyBorder="1"/>
    <xf numFmtId="169" fontId="24" fillId="21" borderId="103" xfId="1" applyFont="1" applyFill="1" applyBorder="1"/>
    <xf numFmtId="170" fontId="24" fillId="21" borderId="107" xfId="1" applyNumberFormat="1" applyFont="1" applyFill="1" applyBorder="1"/>
    <xf numFmtId="170" fontId="24" fillId="21" borderId="106" xfId="1" applyNumberFormat="1" applyFont="1" applyFill="1" applyBorder="1"/>
    <xf numFmtId="0" fontId="24" fillId="21" borderId="107" xfId="0" applyFont="1" applyFill="1" applyBorder="1" applyAlignment="1">
      <alignment horizontal="center"/>
    </xf>
    <xf numFmtId="170" fontId="24" fillId="24" borderId="107" xfId="1" applyNumberFormat="1" applyFont="1" applyFill="1" applyBorder="1"/>
    <xf numFmtId="169" fontId="36" fillId="0" borderId="106" xfId="1" applyFont="1" applyFill="1" applyBorder="1"/>
    <xf numFmtId="170" fontId="1" fillId="7" borderId="107" xfId="1" applyNumberFormat="1" applyFont="1" applyFill="1" applyBorder="1"/>
    <xf numFmtId="174" fontId="1" fillId="8" borderId="106" xfId="2" applyFont="1" applyFill="1" applyBorder="1"/>
    <xf numFmtId="170" fontId="44" fillId="7" borderId="107" xfId="1" applyNumberFormat="1" applyFont="1" applyFill="1" applyBorder="1"/>
    <xf numFmtId="169" fontId="26" fillId="0" borderId="106" xfId="0" applyNumberFormat="1" applyFont="1" applyBorder="1"/>
    <xf numFmtId="170" fontId="28" fillId="24" borderId="107" xfId="1" applyNumberFormat="1" applyFont="1" applyFill="1" applyBorder="1"/>
    <xf numFmtId="170" fontId="26" fillId="24" borderId="107" xfId="1" applyNumberFormat="1" applyFont="1" applyFill="1" applyBorder="1"/>
    <xf numFmtId="0" fontId="0" fillId="21" borderId="106" xfId="0" applyFill="1" applyBorder="1"/>
    <xf numFmtId="174" fontId="1" fillId="30" borderId="106" xfId="2" applyFont="1" applyFill="1" applyBorder="1"/>
    <xf numFmtId="174" fontId="1" fillId="21" borderId="106" xfId="2" applyFont="1" applyFill="1" applyBorder="1"/>
    <xf numFmtId="170" fontId="1" fillId="21" borderId="106" xfId="1" applyNumberFormat="1" applyFont="1" applyFill="1" applyBorder="1"/>
    <xf numFmtId="0" fontId="0" fillId="21" borderId="107" xfId="0" applyFill="1" applyBorder="1" applyAlignment="1">
      <alignment horizontal="center"/>
    </xf>
    <xf numFmtId="0" fontId="0" fillId="21" borderId="115" xfId="0" applyFill="1" applyBorder="1"/>
    <xf numFmtId="0" fontId="36" fillId="27" borderId="114" xfId="0" applyFont="1" applyFill="1" applyBorder="1"/>
    <xf numFmtId="0" fontId="36" fillId="0" borderId="114" xfId="0" applyFont="1" applyBorder="1"/>
    <xf numFmtId="169" fontId="36" fillId="0" borderId="114" xfId="0" applyNumberFormat="1" applyFont="1" applyBorder="1"/>
    <xf numFmtId="169" fontId="36" fillId="0" borderId="114" xfId="1" applyFont="1" applyFill="1" applyBorder="1"/>
    <xf numFmtId="0" fontId="36" fillId="27" borderId="103" xfId="0" applyFont="1" applyFill="1" applyBorder="1"/>
    <xf numFmtId="0" fontId="36" fillId="0" borderId="103" xfId="0" applyFont="1" applyBorder="1"/>
    <xf numFmtId="169" fontId="36" fillId="0" borderId="103" xfId="1" applyFont="1" applyFill="1" applyBorder="1"/>
    <xf numFmtId="0" fontId="2" fillId="0" borderId="106" xfId="0" applyFont="1" applyBorder="1"/>
    <xf numFmtId="0" fontId="2" fillId="0" borderId="106" xfId="0" applyFont="1" applyBorder="1" applyAlignment="1">
      <alignment horizontal="center"/>
    </xf>
    <xf numFmtId="174" fontId="2" fillId="18" borderId="106" xfId="2" applyFont="1" applyFill="1" applyBorder="1"/>
    <xf numFmtId="170" fontId="2" fillId="18" borderId="126" xfId="1" applyNumberFormat="1" applyFont="1" applyFill="1" applyBorder="1"/>
    <xf numFmtId="174" fontId="2" fillId="7" borderId="106" xfId="2" applyFont="1" applyFill="1" applyBorder="1"/>
    <xf numFmtId="170" fontId="2" fillId="7" borderId="107" xfId="1" applyNumberFormat="1" applyFont="1" applyFill="1" applyBorder="1"/>
    <xf numFmtId="170" fontId="2" fillId="24" borderId="107" xfId="1" applyNumberFormat="1" applyFont="1" applyFill="1" applyBorder="1"/>
    <xf numFmtId="170" fontId="2" fillId="28" borderId="106" xfId="1" applyNumberFormat="1" applyFont="1" applyFill="1" applyBorder="1"/>
    <xf numFmtId="0" fontId="2" fillId="28" borderId="107" xfId="0" applyFont="1" applyFill="1" applyBorder="1" applyAlignment="1">
      <alignment horizontal="center"/>
    </xf>
    <xf numFmtId="0" fontId="2" fillId="27" borderId="103" xfId="0" applyFont="1" applyFill="1" applyBorder="1"/>
    <xf numFmtId="169" fontId="2" fillId="27" borderId="103" xfId="1" applyFont="1" applyFill="1" applyBorder="1"/>
    <xf numFmtId="0" fontId="2" fillId="0" borderId="103" xfId="0" applyFont="1" applyBorder="1"/>
    <xf numFmtId="173" fontId="36" fillId="0" borderId="114" xfId="0" applyNumberFormat="1" applyFont="1" applyBorder="1"/>
    <xf numFmtId="169" fontId="36" fillId="0" borderId="103" xfId="0" applyNumberFormat="1" applyFont="1" applyBorder="1"/>
    <xf numFmtId="173" fontId="36" fillId="0" borderId="103" xfId="0" applyNumberFormat="1" applyFont="1" applyBorder="1"/>
    <xf numFmtId="0" fontId="26" fillId="27" borderId="103" xfId="0" applyFont="1" applyFill="1" applyBorder="1"/>
    <xf numFmtId="0" fontId="26" fillId="0" borderId="103" xfId="0" applyFont="1" applyBorder="1"/>
    <xf numFmtId="173" fontId="26" fillId="0" borderId="103" xfId="0" applyNumberFormat="1" applyFont="1" applyBorder="1"/>
    <xf numFmtId="170" fontId="34" fillId="24" borderId="107" xfId="1" applyNumberFormat="1" applyFont="1" applyFill="1" applyBorder="1"/>
    <xf numFmtId="0" fontId="34" fillId="27" borderId="103" xfId="0" applyFont="1" applyFill="1" applyBorder="1"/>
    <xf numFmtId="0" fontId="34" fillId="0" borderId="103" xfId="0" applyFont="1" applyBorder="1"/>
    <xf numFmtId="173" fontId="34" fillId="0" borderId="103" xfId="0" applyNumberFormat="1" applyFont="1" applyBorder="1"/>
    <xf numFmtId="0" fontId="45" fillId="14" borderId="119" xfId="0" applyFont="1" applyFill="1" applyBorder="1"/>
    <xf numFmtId="0" fontId="45" fillId="14" borderId="99" xfId="0" applyFont="1" applyFill="1" applyBorder="1"/>
    <xf numFmtId="0" fontId="45" fillId="14" borderId="99" xfId="0" applyFont="1" applyFill="1" applyBorder="1" applyAlignment="1">
      <alignment horizontal="center"/>
    </xf>
    <xf numFmtId="14" fontId="45" fillId="14" borderId="99" xfId="0" applyNumberFormat="1" applyFont="1" applyFill="1" applyBorder="1"/>
    <xf numFmtId="169" fontId="45" fillId="14" borderId="99" xfId="1" applyFont="1" applyFill="1" applyBorder="1"/>
    <xf numFmtId="174" fontId="45" fillId="14" borderId="99" xfId="2" applyFont="1" applyFill="1" applyBorder="1"/>
    <xf numFmtId="170" fontId="45" fillId="14" borderId="99" xfId="1" applyNumberFormat="1" applyFont="1" applyFill="1" applyBorder="1"/>
    <xf numFmtId="0" fontId="45" fillId="14" borderId="120" xfId="0" applyFont="1" applyFill="1" applyBorder="1" applyAlignment="1">
      <alignment horizontal="center"/>
    </xf>
    <xf numFmtId="169" fontId="45" fillId="5" borderId="128" xfId="1" applyFont="1" applyFill="1" applyBorder="1"/>
    <xf numFmtId="14" fontId="38" fillId="27" borderId="114" xfId="1" applyNumberFormat="1" applyFont="1" applyFill="1" applyBorder="1" applyAlignment="1">
      <alignment horizontal="center"/>
    </xf>
    <xf numFmtId="14" fontId="38" fillId="0" borderId="114" xfId="1" applyNumberFormat="1" applyFont="1" applyFill="1" applyBorder="1" applyAlignment="1">
      <alignment horizontal="center"/>
    </xf>
    <xf numFmtId="169" fontId="46" fillId="27" borderId="103" xfId="1" applyFont="1" applyFill="1" applyBorder="1"/>
    <xf numFmtId="169" fontId="46" fillId="0" borderId="103" xfId="1" applyFont="1" applyFill="1" applyBorder="1"/>
    <xf numFmtId="169" fontId="36" fillId="27" borderId="103" xfId="1" applyFont="1" applyFill="1" applyBorder="1" applyAlignment="1">
      <alignment horizontal="center"/>
    </xf>
    <xf numFmtId="169" fontId="36" fillId="0" borderId="103" xfId="1" applyFont="1" applyFill="1" applyBorder="1" applyAlignment="1">
      <alignment horizontal="center"/>
    </xf>
    <xf numFmtId="0" fontId="43" fillId="29" borderId="108" xfId="0" applyFont="1" applyFill="1" applyBorder="1"/>
    <xf numFmtId="0" fontId="43" fillId="29" borderId="115" xfId="0" applyFont="1" applyFill="1" applyBorder="1"/>
    <xf numFmtId="174" fontId="43" fillId="29" borderId="115" xfId="2" applyFont="1" applyFill="1" applyBorder="1"/>
    <xf numFmtId="170" fontId="43" fillId="29" borderId="115" xfId="1" applyNumberFormat="1" applyFont="1" applyFill="1" applyBorder="1"/>
    <xf numFmtId="0" fontId="43" fillId="29" borderId="116" xfId="0" applyFont="1" applyFill="1" applyBorder="1" applyAlignment="1">
      <alignment horizontal="center"/>
    </xf>
    <xf numFmtId="169" fontId="36" fillId="27" borderId="103" xfId="1" applyFont="1" applyFill="1" applyBorder="1"/>
    <xf numFmtId="169" fontId="1" fillId="30" borderId="106" xfId="1" applyFont="1" applyFill="1" applyBorder="1"/>
    <xf numFmtId="170" fontId="1" fillId="30" borderId="106" xfId="1" applyNumberFormat="1" applyFont="1" applyFill="1" applyBorder="1"/>
    <xf numFmtId="169" fontId="1" fillId="21" borderId="106" xfId="1" applyFont="1" applyFill="1" applyBorder="1"/>
    <xf numFmtId="0" fontId="23" fillId="0" borderId="106" xfId="0" applyFont="1" applyBorder="1"/>
    <xf numFmtId="174" fontId="23" fillId="1" borderId="106" xfId="2" applyFont="1" applyFill="1" applyBorder="1"/>
    <xf numFmtId="170" fontId="23" fillId="1" borderId="105" xfId="1" applyNumberFormat="1" applyFont="1" applyFill="1" applyBorder="1"/>
    <xf numFmtId="174" fontId="23" fillId="18" borderId="106" xfId="2" applyFont="1" applyFill="1" applyBorder="1"/>
    <xf numFmtId="170" fontId="23" fillId="18" borderId="126" xfId="1" applyNumberFormat="1" applyFont="1" applyFill="1" applyBorder="1"/>
    <xf numFmtId="169" fontId="23" fillId="7" borderId="103" xfId="1" applyFont="1" applyFill="1" applyBorder="1"/>
    <xf numFmtId="174" fontId="23" fillId="7" borderId="106" xfId="2" applyFont="1" applyFill="1" applyBorder="1"/>
    <xf numFmtId="170" fontId="23" fillId="7" borderId="107" xfId="1" applyNumberFormat="1" applyFont="1" applyFill="1" applyBorder="1"/>
    <xf numFmtId="170" fontId="23" fillId="28" borderId="106" xfId="1" applyNumberFormat="1" applyFont="1" applyFill="1" applyBorder="1"/>
    <xf numFmtId="0" fontId="23" fillId="28" borderId="107" xfId="0" applyFont="1" applyFill="1" applyBorder="1" applyAlignment="1">
      <alignment horizontal="center"/>
    </xf>
    <xf numFmtId="169" fontId="28" fillId="0" borderId="103" xfId="1" applyFont="1" applyFill="1" applyBorder="1"/>
    <xf numFmtId="169" fontId="1" fillId="24" borderId="126" xfId="1" applyFont="1" applyFill="1" applyBorder="1"/>
    <xf numFmtId="170" fontId="1" fillId="24" borderId="126" xfId="1" applyNumberFormat="1" applyFont="1" applyFill="1" applyBorder="1"/>
    <xf numFmtId="0" fontId="0" fillId="21" borderId="108" xfId="0" applyFill="1" applyBorder="1"/>
    <xf numFmtId="0" fontId="0" fillId="21" borderId="115" xfId="0" applyFill="1" applyBorder="1" applyAlignment="1">
      <alignment horizontal="center"/>
    </xf>
    <xf numFmtId="14" fontId="0" fillId="21" borderId="108" xfId="0" applyNumberFormat="1" applyFill="1" applyBorder="1"/>
    <xf numFmtId="169" fontId="1" fillId="30" borderId="108" xfId="1" applyFont="1" applyFill="1" applyBorder="1"/>
    <xf numFmtId="174" fontId="1" fillId="30" borderId="115" xfId="2" applyFont="1" applyFill="1" applyBorder="1"/>
    <xf numFmtId="170" fontId="1" fillId="30" borderId="127" xfId="1" applyNumberFormat="1" applyFont="1" applyFill="1" applyBorder="1"/>
    <xf numFmtId="169" fontId="1" fillId="21" borderId="123" xfId="1" applyFont="1" applyFill="1" applyBorder="1"/>
    <xf numFmtId="174" fontId="1" fillId="8" borderId="115" xfId="2" applyFont="1" applyFill="1" applyBorder="1"/>
    <xf numFmtId="170" fontId="1" fillId="21" borderId="125" xfId="1" applyNumberFormat="1" applyFont="1" applyFill="1" applyBorder="1"/>
    <xf numFmtId="169" fontId="1" fillId="21" borderId="114" xfId="1" applyFont="1" applyFill="1" applyBorder="1"/>
    <xf numFmtId="174" fontId="1" fillId="21" borderId="115" xfId="2" applyFont="1" applyFill="1" applyBorder="1"/>
    <xf numFmtId="170" fontId="1" fillId="21" borderId="116" xfId="1" applyNumberFormat="1" applyFont="1" applyFill="1" applyBorder="1"/>
    <xf numFmtId="169" fontId="1" fillId="21" borderId="125" xfId="1" applyFont="1" applyFill="1" applyBorder="1"/>
    <xf numFmtId="170" fontId="1" fillId="21" borderId="108" xfId="1" applyNumberFormat="1" applyFont="1" applyFill="1" applyBorder="1"/>
    <xf numFmtId="170" fontId="1" fillId="21" borderId="115" xfId="1" applyNumberFormat="1" applyFont="1" applyFill="1" applyBorder="1"/>
    <xf numFmtId="0" fontId="0" fillId="21" borderId="116" xfId="0" applyFill="1" applyBorder="1" applyAlignment="1">
      <alignment horizontal="center"/>
    </xf>
    <xf numFmtId="0" fontId="47" fillId="0" borderId="106" xfId="0" applyFont="1" applyBorder="1"/>
    <xf numFmtId="174" fontId="47" fillId="1" borderId="106" xfId="2" applyFont="1" applyFill="1" applyBorder="1"/>
    <xf numFmtId="170" fontId="47" fillId="1" borderId="105" xfId="1" applyNumberFormat="1" applyFont="1" applyFill="1" applyBorder="1"/>
    <xf numFmtId="174" fontId="47" fillId="18" borderId="106" xfId="2" applyFont="1" applyFill="1" applyBorder="1"/>
    <xf numFmtId="170" fontId="47" fillId="18" borderId="126" xfId="1" applyNumberFormat="1" applyFont="1" applyFill="1" applyBorder="1"/>
    <xf numFmtId="174" fontId="47" fillId="7" borderId="106" xfId="2" applyFont="1" applyFill="1" applyBorder="1"/>
    <xf numFmtId="170" fontId="47" fillId="7" borderId="107" xfId="1" applyNumberFormat="1" applyFont="1" applyFill="1" applyBorder="1"/>
    <xf numFmtId="170" fontId="47" fillId="24" borderId="107" xfId="1" applyNumberFormat="1" applyFont="1" applyFill="1" applyBorder="1"/>
    <xf numFmtId="170" fontId="47" fillId="28" borderId="106" xfId="1" applyNumberFormat="1" applyFont="1" applyFill="1" applyBorder="1"/>
    <xf numFmtId="0" fontId="47" fillId="28" borderId="107" xfId="0" applyFont="1" applyFill="1" applyBorder="1" applyAlignment="1">
      <alignment horizontal="center"/>
    </xf>
    <xf numFmtId="169" fontId="47" fillId="0" borderId="103" xfId="1" applyFont="1" applyFill="1" applyBorder="1"/>
    <xf numFmtId="0" fontId="48" fillId="14" borderId="119" xfId="0" applyFont="1" applyFill="1" applyBorder="1"/>
    <xf numFmtId="0" fontId="48" fillId="14" borderId="99" xfId="0" applyFont="1" applyFill="1" applyBorder="1"/>
    <xf numFmtId="0" fontId="48" fillId="14" borderId="99" xfId="0" applyFont="1" applyFill="1" applyBorder="1" applyAlignment="1">
      <alignment horizontal="center"/>
    </xf>
    <xf numFmtId="14" fontId="48" fillId="14" borderId="99" xfId="0" applyNumberFormat="1" applyFont="1" applyFill="1" applyBorder="1"/>
    <xf numFmtId="169" fontId="48" fillId="14" borderId="99" xfId="1" applyFont="1" applyFill="1" applyBorder="1"/>
    <xf numFmtId="174" fontId="48" fillId="14" borderId="99" xfId="2" applyFont="1" applyFill="1" applyBorder="1"/>
    <xf numFmtId="170" fontId="48" fillId="14" borderId="99" xfId="1" applyNumberFormat="1" applyFont="1" applyFill="1" applyBorder="1"/>
    <xf numFmtId="0" fontId="48" fillId="14" borderId="120" xfId="0" applyFont="1" applyFill="1" applyBorder="1" applyAlignment="1">
      <alignment horizontal="center"/>
    </xf>
    <xf numFmtId="169" fontId="48" fillId="14" borderId="128" xfId="1" applyFont="1" applyFill="1" applyBorder="1"/>
    <xf numFmtId="174" fontId="1" fillId="13" borderId="106" xfId="2" applyFont="1" applyFill="1" applyBorder="1"/>
    <xf numFmtId="170" fontId="1" fillId="13" borderId="105" xfId="1" applyNumberFormat="1" applyFont="1" applyFill="1" applyBorder="1"/>
    <xf numFmtId="0" fontId="0" fillId="0" borderId="127" xfId="0" applyBorder="1" applyAlignment="1">
      <alignment horizontal="center"/>
    </xf>
    <xf numFmtId="0" fontId="0" fillId="0" borderId="105" xfId="0" applyBorder="1" applyAlignment="1">
      <alignment horizontal="center"/>
    </xf>
    <xf numFmtId="0" fontId="0" fillId="0" borderId="107" xfId="0" applyBorder="1" applyAlignment="1">
      <alignment horizontal="center"/>
    </xf>
    <xf numFmtId="170" fontId="1" fillId="13" borderId="107" xfId="1" applyNumberFormat="1" applyFont="1" applyFill="1" applyBorder="1"/>
    <xf numFmtId="170" fontId="1" fillId="18" borderId="107" xfId="1" applyNumberFormat="1" applyFont="1" applyFill="1" applyBorder="1"/>
    <xf numFmtId="14" fontId="38" fillId="0" borderId="115" xfId="1" applyNumberFormat="1" applyFont="1" applyFill="1" applyBorder="1" applyAlignment="1">
      <alignment horizontal="center"/>
    </xf>
    <xf numFmtId="0" fontId="39" fillId="14" borderId="117" xfId="0" applyFont="1" applyFill="1" applyBorder="1"/>
    <xf numFmtId="0" fontId="39" fillId="14" borderId="131" xfId="0" applyFont="1" applyFill="1" applyBorder="1"/>
    <xf numFmtId="169" fontId="38" fillId="8" borderId="106" xfId="1" applyFont="1" applyFill="1" applyBorder="1" applyAlignment="1">
      <alignment horizontal="center"/>
    </xf>
    <xf numFmtId="170" fontId="23" fillId="7" borderId="105" xfId="1" applyNumberFormat="1" applyFont="1" applyFill="1" applyBorder="1"/>
    <xf numFmtId="170" fontId="23" fillId="24" borderId="107" xfId="1" applyNumberFormat="1" applyFont="1" applyFill="1" applyBorder="1"/>
    <xf numFmtId="170" fontId="23" fillId="28" borderId="103" xfId="1" applyNumberFormat="1" applyFont="1" applyFill="1" applyBorder="1"/>
    <xf numFmtId="0" fontId="30" fillId="21" borderId="108" xfId="0" applyFont="1" applyFill="1" applyBorder="1"/>
    <xf numFmtId="0" fontId="30" fillId="21" borderId="115" xfId="0" applyFont="1" applyFill="1" applyBorder="1"/>
    <xf numFmtId="0" fontId="30" fillId="21" borderId="115" xfId="0" applyFont="1" applyFill="1" applyBorder="1" applyAlignment="1">
      <alignment horizontal="center"/>
    </xf>
    <xf numFmtId="169" fontId="30" fillId="30" borderId="108" xfId="1" applyFont="1" applyFill="1" applyBorder="1"/>
    <xf numFmtId="174" fontId="30" fillId="30" borderId="115" xfId="2" applyFont="1" applyFill="1" applyBorder="1"/>
    <xf numFmtId="170" fontId="30" fillId="30" borderId="127" xfId="1" applyNumberFormat="1" applyFont="1" applyFill="1" applyBorder="1"/>
    <xf numFmtId="169" fontId="30" fillId="21" borderId="123" xfId="1" applyFont="1" applyFill="1" applyBorder="1"/>
    <xf numFmtId="170" fontId="30" fillId="21" borderId="125" xfId="1" applyNumberFormat="1" applyFont="1" applyFill="1" applyBorder="1"/>
    <xf numFmtId="169" fontId="30" fillId="21" borderId="114" xfId="1" applyFont="1" applyFill="1" applyBorder="1"/>
    <xf numFmtId="174" fontId="30" fillId="21" borderId="115" xfId="2" applyFont="1" applyFill="1" applyBorder="1"/>
    <xf numFmtId="170" fontId="30" fillId="21" borderId="116" xfId="1" applyNumberFormat="1" applyFont="1" applyFill="1" applyBorder="1"/>
    <xf numFmtId="169" fontId="30" fillId="21" borderId="125" xfId="1" applyFont="1" applyFill="1" applyBorder="1"/>
    <xf numFmtId="170" fontId="30" fillId="21" borderId="108" xfId="1" applyNumberFormat="1" applyFont="1" applyFill="1" applyBorder="1"/>
    <xf numFmtId="170" fontId="30" fillId="21" borderId="115" xfId="1" applyNumberFormat="1" applyFont="1" applyFill="1" applyBorder="1"/>
    <xf numFmtId="0" fontId="30" fillId="21" borderId="116" xfId="0" applyFont="1" applyFill="1" applyBorder="1" applyAlignment="1">
      <alignment horizontal="center"/>
    </xf>
    <xf numFmtId="169" fontId="30" fillId="0" borderId="108" xfId="1" applyFont="1" applyFill="1" applyBorder="1"/>
    <xf numFmtId="169" fontId="30" fillId="0" borderId="115" xfId="1" applyFont="1" applyFill="1" applyBorder="1"/>
    <xf numFmtId="169" fontId="44" fillId="0" borderId="106" xfId="1" applyFont="1" applyFill="1" applyBorder="1"/>
    <xf numFmtId="0" fontId="24" fillId="21" borderId="108" xfId="0" applyFont="1" applyFill="1" applyBorder="1"/>
    <xf numFmtId="0" fontId="24" fillId="21" borderId="115" xfId="0" applyFont="1" applyFill="1" applyBorder="1"/>
    <xf numFmtId="0" fontId="24" fillId="21" borderId="115" xfId="0" applyFont="1" applyFill="1" applyBorder="1" applyAlignment="1">
      <alignment horizontal="center"/>
    </xf>
    <xf numFmtId="169" fontId="24" fillId="30" borderId="108" xfId="1" applyFont="1" applyFill="1" applyBorder="1"/>
    <xf numFmtId="174" fontId="24" fillId="30" borderId="115" xfId="2" applyFont="1" applyFill="1" applyBorder="1"/>
    <xf numFmtId="170" fontId="24" fillId="30" borderId="127" xfId="1" applyNumberFormat="1" applyFont="1" applyFill="1" applyBorder="1"/>
    <xf numFmtId="170" fontId="24" fillId="21" borderId="125" xfId="1" applyNumberFormat="1" applyFont="1" applyFill="1" applyBorder="1"/>
    <xf numFmtId="169" fontId="24" fillId="21" borderId="114" xfId="1" applyFont="1" applyFill="1" applyBorder="1"/>
    <xf numFmtId="174" fontId="24" fillId="21" borderId="115" xfId="2" applyFont="1" applyFill="1" applyBorder="1"/>
    <xf numFmtId="170" fontId="24" fillId="21" borderId="116" xfId="1" applyNumberFormat="1" applyFont="1" applyFill="1" applyBorder="1"/>
    <xf numFmtId="169" fontId="24" fillId="21" borderId="125" xfId="1" applyFont="1" applyFill="1" applyBorder="1"/>
    <xf numFmtId="170" fontId="24" fillId="21" borderId="108" xfId="1" applyNumberFormat="1" applyFont="1" applyFill="1" applyBorder="1"/>
    <xf numFmtId="170" fontId="24" fillId="21" borderId="115" xfId="1" applyNumberFormat="1" applyFont="1" applyFill="1" applyBorder="1"/>
    <xf numFmtId="0" fontId="24" fillId="21" borderId="116" xfId="0" applyFont="1" applyFill="1" applyBorder="1" applyAlignment="1">
      <alignment horizontal="center"/>
    </xf>
    <xf numFmtId="174" fontId="24" fillId="1" borderId="106" xfId="2" applyFont="1" applyFill="1" applyBorder="1"/>
    <xf numFmtId="170" fontId="24" fillId="1" borderId="105" xfId="1" applyNumberFormat="1" applyFont="1" applyFill="1" applyBorder="1"/>
    <xf numFmtId="174" fontId="24" fillId="18" borderId="106" xfId="2" applyFont="1" applyFill="1" applyBorder="1"/>
    <xf numFmtId="170" fontId="24" fillId="18" borderId="126" xfId="1" applyNumberFormat="1" applyFont="1" applyFill="1" applyBorder="1"/>
    <xf numFmtId="174" fontId="24" fillId="7" borderId="106" xfId="2" applyFont="1" applyFill="1" applyBorder="1"/>
    <xf numFmtId="170" fontId="24" fillId="7" borderId="107" xfId="1" applyNumberFormat="1" applyFont="1" applyFill="1" applyBorder="1"/>
    <xf numFmtId="170" fontId="24" fillId="28" borderId="106" xfId="1" applyNumberFormat="1" applyFont="1" applyFill="1" applyBorder="1"/>
    <xf numFmtId="168" fontId="24" fillId="28" borderId="107" xfId="0" applyNumberFormat="1" applyFont="1" applyFill="1" applyBorder="1" applyAlignment="1">
      <alignment horizontal="center"/>
    </xf>
    <xf numFmtId="169" fontId="36" fillId="0" borderId="108" xfId="1" applyFont="1" applyFill="1" applyBorder="1"/>
    <xf numFmtId="169" fontId="36" fillId="0" borderId="115" xfId="1" applyFont="1" applyFill="1" applyBorder="1"/>
    <xf numFmtId="169" fontId="36" fillId="0" borderId="116" xfId="1" applyFont="1" applyFill="1" applyBorder="1"/>
    <xf numFmtId="0" fontId="32" fillId="0" borderId="106" xfId="0" applyFont="1" applyBorder="1" applyAlignment="1">
      <alignment horizontal="center"/>
    </xf>
    <xf numFmtId="170" fontId="32" fillId="24" borderId="107" xfId="1" applyNumberFormat="1" applyFont="1" applyFill="1" applyBorder="1"/>
    <xf numFmtId="168" fontId="32" fillId="28" borderId="107" xfId="0" applyNumberFormat="1" applyFont="1" applyFill="1" applyBorder="1" applyAlignment="1">
      <alignment horizontal="center"/>
    </xf>
    <xf numFmtId="169" fontId="44" fillId="0" borderId="107" xfId="1" applyFont="1" applyFill="1" applyBorder="1"/>
    <xf numFmtId="169" fontId="36" fillId="0" borderId="107" xfId="1" applyFont="1" applyFill="1" applyBorder="1"/>
    <xf numFmtId="174" fontId="6" fillId="7" borderId="106" xfId="2" applyFont="1" applyFill="1" applyBorder="1"/>
    <xf numFmtId="170" fontId="6" fillId="28" borderId="106" xfId="1" applyNumberFormat="1" applyFont="1" applyFill="1" applyBorder="1"/>
    <xf numFmtId="0" fontId="6" fillId="28" borderId="107" xfId="0" applyFont="1" applyFill="1" applyBorder="1" applyAlignment="1">
      <alignment horizontal="center"/>
    </xf>
    <xf numFmtId="169" fontId="49" fillId="14" borderId="132" xfId="1" applyFont="1" applyFill="1" applyBorder="1"/>
    <xf numFmtId="169" fontId="49" fillId="14" borderId="133" xfId="1" applyFont="1" applyFill="1" applyBorder="1"/>
    <xf numFmtId="169" fontId="49" fillId="14" borderId="134" xfId="1" applyFont="1" applyFill="1" applyBorder="1"/>
    <xf numFmtId="0" fontId="50" fillId="22" borderId="119" xfId="0" applyFont="1" applyFill="1" applyBorder="1"/>
    <xf numFmtId="0" fontId="50" fillId="22" borderId="99" xfId="0" applyFont="1" applyFill="1" applyBorder="1"/>
    <xf numFmtId="0" fontId="50" fillId="22" borderId="99" xfId="0" applyFont="1" applyFill="1" applyBorder="1" applyAlignment="1">
      <alignment horizontal="center"/>
    </xf>
    <xf numFmtId="14" fontId="50" fillId="22" borderId="99" xfId="0" applyNumberFormat="1" applyFont="1" applyFill="1" applyBorder="1"/>
    <xf numFmtId="169" fontId="50" fillId="22" borderId="99" xfId="1" applyFont="1" applyFill="1" applyBorder="1"/>
    <xf numFmtId="174" fontId="50" fillId="22" borderId="99" xfId="2" applyFont="1" applyFill="1" applyBorder="1"/>
    <xf numFmtId="170" fontId="50" fillId="22" borderId="99" xfId="1" applyNumberFormat="1" applyFont="1" applyFill="1" applyBorder="1"/>
    <xf numFmtId="170" fontId="51" fillId="31" borderId="99" xfId="1" applyNumberFormat="1" applyFont="1" applyFill="1" applyBorder="1"/>
    <xf numFmtId="170" fontId="50" fillId="21" borderId="99" xfId="1" applyNumberFormat="1" applyFont="1" applyFill="1" applyBorder="1"/>
    <xf numFmtId="170" fontId="52" fillId="32" borderId="99" xfId="1" applyNumberFormat="1" applyFont="1" applyFill="1" applyBorder="1"/>
    <xf numFmtId="0" fontId="50" fillId="22" borderId="120" xfId="0" applyFont="1" applyFill="1" applyBorder="1" applyAlignment="1">
      <alignment horizontal="center"/>
    </xf>
    <xf numFmtId="0" fontId="0" fillId="33" borderId="104" xfId="0" applyFill="1" applyBorder="1"/>
    <xf numFmtId="0" fontId="0" fillId="33" borderId="104" xfId="0" applyFill="1" applyBorder="1" applyAlignment="1">
      <alignment horizontal="center"/>
    </xf>
    <xf numFmtId="14" fontId="0" fillId="33" borderId="104" xfId="0" applyNumberFormat="1" applyFill="1" applyBorder="1"/>
    <xf numFmtId="169" fontId="2" fillId="33" borderId="104" xfId="1" applyFont="1" applyFill="1" applyBorder="1"/>
    <xf numFmtId="174" fontId="1" fillId="33" borderId="104" xfId="2" applyFont="1" applyFill="1" applyBorder="1"/>
    <xf numFmtId="170" fontId="1" fillId="33" borderId="104" xfId="1" applyNumberFormat="1" applyFont="1" applyFill="1" applyBorder="1"/>
    <xf numFmtId="173" fontId="1" fillId="33" borderId="104" xfId="1" applyNumberFormat="1" applyFont="1" applyFill="1" applyBorder="1"/>
    <xf numFmtId="169" fontId="1" fillId="33" borderId="104" xfId="1" applyFont="1" applyFill="1" applyBorder="1"/>
    <xf numFmtId="170" fontId="2" fillId="33" borderId="104" xfId="1" applyNumberFormat="1" applyFont="1" applyFill="1" applyBorder="1"/>
    <xf numFmtId="169" fontId="33" fillId="0" borderId="104" xfId="1" applyFont="1" applyFill="1" applyBorder="1" applyAlignment="1">
      <alignment horizontal="center"/>
    </xf>
    <xf numFmtId="169" fontId="38" fillId="0" borderId="104" xfId="1" applyFont="1" applyFill="1" applyBorder="1" applyAlignment="1">
      <alignment horizontal="center"/>
    </xf>
    <xf numFmtId="0" fontId="3" fillId="0" borderId="104" xfId="0" applyFont="1" applyBorder="1" applyAlignment="1">
      <alignment horizontal="center"/>
    </xf>
    <xf numFmtId="0" fontId="41" fillId="4" borderId="119" xfId="0" applyFont="1" applyFill="1" applyBorder="1"/>
    <xf numFmtId="0" fontId="41" fillId="4" borderId="99" xfId="0" applyFont="1" applyFill="1" applyBorder="1"/>
    <xf numFmtId="0" fontId="3" fillId="10" borderId="132" xfId="0" applyFont="1" applyFill="1" applyBorder="1" applyAlignment="1">
      <alignment horizontal="center" vertical="center"/>
    </xf>
    <xf numFmtId="0" fontId="3" fillId="10" borderId="133" xfId="0" applyFont="1" applyFill="1" applyBorder="1" applyAlignment="1">
      <alignment horizontal="center" vertical="center"/>
    </xf>
    <xf numFmtId="0" fontId="43" fillId="29" borderId="127" xfId="0" applyFont="1" applyFill="1" applyBorder="1" applyAlignment="1">
      <alignment horizontal="center"/>
    </xf>
    <xf numFmtId="14" fontId="43" fillId="29" borderId="130" xfId="0" applyNumberFormat="1" applyFont="1" applyFill="1" applyBorder="1"/>
    <xf numFmtId="169" fontId="43" fillId="29" borderId="108" xfId="1" applyFont="1" applyFill="1" applyBorder="1"/>
    <xf numFmtId="170" fontId="43" fillId="29" borderId="116" xfId="1" applyNumberFormat="1" applyFont="1" applyFill="1" applyBorder="1"/>
    <xf numFmtId="173" fontId="43" fillId="29" borderId="108" xfId="1" applyNumberFormat="1" applyFont="1" applyFill="1" applyBorder="1"/>
    <xf numFmtId="170" fontId="43" fillId="29" borderId="108" xfId="1" applyNumberFormat="1" applyFont="1" applyFill="1" applyBorder="1"/>
    <xf numFmtId="0" fontId="6" fillId="34" borderId="106" xfId="0" applyFont="1" applyFill="1" applyBorder="1"/>
    <xf numFmtId="0" fontId="6" fillId="34" borderId="105" xfId="0" applyFont="1" applyFill="1" applyBorder="1" applyAlignment="1">
      <alignment horizontal="center"/>
    </xf>
    <xf numFmtId="174" fontId="6" fillId="13" borderId="106" xfId="2" applyFont="1" applyFill="1" applyBorder="1"/>
    <xf numFmtId="174" fontId="6" fillId="34" borderId="106" xfId="2" applyFont="1" applyFill="1" applyBorder="1"/>
    <xf numFmtId="0" fontId="55" fillId="0" borderId="106" xfId="0" applyFont="1" applyBorder="1"/>
    <xf numFmtId="0" fontId="55" fillId="0" borderId="105" xfId="0" applyFont="1" applyBorder="1" applyAlignment="1">
      <alignment horizontal="center"/>
    </xf>
    <xf numFmtId="0" fontId="55" fillId="0" borderId="107" xfId="0" applyFont="1" applyBorder="1" applyAlignment="1">
      <alignment horizontal="center"/>
    </xf>
    <xf numFmtId="174" fontId="55" fillId="13" borderId="106" xfId="2" applyFont="1" applyFill="1" applyBorder="1"/>
    <xf numFmtId="170" fontId="55" fillId="13" borderId="107" xfId="1" applyNumberFormat="1" applyFont="1" applyFill="1" applyBorder="1"/>
    <xf numFmtId="174" fontId="55" fillId="18" borderId="106" xfId="2" applyFont="1" applyFill="1" applyBorder="1"/>
    <xf numFmtId="170" fontId="55" fillId="18" borderId="107" xfId="1" applyNumberFormat="1" applyFont="1" applyFill="1" applyBorder="1"/>
    <xf numFmtId="174" fontId="55" fillId="7" borderId="106" xfId="2" applyFont="1" applyFill="1" applyBorder="1"/>
    <xf numFmtId="170" fontId="55" fillId="7" borderId="107" xfId="1" applyNumberFormat="1" applyFont="1" applyFill="1" applyBorder="1"/>
    <xf numFmtId="170" fontId="55" fillId="24" borderId="107" xfId="1" applyNumberFormat="1" applyFont="1" applyFill="1" applyBorder="1"/>
    <xf numFmtId="170" fontId="55" fillId="28" borderId="106" xfId="1" applyNumberFormat="1" applyFont="1" applyFill="1" applyBorder="1"/>
    <xf numFmtId="0" fontId="55" fillId="28" borderId="107" xfId="0" applyFont="1" applyFill="1" applyBorder="1" applyAlignment="1">
      <alignment horizontal="center"/>
    </xf>
    <xf numFmtId="0" fontId="56" fillId="29" borderId="106" xfId="0" applyFont="1" applyFill="1" applyBorder="1"/>
    <xf numFmtId="0" fontId="56" fillId="29" borderId="105" xfId="0" applyFont="1" applyFill="1" applyBorder="1" applyAlignment="1">
      <alignment horizontal="center"/>
    </xf>
    <xf numFmtId="0" fontId="56" fillId="29" borderId="107" xfId="0" applyFont="1" applyFill="1" applyBorder="1" applyAlignment="1">
      <alignment horizontal="center"/>
    </xf>
    <xf numFmtId="174" fontId="56" fillId="29" borderId="106" xfId="2" applyFont="1" applyFill="1" applyBorder="1"/>
    <xf numFmtId="170" fontId="56" fillId="29" borderId="107" xfId="1" applyNumberFormat="1" applyFont="1" applyFill="1" applyBorder="1"/>
    <xf numFmtId="170" fontId="56" fillId="29" borderId="106" xfId="1" applyNumberFormat="1" applyFont="1" applyFill="1" applyBorder="1"/>
    <xf numFmtId="0" fontId="29" fillId="14" borderId="119" xfId="0" applyFont="1" applyFill="1" applyBorder="1"/>
    <xf numFmtId="0" fontId="29" fillId="14" borderId="99" xfId="0" applyFont="1" applyFill="1" applyBorder="1"/>
    <xf numFmtId="0" fontId="29" fillId="14" borderId="99" xfId="0" applyFont="1" applyFill="1" applyBorder="1" applyAlignment="1">
      <alignment horizontal="center"/>
    </xf>
    <xf numFmtId="14" fontId="29" fillId="14" borderId="99" xfId="0" applyNumberFormat="1" applyFont="1" applyFill="1" applyBorder="1"/>
    <xf numFmtId="169" fontId="29" fillId="14" borderId="132" xfId="1" applyFont="1" applyFill="1" applyBorder="1"/>
    <xf numFmtId="174" fontId="29" fillId="14" borderId="133" xfId="2" applyFont="1" applyFill="1" applyBorder="1"/>
    <xf numFmtId="170" fontId="29" fillId="14" borderId="134" xfId="1" applyNumberFormat="1" applyFont="1" applyFill="1" applyBorder="1"/>
    <xf numFmtId="169" fontId="29" fillId="18" borderId="132" xfId="1" applyFont="1" applyFill="1" applyBorder="1"/>
    <xf numFmtId="174" fontId="29" fillId="18" borderId="133" xfId="2" applyFont="1" applyFill="1" applyBorder="1"/>
    <xf numFmtId="170" fontId="29" fillId="18" borderId="134" xfId="1" applyNumberFormat="1" applyFont="1" applyFill="1" applyBorder="1"/>
    <xf numFmtId="169" fontId="29" fillId="7" borderId="132" xfId="1" applyFont="1" applyFill="1" applyBorder="1"/>
    <xf numFmtId="174" fontId="29" fillId="7" borderId="133" xfId="2" applyFont="1" applyFill="1" applyBorder="1"/>
    <xf numFmtId="170" fontId="29" fillId="7" borderId="134" xfId="1" applyNumberFormat="1" applyFont="1" applyFill="1" applyBorder="1"/>
    <xf numFmtId="169" fontId="29" fillId="24" borderId="132" xfId="1" applyFont="1" applyFill="1" applyBorder="1"/>
    <xf numFmtId="170" fontId="57" fillId="8" borderId="134" xfId="1" applyNumberFormat="1" applyFont="1" applyFill="1" applyBorder="1"/>
    <xf numFmtId="170" fontId="29" fillId="28" borderId="132" xfId="1" applyNumberFormat="1" applyFont="1" applyFill="1" applyBorder="1"/>
    <xf numFmtId="170" fontId="29" fillId="28" borderId="133" xfId="1" applyNumberFormat="1" applyFont="1" applyFill="1" applyBorder="1"/>
    <xf numFmtId="0" fontId="29" fillId="28" borderId="134" xfId="0" applyFont="1" applyFill="1" applyBorder="1" applyAlignment="1">
      <alignment horizontal="center"/>
    </xf>
    <xf numFmtId="0" fontId="45" fillId="22" borderId="119" xfId="0" applyFont="1" applyFill="1" applyBorder="1"/>
    <xf numFmtId="0" fontId="45" fillId="22" borderId="99" xfId="0" applyFont="1" applyFill="1" applyBorder="1"/>
    <xf numFmtId="0" fontId="45" fillId="22" borderId="99" xfId="0" applyFont="1" applyFill="1" applyBorder="1" applyAlignment="1">
      <alignment horizontal="center"/>
    </xf>
    <xf numFmtId="14" fontId="45" fillId="22" borderId="99" xfId="0" applyNumberFormat="1" applyFont="1" applyFill="1" applyBorder="1"/>
    <xf numFmtId="169" fontId="45" fillId="22" borderId="99" xfId="1" applyFont="1" applyFill="1" applyBorder="1"/>
    <xf numFmtId="174" fontId="45" fillId="22" borderId="99" xfId="2" applyFont="1" applyFill="1" applyBorder="1"/>
    <xf numFmtId="170" fontId="45" fillId="22" borderId="99" xfId="1" applyNumberFormat="1" applyFont="1" applyFill="1" applyBorder="1"/>
    <xf numFmtId="170" fontId="58" fillId="31" borderId="99" xfId="1" applyNumberFormat="1" applyFont="1" applyFill="1" applyBorder="1"/>
    <xf numFmtId="170" fontId="59" fillId="32" borderId="99" xfId="1" applyNumberFormat="1" applyFont="1" applyFill="1" applyBorder="1"/>
    <xf numFmtId="0" fontId="45" fillId="22" borderId="120" xfId="0" applyFont="1" applyFill="1" applyBorder="1" applyAlignment="1">
      <alignment horizontal="center"/>
    </xf>
    <xf numFmtId="0" fontId="40" fillId="4" borderId="108" xfId="0" applyFont="1" applyFill="1" applyBorder="1"/>
    <xf numFmtId="0" fontId="41" fillId="4" borderId="115" xfId="0" applyFont="1" applyFill="1" applyBorder="1"/>
    <xf numFmtId="0" fontId="0" fillId="19" borderId="106" xfId="0" applyFill="1" applyBorder="1"/>
    <xf numFmtId="0" fontId="0" fillId="19" borderId="105" xfId="0" applyFill="1" applyBorder="1" applyAlignment="1">
      <alignment horizontal="center"/>
    </xf>
    <xf numFmtId="17" fontId="0" fillId="19" borderId="107" xfId="0" applyNumberFormat="1" applyFill="1" applyBorder="1" applyAlignment="1">
      <alignment horizontal="center"/>
    </xf>
    <xf numFmtId="174" fontId="1" fillId="35" borderId="106" xfId="2" applyFont="1" applyFill="1" applyBorder="1"/>
    <xf numFmtId="170" fontId="1" fillId="35" borderId="107" xfId="1" applyNumberFormat="1" applyFont="1" applyFill="1" applyBorder="1"/>
    <xf numFmtId="174" fontId="1" fillId="19" borderId="106" xfId="2" applyFont="1" applyFill="1" applyBorder="1"/>
    <xf numFmtId="170" fontId="1" fillId="19" borderId="107" xfId="1" applyNumberFormat="1" applyFont="1" applyFill="1" applyBorder="1"/>
    <xf numFmtId="0" fontId="0" fillId="19" borderId="107" xfId="0" applyFill="1" applyBorder="1" applyAlignment="1">
      <alignment horizontal="center"/>
    </xf>
    <xf numFmtId="17" fontId="0" fillId="0" borderId="107" xfId="0" applyNumberFormat="1" applyBorder="1" applyAlignment="1">
      <alignment horizontal="center"/>
    </xf>
    <xf numFmtId="17" fontId="23" fillId="0" borderId="106" xfId="0" applyNumberFormat="1" applyFont="1" applyBorder="1"/>
    <xf numFmtId="0" fontId="23" fillId="0" borderId="105" xfId="0" applyFont="1" applyBorder="1" applyAlignment="1">
      <alignment horizontal="center"/>
    </xf>
    <xf numFmtId="0" fontId="23" fillId="0" borderId="107" xfId="0" applyFont="1" applyBorder="1" applyAlignment="1">
      <alignment horizontal="center"/>
    </xf>
    <xf numFmtId="174" fontId="54" fillId="13" borderId="106" xfId="2" applyFont="1" applyFill="1" applyBorder="1"/>
    <xf numFmtId="170" fontId="54" fillId="13" borderId="107" xfId="1" applyNumberFormat="1" applyFont="1" applyFill="1" applyBorder="1"/>
    <xf numFmtId="170" fontId="23" fillId="18" borderId="107" xfId="1" applyNumberFormat="1" applyFont="1" applyFill="1" applyBorder="1"/>
    <xf numFmtId="174" fontId="23" fillId="13" borderId="106" xfId="2" applyFont="1" applyFill="1" applyBorder="1"/>
    <xf numFmtId="170" fontId="23" fillId="13" borderId="107" xfId="1" applyNumberFormat="1" applyFont="1" applyFill="1" applyBorder="1"/>
    <xf numFmtId="174" fontId="23" fillId="8" borderId="106" xfId="2" applyFont="1" applyFill="1" applyBorder="1"/>
    <xf numFmtId="170" fontId="62" fillId="24" borderId="134" xfId="1" applyNumberFormat="1" applyFont="1" applyFill="1" applyBorder="1"/>
    <xf numFmtId="174" fontId="1" fillId="4" borderId="106" xfId="2" applyFont="1" applyFill="1" applyBorder="1"/>
    <xf numFmtId="170" fontId="1" fillId="19" borderId="106" xfId="1" applyNumberFormat="1" applyFont="1" applyFill="1" applyBorder="1"/>
    <xf numFmtId="17" fontId="0" fillId="0" borderId="105" xfId="0" applyNumberFormat="1" applyBorder="1" applyAlignment="1">
      <alignment horizontal="center"/>
    </xf>
    <xf numFmtId="14" fontId="29" fillId="14" borderId="101" xfId="0" applyNumberFormat="1" applyFont="1" applyFill="1" applyBorder="1"/>
    <xf numFmtId="170" fontId="1" fillId="28" borderId="111" xfId="1" applyNumberFormat="1" applyFont="1" applyFill="1" applyBorder="1"/>
    <xf numFmtId="170" fontId="1" fillId="28" borderId="109" xfId="1" applyNumberFormat="1" applyFont="1" applyFill="1" applyBorder="1"/>
    <xf numFmtId="0" fontId="0" fillId="28" borderId="110" xfId="0" applyFill="1" applyBorder="1" applyAlignment="1">
      <alignment horizontal="center"/>
    </xf>
    <xf numFmtId="0" fontId="3" fillId="10" borderId="108" xfId="0" applyFont="1" applyFill="1" applyBorder="1" applyAlignment="1">
      <alignment horizontal="center" vertical="center"/>
    </xf>
    <xf numFmtId="0" fontId="3" fillId="10" borderId="115" xfId="0" applyFont="1" applyFill="1" applyBorder="1" applyAlignment="1">
      <alignment horizontal="center" vertical="center"/>
    </xf>
    <xf numFmtId="174" fontId="66" fillId="13" borderId="106" xfId="2" applyFont="1" applyFill="1" applyBorder="1"/>
    <xf numFmtId="170" fontId="66" fillId="13" borderId="105" xfId="1" applyNumberFormat="1" applyFont="1" applyFill="1" applyBorder="1"/>
    <xf numFmtId="173" fontId="66" fillId="38" borderId="105" xfId="1" applyNumberFormat="1" applyFont="1" applyFill="1" applyBorder="1"/>
    <xf numFmtId="174" fontId="66" fillId="38" borderId="106" xfId="2" applyFont="1" applyFill="1" applyBorder="1"/>
    <xf numFmtId="170" fontId="66" fillId="18" borderId="107" xfId="1" applyNumberFormat="1" applyFont="1" applyFill="1" applyBorder="1"/>
    <xf numFmtId="174" fontId="1" fillId="39" borderId="106" xfId="2" applyFont="1" applyFill="1" applyBorder="1"/>
    <xf numFmtId="170" fontId="66" fillId="7" borderId="105" xfId="1" applyNumberFormat="1" applyFont="1" applyFill="1" applyBorder="1"/>
    <xf numFmtId="170" fontId="66" fillId="37" borderId="106" xfId="1" applyNumberFormat="1" applyFont="1" applyFill="1" applyBorder="1"/>
    <xf numFmtId="0" fontId="66" fillId="37" borderId="107" xfId="0" applyFont="1" applyFill="1" applyBorder="1" applyAlignment="1">
      <alignment horizontal="center"/>
    </xf>
    <xf numFmtId="174" fontId="1" fillId="38" borderId="106" xfId="2" applyFont="1" applyFill="1" applyBorder="1"/>
    <xf numFmtId="174" fontId="1" fillId="41" borderId="106" xfId="2" applyFont="1" applyFill="1" applyBorder="1"/>
    <xf numFmtId="174" fontId="66" fillId="7" borderId="106" xfId="2" applyFont="1" applyFill="1" applyBorder="1"/>
    <xf numFmtId="173" fontId="1" fillId="18" borderId="105" xfId="1" applyNumberFormat="1" applyFont="1" applyFill="1" applyBorder="1"/>
    <xf numFmtId="170" fontId="1" fillId="37" borderId="106" xfId="1" applyNumberFormat="1" applyFont="1" applyFill="1" applyBorder="1"/>
    <xf numFmtId="0" fontId="0" fillId="37" borderId="107" xfId="0" applyFill="1" applyBorder="1" applyAlignment="1">
      <alignment horizontal="center"/>
    </xf>
    <xf numFmtId="0" fontId="67" fillId="14" borderId="119" xfId="0" applyFont="1" applyFill="1" applyBorder="1"/>
    <xf numFmtId="0" fontId="67" fillId="14" borderId="99" xfId="0" applyFont="1" applyFill="1" applyBorder="1"/>
    <xf numFmtId="0" fontId="67" fillId="14" borderId="99" xfId="0" applyFont="1" applyFill="1" applyBorder="1" applyAlignment="1">
      <alignment horizontal="center"/>
    </xf>
    <xf numFmtId="14" fontId="67" fillId="14" borderId="99" xfId="0" applyNumberFormat="1" applyFont="1" applyFill="1" applyBorder="1"/>
    <xf numFmtId="169" fontId="67" fillId="14" borderId="99" xfId="1" applyFont="1" applyFill="1" applyBorder="1"/>
    <xf numFmtId="174" fontId="67" fillId="14" borderId="99" xfId="2" applyFont="1" applyFill="1" applyBorder="1"/>
    <xf numFmtId="170" fontId="67" fillId="14" borderId="99" xfId="1" applyNumberFormat="1" applyFont="1" applyFill="1" applyBorder="1"/>
    <xf numFmtId="169" fontId="67" fillId="18" borderId="99" xfId="1" applyFont="1" applyFill="1" applyBorder="1"/>
    <xf numFmtId="174" fontId="67" fillId="18" borderId="99" xfId="2" applyFont="1" applyFill="1" applyBorder="1"/>
    <xf numFmtId="170" fontId="67" fillId="18" borderId="99" xfId="1" applyNumberFormat="1" applyFont="1" applyFill="1" applyBorder="1"/>
    <xf numFmtId="169" fontId="67" fillId="7" borderId="99" xfId="1" applyFont="1" applyFill="1" applyBorder="1"/>
    <xf numFmtId="174" fontId="67" fillId="7" borderId="99" xfId="2" applyFont="1" applyFill="1" applyBorder="1"/>
    <xf numFmtId="170" fontId="67" fillId="7" borderId="99" xfId="1" applyNumberFormat="1" applyFont="1" applyFill="1" applyBorder="1"/>
    <xf numFmtId="169" fontId="67" fillId="24" borderId="99" xfId="1" applyFont="1" applyFill="1" applyBorder="1"/>
    <xf numFmtId="170" fontId="67" fillId="24" borderId="99" xfId="1" applyNumberFormat="1" applyFont="1" applyFill="1" applyBorder="1"/>
    <xf numFmtId="170" fontId="67" fillId="28" borderId="99" xfId="1" applyNumberFormat="1" applyFont="1" applyFill="1" applyBorder="1"/>
    <xf numFmtId="0" fontId="67" fillId="28" borderId="120" xfId="0" applyFont="1" applyFill="1" applyBorder="1" applyAlignment="1">
      <alignment horizontal="center"/>
    </xf>
    <xf numFmtId="0" fontId="25" fillId="0" borderId="106" xfId="0" applyFont="1" applyBorder="1"/>
    <xf numFmtId="0" fontId="25" fillId="0" borderId="106" xfId="0" applyFont="1" applyBorder="1" applyAlignment="1">
      <alignment horizontal="center"/>
    </xf>
    <xf numFmtId="174" fontId="25" fillId="13" borderId="106" xfId="2" applyFont="1" applyFill="1" applyBorder="1"/>
    <xf numFmtId="170" fontId="25" fillId="13" borderId="107" xfId="1" applyNumberFormat="1" applyFont="1" applyFill="1" applyBorder="1"/>
    <xf numFmtId="174" fontId="25" fillId="18" borderId="106" xfId="2" applyFont="1" applyFill="1" applyBorder="1"/>
    <xf numFmtId="174" fontId="25" fillId="7" borderId="106" xfId="2" applyFont="1" applyFill="1" applyBorder="1"/>
    <xf numFmtId="170" fontId="25" fillId="7" borderId="107" xfId="1" applyNumberFormat="1" applyFont="1" applyFill="1" applyBorder="1"/>
    <xf numFmtId="0" fontId="25" fillId="28" borderId="107" xfId="0" applyFont="1" applyFill="1" applyBorder="1" applyAlignment="1">
      <alignment horizontal="center"/>
    </xf>
    <xf numFmtId="170" fontId="25" fillId="18" borderId="107" xfId="1" applyNumberFormat="1" applyFont="1" applyFill="1" applyBorder="1"/>
    <xf numFmtId="174" fontId="66" fillId="45" borderId="106" xfId="2" applyFont="1" applyFill="1" applyBorder="1"/>
    <xf numFmtId="174" fontId="66" fillId="46" borderId="106" xfId="2" applyFont="1" applyFill="1" applyBorder="1"/>
    <xf numFmtId="0" fontId="41" fillId="14" borderId="119" xfId="0" applyFont="1" applyFill="1" applyBorder="1"/>
    <xf numFmtId="0" fontId="41" fillId="14" borderId="99" xfId="0" applyFont="1" applyFill="1" applyBorder="1"/>
    <xf numFmtId="0" fontId="41" fillId="14" borderId="99" xfId="0" applyFont="1" applyFill="1" applyBorder="1" applyAlignment="1">
      <alignment horizontal="center"/>
    </xf>
    <xf numFmtId="14" fontId="41" fillId="14" borderId="101" xfId="0" applyNumberFormat="1" applyFont="1" applyFill="1" applyBorder="1"/>
    <xf numFmtId="169" fontId="41" fillId="14" borderId="132" xfId="1" applyFont="1" applyFill="1" applyBorder="1"/>
    <xf numFmtId="174" fontId="41" fillId="14" borderId="133" xfId="2" applyFont="1" applyFill="1" applyBorder="1"/>
    <xf numFmtId="170" fontId="41" fillId="14" borderId="134" xfId="1" applyNumberFormat="1" applyFont="1" applyFill="1" applyBorder="1"/>
    <xf numFmtId="169" fontId="41" fillId="18" borderId="132" xfId="1" applyFont="1" applyFill="1" applyBorder="1"/>
    <xf numFmtId="174" fontId="41" fillId="18" borderId="133" xfId="2" applyFont="1" applyFill="1" applyBorder="1"/>
    <xf numFmtId="170" fontId="41" fillId="18" borderId="134" xfId="1" applyNumberFormat="1" applyFont="1" applyFill="1" applyBorder="1"/>
    <xf numFmtId="169" fontId="41" fillId="7" borderId="132" xfId="1" applyFont="1" applyFill="1" applyBorder="1"/>
    <xf numFmtId="174" fontId="41" fillId="7" borderId="133" xfId="2" applyFont="1" applyFill="1" applyBorder="1"/>
    <xf numFmtId="170" fontId="41" fillId="7" borderId="134" xfId="1" applyNumberFormat="1" applyFont="1" applyFill="1" applyBorder="1"/>
    <xf numFmtId="169" fontId="41" fillId="24" borderId="132" xfId="1" applyFont="1" applyFill="1" applyBorder="1"/>
    <xf numFmtId="170" fontId="45" fillId="24" borderId="134" xfId="1" applyNumberFormat="1" applyFont="1" applyFill="1" applyBorder="1"/>
    <xf numFmtId="170" fontId="41" fillId="28" borderId="132" xfId="1" applyNumberFormat="1" applyFont="1" applyFill="1" applyBorder="1"/>
    <xf numFmtId="170" fontId="41" fillId="28" borderId="133" xfId="1" applyNumberFormat="1" applyFont="1" applyFill="1" applyBorder="1"/>
    <xf numFmtId="0" fontId="41" fillId="28" borderId="134" xfId="0" applyFont="1" applyFill="1" applyBorder="1" applyAlignment="1">
      <alignment horizontal="center"/>
    </xf>
    <xf numFmtId="170" fontId="25" fillId="24" borderId="107" xfId="1" applyNumberFormat="1" applyFont="1" applyFill="1" applyBorder="1"/>
    <xf numFmtId="170" fontId="25" fillId="28" borderId="106" xfId="1" applyNumberFormat="1" applyFont="1" applyFill="1" applyBorder="1"/>
    <xf numFmtId="173" fontId="45" fillId="14" borderId="99" xfId="1" applyNumberFormat="1" applyFont="1" applyFill="1" applyBorder="1"/>
    <xf numFmtId="170" fontId="45" fillId="14" borderId="120" xfId="0" applyNumberFormat="1" applyFont="1" applyFill="1" applyBorder="1" applyAlignment="1">
      <alignment horizontal="center"/>
    </xf>
    <xf numFmtId="170" fontId="1" fillId="6" borderId="107" xfId="1" applyNumberFormat="1" applyFont="1" applyFill="1" applyBorder="1"/>
    <xf numFmtId="170" fontId="1" fillId="6" borderId="106" xfId="1" applyNumberFormat="1" applyFont="1" applyFill="1" applyBorder="1"/>
    <xf numFmtId="0" fontId="25" fillId="6" borderId="107" xfId="0" applyFont="1" applyFill="1" applyBorder="1" applyAlignment="1">
      <alignment horizontal="center"/>
    </xf>
    <xf numFmtId="14" fontId="43" fillId="29" borderId="122" xfId="0" applyNumberFormat="1" applyFont="1" applyFill="1" applyBorder="1"/>
    <xf numFmtId="169" fontId="43" fillId="29" borderId="135" xfId="1" applyFont="1" applyFill="1" applyBorder="1"/>
    <xf numFmtId="174" fontId="43" fillId="29" borderId="129" xfId="2" applyFont="1" applyFill="1" applyBorder="1"/>
    <xf numFmtId="170" fontId="43" fillId="29" borderId="121" xfId="1" applyNumberFormat="1" applyFont="1" applyFill="1" applyBorder="1"/>
    <xf numFmtId="173" fontId="43" fillId="29" borderId="135" xfId="1" applyNumberFormat="1" applyFont="1" applyFill="1" applyBorder="1"/>
    <xf numFmtId="174" fontId="66" fillId="13" borderId="106" xfId="16" applyFont="1" applyFill="1" applyBorder="1"/>
    <xf numFmtId="174" fontId="66" fillId="45" borderId="106" xfId="16" applyFont="1" applyFill="1" applyBorder="1"/>
    <xf numFmtId="174" fontId="66" fillId="46" borderId="106" xfId="16" applyFont="1" applyFill="1" applyBorder="1"/>
    <xf numFmtId="0" fontId="41" fillId="4" borderId="127" xfId="0" applyFont="1" applyFill="1" applyBorder="1" applyAlignment="1">
      <alignment horizontal="center"/>
    </xf>
    <xf numFmtId="0" fontId="64" fillId="0" borderId="17" xfId="0" applyFont="1" applyBorder="1"/>
    <xf numFmtId="0" fontId="64" fillId="0" borderId="19" xfId="0" applyFont="1" applyBorder="1"/>
    <xf numFmtId="169" fontId="64" fillId="1" borderId="17" xfId="1" applyFont="1" applyFill="1" applyBorder="1"/>
    <xf numFmtId="174" fontId="64" fillId="13" borderId="19" xfId="2" applyFont="1" applyFill="1" applyBorder="1"/>
    <xf numFmtId="170" fontId="64" fillId="13" borderId="20" xfId="1" applyNumberFormat="1" applyFont="1" applyFill="1" applyBorder="1"/>
    <xf numFmtId="173" fontId="64" fillId="18" borderId="17" xfId="1" applyNumberFormat="1" applyFont="1" applyFill="1" applyBorder="1"/>
    <xf numFmtId="174" fontId="64" fillId="18" borderId="19" xfId="2" applyFont="1" applyFill="1" applyBorder="1"/>
    <xf numFmtId="170" fontId="64" fillId="18" borderId="20" xfId="1" applyNumberFormat="1" applyFont="1" applyFill="1" applyBorder="1"/>
    <xf numFmtId="169" fontId="64" fillId="7" borderId="17" xfId="1" applyFont="1" applyFill="1" applyBorder="1"/>
    <xf numFmtId="174" fontId="64" fillId="7" borderId="19" xfId="2" applyFont="1" applyFill="1" applyBorder="1"/>
    <xf numFmtId="170" fontId="64" fillId="7" borderId="20" xfId="1" applyNumberFormat="1" applyFont="1" applyFill="1" applyBorder="1"/>
    <xf numFmtId="169" fontId="34" fillId="24" borderId="17" xfId="1" applyFont="1" applyFill="1" applyBorder="1"/>
    <xf numFmtId="170" fontId="34" fillId="24" borderId="20" xfId="1" applyNumberFormat="1" applyFont="1" applyFill="1" applyBorder="1"/>
    <xf numFmtId="0" fontId="64" fillId="28" borderId="20" xfId="0" applyFont="1" applyFill="1" applyBorder="1" applyAlignment="1">
      <alignment horizontal="center"/>
    </xf>
    <xf numFmtId="169" fontId="66" fillId="1" borderId="111" xfId="1" applyFont="1" applyFill="1" applyBorder="1"/>
    <xf numFmtId="174" fontId="66" fillId="13" borderId="109" xfId="2" applyFont="1" applyFill="1" applyBorder="1"/>
    <xf numFmtId="170" fontId="66" fillId="13" borderId="110" xfId="1" applyNumberFormat="1" applyFont="1" applyFill="1" applyBorder="1"/>
    <xf numFmtId="173" fontId="66" fillId="45" borderId="111" xfId="1" applyNumberFormat="1" applyFont="1" applyFill="1" applyBorder="1"/>
    <xf numFmtId="174" fontId="66" fillId="45" borderId="109" xfId="2" applyFont="1" applyFill="1" applyBorder="1"/>
    <xf numFmtId="170" fontId="66" fillId="45" borderId="110" xfId="1" applyNumberFormat="1" applyFont="1" applyFill="1" applyBorder="1"/>
    <xf numFmtId="169" fontId="66" fillId="46" borderId="111" xfId="1" applyFont="1" applyFill="1" applyBorder="1"/>
    <xf numFmtId="174" fontId="66" fillId="46" borderId="109" xfId="2" applyFont="1" applyFill="1" applyBorder="1"/>
    <xf numFmtId="170" fontId="66" fillId="46" borderId="110" xfId="1" applyNumberFormat="1" applyFont="1" applyFill="1" applyBorder="1"/>
    <xf numFmtId="169" fontId="66" fillId="47" borderId="111" xfId="1" applyFont="1" applyFill="1" applyBorder="1"/>
    <xf numFmtId="170" fontId="66" fillId="24" borderId="110" xfId="1" applyNumberFormat="1" applyFont="1" applyFill="1" applyBorder="1"/>
    <xf numFmtId="169" fontId="43" fillId="44" borderId="17" xfId="1" applyFont="1" applyFill="1" applyBorder="1"/>
    <xf numFmtId="170" fontId="43" fillId="44" borderId="20" xfId="1" applyNumberFormat="1" applyFont="1" applyFill="1" applyBorder="1"/>
    <xf numFmtId="0" fontId="43" fillId="29" borderId="17" xfId="0" applyFont="1" applyFill="1" applyBorder="1"/>
    <xf numFmtId="0" fontId="43" fillId="29" borderId="19" xfId="0" applyFont="1" applyFill="1" applyBorder="1"/>
    <xf numFmtId="0" fontId="43" fillId="29" borderId="19" xfId="0" applyFont="1" applyFill="1" applyBorder="1" applyAlignment="1">
      <alignment horizontal="center"/>
    </xf>
    <xf numFmtId="169" fontId="43" fillId="29" borderId="17" xfId="1" applyFont="1" applyFill="1" applyBorder="1"/>
    <xf numFmtId="170" fontId="43" fillId="29" borderId="20" xfId="1" applyNumberFormat="1" applyFont="1" applyFill="1" applyBorder="1"/>
    <xf numFmtId="170" fontId="43" fillId="29" borderId="19" xfId="1" applyNumberFormat="1" applyFont="1" applyFill="1" applyBorder="1"/>
    <xf numFmtId="0" fontId="43" fillId="29" borderId="20" xfId="0" applyFont="1" applyFill="1" applyBorder="1" applyAlignment="1">
      <alignment horizontal="center"/>
    </xf>
    <xf numFmtId="170" fontId="43" fillId="29" borderId="17" xfId="1" applyNumberFormat="1" applyFont="1" applyFill="1" applyBorder="1"/>
    <xf numFmtId="14" fontId="43" fillId="29" borderId="36" xfId="0" applyNumberFormat="1" applyFont="1" applyFill="1" applyBorder="1"/>
    <xf numFmtId="169" fontId="31" fillId="24" borderId="9" xfId="1" applyFont="1" applyFill="1" applyBorder="1"/>
    <xf numFmtId="170" fontId="31" fillId="24" borderId="107" xfId="1" applyNumberFormat="1" applyFont="1" applyFill="1" applyBorder="1"/>
    <xf numFmtId="170" fontId="31" fillId="28" borderId="9" xfId="1" applyNumberFormat="1" applyFont="1" applyFill="1" applyBorder="1"/>
    <xf numFmtId="170" fontId="31" fillId="28" borderId="106" xfId="1" applyNumberFormat="1" applyFont="1" applyFill="1" applyBorder="1"/>
    <xf numFmtId="169" fontId="25" fillId="0" borderId="0" xfId="1" applyFont="1" applyFill="1"/>
    <xf numFmtId="170" fontId="1" fillId="28" borderId="106" xfId="1" applyNumberFormat="1" applyFont="1" applyFill="1" applyBorder="1"/>
    <xf numFmtId="170" fontId="1" fillId="28" borderId="9" xfId="1" applyNumberFormat="1" applyFont="1" applyFill="1" applyBorder="1"/>
    <xf numFmtId="169" fontId="1" fillId="24" borderId="17" xfId="1" applyFont="1" applyFill="1" applyBorder="1"/>
    <xf numFmtId="170" fontId="1" fillId="24" borderId="20" xfId="1" applyNumberFormat="1" applyFont="1" applyFill="1" applyBorder="1"/>
    <xf numFmtId="0" fontId="66" fillId="0" borderId="9" xfId="0" applyFont="1" applyBorder="1"/>
    <xf numFmtId="0" fontId="66" fillId="0" borderId="106" xfId="0" applyFont="1" applyBorder="1"/>
    <xf numFmtId="0" fontId="66" fillId="0" borderId="106" xfId="0" applyFont="1" applyBorder="1" applyAlignment="1">
      <alignment horizontal="center"/>
    </xf>
    <xf numFmtId="169" fontId="66" fillId="1" borderId="9" xfId="1" applyFont="1" applyFill="1" applyBorder="1"/>
    <xf numFmtId="170" fontId="66" fillId="24" borderId="107" xfId="1" applyNumberFormat="1" applyFont="1" applyFill="1" applyBorder="1"/>
    <xf numFmtId="0" fontId="25" fillId="42" borderId="17" xfId="0" applyFont="1" applyFill="1" applyBorder="1"/>
    <xf numFmtId="0" fontId="25" fillId="42" borderId="19" xfId="0" applyFont="1" applyFill="1" applyBorder="1"/>
    <xf numFmtId="0" fontId="25" fillId="42" borderId="19" xfId="0" applyFont="1" applyFill="1" applyBorder="1" applyAlignment="1">
      <alignment horizontal="center"/>
    </xf>
    <xf numFmtId="14" fontId="25" fillId="42" borderId="36" xfId="0" applyNumberFormat="1" applyFont="1" applyFill="1" applyBorder="1"/>
    <xf numFmtId="169" fontId="25" fillId="43" borderId="17" xfId="1" applyFont="1" applyFill="1" applyBorder="1"/>
    <xf numFmtId="170" fontId="25" fillId="43" borderId="20" xfId="1" applyNumberFormat="1" applyFont="1" applyFill="1" applyBorder="1"/>
    <xf numFmtId="170" fontId="25" fillId="42" borderId="107" xfId="1" applyNumberFormat="1" applyFont="1" applyFill="1" applyBorder="1"/>
    <xf numFmtId="169" fontId="25" fillId="42" borderId="17" xfId="1" applyFont="1" applyFill="1" applyBorder="1"/>
    <xf numFmtId="169" fontId="70" fillId="42" borderId="9" xfId="1" applyFont="1" applyFill="1" applyBorder="1"/>
    <xf numFmtId="170" fontId="25" fillId="42" borderId="9" xfId="1" applyNumberFormat="1" applyFont="1" applyFill="1" applyBorder="1"/>
    <xf numFmtId="170" fontId="25" fillId="42" borderId="106" xfId="1" applyNumberFormat="1" applyFont="1" applyFill="1" applyBorder="1"/>
    <xf numFmtId="0" fontId="25" fillId="42" borderId="20" xfId="0" applyFont="1" applyFill="1" applyBorder="1" applyAlignment="1">
      <alignment horizontal="center"/>
    </xf>
    <xf numFmtId="170" fontId="25" fillId="18" borderId="20" xfId="1" applyNumberFormat="1" applyFont="1" applyFill="1" applyBorder="1"/>
    <xf numFmtId="0" fontId="71" fillId="29" borderId="17" xfId="0" applyFont="1" applyFill="1" applyBorder="1"/>
    <xf numFmtId="0" fontId="71" fillId="29" borderId="19" xfId="0" applyFont="1" applyFill="1" applyBorder="1"/>
    <xf numFmtId="0" fontId="71" fillId="29" borderId="19" xfId="0" applyFont="1" applyFill="1" applyBorder="1" applyAlignment="1">
      <alignment horizontal="center"/>
    </xf>
    <xf numFmtId="14" fontId="71" fillId="29" borderId="36" xfId="0" applyNumberFormat="1" applyFont="1" applyFill="1" applyBorder="1"/>
    <xf numFmtId="169" fontId="71" fillId="29" borderId="17" xfId="1" applyFont="1" applyFill="1" applyBorder="1"/>
    <xf numFmtId="170" fontId="71" fillId="29" borderId="20" xfId="1" applyNumberFormat="1" applyFont="1" applyFill="1" applyBorder="1"/>
    <xf numFmtId="173" fontId="71" fillId="29" borderId="17" xfId="1" applyNumberFormat="1" applyFont="1" applyFill="1" applyBorder="1"/>
    <xf numFmtId="14" fontId="66" fillId="1" borderId="25" xfId="0" applyNumberFormat="1" applyFont="1" applyFill="1" applyBorder="1"/>
    <xf numFmtId="170" fontId="66" fillId="13" borderId="107" xfId="1" applyNumberFormat="1" applyFont="1" applyFill="1" applyBorder="1"/>
    <xf numFmtId="173" fontId="66" fillId="45" borderId="9" xfId="1" applyNumberFormat="1" applyFont="1" applyFill="1" applyBorder="1"/>
    <xf numFmtId="170" fontId="66" fillId="45" borderId="107" xfId="1" applyNumberFormat="1" applyFont="1" applyFill="1" applyBorder="1"/>
    <xf numFmtId="169" fontId="66" fillId="46" borderId="9" xfId="1" applyFont="1" applyFill="1" applyBorder="1"/>
    <xf numFmtId="170" fontId="66" fillId="46" borderId="107" xfId="1" applyNumberFormat="1" applyFont="1" applyFill="1" applyBorder="1"/>
    <xf numFmtId="169" fontId="66" fillId="47" borderId="9" xfId="1" applyFont="1" applyFill="1" applyBorder="1"/>
    <xf numFmtId="0" fontId="25" fillId="0" borderId="17" xfId="0" applyFont="1" applyBorder="1"/>
    <xf numFmtId="0" fontId="25" fillId="0" borderId="19" xfId="0" applyFont="1" applyBorder="1"/>
    <xf numFmtId="0" fontId="25" fillId="0" borderId="19" xfId="0" applyFont="1" applyBorder="1" applyAlignment="1">
      <alignment horizontal="center"/>
    </xf>
    <xf numFmtId="14" fontId="25" fillId="0" borderId="36" xfId="0" applyNumberFormat="1" applyFont="1" applyBorder="1"/>
    <xf numFmtId="169" fontId="25" fillId="1" borderId="17" xfId="1" applyFont="1" applyFill="1" applyBorder="1"/>
    <xf numFmtId="170" fontId="25" fillId="13" borderId="20" xfId="1" applyNumberFormat="1" applyFont="1" applyFill="1" applyBorder="1"/>
    <xf numFmtId="169" fontId="25" fillId="7" borderId="17" xfId="1" applyFont="1" applyFill="1" applyBorder="1"/>
    <xf numFmtId="0" fontId="25" fillId="28" borderId="20" xfId="0" applyFont="1" applyFill="1" applyBorder="1" applyAlignment="1">
      <alignment horizontal="center"/>
    </xf>
    <xf numFmtId="0" fontId="25" fillId="6" borderId="17" xfId="0" applyFont="1" applyFill="1" applyBorder="1"/>
    <xf numFmtId="0" fontId="25" fillId="6" borderId="19" xfId="0" applyFont="1" applyFill="1" applyBorder="1"/>
    <xf numFmtId="0" fontId="25" fillId="6" borderId="19" xfId="0" applyFont="1" applyFill="1" applyBorder="1" applyAlignment="1">
      <alignment horizontal="center"/>
    </xf>
    <xf numFmtId="14" fontId="25" fillId="6" borderId="36" xfId="0" applyNumberFormat="1" applyFont="1" applyFill="1" applyBorder="1"/>
    <xf numFmtId="169" fontId="25" fillId="48" borderId="17" xfId="1" applyFont="1" applyFill="1" applyBorder="1"/>
    <xf numFmtId="170" fontId="25" fillId="48" borderId="20" xfId="1" applyNumberFormat="1" applyFont="1" applyFill="1" applyBorder="1"/>
    <xf numFmtId="170" fontId="25" fillId="6" borderId="107" xfId="1" applyNumberFormat="1" applyFont="1" applyFill="1" applyBorder="1"/>
    <xf numFmtId="169" fontId="25" fillId="6" borderId="17" xfId="1" applyFont="1" applyFill="1" applyBorder="1"/>
    <xf numFmtId="169" fontId="25" fillId="6" borderId="9" xfId="1" applyFont="1" applyFill="1" applyBorder="1"/>
    <xf numFmtId="170" fontId="25" fillId="6" borderId="9" xfId="1" applyNumberFormat="1" applyFont="1" applyFill="1" applyBorder="1"/>
    <xf numFmtId="170" fontId="25" fillId="6" borderId="106" xfId="1" applyNumberFormat="1" applyFont="1" applyFill="1" applyBorder="1"/>
    <xf numFmtId="0" fontId="25" fillId="6" borderId="20" xfId="0" applyFont="1" applyFill="1" applyBorder="1" applyAlignment="1">
      <alignment horizontal="center"/>
    </xf>
    <xf numFmtId="170" fontId="25" fillId="7" borderId="20" xfId="1" applyNumberFormat="1" applyFont="1" applyFill="1" applyBorder="1"/>
    <xf numFmtId="170" fontId="71" fillId="29" borderId="17" xfId="1" applyNumberFormat="1" applyFont="1" applyFill="1" applyBorder="1"/>
    <xf numFmtId="170" fontId="71" fillId="29" borderId="19" xfId="1" applyNumberFormat="1" applyFont="1" applyFill="1" applyBorder="1"/>
    <xf numFmtId="0" fontId="71" fillId="29" borderId="20" xfId="0" applyFont="1" applyFill="1" applyBorder="1" applyAlignment="1">
      <alignment horizontal="center"/>
    </xf>
    <xf numFmtId="170" fontId="66" fillId="7" borderId="107" xfId="1" applyNumberFormat="1" applyFont="1" applyFill="1" applyBorder="1"/>
    <xf numFmtId="169" fontId="25" fillId="18" borderId="17" xfId="1" applyFont="1" applyFill="1" applyBorder="1"/>
    <xf numFmtId="0" fontId="25" fillId="0" borderId="20" xfId="0" applyFont="1" applyBorder="1" applyAlignment="1">
      <alignment horizontal="center"/>
    </xf>
    <xf numFmtId="170" fontId="25" fillId="0" borderId="106" xfId="1" applyNumberFormat="1" applyFont="1" applyFill="1" applyBorder="1"/>
    <xf numFmtId="170" fontId="25" fillId="0" borderId="9" xfId="1" applyNumberFormat="1" applyFont="1" applyFill="1" applyBorder="1"/>
    <xf numFmtId="169" fontId="25" fillId="0" borderId="17" xfId="1" applyFont="1" applyFill="1" applyBorder="1"/>
    <xf numFmtId="170" fontId="25" fillId="0" borderId="20" xfId="1" applyNumberFormat="1" applyFont="1" applyFill="1" applyBorder="1"/>
    <xf numFmtId="169" fontId="1" fillId="18" borderId="123" xfId="1" applyFont="1" applyFill="1" applyBorder="1"/>
    <xf numFmtId="169" fontId="1" fillId="18" borderId="30" xfId="1" applyFont="1" applyFill="1" applyBorder="1"/>
    <xf numFmtId="174" fontId="44" fillId="1" borderId="19" xfId="2" applyFont="1" applyFill="1" applyBorder="1"/>
    <xf numFmtId="170" fontId="44" fillId="1" borderId="29" xfId="1" applyNumberFormat="1" applyFont="1" applyFill="1" applyBorder="1"/>
    <xf numFmtId="169" fontId="44" fillId="18" borderId="30" xfId="1" applyFont="1" applyFill="1" applyBorder="1"/>
    <xf numFmtId="170" fontId="44" fillId="18" borderId="24" xfId="1" applyNumberFormat="1" applyFont="1" applyFill="1" applyBorder="1"/>
    <xf numFmtId="169" fontId="44" fillId="7" borderId="18" xfId="1" applyFont="1" applyFill="1" applyBorder="1"/>
    <xf numFmtId="170" fontId="44" fillId="28" borderId="17" xfId="1" applyNumberFormat="1" applyFont="1" applyFill="1" applyBorder="1"/>
    <xf numFmtId="170" fontId="44" fillId="28" borderId="19" xfId="1" applyNumberFormat="1" applyFont="1" applyFill="1" applyBorder="1"/>
    <xf numFmtId="169" fontId="29" fillId="18" borderId="32" xfId="1" applyFont="1" applyFill="1" applyBorder="1"/>
    <xf numFmtId="174" fontId="0" fillId="7" borderId="106" xfId="2" applyFont="1" applyFill="1" applyBorder="1"/>
    <xf numFmtId="174" fontId="25" fillId="0" borderId="19" xfId="2" applyFont="1" applyFill="1" applyBorder="1"/>
    <xf numFmtId="170" fontId="2" fillId="0" borderId="0" xfId="1" applyNumberFormat="1" applyFont="1" applyFill="1" applyAlignment="1">
      <alignment horizontal="center"/>
    </xf>
    <xf numFmtId="169" fontId="24" fillId="0" borderId="0" xfId="1" applyFont="1" applyFill="1" applyAlignment="1">
      <alignment horizontal="center"/>
    </xf>
    <xf numFmtId="169" fontId="44" fillId="0" borderId="0" xfId="1" applyFont="1" applyFill="1" applyAlignment="1">
      <alignment horizontal="center"/>
    </xf>
    <xf numFmtId="169" fontId="26" fillId="0" borderId="0" xfId="1" applyFont="1" applyFill="1" applyAlignment="1">
      <alignment horizontal="center"/>
    </xf>
    <xf numFmtId="169" fontId="34" fillId="0" borderId="0" xfId="1" applyFont="1" applyFill="1" applyAlignment="1">
      <alignment horizontal="center"/>
    </xf>
    <xf numFmtId="169" fontId="188" fillId="0" borderId="0" xfId="1" applyFont="1" applyFill="1" applyAlignment="1">
      <alignment horizontal="center"/>
    </xf>
    <xf numFmtId="169" fontId="189" fillId="0" borderId="0" xfId="1" applyFont="1" applyFill="1" applyAlignment="1">
      <alignment horizontal="center"/>
    </xf>
    <xf numFmtId="169" fontId="2" fillId="19" borderId="0" xfId="1" applyFont="1" applyFill="1" applyAlignment="1">
      <alignment horizontal="center"/>
    </xf>
    <xf numFmtId="169" fontId="61" fillId="0" borderId="0" xfId="1" applyFont="1" applyFill="1" applyAlignment="1">
      <alignment horizontal="center"/>
    </xf>
    <xf numFmtId="169" fontId="23" fillId="0" borderId="0" xfId="1" applyFont="1" applyFill="1" applyAlignment="1">
      <alignment horizontal="center"/>
    </xf>
    <xf numFmtId="169" fontId="64" fillId="0" borderId="0" xfId="1" applyFont="1" applyFill="1" applyAlignment="1">
      <alignment horizontal="center"/>
    </xf>
    <xf numFmtId="169" fontId="66" fillId="0" borderId="0" xfId="1" applyFont="1" applyFill="1" applyAlignment="1">
      <alignment horizontal="center"/>
    </xf>
    <xf numFmtId="169" fontId="67" fillId="0" borderId="0" xfId="1" applyFont="1" applyFill="1" applyAlignment="1">
      <alignment horizontal="center"/>
    </xf>
    <xf numFmtId="170" fontId="26" fillId="0" borderId="0" xfId="1" applyNumberFormat="1" applyFont="1"/>
    <xf numFmtId="170" fontId="26" fillId="0" borderId="0" xfId="1" applyNumberFormat="1" applyFont="1" applyFill="1"/>
    <xf numFmtId="169" fontId="26" fillId="0" borderId="0" xfId="1" applyFont="1" applyFill="1"/>
    <xf numFmtId="169" fontId="2" fillId="0" borderId="37" xfId="1" applyFont="1" applyFill="1" applyBorder="1" applyAlignment="1">
      <alignment horizontal="center"/>
    </xf>
    <xf numFmtId="169" fontId="2" fillId="0" borderId="0" xfId="1" applyFont="1" applyFill="1" applyBorder="1" applyAlignment="1">
      <alignment horizontal="center"/>
    </xf>
    <xf numFmtId="169" fontId="69" fillId="0" borderId="0" xfId="1" applyFont="1" applyFill="1" applyBorder="1" applyAlignment="1">
      <alignment horizontal="center"/>
    </xf>
    <xf numFmtId="169" fontId="58" fillId="0" borderId="0" xfId="1" applyFont="1" applyFill="1" applyAlignment="1">
      <alignment horizontal="center"/>
    </xf>
    <xf numFmtId="170" fontId="58" fillId="0" borderId="0" xfId="1" applyNumberFormat="1" applyFont="1" applyFill="1" applyAlignment="1">
      <alignment horizontal="center"/>
    </xf>
    <xf numFmtId="169" fontId="75" fillId="0" borderId="0" xfId="1" applyFont="1" applyFill="1" applyAlignment="1">
      <alignment horizontal="center"/>
    </xf>
    <xf numFmtId="169" fontId="76" fillId="0" borderId="0" xfId="1" applyFont="1" applyFill="1" applyAlignment="1">
      <alignment horizontal="center"/>
    </xf>
    <xf numFmtId="169" fontId="25" fillId="0" borderId="0" xfId="1" applyFont="1" applyFill="1" applyAlignment="1">
      <alignment horizontal="center"/>
    </xf>
    <xf numFmtId="169" fontId="60" fillId="0" borderId="0" xfId="1" applyFont="1" applyFill="1" applyAlignment="1">
      <alignment horizontal="left"/>
    </xf>
    <xf numFmtId="0" fontId="190" fillId="0" borderId="17" xfId="0" applyFont="1" applyBorder="1"/>
    <xf numFmtId="0" fontId="190" fillId="0" borderId="19" xfId="0" applyFont="1" applyBorder="1"/>
    <xf numFmtId="169" fontId="190" fillId="1" borderId="17" xfId="1" applyFont="1" applyFill="1" applyBorder="1"/>
    <xf numFmtId="174" fontId="190" fillId="1" borderId="19" xfId="2" applyFont="1" applyFill="1" applyBorder="1"/>
    <xf numFmtId="170" fontId="190" fillId="1" borderId="29" xfId="1" applyNumberFormat="1" applyFont="1" applyFill="1" applyBorder="1"/>
    <xf numFmtId="174" fontId="190" fillId="18" borderId="19" xfId="2" applyFont="1" applyFill="1" applyBorder="1"/>
    <xf numFmtId="170" fontId="190" fillId="18" borderId="24" xfId="1" applyNumberFormat="1" applyFont="1" applyFill="1" applyBorder="1"/>
    <xf numFmtId="169" fontId="190" fillId="7" borderId="18" xfId="1" applyFont="1" applyFill="1" applyBorder="1"/>
    <xf numFmtId="174" fontId="190" fillId="7" borderId="19" xfId="2" applyFont="1" applyFill="1" applyBorder="1"/>
    <xf numFmtId="170" fontId="190" fillId="7" borderId="20" xfId="1" applyNumberFormat="1" applyFont="1" applyFill="1" applyBorder="1"/>
    <xf numFmtId="169" fontId="190" fillId="24" borderId="9" xfId="1" applyFont="1" applyFill="1" applyBorder="1"/>
    <xf numFmtId="170" fontId="190" fillId="24" borderId="107" xfId="1" applyNumberFormat="1" applyFont="1" applyFill="1" applyBorder="1"/>
    <xf numFmtId="170" fontId="190" fillId="28" borderId="17" xfId="1" applyNumberFormat="1" applyFont="1" applyFill="1" applyBorder="1"/>
    <xf numFmtId="170" fontId="190" fillId="28" borderId="19" xfId="1" applyNumberFormat="1" applyFont="1" applyFill="1" applyBorder="1"/>
    <xf numFmtId="0" fontId="190" fillId="28" borderId="20" xfId="0" applyFont="1" applyFill="1" applyBorder="1" applyAlignment="1">
      <alignment horizontal="center"/>
    </xf>
    <xf numFmtId="169" fontId="190" fillId="0" borderId="0" xfId="1" applyFont="1" applyFill="1" applyAlignment="1">
      <alignment horizontal="center"/>
    </xf>
    <xf numFmtId="0" fontId="190" fillId="27" borderId="103" xfId="0" applyFont="1" applyFill="1" applyBorder="1"/>
    <xf numFmtId="0" fontId="190" fillId="0" borderId="103" xfId="0" applyFont="1" applyBorder="1"/>
    <xf numFmtId="173" fontId="190" fillId="0" borderId="103" xfId="0" applyNumberFormat="1" applyFont="1" applyBorder="1"/>
    <xf numFmtId="0" fontId="190" fillId="0" borderId="0" xfId="0" applyFont="1"/>
    <xf numFmtId="169" fontId="190" fillId="0" borderId="103" xfId="0" applyNumberFormat="1" applyFont="1" applyBorder="1"/>
    <xf numFmtId="169" fontId="34" fillId="0" borderId="103" xfId="0" applyNumberFormat="1" applyFont="1" applyBorder="1"/>
    <xf numFmtId="170" fontId="54" fillId="28" borderId="9" xfId="1" applyNumberFormat="1" applyFont="1" applyFill="1" applyBorder="1"/>
    <xf numFmtId="170" fontId="54" fillId="28" borderId="106" xfId="1" applyNumberFormat="1" applyFont="1" applyFill="1" applyBorder="1"/>
    <xf numFmtId="170" fontId="54" fillId="0" borderId="0" xfId="1" applyNumberFormat="1" applyFont="1" applyFill="1"/>
    <xf numFmtId="169" fontId="190" fillId="18" borderId="30" xfId="1" applyFont="1" applyFill="1" applyBorder="1"/>
    <xf numFmtId="169" fontId="45" fillId="5" borderId="132" xfId="1" applyFont="1" applyFill="1" applyBorder="1"/>
    <xf numFmtId="169" fontId="190" fillId="27" borderId="103" xfId="0" applyNumberFormat="1" applyFont="1" applyFill="1" applyBorder="1"/>
    <xf numFmtId="169" fontId="190" fillId="27" borderId="9" xfId="0" applyNumberFormat="1" applyFont="1" applyFill="1" applyBorder="1"/>
    <xf numFmtId="4" fontId="2" fillId="0" borderId="0" xfId="0" applyNumberFormat="1" applyFont="1"/>
    <xf numFmtId="174" fontId="32" fillId="13" borderId="106" xfId="2" applyFont="1" applyFill="1" applyBorder="1"/>
    <xf numFmtId="174" fontId="32" fillId="38" borderId="106" xfId="2" applyFont="1" applyFill="1" applyBorder="1"/>
    <xf numFmtId="170" fontId="32" fillId="18" borderId="107" xfId="1" applyNumberFormat="1" applyFont="1" applyFill="1" applyBorder="1"/>
    <xf numFmtId="169" fontId="32" fillId="39" borderId="9" xfId="1" applyFont="1" applyFill="1" applyBorder="1"/>
    <xf numFmtId="174" fontId="32" fillId="39" borderId="106" xfId="2" applyFont="1" applyFill="1" applyBorder="1"/>
    <xf numFmtId="170" fontId="32" fillId="7" borderId="105" xfId="1" applyNumberFormat="1" applyFont="1" applyFill="1" applyBorder="1"/>
    <xf numFmtId="169" fontId="32" fillId="40" borderId="9" xfId="1" applyFont="1" applyFill="1" applyBorder="1"/>
    <xf numFmtId="170" fontId="32" fillId="37" borderId="9" xfId="1" applyNumberFormat="1" applyFont="1" applyFill="1" applyBorder="1"/>
    <xf numFmtId="170" fontId="32" fillId="37" borderId="106" xfId="1" applyNumberFormat="1" applyFont="1" applyFill="1" applyBorder="1"/>
    <xf numFmtId="0" fontId="32" fillId="37" borderId="107" xfId="0" applyFont="1" applyFill="1" applyBorder="1" applyAlignment="1">
      <alignment horizontal="center"/>
    </xf>
    <xf numFmtId="170" fontId="54" fillId="0" borderId="0" xfId="1" applyNumberFormat="1" applyFont="1"/>
    <xf numFmtId="0" fontId="41" fillId="4" borderId="100" xfId="0" applyFont="1" applyFill="1" applyBorder="1" applyAlignment="1">
      <alignment horizontal="center"/>
    </xf>
    <xf numFmtId="169" fontId="32" fillId="24" borderId="25" xfId="1" applyFont="1" applyFill="1" applyBorder="1"/>
    <xf numFmtId="173" fontId="32" fillId="38" borderId="104" xfId="1" applyNumberFormat="1" applyFont="1" applyFill="1" applyBorder="1"/>
    <xf numFmtId="170" fontId="191" fillId="0" borderId="0" xfId="1" applyNumberFormat="1" applyFont="1"/>
    <xf numFmtId="170" fontId="60" fillId="22" borderId="99" xfId="1" applyNumberFormat="1" applyFont="1" applyFill="1" applyBorder="1"/>
    <xf numFmtId="169" fontId="54" fillId="0" borderId="0" xfId="1" applyFont="1"/>
    <xf numFmtId="170" fontId="57" fillId="22" borderId="99" xfId="1" applyNumberFormat="1" applyFont="1" applyFill="1" applyBorder="1"/>
    <xf numFmtId="170" fontId="1" fillId="24" borderId="137" xfId="1" applyNumberFormat="1" applyFont="1" applyFill="1" applyBorder="1"/>
    <xf numFmtId="0" fontId="0" fillId="28" borderId="137" xfId="0" applyFill="1" applyBorder="1" applyAlignment="1">
      <alignment horizontal="center"/>
    </xf>
    <xf numFmtId="170" fontId="11" fillId="10" borderId="2" xfId="7" applyNumberFormat="1" applyFont="1" applyFill="1" applyBorder="1" applyAlignment="1">
      <alignment vertical="center"/>
    </xf>
    <xf numFmtId="170" fontId="11" fillId="10" borderId="4" xfId="7" applyNumberFormat="1" applyFont="1" applyFill="1" applyBorder="1" applyAlignment="1">
      <alignment vertical="center"/>
    </xf>
    <xf numFmtId="170" fontId="14" fillId="10" borderId="5" xfId="1" applyNumberFormat="1" applyFont="1" applyFill="1" applyBorder="1" applyAlignment="1" applyProtection="1">
      <alignment vertical="center"/>
    </xf>
    <xf numFmtId="170" fontId="11" fillId="2" borderId="0" xfId="7" applyNumberFormat="1" applyFont="1" applyFill="1" applyAlignment="1">
      <alignment vertical="center"/>
    </xf>
    <xf numFmtId="0" fontId="45" fillId="0" borderId="0" xfId="0" applyFont="1" applyAlignment="1">
      <alignment horizontal="center"/>
    </xf>
    <xf numFmtId="14" fontId="45" fillId="0" borderId="0" xfId="0" applyNumberFormat="1" applyFont="1"/>
    <xf numFmtId="169" fontId="45" fillId="0" borderId="0" xfId="1" applyFont="1" applyFill="1" applyBorder="1"/>
    <xf numFmtId="174" fontId="45" fillId="0" borderId="0" xfId="2" applyFont="1" applyFill="1" applyBorder="1"/>
    <xf numFmtId="170" fontId="45" fillId="0" borderId="0" xfId="1" applyNumberFormat="1" applyFont="1" applyFill="1" applyBorder="1"/>
    <xf numFmtId="169" fontId="45" fillId="0" borderId="100" xfId="1" applyFont="1" applyFill="1" applyBorder="1"/>
    <xf numFmtId="0" fontId="193" fillId="0" borderId="9" xfId="0" applyFont="1" applyBorder="1" applyAlignment="1">
      <alignment vertical="center"/>
    </xf>
    <xf numFmtId="0" fontId="193" fillId="0" borderId="10" xfId="0" applyFont="1" applyBorder="1" applyAlignment="1">
      <alignment vertical="center"/>
    </xf>
    <xf numFmtId="0" fontId="194" fillId="0" borderId="9" xfId="0" applyFont="1" applyBorder="1" applyAlignment="1">
      <alignment vertical="center"/>
    </xf>
    <xf numFmtId="0" fontId="194" fillId="0" borderId="10" xfId="0" applyFont="1" applyBorder="1" applyAlignment="1">
      <alignment vertical="center"/>
    </xf>
    <xf numFmtId="0" fontId="194" fillId="0" borderId="106" xfId="0" applyFont="1" applyBorder="1" applyAlignment="1">
      <alignment vertical="center"/>
    </xf>
    <xf numFmtId="170" fontId="44" fillId="24" borderId="137" xfId="1" applyNumberFormat="1" applyFont="1" applyFill="1" applyBorder="1"/>
    <xf numFmtId="170" fontId="0" fillId="0" borderId="0" xfId="0" applyNumberFormat="1"/>
    <xf numFmtId="170" fontId="196" fillId="0" borderId="106" xfId="1" applyNumberFormat="1" applyFont="1" applyFill="1" applyBorder="1" applyAlignment="1">
      <alignment vertical="center"/>
    </xf>
    <xf numFmtId="170" fontId="197" fillId="0" borderId="106" xfId="1" applyNumberFormat="1" applyFont="1" applyFill="1" applyBorder="1" applyAlignment="1">
      <alignment vertical="center"/>
    </xf>
    <xf numFmtId="169" fontId="1" fillId="0" borderId="0" xfId="1" applyFont="1" applyFill="1" applyAlignment="1">
      <alignment horizontal="center"/>
    </xf>
    <xf numFmtId="174" fontId="1" fillId="0" borderId="0" xfId="2" applyFont="1" applyFill="1" applyAlignment="1">
      <alignment horizontal="center"/>
    </xf>
    <xf numFmtId="0" fontId="34" fillId="0" borderId="9" xfId="0" applyFont="1" applyBorder="1"/>
    <xf numFmtId="169" fontId="34" fillId="1" borderId="9" xfId="1" applyFont="1" applyFill="1" applyBorder="1"/>
    <xf numFmtId="174" fontId="34" fillId="1" borderId="106" xfId="2" applyFont="1" applyFill="1" applyBorder="1"/>
    <xf numFmtId="170" fontId="34" fillId="1" borderId="105" xfId="1" applyNumberFormat="1" applyFont="1" applyFill="1" applyBorder="1"/>
    <xf numFmtId="170" fontId="34" fillId="18" borderId="126" xfId="1" applyNumberFormat="1" applyFont="1" applyFill="1" applyBorder="1"/>
    <xf numFmtId="169" fontId="34" fillId="7" borderId="9" xfId="1" applyFont="1" applyFill="1" applyBorder="1"/>
    <xf numFmtId="174" fontId="34" fillId="7" borderId="106" xfId="2" applyFont="1" applyFill="1" applyBorder="1"/>
    <xf numFmtId="170" fontId="34" fillId="7" borderId="107" xfId="1" applyNumberFormat="1" applyFont="1" applyFill="1" applyBorder="1"/>
    <xf numFmtId="169" fontId="34" fillId="24" borderId="25" xfId="1" applyFont="1" applyFill="1" applyBorder="1"/>
    <xf numFmtId="170" fontId="34" fillId="24" borderId="126" xfId="1" applyNumberFormat="1" applyFont="1" applyFill="1" applyBorder="1"/>
    <xf numFmtId="170" fontId="34" fillId="28" borderId="9" xfId="1" applyNumberFormat="1" applyFont="1" applyFill="1" applyBorder="1"/>
    <xf numFmtId="170" fontId="34" fillId="28" borderId="106" xfId="1" applyNumberFormat="1" applyFont="1" applyFill="1" applyBorder="1"/>
    <xf numFmtId="168" fontId="34" fillId="28" borderId="107" xfId="0" applyNumberFormat="1" applyFont="1" applyFill="1" applyBorder="1" applyAlignment="1">
      <alignment horizontal="center"/>
    </xf>
    <xf numFmtId="169" fontId="34" fillId="0" borderId="9" xfId="1" applyFont="1" applyFill="1" applyBorder="1"/>
    <xf numFmtId="169" fontId="34" fillId="0" borderId="106" xfId="1" applyFont="1" applyFill="1" applyBorder="1"/>
    <xf numFmtId="169" fontId="34" fillId="0" borderId="107" xfId="1" applyFont="1" applyFill="1" applyBorder="1"/>
    <xf numFmtId="170" fontId="200" fillId="0" borderId="106" xfId="1" applyNumberFormat="1" applyFont="1" applyFill="1" applyBorder="1" applyAlignment="1">
      <alignment vertical="center"/>
    </xf>
    <xf numFmtId="0" fontId="201" fillId="14" borderId="108" xfId="0" applyFont="1" applyFill="1" applyBorder="1"/>
    <xf numFmtId="0" fontId="0" fillId="0" borderId="111" xfId="0" applyBorder="1"/>
    <xf numFmtId="0" fontId="0" fillId="0" borderId="109" xfId="0" applyBorder="1"/>
    <xf numFmtId="0" fontId="0" fillId="0" borderId="109" xfId="0" applyBorder="1" applyAlignment="1">
      <alignment horizontal="center"/>
    </xf>
    <xf numFmtId="14" fontId="0" fillId="0" borderId="111" xfId="0" applyNumberFormat="1" applyBorder="1"/>
    <xf numFmtId="169" fontId="1" fillId="1" borderId="111" xfId="1" applyFont="1" applyFill="1" applyBorder="1"/>
    <xf numFmtId="174" fontId="1" fillId="1" borderId="109" xfId="2" applyFont="1" applyFill="1" applyBorder="1"/>
    <xf numFmtId="170" fontId="1" fillId="1" borderId="113" xfId="1" applyNumberFormat="1" applyFont="1" applyFill="1" applyBorder="1"/>
    <xf numFmtId="173" fontId="1" fillId="18" borderId="140" xfId="1" applyNumberFormat="1" applyFont="1" applyFill="1" applyBorder="1"/>
    <xf numFmtId="174" fontId="1" fillId="18" borderId="109" xfId="2" applyFont="1" applyFill="1" applyBorder="1"/>
    <xf numFmtId="170" fontId="1" fillId="18" borderId="141" xfId="1" applyNumberFormat="1" applyFont="1" applyFill="1" applyBorder="1"/>
    <xf numFmtId="169" fontId="1" fillId="7" borderId="112" xfId="1" applyFont="1" applyFill="1" applyBorder="1"/>
    <xf numFmtId="174" fontId="1" fillId="7" borderId="109" xfId="2" applyFont="1" applyFill="1" applyBorder="1"/>
    <xf numFmtId="174" fontId="1" fillId="8" borderId="109" xfId="2" applyFont="1" applyFill="1" applyBorder="1"/>
    <xf numFmtId="170" fontId="1" fillId="7" borderId="110" xfId="1" applyNumberFormat="1" applyFont="1" applyFill="1" applyBorder="1"/>
    <xf numFmtId="169" fontId="1" fillId="24" borderId="95" xfId="1" applyFont="1" applyFill="1" applyBorder="1"/>
    <xf numFmtId="170" fontId="1" fillId="24" borderId="141" xfId="1" applyNumberFormat="1" applyFont="1" applyFill="1" applyBorder="1"/>
    <xf numFmtId="169" fontId="36" fillId="0" borderId="112" xfId="1" applyFont="1" applyFill="1" applyBorder="1"/>
    <xf numFmtId="0" fontId="0" fillId="0" borderId="142" xfId="0" applyBorder="1"/>
    <xf numFmtId="0" fontId="25" fillId="0" borderId="142" xfId="0" applyFont="1" applyBorder="1"/>
    <xf numFmtId="169" fontId="26" fillId="18" borderId="30" xfId="1" applyFont="1" applyFill="1" applyBorder="1"/>
    <xf numFmtId="169" fontId="2" fillId="18" borderId="31" xfId="1" applyFont="1" applyFill="1" applyBorder="1"/>
    <xf numFmtId="169" fontId="1" fillId="18" borderId="140" xfId="1" applyFont="1" applyFill="1" applyBorder="1"/>
    <xf numFmtId="170" fontId="1" fillId="7" borderId="137" xfId="1" applyNumberFormat="1" applyFont="1" applyFill="1" applyBorder="1"/>
    <xf numFmtId="169" fontId="44" fillId="18" borderId="31" xfId="1" applyFont="1" applyFill="1" applyBorder="1"/>
    <xf numFmtId="0" fontId="0" fillId="0" borderId="137" xfId="0" applyBorder="1" applyAlignment="1">
      <alignment horizontal="center"/>
    </xf>
    <xf numFmtId="170" fontId="1" fillId="13" borderId="137" xfId="1" applyNumberFormat="1" applyFont="1" applyFill="1" applyBorder="1"/>
    <xf numFmtId="170" fontId="1" fillId="18" borderId="137" xfId="1" applyNumberFormat="1" applyFont="1" applyFill="1" applyBorder="1"/>
    <xf numFmtId="0" fontId="6" fillId="0" borderId="137" xfId="0" applyFont="1" applyBorder="1" applyAlignment="1">
      <alignment horizontal="center"/>
    </xf>
    <xf numFmtId="170" fontId="6" fillId="13" borderId="137" xfId="1" applyNumberFormat="1" applyFont="1" applyFill="1" applyBorder="1"/>
    <xf numFmtId="173" fontId="6" fillId="34" borderId="9" xfId="1" applyNumberFormat="1" applyFont="1" applyFill="1" applyBorder="1"/>
    <xf numFmtId="170" fontId="6" fillId="34" borderId="137" xfId="1" applyNumberFormat="1" applyFont="1" applyFill="1" applyBorder="1"/>
    <xf numFmtId="0" fontId="6" fillId="28" borderId="137" xfId="0" applyFont="1" applyFill="1" applyBorder="1" applyAlignment="1">
      <alignment horizontal="center"/>
    </xf>
    <xf numFmtId="0" fontId="55" fillId="0" borderId="137" xfId="0" applyFont="1" applyBorder="1" applyAlignment="1">
      <alignment horizontal="center"/>
    </xf>
    <xf numFmtId="170" fontId="55" fillId="13" borderId="137" xfId="1" applyNumberFormat="1" applyFont="1" applyFill="1" applyBorder="1"/>
    <xf numFmtId="170" fontId="55" fillId="18" borderId="137" xfId="1" applyNumberFormat="1" applyFont="1" applyFill="1" applyBorder="1"/>
    <xf numFmtId="170" fontId="55" fillId="7" borderId="137" xfId="1" applyNumberFormat="1" applyFont="1" applyFill="1" applyBorder="1"/>
    <xf numFmtId="170" fontId="55" fillId="24" borderId="137" xfId="1" applyNumberFormat="1" applyFont="1" applyFill="1" applyBorder="1"/>
    <xf numFmtId="0" fontId="55" fillId="28" borderId="137" xfId="0" applyFont="1" applyFill="1" applyBorder="1" applyAlignment="1">
      <alignment horizontal="center"/>
    </xf>
    <xf numFmtId="175" fontId="3" fillId="0" borderId="0" xfId="2" applyNumberFormat="1" applyFont="1" applyFill="1" applyAlignment="1">
      <alignment horizontal="center"/>
    </xf>
    <xf numFmtId="14" fontId="0" fillId="0" borderId="25" xfId="0" applyNumberFormat="1" applyBorder="1" applyAlignment="1">
      <alignment horizontal="center"/>
    </xf>
    <xf numFmtId="174" fontId="1" fillId="18" borderId="143" xfId="2" applyFont="1" applyFill="1" applyBorder="1"/>
    <xf numFmtId="0" fontId="202" fillId="0" borderId="106" xfId="0" applyFont="1" applyBorder="1"/>
    <xf numFmtId="0" fontId="195" fillId="0" borderId="106" xfId="0" applyFont="1" applyBorder="1"/>
    <xf numFmtId="170" fontId="54" fillId="124" borderId="9" xfId="1" applyNumberFormat="1" applyFont="1" applyFill="1" applyBorder="1"/>
    <xf numFmtId="170" fontId="54" fillId="124" borderId="106" xfId="1" applyNumberFormat="1" applyFont="1" applyFill="1" applyBorder="1"/>
    <xf numFmtId="170" fontId="54" fillId="34" borderId="9" xfId="1" applyNumberFormat="1" applyFont="1" applyFill="1" applyBorder="1"/>
    <xf numFmtId="170" fontId="54" fillId="34" borderId="106" xfId="1" applyNumberFormat="1" applyFont="1" applyFill="1" applyBorder="1"/>
    <xf numFmtId="169" fontId="34" fillId="18" borderId="30" xfId="1" applyFont="1" applyFill="1" applyBorder="1"/>
    <xf numFmtId="0" fontId="28" fillId="0" borderId="19" xfId="0" applyFont="1" applyBorder="1"/>
    <xf numFmtId="0" fontId="28" fillId="27" borderId="103" xfId="0" applyFont="1" applyFill="1" applyBorder="1"/>
    <xf numFmtId="0" fontId="28" fillId="0" borderId="103" xfId="0" applyFont="1" applyBorder="1"/>
    <xf numFmtId="173" fontId="28" fillId="0" borderId="103" xfId="0" applyNumberFormat="1" applyFont="1" applyBorder="1"/>
    <xf numFmtId="169" fontId="28" fillId="0" borderId="103" xfId="0" applyNumberFormat="1" applyFont="1" applyBorder="1"/>
    <xf numFmtId="0" fontId="28" fillId="0" borderId="9" xfId="0" applyFont="1" applyBorder="1"/>
    <xf numFmtId="0" fontId="28" fillId="0" borderId="106" xfId="0" applyFont="1" applyBorder="1"/>
    <xf numFmtId="0" fontId="28" fillId="0" borderId="106" xfId="0" applyFont="1" applyBorder="1" applyAlignment="1">
      <alignment horizontal="center"/>
    </xf>
    <xf numFmtId="169" fontId="28" fillId="1" borderId="9" xfId="1" applyFont="1" applyFill="1" applyBorder="1"/>
    <xf numFmtId="174" fontId="28" fillId="1" borderId="106" xfId="2" applyFont="1" applyFill="1" applyBorder="1"/>
    <xf numFmtId="170" fontId="28" fillId="1" borderId="105" xfId="1" applyNumberFormat="1" applyFont="1" applyFill="1" applyBorder="1"/>
    <xf numFmtId="173" fontId="28" fillId="18" borderId="31" xfId="1" applyNumberFormat="1" applyFont="1" applyFill="1" applyBorder="1"/>
    <xf numFmtId="174" fontId="28" fillId="18" borderId="106" xfId="2" applyFont="1" applyFill="1" applyBorder="1"/>
    <xf numFmtId="170" fontId="28" fillId="18" borderId="126" xfId="1" applyNumberFormat="1" applyFont="1" applyFill="1" applyBorder="1"/>
    <xf numFmtId="169" fontId="28" fillId="7" borderId="103" xfId="1" applyFont="1" applyFill="1" applyBorder="1"/>
    <xf numFmtId="174" fontId="28" fillId="7" borderId="106" xfId="2" applyFont="1" applyFill="1" applyBorder="1"/>
    <xf numFmtId="170" fontId="28" fillId="7" borderId="107" xfId="1" applyNumberFormat="1" applyFont="1" applyFill="1" applyBorder="1"/>
    <xf numFmtId="169" fontId="28" fillId="24" borderId="126" xfId="1" applyFont="1" applyFill="1" applyBorder="1"/>
    <xf numFmtId="170" fontId="28" fillId="24" borderId="126" xfId="1" applyNumberFormat="1" applyFont="1" applyFill="1" applyBorder="1"/>
    <xf numFmtId="170" fontId="28" fillId="28" borderId="9" xfId="1" applyNumberFormat="1" applyFont="1" applyFill="1" applyBorder="1"/>
    <xf numFmtId="170" fontId="28" fillId="28" borderId="106" xfId="1" applyNumberFormat="1" applyFont="1" applyFill="1" applyBorder="1"/>
    <xf numFmtId="0" fontId="28" fillId="28" borderId="107" xfId="0" applyFont="1" applyFill="1" applyBorder="1" applyAlignment="1">
      <alignment horizontal="center"/>
    </xf>
    <xf numFmtId="174" fontId="0" fillId="8" borderId="115" xfId="2" applyFont="1" applyFill="1" applyBorder="1"/>
    <xf numFmtId="169" fontId="44" fillId="7" borderId="145" xfId="1" applyFont="1" applyFill="1" applyBorder="1"/>
    <xf numFmtId="0" fontId="41" fillId="14" borderId="124" xfId="0" applyFont="1" applyFill="1" applyBorder="1" applyAlignment="1">
      <alignment horizontal="center"/>
    </xf>
    <xf numFmtId="169" fontId="43" fillId="29" borderId="143" xfId="1" applyFont="1" applyFill="1" applyBorder="1"/>
    <xf numFmtId="174" fontId="43" fillId="29" borderId="143" xfId="2" applyFont="1" applyFill="1" applyBorder="1"/>
    <xf numFmtId="170" fontId="43" fillId="29" borderId="143" xfId="1" applyNumberFormat="1" applyFont="1" applyFill="1" applyBorder="1"/>
    <xf numFmtId="173" fontId="43" fillId="29" borderId="143" xfId="1" applyNumberFormat="1" applyFont="1" applyFill="1" applyBorder="1"/>
    <xf numFmtId="14" fontId="43" fillId="29" borderId="25" xfId="0" applyNumberFormat="1" applyFont="1" applyFill="1" applyBorder="1"/>
    <xf numFmtId="169" fontId="43" fillId="29" borderId="9" xfId="1" applyFont="1" applyFill="1" applyBorder="1"/>
    <xf numFmtId="174" fontId="43" fillId="29" borderId="106" xfId="2" applyFont="1" applyFill="1" applyBorder="1"/>
    <xf numFmtId="170" fontId="43" fillId="29" borderId="137" xfId="1" applyNumberFormat="1" applyFont="1" applyFill="1" applyBorder="1"/>
    <xf numFmtId="169" fontId="3" fillId="14" borderId="16" xfId="1" applyFont="1" applyFill="1" applyBorder="1" applyAlignment="1">
      <alignment horizontal="center"/>
    </xf>
    <xf numFmtId="169" fontId="43" fillId="29" borderId="145" xfId="1" applyFont="1" applyFill="1" applyBorder="1"/>
    <xf numFmtId="169" fontId="1" fillId="1" borderId="103" xfId="1" applyFont="1" applyFill="1" applyBorder="1"/>
    <xf numFmtId="169" fontId="44" fillId="1" borderId="103" xfId="1" applyFont="1" applyFill="1" applyBorder="1"/>
    <xf numFmtId="169" fontId="29" fillId="24" borderId="16" xfId="1" applyFont="1" applyFill="1" applyBorder="1"/>
    <xf numFmtId="169" fontId="1" fillId="1" borderId="114" xfId="1" applyFont="1" applyFill="1" applyBorder="1"/>
    <xf numFmtId="169" fontId="24" fillId="30" borderId="103" xfId="1" applyFont="1" applyFill="1" applyBorder="1"/>
    <xf numFmtId="169" fontId="1" fillId="1" borderId="145" xfId="1" applyFont="1" applyFill="1" applyBorder="1"/>
    <xf numFmtId="169" fontId="190" fillId="1" borderId="145" xfId="1" applyFont="1" applyFill="1" applyBorder="1"/>
    <xf numFmtId="169" fontId="28" fillId="1" borderId="145" xfId="1" applyFont="1" applyFill="1" applyBorder="1"/>
    <xf numFmtId="169" fontId="1" fillId="30" borderId="103" xfId="1" applyFont="1" applyFill="1" applyBorder="1"/>
    <xf numFmtId="169" fontId="44" fillId="1" borderId="145" xfId="1" applyFont="1" applyFill="1" applyBorder="1"/>
    <xf numFmtId="169" fontId="26" fillId="1" borderId="145" xfId="1" applyFont="1" applyFill="1" applyBorder="1"/>
    <xf numFmtId="169" fontId="1" fillId="30" borderId="114" xfId="1" applyFont="1" applyFill="1" applyBorder="1"/>
    <xf numFmtId="169" fontId="34" fillId="1" borderId="145" xfId="1" applyFont="1" applyFill="1" applyBorder="1"/>
    <xf numFmtId="169" fontId="23" fillId="1" borderId="103" xfId="1" applyFont="1" applyFill="1" applyBorder="1"/>
    <xf numFmtId="169" fontId="1" fillId="1" borderId="112" xfId="1" applyFont="1" applyFill="1" applyBorder="1"/>
    <xf numFmtId="169" fontId="28" fillId="1" borderId="103" xfId="1" applyFont="1" applyFill="1" applyBorder="1"/>
    <xf numFmtId="169" fontId="47" fillId="1" borderId="103" xfId="1" applyFont="1" applyFill="1" applyBorder="1"/>
    <xf numFmtId="169" fontId="30" fillId="30" borderId="114" xfId="1" applyFont="1" applyFill="1" applyBorder="1"/>
    <xf numFmtId="169" fontId="24" fillId="30" borderId="114" xfId="1" applyFont="1" applyFill="1" applyBorder="1"/>
    <xf numFmtId="169" fontId="24" fillId="1" borderId="103" xfId="1" applyFont="1" applyFill="1" applyBorder="1"/>
    <xf numFmtId="169" fontId="34" fillId="1" borderId="103" xfId="1" applyFont="1" applyFill="1" applyBorder="1"/>
    <xf numFmtId="169" fontId="6" fillId="1" borderId="103" xfId="1" applyFont="1" applyFill="1" applyBorder="1"/>
    <xf numFmtId="169" fontId="43" fillId="29" borderId="114" xfId="1" applyFont="1" applyFill="1" applyBorder="1"/>
    <xf numFmtId="169" fontId="55" fillId="1" borderId="103" xfId="1" applyFont="1" applyFill="1" applyBorder="1"/>
    <xf numFmtId="169" fontId="29" fillId="14" borderId="128" xfId="1" applyFont="1" applyFill="1" applyBorder="1"/>
    <xf numFmtId="169" fontId="56" fillId="29" borderId="103" xfId="1" applyFont="1" applyFill="1" applyBorder="1"/>
    <xf numFmtId="169" fontId="1" fillId="35" borderId="103" xfId="1" applyFont="1" applyFill="1" applyBorder="1"/>
    <xf numFmtId="169" fontId="56" fillId="29" borderId="145" xfId="1" applyFont="1" applyFill="1" applyBorder="1"/>
    <xf numFmtId="169" fontId="54" fillId="1" borderId="103" xfId="1" applyFont="1" applyFill="1" applyBorder="1"/>
    <xf numFmtId="169" fontId="1" fillId="1" borderId="16" xfId="1" applyFont="1" applyFill="1" applyBorder="1"/>
    <xf numFmtId="169" fontId="63" fillId="29" borderId="145" xfId="1" applyFont="1" applyFill="1" applyBorder="1"/>
    <xf numFmtId="169" fontId="43" fillId="29" borderId="131" xfId="1" applyFont="1" applyFill="1" applyBorder="1"/>
    <xf numFmtId="169" fontId="65" fillId="29" borderId="145" xfId="1" applyFont="1" applyFill="1" applyBorder="1"/>
    <xf numFmtId="169" fontId="32" fillId="1" borderId="103" xfId="1" applyFont="1" applyFill="1" applyBorder="1"/>
    <xf numFmtId="169" fontId="66" fillId="1" borderId="145" xfId="1" applyFont="1" applyFill="1" applyBorder="1"/>
    <xf numFmtId="169" fontId="66" fillId="1" borderId="103" xfId="1" applyFont="1" applyFill="1" applyBorder="1"/>
    <xf numFmtId="169" fontId="25" fillId="43" borderId="145" xfId="1" applyFont="1" applyFill="1" applyBorder="1"/>
    <xf numFmtId="169" fontId="25" fillId="1" borderId="103" xfId="1" applyFont="1" applyFill="1" applyBorder="1"/>
    <xf numFmtId="169" fontId="68" fillId="29" borderId="145" xfId="1" applyFont="1" applyFill="1" applyBorder="1"/>
    <xf numFmtId="169" fontId="25" fillId="48" borderId="145" xfId="1" applyFont="1" applyFill="1" applyBorder="1"/>
    <xf numFmtId="169" fontId="71" fillId="29" borderId="145" xfId="1" applyFont="1" applyFill="1" applyBorder="1"/>
    <xf numFmtId="169" fontId="41" fillId="14" borderId="128" xfId="1" applyFont="1" applyFill="1" applyBorder="1"/>
    <xf numFmtId="169" fontId="25" fillId="1" borderId="145" xfId="1" applyFont="1" applyFill="1" applyBorder="1"/>
    <xf numFmtId="169" fontId="25" fillId="0" borderId="145" xfId="1" applyFont="1" applyFill="1" applyBorder="1"/>
    <xf numFmtId="169" fontId="64" fillId="1" borderId="145" xfId="1" applyFont="1" applyFill="1" applyBorder="1"/>
    <xf numFmtId="169" fontId="66" fillId="1" borderId="112" xfId="1" applyFont="1" applyFill="1" applyBorder="1"/>
    <xf numFmtId="173" fontId="3" fillId="18" borderId="16" xfId="1" applyNumberFormat="1" applyFont="1" applyFill="1" applyBorder="1" applyAlignment="1">
      <alignment horizontal="center"/>
    </xf>
    <xf numFmtId="173" fontId="43" fillId="29" borderId="142" xfId="1" applyNumberFormat="1" applyFont="1" applyFill="1" applyBorder="1"/>
    <xf numFmtId="173" fontId="1" fillId="18" borderId="104" xfId="1" applyNumberFormat="1" applyFont="1" applyFill="1" applyBorder="1"/>
    <xf numFmtId="173" fontId="29" fillId="18" borderId="138" xfId="1" applyNumberFormat="1" applyFont="1" applyFill="1" applyBorder="1"/>
    <xf numFmtId="169" fontId="1" fillId="21" borderId="124" xfId="1" applyFont="1" applyFill="1" applyBorder="1"/>
    <xf numFmtId="173" fontId="1" fillId="18" borderId="103" xfId="1" applyNumberFormat="1" applyFont="1" applyFill="1" applyBorder="1"/>
    <xf numFmtId="173" fontId="43" fillId="29" borderId="114" xfId="1" applyNumberFormat="1" applyFont="1" applyFill="1" applyBorder="1"/>
    <xf numFmtId="173" fontId="1" fillId="18" borderId="145" xfId="1" applyNumberFormat="1" applyFont="1" applyFill="1" applyBorder="1"/>
    <xf numFmtId="173" fontId="6" fillId="34" borderId="103" xfId="1" applyNumberFormat="1" applyFont="1" applyFill="1" applyBorder="1"/>
    <xf numFmtId="169" fontId="6" fillId="34" borderId="103" xfId="1" applyFont="1" applyFill="1" applyBorder="1"/>
    <xf numFmtId="173" fontId="55" fillId="18" borderId="103" xfId="1" applyNumberFormat="1" applyFont="1" applyFill="1" applyBorder="1"/>
    <xf numFmtId="169" fontId="29" fillId="18" borderId="128" xfId="1" applyFont="1" applyFill="1" applyBorder="1"/>
    <xf numFmtId="173" fontId="43" fillId="29" borderId="145" xfId="1" applyNumberFormat="1" applyFont="1" applyFill="1" applyBorder="1"/>
    <xf numFmtId="173" fontId="56" fillId="29" borderId="103" xfId="1" applyNumberFormat="1" applyFont="1" applyFill="1" applyBorder="1"/>
    <xf numFmtId="169" fontId="55" fillId="18" borderId="103" xfId="1" applyFont="1" applyFill="1" applyBorder="1"/>
    <xf numFmtId="169" fontId="1" fillId="18" borderId="103" xfId="1" applyFont="1" applyFill="1" applyBorder="1"/>
    <xf numFmtId="173" fontId="1" fillId="19" borderId="103" xfId="1" applyNumberFormat="1" applyFont="1" applyFill="1" applyBorder="1"/>
    <xf numFmtId="173" fontId="56" fillId="29" borderId="145" xfId="1" applyNumberFormat="1" applyFont="1" applyFill="1" applyBorder="1"/>
    <xf numFmtId="173" fontId="23" fillId="18" borderId="103" xfId="1" applyNumberFormat="1" applyFont="1" applyFill="1" applyBorder="1"/>
    <xf numFmtId="173" fontId="1" fillId="18" borderId="16" xfId="1" applyNumberFormat="1" applyFont="1" applyFill="1" applyBorder="1"/>
    <xf numFmtId="173" fontId="63" fillId="29" borderId="145" xfId="1" applyNumberFormat="1" applyFont="1" applyFill="1" applyBorder="1"/>
    <xf numFmtId="173" fontId="43" fillId="29" borderId="131" xfId="1" applyNumberFormat="1" applyFont="1" applyFill="1" applyBorder="1"/>
    <xf numFmtId="169" fontId="23" fillId="18" borderId="103" xfId="1" applyFont="1" applyFill="1" applyBorder="1"/>
    <xf numFmtId="173" fontId="1" fillId="38" borderId="103" xfId="1" applyNumberFormat="1" applyFont="1" applyFill="1" applyBorder="1"/>
    <xf numFmtId="173" fontId="68" fillId="29" borderId="145" xfId="1" applyNumberFormat="1" applyFont="1" applyFill="1" applyBorder="1"/>
    <xf numFmtId="173" fontId="25" fillId="42" borderId="145" xfId="1" applyNumberFormat="1" applyFont="1" applyFill="1" applyBorder="1"/>
    <xf numFmtId="173" fontId="25" fillId="18" borderId="103" xfId="1" applyNumberFormat="1" applyFont="1" applyFill="1" applyBorder="1"/>
    <xf numFmtId="169" fontId="25" fillId="6" borderId="145" xfId="1" applyFont="1" applyFill="1" applyBorder="1"/>
    <xf numFmtId="169" fontId="25" fillId="18" borderId="145" xfId="1" applyFont="1" applyFill="1" applyBorder="1"/>
    <xf numFmtId="173" fontId="71" fillId="29" borderId="145" xfId="1" applyNumberFormat="1" applyFont="1" applyFill="1" applyBorder="1"/>
    <xf numFmtId="173" fontId="66" fillId="45" borderId="103" xfId="1" applyNumberFormat="1" applyFont="1" applyFill="1" applyBorder="1"/>
    <xf numFmtId="169" fontId="41" fillId="18" borderId="128" xfId="1" applyFont="1" applyFill="1" applyBorder="1"/>
    <xf numFmtId="173" fontId="25" fillId="18" borderId="145" xfId="1" applyNumberFormat="1" applyFont="1" applyFill="1" applyBorder="1"/>
    <xf numFmtId="169" fontId="25" fillId="42" borderId="145" xfId="1" applyFont="1" applyFill="1" applyBorder="1"/>
    <xf numFmtId="169" fontId="25" fillId="18" borderId="103" xfId="1" applyFont="1" applyFill="1" applyBorder="1"/>
    <xf numFmtId="173" fontId="25" fillId="6" borderId="145" xfId="1" applyNumberFormat="1" applyFont="1" applyFill="1" applyBorder="1"/>
    <xf numFmtId="173" fontId="64" fillId="18" borderId="145" xfId="1" applyNumberFormat="1" applyFont="1" applyFill="1" applyBorder="1"/>
    <xf numFmtId="173" fontId="66" fillId="45" borderId="112" xfId="1" applyNumberFormat="1" applyFont="1" applyFill="1" applyBorder="1"/>
    <xf numFmtId="173" fontId="44" fillId="18" borderId="145" xfId="1" applyNumberFormat="1" applyFont="1" applyFill="1" applyBorder="1"/>
    <xf numFmtId="173" fontId="1" fillId="18" borderId="106" xfId="1" applyNumberFormat="1" applyFont="1" applyFill="1" applyBorder="1"/>
    <xf numFmtId="169" fontId="1" fillId="18" borderId="106" xfId="1" applyFont="1" applyFill="1" applyBorder="1"/>
    <xf numFmtId="169" fontId="3" fillId="7" borderId="16" xfId="1" applyFont="1" applyFill="1" applyBorder="1" applyAlignment="1">
      <alignment horizontal="center"/>
    </xf>
    <xf numFmtId="169" fontId="29" fillId="7" borderId="16" xfId="1" applyFont="1" applyFill="1" applyBorder="1"/>
    <xf numFmtId="169" fontId="1" fillId="7" borderId="145" xfId="1" applyFont="1" applyFill="1" applyBorder="1"/>
    <xf numFmtId="169" fontId="190" fillId="7" borderId="145" xfId="1" applyFont="1" applyFill="1" applyBorder="1"/>
    <xf numFmtId="169" fontId="28" fillId="7" borderId="145" xfId="1" applyFont="1" applyFill="1" applyBorder="1"/>
    <xf numFmtId="169" fontId="2" fillId="7" borderId="145" xfId="1" applyFont="1" applyFill="1" applyBorder="1"/>
    <xf numFmtId="169" fontId="47" fillId="7" borderId="103" xfId="1" applyFont="1" applyFill="1" applyBorder="1"/>
    <xf numFmtId="169" fontId="24" fillId="7" borderId="103" xfId="1" applyFont="1" applyFill="1" applyBorder="1"/>
    <xf numFmtId="169" fontId="34" fillId="7" borderId="103" xfId="1" applyFont="1" applyFill="1" applyBorder="1"/>
    <xf numFmtId="169" fontId="6" fillId="7" borderId="103" xfId="1" applyFont="1" applyFill="1" applyBorder="1"/>
    <xf numFmtId="169" fontId="55" fillId="7" borderId="103" xfId="1" applyFont="1" applyFill="1" applyBorder="1"/>
    <xf numFmtId="169" fontId="29" fillId="7" borderId="128" xfId="1" applyFont="1" applyFill="1" applyBorder="1"/>
    <xf numFmtId="169" fontId="1" fillId="19" borderId="103" xfId="1" applyFont="1" applyFill="1" applyBorder="1"/>
    <xf numFmtId="169" fontId="1" fillId="7" borderId="16" xfId="1" applyFont="1" applyFill="1" applyBorder="1"/>
    <xf numFmtId="169" fontId="32" fillId="39" borderId="103" xfId="1" applyFont="1" applyFill="1" applyBorder="1"/>
    <xf numFmtId="169" fontId="66" fillId="7" borderId="145" xfId="1" applyFont="1" applyFill="1" applyBorder="1"/>
    <xf numFmtId="169" fontId="43" fillId="36" borderId="145" xfId="1" applyFont="1" applyFill="1" applyBorder="1"/>
    <xf numFmtId="169" fontId="1" fillId="39" borderId="103" xfId="1" applyFont="1" applyFill="1" applyBorder="1"/>
    <xf numFmtId="169" fontId="1" fillId="41" borderId="103" xfId="1" applyFont="1" applyFill="1" applyBorder="1"/>
    <xf numFmtId="169" fontId="66" fillId="7" borderId="103" xfId="1" applyFont="1" applyFill="1" applyBorder="1"/>
    <xf numFmtId="169" fontId="43" fillId="36" borderId="142" xfId="1" applyFont="1" applyFill="1" applyBorder="1"/>
    <xf numFmtId="169" fontId="25" fillId="7" borderId="103" xfId="1" applyFont="1" applyFill="1" applyBorder="1"/>
    <xf numFmtId="169" fontId="66" fillId="46" borderId="103" xfId="1" applyFont="1" applyFill="1" applyBorder="1"/>
    <xf numFmtId="169" fontId="41" fillId="7" borderId="128" xfId="1" applyFont="1" applyFill="1" applyBorder="1"/>
    <xf numFmtId="169" fontId="25" fillId="7" borderId="145" xfId="1" applyFont="1" applyFill="1" applyBorder="1"/>
    <xf numFmtId="169" fontId="64" fillId="7" borderId="145" xfId="1" applyFont="1" applyFill="1" applyBorder="1"/>
    <xf numFmtId="169" fontId="66" fillId="46" borderId="112" xfId="1" applyFont="1" applyFill="1" applyBorder="1"/>
    <xf numFmtId="170" fontId="3" fillId="14" borderId="138" xfId="1" applyNumberFormat="1" applyFont="1" applyFill="1" applyBorder="1" applyAlignment="1">
      <alignment horizontal="center"/>
    </xf>
    <xf numFmtId="170" fontId="43" fillId="29" borderId="142" xfId="1" applyNumberFormat="1" applyFont="1" applyFill="1" applyBorder="1"/>
    <xf numFmtId="170" fontId="43" fillId="29" borderId="124" xfId="1" applyNumberFormat="1" applyFont="1" applyFill="1" applyBorder="1"/>
    <xf numFmtId="170" fontId="29" fillId="14" borderId="99" xfId="1" applyNumberFormat="1" applyFont="1" applyFill="1" applyBorder="1"/>
    <xf numFmtId="170" fontId="56" fillId="29" borderId="104" xfId="1" applyNumberFormat="1" applyFont="1" applyFill="1" applyBorder="1"/>
    <xf numFmtId="170" fontId="56" fillId="29" borderId="142" xfId="1" applyNumberFormat="1" applyFont="1" applyFill="1" applyBorder="1"/>
    <xf numFmtId="170" fontId="63" fillId="29" borderId="142" xfId="1" applyNumberFormat="1" applyFont="1" applyFill="1" applyBorder="1"/>
    <xf numFmtId="170" fontId="71" fillId="29" borderId="142" xfId="1" applyNumberFormat="1" applyFont="1" applyFill="1" applyBorder="1"/>
    <xf numFmtId="170" fontId="41" fillId="14" borderId="99" xfId="1" applyNumberFormat="1" applyFont="1" applyFill="1" applyBorder="1"/>
    <xf numFmtId="170" fontId="1" fillId="1" borderId="137" xfId="1" applyNumberFormat="1" applyFont="1" applyFill="1" applyBorder="1"/>
    <xf numFmtId="170" fontId="44" fillId="1" borderId="137" xfId="1" applyNumberFormat="1" applyFont="1" applyFill="1" applyBorder="1"/>
    <xf numFmtId="170" fontId="29" fillId="24" borderId="12" xfId="1" applyNumberFormat="1" applyFont="1" applyFill="1" applyBorder="1"/>
    <xf numFmtId="169" fontId="43" fillId="29" borderId="116" xfId="1" applyFont="1" applyFill="1" applyBorder="1"/>
    <xf numFmtId="169" fontId="43" fillId="29" borderId="108" xfId="1" applyFont="1" applyFill="1" applyBorder="1" applyAlignment="1"/>
    <xf numFmtId="169" fontId="43" fillId="29" borderId="116" xfId="1" applyFont="1" applyFill="1" applyBorder="1" applyAlignment="1"/>
    <xf numFmtId="170" fontId="1" fillId="2" borderId="0" xfId="1" applyNumberFormat="1" applyFont="1" applyFill="1"/>
    <xf numFmtId="170" fontId="1" fillId="2" borderId="9" xfId="1" applyNumberFormat="1" applyFont="1" applyFill="1" applyBorder="1"/>
    <xf numFmtId="170" fontId="1" fillId="2" borderId="124" xfId="1" applyNumberFormat="1" applyFont="1" applyFill="1" applyBorder="1"/>
    <xf numFmtId="170" fontId="1" fillId="2" borderId="104" xfId="1" applyNumberFormat="1" applyFont="1" applyFill="1" applyBorder="1"/>
    <xf numFmtId="170" fontId="45" fillId="2" borderId="0" xfId="1" applyNumberFormat="1" applyFont="1" applyFill="1" applyBorder="1"/>
    <xf numFmtId="170" fontId="2" fillId="2" borderId="0" xfId="1" applyNumberFormat="1" applyFont="1" applyFill="1"/>
    <xf numFmtId="170" fontId="1" fillId="125" borderId="104" xfId="1" applyNumberFormat="1" applyFont="1" applyFill="1" applyBorder="1"/>
    <xf numFmtId="0" fontId="3" fillId="2" borderId="0" xfId="0" applyFont="1" applyFill="1" applyAlignment="1">
      <alignment horizontal="center"/>
    </xf>
    <xf numFmtId="170" fontId="1" fillId="3" borderId="104" xfId="1" applyNumberFormat="1" applyFont="1" applyFill="1" applyBorder="1"/>
    <xf numFmtId="170" fontId="6" fillId="125" borderId="104" xfId="1" applyNumberFormat="1" applyFont="1" applyFill="1" applyBorder="1"/>
    <xf numFmtId="170" fontId="55" fillId="125" borderId="104" xfId="1" applyNumberFormat="1" applyFont="1" applyFill="1" applyBorder="1"/>
    <xf numFmtId="170" fontId="1" fillId="125" borderId="142" xfId="1" applyNumberFormat="1" applyFont="1" applyFill="1" applyBorder="1"/>
    <xf numFmtId="170" fontId="1" fillId="19" borderId="104" xfId="1" applyNumberFormat="1" applyFont="1" applyFill="1" applyBorder="1"/>
    <xf numFmtId="170" fontId="54" fillId="125" borderId="104" xfId="1" applyNumberFormat="1" applyFont="1" applyFill="1" applyBorder="1"/>
    <xf numFmtId="170" fontId="23" fillId="125" borderId="104" xfId="1" applyNumberFormat="1" applyFont="1" applyFill="1" applyBorder="1"/>
    <xf numFmtId="170" fontId="1" fillId="125" borderId="138" xfId="1" applyNumberFormat="1" applyFont="1" applyFill="1" applyBorder="1"/>
    <xf numFmtId="170" fontId="66" fillId="125" borderId="105" xfId="1" applyNumberFormat="1" applyFont="1" applyFill="1" applyBorder="1"/>
    <xf numFmtId="170" fontId="1" fillId="125" borderId="105" xfId="1" applyNumberFormat="1" applyFont="1" applyFill="1" applyBorder="1"/>
    <xf numFmtId="170" fontId="66" fillId="125" borderId="104" xfId="1" applyNumberFormat="1" applyFont="1" applyFill="1" applyBorder="1"/>
    <xf numFmtId="170" fontId="25" fillId="42" borderId="142" xfId="1" applyNumberFormat="1" applyFont="1" applyFill="1" applyBorder="1"/>
    <xf numFmtId="170" fontId="25" fillId="125" borderId="104" xfId="1" applyNumberFormat="1" applyFont="1" applyFill="1" applyBorder="1"/>
    <xf numFmtId="170" fontId="25" fillId="6" borderId="142" xfId="1" applyNumberFormat="1" applyFont="1" applyFill="1" applyBorder="1"/>
    <xf numFmtId="170" fontId="25" fillId="125" borderId="142" xfId="1" applyNumberFormat="1" applyFont="1" applyFill="1" applyBorder="1"/>
    <xf numFmtId="170" fontId="64" fillId="125" borderId="142" xfId="1" applyNumberFormat="1" applyFont="1" applyFill="1" applyBorder="1"/>
    <xf numFmtId="170" fontId="66" fillId="125" borderId="78" xfId="1" applyNumberFormat="1" applyFont="1" applyFill="1" applyBorder="1"/>
    <xf numFmtId="170" fontId="44" fillId="125" borderId="142" xfId="1" applyNumberFormat="1" applyFont="1" applyFill="1" applyBorder="1"/>
    <xf numFmtId="170" fontId="1" fillId="125" borderId="78" xfId="1" applyNumberFormat="1" applyFont="1" applyFill="1" applyBorder="1"/>
    <xf numFmtId="169" fontId="43" fillId="29" borderId="142" xfId="1" applyFont="1" applyFill="1" applyBorder="1"/>
    <xf numFmtId="170" fontId="25" fillId="42" borderId="137" xfId="1" applyNumberFormat="1" applyFont="1" applyFill="1" applyBorder="1"/>
    <xf numFmtId="170" fontId="25" fillId="125" borderId="9" xfId="1" applyNumberFormat="1" applyFont="1" applyFill="1" applyBorder="1"/>
    <xf numFmtId="170" fontId="25" fillId="125" borderId="137" xfId="1" applyNumberFormat="1" applyFont="1" applyFill="1" applyBorder="1"/>
    <xf numFmtId="170" fontId="68" fillId="29" borderId="9" xfId="1" applyNumberFormat="1" applyFont="1" applyFill="1" applyBorder="1"/>
    <xf numFmtId="170" fontId="68" fillId="29" borderId="137" xfId="1" applyNumberFormat="1" applyFont="1" applyFill="1" applyBorder="1"/>
    <xf numFmtId="239" fontId="43" fillId="29" borderId="9" xfId="1" applyNumberFormat="1" applyFont="1" applyFill="1" applyBorder="1"/>
    <xf numFmtId="239" fontId="43" fillId="29" borderId="137" xfId="1" applyNumberFormat="1" applyFont="1" applyFill="1" applyBorder="1"/>
    <xf numFmtId="239" fontId="25" fillId="42" borderId="9" xfId="1" applyNumberFormat="1" applyFont="1" applyFill="1" applyBorder="1"/>
    <xf numFmtId="239" fontId="25" fillId="42" borderId="137" xfId="1" applyNumberFormat="1" applyFont="1" applyFill="1" applyBorder="1"/>
    <xf numFmtId="170" fontId="71" fillId="29" borderId="9" xfId="1" applyNumberFormat="1" applyFont="1" applyFill="1" applyBorder="1"/>
    <xf numFmtId="170" fontId="71" fillId="29" borderId="137" xfId="1" applyNumberFormat="1" applyFont="1" applyFill="1" applyBorder="1"/>
    <xf numFmtId="170" fontId="66" fillId="125" borderId="9" xfId="1" applyNumberFormat="1" applyFont="1" applyFill="1" applyBorder="1"/>
    <xf numFmtId="170" fontId="66" fillId="125" borderId="137" xfId="1" applyNumberFormat="1" applyFont="1" applyFill="1" applyBorder="1"/>
    <xf numFmtId="170" fontId="1" fillId="125" borderId="12" xfId="1" applyNumberFormat="1" applyFont="1" applyFill="1" applyBorder="1"/>
    <xf numFmtId="170" fontId="1" fillId="125" borderId="14" xfId="1" applyNumberFormat="1" applyFont="1" applyFill="1" applyBorder="1"/>
    <xf numFmtId="169" fontId="3" fillId="126" borderId="16" xfId="1" applyFont="1" applyFill="1" applyBorder="1" applyAlignment="1">
      <alignment horizontal="center"/>
    </xf>
    <xf numFmtId="170" fontId="1" fillId="126" borderId="9" xfId="1" applyNumberFormat="1" applyFont="1" applyFill="1" applyBorder="1"/>
    <xf numFmtId="169" fontId="1" fillId="126" borderId="9" xfId="1" applyFont="1" applyFill="1" applyBorder="1"/>
    <xf numFmtId="169" fontId="1" fillId="7" borderId="137" xfId="1" applyFont="1" applyFill="1" applyBorder="1"/>
    <xf numFmtId="170" fontId="1" fillId="2" borderId="137" xfId="1" applyNumberFormat="1" applyFont="1" applyFill="1" applyBorder="1"/>
    <xf numFmtId="169" fontId="1" fillId="21" borderId="115" xfId="1" applyFont="1" applyFill="1" applyBorder="1"/>
    <xf numFmtId="173" fontId="23" fillId="18" borderId="106" xfId="1" applyNumberFormat="1" applyFont="1" applyFill="1" applyBorder="1"/>
    <xf numFmtId="169" fontId="43" fillId="29" borderId="137" xfId="1" applyFont="1" applyFill="1" applyBorder="1"/>
    <xf numFmtId="170" fontId="1" fillId="125" borderId="9" xfId="1" applyNumberFormat="1" applyFont="1" applyFill="1" applyBorder="1"/>
    <xf numFmtId="170" fontId="1" fillId="125" borderId="137" xfId="1" applyNumberFormat="1" applyFont="1" applyFill="1" applyBorder="1"/>
    <xf numFmtId="170" fontId="65" fillId="29" borderId="17" xfId="1" applyNumberFormat="1" applyFont="1" applyFill="1" applyBorder="1"/>
    <xf numFmtId="170" fontId="43" fillId="29" borderId="136" xfId="1" applyNumberFormat="1" applyFont="1" applyFill="1" applyBorder="1"/>
    <xf numFmtId="170" fontId="32" fillId="13" borderId="105" xfId="1" applyNumberFormat="1" applyFont="1" applyFill="1" applyBorder="1"/>
    <xf numFmtId="170" fontId="1" fillId="35" borderId="105" xfId="1" applyNumberFormat="1" applyFont="1" applyFill="1" applyBorder="1"/>
    <xf numFmtId="170" fontId="63" fillId="29" borderId="136" xfId="1" applyNumberFormat="1" applyFont="1" applyFill="1" applyBorder="1"/>
    <xf numFmtId="173" fontId="66" fillId="38" borderId="104" xfId="1" applyNumberFormat="1" applyFont="1" applyFill="1" applyBorder="1"/>
    <xf numFmtId="170" fontId="32" fillId="125" borderId="9" xfId="1" applyNumberFormat="1" applyFont="1" applyFill="1" applyBorder="1"/>
    <xf numFmtId="170" fontId="32" fillId="125" borderId="137" xfId="1" applyNumberFormat="1" applyFont="1" applyFill="1" applyBorder="1"/>
    <xf numFmtId="170" fontId="1" fillId="19" borderId="137" xfId="1" applyNumberFormat="1" applyFont="1" applyFill="1" applyBorder="1"/>
    <xf numFmtId="170" fontId="3" fillId="14" borderId="15" xfId="1" applyNumberFormat="1" applyFont="1" applyFill="1" applyBorder="1" applyAlignment="1">
      <alignment horizontal="center"/>
    </xf>
    <xf numFmtId="170" fontId="66" fillId="13" borderId="136" xfId="1" applyNumberFormat="1" applyFont="1" applyFill="1" applyBorder="1"/>
    <xf numFmtId="169" fontId="3" fillId="126" borderId="12" xfId="1" applyFont="1" applyFill="1" applyBorder="1" applyAlignment="1">
      <alignment horizontal="center"/>
    </xf>
    <xf numFmtId="169" fontId="3" fillId="7" borderId="13" xfId="1" applyFont="1" applyFill="1" applyBorder="1" applyAlignment="1">
      <alignment horizontal="center"/>
    </xf>
    <xf numFmtId="170" fontId="66" fillId="125" borderId="17" xfId="1" applyNumberFormat="1" applyFont="1" applyFill="1" applyBorder="1"/>
    <xf numFmtId="170" fontId="66" fillId="125" borderId="136" xfId="1" applyNumberFormat="1" applyFont="1" applyFill="1" applyBorder="1"/>
    <xf numFmtId="170" fontId="1" fillId="19" borderId="105" xfId="1" applyNumberFormat="1" applyFont="1" applyFill="1" applyBorder="1"/>
    <xf numFmtId="170" fontId="1" fillId="125" borderId="15" xfId="1" applyNumberFormat="1" applyFont="1" applyFill="1" applyBorder="1"/>
    <xf numFmtId="169" fontId="44" fillId="18" borderId="106" xfId="1" applyFont="1" applyFill="1" applyBorder="1"/>
    <xf numFmtId="169" fontId="44" fillId="126" borderId="9" xfId="1" applyFont="1" applyFill="1" applyBorder="1"/>
    <xf numFmtId="169" fontId="44" fillId="7" borderId="137" xfId="1" applyFont="1" applyFill="1" applyBorder="1"/>
    <xf numFmtId="170" fontId="44" fillId="28" borderId="103" xfId="1" applyNumberFormat="1" applyFont="1" applyFill="1" applyBorder="1"/>
    <xf numFmtId="169" fontId="43" fillId="29" borderId="20" xfId="1" applyFont="1" applyFill="1" applyBorder="1"/>
    <xf numFmtId="169" fontId="25" fillId="42" borderId="9" xfId="1" applyFont="1" applyFill="1" applyBorder="1"/>
    <xf numFmtId="169" fontId="25" fillId="42" borderId="137" xfId="1" applyFont="1" applyFill="1" applyBorder="1"/>
    <xf numFmtId="169" fontId="25" fillId="125" borderId="9" xfId="1" applyFont="1" applyFill="1" applyBorder="1"/>
    <xf numFmtId="169" fontId="25" fillId="125" borderId="137" xfId="1" applyFont="1" applyFill="1" applyBorder="1"/>
    <xf numFmtId="169" fontId="25" fillId="6" borderId="137" xfId="1" applyFont="1" applyFill="1" applyBorder="1"/>
    <xf numFmtId="169" fontId="25" fillId="42" borderId="20" xfId="1" applyFont="1" applyFill="1" applyBorder="1"/>
    <xf numFmtId="239" fontId="25" fillId="6" borderId="9" xfId="1" applyNumberFormat="1" applyFont="1" applyFill="1" applyBorder="1"/>
    <xf numFmtId="239" fontId="25" fillId="6" borderId="137" xfId="1" applyNumberFormat="1" applyFont="1" applyFill="1" applyBorder="1"/>
    <xf numFmtId="173" fontId="1" fillId="18" borderId="143" xfId="1" applyNumberFormat="1" applyFont="1" applyFill="1" applyBorder="1"/>
    <xf numFmtId="173" fontId="44" fillId="18" borderId="106" xfId="1" applyNumberFormat="1" applyFont="1" applyFill="1" applyBorder="1"/>
    <xf numFmtId="0" fontId="43" fillId="29" borderId="136" xfId="0" applyFont="1" applyFill="1" applyBorder="1" applyAlignment="1">
      <alignment horizontal="center"/>
    </xf>
    <xf numFmtId="0" fontId="44" fillId="0" borderId="105" xfId="0" applyFont="1" applyBorder="1" applyAlignment="1">
      <alignment horizontal="center"/>
    </xf>
    <xf numFmtId="0" fontId="43" fillId="29" borderId="17" xfId="0" applyFont="1" applyFill="1" applyBorder="1" applyAlignment="1">
      <alignment horizontal="center"/>
    </xf>
    <xf numFmtId="14" fontId="43" fillId="29" borderId="20" xfId="0" applyNumberFormat="1" applyFont="1" applyFill="1" applyBorder="1"/>
    <xf numFmtId="0" fontId="0" fillId="0" borderId="9" xfId="0" applyBorder="1" applyAlignment="1">
      <alignment horizontal="center"/>
    </xf>
    <xf numFmtId="14" fontId="0" fillId="0" borderId="137" xfId="0" applyNumberFormat="1" applyBorder="1"/>
    <xf numFmtId="0" fontId="44" fillId="0" borderId="9" xfId="0" applyFont="1" applyBorder="1" applyAlignment="1">
      <alignment horizontal="center"/>
    </xf>
    <xf numFmtId="14" fontId="44" fillId="0" borderId="137" xfId="0" applyNumberFormat="1" applyFont="1" applyBorder="1"/>
    <xf numFmtId="0" fontId="29" fillId="24" borderId="12" xfId="0" applyFont="1" applyFill="1" applyBorder="1" applyAlignment="1">
      <alignment horizontal="center"/>
    </xf>
    <xf numFmtId="14" fontId="29" fillId="24" borderId="14" xfId="0" applyNumberFormat="1" applyFont="1" applyFill="1" applyBorder="1"/>
    <xf numFmtId="0" fontId="24" fillId="21" borderId="105" xfId="0" applyFont="1" applyFill="1" applyBorder="1" applyAlignment="1">
      <alignment horizontal="center"/>
    </xf>
    <xf numFmtId="0" fontId="0" fillId="0" borderId="136" xfId="0" applyBorder="1" applyAlignment="1">
      <alignment horizontal="center"/>
    </xf>
    <xf numFmtId="0" fontId="0" fillId="0" borderId="108" xfId="0" applyBorder="1" applyAlignment="1">
      <alignment horizontal="center"/>
    </xf>
    <xf numFmtId="14" fontId="0" fillId="0" borderId="116" xfId="0" applyNumberFormat="1" applyBorder="1"/>
    <xf numFmtId="0" fontId="24" fillId="21" borderId="9" xfId="0" applyFont="1" applyFill="1" applyBorder="1" applyAlignment="1">
      <alignment horizontal="center"/>
    </xf>
    <xf numFmtId="14" fontId="24" fillId="21" borderId="137" xfId="0" applyNumberFormat="1" applyFont="1" applyFill="1" applyBorder="1"/>
    <xf numFmtId="0" fontId="0" fillId="0" borderId="17" xfId="0" applyBorder="1" applyAlignment="1">
      <alignment horizontal="center"/>
    </xf>
    <xf numFmtId="14" fontId="0" fillId="0" borderId="20" xfId="0" applyNumberFormat="1" applyBorder="1"/>
    <xf numFmtId="169" fontId="1" fillId="126" borderId="108" xfId="1" applyFont="1" applyFill="1" applyBorder="1"/>
    <xf numFmtId="169" fontId="1" fillId="7" borderId="116" xfId="1" applyFont="1" applyFill="1" applyBorder="1"/>
    <xf numFmtId="0" fontId="0" fillId="21" borderId="105" xfId="0" applyFill="1" applyBorder="1" applyAlignment="1">
      <alignment horizontal="center"/>
    </xf>
    <xf numFmtId="0" fontId="23" fillId="0" borderId="9" xfId="0" applyFont="1" applyBorder="1" applyAlignment="1">
      <alignment horizontal="center"/>
    </xf>
    <xf numFmtId="14" fontId="23" fillId="0" borderId="137" xfId="0" applyNumberFormat="1" applyFont="1" applyBorder="1"/>
    <xf numFmtId="0" fontId="0" fillId="21" borderId="127" xfId="0" applyFill="1" applyBorder="1" applyAlignment="1">
      <alignment horizontal="center"/>
    </xf>
    <xf numFmtId="0" fontId="0" fillId="21" borderId="108" xfId="0" applyFill="1" applyBorder="1" applyAlignment="1">
      <alignment horizontal="center"/>
    </xf>
    <xf numFmtId="14" fontId="0" fillId="21" borderId="116" xfId="0" applyNumberFormat="1" applyFill="1" applyBorder="1"/>
    <xf numFmtId="170" fontId="0" fillId="0" borderId="0" xfId="0" applyNumberFormat="1" applyAlignment="1">
      <alignment horizontal="center"/>
    </xf>
    <xf numFmtId="169" fontId="23" fillId="24" borderId="104" xfId="1" applyFont="1" applyFill="1" applyBorder="1"/>
    <xf numFmtId="169" fontId="1" fillId="24" borderId="104" xfId="1" applyFont="1" applyFill="1" applyBorder="1"/>
    <xf numFmtId="170" fontId="23" fillId="24" borderId="137" xfId="1" applyNumberFormat="1" applyFont="1" applyFill="1" applyBorder="1"/>
    <xf numFmtId="169" fontId="29" fillId="24" borderId="138" xfId="1" applyFont="1" applyFill="1" applyBorder="1"/>
    <xf numFmtId="0" fontId="43" fillId="29" borderId="143" xfId="0" applyFont="1" applyFill="1" applyBorder="1"/>
    <xf numFmtId="169" fontId="43" fillId="29" borderId="17" xfId="1" applyFont="1" applyFill="1" applyBorder="1" applyAlignment="1"/>
    <xf numFmtId="169" fontId="43" fillId="29" borderId="20" xfId="1" applyFont="1" applyFill="1" applyBorder="1" applyAlignment="1"/>
    <xf numFmtId="170" fontId="43" fillId="29" borderId="144" xfId="1" applyNumberFormat="1" applyFont="1" applyFill="1" applyBorder="1"/>
    <xf numFmtId="170" fontId="43" fillId="29" borderId="145" xfId="1" applyNumberFormat="1" applyFont="1" applyFill="1" applyBorder="1"/>
    <xf numFmtId="170" fontId="25" fillId="125" borderId="17" xfId="1" applyNumberFormat="1" applyFont="1" applyFill="1" applyBorder="1"/>
    <xf numFmtId="170" fontId="25" fillId="125" borderId="20" xfId="1" applyNumberFormat="1" applyFont="1" applyFill="1" applyBorder="1"/>
    <xf numFmtId="239" fontId="25" fillId="125" borderId="17" xfId="1" applyNumberFormat="1" applyFont="1" applyFill="1" applyBorder="1"/>
    <xf numFmtId="239" fontId="25" fillId="125" borderId="20" xfId="1" applyNumberFormat="1" applyFont="1" applyFill="1" applyBorder="1"/>
    <xf numFmtId="170" fontId="41" fillId="14" borderId="132" xfId="1" applyNumberFormat="1" applyFont="1" applyFill="1" applyBorder="1"/>
    <xf numFmtId="170" fontId="25" fillId="42" borderId="17" xfId="1" applyNumberFormat="1" applyFont="1" applyFill="1" applyBorder="1"/>
    <xf numFmtId="170" fontId="25" fillId="42" borderId="20" xfId="1" applyNumberFormat="1" applyFont="1" applyFill="1" applyBorder="1"/>
    <xf numFmtId="170" fontId="25" fillId="2" borderId="17" xfId="1" applyNumberFormat="1" applyFont="1" applyFill="1" applyBorder="1"/>
    <xf numFmtId="170" fontId="25" fillId="2" borderId="20" xfId="1" applyNumberFormat="1" applyFont="1" applyFill="1" applyBorder="1"/>
    <xf numFmtId="169" fontId="1" fillId="21" borderId="108" xfId="1" applyFont="1" applyFill="1" applyBorder="1"/>
    <xf numFmtId="173" fontId="29" fillId="18" borderId="12" xfId="1" applyNumberFormat="1" applyFont="1" applyFill="1" applyBorder="1"/>
    <xf numFmtId="0" fontId="0" fillId="0" borderId="149" xfId="0" applyBorder="1" applyAlignment="1">
      <alignment horizontal="center"/>
    </xf>
    <xf numFmtId="169" fontId="36" fillId="0" borderId="150" xfId="1" applyFont="1" applyFill="1" applyBorder="1"/>
    <xf numFmtId="0" fontId="3" fillId="14" borderId="12" xfId="0" applyFont="1" applyFill="1" applyBorder="1" applyAlignment="1">
      <alignment horizontal="center" vertical="center"/>
    </xf>
    <xf numFmtId="0" fontId="3" fillId="14" borderId="13" xfId="0" applyFont="1" applyFill="1" applyBorder="1" applyAlignment="1">
      <alignment horizontal="center" vertical="center"/>
    </xf>
    <xf numFmtId="169" fontId="3" fillId="14" borderId="12" xfId="1" applyFont="1" applyFill="1" applyBorder="1" applyAlignment="1">
      <alignment horizontal="center" vertical="center"/>
    </xf>
    <xf numFmtId="169" fontId="3" fillId="14" borderId="16" xfId="1" applyFont="1" applyFill="1" applyBorder="1" applyAlignment="1">
      <alignment horizontal="center" vertical="center"/>
    </xf>
    <xf numFmtId="174" fontId="3" fillId="14" borderId="13" xfId="2" applyFont="1" applyFill="1" applyBorder="1" applyAlignment="1">
      <alignment horizontal="center" vertical="center"/>
    </xf>
    <xf numFmtId="170" fontId="3" fillId="14" borderId="14" xfId="1" applyNumberFormat="1" applyFont="1" applyFill="1" applyBorder="1" applyAlignment="1">
      <alignment horizontal="center" vertical="center"/>
    </xf>
    <xf numFmtId="169" fontId="3" fillId="126" borderId="16" xfId="1" applyFont="1" applyFill="1" applyBorder="1" applyAlignment="1">
      <alignment horizontal="center" vertical="center"/>
    </xf>
    <xf numFmtId="169" fontId="3" fillId="7" borderId="16" xfId="1" applyFont="1" applyFill="1" applyBorder="1" applyAlignment="1">
      <alignment horizontal="center" vertical="center"/>
    </xf>
    <xf numFmtId="173" fontId="3" fillId="18" borderId="32" xfId="1" applyNumberFormat="1" applyFont="1" applyFill="1" applyBorder="1" applyAlignment="1">
      <alignment horizontal="center" vertical="center"/>
    </xf>
    <xf numFmtId="169" fontId="3" fillId="14" borderId="13" xfId="1" applyFont="1" applyFill="1" applyBorder="1" applyAlignment="1">
      <alignment horizontal="center" vertical="center"/>
    </xf>
    <xf numFmtId="174" fontId="3" fillId="18" borderId="13" xfId="2" applyFont="1" applyFill="1" applyBorder="1" applyAlignment="1">
      <alignment horizontal="center" vertical="center"/>
    </xf>
    <xf numFmtId="170" fontId="3" fillId="18" borderId="14" xfId="1" applyNumberFormat="1" applyFont="1" applyFill="1" applyBorder="1" applyAlignment="1">
      <alignment horizontal="center" vertical="center"/>
    </xf>
    <xf numFmtId="169" fontId="3" fillId="7" borderId="12" xfId="1" applyFont="1" applyFill="1" applyBorder="1" applyAlignment="1">
      <alignment horizontal="center" vertical="center"/>
    </xf>
    <xf numFmtId="174" fontId="3" fillId="7" borderId="13" xfId="2" applyFont="1" applyFill="1" applyBorder="1" applyAlignment="1">
      <alignment horizontal="center" vertical="center"/>
    </xf>
    <xf numFmtId="170" fontId="3" fillId="7" borderId="15" xfId="1" applyNumberFormat="1" applyFont="1" applyFill="1" applyBorder="1" applyAlignment="1">
      <alignment horizontal="center" vertical="center"/>
    </xf>
    <xf numFmtId="169" fontId="3" fillId="24" borderId="12" xfId="1" applyFont="1" applyFill="1" applyBorder="1" applyAlignment="1">
      <alignment horizontal="center" vertical="center"/>
    </xf>
    <xf numFmtId="170" fontId="3" fillId="24" borderId="14" xfId="1" applyNumberFormat="1" applyFont="1" applyFill="1" applyBorder="1" applyAlignment="1">
      <alignment horizontal="center" vertical="center" wrapText="1"/>
    </xf>
    <xf numFmtId="170" fontId="3" fillId="28" borderId="16" xfId="1" applyNumberFormat="1" applyFont="1" applyFill="1" applyBorder="1" applyAlignment="1">
      <alignment horizontal="center" vertical="center"/>
    </xf>
    <xf numFmtId="170" fontId="3" fillId="28" borderId="13" xfId="1" applyNumberFormat="1" applyFont="1" applyFill="1" applyBorder="1" applyAlignment="1">
      <alignment horizontal="center" vertical="center"/>
    </xf>
    <xf numFmtId="0" fontId="3" fillId="28" borderId="14" xfId="0" applyFont="1" applyFill="1" applyBorder="1" applyAlignment="1">
      <alignment horizontal="center" vertical="center"/>
    </xf>
    <xf numFmtId="169" fontId="33" fillId="0" borderId="0" xfId="1" applyFont="1" applyFill="1" applyAlignment="1">
      <alignment horizontal="center" vertical="center"/>
    </xf>
    <xf numFmtId="169" fontId="35" fillId="7" borderId="106" xfId="1" applyFont="1" applyFill="1" applyBorder="1" applyAlignment="1">
      <alignment horizontal="center" vertical="center"/>
    </xf>
    <xf numFmtId="169" fontId="74" fillId="7" borderId="106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153" xfId="0" applyBorder="1" applyAlignment="1">
      <alignment horizontal="center"/>
    </xf>
    <xf numFmtId="14" fontId="0" fillId="0" borderId="152" xfId="0" applyNumberFormat="1" applyBorder="1"/>
    <xf numFmtId="173" fontId="1" fillId="18" borderId="148" xfId="1" applyNumberFormat="1" applyFont="1" applyFill="1" applyBorder="1"/>
    <xf numFmtId="173" fontId="44" fillId="18" borderId="148" xfId="1" applyNumberFormat="1" applyFont="1" applyFill="1" applyBorder="1"/>
    <xf numFmtId="169" fontId="36" fillId="0" borderId="148" xfId="1" applyFont="1" applyFill="1" applyBorder="1"/>
    <xf numFmtId="0" fontId="24" fillId="21" borderId="127" xfId="0" applyFont="1" applyFill="1" applyBorder="1" applyAlignment="1">
      <alignment horizontal="center"/>
    </xf>
    <xf numFmtId="0" fontId="24" fillId="21" borderId="108" xfId="0" applyFont="1" applyFill="1" applyBorder="1" applyAlignment="1">
      <alignment horizontal="center"/>
    </xf>
    <xf numFmtId="14" fontId="24" fillId="21" borderId="116" xfId="0" applyNumberFormat="1" applyFont="1" applyFill="1" applyBorder="1"/>
    <xf numFmtId="169" fontId="24" fillId="21" borderId="108" xfId="1" applyFont="1" applyFill="1" applyBorder="1"/>
    <xf numFmtId="168" fontId="24" fillId="21" borderId="116" xfId="0" applyNumberFormat="1" applyFont="1" applyFill="1" applyBorder="1" applyAlignment="1">
      <alignment horizontal="center"/>
    </xf>
    <xf numFmtId="169" fontId="35" fillId="0" borderId="103" xfId="1" applyFont="1" applyFill="1" applyBorder="1"/>
    <xf numFmtId="173" fontId="44" fillId="18" borderId="9" xfId="1" applyNumberFormat="1" applyFont="1" applyFill="1" applyBorder="1"/>
    <xf numFmtId="169" fontId="44" fillId="24" borderId="104" xfId="1" applyFont="1" applyFill="1" applyBorder="1"/>
    <xf numFmtId="169" fontId="36" fillId="0" borderId="153" xfId="1" applyFont="1" applyFill="1" applyBorder="1"/>
    <xf numFmtId="169" fontId="35" fillId="0" borderId="153" xfId="1" applyFont="1" applyFill="1" applyBorder="1"/>
    <xf numFmtId="169" fontId="46" fillId="27" borderId="153" xfId="1" applyFont="1" applyFill="1" applyBorder="1"/>
    <xf numFmtId="169" fontId="36" fillId="27" borderId="153" xfId="1" applyFont="1" applyFill="1" applyBorder="1" applyAlignment="1">
      <alignment horizontal="center"/>
    </xf>
    <xf numFmtId="169" fontId="36" fillId="27" borderId="153" xfId="1" applyFont="1" applyFill="1" applyBorder="1"/>
    <xf numFmtId="0" fontId="23" fillId="0" borderId="149" xfId="0" applyFont="1" applyBorder="1" applyAlignment="1">
      <alignment horizontal="center"/>
    </xf>
    <xf numFmtId="0" fontId="23" fillId="0" borderId="153" xfId="0" applyFont="1" applyBorder="1" applyAlignment="1">
      <alignment horizontal="center"/>
    </xf>
    <xf numFmtId="14" fontId="23" fillId="0" borderId="152" xfId="0" applyNumberFormat="1" applyFont="1" applyBorder="1"/>
    <xf numFmtId="170" fontId="1" fillId="2" borderId="153" xfId="1" applyNumberFormat="1" applyFont="1" applyFill="1" applyBorder="1"/>
    <xf numFmtId="170" fontId="1" fillId="2" borderId="152" xfId="1" applyNumberFormat="1" applyFont="1" applyFill="1" applyBorder="1"/>
    <xf numFmtId="0" fontId="36" fillId="0" borderId="148" xfId="0" applyFont="1" applyBorder="1"/>
    <xf numFmtId="169" fontId="26" fillId="0" borderId="148" xfId="0" applyNumberFormat="1" applyFont="1" applyBorder="1"/>
    <xf numFmtId="0" fontId="36" fillId="0" borderId="150" xfId="0" applyFont="1" applyBorder="1"/>
    <xf numFmtId="0" fontId="2" fillId="0" borderId="150" xfId="0" applyFont="1" applyBorder="1"/>
    <xf numFmtId="0" fontId="26" fillId="0" borderId="150" xfId="0" applyFont="1" applyBorder="1"/>
    <xf numFmtId="0" fontId="28" fillId="0" borderId="150" xfId="0" applyFont="1" applyBorder="1"/>
    <xf numFmtId="0" fontId="34" fillId="0" borderId="150" xfId="0" applyFont="1" applyBorder="1"/>
    <xf numFmtId="0" fontId="190" fillId="0" borderId="150" xfId="0" applyFont="1" applyBorder="1"/>
    <xf numFmtId="169" fontId="190" fillId="0" borderId="150" xfId="0" applyNumberFormat="1" applyFont="1" applyBorder="1"/>
    <xf numFmtId="169" fontId="36" fillId="0" borderId="150" xfId="1" applyFont="1" applyFill="1" applyBorder="1" applyAlignment="1">
      <alignment horizontal="center"/>
    </xf>
    <xf numFmtId="169" fontId="28" fillId="0" borderId="150" xfId="1" applyFont="1" applyFill="1" applyBorder="1"/>
    <xf numFmtId="174" fontId="38" fillId="3" borderId="154" xfId="2" applyFont="1" applyFill="1" applyBorder="1"/>
    <xf numFmtId="169" fontId="35" fillId="0" borderId="150" xfId="1" applyFont="1" applyFill="1" applyBorder="1"/>
    <xf numFmtId="169" fontId="36" fillId="0" borderId="155" xfId="1" applyFont="1" applyFill="1" applyBorder="1"/>
    <xf numFmtId="169" fontId="47" fillId="0" borderId="150" xfId="1" applyFont="1" applyFill="1" applyBorder="1"/>
    <xf numFmtId="169" fontId="38" fillId="8" borderId="148" xfId="1" applyFont="1" applyFill="1" applyBorder="1" applyAlignment="1">
      <alignment horizontal="center"/>
    </xf>
    <xf numFmtId="169" fontId="44" fillId="0" borderId="148" xfId="1" applyFont="1" applyFill="1" applyBorder="1"/>
    <xf numFmtId="169" fontId="34" fillId="0" borderId="148" xfId="1" applyFont="1" applyFill="1" applyBorder="1"/>
    <xf numFmtId="169" fontId="38" fillId="0" borderId="151" xfId="1" applyFont="1" applyFill="1" applyBorder="1" applyAlignment="1">
      <alignment horizontal="center"/>
    </xf>
    <xf numFmtId="0" fontId="3" fillId="0" borderId="151" xfId="0" applyFont="1" applyBorder="1" applyAlignment="1">
      <alignment horizontal="center"/>
    </xf>
    <xf numFmtId="239" fontId="25" fillId="125" borderId="104" xfId="1" applyNumberFormat="1" applyFont="1" applyFill="1" applyBorder="1"/>
    <xf numFmtId="170" fontId="25" fillId="125" borderId="152" xfId="1" applyNumberFormat="1" applyFont="1" applyFill="1" applyBorder="1"/>
    <xf numFmtId="239" fontId="25" fillId="125" borderId="152" xfId="1" applyNumberFormat="1" applyFont="1" applyFill="1" applyBorder="1"/>
    <xf numFmtId="170" fontId="1" fillId="125" borderId="152" xfId="1" applyNumberFormat="1" applyFont="1" applyFill="1" applyBorder="1"/>
    <xf numFmtId="0" fontId="44" fillId="0" borderId="17" xfId="0" applyFont="1" applyBorder="1" applyAlignment="1">
      <alignment horizontal="center"/>
    </xf>
    <xf numFmtId="14" fontId="44" fillId="0" borderId="20" xfId="0" applyNumberFormat="1" applyFont="1" applyBorder="1"/>
    <xf numFmtId="169" fontId="25" fillId="42" borderId="142" xfId="1" applyFont="1" applyFill="1" applyBorder="1"/>
    <xf numFmtId="239" fontId="25" fillId="6" borderId="17" xfId="1" applyNumberFormat="1" applyFont="1" applyFill="1" applyBorder="1"/>
    <xf numFmtId="169" fontId="25" fillId="42" borderId="136" xfId="1" applyFont="1" applyFill="1" applyBorder="1"/>
    <xf numFmtId="173" fontId="25" fillId="42" borderId="106" xfId="1" applyNumberFormat="1" applyFont="1" applyFill="1" applyBorder="1"/>
    <xf numFmtId="174" fontId="25" fillId="42" borderId="106" xfId="2" applyFont="1" applyFill="1" applyBorder="1"/>
    <xf numFmtId="169" fontId="25" fillId="42" borderId="150" xfId="1" applyFont="1" applyFill="1" applyBorder="1"/>
    <xf numFmtId="169" fontId="1" fillId="18" borderId="115" xfId="1" applyFont="1" applyFill="1" applyBorder="1"/>
    <xf numFmtId="169" fontId="1" fillId="18" borderId="143" xfId="1" applyFont="1" applyFill="1" applyBorder="1"/>
    <xf numFmtId="169" fontId="44" fillId="18" borderId="143" xfId="1" applyFont="1" applyFill="1" applyBorder="1"/>
    <xf numFmtId="169" fontId="26" fillId="18" borderId="143" xfId="1" applyFont="1" applyFill="1" applyBorder="1"/>
    <xf numFmtId="169" fontId="2" fillId="18" borderId="148" xfId="1" applyFont="1" applyFill="1" applyBorder="1"/>
    <xf numFmtId="169" fontId="29" fillId="18" borderId="13" xfId="1" applyFont="1" applyFill="1" applyBorder="1"/>
    <xf numFmtId="44" fontId="0" fillId="0" borderId="0" xfId="0" applyNumberFormat="1" applyAlignment="1">
      <alignment horizontal="center"/>
    </xf>
    <xf numFmtId="169" fontId="1" fillId="18" borderId="148" xfId="1" applyFont="1" applyFill="1" applyBorder="1"/>
    <xf numFmtId="169" fontId="1" fillId="18" borderId="109" xfId="1" applyFont="1" applyFill="1" applyBorder="1"/>
    <xf numFmtId="0" fontId="28" fillId="0" borderId="9" xfId="0" applyFont="1" applyBorder="1" applyAlignment="1">
      <alignment horizontal="center"/>
    </xf>
    <xf numFmtId="14" fontId="28" fillId="0" borderId="137" xfId="0" applyNumberFormat="1" applyFont="1" applyBorder="1"/>
    <xf numFmtId="169" fontId="28" fillId="126" borderId="9" xfId="1" applyFont="1" applyFill="1" applyBorder="1"/>
    <xf numFmtId="169" fontId="28" fillId="7" borderId="137" xfId="1" applyFont="1" applyFill="1" applyBorder="1"/>
    <xf numFmtId="169" fontId="28" fillId="18" borderId="31" xfId="1" applyFont="1" applyFill="1" applyBorder="1"/>
    <xf numFmtId="174" fontId="28" fillId="8" borderId="106" xfId="2" applyFont="1" applyFill="1" applyBorder="1"/>
    <xf numFmtId="169" fontId="28" fillId="24" borderId="104" xfId="1" applyFont="1" applyFill="1" applyBorder="1"/>
    <xf numFmtId="169" fontId="29" fillId="24" borderId="32" xfId="1" applyFont="1" applyFill="1" applyBorder="1"/>
    <xf numFmtId="170" fontId="28" fillId="24" borderId="137" xfId="1" applyNumberFormat="1" applyFont="1" applyFill="1" applyBorder="1"/>
    <xf numFmtId="170" fontId="1" fillId="24" borderId="110" xfId="1" applyNumberFormat="1" applyFont="1" applyFill="1" applyBorder="1"/>
    <xf numFmtId="0" fontId="0" fillId="7" borderId="9" xfId="0" applyFill="1" applyBorder="1"/>
    <xf numFmtId="0" fontId="0" fillId="7" borderId="19" xfId="0" applyFill="1" applyBorder="1"/>
    <xf numFmtId="0" fontId="0" fillId="7" borderId="19" xfId="0" applyFill="1" applyBorder="1" applyAlignment="1">
      <alignment horizontal="center"/>
    </xf>
    <xf numFmtId="169" fontId="1" fillId="7" borderId="31" xfId="1" applyFont="1" applyFill="1" applyBorder="1"/>
    <xf numFmtId="173" fontId="1" fillId="7" borderId="148" xfId="1" applyNumberFormat="1" applyFont="1" applyFill="1" applyBorder="1"/>
    <xf numFmtId="170" fontId="1" fillId="7" borderId="126" xfId="1" applyNumberFormat="1" applyFont="1" applyFill="1" applyBorder="1"/>
    <xf numFmtId="169" fontId="1" fillId="7" borderId="25" xfId="1" applyFont="1" applyFill="1" applyBorder="1"/>
    <xf numFmtId="170" fontId="1" fillId="7" borderId="9" xfId="1" applyNumberFormat="1" applyFont="1" applyFill="1" applyBorder="1"/>
    <xf numFmtId="170" fontId="1" fillId="7" borderId="106" xfId="1" applyNumberFormat="1" applyFont="1" applyFill="1" applyBorder="1"/>
    <xf numFmtId="0" fontId="0" fillId="7" borderId="107" xfId="0" applyFill="1" applyBorder="1" applyAlignment="1">
      <alignment horizontal="center"/>
    </xf>
    <xf numFmtId="0" fontId="34" fillId="7" borderId="153" xfId="0" applyFont="1" applyFill="1" applyBorder="1" applyAlignment="1">
      <alignment horizontal="center"/>
    </xf>
    <xf numFmtId="14" fontId="34" fillId="7" borderId="152" xfId="0" applyNumberFormat="1" applyFont="1" applyFill="1" applyBorder="1"/>
    <xf numFmtId="169" fontId="44" fillId="18" borderId="148" xfId="1" applyFont="1" applyFill="1" applyBorder="1"/>
    <xf numFmtId="169" fontId="1" fillId="18" borderId="156" xfId="1" applyFont="1" applyFill="1" applyBorder="1"/>
    <xf numFmtId="169" fontId="28" fillId="18" borderId="148" xfId="1" applyFont="1" applyFill="1" applyBorder="1"/>
    <xf numFmtId="0" fontId="69" fillId="0" borderId="0" xfId="1" applyNumberFormat="1" applyFont="1" applyFill="1" applyBorder="1" applyAlignment="1">
      <alignment horizontal="center"/>
    </xf>
    <xf numFmtId="0" fontId="35" fillId="0" borderId="0" xfId="1" applyNumberFormat="1" applyFont="1" applyFill="1" applyAlignment="1">
      <alignment horizontal="center"/>
    </xf>
    <xf numFmtId="0" fontId="28" fillId="0" borderId="17" xfId="0" applyFont="1" applyBorder="1" applyAlignment="1">
      <alignment horizontal="center"/>
    </xf>
    <xf numFmtId="14" fontId="28" fillId="0" borderId="20" xfId="0" applyNumberFormat="1" applyFont="1" applyBorder="1"/>
    <xf numFmtId="173" fontId="28" fillId="18" borderId="106" xfId="1" applyNumberFormat="1" applyFont="1" applyFill="1" applyBorder="1"/>
    <xf numFmtId="44" fontId="0" fillId="0" borderId="0" xfId="0" applyNumberFormat="1"/>
    <xf numFmtId="3" fontId="0" fillId="0" borderId="0" xfId="0" applyNumberFormat="1"/>
    <xf numFmtId="0" fontId="44" fillId="0" borderId="136" xfId="0" applyFont="1" applyBorder="1" applyAlignment="1">
      <alignment horizontal="center"/>
    </xf>
    <xf numFmtId="0" fontId="190" fillId="0" borderId="136" xfId="0" applyFont="1" applyBorder="1" applyAlignment="1">
      <alignment horizontal="center"/>
    </xf>
    <xf numFmtId="14" fontId="34" fillId="0" borderId="20" xfId="0" applyNumberFormat="1" applyFont="1" applyBorder="1"/>
    <xf numFmtId="14" fontId="190" fillId="0" borderId="20" xfId="0" applyNumberFormat="1" applyFont="1" applyBorder="1"/>
    <xf numFmtId="0" fontId="34" fillId="0" borderId="17" xfId="0" applyFont="1" applyBorder="1" applyAlignment="1">
      <alignment horizontal="center"/>
    </xf>
    <xf numFmtId="0" fontId="190" fillId="0" borderId="17" xfId="0" applyFont="1" applyBorder="1" applyAlignment="1">
      <alignment horizontal="center"/>
    </xf>
    <xf numFmtId="169" fontId="34" fillId="18" borderId="143" xfId="1" applyFont="1" applyFill="1" applyBorder="1"/>
    <xf numFmtId="169" fontId="190" fillId="18" borderId="143" xfId="1" applyFont="1" applyFill="1" applyBorder="1"/>
    <xf numFmtId="14" fontId="28" fillId="0" borderId="152" xfId="0" applyNumberFormat="1" applyFont="1" applyBorder="1"/>
    <xf numFmtId="0" fontId="25" fillId="131" borderId="17" xfId="0" applyFont="1" applyFill="1" applyBorder="1"/>
    <xf numFmtId="0" fontId="25" fillId="131" borderId="19" xfId="0" applyFont="1" applyFill="1" applyBorder="1"/>
    <xf numFmtId="0" fontId="25" fillId="131" borderId="19" xfId="0" applyFont="1" applyFill="1" applyBorder="1" applyAlignment="1">
      <alignment horizontal="center"/>
    </xf>
    <xf numFmtId="14" fontId="25" fillId="131" borderId="36" xfId="0" applyNumberFormat="1" applyFont="1" applyFill="1" applyBorder="1"/>
    <xf numFmtId="169" fontId="25" fillId="132" borderId="17" xfId="1" applyFont="1" applyFill="1" applyBorder="1"/>
    <xf numFmtId="169" fontId="25" fillId="132" borderId="145" xfId="1" applyFont="1" applyFill="1" applyBorder="1"/>
    <xf numFmtId="174" fontId="25" fillId="132" borderId="19" xfId="2" applyFont="1" applyFill="1" applyBorder="1"/>
    <xf numFmtId="170" fontId="25" fillId="132" borderId="20" xfId="1" applyNumberFormat="1" applyFont="1" applyFill="1" applyBorder="1"/>
    <xf numFmtId="169" fontId="25" fillId="131" borderId="137" xfId="1" applyFont="1" applyFill="1" applyBorder="1"/>
    <xf numFmtId="169" fontId="25" fillId="131" borderId="17" xfId="1" applyFont="1" applyFill="1" applyBorder="1"/>
    <xf numFmtId="169" fontId="25" fillId="131" borderId="145" xfId="1" applyFont="1" applyFill="1" applyBorder="1"/>
    <xf numFmtId="174" fontId="25" fillId="131" borderId="19" xfId="2" applyFont="1" applyFill="1" applyBorder="1"/>
    <xf numFmtId="170" fontId="25" fillId="131" borderId="107" xfId="1" applyNumberFormat="1" applyFont="1" applyFill="1" applyBorder="1"/>
    <xf numFmtId="169" fontId="25" fillId="131" borderId="9" xfId="1" applyFont="1" applyFill="1" applyBorder="1"/>
    <xf numFmtId="170" fontId="25" fillId="131" borderId="9" xfId="1" applyNumberFormat="1" applyFont="1" applyFill="1" applyBorder="1"/>
    <xf numFmtId="170" fontId="25" fillId="131" borderId="106" xfId="1" applyNumberFormat="1" applyFont="1" applyFill="1" applyBorder="1"/>
    <xf numFmtId="0" fontId="25" fillId="131" borderId="20" xfId="0" applyFont="1" applyFill="1" applyBorder="1" applyAlignment="1">
      <alignment horizontal="center"/>
    </xf>
    <xf numFmtId="239" fontId="25" fillId="131" borderId="9" xfId="1" applyNumberFormat="1" applyFont="1" applyFill="1" applyBorder="1"/>
    <xf numFmtId="0" fontId="25" fillId="0" borderId="136" xfId="0" applyFont="1" applyBorder="1" applyAlignment="1">
      <alignment horizontal="center"/>
    </xf>
    <xf numFmtId="0" fontId="25" fillId="42" borderId="136" xfId="0" applyFont="1" applyFill="1" applyBorder="1" applyAlignment="1">
      <alignment horizontal="center"/>
    </xf>
    <xf numFmtId="0" fontId="71" fillId="29" borderId="136" xfId="0" applyFont="1" applyFill="1" applyBorder="1" applyAlignment="1">
      <alignment horizontal="center"/>
    </xf>
    <xf numFmtId="0" fontId="66" fillId="0" borderId="149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14" fontId="25" fillId="0" borderId="20" xfId="0" applyNumberFormat="1" applyFont="1" applyBorder="1"/>
    <xf numFmtId="0" fontId="25" fillId="42" borderId="17" xfId="0" applyFont="1" applyFill="1" applyBorder="1" applyAlignment="1">
      <alignment horizontal="center"/>
    </xf>
    <xf numFmtId="14" fontId="25" fillId="42" borderId="20" xfId="0" applyNumberFormat="1" applyFont="1" applyFill="1" applyBorder="1"/>
    <xf numFmtId="0" fontId="71" fillId="29" borderId="17" xfId="0" applyFont="1" applyFill="1" applyBorder="1" applyAlignment="1">
      <alignment horizontal="center"/>
    </xf>
    <xf numFmtId="14" fontId="71" fillId="29" borderId="20" xfId="0" applyNumberFormat="1" applyFont="1" applyFill="1" applyBorder="1"/>
    <xf numFmtId="0" fontId="66" fillId="0" borderId="153" xfId="0" applyFont="1" applyBorder="1" applyAlignment="1">
      <alignment horizontal="center"/>
    </xf>
    <xf numFmtId="0" fontId="66" fillId="0" borderId="15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0" borderId="14" xfId="0" applyNumberFormat="1" applyBorder="1"/>
    <xf numFmtId="0" fontId="29" fillId="14" borderId="132" xfId="0" applyFont="1" applyFill="1" applyBorder="1" applyAlignment="1">
      <alignment horizontal="center"/>
    </xf>
    <xf numFmtId="14" fontId="29" fillId="14" borderId="134" xfId="0" applyNumberFormat="1" applyFont="1" applyFill="1" applyBorder="1"/>
    <xf numFmtId="0" fontId="25" fillId="6" borderId="136" xfId="0" applyFont="1" applyFill="1" applyBorder="1" applyAlignment="1">
      <alignment horizontal="center"/>
    </xf>
    <xf numFmtId="0" fontId="43" fillId="29" borderId="108" xfId="0" applyFont="1" applyFill="1" applyBorder="1" applyAlignment="1">
      <alignment horizontal="center"/>
    </xf>
    <xf numFmtId="14" fontId="43" fillId="29" borderId="116" xfId="0" applyNumberFormat="1" applyFont="1" applyFill="1" applyBorder="1"/>
    <xf numFmtId="0" fontId="25" fillId="6" borderId="17" xfId="0" applyFont="1" applyFill="1" applyBorder="1" applyAlignment="1">
      <alignment horizontal="center"/>
    </xf>
    <xf numFmtId="14" fontId="25" fillId="6" borderId="20" xfId="0" applyNumberFormat="1" applyFont="1" applyFill="1" applyBorder="1"/>
    <xf numFmtId="14" fontId="66" fillId="1" borderId="152" xfId="0" applyNumberFormat="1" applyFont="1" applyFill="1" applyBorder="1"/>
    <xf numFmtId="0" fontId="64" fillId="0" borderId="136" xfId="0" applyFont="1" applyBorder="1" applyAlignment="1">
      <alignment horizontal="center"/>
    </xf>
    <xf numFmtId="0" fontId="64" fillId="0" borderId="17" xfId="0" applyFont="1" applyBorder="1" applyAlignment="1">
      <alignment horizontal="center"/>
    </xf>
    <xf numFmtId="14" fontId="64" fillId="0" borderId="20" xfId="0" applyNumberFormat="1" applyFont="1" applyBorder="1"/>
    <xf numFmtId="14" fontId="66" fillId="1" borderId="157" xfId="0" applyNumberFormat="1" applyFont="1" applyFill="1" applyBorder="1"/>
    <xf numFmtId="14" fontId="43" fillId="29" borderId="121" xfId="0" applyNumberFormat="1" applyFont="1" applyFill="1" applyBorder="1"/>
    <xf numFmtId="0" fontId="41" fillId="14" borderId="132" xfId="0" applyFont="1" applyFill="1" applyBorder="1" applyAlignment="1">
      <alignment horizontal="center"/>
    </xf>
    <xf numFmtId="14" fontId="41" fillId="14" borderId="134" xfId="0" applyNumberFormat="1" applyFont="1" applyFill="1" applyBorder="1"/>
    <xf numFmtId="0" fontId="25" fillId="0" borderId="149" xfId="0" applyFont="1" applyBorder="1" applyAlignment="1">
      <alignment horizontal="center"/>
    </xf>
    <xf numFmtId="0" fontId="25" fillId="0" borderId="153" xfId="0" applyFont="1" applyBorder="1" applyAlignment="1">
      <alignment horizontal="center"/>
    </xf>
    <xf numFmtId="14" fontId="25" fillId="0" borderId="152" xfId="0" applyNumberFormat="1" applyFont="1" applyBorder="1"/>
    <xf numFmtId="170" fontId="196" fillId="8" borderId="106" xfId="1" applyNumberFormat="1" applyFont="1" applyFill="1" applyBorder="1" applyAlignment="1">
      <alignment vertical="center"/>
    </xf>
    <xf numFmtId="44" fontId="0" fillId="28" borderId="20" xfId="0" applyNumberFormat="1" applyFill="1" applyBorder="1" applyAlignment="1">
      <alignment horizontal="center"/>
    </xf>
    <xf numFmtId="0" fontId="28" fillId="0" borderId="136" xfId="0" applyFont="1" applyBorder="1" applyAlignment="1">
      <alignment horizontal="center"/>
    </xf>
    <xf numFmtId="169" fontId="28" fillId="18" borderId="30" xfId="1" applyFont="1" applyFill="1" applyBorder="1"/>
    <xf numFmtId="169" fontId="28" fillId="18" borderId="143" xfId="1" applyFont="1" applyFill="1" applyBorder="1"/>
    <xf numFmtId="0" fontId="28" fillId="27" borderId="9" xfId="0" applyFont="1" applyFill="1" applyBorder="1"/>
    <xf numFmtId="0" fontId="47" fillId="0" borderId="149" xfId="0" applyFont="1" applyBorder="1" applyAlignment="1">
      <alignment horizontal="center"/>
    </xf>
    <xf numFmtId="0" fontId="47" fillId="0" borderId="9" xfId="0" applyFont="1" applyBorder="1" applyAlignment="1">
      <alignment horizontal="center"/>
    </xf>
    <xf numFmtId="14" fontId="47" fillId="0" borderId="137" xfId="0" applyNumberFormat="1" applyFont="1" applyBorder="1"/>
    <xf numFmtId="173" fontId="47" fillId="18" borderId="106" xfId="1" applyNumberFormat="1" applyFont="1" applyFill="1" applyBorder="1"/>
    <xf numFmtId="169" fontId="1" fillId="1" borderId="153" xfId="1" applyFont="1" applyFill="1" applyBorder="1"/>
    <xf numFmtId="169" fontId="1" fillId="1" borderId="150" xfId="1" applyFont="1" applyFill="1" applyBorder="1"/>
    <xf numFmtId="174" fontId="1" fillId="1" borderId="148" xfId="2" applyFont="1" applyFill="1" applyBorder="1"/>
    <xf numFmtId="169" fontId="1" fillId="126" borderId="153" xfId="1" applyFont="1" applyFill="1" applyBorder="1"/>
    <xf numFmtId="169" fontId="1" fillId="7" borderId="152" xfId="1" applyFont="1" applyFill="1" applyBorder="1"/>
    <xf numFmtId="169" fontId="1" fillId="7" borderId="150" xfId="1" applyFont="1" applyFill="1" applyBorder="1"/>
    <xf numFmtId="174" fontId="1" fillId="7" borderId="148" xfId="2" applyFont="1" applyFill="1" applyBorder="1"/>
    <xf numFmtId="170" fontId="1" fillId="28" borderId="148" xfId="1" applyNumberFormat="1" applyFont="1" applyFill="1" applyBorder="1"/>
    <xf numFmtId="0" fontId="0" fillId="28" borderId="152" xfId="0" applyFill="1" applyBorder="1" applyAlignment="1">
      <alignment horizontal="center"/>
    </xf>
    <xf numFmtId="0" fontId="28" fillId="0" borderId="153" xfId="0" applyFont="1" applyBorder="1" applyAlignment="1">
      <alignment horizontal="center"/>
    </xf>
    <xf numFmtId="169" fontId="28" fillId="7" borderId="9" xfId="1" applyFont="1" applyFill="1" applyBorder="1"/>
    <xf numFmtId="169" fontId="28" fillId="0" borderId="9" xfId="1" applyFont="1" applyFill="1" applyBorder="1"/>
    <xf numFmtId="169" fontId="28" fillId="0" borderId="106" xfId="1" applyFont="1" applyFill="1" applyBorder="1"/>
    <xf numFmtId="169" fontId="28" fillId="0" borderId="148" xfId="1" applyFont="1" applyFill="1" applyBorder="1"/>
    <xf numFmtId="0" fontId="194" fillId="0" borderId="153" xfId="0" applyFont="1" applyBorder="1" applyAlignment="1">
      <alignment vertical="center"/>
    </xf>
    <xf numFmtId="0" fontId="194" fillId="0" borderId="148" xfId="0" applyFont="1" applyBorder="1" applyAlignment="1">
      <alignment vertical="center"/>
    </xf>
    <xf numFmtId="173" fontId="1" fillId="18" borderId="156" xfId="1" applyNumberFormat="1" applyFont="1" applyFill="1" applyBorder="1"/>
    <xf numFmtId="170" fontId="196" fillId="128" borderId="106" xfId="1" applyNumberFormat="1" applyFont="1" applyFill="1" applyBorder="1" applyAlignment="1">
      <alignment vertical="center"/>
    </xf>
    <xf numFmtId="170" fontId="196" fillId="4" borderId="106" xfId="1" applyNumberFormat="1" applyFont="1" applyFill="1" applyBorder="1" applyAlignment="1">
      <alignment vertical="center"/>
    </xf>
    <xf numFmtId="0" fontId="0" fillId="8" borderId="0" xfId="0" applyFill="1"/>
    <xf numFmtId="0" fontId="16" fillId="10" borderId="0" xfId="0" applyFont="1" applyFill="1" applyAlignment="1">
      <alignment vertical="center"/>
    </xf>
    <xf numFmtId="170" fontId="16" fillId="10" borderId="0" xfId="1" applyNumberFormat="1" applyFont="1" applyFill="1" applyBorder="1" applyAlignment="1">
      <alignment vertical="center"/>
    </xf>
    <xf numFmtId="170" fontId="208" fillId="10" borderId="0" xfId="1" applyNumberFormat="1" applyFont="1" applyFill="1" applyBorder="1" applyAlignment="1">
      <alignment vertical="center"/>
    </xf>
    <xf numFmtId="170" fontId="209" fillId="9" borderId="0" xfId="1" applyNumberFormat="1" applyFont="1" applyFill="1" applyBorder="1" applyAlignment="1">
      <alignment vertical="center"/>
    </xf>
    <xf numFmtId="0" fontId="210" fillId="10" borderId="3" xfId="0" applyFont="1" applyFill="1" applyBorder="1" applyAlignment="1">
      <alignment vertical="center"/>
    </xf>
    <xf numFmtId="0" fontId="211" fillId="0" borderId="0" xfId="0" applyFont="1" applyAlignment="1">
      <alignment vertical="center"/>
    </xf>
    <xf numFmtId="0" fontId="16" fillId="10" borderId="5" xfId="0" applyFont="1" applyFill="1" applyBorder="1" applyAlignment="1">
      <alignment vertical="center"/>
    </xf>
    <xf numFmtId="170" fontId="208" fillId="9" borderId="5" xfId="1" applyNumberFormat="1" applyFont="1" applyFill="1" applyBorder="1" applyAlignment="1">
      <alignment vertical="center"/>
    </xf>
    <xf numFmtId="170" fontId="212" fillId="9" borderId="5" xfId="1" applyNumberFormat="1" applyFont="1" applyFill="1" applyBorder="1" applyAlignment="1">
      <alignment vertical="center"/>
    </xf>
    <xf numFmtId="170" fontId="212" fillId="10" borderId="5" xfId="1" applyNumberFormat="1" applyFont="1" applyFill="1" applyBorder="1" applyAlignment="1">
      <alignment vertical="center"/>
    </xf>
    <xf numFmtId="170" fontId="213" fillId="9" borderId="5" xfId="1" applyNumberFormat="1" applyFont="1" applyFill="1" applyBorder="1" applyAlignment="1">
      <alignment vertical="center"/>
    </xf>
    <xf numFmtId="170" fontId="209" fillId="10" borderId="6" xfId="1" applyNumberFormat="1" applyFont="1" applyFill="1" applyBorder="1" applyAlignment="1">
      <alignment vertical="center"/>
    </xf>
    <xf numFmtId="0" fontId="16" fillId="2" borderId="0" xfId="0" applyFont="1" applyFill="1" applyAlignment="1">
      <alignment vertical="center"/>
    </xf>
    <xf numFmtId="170" fontId="16" fillId="2" borderId="0" xfId="1" applyNumberFormat="1" applyFont="1" applyFill="1" applyAlignment="1">
      <alignment vertical="center"/>
    </xf>
    <xf numFmtId="0" fontId="208" fillId="2" borderId="0" xfId="0" applyFont="1" applyFill="1" applyAlignment="1">
      <alignment vertical="center"/>
    </xf>
    <xf numFmtId="170" fontId="11" fillId="9" borderId="10" xfId="1" applyNumberFormat="1" applyFont="1" applyFill="1" applyBorder="1" applyAlignment="1">
      <alignment horizontal="center" vertical="center"/>
    </xf>
    <xf numFmtId="0" fontId="216" fillId="0" borderId="9" xfId="0" applyFont="1" applyBorder="1" applyAlignment="1">
      <alignment vertical="center"/>
    </xf>
    <xf numFmtId="0" fontId="216" fillId="0" borderId="10" xfId="0" applyFont="1" applyBorder="1" applyAlignment="1">
      <alignment vertical="center"/>
    </xf>
    <xf numFmtId="170" fontId="209" fillId="4" borderId="106" xfId="1" applyNumberFormat="1" applyFont="1" applyFill="1" applyBorder="1" applyAlignment="1">
      <alignment vertical="center"/>
    </xf>
    <xf numFmtId="170" fontId="217" fillId="4" borderId="10" xfId="1" applyNumberFormat="1" applyFont="1" applyFill="1" applyBorder="1" applyAlignment="1">
      <alignment vertical="center"/>
    </xf>
    <xf numFmtId="170" fontId="209" fillId="0" borderId="11" xfId="1" applyNumberFormat="1" applyFont="1" applyFill="1" applyBorder="1" applyAlignment="1">
      <alignment vertical="center"/>
    </xf>
    <xf numFmtId="0" fontId="218" fillId="0" borderId="0" xfId="0" applyFont="1" applyAlignment="1">
      <alignment vertical="center"/>
    </xf>
    <xf numFmtId="0" fontId="219" fillId="0" borderId="9" xfId="0" applyFont="1" applyBorder="1" applyAlignment="1">
      <alignment vertical="center"/>
    </xf>
    <xf numFmtId="0" fontId="219" fillId="0" borderId="10" xfId="0" applyFont="1" applyBorder="1" applyAlignment="1">
      <alignment vertical="center"/>
    </xf>
    <xf numFmtId="170" fontId="219" fillId="133" borderId="10" xfId="1" applyNumberFormat="1" applyFont="1" applyFill="1" applyBorder="1" applyAlignment="1">
      <alignment vertical="center"/>
    </xf>
    <xf numFmtId="0" fontId="216" fillId="0" borderId="106" xfId="0" applyFont="1" applyBorder="1" applyAlignment="1">
      <alignment vertical="center"/>
    </xf>
    <xf numFmtId="170" fontId="218" fillId="0" borderId="0" xfId="0" applyNumberFormat="1" applyFont="1" applyAlignment="1">
      <alignment vertical="center"/>
    </xf>
    <xf numFmtId="170" fontId="209" fillId="4" borderId="10" xfId="1" applyNumberFormat="1" applyFont="1" applyFill="1" applyBorder="1" applyAlignment="1">
      <alignment vertical="center"/>
    </xf>
    <xf numFmtId="0" fontId="219" fillId="0" borderId="106" xfId="0" applyFont="1" applyBorder="1" applyAlignment="1">
      <alignment vertical="center"/>
    </xf>
    <xf numFmtId="0" fontId="209" fillId="0" borderId="0" xfId="0" applyFont="1" applyAlignment="1">
      <alignment vertical="center"/>
    </xf>
    <xf numFmtId="170" fontId="209" fillId="0" borderId="0" xfId="1" applyNumberFormat="1" applyFont="1" applyFill="1" applyBorder="1" applyAlignment="1">
      <alignment vertical="center"/>
    </xf>
    <xf numFmtId="170" fontId="217" fillId="0" borderId="0" xfId="1" applyNumberFormat="1" applyFont="1" applyFill="1" applyBorder="1" applyAlignment="1">
      <alignment vertical="center"/>
    </xf>
    <xf numFmtId="170" fontId="220" fillId="133" borderId="10" xfId="1" applyNumberFormat="1" applyFont="1" applyFill="1" applyBorder="1" applyAlignment="1">
      <alignment vertical="center"/>
    </xf>
    <xf numFmtId="170" fontId="220" fillId="0" borderId="10" xfId="1" applyNumberFormat="1" applyFont="1" applyFill="1" applyBorder="1" applyAlignment="1">
      <alignment vertical="center"/>
    </xf>
    <xf numFmtId="170" fontId="221" fillId="0" borderId="10" xfId="1" applyNumberFormat="1" applyFont="1" applyFill="1" applyBorder="1" applyAlignment="1">
      <alignment vertical="center"/>
    </xf>
    <xf numFmtId="170" fontId="220" fillId="4" borderId="10" xfId="1" applyNumberFormat="1" applyFont="1" applyFill="1" applyBorder="1" applyAlignment="1">
      <alignment vertical="center"/>
    </xf>
    <xf numFmtId="170" fontId="222" fillId="121" borderId="99" xfId="1" applyNumberFormat="1" applyFont="1" applyFill="1" applyBorder="1" applyAlignment="1">
      <alignment vertical="center"/>
    </xf>
    <xf numFmtId="170" fontId="222" fillId="0" borderId="0" xfId="1" applyNumberFormat="1" applyFont="1" applyFill="1" applyBorder="1" applyAlignment="1">
      <alignment vertical="center"/>
    </xf>
    <xf numFmtId="170" fontId="211" fillId="0" borderId="0" xfId="1" applyNumberFormat="1" applyFont="1" applyAlignment="1">
      <alignment vertical="center"/>
    </xf>
    <xf numFmtId="170" fontId="197" fillId="0" borderId="0" xfId="1" applyNumberFormat="1" applyFont="1" applyAlignment="1">
      <alignment vertical="center"/>
    </xf>
    <xf numFmtId="170" fontId="197" fillId="0" borderId="0" xfId="0" applyNumberFormat="1" applyFont="1" applyAlignment="1">
      <alignment vertical="center"/>
    </xf>
    <xf numFmtId="170" fontId="0" fillId="0" borderId="0" xfId="1" applyNumberFormat="1" applyFont="1" applyFill="1" applyAlignment="1">
      <alignment vertical="center"/>
    </xf>
    <xf numFmtId="0" fontId="0" fillId="9" borderId="108" xfId="0" applyFill="1" applyBorder="1" applyAlignment="1">
      <alignment vertical="center"/>
    </xf>
    <xf numFmtId="0" fontId="0" fillId="9" borderId="115" xfId="0" applyFill="1" applyBorder="1" applyAlignment="1">
      <alignment vertical="center"/>
    </xf>
    <xf numFmtId="170" fontId="0" fillId="9" borderId="115" xfId="1" applyNumberFormat="1" applyFont="1" applyFill="1" applyBorder="1" applyAlignment="1">
      <alignment vertical="center"/>
    </xf>
    <xf numFmtId="170" fontId="28" fillId="133" borderId="115" xfId="1" applyNumberFormat="1" applyFont="1" applyFill="1" applyBorder="1" applyAlignment="1">
      <alignment vertical="center"/>
    </xf>
    <xf numFmtId="170" fontId="0" fillId="9" borderId="115" xfId="0" applyNumberFormat="1" applyFill="1" applyBorder="1" applyAlignment="1">
      <alignment vertical="center"/>
    </xf>
    <xf numFmtId="170" fontId="0" fillId="0" borderId="116" xfId="0" applyNumberFormat="1" applyBorder="1" applyAlignment="1">
      <alignment vertical="center"/>
    </xf>
    <xf numFmtId="0" fontId="0" fillId="9" borderId="153" xfId="0" applyFill="1" applyBorder="1" applyAlignment="1">
      <alignment vertical="center"/>
    </xf>
    <xf numFmtId="0" fontId="0" fillId="9" borderId="148" xfId="0" applyFill="1" applyBorder="1" applyAlignment="1">
      <alignment vertical="center"/>
    </xf>
    <xf numFmtId="170" fontId="0" fillId="9" borderId="148" xfId="1" applyNumberFormat="1" applyFont="1" applyFill="1" applyBorder="1" applyAlignment="1">
      <alignment vertical="center"/>
    </xf>
    <xf numFmtId="170" fontId="0" fillId="0" borderId="148" xfId="1" applyNumberFormat="1" applyFont="1" applyFill="1" applyBorder="1" applyAlignment="1">
      <alignment vertical="center"/>
    </xf>
    <xf numFmtId="170" fontId="0" fillId="9" borderId="148" xfId="0" applyNumberFormat="1" applyFill="1" applyBorder="1" applyAlignment="1">
      <alignment vertical="center"/>
    </xf>
    <xf numFmtId="170" fontId="0" fillId="0" borderId="152" xfId="0" applyNumberFormat="1" applyBorder="1" applyAlignment="1">
      <alignment vertical="center"/>
    </xf>
    <xf numFmtId="0" fontId="0" fillId="0" borderId="153" xfId="0" applyBorder="1" applyAlignment="1">
      <alignment vertical="center"/>
    </xf>
    <xf numFmtId="0" fontId="0" fillId="0" borderId="148" xfId="0" applyBorder="1" applyAlignment="1">
      <alignment vertical="center"/>
    </xf>
    <xf numFmtId="170" fontId="0" fillId="0" borderId="148" xfId="0" applyNumberFormat="1" applyBorder="1" applyAlignment="1">
      <alignment vertical="center"/>
    </xf>
    <xf numFmtId="170" fontId="28" fillId="133" borderId="148" xfId="1" applyNumberFormat="1" applyFont="1" applyFill="1" applyBorder="1" applyAlignment="1">
      <alignment vertical="center"/>
    </xf>
    <xf numFmtId="0" fontId="0" fillId="134" borderId="153" xfId="0" applyFill="1" applyBorder="1" applyAlignment="1">
      <alignment vertical="center"/>
    </xf>
    <xf numFmtId="0" fontId="0" fillId="134" borderId="148" xfId="0" applyFill="1" applyBorder="1" applyAlignment="1">
      <alignment vertical="center"/>
    </xf>
    <xf numFmtId="170" fontId="0" fillId="134" borderId="148" xfId="1" applyNumberFormat="1" applyFont="1" applyFill="1" applyBorder="1" applyAlignment="1">
      <alignment vertical="center"/>
    </xf>
    <xf numFmtId="170" fontId="0" fillId="134" borderId="148" xfId="0" applyNumberFormat="1" applyFill="1" applyBorder="1" applyAlignment="1">
      <alignment vertical="center"/>
    </xf>
    <xf numFmtId="170" fontId="0" fillId="0" borderId="0" xfId="0" applyNumberFormat="1" applyAlignment="1">
      <alignment vertical="center"/>
    </xf>
    <xf numFmtId="0" fontId="0" fillId="121" borderId="153" xfId="0" applyFill="1" applyBorder="1" applyAlignment="1">
      <alignment vertical="center"/>
    </xf>
    <xf numFmtId="0" fontId="0" fillId="121" borderId="148" xfId="0" applyFill="1" applyBorder="1" applyAlignment="1">
      <alignment vertical="center"/>
    </xf>
    <xf numFmtId="170" fontId="0" fillId="121" borderId="148" xfId="1" applyNumberFormat="1" applyFont="1" applyFill="1" applyBorder="1" applyAlignment="1">
      <alignment vertical="center"/>
    </xf>
    <xf numFmtId="170" fontId="0" fillId="121" borderId="148" xfId="0" applyNumberFormat="1" applyFill="1" applyBorder="1" applyAlignment="1">
      <alignment vertical="center"/>
    </xf>
    <xf numFmtId="3" fontId="0" fillId="0" borderId="0" xfId="0" applyNumberFormat="1" applyAlignment="1">
      <alignment vertical="center"/>
    </xf>
    <xf numFmtId="170" fontId="0" fillId="0" borderId="13" xfId="1" applyNumberFormat="1" applyFont="1" applyFill="1" applyBorder="1" applyAlignment="1">
      <alignment vertical="center"/>
    </xf>
    <xf numFmtId="170" fontId="0" fillId="0" borderId="14" xfId="0" applyNumberFormat="1" applyBorder="1" applyAlignment="1">
      <alignment vertical="center"/>
    </xf>
    <xf numFmtId="0" fontId="0" fillId="0" borderId="108" xfId="0" applyBorder="1" applyAlignment="1">
      <alignment vertical="center"/>
    </xf>
    <xf numFmtId="0" fontId="0" fillId="0" borderId="115" xfId="0" applyBorder="1" applyAlignment="1">
      <alignment vertical="center"/>
    </xf>
    <xf numFmtId="170" fontId="0" fillId="0" borderId="115" xfId="1" applyNumberFormat="1" applyFont="1" applyFill="1" applyBorder="1" applyAlignment="1">
      <alignment vertical="center"/>
    </xf>
    <xf numFmtId="170" fontId="0" fillId="0" borderId="115" xfId="0" applyNumberForma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43" xfId="0" applyBorder="1" applyAlignment="1">
      <alignment vertical="center"/>
    </xf>
    <xf numFmtId="170" fontId="0" fillId="0" borderId="143" xfId="1" applyNumberFormat="1" applyFont="1" applyFill="1" applyBorder="1" applyAlignment="1">
      <alignment vertical="center"/>
    </xf>
    <xf numFmtId="170" fontId="28" fillId="133" borderId="143" xfId="1" applyNumberFormat="1" applyFont="1" applyFill="1" applyBorder="1" applyAlignment="1">
      <alignment vertical="center"/>
    </xf>
    <xf numFmtId="170" fontId="0" fillId="0" borderId="143" xfId="0" applyNumberFormat="1" applyBorder="1" applyAlignment="1">
      <alignment vertical="center"/>
    </xf>
    <xf numFmtId="170" fontId="0" fillId="0" borderId="20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170" fontId="0" fillId="0" borderId="116" xfId="1" applyNumberFormat="1" applyFont="1" applyFill="1" applyBorder="1" applyAlignment="1">
      <alignment vertical="center"/>
    </xf>
    <xf numFmtId="170" fontId="0" fillId="0" borderId="14" xfId="1" applyNumberFormat="1" applyFont="1" applyFill="1" applyBorder="1" applyAlignment="1">
      <alignment vertical="center"/>
    </xf>
    <xf numFmtId="0" fontId="0" fillId="32" borderId="108" xfId="0" applyFill="1" applyBorder="1" applyAlignment="1">
      <alignment vertical="center"/>
    </xf>
    <xf numFmtId="0" fontId="0" fillId="32" borderId="9" xfId="0" applyFill="1" applyBorder="1" applyAlignment="1">
      <alignment vertical="center"/>
    </xf>
    <xf numFmtId="170" fontId="0" fillId="0" borderId="152" xfId="1" applyNumberFormat="1" applyFont="1" applyFill="1" applyBorder="1" applyAlignment="1">
      <alignment vertical="center"/>
    </xf>
    <xf numFmtId="0" fontId="0" fillId="8" borderId="9" xfId="0" applyFill="1" applyBorder="1" applyAlignment="1">
      <alignment vertical="center"/>
    </xf>
    <xf numFmtId="0" fontId="0" fillId="8" borderId="148" xfId="0" applyFill="1" applyBorder="1" applyAlignment="1">
      <alignment vertical="center"/>
    </xf>
    <xf numFmtId="170" fontId="0" fillId="8" borderId="148" xfId="1" applyNumberFormat="1" applyFont="1" applyFill="1" applyBorder="1" applyAlignment="1">
      <alignment vertical="center"/>
    </xf>
    <xf numFmtId="170" fontId="0" fillId="8" borderId="152" xfId="1" applyNumberFormat="1" applyFont="1" applyFill="1" applyBorder="1" applyAlignment="1">
      <alignment vertical="center"/>
    </xf>
    <xf numFmtId="0" fontId="54" fillId="0" borderId="0" xfId="0" applyFont="1" applyAlignment="1">
      <alignment vertical="center"/>
    </xf>
    <xf numFmtId="170" fontId="54" fillId="0" borderId="0" xfId="0" applyNumberFormat="1" applyFont="1" applyAlignment="1">
      <alignment vertical="center"/>
    </xf>
    <xf numFmtId="0" fontId="3" fillId="122" borderId="0" xfId="0" applyFont="1" applyFill="1" applyAlignment="1">
      <alignment horizontal="center" vertical="center"/>
    </xf>
    <xf numFmtId="0" fontId="3" fillId="123" borderId="0" xfId="0" applyFont="1" applyFill="1" applyAlignment="1">
      <alignment horizontal="center" vertical="center"/>
    </xf>
    <xf numFmtId="170" fontId="0" fillId="133" borderId="0" xfId="0" applyNumberFormat="1" applyFill="1" applyAlignment="1">
      <alignment vertical="center"/>
    </xf>
    <xf numFmtId="170" fontId="0" fillId="134" borderId="0" xfId="0" applyNumberFormat="1" applyFill="1" applyAlignment="1">
      <alignment vertical="center"/>
    </xf>
    <xf numFmtId="170" fontId="0" fillId="4" borderId="0" xfId="0" applyNumberFormat="1" applyFill="1" applyAlignment="1">
      <alignment vertical="center"/>
    </xf>
    <xf numFmtId="170" fontId="3" fillId="122" borderId="0" xfId="0" applyNumberFormat="1" applyFont="1" applyFill="1" applyAlignment="1">
      <alignment vertical="center"/>
    </xf>
    <xf numFmtId="170" fontId="3" fillId="136" borderId="0" xfId="0" applyNumberFormat="1" applyFont="1" applyFill="1" applyAlignment="1">
      <alignment vertical="center"/>
    </xf>
    <xf numFmtId="170" fontId="3" fillId="19" borderId="0" xfId="0" applyNumberFormat="1" applyFont="1" applyFill="1" applyAlignment="1">
      <alignment vertical="center"/>
    </xf>
    <xf numFmtId="170" fontId="196" fillId="3" borderId="106" xfId="1" applyNumberFormat="1" applyFont="1" applyFill="1" applyBorder="1" applyAlignment="1">
      <alignment vertical="center"/>
    </xf>
    <xf numFmtId="0" fontId="216" fillId="8" borderId="9" xfId="0" applyFont="1" applyFill="1" applyBorder="1" applyAlignment="1">
      <alignment vertical="center"/>
    </xf>
    <xf numFmtId="0" fontId="216" fillId="8" borderId="10" xfId="0" applyFont="1" applyFill="1" applyBorder="1" applyAlignment="1">
      <alignment vertical="center"/>
    </xf>
    <xf numFmtId="0" fontId="225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170" fontId="199" fillId="9" borderId="0" xfId="0" applyNumberFormat="1" applyFont="1" applyFill="1" applyAlignment="1">
      <alignment horizontal="center" vertical="center"/>
    </xf>
    <xf numFmtId="0" fontId="226" fillId="135" borderId="0" xfId="0" applyFont="1" applyFill="1" applyAlignment="1">
      <alignment horizontal="center" vertical="center"/>
    </xf>
    <xf numFmtId="0" fontId="226" fillId="138" borderId="0" xfId="0" applyFont="1" applyFill="1" applyAlignment="1">
      <alignment horizontal="center" vertical="center"/>
    </xf>
    <xf numFmtId="170" fontId="3" fillId="34" borderId="0" xfId="0" applyNumberFormat="1" applyFont="1" applyFill="1" applyAlignment="1">
      <alignment vertical="center"/>
    </xf>
    <xf numFmtId="170" fontId="227" fillId="125" borderId="0" xfId="0" applyNumberFormat="1" applyFont="1" applyFill="1" applyAlignment="1">
      <alignment horizontal="center" vertical="center"/>
    </xf>
    <xf numFmtId="170" fontId="28" fillId="133" borderId="0" xfId="0" applyNumberFormat="1" applyFont="1" applyFill="1" applyAlignment="1">
      <alignment vertical="center"/>
    </xf>
    <xf numFmtId="0" fontId="28" fillId="133" borderId="0" xfId="0" applyFont="1" applyFill="1" applyAlignment="1">
      <alignment vertical="center"/>
    </xf>
    <xf numFmtId="0" fontId="225" fillId="0" borderId="148" xfId="0" applyFont="1" applyBorder="1" applyAlignment="1">
      <alignment vertical="center"/>
    </xf>
    <xf numFmtId="170" fontId="225" fillId="0" borderId="148" xfId="1" applyNumberFormat="1" applyFont="1" applyBorder="1" applyAlignment="1">
      <alignment vertical="center"/>
    </xf>
    <xf numFmtId="170" fontId="29" fillId="0" borderId="148" xfId="1" applyNumberFormat="1" applyFont="1" applyBorder="1" applyAlignment="1">
      <alignment vertical="center"/>
    </xf>
    <xf numFmtId="0" fontId="29" fillId="0" borderId="148" xfId="0" applyFont="1" applyBorder="1" applyAlignment="1">
      <alignment vertical="center"/>
    </xf>
    <xf numFmtId="170" fontId="3" fillId="0" borderId="148" xfId="1" applyNumberFormat="1" applyFont="1" applyFill="1" applyBorder="1" applyAlignment="1">
      <alignment horizontal="center" vertical="center"/>
    </xf>
    <xf numFmtId="0" fontId="3" fillId="0" borderId="148" xfId="0" applyFont="1" applyBorder="1" applyAlignment="1">
      <alignment horizontal="center" vertical="center"/>
    </xf>
    <xf numFmtId="170" fontId="3" fillId="0" borderId="148" xfId="0" applyNumberFormat="1" applyFont="1" applyBorder="1" applyAlignment="1">
      <alignment vertical="center"/>
    </xf>
    <xf numFmtId="170" fontId="44" fillId="125" borderId="0" xfId="0" applyNumberFormat="1" applyFont="1" applyFill="1" applyAlignment="1">
      <alignment vertical="center"/>
    </xf>
    <xf numFmtId="170" fontId="195" fillId="125" borderId="0" xfId="0" applyNumberFormat="1" applyFont="1" applyFill="1" applyAlignment="1">
      <alignment vertical="center"/>
    </xf>
    <xf numFmtId="169" fontId="36" fillId="27" borderId="150" xfId="1" applyFont="1" applyFill="1" applyBorder="1"/>
    <xf numFmtId="169" fontId="38" fillId="27" borderId="106" xfId="1" applyFont="1" applyFill="1" applyBorder="1" applyAlignment="1"/>
    <xf numFmtId="0" fontId="228" fillId="4" borderId="108" xfId="0" applyFont="1" applyFill="1" applyBorder="1"/>
    <xf numFmtId="0" fontId="229" fillId="4" borderId="99" xfId="0" applyFont="1" applyFill="1" applyBorder="1"/>
    <xf numFmtId="170" fontId="205" fillId="0" borderId="0" xfId="1" applyNumberFormat="1" applyFont="1" applyFill="1"/>
    <xf numFmtId="14" fontId="38" fillId="124" borderId="115" xfId="1" applyNumberFormat="1" applyFont="1" applyFill="1" applyBorder="1" applyAlignment="1">
      <alignment horizontal="center"/>
    </xf>
    <xf numFmtId="169" fontId="42" fillId="124" borderId="106" xfId="1" applyFont="1" applyFill="1" applyBorder="1"/>
    <xf numFmtId="14" fontId="38" fillId="129" borderId="115" xfId="1" applyNumberFormat="1" applyFont="1" applyFill="1" applyBorder="1" applyAlignment="1">
      <alignment horizontal="center"/>
    </xf>
    <xf numFmtId="169" fontId="42" fillId="129" borderId="106" xfId="1" applyFont="1" applyFill="1" applyBorder="1"/>
    <xf numFmtId="0" fontId="3" fillId="0" borderId="0" xfId="0" applyFont="1"/>
    <xf numFmtId="0" fontId="0" fillId="125" borderId="0" xfId="0" applyFill="1"/>
    <xf numFmtId="0" fontId="0" fillId="127" borderId="0" xfId="0" applyFill="1"/>
    <xf numFmtId="0" fontId="0" fillId="32" borderId="0" xfId="0" applyFill="1"/>
    <xf numFmtId="0" fontId="0" fillId="130" borderId="0" xfId="0" applyFill="1"/>
    <xf numFmtId="4" fontId="0" fillId="0" borderId="0" xfId="0" applyNumberFormat="1"/>
    <xf numFmtId="4" fontId="0" fillId="125" borderId="0" xfId="0" applyNumberFormat="1" applyFill="1"/>
    <xf numFmtId="4" fontId="0" fillId="139" borderId="0" xfId="0" applyNumberFormat="1" applyFill="1"/>
    <xf numFmtId="4" fontId="0" fillId="122" borderId="0" xfId="0" applyNumberFormat="1" applyFill="1"/>
    <xf numFmtId="14" fontId="2" fillId="129" borderId="161" xfId="0" applyNumberFormat="1" applyFont="1" applyFill="1" applyBorder="1"/>
    <xf numFmtId="4" fontId="2" fillId="129" borderId="161" xfId="0" applyNumberFormat="1" applyFont="1" applyFill="1" applyBorder="1"/>
    <xf numFmtId="0" fontId="2" fillId="129" borderId="161" xfId="0" applyFont="1" applyFill="1" applyBorder="1"/>
    <xf numFmtId="0" fontId="2" fillId="127" borderId="161" xfId="0" applyFont="1" applyFill="1" applyBorder="1"/>
    <xf numFmtId="14" fontId="0" fillId="0" borderId="5" xfId="0" applyNumberFormat="1" applyBorder="1"/>
    <xf numFmtId="4" fontId="0" fillId="0" borderId="5" xfId="0" applyNumberFormat="1" applyBorder="1"/>
    <xf numFmtId="0" fontId="0" fillId="0" borderId="5" xfId="0" applyBorder="1"/>
    <xf numFmtId="4" fontId="0" fillId="125" borderId="5" xfId="0" applyNumberFormat="1" applyFill="1" applyBorder="1"/>
    <xf numFmtId="0" fontId="0" fillId="127" borderId="5" xfId="0" applyFill="1" applyBorder="1"/>
    <xf numFmtId="4" fontId="31" fillId="32" borderId="0" xfId="0" applyNumberFormat="1" applyFont="1" applyFill="1"/>
    <xf numFmtId="4" fontId="0" fillId="139" borderId="5" xfId="0" applyNumberFormat="1" applyFill="1" applyBorder="1"/>
    <xf numFmtId="4" fontId="0" fillId="122" borderId="5" xfId="0" applyNumberFormat="1" applyFill="1" applyBorder="1"/>
    <xf numFmtId="240" fontId="0" fillId="0" borderId="0" xfId="0" applyNumberFormat="1"/>
    <xf numFmtId="14" fontId="0" fillId="0" borderId="161" xfId="0" applyNumberFormat="1" applyBorder="1"/>
    <xf numFmtId="4" fontId="0" fillId="0" borderId="161" xfId="0" applyNumberFormat="1" applyBorder="1"/>
    <xf numFmtId="0" fontId="0" fillId="0" borderId="161" xfId="0" applyBorder="1"/>
    <xf numFmtId="4" fontId="0" fillId="125" borderId="161" xfId="0" applyNumberFormat="1" applyFill="1" applyBorder="1"/>
    <xf numFmtId="0" fontId="0" fillId="127" borderId="161" xfId="0" applyFill="1" applyBorder="1"/>
    <xf numFmtId="4" fontId="92" fillId="140" borderId="0" xfId="0" applyNumberFormat="1" applyFont="1" applyFill="1"/>
    <xf numFmtId="14" fontId="0" fillId="0" borderId="100" xfId="0" applyNumberFormat="1" applyBorder="1"/>
    <xf numFmtId="0" fontId="0" fillId="0" borderId="100" xfId="0" applyBorder="1"/>
    <xf numFmtId="4" fontId="0" fillId="8" borderId="161" xfId="0" applyNumberFormat="1" applyFill="1" applyBorder="1"/>
    <xf numFmtId="0" fontId="0" fillId="0" borderId="153" xfId="0" applyBorder="1"/>
    <xf numFmtId="0" fontId="0" fillId="0" borderId="148" xfId="0" applyBorder="1"/>
    <xf numFmtId="170" fontId="1" fillId="1" borderId="152" xfId="1" applyNumberFormat="1" applyFont="1" applyFill="1" applyBorder="1"/>
    <xf numFmtId="169" fontId="1" fillId="18" borderId="158" xfId="1" applyFont="1" applyFill="1" applyBorder="1"/>
    <xf numFmtId="170" fontId="1" fillId="18" borderId="159" xfId="1" applyNumberFormat="1" applyFont="1" applyFill="1" applyBorder="1"/>
    <xf numFmtId="170" fontId="1" fillId="28" borderId="150" xfId="1" applyNumberFormat="1" applyFont="1" applyFill="1" applyBorder="1"/>
    <xf numFmtId="169" fontId="23" fillId="18" borderId="31" xfId="1" applyFont="1" applyFill="1" applyBorder="1"/>
    <xf numFmtId="169" fontId="23" fillId="18" borderId="106" xfId="1" applyFont="1" applyFill="1" applyBorder="1"/>
    <xf numFmtId="169" fontId="74" fillId="7" borderId="148" xfId="1" applyFont="1" applyFill="1" applyBorder="1" applyAlignment="1">
      <alignment horizontal="center" vertical="center" wrapText="1"/>
    </xf>
    <xf numFmtId="0" fontId="54" fillId="0" borderId="9" xfId="0" applyFont="1" applyBorder="1"/>
    <xf numFmtId="0" fontId="54" fillId="0" borderId="106" xfId="0" applyFont="1" applyBorder="1"/>
    <xf numFmtId="0" fontId="54" fillId="0" borderId="105" xfId="0" applyFont="1" applyBorder="1" applyAlignment="1">
      <alignment horizontal="center"/>
    </xf>
    <xf numFmtId="0" fontId="54" fillId="0" borderId="9" xfId="0" applyFont="1" applyBorder="1" applyAlignment="1">
      <alignment horizontal="center"/>
    </xf>
    <xf numFmtId="14" fontId="54" fillId="0" borderId="137" xfId="0" applyNumberFormat="1" applyFont="1" applyBorder="1"/>
    <xf numFmtId="174" fontId="54" fillId="1" borderId="106" xfId="2" applyFont="1" applyFill="1" applyBorder="1"/>
    <xf numFmtId="170" fontId="54" fillId="1" borderId="137" xfId="1" applyNumberFormat="1" applyFont="1" applyFill="1" applyBorder="1"/>
    <xf numFmtId="169" fontId="54" fillId="126" borderId="9" xfId="1" applyFont="1" applyFill="1" applyBorder="1"/>
    <xf numFmtId="169" fontId="54" fillId="7" borderId="137" xfId="1" applyFont="1" applyFill="1" applyBorder="1"/>
    <xf numFmtId="169" fontId="54" fillId="18" borderId="31" xfId="1" applyFont="1" applyFill="1" applyBorder="1"/>
    <xf numFmtId="169" fontId="54" fillId="18" borderId="106" xfId="1" applyFont="1" applyFill="1" applyBorder="1"/>
    <xf numFmtId="174" fontId="54" fillId="18" borderId="106" xfId="2" applyFont="1" applyFill="1" applyBorder="1"/>
    <xf numFmtId="170" fontId="54" fillId="18" borderId="126" xfId="1" applyNumberFormat="1" applyFont="1" applyFill="1" applyBorder="1"/>
    <xf numFmtId="169" fontId="54" fillId="7" borderId="103" xfId="1" applyFont="1" applyFill="1" applyBorder="1"/>
    <xf numFmtId="174" fontId="54" fillId="7" borderId="106" xfId="2" applyFont="1" applyFill="1" applyBorder="1"/>
    <xf numFmtId="170" fontId="54" fillId="7" borderId="105" xfId="1" applyNumberFormat="1" applyFont="1" applyFill="1" applyBorder="1"/>
    <xf numFmtId="169" fontId="54" fillId="24" borderId="9" xfId="1" applyFont="1" applyFill="1" applyBorder="1"/>
    <xf numFmtId="170" fontId="54" fillId="24" borderId="107" xfId="1" applyNumberFormat="1" applyFont="1" applyFill="1" applyBorder="1"/>
    <xf numFmtId="170" fontId="54" fillId="28" borderId="103" xfId="1" applyNumberFormat="1" applyFont="1" applyFill="1" applyBorder="1"/>
    <xf numFmtId="0" fontId="54" fillId="28" borderId="107" xfId="0" applyFont="1" applyFill="1" applyBorder="1" applyAlignment="1">
      <alignment horizontal="center"/>
    </xf>
    <xf numFmtId="0" fontId="54" fillId="0" borderId="0" xfId="0" applyFont="1"/>
    <xf numFmtId="169" fontId="74" fillId="0" borderId="0" xfId="0" applyNumberFormat="1" applyFont="1" applyAlignment="1">
      <alignment horizontal="center"/>
    </xf>
    <xf numFmtId="175" fontId="74" fillId="0" borderId="0" xfId="0" applyNumberFormat="1" applyFont="1" applyAlignment="1">
      <alignment horizontal="right"/>
    </xf>
    <xf numFmtId="169" fontId="43" fillId="141" borderId="17" xfId="1" applyFont="1" applyFill="1" applyBorder="1"/>
    <xf numFmtId="0" fontId="43" fillId="141" borderId="17" xfId="0" applyFont="1" applyFill="1" applyBorder="1"/>
    <xf numFmtId="0" fontId="43" fillId="141" borderId="19" xfId="0" applyFont="1" applyFill="1" applyBorder="1"/>
    <xf numFmtId="0" fontId="43" fillId="141" borderId="19" xfId="0" applyFont="1" applyFill="1" applyBorder="1" applyAlignment="1">
      <alignment horizontal="center"/>
    </xf>
    <xf numFmtId="14" fontId="43" fillId="141" borderId="36" xfId="0" applyNumberFormat="1" applyFont="1" applyFill="1" applyBorder="1"/>
    <xf numFmtId="169" fontId="43" fillId="141" borderId="145" xfId="1" applyFont="1" applyFill="1" applyBorder="1"/>
    <xf numFmtId="174" fontId="43" fillId="141" borderId="19" xfId="2" applyFont="1" applyFill="1" applyBorder="1"/>
    <xf numFmtId="170" fontId="43" fillId="141" borderId="20" xfId="1" applyNumberFormat="1" applyFont="1" applyFill="1" applyBorder="1"/>
    <xf numFmtId="169" fontId="43" fillId="141" borderId="9" xfId="1" applyFont="1" applyFill="1" applyBorder="1"/>
    <xf numFmtId="169" fontId="43" fillId="141" borderId="137" xfId="1" applyFont="1" applyFill="1" applyBorder="1"/>
    <xf numFmtId="173" fontId="68" fillId="141" borderId="17" xfId="1" applyNumberFormat="1" applyFont="1" applyFill="1" applyBorder="1"/>
    <xf numFmtId="173" fontId="68" fillId="141" borderId="145" xfId="1" applyNumberFormat="1" applyFont="1" applyFill="1" applyBorder="1"/>
    <xf numFmtId="174" fontId="68" fillId="141" borderId="19" xfId="2" applyFont="1" applyFill="1" applyBorder="1"/>
    <xf numFmtId="170" fontId="68" fillId="141" borderId="20" xfId="1" applyNumberFormat="1" applyFont="1" applyFill="1" applyBorder="1"/>
    <xf numFmtId="169" fontId="68" fillId="141" borderId="17" xfId="1" applyFont="1" applyFill="1" applyBorder="1"/>
    <xf numFmtId="169" fontId="68" fillId="141" borderId="145" xfId="1" applyFont="1" applyFill="1" applyBorder="1"/>
    <xf numFmtId="170" fontId="68" fillId="141" borderId="17" xfId="1" applyNumberFormat="1" applyFont="1" applyFill="1" applyBorder="1"/>
    <xf numFmtId="170" fontId="68" fillId="141" borderId="19" xfId="1" applyNumberFormat="1" applyFont="1" applyFill="1" applyBorder="1"/>
    <xf numFmtId="0" fontId="43" fillId="141" borderId="20" xfId="0" applyFont="1" applyFill="1" applyBorder="1" applyAlignment="1">
      <alignment horizontal="center"/>
    </xf>
    <xf numFmtId="170" fontId="71" fillId="29" borderId="20" xfId="1" applyNumberFormat="1" applyFont="1" applyFill="1" applyBorder="1" applyAlignment="1">
      <alignment horizontal="center"/>
    </xf>
    <xf numFmtId="170" fontId="225" fillId="133" borderId="148" xfId="0" applyNumberFormat="1" applyFont="1" applyFill="1" applyBorder="1" applyAlignment="1">
      <alignment vertical="center"/>
    </xf>
    <xf numFmtId="170" fontId="29" fillId="133" borderId="148" xfId="0" applyNumberFormat="1" applyFont="1" applyFill="1" applyBorder="1" applyAlignment="1">
      <alignment vertical="center"/>
    </xf>
    <xf numFmtId="169" fontId="205" fillId="0" borderId="0" xfId="1" applyFont="1" applyFill="1"/>
    <xf numFmtId="0" fontId="3" fillId="0" borderId="0" xfId="0" applyFont="1" applyAlignment="1">
      <alignment horizontal="center" vertical="center" wrapText="1"/>
    </xf>
    <xf numFmtId="170" fontId="0" fillId="0" borderId="0" xfId="1" applyNumberFormat="1" applyFont="1" applyAlignment="1">
      <alignment vertical="center"/>
    </xf>
    <xf numFmtId="170" fontId="0" fillId="10" borderId="0" xfId="1" applyNumberFormat="1" applyFont="1" applyFill="1" applyAlignment="1">
      <alignment vertical="center"/>
    </xf>
    <xf numFmtId="0" fontId="3" fillId="0" borderId="142" xfId="0" applyFont="1" applyBorder="1" applyAlignment="1">
      <alignment horizontal="center" vertical="center" wrapText="1"/>
    </xf>
    <xf numFmtId="170" fontId="0" fillId="0" borderId="0" xfId="1" applyNumberFormat="1" applyFont="1" applyBorder="1" applyAlignment="1">
      <alignment vertical="center"/>
    </xf>
    <xf numFmtId="170" fontId="0" fillId="10" borderId="0" xfId="1" applyNumberFormat="1" applyFont="1" applyFill="1" applyBorder="1" applyAlignment="1">
      <alignment vertical="center"/>
    </xf>
    <xf numFmtId="0" fontId="0" fillId="0" borderId="142" xfId="0" applyBorder="1" applyAlignment="1">
      <alignment vertical="center"/>
    </xf>
    <xf numFmtId="170" fontId="0" fillId="0" borderId="142" xfId="1" applyNumberFormat="1" applyFont="1" applyBorder="1" applyAlignment="1">
      <alignment vertical="center"/>
    </xf>
    <xf numFmtId="170" fontId="0" fillId="10" borderId="142" xfId="1" applyNumberFormat="1" applyFont="1" applyFill="1" applyBorder="1" applyAlignment="1">
      <alignment vertical="center"/>
    </xf>
    <xf numFmtId="0" fontId="0" fillId="0" borderId="162" xfId="0" applyBorder="1"/>
    <xf numFmtId="170" fontId="3" fillId="0" borderId="162" xfId="1" applyNumberFormat="1" applyFont="1" applyBorder="1" applyAlignment="1">
      <alignment vertical="center"/>
    </xf>
    <xf numFmtId="170" fontId="3" fillId="0" borderId="0" xfId="1" applyNumberFormat="1" applyFont="1" applyBorder="1" applyAlignment="1">
      <alignment vertical="center"/>
    </xf>
    <xf numFmtId="0" fontId="3" fillId="0" borderId="151" xfId="0" applyFont="1" applyBorder="1" applyAlignment="1">
      <alignment horizontal="center" vertical="center" wrapText="1"/>
    </xf>
    <xf numFmtId="0" fontId="3" fillId="0" borderId="163" xfId="0" applyFont="1" applyBorder="1" applyAlignment="1">
      <alignment horizontal="center" vertical="center" wrapText="1"/>
    </xf>
    <xf numFmtId="0" fontId="3" fillId="10" borderId="151" xfId="0" applyFont="1" applyFill="1" applyBorder="1" applyAlignment="1">
      <alignment horizontal="center" vertical="center" wrapText="1"/>
    </xf>
    <xf numFmtId="0" fontId="0" fillId="128" borderId="0" xfId="0" applyFill="1"/>
    <xf numFmtId="170" fontId="3" fillId="0" borderId="162" xfId="0" applyNumberFormat="1" applyFont="1" applyBorder="1"/>
    <xf numFmtId="0" fontId="3" fillId="0" borderId="142" xfId="0" applyFont="1" applyBorder="1" applyAlignment="1">
      <alignment horizontal="center" vertical="center"/>
    </xf>
    <xf numFmtId="170" fontId="0" fillId="128" borderId="0" xfId="1" applyNumberFormat="1" applyFont="1" applyFill="1"/>
    <xf numFmtId="169" fontId="33" fillId="124" borderId="106" xfId="1" applyFont="1" applyFill="1" applyBorder="1" applyAlignment="1">
      <alignment horizontal="center" vertical="center" wrapText="1"/>
    </xf>
    <xf numFmtId="4" fontId="205" fillId="142" borderId="0" xfId="0" applyNumberFormat="1" applyFont="1" applyFill="1"/>
    <xf numFmtId="170" fontId="26" fillId="142" borderId="0" xfId="1" applyNumberFormat="1" applyFont="1" applyFill="1"/>
    <xf numFmtId="174" fontId="1" fillId="142" borderId="0" xfId="2" applyFont="1" applyFill="1" applyAlignment="1">
      <alignment horizontal="center"/>
    </xf>
    <xf numFmtId="175" fontId="26" fillId="142" borderId="0" xfId="0" applyNumberFormat="1" applyFont="1" applyFill="1"/>
    <xf numFmtId="0" fontId="25" fillId="6" borderId="143" xfId="0" applyFont="1" applyFill="1" applyBorder="1"/>
    <xf numFmtId="174" fontId="25" fillId="48" borderId="143" xfId="2" applyFont="1" applyFill="1" applyBorder="1"/>
    <xf numFmtId="174" fontId="25" fillId="6" borderId="143" xfId="2" applyFont="1" applyFill="1" applyBorder="1"/>
    <xf numFmtId="0" fontId="0" fillId="0" borderId="0" xfId="0" applyAlignment="1">
      <alignment horizontal="center" vertical="center"/>
    </xf>
    <xf numFmtId="170" fontId="25" fillId="6" borderId="152" xfId="1" applyNumberFormat="1" applyFont="1" applyFill="1" applyBorder="1"/>
    <xf numFmtId="169" fontId="25" fillId="6" borderId="153" xfId="1" applyFont="1" applyFill="1" applyBorder="1"/>
    <xf numFmtId="170" fontId="25" fillId="6" borderId="153" xfId="1" applyNumberFormat="1" applyFont="1" applyFill="1" applyBorder="1"/>
    <xf numFmtId="170" fontId="25" fillId="6" borderId="148" xfId="1" applyNumberFormat="1" applyFont="1" applyFill="1" applyBorder="1"/>
    <xf numFmtId="0" fontId="25" fillId="3" borderId="17" xfId="0" applyFont="1" applyFill="1" applyBorder="1"/>
    <xf numFmtId="0" fontId="25" fillId="3" borderId="143" xfId="0" applyFont="1" applyFill="1" applyBorder="1"/>
    <xf numFmtId="0" fontId="25" fillId="3" borderId="136" xfId="0" applyFont="1" applyFill="1" applyBorder="1" applyAlignment="1">
      <alignment horizontal="center"/>
    </xf>
    <xf numFmtId="0" fontId="25" fillId="3" borderId="17" xfId="0" applyFont="1" applyFill="1" applyBorder="1" applyAlignment="1">
      <alignment horizontal="center"/>
    </xf>
    <xf numFmtId="14" fontId="25" fillId="3" borderId="20" xfId="0" applyNumberFormat="1" applyFont="1" applyFill="1" applyBorder="1"/>
    <xf numFmtId="169" fontId="25" fillId="33" borderId="17" xfId="1" applyFont="1" applyFill="1" applyBorder="1"/>
    <xf numFmtId="169" fontId="25" fillId="33" borderId="145" xfId="1" applyFont="1" applyFill="1" applyBorder="1"/>
    <xf numFmtId="174" fontId="25" fillId="33" borderId="143" xfId="2" applyFont="1" applyFill="1" applyBorder="1"/>
    <xf numFmtId="170" fontId="25" fillId="33" borderId="20" xfId="1" applyNumberFormat="1" applyFont="1" applyFill="1" applyBorder="1"/>
    <xf numFmtId="169" fontId="25" fillId="3" borderId="153" xfId="1" applyFont="1" applyFill="1" applyBorder="1"/>
    <xf numFmtId="169" fontId="25" fillId="3" borderId="152" xfId="1" applyFont="1" applyFill="1" applyBorder="1"/>
    <xf numFmtId="169" fontId="25" fillId="3" borderId="17" xfId="1" applyFont="1" applyFill="1" applyBorder="1"/>
    <xf numFmtId="169" fontId="25" fillId="3" borderId="145" xfId="1" applyFont="1" applyFill="1" applyBorder="1"/>
    <xf numFmtId="174" fontId="25" fillId="3" borderId="143" xfId="2" applyFont="1" applyFill="1" applyBorder="1"/>
    <xf numFmtId="170" fontId="25" fillId="3" borderId="152" xfId="1" applyNumberFormat="1" applyFont="1" applyFill="1" applyBorder="1"/>
    <xf numFmtId="170" fontId="25" fillId="3" borderId="153" xfId="1" applyNumberFormat="1" applyFont="1" applyFill="1" applyBorder="1"/>
    <xf numFmtId="170" fontId="25" fillId="3" borderId="148" xfId="1" applyNumberFormat="1" applyFont="1" applyFill="1" applyBorder="1"/>
    <xf numFmtId="0" fontId="25" fillId="3" borderId="20" xfId="0" applyFont="1" applyFill="1" applyBorder="1" applyAlignment="1">
      <alignment horizontal="center"/>
    </xf>
    <xf numFmtId="169" fontId="25" fillId="6" borderId="152" xfId="1" applyFont="1" applyFill="1" applyBorder="1"/>
    <xf numFmtId="169" fontId="25" fillId="124" borderId="17" xfId="1" applyFont="1" applyFill="1" applyBorder="1"/>
    <xf numFmtId="169" fontId="25" fillId="124" borderId="153" xfId="1" applyFont="1" applyFill="1" applyBorder="1"/>
    <xf numFmtId="170" fontId="216" fillId="134" borderId="10" xfId="1" applyNumberFormat="1" applyFont="1" applyFill="1" applyBorder="1" applyAlignment="1">
      <alignment vertical="center"/>
    </xf>
    <xf numFmtId="170" fontId="210" fillId="133" borderId="10" xfId="1" applyNumberFormat="1" applyFont="1" applyFill="1" applyBorder="1" applyAlignment="1">
      <alignment vertical="center"/>
    </xf>
    <xf numFmtId="170" fontId="210" fillId="133" borderId="106" xfId="1" applyNumberFormat="1" applyFont="1" applyFill="1" applyBorder="1" applyAlignment="1">
      <alignment vertical="center"/>
    </xf>
    <xf numFmtId="170" fontId="233" fillId="134" borderId="10" xfId="1" applyNumberFormat="1" applyFont="1" applyFill="1" applyBorder="1" applyAlignment="1">
      <alignment vertical="center"/>
    </xf>
    <xf numFmtId="170" fontId="234" fillId="133" borderId="10" xfId="1" applyNumberFormat="1" applyFont="1" applyFill="1" applyBorder="1" applyAlignment="1">
      <alignment vertical="center"/>
    </xf>
    <xf numFmtId="170" fontId="232" fillId="133" borderId="10" xfId="1" applyNumberFormat="1" applyFont="1" applyFill="1" applyBorder="1" applyAlignment="1">
      <alignment vertical="center"/>
    </xf>
    <xf numFmtId="0" fontId="26" fillId="0" borderId="0" xfId="0" applyFont="1" applyAlignment="1">
      <alignment horizontal="center" vertical="center"/>
    </xf>
    <xf numFmtId="3" fontId="44" fillId="0" borderId="0" xfId="0" applyNumberFormat="1" applyFont="1" applyAlignment="1">
      <alignment vertical="center"/>
    </xf>
    <xf numFmtId="3" fontId="26" fillId="0" borderId="0" xfId="0" applyNumberFormat="1" applyFont="1" applyAlignment="1">
      <alignment vertical="center"/>
    </xf>
    <xf numFmtId="0" fontId="44" fillId="0" borderId="0" xfId="0" applyFont="1" applyAlignment="1">
      <alignment horizontal="right" vertical="center"/>
    </xf>
    <xf numFmtId="170" fontId="0" fillId="125" borderId="0" xfId="0" applyNumberFormat="1" applyFill="1" applyAlignment="1">
      <alignment vertical="center"/>
    </xf>
    <xf numFmtId="170" fontId="0" fillId="8" borderId="0" xfId="1" applyNumberFormat="1" applyFont="1" applyFill="1"/>
    <xf numFmtId="170" fontId="217" fillId="8" borderId="10" xfId="1" applyNumberFormat="1" applyFont="1" applyFill="1" applyBorder="1" applyAlignment="1">
      <alignment vertical="center"/>
    </xf>
    <xf numFmtId="169" fontId="24" fillId="21" borderId="123" xfId="1" applyFont="1" applyFill="1" applyBorder="1"/>
    <xf numFmtId="169" fontId="24" fillId="21" borderId="115" xfId="1" applyFont="1" applyFill="1" applyBorder="1"/>
    <xf numFmtId="169" fontId="24" fillId="21" borderId="31" xfId="1" applyFont="1" applyFill="1" applyBorder="1"/>
    <xf numFmtId="169" fontId="24" fillId="21" borderId="106" xfId="1" applyFont="1" applyFill="1" applyBorder="1"/>
    <xf numFmtId="169" fontId="36" fillId="8" borderId="106" xfId="1" applyFont="1" applyFill="1" applyBorder="1"/>
    <xf numFmtId="169" fontId="28" fillId="24" borderId="25" xfId="1" applyFont="1" applyFill="1" applyBorder="1"/>
    <xf numFmtId="168" fontId="28" fillId="28" borderId="107" xfId="0" applyNumberFormat="1" applyFont="1" applyFill="1" applyBorder="1" applyAlignment="1">
      <alignment horizontal="center"/>
    </xf>
    <xf numFmtId="169" fontId="24" fillId="18" borderId="31" xfId="1" applyFont="1" applyFill="1" applyBorder="1"/>
    <xf numFmtId="169" fontId="24" fillId="18" borderId="148" xfId="1" applyFont="1" applyFill="1" applyBorder="1"/>
    <xf numFmtId="169" fontId="205" fillId="142" borderId="0" xfId="0" applyNumberFormat="1" applyFont="1" applyFill="1"/>
    <xf numFmtId="170" fontId="233" fillId="125" borderId="11" xfId="1" applyNumberFormat="1" applyFont="1" applyFill="1" applyBorder="1" applyAlignment="1">
      <alignment vertical="center"/>
    </xf>
    <xf numFmtId="170" fontId="235" fillId="133" borderId="11" xfId="1" applyNumberFormat="1" applyFont="1" applyFill="1" applyBorder="1" applyAlignment="1">
      <alignment vertical="center"/>
    </xf>
    <xf numFmtId="0" fontId="0" fillId="0" borderId="163" xfId="0" applyBorder="1" applyAlignment="1">
      <alignment vertical="center"/>
    </xf>
    <xf numFmtId="170" fontId="0" fillId="0" borderId="163" xfId="1" applyNumberFormat="1" applyFont="1" applyBorder="1" applyAlignment="1">
      <alignment vertical="center"/>
    </xf>
    <xf numFmtId="170" fontId="0" fillId="10" borderId="163" xfId="1" applyNumberFormat="1" applyFont="1" applyFill="1" applyBorder="1" applyAlignment="1">
      <alignment vertical="center"/>
    </xf>
    <xf numFmtId="4" fontId="205" fillId="0" borderId="0" xfId="0" applyNumberFormat="1" applyFont="1"/>
    <xf numFmtId="175" fontId="26" fillId="0" borderId="0" xfId="0" applyNumberFormat="1" applyFont="1"/>
    <xf numFmtId="169" fontId="205" fillId="0" borderId="0" xfId="0" applyNumberFormat="1" applyFont="1"/>
    <xf numFmtId="0" fontId="80" fillId="4" borderId="119" xfId="0" applyFont="1" applyFill="1" applyBorder="1"/>
    <xf numFmtId="169" fontId="1" fillId="18" borderId="145" xfId="1" applyFont="1" applyFill="1" applyBorder="1"/>
    <xf numFmtId="0" fontId="0" fillId="0" borderId="25" xfId="0" applyBorder="1" applyAlignment="1">
      <alignment horizontal="center"/>
    </xf>
    <xf numFmtId="0" fontId="202" fillId="133" borderId="38" xfId="0" applyFont="1" applyFill="1" applyBorder="1" applyAlignment="1">
      <alignment vertical="center"/>
    </xf>
    <xf numFmtId="0" fontId="202" fillId="133" borderId="39" xfId="0" applyFont="1" applyFill="1" applyBorder="1" applyAlignment="1">
      <alignment vertical="center"/>
    </xf>
    <xf numFmtId="170" fontId="202" fillId="133" borderId="39" xfId="1" applyNumberFormat="1" applyFont="1" applyFill="1" applyBorder="1" applyAlignment="1">
      <alignment vertical="center"/>
    </xf>
    <xf numFmtId="170" fontId="202" fillId="0" borderId="39" xfId="1" applyNumberFormat="1" applyFont="1" applyFill="1" applyBorder="1" applyAlignment="1">
      <alignment vertical="center"/>
    </xf>
    <xf numFmtId="170" fontId="202" fillId="133" borderId="39" xfId="0" applyNumberFormat="1" applyFont="1" applyFill="1" applyBorder="1" applyAlignment="1">
      <alignment vertical="center"/>
    </xf>
    <xf numFmtId="170" fontId="202" fillId="0" borderId="34" xfId="0" applyNumberFormat="1" applyFont="1" applyBorder="1" applyAlignment="1">
      <alignment vertical="center"/>
    </xf>
    <xf numFmtId="170" fontId="191" fillId="22" borderId="101" xfId="1" applyNumberFormat="1" applyFont="1" applyFill="1" applyBorder="1" applyAlignment="1">
      <alignment vertical="center"/>
    </xf>
    <xf numFmtId="170" fontId="57" fillId="22" borderId="101" xfId="1" applyNumberFormat="1" applyFont="1" applyFill="1" applyBorder="1" applyAlignment="1">
      <alignment vertical="center"/>
    </xf>
    <xf numFmtId="170" fontId="3" fillId="27" borderId="162" xfId="1" applyNumberFormat="1" applyFont="1" applyFill="1" applyBorder="1" applyAlignment="1">
      <alignment vertical="center"/>
    </xf>
    <xf numFmtId="170" fontId="0" fillId="27" borderId="0" xfId="1" applyNumberFormat="1" applyFont="1" applyFill="1" applyAlignment="1">
      <alignment vertical="center"/>
    </xf>
    <xf numFmtId="170" fontId="225" fillId="0" borderId="151" xfId="1" applyNumberFormat="1" applyFont="1" applyBorder="1" applyAlignment="1">
      <alignment vertical="center"/>
    </xf>
    <xf numFmtId="0" fontId="231" fillId="142" borderId="0" xfId="0" applyFont="1" applyFill="1" applyAlignment="1">
      <alignment vertical="center"/>
    </xf>
    <xf numFmtId="0" fontId="238" fillId="133" borderId="148" xfId="0" applyFont="1" applyFill="1" applyBorder="1" applyAlignment="1">
      <alignment vertical="center"/>
    </xf>
    <xf numFmtId="170" fontId="239" fillId="133" borderId="148" xfId="1" applyNumberFormat="1" applyFont="1" applyFill="1" applyBorder="1" applyAlignment="1">
      <alignment vertical="center"/>
    </xf>
    <xf numFmtId="170" fontId="240" fillId="130" borderId="156" xfId="1" applyNumberFormat="1" applyFont="1" applyFill="1" applyBorder="1" applyAlignment="1">
      <alignment vertical="center"/>
    </xf>
    <xf numFmtId="0" fontId="241" fillId="133" borderId="0" xfId="0" applyFont="1" applyFill="1" applyAlignment="1">
      <alignment horizontal="center" vertical="center"/>
    </xf>
    <xf numFmtId="0" fontId="56" fillId="137" borderId="0" xfId="0" applyFont="1" applyFill="1" applyAlignment="1">
      <alignment vertical="center"/>
    </xf>
    <xf numFmtId="170" fontId="56" fillId="137" borderId="0" xfId="0" applyNumberFormat="1" applyFont="1" applyFill="1" applyAlignment="1">
      <alignment vertical="center"/>
    </xf>
    <xf numFmtId="170" fontId="242" fillId="15" borderId="148" xfId="0" applyNumberFormat="1" applyFont="1" applyFill="1" applyBorder="1" applyAlignment="1">
      <alignment vertical="center"/>
    </xf>
    <xf numFmtId="170" fontId="242" fillId="15" borderId="148" xfId="1" applyNumberFormat="1" applyFont="1" applyFill="1" applyBorder="1" applyAlignment="1">
      <alignment vertical="center"/>
    </xf>
    <xf numFmtId="0" fontId="242" fillId="15" borderId="148" xfId="0" applyFont="1" applyFill="1" applyBorder="1" applyAlignment="1">
      <alignment vertical="center"/>
    </xf>
    <xf numFmtId="170" fontId="242" fillId="15" borderId="0" xfId="0" applyNumberFormat="1" applyFont="1" applyFill="1" applyAlignment="1">
      <alignment vertical="center"/>
    </xf>
    <xf numFmtId="170" fontId="231" fillId="142" borderId="0" xfId="1" applyNumberFormat="1" applyFont="1" applyFill="1" applyAlignment="1">
      <alignment vertical="center"/>
    </xf>
    <xf numFmtId="0" fontId="243" fillId="142" borderId="153" xfId="0" applyFont="1" applyFill="1" applyBorder="1" applyAlignment="1">
      <alignment vertical="center"/>
    </xf>
    <xf numFmtId="0" fontId="243" fillId="142" borderId="148" xfId="0" applyFont="1" applyFill="1" applyBorder="1" applyAlignment="1">
      <alignment vertical="center"/>
    </xf>
    <xf numFmtId="170" fontId="196" fillId="142" borderId="106" xfId="1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0" fillId="27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237" fillId="18" borderId="0" xfId="0" applyFont="1" applyFill="1" applyAlignment="1">
      <alignment vertical="center"/>
    </xf>
    <xf numFmtId="0" fontId="205" fillId="18" borderId="0" xfId="0" applyFont="1" applyFill="1" applyAlignment="1">
      <alignment vertical="center"/>
    </xf>
    <xf numFmtId="170" fontId="205" fillId="18" borderId="0" xfId="1" applyNumberFormat="1" applyFont="1" applyFill="1" applyAlignment="1">
      <alignment vertical="center"/>
    </xf>
    <xf numFmtId="0" fontId="0" fillId="4" borderId="0" xfId="0" applyFill="1" applyAlignment="1">
      <alignment vertical="center"/>
    </xf>
    <xf numFmtId="0" fontId="0" fillId="139" borderId="0" xfId="0" applyFill="1" applyAlignment="1">
      <alignment vertical="center"/>
    </xf>
    <xf numFmtId="170" fontId="0" fillId="139" borderId="0" xfId="1" applyNumberFormat="1" applyFont="1" applyFill="1" applyAlignment="1">
      <alignment vertical="center"/>
    </xf>
    <xf numFmtId="0" fontId="0" fillId="0" borderId="162" xfId="0" applyBorder="1" applyAlignment="1">
      <alignment vertical="center"/>
    </xf>
    <xf numFmtId="170" fontId="3" fillId="0" borderId="162" xfId="0" applyNumberFormat="1" applyFont="1" applyBorder="1" applyAlignment="1">
      <alignment vertical="center"/>
    </xf>
    <xf numFmtId="170" fontId="44" fillId="0" borderId="0" xfId="0" applyNumberFormat="1" applyFont="1" applyAlignment="1">
      <alignment vertical="center"/>
    </xf>
    <xf numFmtId="170" fontId="70" fillId="9" borderId="0" xfId="0" applyNumberFormat="1" applyFont="1" applyFill="1" applyAlignment="1">
      <alignment vertical="center"/>
    </xf>
    <xf numFmtId="0" fontId="70" fillId="9" borderId="0" xfId="0" applyFont="1" applyFill="1" applyAlignment="1">
      <alignment vertical="center"/>
    </xf>
    <xf numFmtId="170" fontId="54" fillId="15" borderId="0" xfId="0" applyNumberFormat="1" applyFont="1" applyFill="1" applyAlignment="1">
      <alignment vertical="center"/>
    </xf>
    <xf numFmtId="0" fontId="54" fillId="0" borderId="0" xfId="0" applyFont="1" applyAlignment="1">
      <alignment horizontal="right" vertical="center"/>
    </xf>
    <xf numFmtId="3" fontId="54" fillId="0" borderId="0" xfId="0" applyNumberFormat="1" applyFont="1" applyAlignment="1">
      <alignment vertical="center"/>
    </xf>
    <xf numFmtId="0" fontId="54" fillId="15" borderId="0" xfId="0" applyFont="1" applyFill="1" applyAlignment="1">
      <alignment horizontal="right" vertical="center"/>
    </xf>
    <xf numFmtId="170" fontId="74" fillId="15" borderId="0" xfId="0" applyNumberFormat="1" applyFont="1" applyFill="1" applyAlignment="1">
      <alignment vertical="center"/>
    </xf>
    <xf numFmtId="0" fontId="245" fillId="134" borderId="0" xfId="0" applyFont="1" applyFill="1" applyAlignment="1">
      <alignment horizontal="center" vertical="center"/>
    </xf>
    <xf numFmtId="170" fontId="245" fillId="134" borderId="0" xfId="0" applyNumberFormat="1" applyFont="1" applyFill="1" applyAlignment="1">
      <alignment vertical="center"/>
    </xf>
    <xf numFmtId="0" fontId="245" fillId="0" borderId="0" xfId="0" applyFont="1" applyAlignment="1">
      <alignment horizontal="center" vertical="center"/>
    </xf>
    <xf numFmtId="170" fontId="0" fillId="0" borderId="0" xfId="1" applyNumberFormat="1" applyFont="1" applyFill="1" applyBorder="1" applyAlignment="1">
      <alignment vertical="center"/>
    </xf>
    <xf numFmtId="170" fontId="3" fillId="0" borderId="0" xfId="1" applyNumberFormat="1" applyFont="1" applyFill="1" applyBorder="1" applyAlignment="1">
      <alignment vertical="center"/>
    </xf>
    <xf numFmtId="170" fontId="245" fillId="0" borderId="0" xfId="0" applyNumberFormat="1" applyFont="1" applyAlignment="1">
      <alignment vertical="center"/>
    </xf>
    <xf numFmtId="170" fontId="244" fillId="0" borderId="0" xfId="0" applyNumberFormat="1" applyFont="1" applyAlignment="1">
      <alignment vertical="center"/>
    </xf>
    <xf numFmtId="0" fontId="205" fillId="142" borderId="0" xfId="0" applyFont="1" applyFill="1" applyAlignment="1">
      <alignment vertical="center"/>
    </xf>
    <xf numFmtId="170" fontId="205" fillId="142" borderId="0" xfId="0" applyNumberFormat="1" applyFont="1" applyFill="1" applyAlignment="1">
      <alignment vertical="center"/>
    </xf>
    <xf numFmtId="0" fontId="230" fillId="142" borderId="0" xfId="0" applyFont="1" applyFill="1" applyAlignment="1">
      <alignment vertical="center"/>
    </xf>
    <xf numFmtId="170" fontId="56" fillId="137" borderId="165" xfId="0" applyNumberFormat="1" applyFont="1" applyFill="1" applyBorder="1" applyAlignment="1">
      <alignment vertical="center"/>
    </xf>
    <xf numFmtId="0" fontId="226" fillId="137" borderId="164" xfId="0" applyFont="1" applyFill="1" applyBorder="1" applyAlignment="1">
      <alignment horizontal="center" vertical="center" wrapText="1"/>
    </xf>
    <xf numFmtId="0" fontId="35" fillId="124" borderId="0" xfId="1" applyNumberFormat="1" applyFont="1" applyFill="1" applyAlignment="1">
      <alignment horizontal="center"/>
    </xf>
    <xf numFmtId="169" fontId="35" fillId="124" borderId="0" xfId="1" applyFont="1" applyFill="1"/>
    <xf numFmtId="170" fontId="0" fillId="134" borderId="0" xfId="1" applyNumberFormat="1" applyFont="1" applyFill="1" applyAlignment="1">
      <alignment vertical="center"/>
    </xf>
    <xf numFmtId="170" fontId="209" fillId="8" borderId="10" xfId="1" applyNumberFormat="1" applyFont="1" applyFill="1" applyBorder="1" applyAlignment="1">
      <alignment vertical="center"/>
    </xf>
    <xf numFmtId="170" fontId="209" fillId="8" borderId="106" xfId="1" applyNumberFormat="1" applyFont="1" applyFill="1" applyBorder="1" applyAlignment="1">
      <alignment vertical="center"/>
    </xf>
    <xf numFmtId="169" fontId="43" fillId="29" borderId="121" xfId="1" applyFont="1" applyFill="1" applyBorder="1"/>
    <xf numFmtId="169" fontId="43" fillId="122" borderId="17" xfId="1" applyFont="1" applyFill="1" applyBorder="1"/>
    <xf numFmtId="169" fontId="43" fillId="123" borderId="17" xfId="1" applyFont="1" applyFill="1" applyBorder="1"/>
    <xf numFmtId="174" fontId="61" fillId="123" borderId="19" xfId="2" applyFont="1" applyFill="1" applyBorder="1"/>
    <xf numFmtId="174" fontId="61" fillId="122" borderId="19" xfId="2" applyFont="1" applyFill="1" applyBorder="1"/>
    <xf numFmtId="174" fontId="61" fillId="135" borderId="19" xfId="2" applyFont="1" applyFill="1" applyBorder="1"/>
    <xf numFmtId="169" fontId="43" fillId="135" borderId="17" xfId="1" applyFont="1" applyFill="1" applyBorder="1"/>
    <xf numFmtId="169" fontId="43" fillId="138" borderId="17" xfId="1" applyFont="1" applyFill="1" applyBorder="1"/>
    <xf numFmtId="174" fontId="61" fillId="138" borderId="19" xfId="2" applyFont="1" applyFill="1" applyBorder="1"/>
    <xf numFmtId="174" fontId="61" fillId="140" borderId="19" xfId="2" applyFont="1" applyFill="1" applyBorder="1"/>
    <xf numFmtId="169" fontId="43" fillId="140" borderId="17" xfId="1" applyFont="1" applyFill="1" applyBorder="1"/>
    <xf numFmtId="174" fontId="25" fillId="143" borderId="19" xfId="2" applyFont="1" applyFill="1" applyBorder="1"/>
    <xf numFmtId="169" fontId="25" fillId="143" borderId="9" xfId="1" applyFont="1" applyFill="1" applyBorder="1"/>
    <xf numFmtId="14" fontId="54" fillId="42" borderId="36" xfId="0" applyNumberFormat="1" applyFont="1" applyFill="1" applyBorder="1"/>
    <xf numFmtId="14" fontId="0" fillId="8" borderId="20" xfId="0" applyNumberFormat="1" applyFill="1" applyBorder="1"/>
    <xf numFmtId="0" fontId="44" fillId="0" borderId="0" xfId="0" applyFont="1" applyAlignment="1">
      <alignment vertical="center"/>
    </xf>
    <xf numFmtId="0" fontId="195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0" fontId="193" fillId="0" borderId="153" xfId="0" applyFont="1" applyBorder="1" applyAlignment="1">
      <alignment vertical="center"/>
    </xf>
    <xf numFmtId="0" fontId="193" fillId="0" borderId="148" xfId="0" applyFont="1" applyBorder="1" applyAlignment="1">
      <alignment vertical="center"/>
    </xf>
    <xf numFmtId="169" fontId="246" fillId="138" borderId="9" xfId="1" applyFont="1" applyFill="1" applyBorder="1"/>
    <xf numFmtId="169" fontId="246" fillId="140" borderId="9" xfId="1" applyFont="1" applyFill="1" applyBorder="1"/>
    <xf numFmtId="169" fontId="246" fillId="135" borderId="9" xfId="1" applyFont="1" applyFill="1" applyBorder="1"/>
    <xf numFmtId="169" fontId="246" fillId="122" borderId="9" xfId="1" applyFont="1" applyFill="1" applyBorder="1"/>
    <xf numFmtId="169" fontId="246" fillId="123" borderId="9" xfId="1" applyFont="1" applyFill="1" applyBorder="1"/>
    <xf numFmtId="169" fontId="247" fillId="42" borderId="9" xfId="1" applyFont="1" applyFill="1" applyBorder="1"/>
    <xf numFmtId="170" fontId="0" fillId="144" borderId="0" xfId="0" applyNumberFormat="1" applyFill="1" applyAlignment="1">
      <alignment vertical="center"/>
    </xf>
    <xf numFmtId="0" fontId="36" fillId="27" borderId="153" xfId="0" applyFont="1" applyFill="1" applyBorder="1"/>
    <xf numFmtId="0" fontId="26" fillId="27" borderId="153" xfId="0" applyFont="1" applyFill="1" applyBorder="1"/>
    <xf numFmtId="169" fontId="28" fillId="0" borderId="106" xfId="0" applyNumberFormat="1" applyFont="1" applyBorder="1"/>
    <xf numFmtId="169" fontId="36" fillId="27" borderId="103" xfId="0" applyNumberFormat="1" applyFont="1" applyFill="1" applyBorder="1"/>
    <xf numFmtId="11" fontId="36" fillId="0" borderId="103" xfId="0" applyNumberFormat="1" applyFont="1" applyBorder="1"/>
    <xf numFmtId="43" fontId="45" fillId="0" borderId="0" xfId="0" applyNumberFormat="1" applyFont="1" applyAlignment="1">
      <alignment horizontal="center"/>
    </xf>
    <xf numFmtId="0" fontId="25" fillId="8" borderId="17" xfId="0" applyFont="1" applyFill="1" applyBorder="1" applyAlignment="1">
      <alignment horizontal="center"/>
    </xf>
    <xf numFmtId="14" fontId="25" fillId="8" borderId="20" xfId="0" applyNumberFormat="1" applyFont="1" applyFill="1" applyBorder="1"/>
    <xf numFmtId="169" fontId="25" fillId="8" borderId="153" xfId="1" applyFont="1" applyFill="1" applyBorder="1"/>
    <xf numFmtId="169" fontId="25" fillId="8" borderId="17" xfId="1" applyFont="1" applyFill="1" applyBorder="1"/>
    <xf numFmtId="0" fontId="25" fillId="8" borderId="143" xfId="0" applyFont="1" applyFill="1" applyBorder="1"/>
    <xf numFmtId="169" fontId="35" fillId="8" borderId="0" xfId="1" applyFont="1" applyFill="1"/>
    <xf numFmtId="0" fontId="219" fillId="8" borderId="9" xfId="0" applyFont="1" applyFill="1" applyBorder="1" applyAlignment="1">
      <alignment vertical="center"/>
    </xf>
    <xf numFmtId="0" fontId="219" fillId="8" borderId="10" xfId="0" applyFont="1" applyFill="1" applyBorder="1" applyAlignment="1">
      <alignment vertical="center"/>
    </xf>
    <xf numFmtId="0" fontId="216" fillId="27" borderId="9" xfId="0" applyFont="1" applyFill="1" applyBorder="1" applyAlignment="1">
      <alignment vertical="center"/>
    </xf>
    <xf numFmtId="0" fontId="216" fillId="27" borderId="10" xfId="0" applyFont="1" applyFill="1" applyBorder="1" applyAlignment="1">
      <alignment vertical="center"/>
    </xf>
    <xf numFmtId="170" fontId="217" fillId="27" borderId="10" xfId="1" applyNumberFormat="1" applyFont="1" applyFill="1" applyBorder="1" applyAlignment="1">
      <alignment vertical="center"/>
    </xf>
    <xf numFmtId="0" fontId="219" fillId="133" borderId="10" xfId="0" applyFont="1" applyFill="1" applyBorder="1" applyAlignment="1">
      <alignment vertical="center"/>
    </xf>
    <xf numFmtId="170" fontId="196" fillId="8" borderId="0" xfId="0" applyNumberFormat="1" applyFont="1" applyFill="1" applyAlignment="1">
      <alignment vertical="center"/>
    </xf>
    <xf numFmtId="0" fontId="197" fillId="8" borderId="0" xfId="0" applyFont="1" applyFill="1" applyAlignment="1">
      <alignment vertical="center"/>
    </xf>
    <xf numFmtId="170" fontId="240" fillId="133" borderId="148" xfId="1" applyNumberFormat="1" applyFont="1" applyFill="1" applyBorder="1" applyAlignment="1">
      <alignment vertical="center"/>
    </xf>
    <xf numFmtId="0" fontId="202" fillId="133" borderId="148" xfId="0" applyFont="1" applyFill="1" applyBorder="1" applyAlignment="1">
      <alignment vertical="center"/>
    </xf>
    <xf numFmtId="0" fontId="248" fillId="0" borderId="0" xfId="0" applyFont="1" applyAlignment="1">
      <alignment vertical="center"/>
    </xf>
    <xf numFmtId="0" fontId="224" fillId="0" borderId="0" xfId="0" applyFont="1" applyAlignment="1">
      <alignment vertical="center"/>
    </xf>
    <xf numFmtId="170" fontId="248" fillId="0" borderId="0" xfId="0" applyNumberFormat="1" applyFont="1" applyAlignment="1">
      <alignment vertical="center"/>
    </xf>
    <xf numFmtId="170" fontId="196" fillId="130" borderId="106" xfId="1" applyNumberFormat="1" applyFont="1" applyFill="1" applyBorder="1" applyAlignment="1">
      <alignment vertical="center"/>
    </xf>
    <xf numFmtId="170" fontId="3" fillId="0" borderId="0" xfId="0" applyNumberFormat="1" applyFont="1" applyAlignment="1">
      <alignment vertical="center"/>
    </xf>
    <xf numFmtId="170" fontId="195" fillId="0" borderId="0" xfId="0" applyNumberFormat="1" applyFont="1" applyAlignment="1">
      <alignment vertical="center"/>
    </xf>
    <xf numFmtId="170" fontId="44" fillId="0" borderId="0" xfId="1" applyNumberFormat="1" applyFont="1" applyAlignment="1">
      <alignment vertical="center"/>
    </xf>
    <xf numFmtId="170" fontId="202" fillId="8" borderId="0" xfId="0" applyNumberFormat="1" applyFont="1" applyFill="1" applyAlignment="1">
      <alignment horizontal="right" vertical="center"/>
    </xf>
    <xf numFmtId="170" fontId="202" fillId="8" borderId="162" xfId="0" applyNumberFormat="1" applyFont="1" applyFill="1" applyBorder="1" applyAlignment="1">
      <alignment vertical="center"/>
    </xf>
    <xf numFmtId="0" fontId="28" fillId="8" borderId="0" xfId="0" applyFont="1" applyFill="1" applyAlignment="1">
      <alignment vertical="center"/>
    </xf>
    <xf numFmtId="170" fontId="28" fillId="8" borderId="0" xfId="1" applyNumberFormat="1" applyFont="1" applyFill="1" applyAlignment="1">
      <alignment vertical="center"/>
    </xf>
    <xf numFmtId="170" fontId="216" fillId="8" borderId="10" xfId="1" applyNumberFormat="1" applyFont="1" applyFill="1" applyBorder="1" applyAlignment="1">
      <alignment vertical="center"/>
    </xf>
    <xf numFmtId="4" fontId="0" fillId="8" borderId="0" xfId="0" applyNumberFormat="1" applyFill="1"/>
    <xf numFmtId="0" fontId="54" fillId="8" borderId="19" xfId="0" applyFont="1" applyFill="1" applyBorder="1"/>
    <xf numFmtId="169" fontId="246" fillId="29" borderId="17" xfId="1" applyFont="1" applyFill="1" applyBorder="1"/>
    <xf numFmtId="174" fontId="61" fillId="29" borderId="19" xfId="2" applyFont="1" applyFill="1" applyBorder="1"/>
    <xf numFmtId="169" fontId="36" fillId="0" borderId="150" xfId="0" applyNumberFormat="1" applyFont="1" applyBorder="1"/>
    <xf numFmtId="169" fontId="28" fillId="0" borderId="150" xfId="0" applyNumberFormat="1" applyFont="1" applyBorder="1"/>
    <xf numFmtId="169" fontId="28" fillId="27" borderId="106" xfId="0" applyNumberFormat="1" applyFont="1" applyFill="1" applyBorder="1"/>
    <xf numFmtId="0" fontId="0" fillId="144" borderId="0" xfId="0" applyFill="1"/>
    <xf numFmtId="0" fontId="195" fillId="134" borderId="151" xfId="0" applyFont="1" applyFill="1" applyBorder="1" applyAlignment="1">
      <alignment horizontal="center" vertical="center" wrapText="1"/>
    </xf>
    <xf numFmtId="170" fontId="0" fillId="8" borderId="0" xfId="1" applyNumberFormat="1" applyFont="1" applyFill="1" applyAlignment="1">
      <alignment vertical="center"/>
    </xf>
    <xf numFmtId="169" fontId="28" fillId="27" borderId="103" xfId="0" applyNumberFormat="1" applyFont="1" applyFill="1" applyBorder="1"/>
    <xf numFmtId="0" fontId="202" fillId="133" borderId="161" xfId="0" applyFont="1" applyFill="1" applyBorder="1" applyAlignment="1">
      <alignment horizontal="center" vertical="center" wrapText="1"/>
    </xf>
    <xf numFmtId="0" fontId="6" fillId="133" borderId="0" xfId="0" applyFont="1" applyFill="1" applyAlignment="1">
      <alignment vertical="center"/>
    </xf>
    <xf numFmtId="170" fontId="202" fillId="133" borderId="0" xfId="1" applyNumberFormat="1" applyFont="1" applyFill="1" applyAlignment="1">
      <alignment vertical="center"/>
    </xf>
    <xf numFmtId="170" fontId="28" fillId="133" borderId="0" xfId="1" applyNumberFormat="1" applyFont="1" applyFill="1" applyAlignment="1">
      <alignment vertical="center"/>
    </xf>
    <xf numFmtId="17" fontId="0" fillId="0" borderId="151" xfId="0" applyNumberFormat="1" applyBorder="1" applyAlignment="1">
      <alignment horizontal="center" vertical="center"/>
    </xf>
    <xf numFmtId="0" fontId="249" fillId="0" borderId="0" xfId="0" applyFont="1" applyAlignment="1">
      <alignment vertical="center"/>
    </xf>
    <xf numFmtId="170" fontId="249" fillId="0" borderId="0" xfId="1" applyNumberFormat="1" applyFont="1" applyAlignment="1">
      <alignment vertical="center"/>
    </xf>
    <xf numFmtId="0" fontId="238" fillId="22" borderId="138" xfId="0" applyFont="1" applyFill="1" applyBorder="1" applyAlignment="1">
      <alignment horizontal="right" vertical="center"/>
    </xf>
    <xf numFmtId="170" fontId="250" fillId="22" borderId="99" xfId="1" applyNumberFormat="1" applyFont="1" applyFill="1" applyBorder="1" applyAlignment="1">
      <alignment vertical="center"/>
    </xf>
    <xf numFmtId="0" fontId="197" fillId="0" borderId="0" xfId="0" applyFont="1" applyAlignment="1">
      <alignment vertical="center"/>
    </xf>
    <xf numFmtId="170" fontId="65" fillId="130" borderId="156" xfId="1" applyNumberFormat="1" applyFont="1" applyFill="1" applyBorder="1" applyAlignment="1">
      <alignment vertical="center"/>
    </xf>
    <xf numFmtId="4" fontId="0" fillId="27" borderId="0" xfId="0" applyNumberFormat="1" applyFill="1"/>
    <xf numFmtId="14" fontId="0" fillId="8" borderId="0" xfId="0" applyNumberFormat="1" applyFill="1"/>
    <xf numFmtId="0" fontId="54" fillId="0" borderId="19" xfId="0" applyFont="1" applyBorder="1"/>
    <xf numFmtId="0" fontId="54" fillId="0" borderId="19" xfId="0" applyFont="1" applyBorder="1" applyAlignment="1">
      <alignment horizontal="center"/>
    </xf>
    <xf numFmtId="0" fontId="54" fillId="0" borderId="153" xfId="0" applyFont="1" applyBorder="1" applyAlignment="1">
      <alignment horizontal="center"/>
    </xf>
    <xf numFmtId="14" fontId="54" fillId="0" borderId="152" xfId="0" applyNumberFormat="1" applyFont="1" applyBorder="1"/>
    <xf numFmtId="169" fontId="2" fillId="1" borderId="9" xfId="1" applyFont="1" applyFill="1" applyBorder="1"/>
    <xf numFmtId="169" fontId="2" fillId="1" borderId="103" xfId="1" applyFont="1" applyFill="1" applyBorder="1"/>
    <xf numFmtId="174" fontId="2" fillId="1" borderId="106" xfId="2" applyFont="1" applyFill="1" applyBorder="1"/>
    <xf numFmtId="170" fontId="2" fillId="1" borderId="105" xfId="1" applyNumberFormat="1" applyFont="1" applyFill="1" applyBorder="1"/>
    <xf numFmtId="169" fontId="2" fillId="126" borderId="9" xfId="1" applyFont="1" applyFill="1" applyBorder="1"/>
    <xf numFmtId="169" fontId="2" fillId="7" borderId="137" xfId="1" applyFont="1" applyFill="1" applyBorder="1"/>
    <xf numFmtId="173" fontId="54" fillId="18" borderId="31" xfId="1" applyNumberFormat="1" applyFont="1" applyFill="1" applyBorder="1"/>
    <xf numFmtId="173" fontId="54" fillId="18" borderId="148" xfId="1" applyNumberFormat="1" applyFont="1" applyFill="1" applyBorder="1"/>
    <xf numFmtId="169" fontId="54" fillId="7" borderId="9" xfId="1" applyFont="1" applyFill="1" applyBorder="1"/>
    <xf numFmtId="169" fontId="2" fillId="24" borderId="25" xfId="1" applyFont="1" applyFill="1" applyBorder="1"/>
    <xf numFmtId="169" fontId="54" fillId="0" borderId="9" xfId="1" applyFont="1" applyFill="1" applyBorder="1"/>
    <xf numFmtId="169" fontId="54" fillId="0" borderId="106" xfId="1" applyFont="1" applyFill="1" applyBorder="1"/>
    <xf numFmtId="169" fontId="54" fillId="0" borderId="148" xfId="1" applyFont="1" applyFill="1" applyBorder="1"/>
    <xf numFmtId="169" fontId="54" fillId="0" borderId="107" xfId="1" applyFont="1" applyFill="1" applyBorder="1"/>
    <xf numFmtId="0" fontId="2" fillId="0" borderId="19" xfId="0" applyFont="1" applyBorder="1"/>
    <xf numFmtId="0" fontId="2" fillId="0" borderId="13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4" fontId="2" fillId="0" borderId="137" xfId="0" applyNumberFormat="1" applyFont="1" applyBorder="1"/>
    <xf numFmtId="169" fontId="2" fillId="1" borderId="17" xfId="1" applyFont="1" applyFill="1" applyBorder="1"/>
    <xf numFmtId="169" fontId="2" fillId="1" borderId="145" xfId="1" applyFont="1" applyFill="1" applyBorder="1"/>
    <xf numFmtId="174" fontId="2" fillId="1" borderId="19" xfId="2" applyFont="1" applyFill="1" applyBorder="1"/>
    <xf numFmtId="170" fontId="2" fillId="1" borderId="29" xfId="1" applyNumberFormat="1" applyFont="1" applyFill="1" applyBorder="1"/>
    <xf numFmtId="169" fontId="2" fillId="18" borderId="30" xfId="1" applyFont="1" applyFill="1" applyBorder="1"/>
    <xf numFmtId="169" fontId="2" fillId="18" borderId="143" xfId="1" applyFont="1" applyFill="1" applyBorder="1"/>
    <xf numFmtId="174" fontId="2" fillId="18" borderId="19" xfId="2" applyFont="1" applyFill="1" applyBorder="1"/>
    <xf numFmtId="170" fontId="2" fillId="18" borderId="24" xfId="1" applyNumberFormat="1" applyFont="1" applyFill="1" applyBorder="1"/>
    <xf numFmtId="170" fontId="2" fillId="7" borderId="20" xfId="1" applyNumberFormat="1" applyFont="1" applyFill="1" applyBorder="1"/>
    <xf numFmtId="170" fontId="2" fillId="28" borderId="17" xfId="1" applyNumberFormat="1" applyFont="1" applyFill="1" applyBorder="1"/>
    <xf numFmtId="170" fontId="2" fillId="28" borderId="19" xfId="1" applyNumberFormat="1" applyFont="1" applyFill="1" applyBorder="1"/>
    <xf numFmtId="0" fontId="2" fillId="28" borderId="20" xfId="0" applyFont="1" applyFill="1" applyBorder="1" applyAlignment="1">
      <alignment horizontal="center"/>
    </xf>
    <xf numFmtId="0" fontId="2" fillId="27" borderId="9" xfId="0" applyFont="1" applyFill="1" applyBorder="1"/>
    <xf numFmtId="169" fontId="2" fillId="0" borderId="103" xfId="0" applyNumberFormat="1" applyFont="1" applyBorder="1"/>
    <xf numFmtId="173" fontId="2" fillId="0" borderId="103" xfId="0" applyNumberFormat="1" applyFont="1" applyBorder="1"/>
    <xf numFmtId="170" fontId="0" fillId="122" borderId="0" xfId="0" applyNumberFormat="1" applyFill="1" applyAlignment="1">
      <alignment vertical="center"/>
    </xf>
    <xf numFmtId="0" fontId="0" fillId="139" borderId="142" xfId="0" applyFill="1" applyBorder="1" applyAlignment="1">
      <alignment vertical="center"/>
    </xf>
    <xf numFmtId="170" fontId="0" fillId="139" borderId="142" xfId="1" applyNumberFormat="1" applyFont="1" applyFill="1" applyBorder="1" applyAlignment="1">
      <alignment vertical="center"/>
    </xf>
    <xf numFmtId="170" fontId="0" fillId="0" borderId="142" xfId="0" applyNumberFormat="1" applyBorder="1" applyAlignment="1">
      <alignment vertical="center"/>
    </xf>
    <xf numFmtId="170" fontId="0" fillId="144" borderId="142" xfId="0" applyNumberFormat="1" applyFill="1" applyBorder="1" applyAlignment="1">
      <alignment vertical="center"/>
    </xf>
    <xf numFmtId="170" fontId="197" fillId="8" borderId="0" xfId="0" applyNumberFormat="1" applyFont="1" applyFill="1" applyAlignment="1">
      <alignment vertical="center"/>
    </xf>
    <xf numFmtId="170" fontId="0" fillId="0" borderId="142" xfId="1" applyNumberFormat="1" applyFont="1" applyFill="1" applyBorder="1" applyAlignment="1">
      <alignment vertical="center"/>
    </xf>
    <xf numFmtId="0" fontId="92" fillId="138" borderId="142" xfId="0" applyFont="1" applyFill="1" applyBorder="1" applyAlignment="1">
      <alignment horizontal="center" vertical="center"/>
    </xf>
    <xf numFmtId="0" fontId="92" fillId="138" borderId="142" xfId="0" applyFont="1" applyFill="1" applyBorder="1" applyAlignment="1">
      <alignment horizontal="center" vertical="center" wrapText="1"/>
    </xf>
    <xf numFmtId="0" fontId="3" fillId="121" borderId="142" xfId="0" applyFont="1" applyFill="1" applyBorder="1" applyAlignment="1">
      <alignment vertical="center"/>
    </xf>
    <xf numFmtId="0" fontId="0" fillId="121" borderId="142" xfId="0" applyFill="1" applyBorder="1" applyAlignment="1">
      <alignment vertical="center"/>
    </xf>
    <xf numFmtId="170" fontId="0" fillId="121" borderId="142" xfId="1" applyNumberFormat="1" applyFont="1" applyFill="1" applyBorder="1" applyAlignment="1">
      <alignment vertical="center"/>
    </xf>
    <xf numFmtId="170" fontId="3" fillId="0" borderId="0" xfId="1" applyNumberFormat="1" applyFont="1" applyAlignment="1">
      <alignment vertical="center"/>
    </xf>
    <xf numFmtId="170" fontId="202" fillId="133" borderId="0" xfId="1" applyNumberFormat="1" applyFont="1" applyFill="1" applyBorder="1" applyAlignment="1">
      <alignment vertical="center"/>
    </xf>
    <xf numFmtId="0" fontId="28" fillId="8" borderId="142" xfId="0" applyFont="1" applyFill="1" applyBorder="1" applyAlignment="1">
      <alignment vertical="center"/>
    </xf>
    <xf numFmtId="170" fontId="28" fillId="8" borderId="142" xfId="1" applyNumberFormat="1" applyFont="1" applyFill="1" applyBorder="1" applyAlignment="1">
      <alignment vertical="center"/>
    </xf>
    <xf numFmtId="0" fontId="54" fillId="7" borderId="0" xfId="0" applyFont="1" applyFill="1" applyAlignment="1">
      <alignment vertical="center"/>
    </xf>
    <xf numFmtId="170" fontId="245" fillId="134" borderId="148" xfId="1" applyNumberFormat="1" applyFont="1" applyFill="1" applyBorder="1" applyAlignment="1">
      <alignment horizontal="center" vertical="center"/>
    </xf>
    <xf numFmtId="170" fontId="252" fillId="0" borderId="0" xfId="1" applyNumberFormat="1" applyFont="1" applyAlignment="1">
      <alignment vertical="center"/>
    </xf>
    <xf numFmtId="170" fontId="245" fillId="134" borderId="0" xfId="1" applyNumberFormat="1" applyFont="1" applyFill="1" applyAlignment="1">
      <alignment vertical="center"/>
    </xf>
    <xf numFmtId="0" fontId="94" fillId="29" borderId="0" xfId="0" applyFont="1" applyFill="1" applyAlignment="1">
      <alignment vertical="center"/>
    </xf>
    <xf numFmtId="0" fontId="226" fillId="29" borderId="0" xfId="0" applyFont="1" applyFill="1" applyAlignment="1">
      <alignment vertical="center"/>
    </xf>
    <xf numFmtId="170" fontId="226" fillId="29" borderId="0" xfId="1" applyNumberFormat="1" applyFont="1" applyFill="1" applyAlignment="1">
      <alignment vertical="center"/>
    </xf>
    <xf numFmtId="170" fontId="244" fillId="15" borderId="0" xfId="0" applyNumberFormat="1" applyFont="1" applyFill="1" applyAlignment="1">
      <alignment horizontal="center" vertical="center" wrapText="1"/>
    </xf>
    <xf numFmtId="0" fontId="43" fillId="138" borderId="19" xfId="0" applyFont="1" applyFill="1" applyBorder="1" applyAlignment="1">
      <alignment horizontal="center"/>
    </xf>
    <xf numFmtId="0" fontId="61" fillId="138" borderId="19" xfId="0" applyFont="1" applyFill="1" applyBorder="1" applyAlignment="1">
      <alignment horizontal="center"/>
    </xf>
    <xf numFmtId="0" fontId="61" fillId="140" borderId="19" xfId="0" applyFont="1" applyFill="1" applyBorder="1" applyAlignment="1">
      <alignment horizontal="center"/>
    </xf>
    <xf numFmtId="0" fontId="43" fillId="140" borderId="19" xfId="0" applyFont="1" applyFill="1" applyBorder="1" applyAlignment="1">
      <alignment horizontal="center"/>
    </xf>
    <xf numFmtId="0" fontId="43" fillId="135" borderId="19" xfId="0" applyFont="1" applyFill="1" applyBorder="1" applyAlignment="1">
      <alignment horizontal="center"/>
    </xf>
    <xf numFmtId="0" fontId="61" fillId="135" borderId="19" xfId="0" applyFont="1" applyFill="1" applyBorder="1" applyAlignment="1">
      <alignment horizontal="center"/>
    </xf>
    <xf numFmtId="0" fontId="61" fillId="29" borderId="19" xfId="0" applyFont="1" applyFill="1" applyBorder="1" applyAlignment="1">
      <alignment horizontal="center"/>
    </xf>
    <xf numFmtId="0" fontId="43" fillId="122" borderId="19" xfId="0" applyFont="1" applyFill="1" applyBorder="1" applyAlignment="1">
      <alignment horizontal="center"/>
    </xf>
    <xf numFmtId="0" fontId="61" fillId="122" borderId="19" xfId="0" applyFont="1" applyFill="1" applyBorder="1" applyAlignment="1">
      <alignment horizontal="center"/>
    </xf>
    <xf numFmtId="0" fontId="61" fillId="123" borderId="19" xfId="0" applyFont="1" applyFill="1" applyBorder="1" applyAlignment="1">
      <alignment horizontal="center"/>
    </xf>
    <xf numFmtId="0" fontId="43" fillId="123" borderId="19" xfId="0" applyFont="1" applyFill="1" applyBorder="1" applyAlignment="1">
      <alignment horizontal="center"/>
    </xf>
    <xf numFmtId="0" fontId="25" fillId="143" borderId="19" xfId="0" applyFont="1" applyFill="1" applyBorder="1" applyAlignment="1">
      <alignment horizontal="center"/>
    </xf>
    <xf numFmtId="0" fontId="43" fillId="145" borderId="17" xfId="0" applyFont="1" applyFill="1" applyBorder="1"/>
    <xf numFmtId="0" fontId="43" fillId="145" borderId="19" xfId="0" applyFont="1" applyFill="1" applyBorder="1"/>
    <xf numFmtId="0" fontId="43" fillId="145" borderId="19" xfId="0" applyFont="1" applyFill="1" applyBorder="1" applyAlignment="1">
      <alignment horizontal="center"/>
    </xf>
    <xf numFmtId="14" fontId="43" fillId="145" borderId="36" xfId="0" applyNumberFormat="1" applyFont="1" applyFill="1" applyBorder="1"/>
    <xf numFmtId="169" fontId="43" fillId="145" borderId="17" xfId="1" applyFont="1" applyFill="1" applyBorder="1"/>
    <xf numFmtId="169" fontId="43" fillId="145" borderId="145" xfId="1" applyFont="1" applyFill="1" applyBorder="1"/>
    <xf numFmtId="174" fontId="43" fillId="145" borderId="19" xfId="2" applyFont="1" applyFill="1" applyBorder="1"/>
    <xf numFmtId="170" fontId="43" fillId="145" borderId="20" xfId="1" applyNumberFormat="1" applyFont="1" applyFill="1" applyBorder="1"/>
    <xf numFmtId="169" fontId="43" fillId="145" borderId="9" xfId="1" applyFont="1" applyFill="1" applyBorder="1"/>
    <xf numFmtId="169" fontId="43" fillId="145" borderId="137" xfId="1" applyFont="1" applyFill="1" applyBorder="1"/>
    <xf numFmtId="173" fontId="68" fillId="145" borderId="17" xfId="1" applyNumberFormat="1" applyFont="1" applyFill="1" applyBorder="1"/>
    <xf numFmtId="173" fontId="68" fillId="145" borderId="145" xfId="1" applyNumberFormat="1" applyFont="1" applyFill="1" applyBorder="1"/>
    <xf numFmtId="174" fontId="68" fillId="145" borderId="19" xfId="2" applyFont="1" applyFill="1" applyBorder="1"/>
    <xf numFmtId="170" fontId="68" fillId="145" borderId="20" xfId="1" applyNumberFormat="1" applyFont="1" applyFill="1" applyBorder="1"/>
    <xf numFmtId="169" fontId="68" fillId="145" borderId="17" xfId="1" applyFont="1" applyFill="1" applyBorder="1"/>
    <xf numFmtId="169" fontId="68" fillId="145" borderId="145" xfId="1" applyFont="1" applyFill="1" applyBorder="1"/>
    <xf numFmtId="170" fontId="68" fillId="145" borderId="17" xfId="1" applyNumberFormat="1" applyFont="1" applyFill="1" applyBorder="1"/>
    <xf numFmtId="170" fontId="68" fillId="145" borderId="19" xfId="1" applyNumberFormat="1" applyFont="1" applyFill="1" applyBorder="1"/>
    <xf numFmtId="0" fontId="43" fillId="145" borderId="20" xfId="0" applyFont="1" applyFill="1" applyBorder="1" applyAlignment="1">
      <alignment horizontal="center"/>
    </xf>
    <xf numFmtId="169" fontId="28" fillId="0" borderId="107" xfId="1" applyFont="1" applyFill="1" applyBorder="1"/>
    <xf numFmtId="0" fontId="253" fillId="0" borderId="0" xfId="0" applyFont="1" applyAlignment="1">
      <alignment vertical="center"/>
    </xf>
    <xf numFmtId="170" fontId="253" fillId="0" borderId="0" xfId="0" applyNumberFormat="1" applyFont="1" applyAlignment="1">
      <alignment vertical="center"/>
    </xf>
    <xf numFmtId="170" fontId="254" fillId="0" borderId="0" xfId="1" applyNumberFormat="1" applyFont="1" applyFill="1" applyAlignment="1">
      <alignment vertical="center"/>
    </xf>
    <xf numFmtId="174" fontId="25" fillId="8" borderId="19" xfId="2" applyFont="1" applyFill="1" applyBorder="1"/>
    <xf numFmtId="14" fontId="25" fillId="8" borderId="25" xfId="0" applyNumberFormat="1" applyFont="1" applyFill="1" applyBorder="1"/>
    <xf numFmtId="169" fontId="55" fillId="8" borderId="9" xfId="1" applyFont="1" applyFill="1" applyBorder="1"/>
    <xf numFmtId="170" fontId="55" fillId="6" borderId="9" xfId="1" applyNumberFormat="1" applyFont="1" applyFill="1" applyBorder="1"/>
    <xf numFmtId="170" fontId="55" fillId="6" borderId="106" xfId="1" applyNumberFormat="1" applyFont="1" applyFill="1" applyBorder="1"/>
    <xf numFmtId="170" fontId="43" fillId="37" borderId="20" xfId="1" applyNumberFormat="1" applyFont="1" applyFill="1" applyBorder="1"/>
    <xf numFmtId="0" fontId="32" fillId="0" borderId="19" xfId="0" applyFont="1" applyBorder="1"/>
    <xf numFmtId="14" fontId="28" fillId="0" borderId="9" xfId="0" applyNumberFormat="1" applyFont="1" applyBorder="1"/>
    <xf numFmtId="44" fontId="3" fillId="0" borderId="0" xfId="0" applyNumberFormat="1" applyFont="1" applyAlignment="1">
      <alignment horizontal="center"/>
    </xf>
    <xf numFmtId="170" fontId="255" fillId="125" borderId="106" xfId="1" applyNumberFormat="1" applyFont="1" applyFill="1" applyBorder="1" applyAlignment="1">
      <alignment vertical="center"/>
    </xf>
    <xf numFmtId="3" fontId="44" fillId="8" borderId="106" xfId="0" applyNumberFormat="1" applyFont="1" applyFill="1" applyBorder="1" applyAlignment="1">
      <alignment vertical="center"/>
    </xf>
    <xf numFmtId="3" fontId="54" fillId="0" borderId="106" xfId="0" applyNumberFormat="1" applyFont="1" applyBorder="1" applyAlignment="1">
      <alignment vertical="center"/>
    </xf>
    <xf numFmtId="3" fontId="44" fillId="0" borderId="106" xfId="0" applyNumberFormat="1" applyFont="1" applyBorder="1" applyAlignment="1">
      <alignment vertical="center"/>
    </xf>
    <xf numFmtId="0" fontId="198" fillId="0" borderId="105" xfId="0" applyFont="1" applyBorder="1" applyAlignment="1">
      <alignment vertical="center"/>
    </xf>
    <xf numFmtId="0" fontId="198" fillId="0" borderId="104" xfId="0" applyFont="1" applyBorder="1" applyAlignment="1">
      <alignment vertical="center"/>
    </xf>
    <xf numFmtId="0" fontId="199" fillId="0" borderId="104" xfId="0" applyFont="1" applyBorder="1" applyAlignment="1">
      <alignment vertical="center"/>
    </xf>
    <xf numFmtId="0" fontId="199" fillId="0" borderId="103" xfId="0" applyFont="1" applyBorder="1" applyAlignment="1">
      <alignment vertical="center"/>
    </xf>
    <xf numFmtId="0" fontId="198" fillId="0" borderId="0" xfId="0" applyFont="1" applyAlignment="1">
      <alignment vertical="center"/>
    </xf>
    <xf numFmtId="170" fontId="198" fillId="0" borderId="0" xfId="0" applyNumberFormat="1" applyFont="1" applyAlignment="1">
      <alignment vertical="center"/>
    </xf>
    <xf numFmtId="3" fontId="54" fillId="142" borderId="106" xfId="0" applyNumberFormat="1" applyFont="1" applyFill="1" applyBorder="1" applyAlignment="1">
      <alignment vertical="center"/>
    </xf>
    <xf numFmtId="170" fontId="226" fillId="137" borderId="0" xfId="0" applyNumberFormat="1" applyFont="1" applyFill="1" applyAlignment="1">
      <alignment vertical="center"/>
    </xf>
    <xf numFmtId="0" fontId="226" fillId="137" borderId="0" xfId="0" applyFont="1" applyFill="1" applyAlignment="1">
      <alignment vertical="center"/>
    </xf>
    <xf numFmtId="170" fontId="30" fillId="0" borderId="143" xfId="0" applyNumberFormat="1" applyFont="1" applyBorder="1" applyAlignment="1">
      <alignment vertical="center"/>
    </xf>
    <xf numFmtId="170" fontId="199" fillId="9" borderId="143" xfId="0" applyNumberFormat="1" applyFont="1" applyFill="1" applyBorder="1" applyAlignment="1">
      <alignment vertical="center"/>
    </xf>
    <xf numFmtId="0" fontId="202" fillId="133" borderId="149" xfId="0" applyFont="1" applyFill="1" applyBorder="1" applyAlignment="1">
      <alignment vertical="center"/>
    </xf>
    <xf numFmtId="170" fontId="6" fillId="133" borderId="151" xfId="0" applyNumberFormat="1" applyFont="1" applyFill="1" applyBorder="1" applyAlignment="1">
      <alignment vertical="center"/>
    </xf>
    <xf numFmtId="0" fontId="202" fillId="133" borderId="148" xfId="0" applyFont="1" applyFill="1" applyBorder="1" applyAlignment="1">
      <alignment horizontal="center" vertical="center"/>
    </xf>
    <xf numFmtId="0" fontId="54" fillId="0" borderId="148" xfId="0" applyFont="1" applyBorder="1" applyAlignment="1">
      <alignment vertical="center"/>
    </xf>
    <xf numFmtId="170" fontId="252" fillId="0" borderId="0" xfId="1" applyNumberFormat="1" applyFont="1" applyBorder="1" applyAlignment="1">
      <alignment vertical="center"/>
    </xf>
    <xf numFmtId="170" fontId="44" fillId="0" borderId="0" xfId="1" applyNumberFormat="1" applyFont="1" applyBorder="1" applyAlignment="1">
      <alignment vertical="center"/>
    </xf>
    <xf numFmtId="0" fontId="44" fillId="7" borderId="0" xfId="0" applyFont="1" applyFill="1" applyAlignment="1">
      <alignment vertical="center"/>
    </xf>
    <xf numFmtId="170" fontId="195" fillId="7" borderId="0" xfId="0" applyNumberFormat="1" applyFont="1" applyFill="1" applyAlignment="1">
      <alignment vertical="center"/>
    </xf>
    <xf numFmtId="0" fontId="0" fillId="8" borderId="0" xfId="0" applyFill="1" applyAlignment="1">
      <alignment vertical="center"/>
    </xf>
    <xf numFmtId="169" fontId="6" fillId="27" borderId="153" xfId="0" applyNumberFormat="1" applyFont="1" applyFill="1" applyBorder="1"/>
    <xf numFmtId="169" fontId="6" fillId="27" borderId="106" xfId="0" applyNumberFormat="1" applyFont="1" applyFill="1" applyBorder="1"/>
    <xf numFmtId="169" fontId="6" fillId="0" borderId="106" xfId="0" applyNumberFormat="1" applyFont="1" applyBorder="1"/>
    <xf numFmtId="169" fontId="6" fillId="0" borderId="148" xfId="0" applyNumberFormat="1" applyFont="1" applyBorder="1"/>
    <xf numFmtId="169" fontId="6" fillId="27" borderId="9" xfId="1" applyFont="1" applyFill="1" applyBorder="1"/>
    <xf numFmtId="169" fontId="6" fillId="27" borderId="106" xfId="1" applyFont="1" applyFill="1" applyBorder="1"/>
    <xf numFmtId="169" fontId="6" fillId="27" borderId="153" xfId="1" applyFont="1" applyFill="1" applyBorder="1"/>
    <xf numFmtId="169" fontId="6" fillId="27" borderId="148" xfId="1" applyFont="1" applyFill="1" applyBorder="1"/>
    <xf numFmtId="169" fontId="28" fillId="27" borderId="106" xfId="1" applyFont="1" applyFill="1" applyBorder="1"/>
    <xf numFmtId="169" fontId="28" fillId="0" borderId="148" xfId="0" applyNumberFormat="1" applyFont="1" applyBorder="1"/>
    <xf numFmtId="169" fontId="256" fillId="15" borderId="12" xfId="1" applyFont="1" applyFill="1" applyBorder="1"/>
    <xf numFmtId="169" fontId="256" fillId="15" borderId="13" xfId="1" applyFont="1" applyFill="1" applyBorder="1"/>
    <xf numFmtId="169" fontId="6" fillId="27" borderId="103" xfId="1" applyFont="1" applyFill="1" applyBorder="1"/>
    <xf numFmtId="169" fontId="6" fillId="0" borderId="103" xfId="1" applyFont="1" applyFill="1" applyBorder="1"/>
    <xf numFmtId="169" fontId="6" fillId="0" borderId="150" xfId="1" applyFont="1" applyFill="1" applyBorder="1"/>
    <xf numFmtId="169" fontId="28" fillId="27" borderId="153" xfId="1" applyFont="1" applyFill="1" applyBorder="1"/>
    <xf numFmtId="169" fontId="28" fillId="27" borderId="103" xfId="1" applyFont="1" applyFill="1" applyBorder="1"/>
    <xf numFmtId="14" fontId="38" fillId="27" borderId="123" xfId="1" applyNumberFormat="1" applyFont="1" applyFill="1" applyBorder="1" applyAlignment="1">
      <alignment horizontal="center"/>
    </xf>
    <xf numFmtId="169" fontId="42" fillId="27" borderId="158" xfId="1" applyFont="1" applyFill="1" applyBorder="1"/>
    <xf numFmtId="169" fontId="38" fillId="27" borderId="158" xfId="1" applyFont="1" applyFill="1" applyBorder="1" applyAlignment="1">
      <alignment horizontal="center" vertical="center"/>
    </xf>
    <xf numFmtId="169" fontId="42" fillId="27" borderId="148" xfId="1" applyFont="1" applyFill="1" applyBorder="1"/>
    <xf numFmtId="169" fontId="38" fillId="27" borderId="148" xfId="1" applyFont="1" applyFill="1" applyBorder="1" applyAlignment="1">
      <alignment horizontal="center" vertical="center"/>
    </xf>
    <xf numFmtId="169" fontId="6" fillId="0" borderId="106" xfId="1" applyFont="1" applyFill="1" applyBorder="1"/>
    <xf numFmtId="169" fontId="6" fillId="0" borderId="148" xfId="1" applyFont="1" applyFill="1" applyBorder="1"/>
    <xf numFmtId="169" fontId="28" fillId="27" borderId="9" xfId="0" applyNumberFormat="1" applyFont="1" applyFill="1" applyBorder="1"/>
    <xf numFmtId="169" fontId="256" fillId="129" borderId="106" xfId="1" applyFont="1" applyFill="1" applyBorder="1" applyAlignment="1">
      <alignment horizontal="center" vertical="center" wrapText="1"/>
    </xf>
    <xf numFmtId="14" fontId="38" fillId="129" borderId="114" xfId="1" applyNumberFormat="1" applyFont="1" applyFill="1" applyBorder="1" applyAlignment="1">
      <alignment horizontal="center"/>
    </xf>
    <xf numFmtId="169" fontId="46" fillId="129" borderId="103" xfId="1" applyFont="1" applyFill="1" applyBorder="1"/>
    <xf numFmtId="169" fontId="38" fillId="129" borderId="103" xfId="1" applyFont="1" applyFill="1" applyBorder="1" applyAlignment="1">
      <alignment horizontal="center"/>
    </xf>
    <xf numFmtId="14" fontId="33" fillId="124" borderId="115" xfId="1" applyNumberFormat="1" applyFont="1" applyFill="1" applyBorder="1" applyAlignment="1">
      <alignment horizontal="center"/>
    </xf>
    <xf numFmtId="169" fontId="57" fillId="124" borderId="106" xfId="1" applyFont="1" applyFill="1" applyBorder="1"/>
    <xf numFmtId="169" fontId="33" fillId="124" borderId="106" xfId="1" applyFont="1" applyFill="1" applyBorder="1" applyAlignment="1"/>
    <xf numFmtId="169" fontId="43" fillId="29" borderId="153" xfId="1" applyFont="1" applyFill="1" applyBorder="1"/>
    <xf numFmtId="169" fontId="43" fillId="29" borderId="152" xfId="1" applyFont="1" applyFill="1" applyBorder="1"/>
    <xf numFmtId="174" fontId="43" fillId="135" borderId="19" xfId="2" applyFont="1" applyFill="1" applyBorder="1"/>
    <xf numFmtId="174" fontId="43" fillId="146" borderId="19" xfId="2" applyFont="1" applyFill="1" applyBorder="1"/>
    <xf numFmtId="174" fontId="43" fillId="140" borderId="19" xfId="2" applyFont="1" applyFill="1" applyBorder="1"/>
    <xf numFmtId="174" fontId="43" fillId="122" borderId="19" xfId="2" applyFont="1" applyFill="1" applyBorder="1"/>
    <xf numFmtId="174" fontId="43" fillId="123" borderId="19" xfId="2" applyFont="1" applyFill="1" applyBorder="1"/>
    <xf numFmtId="169" fontId="25" fillId="43" borderId="18" xfId="1" applyFont="1" applyFill="1" applyBorder="1"/>
    <xf numFmtId="173" fontId="25" fillId="42" borderId="18" xfId="1" applyNumberFormat="1" applyFont="1" applyFill="1" applyBorder="1"/>
    <xf numFmtId="169" fontId="25" fillId="42" borderId="18" xfId="1" applyFont="1" applyFill="1" applyBorder="1"/>
    <xf numFmtId="169" fontId="70" fillId="42" borderId="17" xfId="1" applyFont="1" applyFill="1" applyBorder="1"/>
    <xf numFmtId="170" fontId="25" fillId="42" borderId="19" xfId="1" applyNumberFormat="1" applyFont="1" applyFill="1" applyBorder="1"/>
    <xf numFmtId="0" fontId="43" fillId="29" borderId="153" xfId="0" applyFont="1" applyFill="1" applyBorder="1"/>
    <xf numFmtId="0" fontId="43" fillId="29" borderId="148" xfId="0" applyFont="1" applyFill="1" applyBorder="1"/>
    <xf numFmtId="0" fontId="43" fillId="29" borderId="149" xfId="0" applyFont="1" applyFill="1" applyBorder="1" applyAlignment="1">
      <alignment horizontal="center"/>
    </xf>
    <xf numFmtId="0" fontId="43" fillId="29" borderId="153" xfId="0" applyFont="1" applyFill="1" applyBorder="1" applyAlignment="1">
      <alignment horizontal="center"/>
    </xf>
    <xf numFmtId="14" fontId="43" fillId="29" borderId="152" xfId="0" applyNumberFormat="1" applyFont="1" applyFill="1" applyBorder="1"/>
    <xf numFmtId="169" fontId="43" fillId="29" borderId="150" xfId="1" applyFont="1" applyFill="1" applyBorder="1"/>
    <xf numFmtId="174" fontId="43" fillId="29" borderId="148" xfId="2" applyFont="1" applyFill="1" applyBorder="1"/>
    <xf numFmtId="170" fontId="43" fillId="29" borderId="152" xfId="1" applyNumberFormat="1" applyFont="1" applyFill="1" applyBorder="1"/>
    <xf numFmtId="169" fontId="43" fillId="29" borderId="151" xfId="1" applyFont="1" applyFill="1" applyBorder="1"/>
    <xf numFmtId="170" fontId="43" fillId="29" borderId="153" xfId="1" applyNumberFormat="1" applyFont="1" applyFill="1" applyBorder="1"/>
    <xf numFmtId="170" fontId="43" fillId="29" borderId="148" xfId="1" applyNumberFormat="1" applyFont="1" applyFill="1" applyBorder="1"/>
    <xf numFmtId="0" fontId="43" fillId="29" borderId="152" xfId="0" applyFont="1" applyFill="1" applyBorder="1" applyAlignment="1">
      <alignment horizontal="center"/>
    </xf>
    <xf numFmtId="0" fontId="25" fillId="42" borderId="29" xfId="0" applyFont="1" applyFill="1" applyBorder="1" applyAlignment="1">
      <alignment horizontal="center"/>
    </xf>
    <xf numFmtId="169" fontId="2" fillId="0" borderId="2" xfId="1" applyFont="1" applyFill="1" applyBorder="1" applyAlignment="1">
      <alignment horizontal="center"/>
    </xf>
    <xf numFmtId="173" fontId="43" fillId="29" borderId="153" xfId="1" applyNumberFormat="1" applyFont="1" applyFill="1" applyBorder="1"/>
    <xf numFmtId="173" fontId="43" fillId="29" borderId="150" xfId="1" applyNumberFormat="1" applyFont="1" applyFill="1" applyBorder="1"/>
    <xf numFmtId="0" fontId="0" fillId="3" borderId="153" xfId="0" applyFill="1" applyBorder="1" applyAlignment="1">
      <alignment vertical="center"/>
    </xf>
    <xf numFmtId="0" fontId="0" fillId="3" borderId="148" xfId="0" applyFill="1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170" fontId="0" fillId="3" borderId="148" xfId="1" applyNumberFormat="1" applyFont="1" applyFill="1" applyBorder="1" applyAlignment="1">
      <alignment vertical="center"/>
    </xf>
    <xf numFmtId="170" fontId="0" fillId="3" borderId="13" xfId="1" applyNumberFormat="1" applyFont="1" applyFill="1" applyBorder="1" applyAlignment="1">
      <alignment vertical="center"/>
    </xf>
    <xf numFmtId="170" fontId="0" fillId="3" borderId="148" xfId="0" applyNumberFormat="1" applyFill="1" applyBorder="1" applyAlignment="1">
      <alignment vertical="center"/>
    </xf>
    <xf numFmtId="170" fontId="0" fillId="3" borderId="152" xfId="0" applyNumberFormat="1" applyFill="1" applyBorder="1" applyAlignment="1">
      <alignment vertical="center"/>
    </xf>
    <xf numFmtId="170" fontId="0" fillId="125" borderId="152" xfId="0" applyNumberFormat="1" applyFill="1" applyBorder="1" applyAlignment="1">
      <alignment vertical="center"/>
    </xf>
    <xf numFmtId="170" fontId="0" fillId="9" borderId="116" xfId="0" applyNumberFormat="1" applyFill="1" applyBorder="1" applyAlignment="1">
      <alignment vertical="center"/>
    </xf>
    <xf numFmtId="170" fontId="4" fillId="123" borderId="13" xfId="1" applyNumberFormat="1" applyFont="1" applyFill="1" applyBorder="1" applyAlignment="1">
      <alignment horizontal="center" vertical="center"/>
    </xf>
    <xf numFmtId="173" fontId="43" fillId="141" borderId="17" xfId="1" applyNumberFormat="1" applyFont="1" applyFill="1" applyBorder="1"/>
    <xf numFmtId="173" fontId="43" fillId="141" borderId="145" xfId="1" applyNumberFormat="1" applyFont="1" applyFill="1" applyBorder="1"/>
    <xf numFmtId="170" fontId="43" fillId="141" borderId="17" xfId="1" applyNumberFormat="1" applyFont="1" applyFill="1" applyBorder="1"/>
    <xf numFmtId="170" fontId="43" fillId="141" borderId="19" xfId="1" applyNumberFormat="1" applyFont="1" applyFill="1" applyBorder="1"/>
    <xf numFmtId="0" fontId="32" fillId="0" borderId="0" xfId="0" applyFont="1"/>
    <xf numFmtId="3" fontId="0" fillId="8" borderId="0" xfId="0" applyNumberFormat="1" applyFill="1"/>
    <xf numFmtId="0" fontId="25" fillId="8" borderId="19" xfId="0" applyFont="1" applyFill="1" applyBorder="1"/>
    <xf numFmtId="0" fontId="25" fillId="8" borderId="19" xfId="0" applyFont="1" applyFill="1" applyBorder="1" applyAlignment="1">
      <alignment horizontal="center"/>
    </xf>
    <xf numFmtId="14" fontId="25" fillId="8" borderId="36" xfId="0" applyNumberFormat="1" applyFont="1" applyFill="1" applyBorder="1"/>
    <xf numFmtId="0" fontId="28" fillId="0" borderId="105" xfId="0" applyFont="1" applyBorder="1" applyAlignment="1">
      <alignment horizontal="center"/>
    </xf>
    <xf numFmtId="170" fontId="28" fillId="1" borderId="137" xfId="1" applyNumberFormat="1" applyFont="1" applyFill="1" applyBorder="1"/>
    <xf numFmtId="169" fontId="28" fillId="18" borderId="106" xfId="1" applyFont="1" applyFill="1" applyBorder="1"/>
    <xf numFmtId="170" fontId="28" fillId="7" borderId="105" xfId="1" applyNumberFormat="1" applyFont="1" applyFill="1" applyBorder="1"/>
    <xf numFmtId="170" fontId="28" fillId="28" borderId="103" xfId="1" applyNumberFormat="1" applyFont="1" applyFill="1" applyBorder="1"/>
    <xf numFmtId="0" fontId="28" fillId="0" borderId="149" xfId="0" applyFont="1" applyBorder="1" applyAlignment="1">
      <alignment horizontal="center"/>
    </xf>
    <xf numFmtId="0" fontId="237" fillId="0" borderId="0" xfId="0" applyFont="1"/>
    <xf numFmtId="14" fontId="32" fillId="0" borderId="0" xfId="0" applyNumberFormat="1" applyFont="1"/>
    <xf numFmtId="43" fontId="2" fillId="0" borderId="0" xfId="3495" applyFont="1"/>
    <xf numFmtId="43" fontId="32" fillId="0" borderId="0" xfId="3495" applyFont="1"/>
    <xf numFmtId="43" fontId="237" fillId="0" borderId="0" xfId="0" applyNumberFormat="1" applyFont="1"/>
    <xf numFmtId="43" fontId="237" fillId="15" borderId="0" xfId="0" applyNumberFormat="1" applyFont="1" applyFill="1"/>
    <xf numFmtId="43" fontId="237" fillId="4" borderId="0" xfId="0" applyNumberFormat="1" applyFont="1" applyFill="1"/>
    <xf numFmtId="43" fontId="237" fillId="129" borderId="0" xfId="0" applyNumberFormat="1" applyFont="1" applyFill="1"/>
    <xf numFmtId="43" fontId="237" fillId="32" borderId="0" xfId="0" applyNumberFormat="1" applyFont="1" applyFill="1"/>
    <xf numFmtId="43" fontId="237" fillId="9" borderId="0" xfId="0" applyNumberFormat="1" applyFont="1" applyFill="1"/>
    <xf numFmtId="43" fontId="0" fillId="0" borderId="0" xfId="0" applyNumberFormat="1"/>
    <xf numFmtId="3" fontId="0" fillId="4" borderId="0" xfId="0" applyNumberFormat="1" applyFill="1"/>
    <xf numFmtId="3" fontId="0" fillId="5" borderId="0" xfId="0" applyNumberFormat="1" applyFill="1"/>
    <xf numFmtId="3" fontId="0" fillId="3" borderId="0" xfId="0" applyNumberFormat="1" applyFill="1"/>
    <xf numFmtId="43" fontId="237" fillId="27" borderId="0" xfId="0" applyNumberFormat="1" applyFont="1" applyFill="1"/>
    <xf numFmtId="43" fontId="237" fillId="124" borderId="0" xfId="0" applyNumberFormat="1" applyFont="1" applyFill="1"/>
    <xf numFmtId="43" fontId="237" fillId="122" borderId="0" xfId="0" applyNumberFormat="1" applyFont="1" applyFill="1"/>
    <xf numFmtId="43" fontId="230" fillId="0" borderId="0" xfId="0" applyNumberFormat="1" applyFont="1"/>
    <xf numFmtId="43" fontId="32" fillId="27" borderId="0" xfId="3495" applyFont="1" applyFill="1"/>
    <xf numFmtId="0" fontId="0" fillId="27" borderId="0" xfId="0" applyFill="1"/>
    <xf numFmtId="0" fontId="0" fillId="0" borderId="0" xfId="0" pivotButton="1"/>
    <xf numFmtId="0" fontId="0" fillId="0" borderId="0" xfId="0" applyAlignment="1">
      <alignment horizontal="left"/>
    </xf>
    <xf numFmtId="241" fontId="0" fillId="0" borderId="0" xfId="0" applyNumberFormat="1"/>
    <xf numFmtId="0" fontId="0" fillId="7" borderId="106" xfId="0" applyFill="1" applyBorder="1"/>
    <xf numFmtId="0" fontId="44" fillId="125" borderId="106" xfId="0" applyFont="1" applyFill="1" applyBorder="1"/>
    <xf numFmtId="169" fontId="32" fillId="126" borderId="9" xfId="1" applyFont="1" applyFill="1" applyBorder="1"/>
    <xf numFmtId="169" fontId="32" fillId="7" borderId="137" xfId="1" applyFont="1" applyFill="1" applyBorder="1"/>
    <xf numFmtId="14" fontId="28" fillId="8" borderId="152" xfId="0" applyNumberFormat="1" applyFont="1" applyFill="1" applyBorder="1"/>
    <xf numFmtId="0" fontId="44" fillId="0" borderId="149" xfId="0" applyFont="1" applyBorder="1" applyAlignment="1">
      <alignment horizontal="center"/>
    </xf>
    <xf numFmtId="0" fontId="44" fillId="0" borderId="153" xfId="0" applyFont="1" applyBorder="1" applyAlignment="1">
      <alignment horizontal="center"/>
    </xf>
    <xf numFmtId="14" fontId="44" fillId="0" borderId="152" xfId="0" applyNumberFormat="1" applyFont="1" applyBorder="1"/>
    <xf numFmtId="0" fontId="64" fillId="0" borderId="9" xfId="0" applyFont="1" applyBorder="1"/>
    <xf numFmtId="0" fontId="64" fillId="0" borderId="106" xfId="0" applyFont="1" applyBorder="1"/>
    <xf numFmtId="0" fontId="64" fillId="0" borderId="149" xfId="0" applyFont="1" applyBorder="1" applyAlignment="1">
      <alignment horizontal="center"/>
    </xf>
    <xf numFmtId="0" fontId="64" fillId="0" borderId="153" xfId="0" applyFont="1" applyBorder="1" applyAlignment="1">
      <alignment horizontal="center"/>
    </xf>
    <xf numFmtId="14" fontId="64" fillId="0" borderId="152" xfId="0" applyNumberFormat="1" applyFont="1" applyBorder="1"/>
    <xf numFmtId="169" fontId="64" fillId="1" borderId="9" xfId="1" applyFont="1" applyFill="1" applyBorder="1"/>
    <xf numFmtId="169" fontId="64" fillId="1" borderId="103" xfId="1" applyFont="1" applyFill="1" applyBorder="1"/>
    <xf numFmtId="174" fontId="64" fillId="1" borderId="106" xfId="2" applyFont="1" applyFill="1" applyBorder="1"/>
    <xf numFmtId="170" fontId="64" fillId="1" borderId="105" xfId="1" applyNumberFormat="1" applyFont="1" applyFill="1" applyBorder="1"/>
    <xf numFmtId="169" fontId="34" fillId="126" borderId="9" xfId="1" applyFont="1" applyFill="1" applyBorder="1"/>
    <xf numFmtId="169" fontId="34" fillId="7" borderId="137" xfId="1" applyFont="1" applyFill="1" applyBorder="1"/>
    <xf numFmtId="169" fontId="64" fillId="18" borderId="31" xfId="1" applyFont="1" applyFill="1" applyBorder="1"/>
    <xf numFmtId="169" fontId="64" fillId="18" borderId="106" xfId="1" applyFont="1" applyFill="1" applyBorder="1"/>
    <xf numFmtId="174" fontId="64" fillId="18" borderId="106" xfId="2" applyFont="1" applyFill="1" applyBorder="1"/>
    <xf numFmtId="170" fontId="64" fillId="18" borderId="126" xfId="1" applyNumberFormat="1" applyFont="1" applyFill="1" applyBorder="1"/>
    <xf numFmtId="169" fontId="64" fillId="7" borderId="103" xfId="1" applyFont="1" applyFill="1" applyBorder="1"/>
    <xf numFmtId="174" fontId="64" fillId="7" borderId="106" xfId="2" applyFont="1" applyFill="1" applyBorder="1"/>
    <xf numFmtId="170" fontId="64" fillId="7" borderId="105" xfId="1" applyNumberFormat="1" applyFont="1" applyFill="1" applyBorder="1"/>
    <xf numFmtId="170" fontId="64" fillId="24" borderId="107" xfId="1" applyNumberFormat="1" applyFont="1" applyFill="1" applyBorder="1"/>
    <xf numFmtId="170" fontId="64" fillId="28" borderId="103" xfId="1" applyNumberFormat="1" applyFont="1" applyFill="1" applyBorder="1"/>
    <xf numFmtId="170" fontId="64" fillId="28" borderId="106" xfId="1" applyNumberFormat="1" applyFont="1" applyFill="1" applyBorder="1"/>
    <xf numFmtId="0" fontId="64" fillId="28" borderId="107" xfId="0" applyFont="1" applyFill="1" applyBorder="1" applyAlignment="1">
      <alignment horizontal="center"/>
    </xf>
    <xf numFmtId="173" fontId="64" fillId="18" borderId="106" xfId="1" applyNumberFormat="1" applyFont="1" applyFill="1" applyBorder="1"/>
    <xf numFmtId="0" fontId="64" fillId="8" borderId="106" xfId="0" applyFont="1" applyFill="1" applyBorder="1"/>
    <xf numFmtId="14" fontId="28" fillId="8" borderId="137" xfId="0" applyNumberFormat="1" applyFont="1" applyFill="1" applyBorder="1"/>
    <xf numFmtId="0" fontId="43" fillId="147" borderId="19" xfId="0" applyFont="1" applyFill="1" applyBorder="1" applyAlignment="1">
      <alignment horizontal="center"/>
    </xf>
    <xf numFmtId="170" fontId="43" fillId="147" borderId="20" xfId="1" applyNumberFormat="1" applyFont="1" applyFill="1" applyBorder="1"/>
    <xf numFmtId="170" fontId="43" fillId="148" borderId="20" xfId="1" applyNumberFormat="1" applyFont="1" applyFill="1" applyBorder="1"/>
    <xf numFmtId="170" fontId="43" fillId="149" borderId="20" xfId="1" applyNumberFormat="1" applyFont="1" applyFill="1" applyBorder="1"/>
    <xf numFmtId="0" fontId="25" fillId="42" borderId="143" xfId="0" applyFont="1" applyFill="1" applyBorder="1"/>
    <xf numFmtId="0" fontId="25" fillId="42" borderId="143" xfId="0" applyFont="1" applyFill="1" applyBorder="1" applyAlignment="1">
      <alignment horizontal="center"/>
    </xf>
    <xf numFmtId="174" fontId="25" fillId="43" borderId="143" xfId="2" applyFont="1" applyFill="1" applyBorder="1"/>
    <xf numFmtId="239" fontId="25" fillId="42" borderId="17" xfId="1" applyNumberFormat="1" applyFont="1" applyFill="1" applyBorder="1"/>
    <xf numFmtId="239" fontId="25" fillId="42" borderId="20" xfId="1" applyNumberFormat="1" applyFont="1" applyFill="1" applyBorder="1"/>
    <xf numFmtId="174" fontId="25" fillId="42" borderId="143" xfId="2" applyFont="1" applyFill="1" applyBorder="1"/>
    <xf numFmtId="170" fontId="25" fillId="42" borderId="143" xfId="1" applyNumberFormat="1" applyFont="1" applyFill="1" applyBorder="1"/>
    <xf numFmtId="0" fontId="25" fillId="124" borderId="19" xfId="0" applyFont="1" applyFill="1" applyBorder="1"/>
    <xf numFmtId="0" fontId="25" fillId="124" borderId="19" xfId="0" applyFont="1" applyFill="1" applyBorder="1" applyAlignment="1">
      <alignment horizontal="center"/>
    </xf>
    <xf numFmtId="0" fontId="54" fillId="8" borderId="136" xfId="0" applyFont="1" applyFill="1" applyBorder="1" applyAlignment="1">
      <alignment horizontal="center"/>
    </xf>
    <xf numFmtId="169" fontId="28" fillId="8" borderId="106" xfId="0" applyNumberFormat="1" applyFont="1" applyFill="1" applyBorder="1"/>
    <xf numFmtId="169" fontId="44" fillId="27" borderId="9" xfId="1" applyFont="1" applyFill="1" applyBorder="1"/>
    <xf numFmtId="170" fontId="55" fillId="143" borderId="0" xfId="0" applyNumberFormat="1" applyFont="1" applyFill="1" applyAlignment="1">
      <alignment vertical="center"/>
    </xf>
    <xf numFmtId="170" fontId="223" fillId="0" borderId="0" xfId="3494" applyNumberFormat="1" applyFont="1" applyFill="1" applyAlignment="1">
      <alignment vertical="center"/>
    </xf>
    <xf numFmtId="43" fontId="237" fillId="8" borderId="0" xfId="0" applyNumberFormat="1" applyFont="1" applyFill="1"/>
    <xf numFmtId="3" fontId="0" fillId="129" borderId="0" xfId="0" applyNumberFormat="1" applyFill="1"/>
    <xf numFmtId="170" fontId="54" fillId="133" borderId="0" xfId="1" applyNumberFormat="1" applyFont="1" applyFill="1" applyAlignment="1">
      <alignment vertical="center"/>
    </xf>
    <xf numFmtId="170" fontId="54" fillId="133" borderId="0" xfId="0" applyNumberFormat="1" applyFont="1" applyFill="1" applyAlignment="1">
      <alignment vertical="center"/>
    </xf>
    <xf numFmtId="170" fontId="0" fillId="32" borderId="0" xfId="0" applyNumberFormat="1" applyFill="1" applyAlignment="1">
      <alignment vertical="center"/>
    </xf>
    <xf numFmtId="0" fontId="0" fillId="32" borderId="0" xfId="0" applyFill="1" applyAlignment="1">
      <alignment vertical="center"/>
    </xf>
    <xf numFmtId="0" fontId="0" fillId="130" borderId="142" xfId="0" applyFill="1" applyBorder="1" applyAlignment="1">
      <alignment vertical="center"/>
    </xf>
    <xf numFmtId="170" fontId="0" fillId="130" borderId="142" xfId="0" applyNumberFormat="1" applyFill="1" applyBorder="1" applyAlignment="1">
      <alignment vertical="center"/>
    </xf>
    <xf numFmtId="0" fontId="0" fillId="122" borderId="0" xfId="0" applyFill="1" applyAlignment="1">
      <alignment vertical="center"/>
    </xf>
    <xf numFmtId="170" fontId="0" fillId="122" borderId="0" xfId="1" applyNumberFormat="1" applyFont="1" applyFill="1" applyAlignment="1">
      <alignment vertical="center"/>
    </xf>
    <xf numFmtId="43" fontId="237" fillId="130" borderId="0" xfId="0" applyNumberFormat="1" applyFont="1" applyFill="1"/>
    <xf numFmtId="170" fontId="54" fillId="133" borderId="142" xfId="1" applyNumberFormat="1" applyFont="1" applyFill="1" applyBorder="1" applyAlignment="1">
      <alignment vertical="center"/>
    </xf>
    <xf numFmtId="170" fontId="54" fillId="133" borderId="142" xfId="0" applyNumberFormat="1" applyFont="1" applyFill="1" applyBorder="1" applyAlignment="1">
      <alignment vertical="center"/>
    </xf>
    <xf numFmtId="170" fontId="0" fillId="133" borderId="142" xfId="1" applyNumberFormat="1" applyFont="1" applyFill="1" applyBorder="1" applyAlignment="1">
      <alignment vertical="center"/>
    </xf>
    <xf numFmtId="170" fontId="0" fillId="133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0" fontId="0" fillId="124" borderId="9" xfId="0" applyFill="1" applyBorder="1"/>
    <xf numFmtId="0" fontId="0" fillId="124" borderId="106" xfId="0" applyFill="1" applyBorder="1"/>
    <xf numFmtId="0" fontId="0" fillId="124" borderId="105" xfId="0" applyFill="1" applyBorder="1" applyAlignment="1">
      <alignment horizontal="center"/>
    </xf>
    <xf numFmtId="17" fontId="0" fillId="124" borderId="107" xfId="0" applyNumberFormat="1" applyFill="1" applyBorder="1" applyAlignment="1">
      <alignment horizontal="center"/>
    </xf>
    <xf numFmtId="14" fontId="0" fillId="124" borderId="25" xfId="0" applyNumberFormat="1" applyFill="1" applyBorder="1"/>
    <xf numFmtId="173" fontId="1" fillId="124" borderId="9" xfId="1" applyNumberFormat="1" applyFont="1" applyFill="1" applyBorder="1"/>
    <xf numFmtId="173" fontId="1" fillId="124" borderId="103" xfId="1" applyNumberFormat="1" applyFont="1" applyFill="1" applyBorder="1"/>
    <xf numFmtId="174" fontId="1" fillId="124" borderId="106" xfId="2" applyFont="1" applyFill="1" applyBorder="1"/>
    <xf numFmtId="170" fontId="1" fillId="124" borderId="107" xfId="1" applyNumberFormat="1" applyFont="1" applyFill="1" applyBorder="1"/>
    <xf numFmtId="169" fontId="1" fillId="124" borderId="9" xfId="1" applyFont="1" applyFill="1" applyBorder="1"/>
    <xf numFmtId="169" fontId="1" fillId="124" borderId="103" xfId="1" applyFont="1" applyFill="1" applyBorder="1"/>
    <xf numFmtId="170" fontId="1" fillId="124" borderId="9" xfId="1" applyNumberFormat="1" applyFont="1" applyFill="1" applyBorder="1"/>
    <xf numFmtId="170" fontId="1" fillId="124" borderId="106" xfId="1" applyNumberFormat="1" applyFont="1" applyFill="1" applyBorder="1"/>
    <xf numFmtId="0" fontId="0" fillId="124" borderId="107" xfId="0" applyFill="1" applyBorder="1" applyAlignment="1">
      <alignment horizontal="center"/>
    </xf>
    <xf numFmtId="0" fontId="6" fillId="0" borderId="0" xfId="0" applyFont="1"/>
    <xf numFmtId="0" fontId="61" fillId="0" borderId="0" xfId="0" applyFont="1"/>
    <xf numFmtId="169" fontId="43" fillId="150" borderId="153" xfId="1" applyFont="1" applyFill="1" applyBorder="1"/>
    <xf numFmtId="169" fontId="43" fillId="150" borderId="135" xfId="1" applyFont="1" applyFill="1" applyBorder="1"/>
    <xf numFmtId="0" fontId="43" fillId="150" borderId="38" xfId="0" applyFont="1" applyFill="1" applyBorder="1"/>
    <xf numFmtId="0" fontId="43" fillId="150" borderId="39" xfId="0" applyFont="1" applyFill="1" applyBorder="1"/>
    <xf numFmtId="0" fontId="43" fillId="150" borderId="166" xfId="0" applyFont="1" applyFill="1" applyBorder="1" applyAlignment="1">
      <alignment horizontal="center"/>
    </xf>
    <xf numFmtId="0" fontId="43" fillId="150" borderId="38" xfId="0" applyFont="1" applyFill="1" applyBorder="1" applyAlignment="1">
      <alignment horizontal="center"/>
    </xf>
    <xf numFmtId="14" fontId="43" fillId="150" borderId="121" xfId="0" applyNumberFormat="1" applyFont="1" applyFill="1" applyBorder="1"/>
    <xf numFmtId="169" fontId="43" fillId="150" borderId="41" xfId="1" applyFont="1" applyFill="1" applyBorder="1"/>
    <xf numFmtId="174" fontId="43" fillId="150" borderId="129" xfId="2" applyFont="1" applyFill="1" applyBorder="1"/>
    <xf numFmtId="170" fontId="43" fillId="150" borderId="34" xfId="1" applyNumberFormat="1" applyFont="1" applyFill="1" applyBorder="1"/>
    <xf numFmtId="169" fontId="43" fillId="150" borderId="0" xfId="1" applyFont="1" applyFill="1" applyBorder="1"/>
    <xf numFmtId="169" fontId="43" fillId="150" borderId="121" xfId="1" applyFont="1" applyFill="1" applyBorder="1"/>
    <xf numFmtId="169" fontId="43" fillId="150" borderId="131" xfId="1" applyFont="1" applyFill="1" applyBorder="1"/>
    <xf numFmtId="170" fontId="43" fillId="150" borderId="121" xfId="1" applyNumberFormat="1" applyFont="1" applyFill="1" applyBorder="1"/>
    <xf numFmtId="170" fontId="43" fillId="150" borderId="38" xfId="1" applyNumberFormat="1" applyFont="1" applyFill="1" applyBorder="1"/>
    <xf numFmtId="170" fontId="43" fillId="150" borderId="39" xfId="1" applyNumberFormat="1" applyFont="1" applyFill="1" applyBorder="1"/>
    <xf numFmtId="0" fontId="43" fillId="150" borderId="34" xfId="0" applyFont="1" applyFill="1" applyBorder="1" applyAlignment="1">
      <alignment horizontal="center"/>
    </xf>
    <xf numFmtId="0" fontId="43" fillId="150" borderId="153" xfId="0" applyFont="1" applyFill="1" applyBorder="1"/>
    <xf numFmtId="0" fontId="43" fillId="150" borderId="148" xfId="0" applyFont="1" applyFill="1" applyBorder="1"/>
    <xf numFmtId="0" fontId="43" fillId="150" borderId="149" xfId="0" applyFont="1" applyFill="1" applyBorder="1" applyAlignment="1">
      <alignment horizontal="center"/>
    </xf>
    <xf numFmtId="0" fontId="43" fillId="150" borderId="153" xfId="0" applyFont="1" applyFill="1" applyBorder="1" applyAlignment="1">
      <alignment horizontal="center"/>
    </xf>
    <xf numFmtId="14" fontId="43" fillId="150" borderId="152" xfId="0" applyNumberFormat="1" applyFont="1" applyFill="1" applyBorder="1"/>
    <xf numFmtId="169" fontId="43" fillId="150" borderId="150" xfId="1" applyFont="1" applyFill="1" applyBorder="1"/>
    <xf numFmtId="174" fontId="43" fillId="150" borderId="148" xfId="2" applyFont="1" applyFill="1" applyBorder="1"/>
    <xf numFmtId="170" fontId="43" fillId="150" borderId="152" xfId="1" applyNumberFormat="1" applyFont="1" applyFill="1" applyBorder="1"/>
    <xf numFmtId="169" fontId="43" fillId="150" borderId="151" xfId="1" applyFont="1" applyFill="1" applyBorder="1"/>
    <xf numFmtId="169" fontId="43" fillId="150" borderId="152" xfId="1" applyFont="1" applyFill="1" applyBorder="1"/>
    <xf numFmtId="170" fontId="43" fillId="150" borderId="153" xfId="1" applyNumberFormat="1" applyFont="1" applyFill="1" applyBorder="1"/>
    <xf numFmtId="170" fontId="43" fillId="150" borderId="148" xfId="1" applyNumberFormat="1" applyFont="1" applyFill="1" applyBorder="1"/>
    <xf numFmtId="0" fontId="43" fillId="150" borderId="152" xfId="0" applyFont="1" applyFill="1" applyBorder="1" applyAlignment="1">
      <alignment horizontal="center"/>
    </xf>
    <xf numFmtId="0" fontId="31" fillId="34" borderId="9" xfId="0" applyFont="1" applyFill="1" applyBorder="1"/>
    <xf numFmtId="0" fontId="31" fillId="34" borderId="106" xfId="0" applyFont="1" applyFill="1" applyBorder="1"/>
    <xf numFmtId="0" fontId="31" fillId="34" borderId="105" xfId="0" applyFont="1" applyFill="1" applyBorder="1" applyAlignment="1">
      <alignment horizontal="center"/>
    </xf>
    <xf numFmtId="0" fontId="31" fillId="0" borderId="107" xfId="0" applyFont="1" applyBorder="1" applyAlignment="1">
      <alignment horizontal="center"/>
    </xf>
    <xf numFmtId="14" fontId="31" fillId="0" borderId="25" xfId="0" applyNumberFormat="1" applyFont="1" applyBorder="1"/>
    <xf numFmtId="169" fontId="31" fillId="1" borderId="9" xfId="1" applyFont="1" applyFill="1" applyBorder="1"/>
    <xf numFmtId="169" fontId="31" fillId="1" borderId="103" xfId="1" applyFont="1" applyFill="1" applyBorder="1"/>
    <xf numFmtId="174" fontId="31" fillId="13" borderId="106" xfId="2" applyFont="1" applyFill="1" applyBorder="1"/>
    <xf numFmtId="170" fontId="31" fillId="34" borderId="107" xfId="1" applyNumberFormat="1" applyFont="1" applyFill="1" applyBorder="1"/>
    <xf numFmtId="170" fontId="31" fillId="125" borderId="104" xfId="1" applyNumberFormat="1" applyFont="1" applyFill="1" applyBorder="1"/>
    <xf numFmtId="169" fontId="31" fillId="34" borderId="9" xfId="1" applyFont="1" applyFill="1" applyBorder="1"/>
    <xf numFmtId="169" fontId="31" fillId="34" borderId="103" xfId="1" applyFont="1" applyFill="1" applyBorder="1"/>
    <xf numFmtId="174" fontId="31" fillId="34" borderId="106" xfId="2" applyFont="1" applyFill="1" applyBorder="1"/>
    <xf numFmtId="169" fontId="31" fillId="7" borderId="9" xfId="1" applyFont="1" applyFill="1" applyBorder="1"/>
    <xf numFmtId="169" fontId="31" fillId="7" borderId="103" xfId="1" applyFont="1" applyFill="1" applyBorder="1"/>
    <xf numFmtId="174" fontId="31" fillId="7" borderId="106" xfId="2" applyFont="1" applyFill="1" applyBorder="1"/>
    <xf numFmtId="170" fontId="31" fillId="7" borderId="107" xfId="1" applyNumberFormat="1" applyFont="1" applyFill="1" applyBorder="1"/>
    <xf numFmtId="43" fontId="237" fillId="143" borderId="0" xfId="0" applyNumberFormat="1" applyFont="1" applyFill="1"/>
    <xf numFmtId="170" fontId="0" fillId="143" borderId="0" xfId="0" applyNumberFormat="1" applyFill="1" applyAlignment="1">
      <alignment vertical="center"/>
    </xf>
    <xf numFmtId="4" fontId="0" fillId="151" borderId="0" xfId="0" applyNumberFormat="1" applyFill="1"/>
    <xf numFmtId="3" fontId="0" fillId="151" borderId="0" xfId="0" applyNumberFormat="1" applyFill="1"/>
    <xf numFmtId="0" fontId="0" fillId="0" borderId="143" xfId="0" applyBorder="1"/>
    <xf numFmtId="0" fontId="0" fillId="0" borderId="143" xfId="0" applyBorder="1" applyAlignment="1">
      <alignment horizontal="center"/>
    </xf>
    <xf numFmtId="169" fontId="1" fillId="1" borderId="18" xfId="1" applyFont="1" applyFill="1" applyBorder="1"/>
    <xf numFmtId="169" fontId="1" fillId="126" borderId="151" xfId="1" applyFont="1" applyFill="1" applyBorder="1"/>
    <xf numFmtId="169" fontId="1" fillId="7" borderId="151" xfId="1" applyFont="1" applyFill="1" applyBorder="1"/>
    <xf numFmtId="169" fontId="1" fillId="18" borderId="19" xfId="1" applyFont="1" applyFill="1" applyBorder="1"/>
    <xf numFmtId="169" fontId="1" fillId="24" borderId="153" xfId="1" applyFont="1" applyFill="1" applyBorder="1"/>
    <xf numFmtId="170" fontId="1" fillId="24" borderId="152" xfId="1" applyNumberFormat="1" applyFont="1" applyFill="1" applyBorder="1"/>
    <xf numFmtId="0" fontId="36" fillId="27" borderId="150" xfId="0" applyFont="1" applyFill="1" applyBorder="1"/>
    <xf numFmtId="173" fontId="36" fillId="0" borderId="150" xfId="0" applyNumberFormat="1" applyFont="1" applyBorder="1"/>
    <xf numFmtId="0" fontId="3" fillId="14" borderId="121" xfId="0" applyFont="1" applyFill="1" applyBorder="1" applyAlignment="1">
      <alignment horizontal="center" vertical="center"/>
    </xf>
    <xf numFmtId="0" fontId="3" fillId="14" borderId="28" xfId="0" applyFont="1" applyFill="1" applyBorder="1" applyAlignment="1">
      <alignment horizontal="center" vertical="center"/>
    </xf>
    <xf numFmtId="0" fontId="3" fillId="14" borderId="122" xfId="0" applyFont="1" applyFill="1" applyBorder="1" applyAlignment="1">
      <alignment horizontal="center" vertical="center"/>
    </xf>
    <xf numFmtId="0" fontId="3" fillId="14" borderId="27" xfId="0" applyFont="1" applyFill="1" applyBorder="1" applyAlignment="1">
      <alignment horizontal="center" vertical="center"/>
    </xf>
    <xf numFmtId="14" fontId="3" fillId="14" borderId="122" xfId="0" applyNumberFormat="1" applyFont="1" applyFill="1" applyBorder="1" applyAlignment="1">
      <alignment horizontal="center" vertical="center" wrapText="1"/>
    </xf>
    <xf numFmtId="14" fontId="3" fillId="14" borderId="27" xfId="0" applyNumberFormat="1" applyFont="1" applyFill="1" applyBorder="1" applyAlignment="1">
      <alignment horizontal="center" vertical="center" wrapText="1"/>
    </xf>
    <xf numFmtId="0" fontId="41" fillId="14" borderId="123" xfId="0" applyFont="1" applyFill="1" applyBorder="1" applyAlignment="1">
      <alignment horizontal="center"/>
    </xf>
    <xf numFmtId="0" fontId="41" fillId="14" borderId="124" xfId="0" applyFont="1" applyFill="1" applyBorder="1" applyAlignment="1">
      <alignment horizontal="center"/>
    </xf>
    <xf numFmtId="0" fontId="41" fillId="14" borderId="125" xfId="0" applyFont="1" applyFill="1" applyBorder="1" applyAlignment="1">
      <alignment horizontal="center"/>
    </xf>
    <xf numFmtId="0" fontId="203" fillId="122" borderId="123" xfId="0" applyFont="1" applyFill="1" applyBorder="1" applyAlignment="1">
      <alignment horizontal="center"/>
    </xf>
    <xf numFmtId="0" fontId="203" fillId="122" borderId="125" xfId="0" applyFont="1" applyFill="1" applyBorder="1" applyAlignment="1">
      <alignment horizontal="center"/>
    </xf>
    <xf numFmtId="173" fontId="41" fillId="18" borderId="123" xfId="1" applyNumberFormat="1" applyFont="1" applyFill="1" applyBorder="1" applyAlignment="1">
      <alignment horizontal="center"/>
    </xf>
    <xf numFmtId="173" fontId="41" fillId="18" borderId="124" xfId="1" applyNumberFormat="1" applyFont="1" applyFill="1" applyBorder="1" applyAlignment="1">
      <alignment horizontal="center"/>
    </xf>
    <xf numFmtId="173" fontId="41" fillId="18" borderId="125" xfId="1" applyNumberFormat="1" applyFont="1" applyFill="1" applyBorder="1" applyAlignment="1">
      <alignment horizontal="center"/>
    </xf>
    <xf numFmtId="0" fontId="41" fillId="7" borderId="123" xfId="0" applyFont="1" applyFill="1" applyBorder="1" applyAlignment="1">
      <alignment horizontal="center"/>
    </xf>
    <xf numFmtId="0" fontId="41" fillId="7" borderId="124" xfId="0" applyFont="1" applyFill="1" applyBorder="1" applyAlignment="1">
      <alignment horizontal="center"/>
    </xf>
    <xf numFmtId="0" fontId="41" fillId="7" borderId="125" xfId="0" applyFont="1" applyFill="1" applyBorder="1" applyAlignment="1">
      <alignment horizontal="center"/>
    </xf>
    <xf numFmtId="0" fontId="41" fillId="24" borderId="123" xfId="0" applyFont="1" applyFill="1" applyBorder="1" applyAlignment="1">
      <alignment horizontal="center"/>
    </xf>
    <xf numFmtId="0" fontId="41" fillId="24" borderId="125" xfId="0" applyFont="1" applyFill="1" applyBorder="1" applyAlignment="1">
      <alignment horizontal="center"/>
    </xf>
    <xf numFmtId="0" fontId="41" fillId="28" borderId="123" xfId="0" applyFont="1" applyFill="1" applyBorder="1" applyAlignment="1">
      <alignment horizontal="center"/>
    </xf>
    <xf numFmtId="0" fontId="41" fillId="28" borderId="124" xfId="0" applyFont="1" applyFill="1" applyBorder="1" applyAlignment="1">
      <alignment horizontal="center"/>
    </xf>
    <xf numFmtId="0" fontId="41" fillId="28" borderId="125" xfId="0" applyFont="1" applyFill="1" applyBorder="1" applyAlignment="1">
      <alignment horizontal="center"/>
    </xf>
    <xf numFmtId="169" fontId="203" fillId="122" borderId="123" xfId="0" applyNumberFormat="1" applyFont="1" applyFill="1" applyBorder="1" applyAlignment="1">
      <alignment horizontal="center"/>
    </xf>
    <xf numFmtId="0" fontId="3" fillId="14" borderId="139" xfId="0" applyFont="1" applyFill="1" applyBorder="1" applyAlignment="1">
      <alignment horizontal="center" vertical="center"/>
    </xf>
    <xf numFmtId="0" fontId="3" fillId="14" borderId="146" xfId="0" applyFont="1" applyFill="1" applyBorder="1" applyAlignment="1">
      <alignment horizontal="center" vertical="center"/>
    </xf>
    <xf numFmtId="14" fontId="3" fillId="14" borderId="121" xfId="0" applyNumberFormat="1" applyFont="1" applyFill="1" applyBorder="1" applyAlignment="1">
      <alignment horizontal="center" vertical="center" wrapText="1"/>
    </xf>
    <xf numFmtId="14" fontId="3" fillId="14" borderId="28" xfId="0" applyNumberFormat="1" applyFont="1" applyFill="1" applyBorder="1" applyAlignment="1">
      <alignment horizontal="center" vertical="center" wrapText="1"/>
    </xf>
    <xf numFmtId="0" fontId="3" fillId="14" borderId="135" xfId="0" applyFont="1" applyFill="1" applyBorder="1" applyAlignment="1">
      <alignment horizontal="center" vertical="center"/>
    </xf>
    <xf numFmtId="0" fontId="3" fillId="14" borderId="147" xfId="0" applyFont="1" applyFill="1" applyBorder="1" applyAlignment="1">
      <alignment horizontal="center" vertical="center"/>
    </xf>
    <xf numFmtId="14" fontId="3" fillId="10" borderId="119" xfId="0" applyNumberFormat="1" applyFont="1" applyFill="1" applyBorder="1" applyAlignment="1">
      <alignment horizontal="center"/>
    </xf>
    <xf numFmtId="14" fontId="3" fillId="10" borderId="99" xfId="0" applyNumberFormat="1" applyFont="1" applyFill="1" applyBorder="1" applyAlignment="1">
      <alignment horizontal="center"/>
    </xf>
    <xf numFmtId="14" fontId="3" fillId="10" borderId="120" xfId="0" applyNumberFormat="1" applyFont="1" applyFill="1" applyBorder="1" applyAlignment="1">
      <alignment horizontal="center"/>
    </xf>
    <xf numFmtId="0" fontId="39" fillId="0" borderId="122" xfId="0" applyFont="1" applyBorder="1" applyAlignment="1">
      <alignment horizontal="center" vertical="center" textRotation="255"/>
    </xf>
    <xf numFmtId="0" fontId="39" fillId="0" borderId="160" xfId="0" applyFont="1" applyBorder="1" applyAlignment="1">
      <alignment horizontal="center" vertical="center" textRotation="255"/>
    </xf>
    <xf numFmtId="0" fontId="39" fillId="0" borderId="27" xfId="0" applyFont="1" applyBorder="1" applyAlignment="1">
      <alignment horizontal="center" vertical="center" textRotation="255"/>
    </xf>
    <xf numFmtId="0" fontId="3" fillId="0" borderId="122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160" xfId="0" applyFont="1" applyBorder="1" applyAlignment="1">
      <alignment horizontal="center" vertical="center" wrapText="1"/>
    </xf>
    <xf numFmtId="0" fontId="20" fillId="14" borderId="135" xfId="0" applyFont="1" applyFill="1" applyBorder="1" applyAlignment="1">
      <alignment horizontal="center" vertical="center"/>
    </xf>
    <xf numFmtId="0" fontId="20" fillId="14" borderId="147" xfId="0" applyFont="1" applyFill="1" applyBorder="1" applyAlignment="1">
      <alignment horizontal="center" vertical="center"/>
    </xf>
    <xf numFmtId="0" fontId="20" fillId="14" borderId="115" xfId="0" applyFont="1" applyFill="1" applyBorder="1" applyAlignment="1">
      <alignment horizontal="center" vertical="center"/>
    </xf>
    <xf numFmtId="0" fontId="20" fillId="14" borderId="13" xfId="0" applyFont="1" applyFill="1" applyBorder="1" applyAlignment="1">
      <alignment horizontal="center" vertical="center"/>
    </xf>
    <xf numFmtId="170" fontId="20" fillId="14" borderId="115" xfId="1" applyNumberFormat="1" applyFont="1" applyFill="1" applyBorder="1" applyAlignment="1">
      <alignment horizontal="center" vertical="center" wrapText="1"/>
    </xf>
    <xf numFmtId="170" fontId="20" fillId="14" borderId="13" xfId="1" applyNumberFormat="1" applyFont="1" applyFill="1" applyBorder="1" applyAlignment="1">
      <alignment horizontal="center" vertical="center" wrapText="1"/>
    </xf>
    <xf numFmtId="170" fontId="5" fillId="18" borderId="127" xfId="1" applyNumberFormat="1" applyFont="1" applyFill="1" applyBorder="1" applyAlignment="1">
      <alignment horizontal="center" vertical="center"/>
    </xf>
    <xf numFmtId="170" fontId="5" fillId="18" borderId="114" xfId="1" applyNumberFormat="1" applyFont="1" applyFill="1" applyBorder="1" applyAlignment="1">
      <alignment horizontal="center" vertical="center"/>
    </xf>
    <xf numFmtId="170" fontId="20" fillId="14" borderId="116" xfId="1" applyNumberFormat="1" applyFont="1" applyFill="1" applyBorder="1" applyAlignment="1">
      <alignment horizontal="center" vertical="center" wrapText="1"/>
    </xf>
    <xf numFmtId="170" fontId="20" fillId="14" borderId="14" xfId="1" applyNumberFormat="1" applyFont="1" applyFill="1" applyBorder="1" applyAlignment="1">
      <alignment horizontal="center" vertical="center" wrapText="1"/>
    </xf>
    <xf numFmtId="0" fontId="236" fillId="0" borderId="122" xfId="0" applyFont="1" applyBorder="1" applyAlignment="1">
      <alignment horizontal="center" vertical="center"/>
    </xf>
    <xf numFmtId="0" fontId="236" fillId="0" borderId="27" xfId="0" applyFont="1" applyBorder="1" applyAlignment="1">
      <alignment horizontal="center" vertical="center"/>
    </xf>
    <xf numFmtId="0" fontId="3" fillId="0" borderId="122" xfId="0" applyFont="1" applyBorder="1" applyAlignment="1">
      <alignment horizontal="center" vertical="center"/>
    </xf>
    <xf numFmtId="0" fontId="3" fillId="0" borderId="160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170" fontId="215" fillId="9" borderId="7" xfId="1" applyNumberFormat="1" applyFont="1" applyFill="1" applyBorder="1" applyAlignment="1">
      <alignment horizontal="center" vertical="center"/>
    </xf>
    <xf numFmtId="170" fontId="215" fillId="9" borderId="10" xfId="1" applyNumberFormat="1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 wrapText="1"/>
    </xf>
    <xf numFmtId="0" fontId="11" fillId="14" borderId="11" xfId="0" applyFont="1" applyFill="1" applyBorder="1" applyAlignment="1">
      <alignment horizontal="center" vertical="center" wrapText="1"/>
    </xf>
    <xf numFmtId="0" fontId="214" fillId="14" borderId="40" xfId="0" applyFont="1" applyFill="1" applyBorder="1" applyAlignment="1">
      <alignment horizontal="center" vertical="center"/>
    </xf>
    <xf numFmtId="0" fontId="214" fillId="14" borderId="17" xfId="0" applyFont="1" applyFill="1" applyBorder="1" applyAlignment="1">
      <alignment horizontal="center" vertical="center"/>
    </xf>
    <xf numFmtId="0" fontId="214" fillId="14" borderId="7" xfId="0" applyFont="1" applyFill="1" applyBorder="1" applyAlignment="1">
      <alignment horizontal="center" vertical="center"/>
    </xf>
    <xf numFmtId="0" fontId="214" fillId="14" borderId="10" xfId="0" applyFont="1" applyFill="1" applyBorder="1" applyAlignment="1">
      <alignment horizontal="center" vertical="center"/>
    </xf>
    <xf numFmtId="170" fontId="214" fillId="14" borderId="7" xfId="1" applyNumberFormat="1" applyFont="1" applyFill="1" applyBorder="1" applyAlignment="1">
      <alignment horizontal="center" vertical="center" wrapText="1"/>
    </xf>
    <xf numFmtId="170" fontId="214" fillId="14" borderId="10" xfId="1" applyNumberFormat="1" applyFont="1" applyFill="1" applyBorder="1" applyAlignment="1">
      <alignment horizontal="center" vertical="center" wrapText="1"/>
    </xf>
    <xf numFmtId="170" fontId="214" fillId="18" borderId="127" xfId="1" applyNumberFormat="1" applyFont="1" applyFill="1" applyBorder="1" applyAlignment="1">
      <alignment horizontal="center" vertical="center"/>
    </xf>
    <xf numFmtId="170" fontId="214" fillId="18" borderId="114" xfId="1" applyNumberFormat="1" applyFont="1" applyFill="1" applyBorder="1" applyAlignment="1">
      <alignment horizontal="center" vertical="center"/>
    </xf>
    <xf numFmtId="0" fontId="192" fillId="123" borderId="7" xfId="0" applyFont="1" applyFill="1" applyBorder="1" applyAlignment="1">
      <alignment horizontal="center" vertical="center"/>
    </xf>
    <xf numFmtId="0" fontId="192" fillId="123" borderId="10" xfId="0" applyFont="1" applyFill="1" applyBorder="1" applyAlignment="1">
      <alignment horizontal="center" vertical="center"/>
    </xf>
    <xf numFmtId="0" fontId="192" fillId="122" borderId="7" xfId="0" applyFont="1" applyFill="1" applyBorder="1" applyAlignment="1">
      <alignment horizontal="center" vertical="center"/>
    </xf>
    <xf numFmtId="0" fontId="192" fillId="122" borderId="10" xfId="0" applyFont="1" applyFill="1" applyBorder="1" applyAlignment="1">
      <alignment horizontal="center" vertical="center"/>
    </xf>
    <xf numFmtId="0" fontId="195" fillId="14" borderId="139" xfId="0" applyFont="1" applyFill="1" applyBorder="1" applyAlignment="1">
      <alignment horizontal="center" vertical="center"/>
    </xf>
    <xf numFmtId="0" fontId="195" fillId="14" borderId="136" xfId="0" applyFont="1" applyFill="1" applyBorder="1" applyAlignment="1">
      <alignment horizontal="center" vertical="center"/>
    </xf>
    <xf numFmtId="0" fontId="74" fillId="14" borderId="129" xfId="0" applyFont="1" applyFill="1" applyBorder="1" applyAlignment="1">
      <alignment horizontal="center" vertical="center"/>
    </xf>
    <xf numFmtId="0" fontId="74" fillId="14" borderId="19" xfId="0" applyFont="1" applyFill="1" applyBorder="1" applyAlignment="1">
      <alignment horizontal="center" vertical="center"/>
    </xf>
    <xf numFmtId="0" fontId="20" fillId="14" borderId="40" xfId="0" applyFont="1" applyFill="1" applyBorder="1" applyAlignment="1">
      <alignment horizontal="center" vertical="center"/>
    </xf>
    <xf numFmtId="0" fontId="20" fillId="14" borderId="17" xfId="0" applyFont="1" applyFill="1" applyBorder="1" applyAlignment="1">
      <alignment horizontal="center" vertical="center"/>
    </xf>
    <xf numFmtId="0" fontId="20" fillId="14" borderId="7" xfId="0" applyFont="1" applyFill="1" applyBorder="1" applyAlignment="1">
      <alignment horizontal="center" vertical="center"/>
    </xf>
    <xf numFmtId="0" fontId="20" fillId="14" borderId="10" xfId="0" applyFont="1" applyFill="1" applyBorder="1" applyAlignment="1">
      <alignment horizontal="center" vertical="center"/>
    </xf>
    <xf numFmtId="0" fontId="0" fillId="0" borderId="162" xfId="0" applyBorder="1" applyAlignment="1">
      <alignment horizontal="left"/>
    </xf>
    <xf numFmtId="0" fontId="0" fillId="27" borderId="162" xfId="0" applyFill="1" applyBorder="1" applyAlignment="1">
      <alignment horizontal="left" vertical="center"/>
    </xf>
  </cellXfs>
  <cellStyles count="3519">
    <cellStyle name="******************************************" xfId="99" xr:uid="{00000000-0005-0000-0000-000000000000}"/>
    <cellStyle name="_AB_BE" xfId="101" xr:uid="{00000000-0005-0000-0000-000001000000}"/>
    <cellStyle name="_Libro2" xfId="94" xr:uid="{00000000-0005-0000-0000-000002000000}"/>
    <cellStyle name="_Libro2_localización actual de plantas móviles (19 JUL 2010)" xfId="102" xr:uid="{00000000-0005-0000-0000-000003000000}"/>
    <cellStyle name="_MX" xfId="103" xr:uid="{00000000-0005-0000-0000-000004000000}"/>
    <cellStyle name="_SINIESTROS 2003-2005" xfId="104" xr:uid="{00000000-0005-0000-0000-000005000000}"/>
    <cellStyle name="_SINIESTROS 2003-2005_localización actual de plantas móviles (19 JUL 2010)" xfId="105" xr:uid="{00000000-0005-0000-0000-000006000000}"/>
    <cellStyle name="_VEHICULOS VIGENTES 14-06-06-1" xfId="106" xr:uid="{00000000-0005-0000-0000-000007000000}"/>
    <cellStyle name="_VEHICULOS VIGENTES 14-06-06-1_localización actual de plantas móviles (19 JUL 2010)" xfId="107" xr:uid="{00000000-0005-0000-0000-000008000000}"/>
    <cellStyle name="20% - Accent1 2" xfId="108" xr:uid="{00000000-0005-0000-0000-000009000000}"/>
    <cellStyle name="20% - Accent1 2 2" xfId="109" xr:uid="{00000000-0005-0000-0000-00000A000000}"/>
    <cellStyle name="20% - Accent1 2 2 2" xfId="804" xr:uid="{00000000-0005-0000-0000-00000B000000}"/>
    <cellStyle name="20% - Accent1 2 3" xfId="110" xr:uid="{00000000-0005-0000-0000-00000C000000}"/>
    <cellStyle name="20% - Accent1 2 4" xfId="803" xr:uid="{00000000-0005-0000-0000-00000D000000}"/>
    <cellStyle name="20% - Accent2 2" xfId="111" xr:uid="{00000000-0005-0000-0000-00000E000000}"/>
    <cellStyle name="20% - Accent2 2 2" xfId="112" xr:uid="{00000000-0005-0000-0000-00000F000000}"/>
    <cellStyle name="20% - Accent2 2 2 2" xfId="806" xr:uid="{00000000-0005-0000-0000-000010000000}"/>
    <cellStyle name="20% - Accent2 2 3" xfId="113" xr:uid="{00000000-0005-0000-0000-000011000000}"/>
    <cellStyle name="20% - Accent2 2 4" xfId="805" xr:uid="{00000000-0005-0000-0000-000012000000}"/>
    <cellStyle name="20% - Accent3 2" xfId="114" xr:uid="{00000000-0005-0000-0000-000013000000}"/>
    <cellStyle name="20% - Accent3 2 2" xfId="115" xr:uid="{00000000-0005-0000-0000-000014000000}"/>
    <cellStyle name="20% - Accent3 2 2 2" xfId="808" xr:uid="{00000000-0005-0000-0000-000015000000}"/>
    <cellStyle name="20% - Accent3 2 3" xfId="116" xr:uid="{00000000-0005-0000-0000-000016000000}"/>
    <cellStyle name="20% - Accent3 2 4" xfId="807" xr:uid="{00000000-0005-0000-0000-000017000000}"/>
    <cellStyle name="20% - Accent4 2" xfId="117" xr:uid="{00000000-0005-0000-0000-000018000000}"/>
    <cellStyle name="20% - Accent4 2 2" xfId="118" xr:uid="{00000000-0005-0000-0000-000019000000}"/>
    <cellStyle name="20% - Accent4 2 2 2" xfId="810" xr:uid="{00000000-0005-0000-0000-00001A000000}"/>
    <cellStyle name="20% - Accent4 2 3" xfId="119" xr:uid="{00000000-0005-0000-0000-00001B000000}"/>
    <cellStyle name="20% - Accent4 2 4" xfId="809" xr:uid="{00000000-0005-0000-0000-00001C000000}"/>
    <cellStyle name="20% - Accent5 2" xfId="120" xr:uid="{00000000-0005-0000-0000-00001D000000}"/>
    <cellStyle name="20% - Accent5 2 2" xfId="121" xr:uid="{00000000-0005-0000-0000-00001E000000}"/>
    <cellStyle name="20% - Accent5 2 2 2" xfId="812" xr:uid="{00000000-0005-0000-0000-00001F000000}"/>
    <cellStyle name="20% - Accent5 2 3" xfId="122" xr:uid="{00000000-0005-0000-0000-000020000000}"/>
    <cellStyle name="20% - Accent5 2 4" xfId="811" xr:uid="{00000000-0005-0000-0000-000021000000}"/>
    <cellStyle name="20% - Accent6 2" xfId="123" xr:uid="{00000000-0005-0000-0000-000022000000}"/>
    <cellStyle name="20% - Accent6 2 2" xfId="124" xr:uid="{00000000-0005-0000-0000-000023000000}"/>
    <cellStyle name="20% - Accent6 2 2 2" xfId="814" xr:uid="{00000000-0005-0000-0000-000024000000}"/>
    <cellStyle name="20% - Accent6 2 3" xfId="125" xr:uid="{00000000-0005-0000-0000-000025000000}"/>
    <cellStyle name="20% - Accent6 2 4" xfId="813" xr:uid="{00000000-0005-0000-0000-000026000000}"/>
    <cellStyle name="20% - Énfasis1" xfId="38" builtinId="30" customBuiltin="1"/>
    <cellStyle name="20% - Énfasis1 2" xfId="127" xr:uid="{00000000-0005-0000-0000-000027000000}"/>
    <cellStyle name="20% - Énfasis1 3" xfId="713" xr:uid="{00000000-0005-0000-0000-000028000000}"/>
    <cellStyle name="20% - Énfasis1 3 2" xfId="937" xr:uid="{00000000-0005-0000-0000-000029000000}"/>
    <cellStyle name="20% - Énfasis1 4" xfId="738" xr:uid="{00000000-0005-0000-0000-00002A000000}"/>
    <cellStyle name="20% - Énfasis1 4 2" xfId="951" xr:uid="{00000000-0005-0000-0000-00002B000000}"/>
    <cellStyle name="20% - Énfasis1 5" xfId="760" xr:uid="{00000000-0005-0000-0000-00002C000000}"/>
    <cellStyle name="20% - Énfasis1 5 2" xfId="973" xr:uid="{00000000-0005-0000-0000-00002D000000}"/>
    <cellStyle name="20% - Énfasis1 6" xfId="126" xr:uid="{00000000-0005-0000-0000-00002E000000}"/>
    <cellStyle name="20% - Énfasis2" xfId="42" builtinId="34" customBuiltin="1"/>
    <cellStyle name="20% - Énfasis2 2" xfId="129" xr:uid="{00000000-0005-0000-0000-00002F000000}"/>
    <cellStyle name="20% - Énfasis2 3" xfId="717" xr:uid="{00000000-0005-0000-0000-000030000000}"/>
    <cellStyle name="20% - Énfasis2 3 2" xfId="939" xr:uid="{00000000-0005-0000-0000-000031000000}"/>
    <cellStyle name="20% - Énfasis2 4" xfId="740" xr:uid="{00000000-0005-0000-0000-000032000000}"/>
    <cellStyle name="20% - Énfasis2 4 2" xfId="953" xr:uid="{00000000-0005-0000-0000-000033000000}"/>
    <cellStyle name="20% - Énfasis2 5" xfId="762" xr:uid="{00000000-0005-0000-0000-000034000000}"/>
    <cellStyle name="20% - Énfasis2 5 2" xfId="975" xr:uid="{00000000-0005-0000-0000-000035000000}"/>
    <cellStyle name="20% - Énfasis2 6" xfId="128" xr:uid="{00000000-0005-0000-0000-000036000000}"/>
    <cellStyle name="20% - Énfasis3" xfId="46" builtinId="38" customBuiltin="1"/>
    <cellStyle name="20% - Énfasis3 2" xfId="131" xr:uid="{00000000-0005-0000-0000-000037000000}"/>
    <cellStyle name="20% - Énfasis3 3" xfId="721" xr:uid="{00000000-0005-0000-0000-000038000000}"/>
    <cellStyle name="20% - Énfasis3 3 2" xfId="941" xr:uid="{00000000-0005-0000-0000-000039000000}"/>
    <cellStyle name="20% - Énfasis3 4" xfId="742" xr:uid="{00000000-0005-0000-0000-00003A000000}"/>
    <cellStyle name="20% - Énfasis3 4 2" xfId="955" xr:uid="{00000000-0005-0000-0000-00003B000000}"/>
    <cellStyle name="20% - Énfasis3 5" xfId="764" xr:uid="{00000000-0005-0000-0000-00003C000000}"/>
    <cellStyle name="20% - Énfasis3 5 2" xfId="977" xr:uid="{00000000-0005-0000-0000-00003D000000}"/>
    <cellStyle name="20% - Énfasis3 6" xfId="130" xr:uid="{00000000-0005-0000-0000-00003E000000}"/>
    <cellStyle name="20% - Énfasis4" xfId="50" builtinId="42" customBuiltin="1"/>
    <cellStyle name="20% - Énfasis4 2" xfId="133" xr:uid="{00000000-0005-0000-0000-00003F000000}"/>
    <cellStyle name="20% - Énfasis4 3" xfId="725" xr:uid="{00000000-0005-0000-0000-000040000000}"/>
    <cellStyle name="20% - Énfasis4 3 2" xfId="943" xr:uid="{00000000-0005-0000-0000-000041000000}"/>
    <cellStyle name="20% - Énfasis4 4" xfId="744" xr:uid="{00000000-0005-0000-0000-000042000000}"/>
    <cellStyle name="20% - Énfasis4 4 2" xfId="957" xr:uid="{00000000-0005-0000-0000-000043000000}"/>
    <cellStyle name="20% - Énfasis4 5" xfId="766" xr:uid="{00000000-0005-0000-0000-000044000000}"/>
    <cellStyle name="20% - Énfasis4 5 2" xfId="979" xr:uid="{00000000-0005-0000-0000-000045000000}"/>
    <cellStyle name="20% - Énfasis4 6" xfId="132" xr:uid="{00000000-0005-0000-0000-000046000000}"/>
    <cellStyle name="20% - Énfasis5" xfId="54" builtinId="46" customBuiltin="1"/>
    <cellStyle name="20% - Énfasis5 2" xfId="135" xr:uid="{00000000-0005-0000-0000-000047000000}"/>
    <cellStyle name="20% - Énfasis5 3" xfId="729" xr:uid="{00000000-0005-0000-0000-000048000000}"/>
    <cellStyle name="20% - Énfasis5 3 2" xfId="945" xr:uid="{00000000-0005-0000-0000-000049000000}"/>
    <cellStyle name="20% - Énfasis5 4" xfId="746" xr:uid="{00000000-0005-0000-0000-00004A000000}"/>
    <cellStyle name="20% - Énfasis5 4 2" xfId="959" xr:uid="{00000000-0005-0000-0000-00004B000000}"/>
    <cellStyle name="20% - Énfasis5 5" xfId="768" xr:uid="{00000000-0005-0000-0000-00004C000000}"/>
    <cellStyle name="20% - Énfasis5 5 2" xfId="981" xr:uid="{00000000-0005-0000-0000-00004D000000}"/>
    <cellStyle name="20% - Énfasis5 6" xfId="134" xr:uid="{00000000-0005-0000-0000-00004E000000}"/>
    <cellStyle name="20% - Énfasis6" xfId="58" builtinId="50" customBuiltin="1"/>
    <cellStyle name="20% - Énfasis6 2" xfId="137" xr:uid="{00000000-0005-0000-0000-00004F000000}"/>
    <cellStyle name="20% - Énfasis6 3" xfId="733" xr:uid="{00000000-0005-0000-0000-000050000000}"/>
    <cellStyle name="20% - Énfasis6 3 2" xfId="947" xr:uid="{00000000-0005-0000-0000-000051000000}"/>
    <cellStyle name="20% - Énfasis6 4" xfId="748" xr:uid="{00000000-0005-0000-0000-000052000000}"/>
    <cellStyle name="20% - Énfasis6 4 2" xfId="961" xr:uid="{00000000-0005-0000-0000-000053000000}"/>
    <cellStyle name="20% - Énfasis6 5" xfId="770" xr:uid="{00000000-0005-0000-0000-000054000000}"/>
    <cellStyle name="20% - Énfasis6 5 2" xfId="983" xr:uid="{00000000-0005-0000-0000-000055000000}"/>
    <cellStyle name="20% - Énfasis6 6" xfId="136" xr:uid="{00000000-0005-0000-0000-000056000000}"/>
    <cellStyle name="40% - Accent1 2" xfId="138" xr:uid="{00000000-0005-0000-0000-000057000000}"/>
    <cellStyle name="40% - Accent1 2 2" xfId="139" xr:uid="{00000000-0005-0000-0000-000058000000}"/>
    <cellStyle name="40% - Accent1 2 2 2" xfId="816" xr:uid="{00000000-0005-0000-0000-000059000000}"/>
    <cellStyle name="40% - Accent1 2 3" xfId="140" xr:uid="{00000000-0005-0000-0000-00005A000000}"/>
    <cellStyle name="40% - Accent1 2 4" xfId="815" xr:uid="{00000000-0005-0000-0000-00005B000000}"/>
    <cellStyle name="40% - Accent2 2" xfId="141" xr:uid="{00000000-0005-0000-0000-00005C000000}"/>
    <cellStyle name="40% - Accent2 2 2" xfId="142" xr:uid="{00000000-0005-0000-0000-00005D000000}"/>
    <cellStyle name="40% - Accent2 2 2 2" xfId="818" xr:uid="{00000000-0005-0000-0000-00005E000000}"/>
    <cellStyle name="40% - Accent2 2 3" xfId="143" xr:uid="{00000000-0005-0000-0000-00005F000000}"/>
    <cellStyle name="40% - Accent2 2 4" xfId="817" xr:uid="{00000000-0005-0000-0000-000060000000}"/>
    <cellStyle name="40% - Accent3 2" xfId="144" xr:uid="{00000000-0005-0000-0000-000061000000}"/>
    <cellStyle name="40% - Accent3 2 2" xfId="145" xr:uid="{00000000-0005-0000-0000-000062000000}"/>
    <cellStyle name="40% - Accent3 2 2 2" xfId="820" xr:uid="{00000000-0005-0000-0000-000063000000}"/>
    <cellStyle name="40% - Accent3 2 3" xfId="146" xr:uid="{00000000-0005-0000-0000-000064000000}"/>
    <cellStyle name="40% - Accent3 2 4" xfId="819" xr:uid="{00000000-0005-0000-0000-000065000000}"/>
    <cellStyle name="40% - Accent4 2" xfId="147" xr:uid="{00000000-0005-0000-0000-000066000000}"/>
    <cellStyle name="40% - Accent4 2 2" xfId="148" xr:uid="{00000000-0005-0000-0000-000067000000}"/>
    <cellStyle name="40% - Accent4 2 2 2" xfId="822" xr:uid="{00000000-0005-0000-0000-000068000000}"/>
    <cellStyle name="40% - Accent4 2 3" xfId="149" xr:uid="{00000000-0005-0000-0000-000069000000}"/>
    <cellStyle name="40% - Accent4 2 4" xfId="821" xr:uid="{00000000-0005-0000-0000-00006A000000}"/>
    <cellStyle name="40% - Accent5 2" xfId="150" xr:uid="{00000000-0005-0000-0000-00006B000000}"/>
    <cellStyle name="40% - Accent5 2 2" xfId="151" xr:uid="{00000000-0005-0000-0000-00006C000000}"/>
    <cellStyle name="40% - Accent5 2 2 2" xfId="824" xr:uid="{00000000-0005-0000-0000-00006D000000}"/>
    <cellStyle name="40% - Accent5 2 3" xfId="152" xr:uid="{00000000-0005-0000-0000-00006E000000}"/>
    <cellStyle name="40% - Accent5 2 4" xfId="823" xr:uid="{00000000-0005-0000-0000-00006F000000}"/>
    <cellStyle name="40% - Accent6 2" xfId="153" xr:uid="{00000000-0005-0000-0000-000070000000}"/>
    <cellStyle name="40% - Accent6 2 2" xfId="154" xr:uid="{00000000-0005-0000-0000-000071000000}"/>
    <cellStyle name="40% - Accent6 2 2 2" xfId="826" xr:uid="{00000000-0005-0000-0000-000072000000}"/>
    <cellStyle name="40% - Accent6 2 3" xfId="155" xr:uid="{00000000-0005-0000-0000-000073000000}"/>
    <cellStyle name="40% - Accent6 2 4" xfId="825" xr:uid="{00000000-0005-0000-0000-000074000000}"/>
    <cellStyle name="40% - Énfasis1" xfId="39" builtinId="31" customBuiltin="1"/>
    <cellStyle name="40% - Énfasis1 2" xfId="157" xr:uid="{00000000-0005-0000-0000-000075000000}"/>
    <cellStyle name="40% - Énfasis1 3" xfId="714" xr:uid="{00000000-0005-0000-0000-000076000000}"/>
    <cellStyle name="40% - Énfasis1 3 2" xfId="938" xr:uid="{00000000-0005-0000-0000-000077000000}"/>
    <cellStyle name="40% - Énfasis1 4" xfId="739" xr:uid="{00000000-0005-0000-0000-000078000000}"/>
    <cellStyle name="40% - Énfasis1 4 2" xfId="952" xr:uid="{00000000-0005-0000-0000-000079000000}"/>
    <cellStyle name="40% - Énfasis1 5" xfId="761" xr:uid="{00000000-0005-0000-0000-00007A000000}"/>
    <cellStyle name="40% - Énfasis1 5 2" xfId="974" xr:uid="{00000000-0005-0000-0000-00007B000000}"/>
    <cellStyle name="40% - Énfasis1 6" xfId="156" xr:uid="{00000000-0005-0000-0000-00007C000000}"/>
    <cellStyle name="40% - Énfasis2" xfId="43" builtinId="35" customBuiltin="1"/>
    <cellStyle name="40% - Énfasis2 2" xfId="159" xr:uid="{00000000-0005-0000-0000-00007D000000}"/>
    <cellStyle name="40% - Énfasis2 3" xfId="718" xr:uid="{00000000-0005-0000-0000-00007E000000}"/>
    <cellStyle name="40% - Énfasis2 3 2" xfId="940" xr:uid="{00000000-0005-0000-0000-00007F000000}"/>
    <cellStyle name="40% - Énfasis2 4" xfId="741" xr:uid="{00000000-0005-0000-0000-000080000000}"/>
    <cellStyle name="40% - Énfasis2 4 2" xfId="954" xr:uid="{00000000-0005-0000-0000-000081000000}"/>
    <cellStyle name="40% - Énfasis2 5" xfId="763" xr:uid="{00000000-0005-0000-0000-000082000000}"/>
    <cellStyle name="40% - Énfasis2 5 2" xfId="976" xr:uid="{00000000-0005-0000-0000-000083000000}"/>
    <cellStyle name="40% - Énfasis2 6" xfId="158" xr:uid="{00000000-0005-0000-0000-000084000000}"/>
    <cellStyle name="40% - Énfasis3" xfId="47" builtinId="39" customBuiltin="1"/>
    <cellStyle name="40% - Énfasis3 2" xfId="161" xr:uid="{00000000-0005-0000-0000-000085000000}"/>
    <cellStyle name="40% - Énfasis3 3" xfId="722" xr:uid="{00000000-0005-0000-0000-000086000000}"/>
    <cellStyle name="40% - Énfasis3 3 2" xfId="942" xr:uid="{00000000-0005-0000-0000-000087000000}"/>
    <cellStyle name="40% - Énfasis3 4" xfId="743" xr:uid="{00000000-0005-0000-0000-000088000000}"/>
    <cellStyle name="40% - Énfasis3 4 2" xfId="956" xr:uid="{00000000-0005-0000-0000-000089000000}"/>
    <cellStyle name="40% - Énfasis3 5" xfId="765" xr:uid="{00000000-0005-0000-0000-00008A000000}"/>
    <cellStyle name="40% - Énfasis3 5 2" xfId="978" xr:uid="{00000000-0005-0000-0000-00008B000000}"/>
    <cellStyle name="40% - Énfasis3 6" xfId="160" xr:uid="{00000000-0005-0000-0000-00008C000000}"/>
    <cellStyle name="40% - Énfasis4" xfId="51" builtinId="43" customBuiltin="1"/>
    <cellStyle name="40% - Énfasis4 2" xfId="163" xr:uid="{00000000-0005-0000-0000-00008D000000}"/>
    <cellStyle name="40% - Énfasis4 3" xfId="726" xr:uid="{00000000-0005-0000-0000-00008E000000}"/>
    <cellStyle name="40% - Énfasis4 3 2" xfId="944" xr:uid="{00000000-0005-0000-0000-00008F000000}"/>
    <cellStyle name="40% - Énfasis4 4" xfId="745" xr:uid="{00000000-0005-0000-0000-000090000000}"/>
    <cellStyle name="40% - Énfasis4 4 2" xfId="958" xr:uid="{00000000-0005-0000-0000-000091000000}"/>
    <cellStyle name="40% - Énfasis4 5" xfId="767" xr:uid="{00000000-0005-0000-0000-000092000000}"/>
    <cellStyle name="40% - Énfasis4 5 2" xfId="980" xr:uid="{00000000-0005-0000-0000-000093000000}"/>
    <cellStyle name="40% - Énfasis4 6" xfId="162" xr:uid="{00000000-0005-0000-0000-000094000000}"/>
    <cellStyle name="40% - Énfasis5" xfId="55" builtinId="47" customBuiltin="1"/>
    <cellStyle name="40% - Énfasis5 2" xfId="165" xr:uid="{00000000-0005-0000-0000-000095000000}"/>
    <cellStyle name="40% - Énfasis5 3" xfId="730" xr:uid="{00000000-0005-0000-0000-000096000000}"/>
    <cellStyle name="40% - Énfasis5 3 2" xfId="946" xr:uid="{00000000-0005-0000-0000-000097000000}"/>
    <cellStyle name="40% - Énfasis5 4" xfId="747" xr:uid="{00000000-0005-0000-0000-000098000000}"/>
    <cellStyle name="40% - Énfasis5 4 2" xfId="960" xr:uid="{00000000-0005-0000-0000-000099000000}"/>
    <cellStyle name="40% - Énfasis5 5" xfId="769" xr:uid="{00000000-0005-0000-0000-00009A000000}"/>
    <cellStyle name="40% - Énfasis5 5 2" xfId="982" xr:uid="{00000000-0005-0000-0000-00009B000000}"/>
    <cellStyle name="40% - Énfasis5 6" xfId="164" xr:uid="{00000000-0005-0000-0000-00009C000000}"/>
    <cellStyle name="40% - Énfasis6" xfId="59" builtinId="51" customBuiltin="1"/>
    <cellStyle name="40% - Énfasis6 2" xfId="167" xr:uid="{00000000-0005-0000-0000-00009D000000}"/>
    <cellStyle name="40% - Énfasis6 3" xfId="734" xr:uid="{00000000-0005-0000-0000-00009E000000}"/>
    <cellStyle name="40% - Énfasis6 3 2" xfId="948" xr:uid="{00000000-0005-0000-0000-00009F000000}"/>
    <cellStyle name="40% - Énfasis6 4" xfId="749" xr:uid="{00000000-0005-0000-0000-0000A0000000}"/>
    <cellStyle name="40% - Énfasis6 4 2" xfId="962" xr:uid="{00000000-0005-0000-0000-0000A1000000}"/>
    <cellStyle name="40% - Énfasis6 5" xfId="771" xr:uid="{00000000-0005-0000-0000-0000A2000000}"/>
    <cellStyle name="40% - Énfasis6 5 2" xfId="984" xr:uid="{00000000-0005-0000-0000-0000A3000000}"/>
    <cellStyle name="40% - Énfasis6 6" xfId="166" xr:uid="{00000000-0005-0000-0000-0000A4000000}"/>
    <cellStyle name="60% - Accent1 2" xfId="168" xr:uid="{00000000-0005-0000-0000-0000A5000000}"/>
    <cellStyle name="60% - Accent1 2 2" xfId="169" xr:uid="{00000000-0005-0000-0000-0000A6000000}"/>
    <cellStyle name="60% - Accent1 2 3" xfId="170" xr:uid="{00000000-0005-0000-0000-0000A7000000}"/>
    <cellStyle name="60% - Accent2 2" xfId="171" xr:uid="{00000000-0005-0000-0000-0000A8000000}"/>
    <cellStyle name="60% - Accent2 2 2" xfId="172" xr:uid="{00000000-0005-0000-0000-0000A9000000}"/>
    <cellStyle name="60% - Accent2 2 3" xfId="173" xr:uid="{00000000-0005-0000-0000-0000AA000000}"/>
    <cellStyle name="60% - Accent3 2" xfId="174" xr:uid="{00000000-0005-0000-0000-0000AB000000}"/>
    <cellStyle name="60% - Accent3 2 2" xfId="175" xr:uid="{00000000-0005-0000-0000-0000AC000000}"/>
    <cellStyle name="60% - Accent3 2 3" xfId="176" xr:uid="{00000000-0005-0000-0000-0000AD000000}"/>
    <cellStyle name="60% - Accent4 2" xfId="177" xr:uid="{00000000-0005-0000-0000-0000AE000000}"/>
    <cellStyle name="60% - Accent4 2 2" xfId="178" xr:uid="{00000000-0005-0000-0000-0000AF000000}"/>
    <cellStyle name="60% - Accent4 2 3" xfId="179" xr:uid="{00000000-0005-0000-0000-0000B0000000}"/>
    <cellStyle name="60% - Accent5 2" xfId="180" xr:uid="{00000000-0005-0000-0000-0000B1000000}"/>
    <cellStyle name="60% - Accent5 2 2" xfId="181" xr:uid="{00000000-0005-0000-0000-0000B2000000}"/>
    <cellStyle name="60% - Accent5 2 3" xfId="182" xr:uid="{00000000-0005-0000-0000-0000B3000000}"/>
    <cellStyle name="60% - Accent6 2" xfId="183" xr:uid="{00000000-0005-0000-0000-0000B4000000}"/>
    <cellStyle name="60% - Accent6 2 2" xfId="184" xr:uid="{00000000-0005-0000-0000-0000B5000000}"/>
    <cellStyle name="60% - Accent6 2 3" xfId="185" xr:uid="{00000000-0005-0000-0000-0000B6000000}"/>
    <cellStyle name="60% - Énfasis1" xfId="40" builtinId="32" customBuiltin="1"/>
    <cellStyle name="60% - Énfasis1 2" xfId="187" xr:uid="{00000000-0005-0000-0000-0000B7000000}"/>
    <cellStyle name="60% - Énfasis1 3" xfId="715" xr:uid="{00000000-0005-0000-0000-0000B8000000}"/>
    <cellStyle name="60% - Énfasis1 4" xfId="186" xr:uid="{00000000-0005-0000-0000-0000B9000000}"/>
    <cellStyle name="60% - Énfasis2" xfId="44" builtinId="36" customBuiltin="1"/>
    <cellStyle name="60% - Énfasis2 2" xfId="189" xr:uid="{00000000-0005-0000-0000-0000BA000000}"/>
    <cellStyle name="60% - Énfasis2 3" xfId="719" xr:uid="{00000000-0005-0000-0000-0000BB000000}"/>
    <cellStyle name="60% - Énfasis2 4" xfId="188" xr:uid="{00000000-0005-0000-0000-0000BC000000}"/>
    <cellStyle name="60% - Énfasis3" xfId="48" builtinId="40" customBuiltin="1"/>
    <cellStyle name="60% - Énfasis3 2" xfId="191" xr:uid="{00000000-0005-0000-0000-0000BD000000}"/>
    <cellStyle name="60% - Énfasis3 3" xfId="723" xr:uid="{00000000-0005-0000-0000-0000BE000000}"/>
    <cellStyle name="60% - Énfasis3 4" xfId="190" xr:uid="{00000000-0005-0000-0000-0000BF000000}"/>
    <cellStyle name="60% - Énfasis4" xfId="52" builtinId="44" customBuiltin="1"/>
    <cellStyle name="60% - Énfasis4 2" xfId="193" xr:uid="{00000000-0005-0000-0000-0000C0000000}"/>
    <cellStyle name="60% - Énfasis4 3" xfId="727" xr:uid="{00000000-0005-0000-0000-0000C1000000}"/>
    <cellStyle name="60% - Énfasis4 4" xfId="192" xr:uid="{00000000-0005-0000-0000-0000C2000000}"/>
    <cellStyle name="60% - Énfasis5" xfId="56" builtinId="48" customBuiltin="1"/>
    <cellStyle name="60% - Énfasis5 2" xfId="195" xr:uid="{00000000-0005-0000-0000-0000C3000000}"/>
    <cellStyle name="60% - Énfasis5 3" xfId="731" xr:uid="{00000000-0005-0000-0000-0000C4000000}"/>
    <cellStyle name="60% - Énfasis5 4" xfId="194" xr:uid="{00000000-0005-0000-0000-0000C5000000}"/>
    <cellStyle name="60% - Énfasis6" xfId="60" builtinId="52" customBuiltin="1"/>
    <cellStyle name="60% - Énfasis6 2" xfId="197" xr:uid="{00000000-0005-0000-0000-0000C6000000}"/>
    <cellStyle name="60% - Énfasis6 3" xfId="735" xr:uid="{00000000-0005-0000-0000-0000C7000000}"/>
    <cellStyle name="60% - Énfasis6 4" xfId="196" xr:uid="{00000000-0005-0000-0000-0000C8000000}"/>
    <cellStyle name="Accent1 2" xfId="198" xr:uid="{00000000-0005-0000-0000-0000C9000000}"/>
    <cellStyle name="Accent1 2 2" xfId="199" xr:uid="{00000000-0005-0000-0000-0000CA000000}"/>
    <cellStyle name="Accent1 2 3" xfId="200" xr:uid="{00000000-0005-0000-0000-0000CB000000}"/>
    <cellStyle name="Accent2 2" xfId="201" xr:uid="{00000000-0005-0000-0000-0000CC000000}"/>
    <cellStyle name="Accent2 2 2" xfId="202" xr:uid="{00000000-0005-0000-0000-0000CD000000}"/>
    <cellStyle name="Accent2 2 3" xfId="203" xr:uid="{00000000-0005-0000-0000-0000CE000000}"/>
    <cellStyle name="Accent3 2" xfId="204" xr:uid="{00000000-0005-0000-0000-0000CF000000}"/>
    <cellStyle name="Accent3 2 2" xfId="205" xr:uid="{00000000-0005-0000-0000-0000D0000000}"/>
    <cellStyle name="Accent3 2 3" xfId="206" xr:uid="{00000000-0005-0000-0000-0000D1000000}"/>
    <cellStyle name="Accent4 2" xfId="207" xr:uid="{00000000-0005-0000-0000-0000D2000000}"/>
    <cellStyle name="Accent4 2 2" xfId="208" xr:uid="{00000000-0005-0000-0000-0000D3000000}"/>
    <cellStyle name="Accent4 2 3" xfId="209" xr:uid="{00000000-0005-0000-0000-0000D4000000}"/>
    <cellStyle name="Accent5 2" xfId="210" xr:uid="{00000000-0005-0000-0000-0000D5000000}"/>
    <cellStyle name="Accent5 2 2" xfId="211" xr:uid="{00000000-0005-0000-0000-0000D6000000}"/>
    <cellStyle name="Accent5 2 3" xfId="212" xr:uid="{00000000-0005-0000-0000-0000D7000000}"/>
    <cellStyle name="Accent6 2" xfId="213" xr:uid="{00000000-0005-0000-0000-0000D8000000}"/>
    <cellStyle name="Accent6 2 2" xfId="214" xr:uid="{00000000-0005-0000-0000-0000D9000000}"/>
    <cellStyle name="Accent6 2 3" xfId="215" xr:uid="{00000000-0005-0000-0000-0000DA000000}"/>
    <cellStyle name="Account" xfId="216" xr:uid="{00000000-0005-0000-0000-0000DB000000}"/>
    <cellStyle name="Acctg" xfId="217" xr:uid="{00000000-0005-0000-0000-0000DC000000}"/>
    <cellStyle name="Acctg$" xfId="218" xr:uid="{00000000-0005-0000-0000-0000DD000000}"/>
    <cellStyle name="Acctg_comps" xfId="219" xr:uid="{00000000-0005-0000-0000-0000DE000000}"/>
    <cellStyle name="Acquisition" xfId="220" xr:uid="{00000000-0005-0000-0000-0000DF000000}"/>
    <cellStyle name="ANCLAS,REZONES Y SUS PARTES,DE FUNDICION,DE HIERRO O DE ACERO" xfId="221" xr:uid="{00000000-0005-0000-0000-0000E0000000}"/>
    <cellStyle name="axlcolour" xfId="222" xr:uid="{00000000-0005-0000-0000-0000E1000000}"/>
    <cellStyle name="Bad 2" xfId="223" xr:uid="{00000000-0005-0000-0000-0000E2000000}"/>
    <cellStyle name="Bad 2 2" xfId="224" xr:uid="{00000000-0005-0000-0000-0000E3000000}"/>
    <cellStyle name="Bad 2 3" xfId="225" xr:uid="{00000000-0005-0000-0000-0000E4000000}"/>
    <cellStyle name="Blue" xfId="226" xr:uid="{00000000-0005-0000-0000-0000E5000000}"/>
    <cellStyle name="blue font" xfId="227" xr:uid="{00000000-0005-0000-0000-0000E6000000}"/>
    <cellStyle name="Border" xfId="228" xr:uid="{00000000-0005-0000-0000-0000E7000000}"/>
    <cellStyle name="Border 2" xfId="827" xr:uid="{00000000-0005-0000-0000-0000E8000000}"/>
    <cellStyle name="Border 2 2" xfId="1376" xr:uid="{00000000-0005-0000-0000-0000E9000000}"/>
    <cellStyle name="Border 2 2 2" xfId="2093" xr:uid="{00000000-0005-0000-0000-0000EA000000}"/>
    <cellStyle name="Border 2 2 3" xfId="2707" xr:uid="{00000000-0005-0000-0000-0000EB000000}"/>
    <cellStyle name="Border 2 2 4" xfId="3251" xr:uid="{00000000-0005-0000-0000-0000EC000000}"/>
    <cellStyle name="Border 2 3" xfId="1030" xr:uid="{00000000-0005-0000-0000-0000ED000000}"/>
    <cellStyle name="Border 2 3 2" xfId="1899" xr:uid="{00000000-0005-0000-0000-0000EE000000}"/>
    <cellStyle name="Border 2 3 3" xfId="2522" xr:uid="{00000000-0005-0000-0000-0000EF000000}"/>
    <cellStyle name="Border 2 3 4" xfId="3073" xr:uid="{00000000-0005-0000-0000-0000F0000000}"/>
    <cellStyle name="Border 2 4" xfId="1549" xr:uid="{00000000-0005-0000-0000-0000F1000000}"/>
    <cellStyle name="Border 2 4 2" xfId="2228" xr:uid="{00000000-0005-0000-0000-0000F2000000}"/>
    <cellStyle name="Border 2 4 3" xfId="2836" xr:uid="{00000000-0005-0000-0000-0000F3000000}"/>
    <cellStyle name="Border 2 4 4" xfId="3376" xr:uid="{00000000-0005-0000-0000-0000F4000000}"/>
    <cellStyle name="Border 2 5" xfId="1550" xr:uid="{00000000-0005-0000-0000-0000F5000000}"/>
    <cellStyle name="Border 2 5 2" xfId="2229" xr:uid="{00000000-0005-0000-0000-0000F6000000}"/>
    <cellStyle name="Border 2 5 3" xfId="2837" xr:uid="{00000000-0005-0000-0000-0000F7000000}"/>
    <cellStyle name="Border 2 5 4" xfId="3377" xr:uid="{00000000-0005-0000-0000-0000F8000000}"/>
    <cellStyle name="Border 2 6" xfId="1809" xr:uid="{00000000-0005-0000-0000-0000F9000000}"/>
    <cellStyle name="Border 2 6 2" xfId="2446" xr:uid="{00000000-0005-0000-0000-0000FA000000}"/>
    <cellStyle name="Border 2 6 3" xfId="3001" xr:uid="{00000000-0005-0000-0000-0000FB000000}"/>
    <cellStyle name="Border 2 7" xfId="1677" xr:uid="{00000000-0005-0000-0000-0000FC000000}"/>
    <cellStyle name="Border 3" xfId="871" xr:uid="{00000000-0005-0000-0000-0000FD000000}"/>
    <cellStyle name="Border 3 10" xfId="1247" xr:uid="{00000000-0005-0000-0000-0000FE000000}"/>
    <cellStyle name="Border 3 2" xfId="1403" xr:uid="{00000000-0005-0000-0000-0000FF000000}"/>
    <cellStyle name="Border 3 2 2" xfId="2117" xr:uid="{00000000-0005-0000-0000-000000010000}"/>
    <cellStyle name="Border 3 2 3" xfId="2730" xr:uid="{00000000-0005-0000-0000-000001010000}"/>
    <cellStyle name="Border 3 2 4" xfId="3273" xr:uid="{00000000-0005-0000-0000-000002010000}"/>
    <cellStyle name="Border 3 3" xfId="1490" xr:uid="{00000000-0005-0000-0000-000003010000}"/>
    <cellStyle name="Border 3 3 2" xfId="2178" xr:uid="{00000000-0005-0000-0000-000004010000}"/>
    <cellStyle name="Border 3 3 3" xfId="2788" xr:uid="{00000000-0005-0000-0000-000005010000}"/>
    <cellStyle name="Border 3 3 4" xfId="3329" xr:uid="{00000000-0005-0000-0000-000006010000}"/>
    <cellStyle name="Border 3 4" xfId="1034" xr:uid="{00000000-0005-0000-0000-000007010000}"/>
    <cellStyle name="Border 3 4 2" xfId="1902" xr:uid="{00000000-0005-0000-0000-000008010000}"/>
    <cellStyle name="Border 3 4 3" xfId="2525" xr:uid="{00000000-0005-0000-0000-000009010000}"/>
    <cellStyle name="Border 3 4 4" xfId="3074" xr:uid="{00000000-0005-0000-0000-00000A010000}"/>
    <cellStyle name="Border 3 5" xfId="1074" xr:uid="{00000000-0005-0000-0000-00000B010000}"/>
    <cellStyle name="Border 3 5 2" xfId="1920" xr:uid="{00000000-0005-0000-0000-00000C010000}"/>
    <cellStyle name="Border 3 5 3" xfId="2540" xr:uid="{00000000-0005-0000-0000-00000D010000}"/>
    <cellStyle name="Border 3 5 4" xfId="3088" xr:uid="{00000000-0005-0000-0000-00000E010000}"/>
    <cellStyle name="Border 3 6" xfId="1834" xr:uid="{00000000-0005-0000-0000-00000F010000}"/>
    <cellStyle name="Border 3 6 2" xfId="2464" xr:uid="{00000000-0005-0000-0000-000010010000}"/>
    <cellStyle name="Border 3 6 3" xfId="3018" xr:uid="{00000000-0005-0000-0000-000011010000}"/>
    <cellStyle name="Border 3 7" xfId="2300" xr:uid="{00000000-0005-0000-0000-000012010000}"/>
    <cellStyle name="Border 3 7 2" xfId="2902" xr:uid="{00000000-0005-0000-0000-000013010000}"/>
    <cellStyle name="Border 3 7 3" xfId="3439" xr:uid="{00000000-0005-0000-0000-000014010000}"/>
    <cellStyle name="Border 3 8" xfId="1229" xr:uid="{00000000-0005-0000-0000-000015010000}"/>
    <cellStyle name="Border 3 9" xfId="1494" xr:uid="{00000000-0005-0000-0000-000016010000}"/>
    <cellStyle name="Border 4" xfId="774" xr:uid="{00000000-0005-0000-0000-000017010000}"/>
    <cellStyle name="Border 4 2" xfId="1345" xr:uid="{00000000-0005-0000-0000-000018010000}"/>
    <cellStyle name="Border 4 2 2" xfId="2067" xr:uid="{00000000-0005-0000-0000-000019010000}"/>
    <cellStyle name="Border 4 2 3" xfId="2682" xr:uid="{00000000-0005-0000-0000-00001A010000}"/>
    <cellStyle name="Border 4 2 4" xfId="3226" xr:uid="{00000000-0005-0000-0000-00001B010000}"/>
    <cellStyle name="Border 4 3" xfId="1474" xr:uid="{00000000-0005-0000-0000-00001C010000}"/>
    <cellStyle name="Border 4 3 2" xfId="2170" xr:uid="{00000000-0005-0000-0000-00001D010000}"/>
    <cellStyle name="Border 4 3 3" xfId="2780" xr:uid="{00000000-0005-0000-0000-00001E010000}"/>
    <cellStyle name="Border 4 3 4" xfId="3322" xr:uid="{00000000-0005-0000-0000-00001F010000}"/>
    <cellStyle name="Border 4 4" xfId="1459" xr:uid="{00000000-0005-0000-0000-000020010000}"/>
    <cellStyle name="Border 4 4 2" xfId="2164" xr:uid="{00000000-0005-0000-0000-000021010000}"/>
    <cellStyle name="Border 4 4 3" xfId="2775" xr:uid="{00000000-0005-0000-0000-000022010000}"/>
    <cellStyle name="Border 4 4 4" xfId="3317" xr:uid="{00000000-0005-0000-0000-000023010000}"/>
    <cellStyle name="Border 4 5" xfId="1602" xr:uid="{00000000-0005-0000-0000-000024010000}"/>
    <cellStyle name="Border 4 5 2" xfId="2260" xr:uid="{00000000-0005-0000-0000-000025010000}"/>
    <cellStyle name="Border 4 5 3" xfId="2865" xr:uid="{00000000-0005-0000-0000-000026010000}"/>
    <cellStyle name="Border 4 5 4" xfId="3404" xr:uid="{00000000-0005-0000-0000-000027010000}"/>
    <cellStyle name="Border 4 6" xfId="1793" xr:uid="{00000000-0005-0000-0000-000028010000}"/>
    <cellStyle name="Border 4 6 2" xfId="2431" xr:uid="{00000000-0005-0000-0000-000029010000}"/>
    <cellStyle name="Border 4 6 3" xfId="2987" xr:uid="{00000000-0005-0000-0000-00002A010000}"/>
    <cellStyle name="Border 4 7" xfId="1114" xr:uid="{00000000-0005-0000-0000-00002B010000}"/>
    <cellStyle name="Border 5" xfId="1738" xr:uid="{00000000-0005-0000-0000-00002C010000}"/>
    <cellStyle name="Border 5 2" xfId="2386" xr:uid="{00000000-0005-0000-0000-00002D010000}"/>
    <cellStyle name="Border 5 3" xfId="2943" xr:uid="{00000000-0005-0000-0000-00002E010000}"/>
    <cellStyle name="Bottom Edge" xfId="229" xr:uid="{00000000-0005-0000-0000-00002F010000}"/>
    <cellStyle name="Bottom Edge 2" xfId="828" xr:uid="{00000000-0005-0000-0000-000030010000}"/>
    <cellStyle name="Bottom Edge 2 2" xfId="1377" xr:uid="{00000000-0005-0000-0000-000031010000}"/>
    <cellStyle name="Bottom Edge 2 2 2" xfId="2094" xr:uid="{00000000-0005-0000-0000-000032010000}"/>
    <cellStyle name="Bottom Edge 2 2 3" xfId="2708" xr:uid="{00000000-0005-0000-0000-000033010000}"/>
    <cellStyle name="Bottom Edge 2 2 4" xfId="3252" xr:uid="{00000000-0005-0000-0000-000034010000}"/>
    <cellStyle name="Bottom Edge 2 3" xfId="1368" xr:uid="{00000000-0005-0000-0000-000035010000}"/>
    <cellStyle name="Bottom Edge 2 3 2" xfId="2087" xr:uid="{00000000-0005-0000-0000-000036010000}"/>
    <cellStyle name="Bottom Edge 2 3 3" xfId="2701" xr:uid="{00000000-0005-0000-0000-000037010000}"/>
    <cellStyle name="Bottom Edge 2 3 4" xfId="3245" xr:uid="{00000000-0005-0000-0000-000038010000}"/>
    <cellStyle name="Bottom Edge 2 4" xfId="1375" xr:uid="{00000000-0005-0000-0000-000039010000}"/>
    <cellStyle name="Bottom Edge 2 4 2" xfId="2092" xr:uid="{00000000-0005-0000-0000-00003A010000}"/>
    <cellStyle name="Bottom Edge 2 4 3" xfId="2706" xr:uid="{00000000-0005-0000-0000-00003B010000}"/>
    <cellStyle name="Bottom Edge 2 4 4" xfId="3250" xr:uid="{00000000-0005-0000-0000-00003C010000}"/>
    <cellStyle name="Bottom Edge 2 5" xfId="1810" xr:uid="{00000000-0005-0000-0000-00003D010000}"/>
    <cellStyle name="Bottom Edge 2 5 2" xfId="2447" xr:uid="{00000000-0005-0000-0000-00003E010000}"/>
    <cellStyle name="Bottom Edge 2 5 3" xfId="3002" xr:uid="{00000000-0005-0000-0000-00003F010000}"/>
    <cellStyle name="Bottom Edge 2 6" xfId="1736" xr:uid="{00000000-0005-0000-0000-000040010000}"/>
    <cellStyle name="Bottom Edge 2 6 2" xfId="2384" xr:uid="{00000000-0005-0000-0000-000041010000}"/>
    <cellStyle name="Bottom Edge 2 6 3" xfId="2942" xr:uid="{00000000-0005-0000-0000-000042010000}"/>
    <cellStyle name="Bottom Edge 2 7" xfId="1230" xr:uid="{00000000-0005-0000-0000-000043010000}"/>
    <cellStyle name="Bottom Edge 2 8" xfId="1717" xr:uid="{00000000-0005-0000-0000-000044010000}"/>
    <cellStyle name="Bottom Edge 2 9" xfId="2373" xr:uid="{00000000-0005-0000-0000-000045010000}"/>
    <cellStyle name="Bottom Edge 3" xfId="1082" xr:uid="{00000000-0005-0000-0000-000046010000}"/>
    <cellStyle name="Bottom Edge 3 2" xfId="1925" xr:uid="{00000000-0005-0000-0000-000047010000}"/>
    <cellStyle name="Bottom Edge 3 3" xfId="2545" xr:uid="{00000000-0005-0000-0000-000048010000}"/>
    <cellStyle name="Bottom Edge 3 4" xfId="3093" xr:uid="{00000000-0005-0000-0000-000049010000}"/>
    <cellStyle name="Bottom Edge 4" xfId="1206" xr:uid="{00000000-0005-0000-0000-00004A010000}"/>
    <cellStyle name="Bottom Edge 4 2" xfId="1991" xr:uid="{00000000-0005-0000-0000-00004B010000}"/>
    <cellStyle name="Bottom Edge 4 3" xfId="2608" xr:uid="{00000000-0005-0000-0000-00004C010000}"/>
    <cellStyle name="Bottom Edge 4 4" xfId="3153" xr:uid="{00000000-0005-0000-0000-00004D010000}"/>
    <cellStyle name="Bottom Edge 5" xfId="1134" xr:uid="{00000000-0005-0000-0000-00004E010000}"/>
    <cellStyle name="Bottom Edge 5 2" xfId="1959" xr:uid="{00000000-0005-0000-0000-00004F010000}"/>
    <cellStyle name="Bottom Edge 5 3" xfId="2578" xr:uid="{00000000-0005-0000-0000-000050010000}"/>
    <cellStyle name="Bottom Edge 5 4" xfId="3124" xr:uid="{00000000-0005-0000-0000-000051010000}"/>
    <cellStyle name="Bottom Edge 6" xfId="1739" xr:uid="{00000000-0005-0000-0000-000052010000}"/>
    <cellStyle name="Bottom Edge 6 2" xfId="2387" xr:uid="{00000000-0005-0000-0000-000053010000}"/>
    <cellStyle name="Bottom Edge 6 3" xfId="2944" xr:uid="{00000000-0005-0000-0000-000054010000}"/>
    <cellStyle name="Bottom Edge 7" xfId="1556" xr:uid="{00000000-0005-0000-0000-000055010000}"/>
    <cellStyle name="Bottom Edge 8" xfId="1226" xr:uid="{00000000-0005-0000-0000-000056010000}"/>
    <cellStyle name="Bottom Edge 9" xfId="1553" xr:uid="{00000000-0005-0000-0000-000057010000}"/>
    <cellStyle name="Buena 2" xfId="231" xr:uid="{00000000-0005-0000-0000-000058010000}"/>
    <cellStyle name="Buena 3" xfId="702" xr:uid="{00000000-0005-0000-0000-000059010000}"/>
    <cellStyle name="Buena 4" xfId="230" xr:uid="{00000000-0005-0000-0000-00005A010000}"/>
    <cellStyle name="Bueno" xfId="25" builtinId="26" customBuiltin="1"/>
    <cellStyle name="Calc Currency (0)" xfId="232" xr:uid="{00000000-0005-0000-0000-00005B010000}"/>
    <cellStyle name="Calculation 2" xfId="233" xr:uid="{00000000-0005-0000-0000-00005C010000}"/>
    <cellStyle name="Calculation 2 2" xfId="234" xr:uid="{00000000-0005-0000-0000-00005D010000}"/>
    <cellStyle name="Calculation 2 3" xfId="235" xr:uid="{00000000-0005-0000-0000-00005E010000}"/>
    <cellStyle name="Calculation 2 3 10" xfId="1552" xr:uid="{00000000-0005-0000-0000-00005F010000}"/>
    <cellStyle name="Calculation 2 3 2" xfId="829" xr:uid="{00000000-0005-0000-0000-000060010000}"/>
    <cellStyle name="Calculation 2 3 2 10" xfId="1712" xr:uid="{00000000-0005-0000-0000-000061010000}"/>
    <cellStyle name="Calculation 2 3 2 2" xfId="1378" xr:uid="{00000000-0005-0000-0000-000062010000}"/>
    <cellStyle name="Calculation 2 3 2 2 2" xfId="2095" xr:uid="{00000000-0005-0000-0000-000063010000}"/>
    <cellStyle name="Calculation 2 3 2 2 3" xfId="2709" xr:uid="{00000000-0005-0000-0000-000064010000}"/>
    <cellStyle name="Calculation 2 3 2 2 4" xfId="3253" xr:uid="{00000000-0005-0000-0000-000065010000}"/>
    <cellStyle name="Calculation 2 3 2 3" xfId="1029" xr:uid="{00000000-0005-0000-0000-000066010000}"/>
    <cellStyle name="Calculation 2 3 2 3 2" xfId="1898" xr:uid="{00000000-0005-0000-0000-000067010000}"/>
    <cellStyle name="Calculation 2 3 2 3 3" xfId="2521" xr:uid="{00000000-0005-0000-0000-000068010000}"/>
    <cellStyle name="Calculation 2 3 2 3 4" xfId="3072" xr:uid="{00000000-0005-0000-0000-000069010000}"/>
    <cellStyle name="Calculation 2 3 2 4" xfId="1542" xr:uid="{00000000-0005-0000-0000-00006A010000}"/>
    <cellStyle name="Calculation 2 3 2 4 2" xfId="2223" xr:uid="{00000000-0005-0000-0000-00006B010000}"/>
    <cellStyle name="Calculation 2 3 2 4 3" xfId="2831" xr:uid="{00000000-0005-0000-0000-00006C010000}"/>
    <cellStyle name="Calculation 2 3 2 4 4" xfId="3371" xr:uid="{00000000-0005-0000-0000-00006D010000}"/>
    <cellStyle name="Calculation 2 3 2 5" xfId="1223" xr:uid="{00000000-0005-0000-0000-00006E010000}"/>
    <cellStyle name="Calculation 2 3 2 5 2" xfId="1997" xr:uid="{00000000-0005-0000-0000-00006F010000}"/>
    <cellStyle name="Calculation 2 3 2 5 3" xfId="2614" xr:uid="{00000000-0005-0000-0000-000070010000}"/>
    <cellStyle name="Calculation 2 3 2 5 4" xfId="3159" xr:uid="{00000000-0005-0000-0000-000071010000}"/>
    <cellStyle name="Calculation 2 3 2 6" xfId="1811" xr:uid="{00000000-0005-0000-0000-000072010000}"/>
    <cellStyle name="Calculation 2 3 2 6 2" xfId="2448" xr:uid="{00000000-0005-0000-0000-000073010000}"/>
    <cellStyle name="Calculation 2 3 2 6 3" xfId="3003" xr:uid="{00000000-0005-0000-0000-000074010000}"/>
    <cellStyle name="Calculation 2 3 2 7" xfId="1808" xr:uid="{00000000-0005-0000-0000-000075010000}"/>
    <cellStyle name="Calculation 2 3 2 7 2" xfId="2445" xr:uid="{00000000-0005-0000-0000-000076010000}"/>
    <cellStyle name="Calculation 2 3 2 7 3" xfId="3000" xr:uid="{00000000-0005-0000-0000-000077010000}"/>
    <cellStyle name="Calculation 2 3 2 8" xfId="1670" xr:uid="{00000000-0005-0000-0000-000078010000}"/>
    <cellStyle name="Calculation 2 3 2 9" xfId="1678" xr:uid="{00000000-0005-0000-0000-000079010000}"/>
    <cellStyle name="Calculation 2 3 3" xfId="775" xr:uid="{00000000-0005-0000-0000-00007A010000}"/>
    <cellStyle name="Calculation 2 3 3 2" xfId="1346" xr:uid="{00000000-0005-0000-0000-00007B010000}"/>
    <cellStyle name="Calculation 2 3 3 2 2" xfId="2068" xr:uid="{00000000-0005-0000-0000-00007C010000}"/>
    <cellStyle name="Calculation 2 3 3 2 3" xfId="2683" xr:uid="{00000000-0005-0000-0000-00007D010000}"/>
    <cellStyle name="Calculation 2 3 3 2 4" xfId="3227" xr:uid="{00000000-0005-0000-0000-00007E010000}"/>
    <cellStyle name="Calculation 2 3 3 3" xfId="1342" xr:uid="{00000000-0005-0000-0000-00007F010000}"/>
    <cellStyle name="Calculation 2 3 3 3 2" xfId="2064" xr:uid="{00000000-0005-0000-0000-000080010000}"/>
    <cellStyle name="Calculation 2 3 3 3 3" xfId="2679" xr:uid="{00000000-0005-0000-0000-000081010000}"/>
    <cellStyle name="Calculation 2 3 3 3 4" xfId="3223" xr:uid="{00000000-0005-0000-0000-000082010000}"/>
    <cellStyle name="Calculation 2 3 3 4" xfId="1538" xr:uid="{00000000-0005-0000-0000-000083010000}"/>
    <cellStyle name="Calculation 2 3 3 4 2" xfId="2219" xr:uid="{00000000-0005-0000-0000-000084010000}"/>
    <cellStyle name="Calculation 2 3 3 4 3" xfId="2827" xr:uid="{00000000-0005-0000-0000-000085010000}"/>
    <cellStyle name="Calculation 2 3 3 4 4" xfId="3368" xr:uid="{00000000-0005-0000-0000-000086010000}"/>
    <cellStyle name="Calculation 2 3 3 5" xfId="1217" xr:uid="{00000000-0005-0000-0000-000087010000}"/>
    <cellStyle name="Calculation 2 3 3 5 2" xfId="1995" xr:uid="{00000000-0005-0000-0000-000088010000}"/>
    <cellStyle name="Calculation 2 3 3 5 3" xfId="2612" xr:uid="{00000000-0005-0000-0000-000089010000}"/>
    <cellStyle name="Calculation 2 3 3 5 4" xfId="3157" xr:uid="{00000000-0005-0000-0000-00008A010000}"/>
    <cellStyle name="Calculation 2 3 3 6" xfId="1794" xr:uid="{00000000-0005-0000-0000-00008B010000}"/>
    <cellStyle name="Calculation 2 3 3 6 2" xfId="2432" xr:uid="{00000000-0005-0000-0000-00008C010000}"/>
    <cellStyle name="Calculation 2 3 3 6 3" xfId="2988" xr:uid="{00000000-0005-0000-0000-00008D010000}"/>
    <cellStyle name="Calculation 2 3 3 7" xfId="1667" xr:uid="{00000000-0005-0000-0000-00008E010000}"/>
    <cellStyle name="Calculation 2 3 3 8" xfId="1316" xr:uid="{00000000-0005-0000-0000-00008F010000}"/>
    <cellStyle name="Calculation 2 3 3 9" xfId="1222" xr:uid="{00000000-0005-0000-0000-000090010000}"/>
    <cellStyle name="Calculation 2 3 4" xfId="1088" xr:uid="{00000000-0005-0000-0000-000091010000}"/>
    <cellStyle name="Calculation 2 3 4 2" xfId="1931" xr:uid="{00000000-0005-0000-0000-000092010000}"/>
    <cellStyle name="Calculation 2 3 4 3" xfId="2551" xr:uid="{00000000-0005-0000-0000-000093010000}"/>
    <cellStyle name="Calculation 2 3 4 4" xfId="3099" xr:uid="{00000000-0005-0000-0000-000094010000}"/>
    <cellStyle name="Calculation 2 3 5" xfId="1301" xr:uid="{00000000-0005-0000-0000-000095010000}"/>
    <cellStyle name="Calculation 2 3 5 2" xfId="2044" xr:uid="{00000000-0005-0000-0000-000096010000}"/>
    <cellStyle name="Calculation 2 3 5 3" xfId="2659" xr:uid="{00000000-0005-0000-0000-000097010000}"/>
    <cellStyle name="Calculation 2 3 5 4" xfId="3204" xr:uid="{00000000-0005-0000-0000-000098010000}"/>
    <cellStyle name="Calculation 2 3 6" xfId="1136" xr:uid="{00000000-0005-0000-0000-000099010000}"/>
    <cellStyle name="Calculation 2 3 6 2" xfId="1960" xr:uid="{00000000-0005-0000-0000-00009A010000}"/>
    <cellStyle name="Calculation 2 3 6 3" xfId="2579" xr:uid="{00000000-0005-0000-0000-00009B010000}"/>
    <cellStyle name="Calculation 2 3 6 4" xfId="3125" xr:uid="{00000000-0005-0000-0000-00009C010000}"/>
    <cellStyle name="Calculation 2 3 7" xfId="1740" xr:uid="{00000000-0005-0000-0000-00009D010000}"/>
    <cellStyle name="Calculation 2 3 7 2" xfId="2388" xr:uid="{00000000-0005-0000-0000-00009E010000}"/>
    <cellStyle name="Calculation 2 3 7 3" xfId="2945" xr:uid="{00000000-0005-0000-0000-00009F010000}"/>
    <cellStyle name="Calculation 2 3 8" xfId="1207" xr:uid="{00000000-0005-0000-0000-0000A0010000}"/>
    <cellStyle name="Calculation 2 3 9" xfId="1059" xr:uid="{00000000-0005-0000-0000-0000A1010000}"/>
    <cellStyle name="Cálculo" xfId="30" builtinId="22" customBuiltin="1"/>
    <cellStyle name="Cálculo 2" xfId="237" xr:uid="{00000000-0005-0000-0000-0000A2010000}"/>
    <cellStyle name="Cálculo 2 10" xfId="1592" xr:uid="{00000000-0005-0000-0000-0000A3010000}"/>
    <cellStyle name="Cálculo 2 2" xfId="831" xr:uid="{00000000-0005-0000-0000-0000A4010000}"/>
    <cellStyle name="Cálculo 2 2 10" xfId="1471" xr:uid="{00000000-0005-0000-0000-0000A5010000}"/>
    <cellStyle name="Cálculo 2 2 2" xfId="1380" xr:uid="{00000000-0005-0000-0000-0000A6010000}"/>
    <cellStyle name="Cálculo 2 2 2 2" xfId="2097" xr:uid="{00000000-0005-0000-0000-0000A7010000}"/>
    <cellStyle name="Cálculo 2 2 2 3" xfId="2711" xr:uid="{00000000-0005-0000-0000-0000A8010000}"/>
    <cellStyle name="Cálculo 2 2 2 4" xfId="3255" xr:uid="{00000000-0005-0000-0000-0000A9010000}"/>
    <cellStyle name="Cálculo 2 2 3" xfId="1366" xr:uid="{00000000-0005-0000-0000-0000AA010000}"/>
    <cellStyle name="Cálculo 2 2 3 2" xfId="2085" xr:uid="{00000000-0005-0000-0000-0000AB010000}"/>
    <cellStyle name="Cálculo 2 2 3 3" xfId="2700" xr:uid="{00000000-0005-0000-0000-0000AC010000}"/>
    <cellStyle name="Cálculo 2 2 3 4" xfId="3244" xr:uid="{00000000-0005-0000-0000-0000AD010000}"/>
    <cellStyle name="Cálculo 2 2 4" xfId="1011" xr:uid="{00000000-0005-0000-0000-0000AE010000}"/>
    <cellStyle name="Cálculo 2 2 4 2" xfId="1887" xr:uid="{00000000-0005-0000-0000-0000AF010000}"/>
    <cellStyle name="Cálculo 2 2 4 3" xfId="2511" xr:uid="{00000000-0005-0000-0000-0000B0010000}"/>
    <cellStyle name="Cálculo 2 2 4 4" xfId="3064" xr:uid="{00000000-0005-0000-0000-0000B1010000}"/>
    <cellStyle name="Cálculo 2 2 5" xfId="1104" xr:uid="{00000000-0005-0000-0000-0000B2010000}"/>
    <cellStyle name="Cálculo 2 2 5 2" xfId="1945" xr:uid="{00000000-0005-0000-0000-0000B3010000}"/>
    <cellStyle name="Cálculo 2 2 5 3" xfId="2564" xr:uid="{00000000-0005-0000-0000-0000B4010000}"/>
    <cellStyle name="Cálculo 2 2 5 4" xfId="3112" xr:uid="{00000000-0005-0000-0000-0000B5010000}"/>
    <cellStyle name="Cálculo 2 2 6" xfId="1813" xr:uid="{00000000-0005-0000-0000-0000B6010000}"/>
    <cellStyle name="Cálculo 2 2 6 2" xfId="2450" xr:uid="{00000000-0005-0000-0000-0000B7010000}"/>
    <cellStyle name="Cálculo 2 2 6 3" xfId="3005" xr:uid="{00000000-0005-0000-0000-0000B8010000}"/>
    <cellStyle name="Cálculo 2 2 7" xfId="1734" xr:uid="{00000000-0005-0000-0000-0000B9010000}"/>
    <cellStyle name="Cálculo 2 2 7 2" xfId="2382" xr:uid="{00000000-0005-0000-0000-0000BA010000}"/>
    <cellStyle name="Cálculo 2 2 7 3" xfId="2940" xr:uid="{00000000-0005-0000-0000-0000BB010000}"/>
    <cellStyle name="Cálculo 2 2 8" xfId="1664" xr:uid="{00000000-0005-0000-0000-0000BC010000}"/>
    <cellStyle name="Cálculo 2 2 9" xfId="1186" xr:uid="{00000000-0005-0000-0000-0000BD010000}"/>
    <cellStyle name="Cálculo 2 3" xfId="777" xr:uid="{00000000-0005-0000-0000-0000BE010000}"/>
    <cellStyle name="Cálculo 2 3 2" xfId="1348" xr:uid="{00000000-0005-0000-0000-0000BF010000}"/>
    <cellStyle name="Cálculo 2 3 2 2" xfId="2070" xr:uid="{00000000-0005-0000-0000-0000C0010000}"/>
    <cellStyle name="Cálculo 2 3 2 3" xfId="2685" xr:uid="{00000000-0005-0000-0000-0000C1010000}"/>
    <cellStyle name="Cálculo 2 3 2 4" xfId="3229" xr:uid="{00000000-0005-0000-0000-0000C2010000}"/>
    <cellStyle name="Cálculo 2 3 3" xfId="1330" xr:uid="{00000000-0005-0000-0000-0000C3010000}"/>
    <cellStyle name="Cálculo 2 3 3 2" xfId="2058" xr:uid="{00000000-0005-0000-0000-0000C4010000}"/>
    <cellStyle name="Cálculo 2 3 3 3" xfId="2674" xr:uid="{00000000-0005-0000-0000-0000C5010000}"/>
    <cellStyle name="Cálculo 2 3 3 4" xfId="3218" xr:uid="{00000000-0005-0000-0000-0000C6010000}"/>
    <cellStyle name="Cálculo 2 3 4" xfId="1234" xr:uid="{00000000-0005-0000-0000-0000C7010000}"/>
    <cellStyle name="Cálculo 2 3 4 2" xfId="1999" xr:uid="{00000000-0005-0000-0000-0000C8010000}"/>
    <cellStyle name="Cálculo 2 3 4 3" xfId="2616" xr:uid="{00000000-0005-0000-0000-0000C9010000}"/>
    <cellStyle name="Cálculo 2 3 4 4" xfId="3161" xr:uid="{00000000-0005-0000-0000-0000CA010000}"/>
    <cellStyle name="Cálculo 2 3 5" xfId="1560" xr:uid="{00000000-0005-0000-0000-0000CB010000}"/>
    <cellStyle name="Cálculo 2 3 5 2" xfId="2231" xr:uid="{00000000-0005-0000-0000-0000CC010000}"/>
    <cellStyle name="Cálculo 2 3 5 3" xfId="2839" xr:uid="{00000000-0005-0000-0000-0000CD010000}"/>
    <cellStyle name="Cálculo 2 3 5 4" xfId="3379" xr:uid="{00000000-0005-0000-0000-0000CE010000}"/>
    <cellStyle name="Cálculo 2 3 6" xfId="1796" xr:uid="{00000000-0005-0000-0000-0000CF010000}"/>
    <cellStyle name="Cálculo 2 3 6 2" xfId="2434" xr:uid="{00000000-0005-0000-0000-0000D0010000}"/>
    <cellStyle name="Cálculo 2 3 6 3" xfId="2990" xr:uid="{00000000-0005-0000-0000-0000D1010000}"/>
    <cellStyle name="Cálculo 2 3 7" xfId="1662" xr:uid="{00000000-0005-0000-0000-0000D2010000}"/>
    <cellStyle name="Cálculo 2 3 8" xfId="1123" xr:uid="{00000000-0005-0000-0000-0000D3010000}"/>
    <cellStyle name="Cálculo 2 3 9" xfId="1322" xr:uid="{00000000-0005-0000-0000-0000D4010000}"/>
    <cellStyle name="Cálculo 2 4" xfId="1090" xr:uid="{00000000-0005-0000-0000-0000D5010000}"/>
    <cellStyle name="Cálculo 2 4 2" xfId="1933" xr:uid="{00000000-0005-0000-0000-0000D6010000}"/>
    <cellStyle name="Cálculo 2 4 3" xfId="2553" xr:uid="{00000000-0005-0000-0000-0000D7010000}"/>
    <cellStyle name="Cálculo 2 4 4" xfId="3101" xr:uid="{00000000-0005-0000-0000-0000D8010000}"/>
    <cellStyle name="Cálculo 2 5" xfId="1205" xr:uid="{00000000-0005-0000-0000-0000D9010000}"/>
    <cellStyle name="Cálculo 2 5 2" xfId="1990" xr:uid="{00000000-0005-0000-0000-0000DA010000}"/>
    <cellStyle name="Cálculo 2 5 3" xfId="2607" xr:uid="{00000000-0005-0000-0000-0000DB010000}"/>
    <cellStyle name="Cálculo 2 5 4" xfId="3152" xr:uid="{00000000-0005-0000-0000-0000DC010000}"/>
    <cellStyle name="Cálculo 2 6" xfId="1138" xr:uid="{00000000-0005-0000-0000-0000DD010000}"/>
    <cellStyle name="Cálculo 2 6 2" xfId="1962" xr:uid="{00000000-0005-0000-0000-0000DE010000}"/>
    <cellStyle name="Cálculo 2 6 3" xfId="2581" xr:uid="{00000000-0005-0000-0000-0000DF010000}"/>
    <cellStyle name="Cálculo 2 6 4" xfId="3127" xr:uid="{00000000-0005-0000-0000-0000E0010000}"/>
    <cellStyle name="Cálculo 2 7" xfId="1742" xr:uid="{00000000-0005-0000-0000-0000E1010000}"/>
    <cellStyle name="Cálculo 2 7 2" xfId="2390" xr:uid="{00000000-0005-0000-0000-0000E2010000}"/>
    <cellStyle name="Cálculo 2 7 3" xfId="2947" xr:uid="{00000000-0005-0000-0000-0000E3010000}"/>
    <cellStyle name="Cálculo 2 8" xfId="1599" xr:uid="{00000000-0005-0000-0000-0000E4010000}"/>
    <cellStyle name="Cálculo 2 9" xfId="1056" xr:uid="{00000000-0005-0000-0000-0000E5010000}"/>
    <cellStyle name="Cálculo 3" xfId="706" xr:uid="{00000000-0005-0000-0000-0000E6010000}"/>
    <cellStyle name="Cálculo 4" xfId="236" xr:uid="{00000000-0005-0000-0000-0000E7010000}"/>
    <cellStyle name="Cálculo 4 2" xfId="830" xr:uid="{00000000-0005-0000-0000-0000E8010000}"/>
    <cellStyle name="Cálculo 4 2 10" xfId="2366" xr:uid="{00000000-0005-0000-0000-0000E9010000}"/>
    <cellStyle name="Cálculo 4 2 2" xfId="1379" xr:uid="{00000000-0005-0000-0000-0000EA010000}"/>
    <cellStyle name="Cálculo 4 2 2 2" xfId="2096" xr:uid="{00000000-0005-0000-0000-0000EB010000}"/>
    <cellStyle name="Cálculo 4 2 2 3" xfId="2710" xr:uid="{00000000-0005-0000-0000-0000EC010000}"/>
    <cellStyle name="Cálculo 4 2 2 4" xfId="3254" xr:uid="{00000000-0005-0000-0000-0000ED010000}"/>
    <cellStyle name="Cálculo 4 2 3" xfId="1028" xr:uid="{00000000-0005-0000-0000-0000EE010000}"/>
    <cellStyle name="Cálculo 4 2 3 2" xfId="1897" xr:uid="{00000000-0005-0000-0000-0000EF010000}"/>
    <cellStyle name="Cálculo 4 2 3 3" xfId="2520" xr:uid="{00000000-0005-0000-0000-0000F0010000}"/>
    <cellStyle name="Cálculo 4 2 3 4" xfId="3071" xr:uid="{00000000-0005-0000-0000-0000F1010000}"/>
    <cellStyle name="Cálculo 4 2 4" xfId="1050" xr:uid="{00000000-0005-0000-0000-0000F2010000}"/>
    <cellStyle name="Cálculo 4 2 4 2" xfId="1910" xr:uid="{00000000-0005-0000-0000-0000F3010000}"/>
    <cellStyle name="Cálculo 4 2 4 3" xfId="2532" xr:uid="{00000000-0005-0000-0000-0000F4010000}"/>
    <cellStyle name="Cálculo 4 2 4 4" xfId="3080" xr:uid="{00000000-0005-0000-0000-0000F5010000}"/>
    <cellStyle name="Cálculo 4 2 5" xfId="1504" xr:uid="{00000000-0005-0000-0000-0000F6010000}"/>
    <cellStyle name="Cálculo 4 2 5 2" xfId="2188" xr:uid="{00000000-0005-0000-0000-0000F7010000}"/>
    <cellStyle name="Cálculo 4 2 5 3" xfId="2797" xr:uid="{00000000-0005-0000-0000-0000F8010000}"/>
    <cellStyle name="Cálculo 4 2 5 4" xfId="3338" xr:uid="{00000000-0005-0000-0000-0000F9010000}"/>
    <cellStyle name="Cálculo 4 2 6" xfId="1812" xr:uid="{00000000-0005-0000-0000-0000FA010000}"/>
    <cellStyle name="Cálculo 4 2 6 2" xfId="2449" xr:uid="{00000000-0005-0000-0000-0000FB010000}"/>
    <cellStyle name="Cálculo 4 2 6 3" xfId="3004" xr:uid="{00000000-0005-0000-0000-0000FC010000}"/>
    <cellStyle name="Cálculo 4 2 7" xfId="1735" xr:uid="{00000000-0005-0000-0000-0000FD010000}"/>
    <cellStyle name="Cálculo 4 2 7 2" xfId="2383" xr:uid="{00000000-0005-0000-0000-0000FE010000}"/>
    <cellStyle name="Cálculo 4 2 7 3" xfId="2941" xr:uid="{00000000-0005-0000-0000-0000FF010000}"/>
    <cellStyle name="Cálculo 4 2 8" xfId="1224" xr:uid="{00000000-0005-0000-0000-000000020000}"/>
    <cellStyle name="Cálculo 4 2 9" xfId="1713" xr:uid="{00000000-0005-0000-0000-000001020000}"/>
    <cellStyle name="Cálculo 4 3" xfId="1089" xr:uid="{00000000-0005-0000-0000-000002020000}"/>
    <cellStyle name="Cálculo 4 3 2" xfId="1932" xr:uid="{00000000-0005-0000-0000-000003020000}"/>
    <cellStyle name="Cálculo 4 3 3" xfId="2552" xr:uid="{00000000-0005-0000-0000-000004020000}"/>
    <cellStyle name="Cálculo 4 3 4" xfId="3100" xr:uid="{00000000-0005-0000-0000-000005020000}"/>
    <cellStyle name="Cálculo 4 4" xfId="1407" xr:uid="{00000000-0005-0000-0000-000006020000}"/>
    <cellStyle name="Cálculo 4 4 2" xfId="2120" xr:uid="{00000000-0005-0000-0000-000007020000}"/>
    <cellStyle name="Cálculo 4 4 3" xfId="2732" xr:uid="{00000000-0005-0000-0000-000008020000}"/>
    <cellStyle name="Cálculo 4 4 4" xfId="3275" xr:uid="{00000000-0005-0000-0000-000009020000}"/>
    <cellStyle name="Cálculo 4 5" xfId="1137" xr:uid="{00000000-0005-0000-0000-00000A020000}"/>
    <cellStyle name="Cálculo 4 5 2" xfId="1961" xr:uid="{00000000-0005-0000-0000-00000B020000}"/>
    <cellStyle name="Cálculo 4 5 3" xfId="2580" xr:uid="{00000000-0005-0000-0000-00000C020000}"/>
    <cellStyle name="Cálculo 4 5 4" xfId="3126" xr:uid="{00000000-0005-0000-0000-00000D020000}"/>
    <cellStyle name="Cálculo 4 6" xfId="1741" xr:uid="{00000000-0005-0000-0000-00000E020000}"/>
    <cellStyle name="Cálculo 4 6 2" xfId="2389" xr:uid="{00000000-0005-0000-0000-00000F020000}"/>
    <cellStyle name="Cálculo 4 6 3" xfId="2946" xr:uid="{00000000-0005-0000-0000-000010020000}"/>
    <cellStyle name="Cálculo 4 7" xfId="1462" xr:uid="{00000000-0005-0000-0000-000011020000}"/>
    <cellStyle name="Cálculo 4 8" xfId="1177" xr:uid="{00000000-0005-0000-0000-000012020000}"/>
    <cellStyle name="Cálculo 4 9" xfId="1046" xr:uid="{00000000-0005-0000-0000-000013020000}"/>
    <cellStyle name="Cálculo 5" xfId="776" xr:uid="{00000000-0005-0000-0000-000014020000}"/>
    <cellStyle name="Cálculo 5 2" xfId="1347" xr:uid="{00000000-0005-0000-0000-000015020000}"/>
    <cellStyle name="Cálculo 5 2 2" xfId="2069" xr:uid="{00000000-0005-0000-0000-000016020000}"/>
    <cellStyle name="Cálculo 5 2 3" xfId="2684" xr:uid="{00000000-0005-0000-0000-000017020000}"/>
    <cellStyle name="Cálculo 5 2 4" xfId="3228" xr:uid="{00000000-0005-0000-0000-000018020000}"/>
    <cellStyle name="Cálculo 5 3" xfId="1463" xr:uid="{00000000-0005-0000-0000-000019020000}"/>
    <cellStyle name="Cálculo 5 3 2" xfId="2165" xr:uid="{00000000-0005-0000-0000-00001A020000}"/>
    <cellStyle name="Cálculo 5 3 3" xfId="2776" xr:uid="{00000000-0005-0000-0000-00001B020000}"/>
    <cellStyle name="Cálculo 5 3 4" xfId="3318" xr:uid="{00000000-0005-0000-0000-00001C020000}"/>
    <cellStyle name="Cálculo 5 4" xfId="1329" xr:uid="{00000000-0005-0000-0000-00001D020000}"/>
    <cellStyle name="Cálculo 5 4 2" xfId="2057" xr:uid="{00000000-0005-0000-0000-00001E020000}"/>
    <cellStyle name="Cálculo 5 4 3" xfId="2673" xr:uid="{00000000-0005-0000-0000-00001F020000}"/>
    <cellStyle name="Cálculo 5 4 4" xfId="3217" xr:uid="{00000000-0005-0000-0000-000020020000}"/>
    <cellStyle name="Cálculo 5 5" xfId="1111" xr:uid="{00000000-0005-0000-0000-000021020000}"/>
    <cellStyle name="Cálculo 5 5 2" xfId="1947" xr:uid="{00000000-0005-0000-0000-000022020000}"/>
    <cellStyle name="Cálculo 5 5 3" xfId="2566" xr:uid="{00000000-0005-0000-0000-000023020000}"/>
    <cellStyle name="Cálculo 5 5 4" xfId="3114" xr:uid="{00000000-0005-0000-0000-000024020000}"/>
    <cellStyle name="Cálculo 5 6" xfId="1795" xr:uid="{00000000-0005-0000-0000-000025020000}"/>
    <cellStyle name="Cálculo 5 6 2" xfId="2433" xr:uid="{00000000-0005-0000-0000-000026020000}"/>
    <cellStyle name="Cálculo 5 6 3" xfId="2989" xr:uid="{00000000-0005-0000-0000-000027020000}"/>
    <cellStyle name="Cálculo 5 7" xfId="1616" xr:uid="{00000000-0005-0000-0000-000028020000}"/>
    <cellStyle name="Cálculo 5 8" xfId="1710" xr:uid="{00000000-0005-0000-0000-000029020000}"/>
    <cellStyle name="Cálculo 5 9" xfId="1178" xr:uid="{00000000-0005-0000-0000-00002A020000}"/>
    <cellStyle name="Cancel" xfId="238" xr:uid="{00000000-0005-0000-0000-00002B020000}"/>
    <cellStyle name="cárky [0]_BAU" xfId="239" xr:uid="{00000000-0005-0000-0000-00002C020000}"/>
    <cellStyle name="cárky_BAU" xfId="240" xr:uid="{00000000-0005-0000-0000-00002D020000}"/>
    <cellStyle name="Celda de comprobación" xfId="32" builtinId="23" customBuiltin="1"/>
    <cellStyle name="Celda de comprobación 2" xfId="242" xr:uid="{00000000-0005-0000-0000-00002E020000}"/>
    <cellStyle name="Celda de comprobación 3" xfId="708" xr:uid="{00000000-0005-0000-0000-00002F020000}"/>
    <cellStyle name="Celda de comprobación 4" xfId="241" xr:uid="{00000000-0005-0000-0000-000030020000}"/>
    <cellStyle name="Celda vinculada" xfId="31" builtinId="24" customBuiltin="1"/>
    <cellStyle name="Celda vinculada 2" xfId="244" xr:uid="{00000000-0005-0000-0000-000031020000}"/>
    <cellStyle name="Celda vinculada 3" xfId="707" xr:uid="{00000000-0005-0000-0000-000032020000}"/>
    <cellStyle name="Celda vinculada 4" xfId="243" xr:uid="{00000000-0005-0000-0000-000033020000}"/>
    <cellStyle name="Cents" xfId="245" xr:uid="{00000000-0005-0000-0000-000034020000}"/>
    <cellStyle name="Cents 2" xfId="832" xr:uid="{00000000-0005-0000-0000-000035020000}"/>
    <cellStyle name="Cents 2 2" xfId="1027" xr:uid="{00000000-0005-0000-0000-000036020000}"/>
    <cellStyle name="Cents 2 2 2" xfId="1896" xr:uid="{00000000-0005-0000-0000-000037020000}"/>
    <cellStyle name="Cents 2 2 3" xfId="2519" xr:uid="{00000000-0005-0000-0000-000038020000}"/>
    <cellStyle name="Cents 2 3" xfId="1015" xr:uid="{00000000-0005-0000-0000-000039020000}"/>
    <cellStyle name="Cents 2 3 2" xfId="1889" xr:uid="{00000000-0005-0000-0000-00003A020000}"/>
    <cellStyle name="Cents 2 3 3" xfId="2512" xr:uid="{00000000-0005-0000-0000-00003B020000}"/>
    <cellStyle name="Cents 2 4" xfId="1386" xr:uid="{00000000-0005-0000-0000-00003C020000}"/>
    <cellStyle name="Cents 2 5" xfId="1554" xr:uid="{00000000-0005-0000-0000-00003D020000}"/>
    <cellStyle name="Cents 3" xfId="1483" xr:uid="{00000000-0005-0000-0000-00003E020000}"/>
    <cellStyle name="Cents 3 2" xfId="2175" xr:uid="{00000000-0005-0000-0000-00003F020000}"/>
    <cellStyle name="Cents 3 3" xfId="2785" xr:uid="{00000000-0005-0000-0000-000040020000}"/>
    <cellStyle name="Cents 4" xfId="1142" xr:uid="{00000000-0005-0000-0000-000041020000}"/>
    <cellStyle name="Cents 4 2" xfId="1963" xr:uid="{00000000-0005-0000-0000-000042020000}"/>
    <cellStyle name="Cents 4 3" xfId="2582" xr:uid="{00000000-0005-0000-0000-000043020000}"/>
    <cellStyle name="Cents 5" xfId="1161" xr:uid="{00000000-0005-0000-0000-000044020000}"/>
    <cellStyle name="Cents 6" xfId="1912" xr:uid="{00000000-0005-0000-0000-000045020000}"/>
    <cellStyle name="Check Cell 2" xfId="246" xr:uid="{00000000-0005-0000-0000-000046020000}"/>
    <cellStyle name="clsAltData" xfId="247" xr:uid="{00000000-0005-0000-0000-000047020000}"/>
    <cellStyle name="clsAltData 2" xfId="833" xr:uid="{00000000-0005-0000-0000-000048020000}"/>
    <cellStyle name="clsAltData 2 2" xfId="1382" xr:uid="{00000000-0005-0000-0000-000049020000}"/>
    <cellStyle name="clsAltData 2 2 2" xfId="2099" xr:uid="{00000000-0005-0000-0000-00004A020000}"/>
    <cellStyle name="clsAltData 2 2 3" xfId="2713" xr:uid="{00000000-0005-0000-0000-00004B020000}"/>
    <cellStyle name="clsAltData 2 2 4" xfId="3257" xr:uid="{00000000-0005-0000-0000-00004C020000}"/>
    <cellStyle name="clsAltData 2 3" xfId="1814" xr:uid="{00000000-0005-0000-0000-00004D020000}"/>
    <cellStyle name="clsAltData 2 4" xfId="1017" xr:uid="{00000000-0005-0000-0000-00004E020000}"/>
    <cellStyle name="clsAltData 2 5" xfId="1643" xr:uid="{00000000-0005-0000-0000-00004F020000}"/>
    <cellStyle name="clsAltData 2 6" xfId="1290" xr:uid="{00000000-0005-0000-0000-000050020000}"/>
    <cellStyle name="clsAltData 3" xfId="869" xr:uid="{00000000-0005-0000-0000-000051020000}"/>
    <cellStyle name="clsAltData 3 2" xfId="1075" xr:uid="{00000000-0005-0000-0000-000052020000}"/>
    <cellStyle name="clsAltData 4" xfId="1098" xr:uid="{00000000-0005-0000-0000-000053020000}"/>
    <cellStyle name="clsAltData 4 2" xfId="1941" xr:uid="{00000000-0005-0000-0000-000054020000}"/>
    <cellStyle name="clsAltData 4 3" xfId="2560" xr:uid="{00000000-0005-0000-0000-000055020000}"/>
    <cellStyle name="clsAltData 4 4" xfId="3108" xr:uid="{00000000-0005-0000-0000-000056020000}"/>
    <cellStyle name="clsAltData 5" xfId="1162" xr:uid="{00000000-0005-0000-0000-000057020000}"/>
    <cellStyle name="clsAltData 6" xfId="1731" xr:uid="{00000000-0005-0000-0000-000058020000}"/>
    <cellStyle name="clsAltData 7" xfId="1150" xr:uid="{00000000-0005-0000-0000-000059020000}"/>
    <cellStyle name="Comma [0]_Anexo PD-06 Corrección Monetaria" xfId="5" xr:uid="{00000000-0005-0000-0000-000000000000}"/>
    <cellStyle name="Comma 10" xfId="248" xr:uid="{00000000-0005-0000-0000-00005A020000}"/>
    <cellStyle name="Comma 11" xfId="68" xr:uid="{00000000-0005-0000-0000-00005B020000}"/>
    <cellStyle name="Comma 11 2" xfId="249" xr:uid="{00000000-0005-0000-0000-00005C020000}"/>
    <cellStyle name="Comma 11 3" xfId="796" xr:uid="{00000000-0005-0000-0000-00005D020000}"/>
    <cellStyle name="Comma 11 4" xfId="84" xr:uid="{00000000-0005-0000-0000-00005E020000}"/>
    <cellStyle name="Comma 12" xfId="250" xr:uid="{00000000-0005-0000-0000-00005F020000}"/>
    <cellStyle name="Comma 13" xfId="251" xr:uid="{00000000-0005-0000-0000-000060020000}"/>
    <cellStyle name="Comma 14" xfId="252" xr:uid="{00000000-0005-0000-0000-000061020000}"/>
    <cellStyle name="Comma 15" xfId="3484" xr:uid="{00000000-0005-0000-0000-000062020000}"/>
    <cellStyle name="Comma 2" xfId="64" xr:uid="{00000000-0005-0000-0000-000063020000}"/>
    <cellStyle name="Comma 2 10" xfId="253" xr:uid="{00000000-0005-0000-0000-000064020000}"/>
    <cellStyle name="Comma 2 11" xfId="792" xr:uid="{00000000-0005-0000-0000-000065020000}"/>
    <cellStyle name="Comma 2 2" xfId="254" xr:uid="{00000000-0005-0000-0000-000066020000}"/>
    <cellStyle name="Comma 2 2 2" xfId="255" xr:uid="{00000000-0005-0000-0000-000067020000}"/>
    <cellStyle name="Comma 2 2 3" xfId="256" xr:uid="{00000000-0005-0000-0000-000068020000}"/>
    <cellStyle name="Comma 2 3" xfId="257" xr:uid="{00000000-0005-0000-0000-000069020000}"/>
    <cellStyle name="Comma 2 4" xfId="258" xr:uid="{00000000-0005-0000-0000-00006A020000}"/>
    <cellStyle name="Comma 2 5" xfId="259" xr:uid="{00000000-0005-0000-0000-00006B020000}"/>
    <cellStyle name="Comma 2 6" xfId="260" xr:uid="{00000000-0005-0000-0000-00006C020000}"/>
    <cellStyle name="Comma 2 7" xfId="261" xr:uid="{00000000-0005-0000-0000-00006D020000}"/>
    <cellStyle name="Comma 2 8" xfId="262" xr:uid="{00000000-0005-0000-0000-00006E020000}"/>
    <cellStyle name="Comma 2 9" xfId="263" xr:uid="{00000000-0005-0000-0000-00006F020000}"/>
    <cellStyle name="Comma 3" xfId="264" xr:uid="{00000000-0005-0000-0000-000070020000}"/>
    <cellStyle name="Comma 3 2" xfId="265" xr:uid="{00000000-0005-0000-0000-000071020000}"/>
    <cellStyle name="Comma 3 3" xfId="266" xr:uid="{00000000-0005-0000-0000-000072020000}"/>
    <cellStyle name="Comma 4" xfId="267" xr:uid="{00000000-0005-0000-0000-000073020000}"/>
    <cellStyle name="Comma 4 2" xfId="97" xr:uid="{00000000-0005-0000-0000-000074020000}"/>
    <cellStyle name="Comma 4 2 2" xfId="268" xr:uid="{00000000-0005-0000-0000-000075020000}"/>
    <cellStyle name="Comma 4 2 2 2" xfId="834" xr:uid="{00000000-0005-0000-0000-000076020000}"/>
    <cellStyle name="Comma 5" xfId="269" xr:uid="{00000000-0005-0000-0000-000077020000}"/>
    <cellStyle name="Comma 5 2" xfId="835" xr:uid="{00000000-0005-0000-0000-000078020000}"/>
    <cellStyle name="Comma 6" xfId="270" xr:uid="{00000000-0005-0000-0000-000079020000}"/>
    <cellStyle name="Comma 7" xfId="271" xr:uid="{00000000-0005-0000-0000-00007A020000}"/>
    <cellStyle name="Comma 8" xfId="272" xr:uid="{00000000-0005-0000-0000-00007B020000}"/>
    <cellStyle name="Comma 9" xfId="273" xr:uid="{00000000-0005-0000-0000-00007C020000}"/>
    <cellStyle name="Comma 9 2" xfId="274" xr:uid="{00000000-0005-0000-0000-00007D020000}"/>
    <cellStyle name="Comma Cents" xfId="275" xr:uid="{00000000-0005-0000-0000-00007E020000}"/>
    <cellStyle name="Comma0" xfId="276" xr:uid="{00000000-0005-0000-0000-00007F020000}"/>
    <cellStyle name="computed cell" xfId="277" xr:uid="{00000000-0005-0000-0000-000080020000}"/>
    <cellStyle name="Currency--" xfId="278" xr:uid="{00000000-0005-0000-0000-000081020000}"/>
    <cellStyle name="Currency [1]" xfId="279" xr:uid="{00000000-0005-0000-0000-000082020000}"/>
    <cellStyle name="Currency [2]" xfId="280" xr:uid="{00000000-0005-0000-0000-000083020000}"/>
    <cellStyle name="Currency [2] 10" xfId="2663" xr:uid="{00000000-0005-0000-0000-000084020000}"/>
    <cellStyle name="Currency [2] 2" xfId="837" xr:uid="{00000000-0005-0000-0000-000085020000}"/>
    <cellStyle name="Currency [2] 2 2" xfId="1385" xr:uid="{00000000-0005-0000-0000-000086020000}"/>
    <cellStyle name="Currency [2] 2 2 2" xfId="2102" xr:uid="{00000000-0005-0000-0000-000087020000}"/>
    <cellStyle name="Currency [2] 2 2 3" xfId="2716" xr:uid="{00000000-0005-0000-0000-000088020000}"/>
    <cellStyle name="Currency [2] 2 2 4" xfId="3260" xr:uid="{00000000-0005-0000-0000-000089020000}"/>
    <cellStyle name="Currency [2] 2 3" xfId="1025" xr:uid="{00000000-0005-0000-0000-00008A020000}"/>
    <cellStyle name="Currency [2] 2 3 2" xfId="1894" xr:uid="{00000000-0005-0000-0000-00008B020000}"/>
    <cellStyle name="Currency [2] 2 3 3" xfId="2517" xr:uid="{00000000-0005-0000-0000-00008C020000}"/>
    <cellStyle name="Currency [2] 2 3 4" xfId="3069" xr:uid="{00000000-0005-0000-0000-00008D020000}"/>
    <cellStyle name="Currency [2] 2 4" xfId="1540" xr:uid="{00000000-0005-0000-0000-00008E020000}"/>
    <cellStyle name="Currency [2] 2 4 2" xfId="2221" xr:uid="{00000000-0005-0000-0000-00008F020000}"/>
    <cellStyle name="Currency [2] 2 4 3" xfId="2829" xr:uid="{00000000-0005-0000-0000-000090020000}"/>
    <cellStyle name="Currency [2] 2 4 4" xfId="3370" xr:uid="{00000000-0005-0000-0000-000091020000}"/>
    <cellStyle name="Currency [2] 2 5" xfId="1816" xr:uid="{00000000-0005-0000-0000-000092020000}"/>
    <cellStyle name="Currency [2] 2 5 2" xfId="2452" xr:uid="{00000000-0005-0000-0000-000093020000}"/>
    <cellStyle name="Currency [2] 2 5 3" xfId="3007" xr:uid="{00000000-0005-0000-0000-000094020000}"/>
    <cellStyle name="Currency [2] 2 6" xfId="1807" xr:uid="{00000000-0005-0000-0000-000095020000}"/>
    <cellStyle name="Currency [2] 2 6 2" xfId="2444" xr:uid="{00000000-0005-0000-0000-000096020000}"/>
    <cellStyle name="Currency [2] 2 6 3" xfId="2999" xr:uid="{00000000-0005-0000-0000-000097020000}"/>
    <cellStyle name="Currency [2] 2 7" xfId="1669" xr:uid="{00000000-0005-0000-0000-000098020000}"/>
    <cellStyle name="Currency [2] 2 8" xfId="1414" xr:uid="{00000000-0005-0000-0000-000099020000}"/>
    <cellStyle name="Currency [2] 2 9" xfId="1716" xr:uid="{00000000-0005-0000-0000-00009A020000}"/>
    <cellStyle name="Currency [2] 3" xfId="778" xr:uid="{00000000-0005-0000-0000-00009B020000}"/>
    <cellStyle name="Currency [2] 3 2" xfId="1349" xr:uid="{00000000-0005-0000-0000-00009C020000}"/>
    <cellStyle name="Currency [2] 3 2 2" xfId="2071" xr:uid="{00000000-0005-0000-0000-00009D020000}"/>
    <cellStyle name="Currency [2] 3 2 3" xfId="2686" xr:uid="{00000000-0005-0000-0000-00009E020000}"/>
    <cellStyle name="Currency [2] 3 2 4" xfId="3230" xr:uid="{00000000-0005-0000-0000-00009F020000}"/>
    <cellStyle name="Currency [2] 3 3" xfId="1457" xr:uid="{00000000-0005-0000-0000-0000A0020000}"/>
    <cellStyle name="Currency [2] 3 3 2" xfId="2162" xr:uid="{00000000-0005-0000-0000-0000A1020000}"/>
    <cellStyle name="Currency [2] 3 3 3" xfId="2773" xr:uid="{00000000-0005-0000-0000-0000A2020000}"/>
    <cellStyle name="Currency [2] 3 3 4" xfId="3315" xr:uid="{00000000-0005-0000-0000-0000A3020000}"/>
    <cellStyle name="Currency [2] 3 4" xfId="1232" xr:uid="{00000000-0005-0000-0000-0000A4020000}"/>
    <cellStyle name="Currency [2] 3 4 2" xfId="1998" xr:uid="{00000000-0005-0000-0000-0000A5020000}"/>
    <cellStyle name="Currency [2] 3 4 3" xfId="2615" xr:uid="{00000000-0005-0000-0000-0000A6020000}"/>
    <cellStyle name="Currency [2] 3 4 4" xfId="3160" xr:uid="{00000000-0005-0000-0000-0000A7020000}"/>
    <cellStyle name="Currency [2] 3 5" xfId="1797" xr:uid="{00000000-0005-0000-0000-0000A8020000}"/>
    <cellStyle name="Currency [2] 3 5 2" xfId="2435" xr:uid="{00000000-0005-0000-0000-0000A9020000}"/>
    <cellStyle name="Currency [2] 3 5 3" xfId="2991" xr:uid="{00000000-0005-0000-0000-0000AA020000}"/>
    <cellStyle name="Currency [2] 3 6" xfId="1486" xr:uid="{00000000-0005-0000-0000-0000AB020000}"/>
    <cellStyle name="Currency [2] 3 7" xfId="1055" xr:uid="{00000000-0005-0000-0000-0000AC020000}"/>
    <cellStyle name="Currency [2] 3 8" xfId="1238" xr:uid="{00000000-0005-0000-0000-0000AD020000}"/>
    <cellStyle name="Currency [2] 4" xfId="1117" xr:uid="{00000000-0005-0000-0000-0000AE020000}"/>
    <cellStyle name="Currency [2] 4 2" xfId="1949" xr:uid="{00000000-0005-0000-0000-0000AF020000}"/>
    <cellStyle name="Currency [2] 4 3" xfId="2568" xr:uid="{00000000-0005-0000-0000-0000B0020000}"/>
    <cellStyle name="Currency [2] 4 4" xfId="3116" xr:uid="{00000000-0005-0000-0000-0000B1020000}"/>
    <cellStyle name="Currency [2] 5" xfId="1299" xr:uid="{00000000-0005-0000-0000-0000B2020000}"/>
    <cellStyle name="Currency [2] 5 2" xfId="2043" xr:uid="{00000000-0005-0000-0000-0000B3020000}"/>
    <cellStyle name="Currency [2] 5 3" xfId="2658" xr:uid="{00000000-0005-0000-0000-0000B4020000}"/>
    <cellStyle name="Currency [2] 5 4" xfId="3203" xr:uid="{00000000-0005-0000-0000-0000B5020000}"/>
    <cellStyle name="Currency [2] 6" xfId="1373" xr:uid="{00000000-0005-0000-0000-0000B6020000}"/>
    <cellStyle name="Currency [2] 6 2" xfId="2091" xr:uid="{00000000-0005-0000-0000-0000B7020000}"/>
    <cellStyle name="Currency [2] 6 3" xfId="2705" xr:uid="{00000000-0005-0000-0000-0000B8020000}"/>
    <cellStyle name="Currency [2] 6 4" xfId="3249" xr:uid="{00000000-0005-0000-0000-0000B9020000}"/>
    <cellStyle name="Currency [2] 7" xfId="1743" xr:uid="{00000000-0005-0000-0000-0000BA020000}"/>
    <cellStyle name="Currency [2] 7 2" xfId="2391" xr:uid="{00000000-0005-0000-0000-0000BB020000}"/>
    <cellStyle name="Currency [2] 7 3" xfId="2948" xr:uid="{00000000-0005-0000-0000-0000BC020000}"/>
    <cellStyle name="Currency [2] 8" xfId="1072" xr:uid="{00000000-0005-0000-0000-0000BD020000}"/>
    <cellStyle name="Currency [2] 9" xfId="1663" xr:uid="{00000000-0005-0000-0000-0000BE020000}"/>
    <cellStyle name="Currency 2" xfId="281" xr:uid="{00000000-0005-0000-0000-0000BF020000}"/>
    <cellStyle name="Currency 2 2" xfId="838" xr:uid="{00000000-0005-0000-0000-0000C0020000}"/>
    <cellStyle name="Currency 3" xfId="282" xr:uid="{00000000-0005-0000-0000-0000C1020000}"/>
    <cellStyle name="Currency 3 2" xfId="839" xr:uid="{00000000-0005-0000-0000-0000C2020000}"/>
    <cellStyle name="Currency0" xfId="283" xr:uid="{00000000-0005-0000-0000-0000C3020000}"/>
    <cellStyle name="Date" xfId="284" xr:uid="{00000000-0005-0000-0000-0000C4020000}"/>
    <cellStyle name="Date &amp; Time" xfId="285" xr:uid="{00000000-0005-0000-0000-0000C5020000}"/>
    <cellStyle name="Date [d-mmm-yy]" xfId="286" xr:uid="{00000000-0005-0000-0000-0000C6020000}"/>
    <cellStyle name="Date [mm-d-yy]" xfId="287" xr:uid="{00000000-0005-0000-0000-0000C7020000}"/>
    <cellStyle name="Date [mm-d-yyyy]" xfId="288" xr:uid="{00000000-0005-0000-0000-0000C8020000}"/>
    <cellStyle name="Date [mm-d-yyyy] 2" xfId="1122" xr:uid="{00000000-0005-0000-0000-0000C9020000}"/>
    <cellStyle name="Date [mm-d-yyyy] 2 2" xfId="1951" xr:uid="{00000000-0005-0000-0000-0000CA020000}"/>
    <cellStyle name="Date [mm-d-yyyy] 2 3" xfId="2570" xr:uid="{00000000-0005-0000-0000-0000CB020000}"/>
    <cellStyle name="Date [mm-d-yyyy] 3" xfId="1189" xr:uid="{00000000-0005-0000-0000-0000CC020000}"/>
    <cellStyle name="Date [mmm-d-yyyy]" xfId="289" xr:uid="{00000000-0005-0000-0000-0000CD020000}"/>
    <cellStyle name="Date [mmm-yy]" xfId="290" xr:uid="{00000000-0005-0000-0000-0000CE020000}"/>
    <cellStyle name="Date [mmm-yyyy]" xfId="291" xr:uid="{00000000-0005-0000-0000-0000CF020000}"/>
    <cellStyle name="Date [mmm-yyyy] 2" xfId="1124" xr:uid="{00000000-0005-0000-0000-0000D0020000}"/>
    <cellStyle name="Date [mmm-yyyy] 3" xfId="1745" xr:uid="{00000000-0005-0000-0000-0000D1020000}"/>
    <cellStyle name="Date 10" xfId="779" xr:uid="{00000000-0005-0000-0000-0000D2020000}"/>
    <cellStyle name="Date 10 2" xfId="1350" xr:uid="{00000000-0005-0000-0000-0000D3020000}"/>
    <cellStyle name="Date 10 2 2" xfId="2072" xr:uid="{00000000-0005-0000-0000-0000D4020000}"/>
    <cellStyle name="Date 10 2 3" xfId="2687" xr:uid="{00000000-0005-0000-0000-0000D5020000}"/>
    <cellStyle name="Date 10 2 4" xfId="3231" xr:uid="{00000000-0005-0000-0000-0000D6020000}"/>
    <cellStyle name="Date 10 3" xfId="1798" xr:uid="{00000000-0005-0000-0000-0000D7020000}"/>
    <cellStyle name="Date 10 3 2" xfId="2436" xr:uid="{00000000-0005-0000-0000-0000D8020000}"/>
    <cellStyle name="Date 10 3 3" xfId="2992" xr:uid="{00000000-0005-0000-0000-0000D9020000}"/>
    <cellStyle name="Date 10 4" xfId="1340" xr:uid="{00000000-0005-0000-0000-0000DA020000}"/>
    <cellStyle name="Date 10 5" xfId="1193" xr:uid="{00000000-0005-0000-0000-0000DB020000}"/>
    <cellStyle name="Date 10 6" xfId="1179" xr:uid="{00000000-0005-0000-0000-0000DC020000}"/>
    <cellStyle name="Date 11" xfId="1120" xr:uid="{00000000-0005-0000-0000-0000DD020000}"/>
    <cellStyle name="Date 11 2" xfId="1950" xr:uid="{00000000-0005-0000-0000-0000DE020000}"/>
    <cellStyle name="Date 11 3" xfId="2569" xr:uid="{00000000-0005-0000-0000-0000DF020000}"/>
    <cellStyle name="Date 11 4" xfId="3117" xr:uid="{00000000-0005-0000-0000-0000E0020000}"/>
    <cellStyle name="Date 12" xfId="1404" xr:uid="{00000000-0005-0000-0000-0000E1020000}"/>
    <cellStyle name="Date 12 2" xfId="2118" xr:uid="{00000000-0005-0000-0000-0000E2020000}"/>
    <cellStyle name="Date 12 3" xfId="2731" xr:uid="{00000000-0005-0000-0000-0000E3020000}"/>
    <cellStyle name="Date 12 4" xfId="3274" xr:uid="{00000000-0005-0000-0000-0000E4020000}"/>
    <cellStyle name="Date 13" xfId="1372" xr:uid="{00000000-0005-0000-0000-0000E5020000}"/>
    <cellStyle name="Date 13 2" xfId="2090" xr:uid="{00000000-0005-0000-0000-0000E6020000}"/>
    <cellStyle name="Date 13 3" xfId="2704" xr:uid="{00000000-0005-0000-0000-0000E7020000}"/>
    <cellStyle name="Date 13 4" xfId="3248" xr:uid="{00000000-0005-0000-0000-0000E8020000}"/>
    <cellStyle name="Date 14" xfId="1606" xr:uid="{00000000-0005-0000-0000-0000E9020000}"/>
    <cellStyle name="Date 14 2" xfId="2262" xr:uid="{00000000-0005-0000-0000-0000EA020000}"/>
    <cellStyle name="Date 14 3" xfId="2867" xr:uid="{00000000-0005-0000-0000-0000EB020000}"/>
    <cellStyle name="Date 14 4" xfId="3406" xr:uid="{00000000-0005-0000-0000-0000EC020000}"/>
    <cellStyle name="Date 15" xfId="1744" xr:uid="{00000000-0005-0000-0000-0000ED020000}"/>
    <cellStyle name="Date 15 2" xfId="2392" xr:uid="{00000000-0005-0000-0000-0000EE020000}"/>
    <cellStyle name="Date 15 3" xfId="2949" xr:uid="{00000000-0005-0000-0000-0000EF020000}"/>
    <cellStyle name="Date 16" xfId="1792" xr:uid="{00000000-0005-0000-0000-0000F0020000}"/>
    <cellStyle name="Date 16 2" xfId="2430" xr:uid="{00000000-0005-0000-0000-0000F1020000}"/>
    <cellStyle name="Date 16 3" xfId="2986" xr:uid="{00000000-0005-0000-0000-0000F2020000}"/>
    <cellStyle name="Date 17" xfId="1679" xr:uid="{00000000-0005-0000-0000-0000F3020000}"/>
    <cellStyle name="Date 18" xfId="1118" xr:uid="{00000000-0005-0000-0000-0000F4020000}"/>
    <cellStyle name="Date 19" xfId="1019" xr:uid="{00000000-0005-0000-0000-0000F5020000}"/>
    <cellStyle name="Date 2" xfId="840" xr:uid="{00000000-0005-0000-0000-0000F6020000}"/>
    <cellStyle name="Date 2 2" xfId="1387" xr:uid="{00000000-0005-0000-0000-0000F7020000}"/>
    <cellStyle name="Date 2 2 2" xfId="2103" xr:uid="{00000000-0005-0000-0000-0000F8020000}"/>
    <cellStyle name="Date 2 2 3" xfId="2717" xr:uid="{00000000-0005-0000-0000-0000F9020000}"/>
    <cellStyle name="Date 2 2 4" xfId="3261" xr:uid="{00000000-0005-0000-0000-0000FA020000}"/>
    <cellStyle name="Date 2 3" xfId="1817" xr:uid="{00000000-0005-0000-0000-0000FB020000}"/>
    <cellStyle name="Date 2 3 2" xfId="2453" xr:uid="{00000000-0005-0000-0000-0000FC020000}"/>
    <cellStyle name="Date 2 3 3" xfId="3008" xr:uid="{00000000-0005-0000-0000-0000FD020000}"/>
    <cellStyle name="Date 2 4" xfId="1121" xr:uid="{00000000-0005-0000-0000-0000FE020000}"/>
    <cellStyle name="Date 2 5" xfId="1036" xr:uid="{00000000-0005-0000-0000-0000FF020000}"/>
    <cellStyle name="Date 2 6" xfId="2360" xr:uid="{00000000-0005-0000-0000-000000030000}"/>
    <cellStyle name="Date 3" xfId="864" xr:uid="{00000000-0005-0000-0000-000001030000}"/>
    <cellStyle name="Date 3 2" xfId="1087" xr:uid="{00000000-0005-0000-0000-000002030000}"/>
    <cellStyle name="Date 3 2 2" xfId="1930" xr:uid="{00000000-0005-0000-0000-000003030000}"/>
    <cellStyle name="Date 3 2 3" xfId="2550" xr:uid="{00000000-0005-0000-0000-000004030000}"/>
    <cellStyle name="Date 3 2 4" xfId="3098" xr:uid="{00000000-0005-0000-0000-000005030000}"/>
    <cellStyle name="Date 3 3" xfId="1832" xr:uid="{00000000-0005-0000-0000-000006030000}"/>
    <cellStyle name="Date 3 3 2" xfId="2463" xr:uid="{00000000-0005-0000-0000-000007030000}"/>
    <cellStyle name="Date 3 3 3" xfId="3017" xr:uid="{00000000-0005-0000-0000-000008030000}"/>
    <cellStyle name="Date 4" xfId="1001" xr:uid="{00000000-0005-0000-0000-000009030000}"/>
    <cellStyle name="Date 4 2" xfId="1687" xr:uid="{00000000-0005-0000-0000-00000A030000}"/>
    <cellStyle name="Date 4 2 2" xfId="2298" xr:uid="{00000000-0005-0000-0000-00000B030000}"/>
    <cellStyle name="Date 4 2 3" xfId="2900" xr:uid="{00000000-0005-0000-0000-00000C030000}"/>
    <cellStyle name="Date 4 2 4" xfId="3437" xr:uid="{00000000-0005-0000-0000-00000D030000}"/>
    <cellStyle name="Date 4 3" xfId="1883" xr:uid="{00000000-0005-0000-0000-00000E030000}"/>
    <cellStyle name="Date 4 3 2" xfId="2507" xr:uid="{00000000-0005-0000-0000-00000F030000}"/>
    <cellStyle name="Date 4 3 3" xfId="3060" xr:uid="{00000000-0005-0000-0000-000010030000}"/>
    <cellStyle name="Date 5" xfId="1003" xr:uid="{00000000-0005-0000-0000-000011030000}"/>
    <cellStyle name="Date 5 2" xfId="1688" xr:uid="{00000000-0005-0000-0000-000012030000}"/>
    <cellStyle name="Date 5 2 2" xfId="2299" xr:uid="{00000000-0005-0000-0000-000013030000}"/>
    <cellStyle name="Date 5 2 3" xfId="2901" xr:uid="{00000000-0005-0000-0000-000014030000}"/>
    <cellStyle name="Date 5 2 4" xfId="3438" xr:uid="{00000000-0005-0000-0000-000015030000}"/>
    <cellStyle name="Date 5 3" xfId="1884" xr:uid="{00000000-0005-0000-0000-000016030000}"/>
    <cellStyle name="Date 5 3 2" xfId="2508" xr:uid="{00000000-0005-0000-0000-000017030000}"/>
    <cellStyle name="Date 5 3 3" xfId="3061" xr:uid="{00000000-0005-0000-0000-000018030000}"/>
    <cellStyle name="Date 6" xfId="923" xr:uid="{00000000-0005-0000-0000-000019030000}"/>
    <cellStyle name="Date 6 2" xfId="1656" xr:uid="{00000000-0005-0000-0000-00001A030000}"/>
    <cellStyle name="Date 6 2 2" xfId="2294" xr:uid="{00000000-0005-0000-0000-00001B030000}"/>
    <cellStyle name="Date 6 2 3" xfId="2897" xr:uid="{00000000-0005-0000-0000-00001C030000}"/>
    <cellStyle name="Date 6 2 4" xfId="3434" xr:uid="{00000000-0005-0000-0000-00001D030000}"/>
    <cellStyle name="Date 6 3" xfId="1872" xr:uid="{00000000-0005-0000-0000-00001E030000}"/>
    <cellStyle name="Date 6 3 2" xfId="2498" xr:uid="{00000000-0005-0000-0000-00001F030000}"/>
    <cellStyle name="Date 6 3 3" xfId="3051" xr:uid="{00000000-0005-0000-0000-000020030000}"/>
    <cellStyle name="Date 7" xfId="933" xr:uid="{00000000-0005-0000-0000-000021030000}"/>
    <cellStyle name="Date 7 2" xfId="1659" xr:uid="{00000000-0005-0000-0000-000022030000}"/>
    <cellStyle name="Date 7 2 2" xfId="2295" xr:uid="{00000000-0005-0000-0000-000023030000}"/>
    <cellStyle name="Date 7 2 3" xfId="2898" xr:uid="{00000000-0005-0000-0000-000024030000}"/>
    <cellStyle name="Date 7 2 4" xfId="3435" xr:uid="{00000000-0005-0000-0000-000025030000}"/>
    <cellStyle name="Date 7 3" xfId="1873" xr:uid="{00000000-0005-0000-0000-000026030000}"/>
    <cellStyle name="Date 7 3 2" xfId="2499" xr:uid="{00000000-0005-0000-0000-000027030000}"/>
    <cellStyle name="Date 7 3 3" xfId="3052" xr:uid="{00000000-0005-0000-0000-000028030000}"/>
    <cellStyle name="Date 8" xfId="887" xr:uid="{00000000-0005-0000-0000-000029030000}"/>
    <cellStyle name="Date 8 2" xfId="1066" xr:uid="{00000000-0005-0000-0000-00002A030000}"/>
    <cellStyle name="Date 8 2 2" xfId="1917" xr:uid="{00000000-0005-0000-0000-00002B030000}"/>
    <cellStyle name="Date 8 2 3" xfId="2537" xr:uid="{00000000-0005-0000-0000-00002C030000}"/>
    <cellStyle name="Date 8 2 4" xfId="3085" xr:uid="{00000000-0005-0000-0000-00002D030000}"/>
    <cellStyle name="Date 8 3" xfId="1839" xr:uid="{00000000-0005-0000-0000-00002E030000}"/>
    <cellStyle name="Date 8 3 2" xfId="2467" xr:uid="{00000000-0005-0000-0000-00002F030000}"/>
    <cellStyle name="Date 8 3 3" xfId="3021" xr:uid="{00000000-0005-0000-0000-000030030000}"/>
    <cellStyle name="Date 9" xfId="852" xr:uid="{00000000-0005-0000-0000-000031030000}"/>
    <cellStyle name="Date 9 2" xfId="1601" xr:uid="{00000000-0005-0000-0000-000032030000}"/>
    <cellStyle name="Date 9 2 2" xfId="2259" xr:uid="{00000000-0005-0000-0000-000033030000}"/>
    <cellStyle name="Date 9 2 3" xfId="2864" xr:uid="{00000000-0005-0000-0000-000034030000}"/>
    <cellStyle name="Date 9 2 4" xfId="3403" xr:uid="{00000000-0005-0000-0000-000035030000}"/>
    <cellStyle name="Date 9 3" xfId="1826" xr:uid="{00000000-0005-0000-0000-000036030000}"/>
    <cellStyle name="Date 9 3 2" xfId="2460" xr:uid="{00000000-0005-0000-0000-000037030000}"/>
    <cellStyle name="Date 9 3 3" xfId="3015" xr:uid="{00000000-0005-0000-0000-000038030000}"/>
    <cellStyle name="Date_campo_grande5" xfId="292" xr:uid="{00000000-0005-0000-0000-000039030000}"/>
    <cellStyle name="Date2" xfId="293" xr:uid="{00000000-0005-0000-0000-00003A030000}"/>
    <cellStyle name="Date2h" xfId="294" xr:uid="{00000000-0005-0000-0000-00003B030000}"/>
    <cellStyle name="Date2h 2" xfId="841" xr:uid="{00000000-0005-0000-0000-00003C030000}"/>
    <cellStyle name="Date2h 2 2" xfId="1388" xr:uid="{00000000-0005-0000-0000-00003D030000}"/>
    <cellStyle name="Date2h 2 2 2" xfId="2104" xr:uid="{00000000-0005-0000-0000-00003E030000}"/>
    <cellStyle name="Date2h 2 2 3" xfId="2718" xr:uid="{00000000-0005-0000-0000-00003F030000}"/>
    <cellStyle name="Date2h 2 3" xfId="1541" xr:uid="{00000000-0005-0000-0000-000040030000}"/>
    <cellStyle name="Date2h 2 3 2" xfId="2222" xr:uid="{00000000-0005-0000-0000-000041030000}"/>
    <cellStyle name="Date2h 2 3 3" xfId="2830" xr:uid="{00000000-0005-0000-0000-000042030000}"/>
    <cellStyle name="Date2h 2 4" xfId="1818" xr:uid="{00000000-0005-0000-0000-000043030000}"/>
    <cellStyle name="Date2h 2 5" xfId="1240" xr:uid="{00000000-0005-0000-0000-000044030000}"/>
    <cellStyle name="Date2h 3" xfId="880" xr:uid="{00000000-0005-0000-0000-000045030000}"/>
    <cellStyle name="Date2h 3 2" xfId="1409" xr:uid="{00000000-0005-0000-0000-000046030000}"/>
    <cellStyle name="Date2h 3 2 2" xfId="2121" xr:uid="{00000000-0005-0000-0000-000047030000}"/>
    <cellStyle name="Date2h 3 2 3" xfId="2733" xr:uid="{00000000-0005-0000-0000-000048030000}"/>
    <cellStyle name="Date2h 3 3" xfId="1032" xr:uid="{00000000-0005-0000-0000-000049030000}"/>
    <cellStyle name="Date2h 3 3 2" xfId="1901" xr:uid="{00000000-0005-0000-0000-00004A030000}"/>
    <cellStyle name="Date2h 3 3 3" xfId="2524" xr:uid="{00000000-0005-0000-0000-00004B030000}"/>
    <cellStyle name="Date2h 3 4" xfId="1835" xr:uid="{00000000-0005-0000-0000-00004C030000}"/>
    <cellStyle name="Date2h 3 5" xfId="1053" xr:uid="{00000000-0005-0000-0000-00004D030000}"/>
    <cellStyle name="Date2h 4" xfId="1126" xr:uid="{00000000-0005-0000-0000-00004E030000}"/>
    <cellStyle name="Date2h 4 2" xfId="1952" xr:uid="{00000000-0005-0000-0000-00004F030000}"/>
    <cellStyle name="Date2h 4 3" xfId="2571" xr:uid="{00000000-0005-0000-0000-000050030000}"/>
    <cellStyle name="Date2h 5" xfId="1031" xr:uid="{00000000-0005-0000-0000-000051030000}"/>
    <cellStyle name="Date2h 5 2" xfId="1900" xr:uid="{00000000-0005-0000-0000-000052030000}"/>
    <cellStyle name="Date2h 5 3" xfId="2523" xr:uid="{00000000-0005-0000-0000-000053030000}"/>
    <cellStyle name="Date2h 6" xfId="1746" xr:uid="{00000000-0005-0000-0000-000054030000}"/>
    <cellStyle name="Date2h 7" xfId="1341" xr:uid="{00000000-0005-0000-0000-000055030000}"/>
    <cellStyle name="Dezimal [0]_2CEMENT" xfId="295" xr:uid="{00000000-0005-0000-0000-000056030000}"/>
    <cellStyle name="Dezimal[0]" xfId="296" xr:uid="{00000000-0005-0000-0000-000057030000}"/>
    <cellStyle name="Dezimal_2CEMENT" xfId="297" xr:uid="{00000000-0005-0000-0000-000058030000}"/>
    <cellStyle name="dollars" xfId="298" xr:uid="{00000000-0005-0000-0000-000059030000}"/>
    <cellStyle name="dollars 2" xfId="842" xr:uid="{00000000-0005-0000-0000-00005A030000}"/>
    <cellStyle name="Encabezado 1" xfId="21" builtinId="16" customBuiltin="1"/>
    <cellStyle name="Encabezado 4" xfId="24" builtinId="19" customBuiltin="1"/>
    <cellStyle name="Encabezado 4 2" xfId="300" xr:uid="{00000000-0005-0000-0000-00005C030000}"/>
    <cellStyle name="Encabezado 4 3" xfId="701" xr:uid="{00000000-0005-0000-0000-00005D030000}"/>
    <cellStyle name="Encabezado 4 4" xfId="299" xr:uid="{00000000-0005-0000-0000-00005E030000}"/>
    <cellStyle name="Énfasis1" xfId="37" builtinId="29" customBuiltin="1"/>
    <cellStyle name="Énfasis1 2" xfId="302" xr:uid="{00000000-0005-0000-0000-00005F030000}"/>
    <cellStyle name="Énfasis1 3" xfId="712" xr:uid="{00000000-0005-0000-0000-000060030000}"/>
    <cellStyle name="Énfasis1 4" xfId="301" xr:uid="{00000000-0005-0000-0000-000061030000}"/>
    <cellStyle name="Énfasis2" xfId="41" builtinId="33" customBuiltin="1"/>
    <cellStyle name="Énfasis2 2" xfId="304" xr:uid="{00000000-0005-0000-0000-000062030000}"/>
    <cellStyle name="Énfasis2 3" xfId="716" xr:uid="{00000000-0005-0000-0000-000063030000}"/>
    <cellStyle name="Énfasis2 4" xfId="303" xr:uid="{00000000-0005-0000-0000-000064030000}"/>
    <cellStyle name="Énfasis3" xfId="45" builtinId="37" customBuiltin="1"/>
    <cellStyle name="Énfasis3 2" xfId="306" xr:uid="{00000000-0005-0000-0000-000065030000}"/>
    <cellStyle name="Énfasis3 3" xfId="720" xr:uid="{00000000-0005-0000-0000-000066030000}"/>
    <cellStyle name="Énfasis3 4" xfId="305" xr:uid="{00000000-0005-0000-0000-000067030000}"/>
    <cellStyle name="Énfasis4" xfId="49" builtinId="41" customBuiltin="1"/>
    <cellStyle name="Énfasis4 2" xfId="308" xr:uid="{00000000-0005-0000-0000-000068030000}"/>
    <cellStyle name="Énfasis4 3" xfId="724" xr:uid="{00000000-0005-0000-0000-000069030000}"/>
    <cellStyle name="Énfasis4 4" xfId="307" xr:uid="{00000000-0005-0000-0000-00006A030000}"/>
    <cellStyle name="Énfasis5" xfId="53" builtinId="45" customBuiltin="1"/>
    <cellStyle name="Énfasis5 2" xfId="310" xr:uid="{00000000-0005-0000-0000-00006B030000}"/>
    <cellStyle name="Énfasis5 3" xfId="728" xr:uid="{00000000-0005-0000-0000-00006C030000}"/>
    <cellStyle name="Énfasis5 4" xfId="309" xr:uid="{00000000-0005-0000-0000-00006D030000}"/>
    <cellStyle name="Énfasis6" xfId="57" builtinId="49" customBuiltin="1"/>
    <cellStyle name="Énfasis6 2" xfId="312" xr:uid="{00000000-0005-0000-0000-00006F030000}"/>
    <cellStyle name="Énfasis6 3" xfId="732" xr:uid="{00000000-0005-0000-0000-000070030000}"/>
    <cellStyle name="Énfasis6 4" xfId="311" xr:uid="{00000000-0005-0000-0000-000071030000}"/>
    <cellStyle name="En-tête 1" xfId="313" xr:uid="{00000000-0005-0000-0000-000072030000}"/>
    <cellStyle name="En-tête 2" xfId="314" xr:uid="{00000000-0005-0000-0000-000073030000}"/>
    <cellStyle name="Entrada" xfId="28" builtinId="20" customBuiltin="1"/>
    <cellStyle name="Entrada 2" xfId="316" xr:uid="{00000000-0005-0000-0000-000074030000}"/>
    <cellStyle name="Entrada 2 10" xfId="1535" xr:uid="{00000000-0005-0000-0000-000075030000}"/>
    <cellStyle name="Entrada 2 2" xfId="845" xr:uid="{00000000-0005-0000-0000-000076030000}"/>
    <cellStyle name="Entrada 2 2 10" xfId="1720" xr:uid="{00000000-0005-0000-0000-000077030000}"/>
    <cellStyle name="Entrada 2 2 2" xfId="1390" xr:uid="{00000000-0005-0000-0000-000078030000}"/>
    <cellStyle name="Entrada 2 2 2 2" xfId="2106" xr:uid="{00000000-0005-0000-0000-000079030000}"/>
    <cellStyle name="Entrada 2 2 2 3" xfId="2720" xr:uid="{00000000-0005-0000-0000-00007A030000}"/>
    <cellStyle name="Entrada 2 2 2 4" xfId="3263" xr:uid="{00000000-0005-0000-0000-00007B030000}"/>
    <cellStyle name="Entrada 2 2 3" xfId="1021" xr:uid="{00000000-0005-0000-0000-00007C030000}"/>
    <cellStyle name="Entrada 2 2 3 2" xfId="1891" xr:uid="{00000000-0005-0000-0000-00007D030000}"/>
    <cellStyle name="Entrada 2 2 3 3" xfId="2514" xr:uid="{00000000-0005-0000-0000-00007E030000}"/>
    <cellStyle name="Entrada 2 2 3 4" xfId="3066" xr:uid="{00000000-0005-0000-0000-00007F030000}"/>
    <cellStyle name="Entrada 2 2 4" xfId="1539" xr:uid="{00000000-0005-0000-0000-000080030000}"/>
    <cellStyle name="Entrada 2 2 4 2" xfId="2220" xr:uid="{00000000-0005-0000-0000-000081030000}"/>
    <cellStyle name="Entrada 2 2 4 3" xfId="2828" xr:uid="{00000000-0005-0000-0000-000082030000}"/>
    <cellStyle name="Entrada 2 2 4 4" xfId="3369" xr:uid="{00000000-0005-0000-0000-000083030000}"/>
    <cellStyle name="Entrada 2 2 5" xfId="1219" xr:uid="{00000000-0005-0000-0000-000084030000}"/>
    <cellStyle name="Entrada 2 2 5 2" xfId="1996" xr:uid="{00000000-0005-0000-0000-000085030000}"/>
    <cellStyle name="Entrada 2 2 5 3" xfId="2613" xr:uid="{00000000-0005-0000-0000-000086030000}"/>
    <cellStyle name="Entrada 2 2 5 4" xfId="3158" xr:uid="{00000000-0005-0000-0000-000087030000}"/>
    <cellStyle name="Entrada 2 2 6" xfId="1820" xr:uid="{00000000-0005-0000-0000-000088030000}"/>
    <cellStyle name="Entrada 2 2 6 2" xfId="2455" xr:uid="{00000000-0005-0000-0000-000089030000}"/>
    <cellStyle name="Entrada 2 2 6 3" xfId="3010" xr:uid="{00000000-0005-0000-0000-00008A030000}"/>
    <cellStyle name="Entrada 2 2 7" xfId="1733" xr:uid="{00000000-0005-0000-0000-00008B030000}"/>
    <cellStyle name="Entrada 2 2 7 2" xfId="2381" xr:uid="{00000000-0005-0000-0000-00008C030000}"/>
    <cellStyle name="Entrada 2 2 7 3" xfId="2939" xr:uid="{00000000-0005-0000-0000-00008D030000}"/>
    <cellStyle name="Entrada 2 2 8" xfId="1668" xr:uid="{00000000-0005-0000-0000-00008E030000}"/>
    <cellStyle name="Entrada 2 2 9" xfId="1362" xr:uid="{00000000-0005-0000-0000-00008F030000}"/>
    <cellStyle name="Entrada 2 3" xfId="781" xr:uid="{00000000-0005-0000-0000-000090030000}"/>
    <cellStyle name="Entrada 2 3 2" xfId="1352" xr:uid="{00000000-0005-0000-0000-000091030000}"/>
    <cellStyle name="Entrada 2 3 2 2" xfId="2074" xr:uid="{00000000-0005-0000-0000-000092030000}"/>
    <cellStyle name="Entrada 2 3 2 3" xfId="2689" xr:uid="{00000000-0005-0000-0000-000093030000}"/>
    <cellStyle name="Entrada 2 3 2 4" xfId="3233" xr:uid="{00000000-0005-0000-0000-000094030000}"/>
    <cellStyle name="Entrada 2 3 3" xfId="1038" xr:uid="{00000000-0005-0000-0000-000095030000}"/>
    <cellStyle name="Entrada 2 3 3 2" xfId="1904" xr:uid="{00000000-0005-0000-0000-000096030000}"/>
    <cellStyle name="Entrada 2 3 3 3" xfId="2527" xr:uid="{00000000-0005-0000-0000-000097030000}"/>
    <cellStyle name="Entrada 2 3 3 4" xfId="3076" xr:uid="{00000000-0005-0000-0000-000098030000}"/>
    <cellStyle name="Entrada 2 3 4" xfId="1545" xr:uid="{00000000-0005-0000-0000-000099030000}"/>
    <cellStyle name="Entrada 2 3 4 2" xfId="2225" xr:uid="{00000000-0005-0000-0000-00009A030000}"/>
    <cellStyle name="Entrada 2 3 4 3" xfId="2833" xr:uid="{00000000-0005-0000-0000-00009B030000}"/>
    <cellStyle name="Entrada 2 3 4 4" xfId="3373" xr:uid="{00000000-0005-0000-0000-00009C030000}"/>
    <cellStyle name="Entrada 2 3 5" xfId="1110" xr:uid="{00000000-0005-0000-0000-00009D030000}"/>
    <cellStyle name="Entrada 2 3 5 2" xfId="1946" xr:uid="{00000000-0005-0000-0000-00009E030000}"/>
    <cellStyle name="Entrada 2 3 5 3" xfId="2565" xr:uid="{00000000-0005-0000-0000-00009F030000}"/>
    <cellStyle name="Entrada 2 3 5 4" xfId="3113" xr:uid="{00000000-0005-0000-0000-0000A0030000}"/>
    <cellStyle name="Entrada 2 3 6" xfId="1800" xr:uid="{00000000-0005-0000-0000-0000A1030000}"/>
    <cellStyle name="Entrada 2 3 6 2" xfId="2438" xr:uid="{00000000-0005-0000-0000-0000A2030000}"/>
    <cellStyle name="Entrada 2 3 6 3" xfId="2994" xr:uid="{00000000-0005-0000-0000-0000A3030000}"/>
    <cellStyle name="Entrada 2 3 7" xfId="1675" xr:uid="{00000000-0005-0000-0000-0000A4030000}"/>
    <cellStyle name="Entrada 2 3 8" xfId="1500" xr:uid="{00000000-0005-0000-0000-0000A5030000}"/>
    <cellStyle name="Entrada 2 3 9" xfId="1016" xr:uid="{00000000-0005-0000-0000-0000A6030000}"/>
    <cellStyle name="Entrada 2 4" xfId="1132" xr:uid="{00000000-0005-0000-0000-0000A7030000}"/>
    <cellStyle name="Entrada 2 4 2" xfId="1957" xr:uid="{00000000-0005-0000-0000-0000A8030000}"/>
    <cellStyle name="Entrada 2 4 3" xfId="2576" xr:uid="{00000000-0005-0000-0000-0000A9030000}"/>
    <cellStyle name="Entrada 2 4 4" xfId="3122" xr:uid="{00000000-0005-0000-0000-0000AA030000}"/>
    <cellStyle name="Entrada 2 5" xfId="1187" xr:uid="{00000000-0005-0000-0000-0000AB030000}"/>
    <cellStyle name="Entrada 2 5 2" xfId="1979" xr:uid="{00000000-0005-0000-0000-0000AC030000}"/>
    <cellStyle name="Entrada 2 5 3" xfId="2597" xr:uid="{00000000-0005-0000-0000-0000AD030000}"/>
    <cellStyle name="Entrada 2 5 4" xfId="3142" xr:uid="{00000000-0005-0000-0000-0000AE030000}"/>
    <cellStyle name="Entrada 2 6" xfId="1154" xr:uid="{00000000-0005-0000-0000-0000AF030000}"/>
    <cellStyle name="Entrada 2 6 2" xfId="1970" xr:uid="{00000000-0005-0000-0000-0000B0030000}"/>
    <cellStyle name="Entrada 2 6 3" xfId="2589" xr:uid="{00000000-0005-0000-0000-0000B1030000}"/>
    <cellStyle name="Entrada 2 6 4" xfId="3134" xr:uid="{00000000-0005-0000-0000-0000B2030000}"/>
    <cellStyle name="Entrada 2 7" xfId="1748" xr:uid="{00000000-0005-0000-0000-0000B3030000}"/>
    <cellStyle name="Entrada 2 7 2" xfId="2394" xr:uid="{00000000-0005-0000-0000-0000B4030000}"/>
    <cellStyle name="Entrada 2 7 3" xfId="2951" xr:uid="{00000000-0005-0000-0000-0000B5030000}"/>
    <cellStyle name="Entrada 2 8" xfId="1169" xr:uid="{00000000-0005-0000-0000-0000B6030000}"/>
    <cellStyle name="Entrada 2 9" xfId="1175" xr:uid="{00000000-0005-0000-0000-0000B7030000}"/>
    <cellStyle name="Entrada 3" xfId="704" xr:uid="{00000000-0005-0000-0000-0000B8030000}"/>
    <cellStyle name="Entrada 4" xfId="315" xr:uid="{00000000-0005-0000-0000-0000B9030000}"/>
    <cellStyle name="Entrada 4 2" xfId="844" xr:uid="{00000000-0005-0000-0000-0000BA030000}"/>
    <cellStyle name="Entrada 4 2 10" xfId="1020" xr:uid="{00000000-0005-0000-0000-0000BB030000}"/>
    <cellStyle name="Entrada 4 2 2" xfId="1389" xr:uid="{00000000-0005-0000-0000-0000BC030000}"/>
    <cellStyle name="Entrada 4 2 2 2" xfId="2105" xr:uid="{00000000-0005-0000-0000-0000BD030000}"/>
    <cellStyle name="Entrada 4 2 2 3" xfId="2719" xr:uid="{00000000-0005-0000-0000-0000BE030000}"/>
    <cellStyle name="Entrada 4 2 2 4" xfId="3262" xr:uid="{00000000-0005-0000-0000-0000BF030000}"/>
    <cellStyle name="Entrada 4 2 3" xfId="1022" xr:uid="{00000000-0005-0000-0000-0000C0030000}"/>
    <cellStyle name="Entrada 4 2 3 2" xfId="1892" xr:uid="{00000000-0005-0000-0000-0000C1030000}"/>
    <cellStyle name="Entrada 4 2 3 3" xfId="2515" xr:uid="{00000000-0005-0000-0000-0000C2030000}"/>
    <cellStyle name="Entrada 4 2 3 4" xfId="3067" xr:uid="{00000000-0005-0000-0000-0000C3030000}"/>
    <cellStyle name="Entrada 4 2 4" xfId="1325" xr:uid="{00000000-0005-0000-0000-0000C4030000}"/>
    <cellStyle name="Entrada 4 2 4 2" xfId="2056" xr:uid="{00000000-0005-0000-0000-0000C5030000}"/>
    <cellStyle name="Entrada 4 2 4 3" xfId="2672" xr:uid="{00000000-0005-0000-0000-0000C6030000}"/>
    <cellStyle name="Entrada 4 2 4 4" xfId="3216" xr:uid="{00000000-0005-0000-0000-0000C7030000}"/>
    <cellStyle name="Entrada 4 2 5" xfId="1603" xr:uid="{00000000-0005-0000-0000-0000C8030000}"/>
    <cellStyle name="Entrada 4 2 5 2" xfId="2261" xr:uid="{00000000-0005-0000-0000-0000C9030000}"/>
    <cellStyle name="Entrada 4 2 5 3" xfId="2866" xr:uid="{00000000-0005-0000-0000-0000CA030000}"/>
    <cellStyle name="Entrada 4 2 5 4" xfId="3405" xr:uid="{00000000-0005-0000-0000-0000CB030000}"/>
    <cellStyle name="Entrada 4 2 6" xfId="1819" xr:uid="{00000000-0005-0000-0000-0000CC030000}"/>
    <cellStyle name="Entrada 4 2 6 2" xfId="2454" xr:uid="{00000000-0005-0000-0000-0000CD030000}"/>
    <cellStyle name="Entrada 4 2 6 3" xfId="3009" xr:uid="{00000000-0005-0000-0000-0000CE030000}"/>
    <cellStyle name="Entrada 4 2 7" xfId="1806" xr:uid="{00000000-0005-0000-0000-0000CF030000}"/>
    <cellStyle name="Entrada 4 2 7 2" xfId="2443" xr:uid="{00000000-0005-0000-0000-0000D0030000}"/>
    <cellStyle name="Entrada 4 2 7 3" xfId="2998" xr:uid="{00000000-0005-0000-0000-0000D1030000}"/>
    <cellStyle name="Entrada 4 2 8" xfId="1113" xr:uid="{00000000-0005-0000-0000-0000D2030000}"/>
    <cellStyle name="Entrada 4 2 9" xfId="1714" xr:uid="{00000000-0005-0000-0000-0000D3030000}"/>
    <cellStyle name="Entrada 4 3" xfId="1131" xr:uid="{00000000-0005-0000-0000-0000D4030000}"/>
    <cellStyle name="Entrada 4 3 2" xfId="1956" xr:uid="{00000000-0005-0000-0000-0000D5030000}"/>
    <cellStyle name="Entrada 4 3 3" xfId="2575" xr:uid="{00000000-0005-0000-0000-0000D6030000}"/>
    <cellStyle name="Entrada 4 3 4" xfId="3121" xr:uid="{00000000-0005-0000-0000-0000D7030000}"/>
    <cellStyle name="Entrada 4 4" xfId="1188" xr:uid="{00000000-0005-0000-0000-0000D8030000}"/>
    <cellStyle name="Entrada 4 4 2" xfId="1980" xr:uid="{00000000-0005-0000-0000-0000D9030000}"/>
    <cellStyle name="Entrada 4 4 3" xfId="2598" xr:uid="{00000000-0005-0000-0000-0000DA030000}"/>
    <cellStyle name="Entrada 4 4 4" xfId="3143" xr:uid="{00000000-0005-0000-0000-0000DB030000}"/>
    <cellStyle name="Entrada 4 5" xfId="1355" xr:uid="{00000000-0005-0000-0000-0000DC030000}"/>
    <cellStyle name="Entrada 4 5 2" xfId="2077" xr:uid="{00000000-0005-0000-0000-0000DD030000}"/>
    <cellStyle name="Entrada 4 5 3" xfId="2692" xr:uid="{00000000-0005-0000-0000-0000DE030000}"/>
    <cellStyle name="Entrada 4 5 4" xfId="3236" xr:uid="{00000000-0005-0000-0000-0000DF030000}"/>
    <cellStyle name="Entrada 4 6" xfId="1747" xr:uid="{00000000-0005-0000-0000-0000E0030000}"/>
    <cellStyle name="Entrada 4 6 2" xfId="2393" xr:uid="{00000000-0005-0000-0000-0000E1030000}"/>
    <cellStyle name="Entrada 4 6 3" xfId="2950" xr:uid="{00000000-0005-0000-0000-0000E2030000}"/>
    <cellStyle name="Entrada 4 7" xfId="1168" xr:uid="{00000000-0005-0000-0000-0000E3030000}"/>
    <cellStyle name="Entrada 4 8" xfId="1176" xr:uid="{00000000-0005-0000-0000-0000E4030000}"/>
    <cellStyle name="Entrada 4 9" xfId="2369" xr:uid="{00000000-0005-0000-0000-0000E5030000}"/>
    <cellStyle name="Entrada 5" xfId="780" xr:uid="{00000000-0005-0000-0000-0000E6030000}"/>
    <cellStyle name="Entrada 5 2" xfId="1351" xr:uid="{00000000-0005-0000-0000-0000E7030000}"/>
    <cellStyle name="Entrada 5 2 2" xfId="2073" xr:uid="{00000000-0005-0000-0000-0000E8030000}"/>
    <cellStyle name="Entrada 5 2 3" xfId="2688" xr:uid="{00000000-0005-0000-0000-0000E9030000}"/>
    <cellStyle name="Entrada 5 2 4" xfId="3232" xr:uid="{00000000-0005-0000-0000-0000EA030000}"/>
    <cellStyle name="Entrada 5 3" xfId="1041" xr:uid="{00000000-0005-0000-0000-0000EB030000}"/>
    <cellStyle name="Entrada 5 3 2" xfId="1907" xr:uid="{00000000-0005-0000-0000-0000EC030000}"/>
    <cellStyle name="Entrada 5 3 3" xfId="2529" xr:uid="{00000000-0005-0000-0000-0000ED030000}"/>
    <cellStyle name="Entrada 5 3 4" xfId="3078" xr:uid="{00000000-0005-0000-0000-0000EE030000}"/>
    <cellStyle name="Entrada 5 4" xfId="1371" xr:uid="{00000000-0005-0000-0000-0000EF030000}"/>
    <cellStyle name="Entrada 5 4 2" xfId="2089" xr:uid="{00000000-0005-0000-0000-0000F0030000}"/>
    <cellStyle name="Entrada 5 4 3" xfId="2703" xr:uid="{00000000-0005-0000-0000-0000F1030000}"/>
    <cellStyle name="Entrada 5 4 4" xfId="3247" xr:uid="{00000000-0005-0000-0000-0000F2030000}"/>
    <cellStyle name="Entrada 5 5" xfId="1308" xr:uid="{00000000-0005-0000-0000-0000F3030000}"/>
    <cellStyle name="Entrada 5 5 2" xfId="2049" xr:uid="{00000000-0005-0000-0000-0000F4030000}"/>
    <cellStyle name="Entrada 5 5 3" xfId="2665" xr:uid="{00000000-0005-0000-0000-0000F5030000}"/>
    <cellStyle name="Entrada 5 5 4" xfId="3209" xr:uid="{00000000-0005-0000-0000-0000F6030000}"/>
    <cellStyle name="Entrada 5 6" xfId="1799" xr:uid="{00000000-0005-0000-0000-0000F7030000}"/>
    <cellStyle name="Entrada 5 6 2" xfId="2437" xr:uid="{00000000-0005-0000-0000-0000F8030000}"/>
    <cellStyle name="Entrada 5 6 3" xfId="2993" xr:uid="{00000000-0005-0000-0000-0000F9030000}"/>
    <cellStyle name="Entrada 5 7" xfId="1321" xr:uid="{00000000-0005-0000-0000-0000FA030000}"/>
    <cellStyle name="Entrada 5 8" xfId="1470" xr:uid="{00000000-0005-0000-0000-0000FB030000}"/>
    <cellStyle name="Entrada 5 9" xfId="1532" xr:uid="{00000000-0005-0000-0000-0000FC030000}"/>
    <cellStyle name="Estilo 1" xfId="317" xr:uid="{00000000-0005-0000-0000-0000FD030000}"/>
    <cellStyle name="Euro" xfId="318" xr:uid="{00000000-0005-0000-0000-0000FE030000}"/>
    <cellStyle name="Euro 2" xfId="319" xr:uid="{00000000-0005-0000-0000-0000FF030000}"/>
    <cellStyle name="Euro 3" xfId="320" xr:uid="{00000000-0005-0000-0000-000000040000}"/>
    <cellStyle name="Explanatory Text 2" xfId="321" xr:uid="{00000000-0005-0000-0000-000001040000}"/>
    <cellStyle name="Explanatory Text 2 2" xfId="322" xr:uid="{00000000-0005-0000-0000-000002040000}"/>
    <cellStyle name="Explanatory Text 2 3" xfId="323" xr:uid="{00000000-0005-0000-0000-000003040000}"/>
    <cellStyle name="Ezres [0]_Inhalt " xfId="324" xr:uid="{00000000-0005-0000-0000-000004040000}"/>
    <cellStyle name="Ezres_Inhalt " xfId="325" xr:uid="{00000000-0005-0000-0000-000005040000}"/>
    <cellStyle name="F2" xfId="326" xr:uid="{00000000-0005-0000-0000-000006040000}"/>
    <cellStyle name="F3" xfId="327" xr:uid="{00000000-0005-0000-0000-000007040000}"/>
    <cellStyle name="F4" xfId="328" xr:uid="{00000000-0005-0000-0000-000008040000}"/>
    <cellStyle name="F5" xfId="329" xr:uid="{00000000-0005-0000-0000-000009040000}"/>
    <cellStyle name="F6" xfId="330" xr:uid="{00000000-0005-0000-0000-00000A040000}"/>
    <cellStyle name="F7" xfId="331" xr:uid="{00000000-0005-0000-0000-00000B040000}"/>
    <cellStyle name="F8" xfId="332" xr:uid="{00000000-0005-0000-0000-00000C040000}"/>
    <cellStyle name="Financier0" xfId="333" xr:uid="{00000000-0005-0000-0000-00000D040000}"/>
    <cellStyle name="Fixed" xfId="334" xr:uid="{00000000-0005-0000-0000-00000E040000}"/>
    <cellStyle name="Fixed [0]" xfId="335" xr:uid="{00000000-0005-0000-0000-00000F040000}"/>
    <cellStyle name="Followed Hyperlink" xfId="336" xr:uid="{00000000-0005-0000-0000-000010040000}"/>
    <cellStyle name="FRxAmtStyle" xfId="337" xr:uid="{00000000-0005-0000-0000-000011040000}"/>
    <cellStyle name="GMRRatio" xfId="338" xr:uid="{00000000-0005-0000-0000-000012040000}"/>
    <cellStyle name="GMRRepCur" xfId="339" xr:uid="{00000000-0005-0000-0000-000013040000}"/>
    <cellStyle name="Good 2" xfId="340" xr:uid="{00000000-0005-0000-0000-000014040000}"/>
    <cellStyle name="Grey" xfId="341" xr:uid="{00000000-0005-0000-0000-000015040000}"/>
    <cellStyle name="Header1" xfId="342" xr:uid="{00000000-0005-0000-0000-000016040000}"/>
    <cellStyle name="Header1 2" xfId="849" xr:uid="{00000000-0005-0000-0000-000017040000}"/>
    <cellStyle name="Header1 2 2" xfId="1548" xr:uid="{00000000-0005-0000-0000-000018040000}"/>
    <cellStyle name="Header1 2 2 2" xfId="2227" xr:uid="{00000000-0005-0000-0000-000019040000}"/>
    <cellStyle name="Header1 2 2 3" xfId="2835" xr:uid="{00000000-0005-0000-0000-00001A040000}"/>
    <cellStyle name="Header1 2 2 4" xfId="3375" xr:uid="{00000000-0005-0000-0000-00001B040000}"/>
    <cellStyle name="Header1 2 3" xfId="1823" xr:uid="{00000000-0005-0000-0000-00001C040000}"/>
    <cellStyle name="Header1 2 3 2" xfId="2458" xr:uid="{00000000-0005-0000-0000-00001D040000}"/>
    <cellStyle name="Header1 2 3 3" xfId="3013" xr:uid="{00000000-0005-0000-0000-00001E040000}"/>
    <cellStyle name="Header1 2 4" xfId="1573" xr:uid="{00000000-0005-0000-0000-00001F040000}"/>
    <cellStyle name="Header1 3" xfId="935" xr:uid="{00000000-0005-0000-0000-000020040000}"/>
    <cellStyle name="Header1 3 2" xfId="1537" xr:uid="{00000000-0005-0000-0000-000021040000}"/>
    <cellStyle name="Header1 3 2 2" xfId="2218" xr:uid="{00000000-0005-0000-0000-000022040000}"/>
    <cellStyle name="Header1 3 2 3" xfId="2826" xr:uid="{00000000-0005-0000-0000-000023040000}"/>
    <cellStyle name="Header1 3 2 4" xfId="3367" xr:uid="{00000000-0005-0000-0000-000024040000}"/>
    <cellStyle name="Header1 3 3" xfId="1600" xr:uid="{00000000-0005-0000-0000-000025040000}"/>
    <cellStyle name="Header1 3 3 2" xfId="2258" xr:uid="{00000000-0005-0000-0000-000026040000}"/>
    <cellStyle name="Header1 3 3 3" xfId="2863" xr:uid="{00000000-0005-0000-0000-000027040000}"/>
    <cellStyle name="Header1 3 3 4" xfId="3402" xr:uid="{00000000-0005-0000-0000-000028040000}"/>
    <cellStyle name="Header1 3 4" xfId="1875" xr:uid="{00000000-0005-0000-0000-000029040000}"/>
    <cellStyle name="Header1 3 4 2" xfId="2501" xr:uid="{00000000-0005-0000-0000-00002A040000}"/>
    <cellStyle name="Header1 3 4 3" xfId="3054" xr:uid="{00000000-0005-0000-0000-00002B040000}"/>
    <cellStyle name="Header1 3 5" xfId="1708" xr:uid="{00000000-0005-0000-0000-00002C040000}"/>
    <cellStyle name="Header1 3 6" xfId="2358" xr:uid="{00000000-0005-0000-0000-00002D040000}"/>
    <cellStyle name="Header1 4" xfId="998" xr:uid="{00000000-0005-0000-0000-00002E040000}"/>
    <cellStyle name="Header1 4 2" xfId="1570" xr:uid="{00000000-0005-0000-0000-00002F040000}"/>
    <cellStyle name="Header1 4 2 2" xfId="2238" xr:uid="{00000000-0005-0000-0000-000030040000}"/>
    <cellStyle name="Header1 4 2 3" xfId="2845" xr:uid="{00000000-0005-0000-0000-000031040000}"/>
    <cellStyle name="Header1 4 2 4" xfId="3384" xr:uid="{00000000-0005-0000-0000-000032040000}"/>
    <cellStyle name="Header1 4 3" xfId="1626" xr:uid="{00000000-0005-0000-0000-000033040000}"/>
    <cellStyle name="Header1 4 3 2" xfId="2266" xr:uid="{00000000-0005-0000-0000-000034040000}"/>
    <cellStyle name="Header1 4 3 3" xfId="2870" xr:uid="{00000000-0005-0000-0000-000035040000}"/>
    <cellStyle name="Header1 4 3 4" xfId="3408" xr:uid="{00000000-0005-0000-0000-000036040000}"/>
    <cellStyle name="Header1 4 4" xfId="1881" xr:uid="{00000000-0005-0000-0000-000037040000}"/>
    <cellStyle name="Header1 4 4 2" xfId="2506" xr:uid="{00000000-0005-0000-0000-000038040000}"/>
    <cellStyle name="Header1 4 4 3" xfId="3059" xr:uid="{00000000-0005-0000-0000-000039040000}"/>
    <cellStyle name="Header1 4 5" xfId="1727" xr:uid="{00000000-0005-0000-0000-00003A040000}"/>
    <cellStyle name="Header1 4 6" xfId="2379" xr:uid="{00000000-0005-0000-0000-00003B040000}"/>
    <cellStyle name="Header1 5" xfId="782" xr:uid="{00000000-0005-0000-0000-00003C040000}"/>
    <cellStyle name="Header1 5 2" xfId="1243" xr:uid="{00000000-0005-0000-0000-00003D040000}"/>
    <cellStyle name="Header1 5 2 2" xfId="2002" xr:uid="{00000000-0005-0000-0000-00003E040000}"/>
    <cellStyle name="Header1 5 2 3" xfId="2618" xr:uid="{00000000-0005-0000-0000-00003F040000}"/>
    <cellStyle name="Header1 5 2 4" xfId="3163" xr:uid="{00000000-0005-0000-0000-000040040000}"/>
    <cellStyle name="Header1 5 3" xfId="1801" xr:uid="{00000000-0005-0000-0000-000041040000}"/>
    <cellStyle name="Header1 5 3 2" xfId="2439" xr:uid="{00000000-0005-0000-0000-000042040000}"/>
    <cellStyle name="Header1 5 3 3" xfId="2995" xr:uid="{00000000-0005-0000-0000-000043040000}"/>
    <cellStyle name="Header1 5 4" xfId="1604" xr:uid="{00000000-0005-0000-0000-000044040000}"/>
    <cellStyle name="Header1 6" xfId="1749" xr:uid="{00000000-0005-0000-0000-000045040000}"/>
    <cellStyle name="Header1 6 2" xfId="2395" xr:uid="{00000000-0005-0000-0000-000046040000}"/>
    <cellStyle name="Header1 6 3" xfId="2952" xr:uid="{00000000-0005-0000-0000-000047040000}"/>
    <cellStyle name="Header1 7" xfId="1009" xr:uid="{00000000-0005-0000-0000-000048040000}"/>
    <cellStyle name="Header-1-1" xfId="343" xr:uid="{00000000-0005-0000-0000-000049040000}"/>
    <cellStyle name="Header2" xfId="344" xr:uid="{00000000-0005-0000-0000-00004A040000}"/>
    <cellStyle name="Header-2" xfId="345" xr:uid="{00000000-0005-0000-0000-00004B040000}"/>
    <cellStyle name="Header2 10" xfId="783" xr:uid="{00000000-0005-0000-0000-00004C040000}"/>
    <cellStyle name="Header2 10 2" xfId="1354" xr:uid="{00000000-0005-0000-0000-00004D040000}"/>
    <cellStyle name="Header2 10 2 2" xfId="2076" xr:uid="{00000000-0005-0000-0000-00004E040000}"/>
    <cellStyle name="Header2 10 2 3" xfId="2691" xr:uid="{00000000-0005-0000-0000-00004F040000}"/>
    <cellStyle name="Header2 10 2 4" xfId="3235" xr:uid="{00000000-0005-0000-0000-000050040000}"/>
    <cellStyle name="Header2 10 3" xfId="1802" xr:uid="{00000000-0005-0000-0000-000051040000}"/>
    <cellStyle name="Header2 10 3 2" xfId="2440" xr:uid="{00000000-0005-0000-0000-000052040000}"/>
    <cellStyle name="Header2 10 3 3" xfId="2996" xr:uid="{00000000-0005-0000-0000-000053040000}"/>
    <cellStyle name="Header2 10 4" xfId="1666" xr:uid="{00000000-0005-0000-0000-000054040000}"/>
    <cellStyle name="Header2 10 5" xfId="1255" xr:uid="{00000000-0005-0000-0000-000055040000}"/>
    <cellStyle name="Header2 10 6" xfId="1246" xr:uid="{00000000-0005-0000-0000-000056040000}"/>
    <cellStyle name="Header2 11" xfId="1147" xr:uid="{00000000-0005-0000-0000-000057040000}"/>
    <cellStyle name="Header2 11 2" xfId="1967" xr:uid="{00000000-0005-0000-0000-000058040000}"/>
    <cellStyle name="Header2 11 3" xfId="2586" xr:uid="{00000000-0005-0000-0000-000059040000}"/>
    <cellStyle name="Header2 11 4" xfId="3131" xr:uid="{00000000-0005-0000-0000-00005A040000}"/>
    <cellStyle name="Header2 12" xfId="1183" xr:uid="{00000000-0005-0000-0000-00005B040000}"/>
    <cellStyle name="Header2 12 2" xfId="1977" xr:uid="{00000000-0005-0000-0000-00005C040000}"/>
    <cellStyle name="Header2 12 3" xfId="2595" xr:uid="{00000000-0005-0000-0000-00005D040000}"/>
    <cellStyle name="Header2 12 4" xfId="3140" xr:uid="{00000000-0005-0000-0000-00005E040000}"/>
    <cellStyle name="Header2 13" xfId="1317" xr:uid="{00000000-0005-0000-0000-00005F040000}"/>
    <cellStyle name="Header2 13 2" xfId="2053" xr:uid="{00000000-0005-0000-0000-000060040000}"/>
    <cellStyle name="Header2 13 3" xfId="2669" xr:uid="{00000000-0005-0000-0000-000061040000}"/>
    <cellStyle name="Header2 13 4" xfId="3213" xr:uid="{00000000-0005-0000-0000-000062040000}"/>
    <cellStyle name="Header2 14" xfId="1245" xr:uid="{00000000-0005-0000-0000-000063040000}"/>
    <cellStyle name="Header2 14 2" xfId="2003" xr:uid="{00000000-0005-0000-0000-000064040000}"/>
    <cellStyle name="Header2 14 3" xfId="2619" xr:uid="{00000000-0005-0000-0000-000065040000}"/>
    <cellStyle name="Header2 14 4" xfId="3164" xr:uid="{00000000-0005-0000-0000-000066040000}"/>
    <cellStyle name="Header2 15" xfId="1750" xr:uid="{00000000-0005-0000-0000-000067040000}"/>
    <cellStyle name="Header2 15 2" xfId="2396" xr:uid="{00000000-0005-0000-0000-000068040000}"/>
    <cellStyle name="Header2 15 3" xfId="2953" xr:uid="{00000000-0005-0000-0000-000069040000}"/>
    <cellStyle name="Header2 16" xfId="1757" xr:uid="{00000000-0005-0000-0000-00006A040000}"/>
    <cellStyle name="Header2 16 2" xfId="2398" xr:uid="{00000000-0005-0000-0000-00006B040000}"/>
    <cellStyle name="Header2 16 3" xfId="2954" xr:uid="{00000000-0005-0000-0000-00006C040000}"/>
    <cellStyle name="Header2 17" xfId="1303" xr:uid="{00000000-0005-0000-0000-00006D040000}"/>
    <cellStyle name="Header2 18" xfId="1244" xr:uid="{00000000-0005-0000-0000-00006E040000}"/>
    <cellStyle name="Header2 19" xfId="1673" xr:uid="{00000000-0005-0000-0000-00006F040000}"/>
    <cellStyle name="Header2 2" xfId="850" xr:uid="{00000000-0005-0000-0000-000070040000}"/>
    <cellStyle name="Header2 2 2" xfId="1394" xr:uid="{00000000-0005-0000-0000-000071040000}"/>
    <cellStyle name="Header2 2 2 2" xfId="2110" xr:uid="{00000000-0005-0000-0000-000072040000}"/>
    <cellStyle name="Header2 2 2 3" xfId="2724" xr:uid="{00000000-0005-0000-0000-000073040000}"/>
    <cellStyle name="Header2 2 2 4" xfId="3267" xr:uid="{00000000-0005-0000-0000-000074040000}"/>
    <cellStyle name="Header2 2 3" xfId="1824" xr:uid="{00000000-0005-0000-0000-000075040000}"/>
    <cellStyle name="Header2 2 3 2" xfId="2459" xr:uid="{00000000-0005-0000-0000-000076040000}"/>
    <cellStyle name="Header2 2 3 3" xfId="3014" xr:uid="{00000000-0005-0000-0000-000077040000}"/>
    <cellStyle name="Header2 2 4" xfId="1572" xr:uid="{00000000-0005-0000-0000-000078040000}"/>
    <cellStyle name="Header2 2 5" xfId="1719" xr:uid="{00000000-0005-0000-0000-000079040000}"/>
    <cellStyle name="Header2 2 6" xfId="1045" xr:uid="{00000000-0005-0000-0000-00007A040000}"/>
    <cellStyle name="Header2 3" xfId="854" xr:uid="{00000000-0005-0000-0000-00007B040000}"/>
    <cellStyle name="Header2 3 2" xfId="1396" xr:uid="{00000000-0005-0000-0000-00007C040000}"/>
    <cellStyle name="Header2 3 2 2" xfId="2111" xr:uid="{00000000-0005-0000-0000-00007D040000}"/>
    <cellStyle name="Header2 3 2 3" xfId="2725" xr:uid="{00000000-0005-0000-0000-00007E040000}"/>
    <cellStyle name="Header2 3 2 4" xfId="3268" xr:uid="{00000000-0005-0000-0000-00007F040000}"/>
    <cellStyle name="Header2 3 3" xfId="1828" xr:uid="{00000000-0005-0000-0000-000080040000}"/>
    <cellStyle name="Header2 3 3 2" xfId="2461" xr:uid="{00000000-0005-0000-0000-000081040000}"/>
    <cellStyle name="Header2 3 3 3" xfId="3016" xr:uid="{00000000-0005-0000-0000-000082040000}"/>
    <cellStyle name="Header2 3 4" xfId="1116" xr:uid="{00000000-0005-0000-0000-000083040000}"/>
    <cellStyle name="Header2 3 5" xfId="1709" xr:uid="{00000000-0005-0000-0000-000084040000}"/>
    <cellStyle name="Header2 3 6" xfId="1061" xr:uid="{00000000-0005-0000-0000-000085040000}"/>
    <cellStyle name="Header2 4" xfId="934" xr:uid="{00000000-0005-0000-0000-000086040000}"/>
    <cellStyle name="Header2 4 2" xfId="1452" xr:uid="{00000000-0005-0000-0000-000087040000}"/>
    <cellStyle name="Header2 4 2 2" xfId="2160" xr:uid="{00000000-0005-0000-0000-000088040000}"/>
    <cellStyle name="Header2 4 2 3" xfId="2771" xr:uid="{00000000-0005-0000-0000-000089040000}"/>
    <cellStyle name="Header2 4 2 4" xfId="3313" xr:uid="{00000000-0005-0000-0000-00008A040000}"/>
    <cellStyle name="Header2 4 3" xfId="1874" xr:uid="{00000000-0005-0000-0000-00008B040000}"/>
    <cellStyle name="Header2 4 3 2" xfId="2500" xr:uid="{00000000-0005-0000-0000-00008C040000}"/>
    <cellStyle name="Header2 4 3 3" xfId="3053" xr:uid="{00000000-0005-0000-0000-00008D040000}"/>
    <cellStyle name="Header2 4 4" xfId="1707" xr:uid="{00000000-0005-0000-0000-00008E040000}"/>
    <cellStyle name="Header2 4 5" xfId="2357" xr:uid="{00000000-0005-0000-0000-00008F040000}"/>
    <cellStyle name="Header2 4 6" xfId="1214" xr:uid="{00000000-0005-0000-0000-000090040000}"/>
    <cellStyle name="Header2 5" xfId="848" xr:uid="{00000000-0005-0000-0000-000091040000}"/>
    <cellStyle name="Header2 5 2" xfId="1392" xr:uid="{00000000-0005-0000-0000-000092040000}"/>
    <cellStyle name="Header2 5 2 2" xfId="2108" xr:uid="{00000000-0005-0000-0000-000093040000}"/>
    <cellStyle name="Header2 5 2 3" xfId="2722" xr:uid="{00000000-0005-0000-0000-000094040000}"/>
    <cellStyle name="Header2 5 2 4" xfId="3265" xr:uid="{00000000-0005-0000-0000-000095040000}"/>
    <cellStyle name="Header2 5 3" xfId="1822" xr:uid="{00000000-0005-0000-0000-000096040000}"/>
    <cellStyle name="Header2 5 3 2" xfId="2457" xr:uid="{00000000-0005-0000-0000-000097040000}"/>
    <cellStyle name="Header2 5 3 3" xfId="3012" xr:uid="{00000000-0005-0000-0000-000098040000}"/>
    <cellStyle name="Header2 5 4" xfId="1312" xr:uid="{00000000-0005-0000-0000-000099040000}"/>
    <cellStyle name="Header2 5 5" xfId="1682" xr:uid="{00000000-0005-0000-0000-00009A040000}"/>
    <cellStyle name="Header2 5 6" xfId="1005" xr:uid="{00000000-0005-0000-0000-00009B040000}"/>
    <cellStyle name="Header2 6" xfId="992" xr:uid="{00000000-0005-0000-0000-00009C040000}"/>
    <cellStyle name="Header2 6 2" xfId="1479" xr:uid="{00000000-0005-0000-0000-00009D040000}"/>
    <cellStyle name="Header2 6 2 2" xfId="2174" xr:uid="{00000000-0005-0000-0000-00009E040000}"/>
    <cellStyle name="Header2 6 2 3" xfId="2784" xr:uid="{00000000-0005-0000-0000-00009F040000}"/>
    <cellStyle name="Header2 6 2 4" xfId="3326" xr:uid="{00000000-0005-0000-0000-0000A0040000}"/>
    <cellStyle name="Header2 6 3" xfId="1879" xr:uid="{00000000-0005-0000-0000-0000A1040000}"/>
    <cellStyle name="Header2 6 3 2" xfId="2504" xr:uid="{00000000-0005-0000-0000-0000A2040000}"/>
    <cellStyle name="Header2 6 3 3" xfId="3057" xr:uid="{00000000-0005-0000-0000-0000A3040000}"/>
    <cellStyle name="Header2 6 4" xfId="1725" xr:uid="{00000000-0005-0000-0000-0000A4040000}"/>
    <cellStyle name="Header2 6 5" xfId="2378" xr:uid="{00000000-0005-0000-0000-0000A5040000}"/>
    <cellStyle name="Header2 6 6" xfId="2936" xr:uid="{00000000-0005-0000-0000-0000A6040000}"/>
    <cellStyle name="Header2 7" xfId="991" xr:uid="{00000000-0005-0000-0000-0000A7040000}"/>
    <cellStyle name="Header2 7 2" xfId="1478" xr:uid="{00000000-0005-0000-0000-0000A8040000}"/>
    <cellStyle name="Header2 7 2 2" xfId="2173" xr:uid="{00000000-0005-0000-0000-0000A9040000}"/>
    <cellStyle name="Header2 7 2 3" xfId="2783" xr:uid="{00000000-0005-0000-0000-0000AA040000}"/>
    <cellStyle name="Header2 7 2 4" xfId="3325" xr:uid="{00000000-0005-0000-0000-0000AB040000}"/>
    <cellStyle name="Header2 7 3" xfId="1878" xr:uid="{00000000-0005-0000-0000-0000AC040000}"/>
    <cellStyle name="Header2 7 3 2" xfId="2503" xr:uid="{00000000-0005-0000-0000-0000AD040000}"/>
    <cellStyle name="Header2 7 3 3" xfId="3056" xr:uid="{00000000-0005-0000-0000-0000AE040000}"/>
    <cellStyle name="Header2 7 4" xfId="1724" xr:uid="{00000000-0005-0000-0000-0000AF040000}"/>
    <cellStyle name="Header2 7 5" xfId="2377" xr:uid="{00000000-0005-0000-0000-0000B0040000}"/>
    <cellStyle name="Header2 7 6" xfId="2935" xr:uid="{00000000-0005-0000-0000-0000B1040000}"/>
    <cellStyle name="Header2 8" xfId="836" xr:uid="{00000000-0005-0000-0000-0000B2040000}"/>
    <cellStyle name="Header2 8 2" xfId="1384" xr:uid="{00000000-0005-0000-0000-0000B3040000}"/>
    <cellStyle name="Header2 8 2 2" xfId="2101" xr:uid="{00000000-0005-0000-0000-0000B4040000}"/>
    <cellStyle name="Header2 8 2 3" xfId="2715" xr:uid="{00000000-0005-0000-0000-0000B5040000}"/>
    <cellStyle name="Header2 8 2 4" xfId="3259" xr:uid="{00000000-0005-0000-0000-0000B6040000}"/>
    <cellStyle name="Header2 8 3" xfId="1815" xr:uid="{00000000-0005-0000-0000-0000B7040000}"/>
    <cellStyle name="Header2 8 3 2" xfId="2451" xr:uid="{00000000-0005-0000-0000-0000B8040000}"/>
    <cellStyle name="Header2 8 3 3" xfId="3006" xr:uid="{00000000-0005-0000-0000-0000B9040000}"/>
    <cellStyle name="Header2 8 4" xfId="1328" xr:uid="{00000000-0005-0000-0000-0000BA040000}"/>
    <cellStyle name="Header2 8 5" xfId="1715" xr:uid="{00000000-0005-0000-0000-0000BB040000}"/>
    <cellStyle name="Header2 8 6" xfId="2371" xr:uid="{00000000-0005-0000-0000-0000BC040000}"/>
    <cellStyle name="Header2 9" xfId="846" xr:uid="{00000000-0005-0000-0000-0000BD040000}"/>
    <cellStyle name="Header2 9 2" xfId="1391" xr:uid="{00000000-0005-0000-0000-0000BE040000}"/>
    <cellStyle name="Header2 9 2 2" xfId="2107" xr:uid="{00000000-0005-0000-0000-0000BF040000}"/>
    <cellStyle name="Header2 9 2 3" xfId="2721" xr:uid="{00000000-0005-0000-0000-0000C0040000}"/>
    <cellStyle name="Header2 9 2 4" xfId="3264" xr:uid="{00000000-0005-0000-0000-0000C1040000}"/>
    <cellStyle name="Header2 9 3" xfId="1821" xr:uid="{00000000-0005-0000-0000-0000C2040000}"/>
    <cellStyle name="Header2 9 3 2" xfId="2456" xr:uid="{00000000-0005-0000-0000-0000C3040000}"/>
    <cellStyle name="Header2 9 3 3" xfId="3011" xr:uid="{00000000-0005-0000-0000-0000C4040000}"/>
    <cellStyle name="Header2 9 4" xfId="1453" xr:uid="{00000000-0005-0000-0000-0000C5040000}"/>
    <cellStyle name="Header2 9 5" xfId="1711" xr:uid="{00000000-0005-0000-0000-0000C6040000}"/>
    <cellStyle name="Header2 9 6" xfId="1472" xr:uid="{00000000-0005-0000-0000-0000C7040000}"/>
    <cellStyle name="Header2_gráfico Ingresos por regiones  V2 Real - Jun_10" xfId="346" xr:uid="{00000000-0005-0000-0000-0000C8040000}"/>
    <cellStyle name="Header-3" xfId="347" xr:uid="{00000000-0005-0000-0000-0000C9040000}"/>
    <cellStyle name="Heading" xfId="348" xr:uid="{00000000-0005-0000-0000-0000CA040000}"/>
    <cellStyle name="Heading 1 2" xfId="349" xr:uid="{00000000-0005-0000-0000-0000CB040000}"/>
    <cellStyle name="Heading 1 2 2" xfId="350" xr:uid="{00000000-0005-0000-0000-0000CC040000}"/>
    <cellStyle name="Heading 1 2 3" xfId="351" xr:uid="{00000000-0005-0000-0000-0000CD040000}"/>
    <cellStyle name="Heading 2" xfId="851" xr:uid="{00000000-0005-0000-0000-0000CE040000}"/>
    <cellStyle name="Heading 2 2" xfId="352" xr:uid="{00000000-0005-0000-0000-0000CF040000}"/>
    <cellStyle name="Heading 2 2 2" xfId="353" xr:uid="{00000000-0005-0000-0000-0000D0040000}"/>
    <cellStyle name="Heading 2 2 3" xfId="354" xr:uid="{00000000-0005-0000-0000-0000D1040000}"/>
    <cellStyle name="Heading 2 3" xfId="1825" xr:uid="{00000000-0005-0000-0000-0000D2040000}"/>
    <cellStyle name="Heading 3" xfId="784" xr:uid="{00000000-0005-0000-0000-0000D3040000}"/>
    <cellStyle name="Heading 3 2" xfId="355" xr:uid="{00000000-0005-0000-0000-0000D4040000}"/>
    <cellStyle name="Heading 3 2 2" xfId="356" xr:uid="{00000000-0005-0000-0000-0000D5040000}"/>
    <cellStyle name="Heading 3 2 3" xfId="357" xr:uid="{00000000-0005-0000-0000-0000D6040000}"/>
    <cellStyle name="Heading 3 2 3 2" xfId="1163" xr:uid="{00000000-0005-0000-0000-0000D7040000}"/>
    <cellStyle name="Heading 3 2 3 2 2" xfId="1975" xr:uid="{00000000-0005-0000-0000-0000D8040000}"/>
    <cellStyle name="Heading 3 2 3 3" xfId="1300" xr:uid="{00000000-0005-0000-0000-0000D9040000}"/>
    <cellStyle name="Heading 3 3" xfId="1051" xr:uid="{00000000-0005-0000-0000-0000DA040000}"/>
    <cellStyle name="Heading 3 3 2" xfId="1911" xr:uid="{00000000-0005-0000-0000-0000DB040000}"/>
    <cellStyle name="Heading 3 4" xfId="1502" xr:uid="{00000000-0005-0000-0000-0000DC040000}"/>
    <cellStyle name="Heading 4 2" xfId="358" xr:uid="{00000000-0005-0000-0000-0000DD040000}"/>
    <cellStyle name="Heading 5" xfId="359" xr:uid="{00000000-0005-0000-0000-0000DE040000}"/>
    <cellStyle name="Heading 5 2" xfId="853" xr:uid="{00000000-0005-0000-0000-0000DF040000}"/>
    <cellStyle name="Heading 5 2 2" xfId="1827" xr:uid="{00000000-0005-0000-0000-0000E0040000}"/>
    <cellStyle name="Heading 5 3" xfId="785" xr:uid="{00000000-0005-0000-0000-0000E1040000}"/>
    <cellStyle name="Heading 5 3 2" xfId="1236" xr:uid="{00000000-0005-0000-0000-0000E2040000}"/>
    <cellStyle name="Heading 5 3 2 2" xfId="2000" xr:uid="{00000000-0005-0000-0000-0000E3040000}"/>
    <cellStyle name="Heading 5 3 3" xfId="1661" xr:uid="{00000000-0005-0000-0000-0000E4040000}"/>
    <cellStyle name="Heading 6" xfId="360" xr:uid="{00000000-0005-0000-0000-0000E5040000}"/>
    <cellStyle name="hidden" xfId="361" xr:uid="{00000000-0005-0000-0000-0000E6040000}"/>
    <cellStyle name="Hipervínculo" xfId="3494" builtinId="8"/>
    <cellStyle name="Hipervínculo 2" xfId="77" xr:uid="{00000000-0005-0000-0000-0000E8040000}"/>
    <cellStyle name="Hipervínculo 3" xfId="793" xr:uid="{00000000-0005-0000-0000-0000E9040000}"/>
    <cellStyle name="Hipervínculo 4" xfId="65" xr:uid="{00000000-0005-0000-0000-0000E7040000}"/>
    <cellStyle name="Historical" xfId="362" xr:uid="{00000000-0005-0000-0000-0000EA040000}"/>
    <cellStyle name="HMRCalculated" xfId="363" xr:uid="{00000000-0005-0000-0000-0000EB040000}"/>
    <cellStyle name="HMRCalculated 2" xfId="855" xr:uid="{00000000-0005-0000-0000-0000EC040000}"/>
    <cellStyle name="HMRCalculated 2 2" xfId="1397" xr:uid="{00000000-0005-0000-0000-0000ED040000}"/>
    <cellStyle name="HMRCalculated 2 2 2" xfId="2112" xr:uid="{00000000-0005-0000-0000-0000EE040000}"/>
    <cellStyle name="HMRCalculated 2 2 3" xfId="2726" xr:uid="{00000000-0005-0000-0000-0000EF040000}"/>
    <cellStyle name="HMRCalculated 2 2 4" xfId="3269" xr:uid="{00000000-0005-0000-0000-0000F0040000}"/>
    <cellStyle name="HMRCalculated 2 3" xfId="1458" xr:uid="{00000000-0005-0000-0000-0000F1040000}"/>
    <cellStyle name="HMRCalculated 2 3 2" xfId="2163" xr:uid="{00000000-0005-0000-0000-0000F2040000}"/>
    <cellStyle name="HMRCalculated 2 3 3" xfId="2774" xr:uid="{00000000-0005-0000-0000-0000F3040000}"/>
    <cellStyle name="HMRCalculated 2 3 4" xfId="3316" xr:uid="{00000000-0005-0000-0000-0000F4040000}"/>
    <cellStyle name="HMRCalculated 2 4" xfId="1829" xr:uid="{00000000-0005-0000-0000-0000F5040000}"/>
    <cellStyle name="HMRCalculated 2 4 2" xfId="2462" xr:uid="{00000000-0005-0000-0000-0000F6040000}"/>
    <cellStyle name="HMRCalculated 2 5" xfId="1732" xr:uid="{00000000-0005-0000-0000-0000F7040000}"/>
    <cellStyle name="HMRCalculated 2 5 2" xfId="2380" xr:uid="{00000000-0005-0000-0000-0000F8040000}"/>
    <cellStyle name="HMRCalculated 3" xfId="786" xr:uid="{00000000-0005-0000-0000-0000F9040000}"/>
    <cellStyle name="HMRCalculated 3 2" xfId="1356" xr:uid="{00000000-0005-0000-0000-0000FA040000}"/>
    <cellStyle name="HMRCalculated 3 2 2" xfId="2078" xr:uid="{00000000-0005-0000-0000-0000FB040000}"/>
    <cellStyle name="HMRCalculated 3 2 3" xfId="2693" xr:uid="{00000000-0005-0000-0000-0000FC040000}"/>
    <cellStyle name="HMRCalculated 3 2 4" xfId="3237" xr:uid="{00000000-0005-0000-0000-0000FD040000}"/>
    <cellStyle name="HMRCalculated 3 3" xfId="1383" xr:uid="{00000000-0005-0000-0000-0000FE040000}"/>
    <cellStyle name="HMRCalculated 3 3 2" xfId="2100" xr:uid="{00000000-0005-0000-0000-0000FF040000}"/>
    <cellStyle name="HMRCalculated 3 3 3" xfId="2714" xr:uid="{00000000-0005-0000-0000-000000050000}"/>
    <cellStyle name="HMRCalculated 3 3 4" xfId="3258" xr:uid="{00000000-0005-0000-0000-000001050000}"/>
    <cellStyle name="HMRCalculated 3 4" xfId="1803" xr:uid="{00000000-0005-0000-0000-000002050000}"/>
    <cellStyle name="HMRCalculated 3 4 2" xfId="2441" xr:uid="{00000000-0005-0000-0000-000003050000}"/>
    <cellStyle name="HMRCalculated 3 5" xfId="1737" xr:uid="{00000000-0005-0000-0000-000004050000}"/>
    <cellStyle name="HMRCalculated 3 5 2" xfId="2385" xr:uid="{00000000-0005-0000-0000-000005050000}"/>
    <cellStyle name="HMRCalculated 4" xfId="1155" xr:uid="{00000000-0005-0000-0000-000006050000}"/>
    <cellStyle name="HMRCalculated 4 2" xfId="1971" xr:uid="{00000000-0005-0000-0000-000007050000}"/>
    <cellStyle name="HMRCalculated 4 3" xfId="2590" xr:uid="{00000000-0005-0000-0000-000008050000}"/>
    <cellStyle name="HMRCalculated 4 4" xfId="3135" xr:uid="{00000000-0005-0000-0000-000009050000}"/>
    <cellStyle name="HMRCalculated 5" xfId="1751" xr:uid="{00000000-0005-0000-0000-00000A050000}"/>
    <cellStyle name="HMRCalculated 5 2" xfId="2397" xr:uid="{00000000-0005-0000-0000-00000B050000}"/>
    <cellStyle name="HMRInput" xfId="364" xr:uid="{00000000-0005-0000-0000-00000C050000}"/>
    <cellStyle name="HMRInput 2" xfId="1156" xr:uid="{00000000-0005-0000-0000-00000D050000}"/>
    <cellStyle name="HMRInput 3" xfId="1752" xr:uid="{00000000-0005-0000-0000-00000E050000}"/>
    <cellStyle name="Hyperlink" xfId="365" xr:uid="{00000000-0005-0000-0000-00000F050000}"/>
    <cellStyle name="Hyperlink 2" xfId="3483" xr:uid="{00000000-0005-0000-0000-000010050000}"/>
    <cellStyle name="Incorrecto" xfId="26" builtinId="27" customBuiltin="1"/>
    <cellStyle name="Incorrecto 2" xfId="367" xr:uid="{00000000-0005-0000-0000-000011050000}"/>
    <cellStyle name="Incorrecto 3" xfId="703" xr:uid="{00000000-0005-0000-0000-000012050000}"/>
    <cellStyle name="Incorrecto 4" xfId="366" xr:uid="{00000000-0005-0000-0000-000013050000}"/>
    <cellStyle name="Info Cell" xfId="368" xr:uid="{00000000-0005-0000-0000-000014050000}"/>
    <cellStyle name="Information" xfId="369" xr:uid="{00000000-0005-0000-0000-000015050000}"/>
    <cellStyle name="Input [yellow]" xfId="370" xr:uid="{00000000-0005-0000-0000-000016050000}"/>
    <cellStyle name="Input [yellow] 2" xfId="856" xr:uid="{00000000-0005-0000-0000-000017050000}"/>
    <cellStyle name="Input [yellow] 2 2" xfId="1398" xr:uid="{00000000-0005-0000-0000-000018050000}"/>
    <cellStyle name="Input [yellow] 2 2 2" xfId="2113" xr:uid="{00000000-0005-0000-0000-000019050000}"/>
    <cellStyle name="Input [yellow] 2 2 3" xfId="2727" xr:uid="{00000000-0005-0000-0000-00001A050000}"/>
    <cellStyle name="Input [yellow] 2 2 4" xfId="3270" xr:uid="{00000000-0005-0000-0000-00001B050000}"/>
    <cellStyle name="Input [yellow] 2 3" xfId="1830" xr:uid="{00000000-0005-0000-0000-00001C050000}"/>
    <cellStyle name="Input [yellow] 2 4" xfId="1446" xr:uid="{00000000-0005-0000-0000-00001D050000}"/>
    <cellStyle name="Input [yellow] 2 5" xfId="1686" xr:uid="{00000000-0005-0000-0000-00001E050000}"/>
    <cellStyle name="Input [yellow] 2 6" xfId="1135" xr:uid="{00000000-0005-0000-0000-00001F050000}"/>
    <cellStyle name="Input [yellow] 3" xfId="847" xr:uid="{00000000-0005-0000-0000-000020050000}"/>
    <cellStyle name="Input [yellow] 3 2" xfId="1103" xr:uid="{00000000-0005-0000-0000-000021050000}"/>
    <cellStyle name="Input [yellow] 4" xfId="1158" xr:uid="{00000000-0005-0000-0000-000022050000}"/>
    <cellStyle name="Input [yellow] 4 2" xfId="1972" xr:uid="{00000000-0005-0000-0000-000023050000}"/>
    <cellStyle name="Input [yellow] 4 3" xfId="2591" xr:uid="{00000000-0005-0000-0000-000024050000}"/>
    <cellStyle name="Input [yellow] 4 4" xfId="3136" xr:uid="{00000000-0005-0000-0000-000025050000}"/>
    <cellStyle name="Input [yellow] 5" xfId="1465" xr:uid="{00000000-0005-0000-0000-000026050000}"/>
    <cellStyle name="Input [yellow] 6" xfId="1672" xr:uid="{00000000-0005-0000-0000-000027050000}"/>
    <cellStyle name="Input [yellow] 7" xfId="1115" xr:uid="{00000000-0005-0000-0000-000028050000}"/>
    <cellStyle name="Input 2" xfId="371" xr:uid="{00000000-0005-0000-0000-000029050000}"/>
    <cellStyle name="Input Currency" xfId="372" xr:uid="{00000000-0005-0000-0000-00002A050000}"/>
    <cellStyle name="Input Currency 2" xfId="857" xr:uid="{00000000-0005-0000-0000-00002B050000}"/>
    <cellStyle name="Input Date" xfId="373" xr:uid="{00000000-0005-0000-0000-00002C050000}"/>
    <cellStyle name="Input Fixed [0]" xfId="374" xr:uid="{00000000-0005-0000-0000-00002D050000}"/>
    <cellStyle name="Input Normal" xfId="375" xr:uid="{00000000-0005-0000-0000-00002E050000}"/>
    <cellStyle name="input override" xfId="376" xr:uid="{00000000-0005-0000-0000-00002F050000}"/>
    <cellStyle name="Input Percent" xfId="377" xr:uid="{00000000-0005-0000-0000-000030050000}"/>
    <cellStyle name="Input Percent [2]" xfId="378" xr:uid="{00000000-0005-0000-0000-000031050000}"/>
    <cellStyle name="Input Percent_~2144771" xfId="379" xr:uid="{00000000-0005-0000-0000-000032050000}"/>
    <cellStyle name="Input Titles" xfId="380" xr:uid="{00000000-0005-0000-0000-000033050000}"/>
    <cellStyle name="InputCell" xfId="381" xr:uid="{00000000-0005-0000-0000-000034050000}"/>
    <cellStyle name="InputCell 2" xfId="858" xr:uid="{00000000-0005-0000-0000-000035050000}"/>
    <cellStyle name="InputCell 2 2" xfId="1399" xr:uid="{00000000-0005-0000-0000-000036050000}"/>
    <cellStyle name="InputCell 2 2 2" xfId="2114" xr:uid="{00000000-0005-0000-0000-000037050000}"/>
    <cellStyle name="InputCell 2 3" xfId="1044" xr:uid="{00000000-0005-0000-0000-000038050000}"/>
    <cellStyle name="InputCell 2 3 2" xfId="1909" xr:uid="{00000000-0005-0000-0000-000039050000}"/>
    <cellStyle name="InputCell 2 3 3" xfId="2531" xr:uid="{00000000-0005-0000-0000-00003A050000}"/>
    <cellStyle name="InputCell 2 4" xfId="1023" xr:uid="{00000000-0005-0000-0000-00003B050000}"/>
    <cellStyle name="InputCell 3" xfId="921" xr:uid="{00000000-0005-0000-0000-00003C050000}"/>
    <cellStyle name="InputCell 3 2" xfId="1654" xr:uid="{00000000-0005-0000-0000-00003D050000}"/>
    <cellStyle name="InputCell 3 2 2" xfId="2292" xr:uid="{00000000-0005-0000-0000-00003E050000}"/>
    <cellStyle name="InputCell 3 2 3" xfId="2895" xr:uid="{00000000-0005-0000-0000-00003F050000}"/>
    <cellStyle name="InputCell 3 3" xfId="1870" xr:uid="{00000000-0005-0000-0000-000040050000}"/>
    <cellStyle name="InputCell 3 3 2" xfId="2496" xr:uid="{00000000-0005-0000-0000-000041050000}"/>
    <cellStyle name="InputCell 3 4" xfId="1704" xr:uid="{00000000-0005-0000-0000-000042050000}"/>
    <cellStyle name="InputCell 3 5" xfId="1665" xr:uid="{00000000-0005-0000-0000-000043050000}"/>
    <cellStyle name="InputCell 4" xfId="995" xr:uid="{00000000-0005-0000-0000-000044050000}"/>
    <cellStyle name="InputCell 4 2" xfId="1567" xr:uid="{00000000-0005-0000-0000-000045050000}"/>
    <cellStyle name="InputCell 4 2 2" xfId="2235" xr:uid="{00000000-0005-0000-0000-000046050000}"/>
    <cellStyle name="InputCell 4 2 3" xfId="2842" xr:uid="{00000000-0005-0000-0000-000047050000}"/>
    <cellStyle name="InputCell 4 3" xfId="1623" xr:uid="{00000000-0005-0000-0000-000048050000}"/>
    <cellStyle name="InputCell 4 3 2" xfId="2265" xr:uid="{00000000-0005-0000-0000-000049050000}"/>
    <cellStyle name="InputCell 4 3 3" xfId="2869" xr:uid="{00000000-0005-0000-0000-00004A050000}"/>
    <cellStyle name="InputCell 4 4" xfId="1880" xr:uid="{00000000-0005-0000-0000-00004B050000}"/>
    <cellStyle name="InputCell 4 4 2" xfId="2505" xr:uid="{00000000-0005-0000-0000-00004C050000}"/>
    <cellStyle name="InputCell 4 4 3" xfId="3058" xr:uid="{00000000-0005-0000-0000-00004D050000}"/>
    <cellStyle name="InputCell 4 5" xfId="1726" xr:uid="{00000000-0005-0000-0000-00004E050000}"/>
    <cellStyle name="InputCell 4 6" xfId="2937" xr:uid="{00000000-0005-0000-0000-00004F050000}"/>
    <cellStyle name="Input-Number-1" xfId="382" xr:uid="{00000000-0005-0000-0000-000050050000}"/>
    <cellStyle name="Input-Percent-1" xfId="383" xr:uid="{00000000-0005-0000-0000-000051050000}"/>
    <cellStyle name="Latest Estimate" xfId="384" xr:uid="{00000000-0005-0000-0000-000052050000}"/>
    <cellStyle name="Latest Estimate 2" xfId="1165" xr:uid="{00000000-0005-0000-0000-000053050000}"/>
    <cellStyle name="Latest Estimate 3" xfId="1753" xr:uid="{00000000-0005-0000-0000-000054050000}"/>
    <cellStyle name="Lien hypertexte" xfId="385" xr:uid="{00000000-0005-0000-0000-000055050000}"/>
    <cellStyle name="Lien hypertexte visité" xfId="386" xr:uid="{00000000-0005-0000-0000-000056050000}"/>
    <cellStyle name="Lien hypertexte_gráfico márgen ebitda Cementos Argos Corporativo ENE_10" xfId="387" xr:uid="{00000000-0005-0000-0000-000057050000}"/>
    <cellStyle name="Line" xfId="388" xr:uid="{00000000-0005-0000-0000-000058050000}"/>
    <cellStyle name="Line 2" xfId="859" xr:uid="{00000000-0005-0000-0000-000059050000}"/>
    <cellStyle name="Line 2 2" xfId="1400" xr:uid="{00000000-0005-0000-0000-00005A050000}"/>
    <cellStyle name="Line 2 2 2" xfId="2115" xr:uid="{00000000-0005-0000-0000-00005B050000}"/>
    <cellStyle name="Line 2 2 3" xfId="2728" xr:uid="{00000000-0005-0000-0000-00005C050000}"/>
    <cellStyle name="Line 2 2 4" xfId="3271" xr:uid="{00000000-0005-0000-0000-00005D050000}"/>
    <cellStyle name="Line 2 3" xfId="1831" xr:uid="{00000000-0005-0000-0000-00005E050000}"/>
    <cellStyle name="Line 2 4" xfId="1674" xr:uid="{00000000-0005-0000-0000-00005F050000}"/>
    <cellStyle name="Line 2 5" xfId="1495" xr:uid="{00000000-0005-0000-0000-000060050000}"/>
    <cellStyle name="Line 2 6" xfId="1106" xr:uid="{00000000-0005-0000-0000-000061050000}"/>
    <cellStyle name="Line 3" xfId="843" xr:uid="{00000000-0005-0000-0000-000062050000}"/>
    <cellStyle name="Line 3 2" xfId="1228" xr:uid="{00000000-0005-0000-0000-000063050000}"/>
    <cellStyle name="Line 4" xfId="1167" xr:uid="{00000000-0005-0000-0000-000064050000}"/>
    <cellStyle name="Line 4 2" xfId="1976" xr:uid="{00000000-0005-0000-0000-000065050000}"/>
    <cellStyle name="Line 4 3" xfId="2594" xr:uid="{00000000-0005-0000-0000-000066050000}"/>
    <cellStyle name="Line 4 4" xfId="3139" xr:uid="{00000000-0005-0000-0000-000067050000}"/>
    <cellStyle name="Line 5" xfId="1047" xr:uid="{00000000-0005-0000-0000-000068050000}"/>
    <cellStyle name="Line 6" xfId="1671" xr:uid="{00000000-0005-0000-0000-000069050000}"/>
    <cellStyle name="Line 7" xfId="1706" xr:uid="{00000000-0005-0000-0000-00006A050000}"/>
    <cellStyle name="Line-Item-1" xfId="389" xr:uid="{00000000-0005-0000-0000-00006B050000}"/>
    <cellStyle name="Line-Item-2" xfId="390" xr:uid="{00000000-0005-0000-0000-00006C050000}"/>
    <cellStyle name="Line-Item-Blank" xfId="391" xr:uid="{00000000-0005-0000-0000-00006D050000}"/>
    <cellStyle name="Linked Cell 2" xfId="392" xr:uid="{00000000-0005-0000-0000-00006E050000}"/>
    <cellStyle name="locked" xfId="393" xr:uid="{00000000-0005-0000-0000-00006F050000}"/>
    <cellStyle name="m/d/yy" xfId="394" xr:uid="{00000000-0005-0000-0000-000070050000}"/>
    <cellStyle name="m/d/yy 2" xfId="1170" xr:uid="{00000000-0005-0000-0000-000071050000}"/>
    <cellStyle name="m/d/yy 3" xfId="1754" xr:uid="{00000000-0005-0000-0000-000072050000}"/>
    <cellStyle name="meny_BAU" xfId="395" xr:uid="{00000000-0005-0000-0000-000073050000}"/>
    <cellStyle name="Migliaia (0)_1320 NX" xfId="396" xr:uid="{00000000-0005-0000-0000-000074050000}"/>
    <cellStyle name="Migliaia_1320 NX" xfId="397" xr:uid="{00000000-0005-0000-0000-000075050000}"/>
    <cellStyle name="Millares" xfId="1" builtinId="3"/>
    <cellStyle name="Millares [0] 2" xfId="8" xr:uid="{00000000-0005-0000-0000-000003000000}"/>
    <cellStyle name="Millares [0] 3" xfId="694" xr:uid="{00000000-0005-0000-0000-000078050000}"/>
    <cellStyle name="Millares 10" xfId="398" xr:uid="{00000000-0005-0000-0000-000079050000}"/>
    <cellStyle name="Millares 11" xfId="399" xr:uid="{00000000-0005-0000-0000-00007A050000}"/>
    <cellStyle name="Millares 12" xfId="400" xr:uid="{00000000-0005-0000-0000-00007B050000}"/>
    <cellStyle name="Millares 13" xfId="401" xr:uid="{00000000-0005-0000-0000-00007C050000}"/>
    <cellStyle name="Millares 14" xfId="402" xr:uid="{00000000-0005-0000-0000-00007D050000}"/>
    <cellStyle name="Millares 15" xfId="403" xr:uid="{00000000-0005-0000-0000-00007E050000}"/>
    <cellStyle name="Millares 16" xfId="687" xr:uid="{00000000-0005-0000-0000-00007F050000}"/>
    <cellStyle name="Millares 16 2" xfId="927" xr:uid="{00000000-0005-0000-0000-000080050000}"/>
    <cellStyle name="Millares 17" xfId="10" xr:uid="{00000000-0005-0000-0000-000004000000}"/>
    <cellStyle name="Millares 17 2" xfId="928" xr:uid="{00000000-0005-0000-0000-000082050000}"/>
    <cellStyle name="Millares 17 3" xfId="691" xr:uid="{00000000-0005-0000-0000-000081050000}"/>
    <cellStyle name="Millares 18" xfId="696" xr:uid="{00000000-0005-0000-0000-000083050000}"/>
    <cellStyle name="Millares 18 2" xfId="753" xr:uid="{00000000-0005-0000-0000-000084050000}"/>
    <cellStyle name="Millares 18 2 2" xfId="966" xr:uid="{00000000-0005-0000-0000-000085050000}"/>
    <cellStyle name="Millares 18 3" xfId="931" xr:uid="{00000000-0005-0000-0000-000086050000}"/>
    <cellStyle name="Millares 19" xfId="751" xr:uid="{00000000-0005-0000-0000-000087050000}"/>
    <cellStyle name="Millares 19 2" xfId="964" xr:uid="{00000000-0005-0000-0000-000088050000}"/>
    <cellStyle name="Millares 2" xfId="7" xr:uid="{00000000-0005-0000-0000-000005000000}"/>
    <cellStyle name="Millares 2 2" xfId="405" xr:uid="{00000000-0005-0000-0000-00008A050000}"/>
    <cellStyle name="Millares 2 2 2" xfId="406" xr:uid="{00000000-0005-0000-0000-00008B050000}"/>
    <cellStyle name="Millares 2 2 2 2" xfId="407" xr:uid="{00000000-0005-0000-0000-00008C050000}"/>
    <cellStyle name="Millares 2 2 2 2 2" xfId="860" xr:uid="{00000000-0005-0000-0000-00008D050000}"/>
    <cellStyle name="Millares 2 2 3" xfId="408" xr:uid="{00000000-0005-0000-0000-00008E050000}"/>
    <cellStyle name="Millares 2 2 3 2" xfId="409" xr:uid="{00000000-0005-0000-0000-00008F050000}"/>
    <cellStyle name="Millares 2 2 3 3" xfId="861" xr:uid="{00000000-0005-0000-0000-000090050000}"/>
    <cellStyle name="Millares 2 3" xfId="410" xr:uid="{00000000-0005-0000-0000-000091050000}"/>
    <cellStyle name="Millares 2 4" xfId="411" xr:uid="{00000000-0005-0000-0000-000092050000}"/>
    <cellStyle name="Millares 2 5" xfId="412" xr:uid="{00000000-0005-0000-0000-000093050000}"/>
    <cellStyle name="Millares 2 6" xfId="413" xr:uid="{00000000-0005-0000-0000-000094050000}"/>
    <cellStyle name="Millares 2 7" xfId="692" xr:uid="{00000000-0005-0000-0000-000095050000}"/>
    <cellStyle name="Millares 2 8" xfId="404" xr:uid="{00000000-0005-0000-0000-000096050000}"/>
    <cellStyle name="Millares 2 9" xfId="3475" xr:uid="{00000000-0005-0000-0000-000097050000}"/>
    <cellStyle name="Millares 2_Libro6 (9)" xfId="414" xr:uid="{00000000-0005-0000-0000-000098050000}"/>
    <cellStyle name="Millares 20" xfId="95" xr:uid="{00000000-0005-0000-0000-000099050000}"/>
    <cellStyle name="Millares 21" xfId="790" xr:uid="{00000000-0005-0000-0000-00009A050000}"/>
    <cellStyle name="Millares 22" xfId="924" xr:uid="{00000000-0005-0000-0000-00009B050000}"/>
    <cellStyle name="Millares 23" xfId="76" xr:uid="{00000000-0005-0000-0000-00009C050000}"/>
    <cellStyle name="Millares 24" xfId="993" xr:uid="{00000000-0005-0000-0000-00009D050000}"/>
    <cellStyle name="Millares 25" xfId="999" xr:uid="{00000000-0005-0000-0000-00009E050000}"/>
    <cellStyle name="Millares 26" xfId="1002" xr:uid="{00000000-0005-0000-0000-00009F050000}"/>
    <cellStyle name="Millares 27" xfId="990" xr:uid="{00000000-0005-0000-0000-0000A0050000}"/>
    <cellStyle name="Millares 28" xfId="889" xr:uid="{00000000-0005-0000-0000-0000A1050000}"/>
    <cellStyle name="Millares 29" xfId="986" xr:uid="{00000000-0005-0000-0000-0000A2050000}"/>
    <cellStyle name="Millares 3" xfId="88" xr:uid="{00000000-0005-0000-0000-0000A3050000}"/>
    <cellStyle name="Millares 3 2" xfId="415" xr:uid="{00000000-0005-0000-0000-0000A4050000}"/>
    <cellStyle name="Millares 3 2 2" xfId="416" xr:uid="{00000000-0005-0000-0000-0000A5050000}"/>
    <cellStyle name="Millares 3 2 3" xfId="862" xr:uid="{00000000-0005-0000-0000-0000A6050000}"/>
    <cellStyle name="Millares 3 3" xfId="417" xr:uid="{00000000-0005-0000-0000-0000A7050000}"/>
    <cellStyle name="Millares 3 3 2" xfId="418" xr:uid="{00000000-0005-0000-0000-0000A8050000}"/>
    <cellStyle name="Millares 3 3 3" xfId="863" xr:uid="{00000000-0005-0000-0000-0000A9050000}"/>
    <cellStyle name="Millares 3 4" xfId="419" xr:uid="{00000000-0005-0000-0000-0000AA050000}"/>
    <cellStyle name="Millares 3 5" xfId="799" xr:uid="{00000000-0005-0000-0000-0000AB050000}"/>
    <cellStyle name="Millares 30" xfId="689" xr:uid="{00000000-0005-0000-0000-0000AC050000}"/>
    <cellStyle name="Millares 31" xfId="90" xr:uid="{00000000-0005-0000-0000-0000AD050000}"/>
    <cellStyle name="Millares 32" xfId="92" xr:uid="{00000000-0005-0000-0000-0000AE050000}"/>
    <cellStyle name="Millares 33" xfId="72" xr:uid="{00000000-0005-0000-0000-0000AF050000}"/>
    <cellStyle name="Millares 34" xfId="82" xr:uid="{00000000-0005-0000-0000-0000B0050000}"/>
    <cellStyle name="Millares 35" xfId="1297" xr:uid="{00000000-0005-0000-0000-0000B1050000}"/>
    <cellStyle name="Millares 36" xfId="1058" xr:uid="{00000000-0005-0000-0000-0000B2050000}"/>
    <cellStyle name="Millares 37" xfId="1208" xr:uid="{00000000-0005-0000-0000-0000B3050000}"/>
    <cellStyle name="Millares 38" xfId="1730" xr:uid="{00000000-0005-0000-0000-0000B4050000}"/>
    <cellStyle name="Millares 39" xfId="1790" xr:uid="{00000000-0005-0000-0000-0000B5050000}"/>
    <cellStyle name="Millares 4" xfId="420" xr:uid="{00000000-0005-0000-0000-0000B6050000}"/>
    <cellStyle name="Millares 4 2" xfId="421" xr:uid="{00000000-0005-0000-0000-0000B7050000}"/>
    <cellStyle name="Millares 4 3" xfId="422" xr:uid="{00000000-0005-0000-0000-0000B8050000}"/>
    <cellStyle name="Millares 4 4" xfId="423" xr:uid="{00000000-0005-0000-0000-0000B9050000}"/>
    <cellStyle name="Millares 40" xfId="1128" xr:uid="{00000000-0005-0000-0000-0000BA050000}"/>
    <cellStyle name="Millares 41" xfId="1565" xr:uid="{00000000-0005-0000-0000-0000BB050000}"/>
    <cellStyle name="Millares 42" xfId="1157" xr:uid="{00000000-0005-0000-0000-0000BC050000}"/>
    <cellStyle name="Millares 43" xfId="3471" xr:uid="{00000000-0005-0000-0000-0000BD050000}"/>
    <cellStyle name="Millares 44" xfId="3479" xr:uid="{00000000-0005-0000-0000-0000BE050000}"/>
    <cellStyle name="Millares 45" xfId="17" xr:uid="{00000000-0005-0000-0000-000006000000}"/>
    <cellStyle name="Millares 45 2" xfId="3489" xr:uid="{00000000-0005-0000-0000-0000C0050000}"/>
    <cellStyle name="Millares 46" xfId="61" xr:uid="{00000000-0005-0000-0000-0000BA050000}"/>
    <cellStyle name="Millares 47" xfId="3495" xr:uid="{00000000-0005-0000-0000-0000AA0D0000}"/>
    <cellStyle name="Millares 48" xfId="3497" xr:uid="{00000000-0005-0000-0000-0000B10D0000}"/>
    <cellStyle name="Millares 49" xfId="3516" xr:uid="{00000000-0005-0000-0000-0000B20D0000}"/>
    <cellStyle name="Millares 5" xfId="424" xr:uid="{00000000-0005-0000-0000-0000C1050000}"/>
    <cellStyle name="Millares 50" xfId="3501" xr:uid="{00000000-0005-0000-0000-0000B30D0000}"/>
    <cellStyle name="Millares 51" xfId="3499" xr:uid="{00000000-0005-0000-0000-0000B40D0000}"/>
    <cellStyle name="Millares 52" xfId="3506" xr:uid="{00000000-0005-0000-0000-0000B50D0000}"/>
    <cellStyle name="Millares 53" xfId="3508" xr:uid="{00000000-0005-0000-0000-0000B60D0000}"/>
    <cellStyle name="Millares 54" xfId="3509" xr:uid="{00000000-0005-0000-0000-0000B70D0000}"/>
    <cellStyle name="Millares 55" xfId="3517" xr:uid="{00000000-0005-0000-0000-0000B80D0000}"/>
    <cellStyle name="Millares 56" xfId="3504" xr:uid="{00000000-0005-0000-0000-0000B90D0000}"/>
    <cellStyle name="Millares 57" xfId="3507" xr:uid="{00000000-0005-0000-0000-0000BA0D0000}"/>
    <cellStyle name="Millares 58" xfId="3500" xr:uid="{00000000-0005-0000-0000-0000BB0D0000}"/>
    <cellStyle name="Millares 59" xfId="3498" xr:uid="{00000000-0005-0000-0000-0000BC0D0000}"/>
    <cellStyle name="Millares 6" xfId="425" xr:uid="{00000000-0005-0000-0000-0000C2050000}"/>
    <cellStyle name="Millares 60" xfId="3505" xr:uid="{00000000-0005-0000-0000-0000BD0D0000}"/>
    <cellStyle name="Millares 61" xfId="3515" xr:uid="{00000000-0005-0000-0000-0000BE0D0000}"/>
    <cellStyle name="Millares 62" xfId="3503" xr:uid="{00000000-0005-0000-0000-0000BF0D0000}"/>
    <cellStyle name="Millares 63" xfId="3502" xr:uid="{00000000-0005-0000-0000-0000C00D0000}"/>
    <cellStyle name="Millares 7" xfId="426" xr:uid="{00000000-0005-0000-0000-0000C3050000}"/>
    <cellStyle name="Millares 8" xfId="427" xr:uid="{00000000-0005-0000-0000-0000C4050000}"/>
    <cellStyle name="Millares 9" xfId="428" xr:uid="{00000000-0005-0000-0000-0000C5050000}"/>
    <cellStyle name="Moeda [0]_DEPREC" xfId="429" xr:uid="{00000000-0005-0000-0000-0000C6050000}"/>
    <cellStyle name="Moeda_DEPREC" xfId="430" xr:uid="{00000000-0005-0000-0000-0000C7050000}"/>
    <cellStyle name="Moneda" xfId="2" builtinId="4"/>
    <cellStyle name="Moneda 2" xfId="15" xr:uid="{00000000-0005-0000-0000-000008000000}"/>
    <cellStyle name="Moneda 2 2" xfId="432" xr:uid="{00000000-0005-0000-0000-0000CA050000}"/>
    <cellStyle name="Moneda 2 2 2" xfId="3481" xr:uid="{00000000-0005-0000-0000-0000CB050000}"/>
    <cellStyle name="Moneda 2 2 3" xfId="3491" xr:uid="{00000000-0005-0000-0000-000023000000}"/>
    <cellStyle name="Moneda 2 3" xfId="754" xr:uid="{00000000-0005-0000-0000-0000CC050000}"/>
    <cellStyle name="Moneda 2 3 2" xfId="967" xr:uid="{00000000-0005-0000-0000-0000CD050000}"/>
    <cellStyle name="Moneda 2 4" xfId="865" xr:uid="{00000000-0005-0000-0000-0000CE050000}"/>
    <cellStyle name="Moneda 2 5" xfId="431" xr:uid="{00000000-0005-0000-0000-0000C9050000}"/>
    <cellStyle name="Moneda 2 6" xfId="3490" xr:uid="{00000000-0005-0000-0000-000022000000}"/>
    <cellStyle name="Moneda 3" xfId="16" xr:uid="{00000000-0005-0000-0000-000009000000}"/>
    <cellStyle name="Moneda 3 2" xfId="755" xr:uid="{00000000-0005-0000-0000-0000D0050000}"/>
    <cellStyle name="Moneda 3 2 2" xfId="968" xr:uid="{00000000-0005-0000-0000-0000D1050000}"/>
    <cellStyle name="Moneda 3 2 3" xfId="3492" xr:uid="{00000000-0005-0000-0000-000025000000}"/>
    <cellStyle name="Moneda 3 3" xfId="433" xr:uid="{00000000-0005-0000-0000-0000D2050000}"/>
    <cellStyle name="Moneda 3 4" xfId="802" xr:uid="{00000000-0005-0000-0000-0000D3050000}"/>
    <cellStyle name="Moneda 3 5" xfId="91" xr:uid="{00000000-0005-0000-0000-0000D4050000}"/>
    <cellStyle name="Moneda 3 6" xfId="75" xr:uid="{00000000-0005-0000-0000-0000CF050000}"/>
    <cellStyle name="Moneda 3 7" xfId="3496" xr:uid="{00000000-0005-0000-0000-000023000000}"/>
    <cellStyle name="Moneda 4" xfId="752" xr:uid="{00000000-0005-0000-0000-0000D5050000}"/>
    <cellStyle name="Moneda 4 2" xfId="965" xr:uid="{00000000-0005-0000-0000-0000D6050000}"/>
    <cellStyle name="Moneda 4 3" xfId="3493" xr:uid="{00000000-0005-0000-0000-000026000000}"/>
    <cellStyle name="Moneda 5" xfId="3478" xr:uid="{00000000-0005-0000-0000-0000D7050000}"/>
    <cellStyle name="Moneda 6" xfId="3487" xr:uid="{00000000-0005-0000-0000-000009060000}"/>
    <cellStyle name="Monétaire0" xfId="434" xr:uid="{00000000-0005-0000-0000-0000D8050000}"/>
    <cellStyle name="Morgan" xfId="435" xr:uid="{00000000-0005-0000-0000-0000D9050000}"/>
    <cellStyle name="Morgan assump" xfId="436" xr:uid="{00000000-0005-0000-0000-0000DA050000}"/>
    <cellStyle name="Morgan assump 2" xfId="1182" xr:uid="{00000000-0005-0000-0000-0000DB050000}"/>
    <cellStyle name="Morgan assump 3" xfId="1755" xr:uid="{00000000-0005-0000-0000-0000DC050000}"/>
    <cellStyle name="Morgan pct assump" xfId="437" xr:uid="{00000000-0005-0000-0000-0000DD050000}"/>
    <cellStyle name="Morgan_CemArgos estados financieros consolidados oct.2010" xfId="438" xr:uid="{00000000-0005-0000-0000-0000DE050000}"/>
    <cellStyle name="Muliple" xfId="439" xr:uid="{00000000-0005-0000-0000-0000DF050000}"/>
    <cellStyle name="Multiple" xfId="440" xr:uid="{00000000-0005-0000-0000-0000E0050000}"/>
    <cellStyle name="NA is zero" xfId="441" xr:uid="{00000000-0005-0000-0000-0000E1050000}"/>
    <cellStyle name="Nedefinov n" xfId="442" xr:uid="{00000000-0005-0000-0000-0000E2050000}"/>
    <cellStyle name="Neutral" xfId="27" builtinId="28" customBuiltin="1"/>
    <cellStyle name="Neutral 2" xfId="443" xr:uid="{00000000-0005-0000-0000-0000E4050000}"/>
    <cellStyle name="Neutral 3" xfId="444" xr:uid="{00000000-0005-0000-0000-0000E5050000}"/>
    <cellStyle name="Neutral 4" xfId="70" xr:uid="{00000000-0005-0000-0000-000024060000}"/>
    <cellStyle name="No-definido" xfId="445" xr:uid="{00000000-0005-0000-0000-0000E6050000}"/>
    <cellStyle name="NoFill" xfId="446" xr:uid="{00000000-0005-0000-0000-0000E7050000}"/>
    <cellStyle name="NoFill 2" xfId="866" xr:uid="{00000000-0005-0000-0000-0000E8050000}"/>
    <cellStyle name="NoFill 2 2" xfId="1469" xr:uid="{00000000-0005-0000-0000-0000E9050000}"/>
    <cellStyle name="NoFill 2 2 2" xfId="2169" xr:uid="{00000000-0005-0000-0000-0000EA050000}"/>
    <cellStyle name="NoFill 2 3" xfId="1080" xr:uid="{00000000-0005-0000-0000-0000EB050000}"/>
    <cellStyle name="NoFill 2 4" xfId="1833" xr:uid="{00000000-0005-0000-0000-0000EC050000}"/>
    <cellStyle name="NoFill 3" xfId="1014" xr:uid="{00000000-0005-0000-0000-0000ED050000}"/>
    <cellStyle name="NoFill 3 2" xfId="1888" xr:uid="{00000000-0005-0000-0000-0000EE050000}"/>
    <cellStyle name="NoFill 4" xfId="1289" xr:uid="{00000000-0005-0000-0000-0000EF050000}"/>
    <cellStyle name="NoFill 5" xfId="1756" xr:uid="{00000000-0005-0000-0000-0000F0050000}"/>
    <cellStyle name="Normal" xfId="0" builtinId="0"/>
    <cellStyle name="Normal--" xfId="447" xr:uid="{00000000-0005-0000-0000-0000F2050000}"/>
    <cellStyle name="Normal - Style1" xfId="448" xr:uid="{00000000-0005-0000-0000-0000F3050000}"/>
    <cellStyle name="Normal - Style2" xfId="3514" xr:uid="{FC676EC1-9A0D-4BF2-9FD6-74FEF70A6BA7}"/>
    <cellStyle name="Normal [0]" xfId="449" xr:uid="{00000000-0005-0000-0000-0000F4050000}"/>
    <cellStyle name="Normal [1]" xfId="450" xr:uid="{00000000-0005-0000-0000-0000F5050000}"/>
    <cellStyle name="Normal [2]" xfId="451" xr:uid="{00000000-0005-0000-0000-0000F6050000}"/>
    <cellStyle name="Normal [3]" xfId="452" xr:uid="{00000000-0005-0000-0000-0000F7050000}"/>
    <cellStyle name="Normal 10" xfId="13" xr:uid="{00000000-0005-0000-0000-00000B000000}"/>
    <cellStyle name="Normal 10 2" xfId="453" xr:uid="{00000000-0005-0000-0000-0000F9050000}"/>
    <cellStyle name="Normal 10 2 2" xfId="867" xr:uid="{00000000-0005-0000-0000-0000FA050000}"/>
    <cellStyle name="Normal 10 3" xfId="98" xr:uid="{00000000-0005-0000-0000-0000F8050000}"/>
    <cellStyle name="Normal 11" xfId="454" xr:uid="{00000000-0005-0000-0000-0000FB050000}"/>
    <cellStyle name="Normal 118" xfId="67" xr:uid="{00000000-0005-0000-0000-0000FC050000}"/>
    <cellStyle name="Normal 118 2" xfId="795" xr:uid="{00000000-0005-0000-0000-0000FD050000}"/>
    <cellStyle name="Normal 118 3" xfId="83" xr:uid="{00000000-0005-0000-0000-0000FE050000}"/>
    <cellStyle name="Normal 12" xfId="455" xr:uid="{00000000-0005-0000-0000-0000FF050000}"/>
    <cellStyle name="Normal 13" xfId="456" xr:uid="{00000000-0005-0000-0000-000000060000}"/>
    <cellStyle name="Normal 14" xfId="457" xr:uid="{00000000-0005-0000-0000-000001060000}"/>
    <cellStyle name="Normal 15" xfId="458" xr:uid="{00000000-0005-0000-0000-000002060000}"/>
    <cellStyle name="Normal 16" xfId="459" xr:uid="{00000000-0005-0000-0000-000003060000}"/>
    <cellStyle name="Normal 17" xfId="460" xr:uid="{00000000-0005-0000-0000-000004060000}"/>
    <cellStyle name="Normal 18" xfId="461" xr:uid="{00000000-0005-0000-0000-000005060000}"/>
    <cellStyle name="Normal 19" xfId="462" xr:uid="{00000000-0005-0000-0000-000006060000}"/>
    <cellStyle name="Normal 2" xfId="4" xr:uid="{00000000-0005-0000-0000-00000C000000}"/>
    <cellStyle name="Normal 2 10" xfId="6" xr:uid="{00000000-0005-0000-0000-00000D000000}"/>
    <cellStyle name="Normal 2 11" xfId="791" xr:uid="{00000000-0005-0000-0000-000009060000}"/>
    <cellStyle name="Normal 2 12" xfId="63" xr:uid="{00000000-0005-0000-0000-000007060000}"/>
    <cellStyle name="Normal 2 2" xfId="3" xr:uid="{00000000-0005-0000-0000-00000E000000}"/>
    <cellStyle name="Normal 2 2 2" xfId="464" xr:uid="{00000000-0005-0000-0000-00000B060000}"/>
    <cellStyle name="Normal 2 2 2 2" xfId="868" xr:uid="{00000000-0005-0000-0000-00000C060000}"/>
    <cellStyle name="Normal 2 2 3" xfId="465" xr:uid="{00000000-0005-0000-0000-00000D060000}"/>
    <cellStyle name="Normal 2 2 4" xfId="463" xr:uid="{00000000-0005-0000-0000-00000A060000}"/>
    <cellStyle name="Normal 2 3" xfId="466" xr:uid="{00000000-0005-0000-0000-00000E060000}"/>
    <cellStyle name="Normal 2 3 2" xfId="69" xr:uid="{00000000-0005-0000-0000-00000F060000}"/>
    <cellStyle name="Normal 2 3 2 2" xfId="797" xr:uid="{00000000-0005-0000-0000-000010060000}"/>
    <cellStyle name="Normal 2 3 2 3" xfId="85" xr:uid="{00000000-0005-0000-0000-000011060000}"/>
    <cellStyle name="Normal 2 4" xfId="467" xr:uid="{00000000-0005-0000-0000-000012060000}"/>
    <cellStyle name="Normal 2 5" xfId="468" xr:uid="{00000000-0005-0000-0000-000013060000}"/>
    <cellStyle name="Normal 2 6" xfId="469" xr:uid="{00000000-0005-0000-0000-000014060000}"/>
    <cellStyle name="Normal 2 6 2" xfId="470" xr:uid="{00000000-0005-0000-0000-000015060000}"/>
    <cellStyle name="Normal 2 6 3" xfId="870" xr:uid="{00000000-0005-0000-0000-000016060000}"/>
    <cellStyle name="Normal 2 7" xfId="471" xr:uid="{00000000-0005-0000-0000-000017060000}"/>
    <cellStyle name="Normal 2 8" xfId="688" xr:uid="{00000000-0005-0000-0000-000018060000}"/>
    <cellStyle name="Normal 2 9" xfId="96" xr:uid="{00000000-0005-0000-0000-000019060000}"/>
    <cellStyle name="Normal 2_CemArgos estados financieros consolidados oct.2010" xfId="472" xr:uid="{00000000-0005-0000-0000-00001A060000}"/>
    <cellStyle name="Normal 20" xfId="473" xr:uid="{00000000-0005-0000-0000-00001B060000}"/>
    <cellStyle name="Normal 21" xfId="474" xr:uid="{00000000-0005-0000-0000-00001C060000}"/>
    <cellStyle name="Normal 22" xfId="475" xr:uid="{00000000-0005-0000-0000-00001D060000}"/>
    <cellStyle name="Normal 23" xfId="476" xr:uid="{00000000-0005-0000-0000-00001E060000}"/>
    <cellStyle name="Normal 24" xfId="477" xr:uid="{00000000-0005-0000-0000-00001F060000}"/>
    <cellStyle name="Normal 25" xfId="478" xr:uid="{00000000-0005-0000-0000-000020060000}"/>
    <cellStyle name="Normal 26" xfId="479" xr:uid="{00000000-0005-0000-0000-000021060000}"/>
    <cellStyle name="Normal 27" xfId="480" xr:uid="{00000000-0005-0000-0000-000022060000}"/>
    <cellStyle name="Normal 28" xfId="481" xr:uid="{00000000-0005-0000-0000-000023060000}"/>
    <cellStyle name="Normal 29" xfId="482" xr:uid="{00000000-0005-0000-0000-000024060000}"/>
    <cellStyle name="Normal 3" xfId="9" xr:uid="{00000000-0005-0000-0000-00000F000000}"/>
    <cellStyle name="Normal 3 10" xfId="3518" xr:uid="{00000000-0005-0000-0000-000026000000}"/>
    <cellStyle name="Normal 3 2" xfId="484" xr:uid="{00000000-0005-0000-0000-000026060000}"/>
    <cellStyle name="Normal 3 2 2" xfId="3513" xr:uid="{00000000-0005-0000-0000-000028000000}"/>
    <cellStyle name="Normal 3 3" xfId="485" xr:uid="{00000000-0005-0000-0000-000027060000}"/>
    <cellStyle name="Normal 3 3 2" xfId="486" xr:uid="{00000000-0005-0000-0000-000028060000}"/>
    <cellStyle name="Normal 3 4" xfId="487" xr:uid="{00000000-0005-0000-0000-000029060000}"/>
    <cellStyle name="Normal 3 4 2" xfId="488" xr:uid="{00000000-0005-0000-0000-00002A060000}"/>
    <cellStyle name="Normal 3 4 3" xfId="872" xr:uid="{00000000-0005-0000-0000-00002B060000}"/>
    <cellStyle name="Normal 3 5" xfId="489" xr:uid="{00000000-0005-0000-0000-00002C060000}"/>
    <cellStyle name="Normal 3 6" xfId="483" xr:uid="{00000000-0005-0000-0000-00002D060000}"/>
    <cellStyle name="Normal 3 7" xfId="798" xr:uid="{00000000-0005-0000-0000-00002E060000}"/>
    <cellStyle name="Normal 3 8" xfId="87" xr:uid="{00000000-0005-0000-0000-000025060000}"/>
    <cellStyle name="Normal 3 9" xfId="3511" xr:uid="{00000000-0005-0000-0000-000027000000}"/>
    <cellStyle name="Normal 30" xfId="686" xr:uid="{00000000-0005-0000-0000-00002F060000}"/>
    <cellStyle name="Normal 30 2" xfId="926" xr:uid="{00000000-0005-0000-0000-000030060000}"/>
    <cellStyle name="Normal 31" xfId="693" xr:uid="{00000000-0005-0000-0000-000031060000}"/>
    <cellStyle name="Normal 31 2" xfId="929" xr:uid="{00000000-0005-0000-0000-000032060000}"/>
    <cellStyle name="Normal 32" xfId="695" xr:uid="{00000000-0005-0000-0000-000033060000}"/>
    <cellStyle name="Normal 32 2" xfId="930" xr:uid="{00000000-0005-0000-0000-000034060000}"/>
    <cellStyle name="Normal 33" xfId="697" xr:uid="{00000000-0005-0000-0000-000035060000}"/>
    <cellStyle name="Normal 33 2" xfId="932" xr:uid="{00000000-0005-0000-0000-000036060000}"/>
    <cellStyle name="Normal 34" xfId="736" xr:uid="{00000000-0005-0000-0000-000037060000}"/>
    <cellStyle name="Normal 34 2" xfId="949" xr:uid="{00000000-0005-0000-0000-000038060000}"/>
    <cellStyle name="Normal 35" xfId="750" xr:uid="{00000000-0005-0000-0000-000039060000}"/>
    <cellStyle name="Normal 35 2" xfId="963" xr:uid="{00000000-0005-0000-0000-00003A060000}"/>
    <cellStyle name="Normal 36" xfId="756" xr:uid="{00000000-0005-0000-0000-00003B060000}"/>
    <cellStyle name="Normal 36 2" xfId="969" xr:uid="{00000000-0005-0000-0000-00003C060000}"/>
    <cellStyle name="Normal 37" xfId="757" xr:uid="{00000000-0005-0000-0000-00003D060000}"/>
    <cellStyle name="Normal 37 2" xfId="970" xr:uid="{00000000-0005-0000-0000-00003E060000}"/>
    <cellStyle name="Normal 38" xfId="758" xr:uid="{00000000-0005-0000-0000-00003F060000}"/>
    <cellStyle name="Normal 38 2" xfId="971" xr:uid="{00000000-0005-0000-0000-000040060000}"/>
    <cellStyle name="Normal 39" xfId="772" xr:uid="{00000000-0005-0000-0000-000041060000}"/>
    <cellStyle name="Normal 39 2" xfId="985" xr:uid="{00000000-0005-0000-0000-000042060000}"/>
    <cellStyle name="Normal 4" xfId="14" xr:uid="{00000000-0005-0000-0000-000010000000}"/>
    <cellStyle name="Normal 4 2" xfId="491" xr:uid="{00000000-0005-0000-0000-000044060000}"/>
    <cellStyle name="Normal 4 2 2" xfId="492" xr:uid="{00000000-0005-0000-0000-000045060000}"/>
    <cellStyle name="Normal 4 2 2 2" xfId="874" xr:uid="{00000000-0005-0000-0000-000046060000}"/>
    <cellStyle name="Normal 4 3" xfId="493" xr:uid="{00000000-0005-0000-0000-000047060000}"/>
    <cellStyle name="Normal 4 3 2" xfId="875" xr:uid="{00000000-0005-0000-0000-000048060000}"/>
    <cellStyle name="Normal 4 4" xfId="494" xr:uid="{00000000-0005-0000-0000-000049060000}"/>
    <cellStyle name="Normal 4 5" xfId="873" xr:uid="{00000000-0005-0000-0000-00004A060000}"/>
    <cellStyle name="Normal 4 6" xfId="490" xr:uid="{00000000-0005-0000-0000-000043060000}"/>
    <cellStyle name="Normal 4 7" xfId="3512" xr:uid="{00000000-0005-0000-0000-000029000000}"/>
    <cellStyle name="Normal 40" xfId="93" xr:uid="{00000000-0005-0000-0000-00004B060000}"/>
    <cellStyle name="Normal 41" xfId="789" xr:uid="{00000000-0005-0000-0000-00004C060000}"/>
    <cellStyle name="Normal 42" xfId="925" xr:uid="{00000000-0005-0000-0000-00004D060000}"/>
    <cellStyle name="Normal 43" xfId="994" xr:uid="{00000000-0005-0000-0000-00004E060000}"/>
    <cellStyle name="Normal 44" xfId="996" xr:uid="{00000000-0005-0000-0000-00004F060000}"/>
    <cellStyle name="Normal 45" xfId="919" xr:uid="{00000000-0005-0000-0000-000050060000}"/>
    <cellStyle name="Normal 46" xfId="879" xr:uid="{00000000-0005-0000-0000-000051060000}"/>
    <cellStyle name="Normal 47" xfId="997" xr:uid="{00000000-0005-0000-0000-000052060000}"/>
    <cellStyle name="Normal 48" xfId="881" xr:uid="{00000000-0005-0000-0000-000053060000}"/>
    <cellStyle name="Normal 49" xfId="773" xr:uid="{00000000-0005-0000-0000-000054060000}"/>
    <cellStyle name="Normal 5" xfId="11" xr:uid="{00000000-0005-0000-0000-000011000000}"/>
    <cellStyle name="Normal 5 2" xfId="496" xr:uid="{00000000-0005-0000-0000-000056060000}"/>
    <cellStyle name="Normal 5 3" xfId="497" xr:uid="{00000000-0005-0000-0000-000057060000}"/>
    <cellStyle name="Normal 5 3 2" xfId="876" xr:uid="{00000000-0005-0000-0000-000058060000}"/>
    <cellStyle name="Normal 5 4" xfId="498" xr:uid="{00000000-0005-0000-0000-000059060000}"/>
    <cellStyle name="Normal 5 5" xfId="499" xr:uid="{00000000-0005-0000-0000-00005A060000}"/>
    <cellStyle name="Normal 5 5 2" xfId="877" xr:uid="{00000000-0005-0000-0000-00005B060000}"/>
    <cellStyle name="Normal 5 6" xfId="690" xr:uid="{00000000-0005-0000-0000-00005C060000}"/>
    <cellStyle name="Normal 5 7" xfId="495" xr:uid="{00000000-0005-0000-0000-00005D060000}"/>
    <cellStyle name="Normal 50" xfId="79" xr:uid="{00000000-0005-0000-0000-00005E060000}"/>
    <cellStyle name="Normal 51" xfId="86" xr:uid="{00000000-0005-0000-0000-00005F060000}"/>
    <cellStyle name="Normal 52" xfId="80" xr:uid="{00000000-0005-0000-0000-000060060000}"/>
    <cellStyle name="Normal 53" xfId="71" xr:uid="{00000000-0005-0000-0000-000061060000}"/>
    <cellStyle name="Normal 54" xfId="78" xr:uid="{00000000-0005-0000-0000-000062060000}"/>
    <cellStyle name="Normal 55" xfId="1306" xr:uid="{00000000-0005-0000-0000-000063060000}"/>
    <cellStyle name="Normal 56" xfId="1057" xr:uid="{00000000-0005-0000-0000-000064060000}"/>
    <cellStyle name="Normal 57" xfId="1209" xr:uid="{00000000-0005-0000-0000-000065060000}"/>
    <cellStyle name="Normal 58" xfId="1729" xr:uid="{00000000-0005-0000-0000-000066060000}"/>
    <cellStyle name="Normal 59" xfId="1791" xr:uid="{00000000-0005-0000-0000-000067060000}"/>
    <cellStyle name="Normal 6" xfId="500" xr:uid="{00000000-0005-0000-0000-000068060000}"/>
    <cellStyle name="Normal 6 2" xfId="501" xr:uid="{00000000-0005-0000-0000-000069060000}"/>
    <cellStyle name="Normal 6 3" xfId="502" xr:uid="{00000000-0005-0000-0000-00006A060000}"/>
    <cellStyle name="Normal 6 3 2" xfId="878" xr:uid="{00000000-0005-0000-0000-00006B060000}"/>
    <cellStyle name="Normal 60" xfId="1319" xr:uid="{00000000-0005-0000-0000-00006C060000}"/>
    <cellStyle name="Normal 60 2" xfId="3476" xr:uid="{00000000-0005-0000-0000-00006D060000}"/>
    <cellStyle name="Normal 61" xfId="1566" xr:uid="{00000000-0005-0000-0000-00006E060000}"/>
    <cellStyle name="Normal 62" xfId="1489" xr:uid="{00000000-0005-0000-0000-00006F060000}"/>
    <cellStyle name="Normal 63" xfId="3473" xr:uid="{00000000-0005-0000-0000-000070060000}"/>
    <cellStyle name="Normal 64" xfId="3474" xr:uid="{00000000-0005-0000-0000-000071060000}"/>
    <cellStyle name="Normal 65" xfId="3477" xr:uid="{00000000-0005-0000-0000-000072060000}"/>
    <cellStyle name="Normal 66" xfId="3482" xr:uid="{00000000-0005-0000-0000-000073060000}"/>
    <cellStyle name="Normal 67" xfId="19" xr:uid="{00000000-0005-0000-0000-000012000000}"/>
    <cellStyle name="Normal 67 2" xfId="3488" xr:uid="{00000000-0005-0000-0000-000075060000}"/>
    <cellStyle name="Normal 68" xfId="503" xr:uid="{00000000-0005-0000-0000-000076060000}"/>
    <cellStyle name="Normal 69" xfId="504" xr:uid="{00000000-0005-0000-0000-000077060000}"/>
    <cellStyle name="Normal 7" xfId="505" xr:uid="{00000000-0005-0000-0000-000078060000}"/>
    <cellStyle name="Normal 7 2" xfId="506" xr:uid="{00000000-0005-0000-0000-000079060000}"/>
    <cellStyle name="Normal 7 3" xfId="507" xr:uid="{00000000-0005-0000-0000-00007A060000}"/>
    <cellStyle name="Normal 7 4" xfId="508" xr:uid="{00000000-0005-0000-0000-00007B060000}"/>
    <cellStyle name="Normal 8" xfId="509" xr:uid="{00000000-0005-0000-0000-00007C060000}"/>
    <cellStyle name="Normal 8 2" xfId="510" xr:uid="{00000000-0005-0000-0000-00007D060000}"/>
    <cellStyle name="Normal 8 3" xfId="511" xr:uid="{00000000-0005-0000-0000-00007E060000}"/>
    <cellStyle name="Normal 9" xfId="512" xr:uid="{00000000-0005-0000-0000-00007F060000}"/>
    <cellStyle name="Normal 9 2" xfId="513" xr:uid="{00000000-0005-0000-0000-000080060000}"/>
    <cellStyle name="Normal Bold" xfId="514" xr:uid="{00000000-0005-0000-0000-000081060000}"/>
    <cellStyle name="Normal Pct" xfId="515" xr:uid="{00000000-0005-0000-0000-000082060000}"/>
    <cellStyle name="Normál_MRepcons" xfId="516" xr:uid="{00000000-0005-0000-0000-000083060000}"/>
    <cellStyle name="NormalBold" xfId="517" xr:uid="{00000000-0005-0000-0000-000085060000}"/>
    <cellStyle name="Normale_1320 NX" xfId="518" xr:uid="{00000000-0005-0000-0000-000086060000}"/>
    <cellStyle name="NormalMultiple" xfId="519" xr:uid="{00000000-0005-0000-0000-000087060000}"/>
    <cellStyle name="normálne_PRISTAV- 0898" xfId="520" xr:uid="{00000000-0005-0000-0000-000088060000}"/>
    <cellStyle name="normální_10" xfId="521" xr:uid="{00000000-0005-0000-0000-000089060000}"/>
    <cellStyle name="NormalX" xfId="522" xr:uid="{00000000-0005-0000-0000-00008A060000}"/>
    <cellStyle name="NormalxShadow" xfId="523" xr:uid="{00000000-0005-0000-0000-00008B060000}"/>
    <cellStyle name="Notas" xfId="34" builtinId="10" customBuiltin="1"/>
    <cellStyle name="Notas 2" xfId="525" xr:uid="{00000000-0005-0000-0000-00008C060000}"/>
    <cellStyle name="Notas 2 2" xfId="526" xr:uid="{00000000-0005-0000-0000-00008D060000}"/>
    <cellStyle name="Notas 2 2 10" xfId="2355" xr:uid="{00000000-0005-0000-0000-00008E060000}"/>
    <cellStyle name="Notas 2 2 2" xfId="885" xr:uid="{00000000-0005-0000-0000-00008F060000}"/>
    <cellStyle name="Notas 2 2 2 10" xfId="1615" xr:uid="{00000000-0005-0000-0000-000090060000}"/>
    <cellStyle name="Notas 2 2 2 2" xfId="1412" xr:uid="{00000000-0005-0000-0000-000091060000}"/>
    <cellStyle name="Notas 2 2 2 2 2" xfId="2124" xr:uid="{00000000-0005-0000-0000-000092060000}"/>
    <cellStyle name="Notas 2 2 2 2 3" xfId="2736" xr:uid="{00000000-0005-0000-0000-000093060000}"/>
    <cellStyle name="Notas 2 2 2 2 4" xfId="3278" xr:uid="{00000000-0005-0000-0000-000094060000}"/>
    <cellStyle name="Notas 2 2 2 3" xfId="1499" xr:uid="{00000000-0005-0000-0000-000095060000}"/>
    <cellStyle name="Notas 2 2 2 3 2" xfId="2185" xr:uid="{00000000-0005-0000-0000-000096060000}"/>
    <cellStyle name="Notas 2 2 2 3 3" xfId="2794" xr:uid="{00000000-0005-0000-0000-000097060000}"/>
    <cellStyle name="Notas 2 2 2 3 4" xfId="3335" xr:uid="{00000000-0005-0000-0000-000098060000}"/>
    <cellStyle name="Notas 2 2 2 4" xfId="1254" xr:uid="{00000000-0005-0000-0000-000099060000}"/>
    <cellStyle name="Notas 2 2 2 4 2" xfId="2008" xr:uid="{00000000-0005-0000-0000-00009A060000}"/>
    <cellStyle name="Notas 2 2 2 4 3" xfId="2623" xr:uid="{00000000-0005-0000-0000-00009B060000}"/>
    <cellStyle name="Notas 2 2 2 4 4" xfId="3168" xr:uid="{00000000-0005-0000-0000-00009C060000}"/>
    <cellStyle name="Notas 2 2 2 5" xfId="1067" xr:uid="{00000000-0005-0000-0000-00009D060000}"/>
    <cellStyle name="Notas 2 2 2 5 2" xfId="1918" xr:uid="{00000000-0005-0000-0000-00009E060000}"/>
    <cellStyle name="Notas 2 2 2 5 3" xfId="2538" xr:uid="{00000000-0005-0000-0000-00009F060000}"/>
    <cellStyle name="Notas 2 2 2 5 4" xfId="3086" xr:uid="{00000000-0005-0000-0000-0000A0060000}"/>
    <cellStyle name="Notas 2 2 2 6" xfId="1838" xr:uid="{00000000-0005-0000-0000-0000A1060000}"/>
    <cellStyle name="Notas 2 2 2 6 2" xfId="2466" xr:uid="{00000000-0005-0000-0000-0000A2060000}"/>
    <cellStyle name="Notas 2 2 2 6 3" xfId="3020" xr:uid="{00000000-0005-0000-0000-0000A3060000}"/>
    <cellStyle name="Notas 2 2 2 7" xfId="2302" xr:uid="{00000000-0005-0000-0000-0000A4060000}"/>
    <cellStyle name="Notas 2 2 2 7 2" xfId="2904" xr:uid="{00000000-0005-0000-0000-0000A5060000}"/>
    <cellStyle name="Notas 2 2 2 7 3" xfId="3441" xr:uid="{00000000-0005-0000-0000-0000A6060000}"/>
    <cellStyle name="Notas 2 2 2 8" xfId="1202" xr:uid="{00000000-0005-0000-0000-0000A7060000}"/>
    <cellStyle name="Notas 2 2 2 9" xfId="1314" xr:uid="{00000000-0005-0000-0000-0000A8060000}"/>
    <cellStyle name="Notas 2 2 3" xfId="1213" xr:uid="{00000000-0005-0000-0000-0000A9060000}"/>
    <cellStyle name="Notas 2 2 3 2" xfId="1993" xr:uid="{00000000-0005-0000-0000-0000AA060000}"/>
    <cellStyle name="Notas 2 2 3 3" xfId="2610" xr:uid="{00000000-0005-0000-0000-0000AB060000}"/>
    <cellStyle name="Notas 2 2 3 4" xfId="3155" xr:uid="{00000000-0005-0000-0000-0000AC060000}"/>
    <cellStyle name="Notas 2 2 4" xfId="1129" xr:uid="{00000000-0005-0000-0000-0000AD060000}"/>
    <cellStyle name="Notas 2 2 4 2" xfId="1954" xr:uid="{00000000-0005-0000-0000-0000AE060000}"/>
    <cellStyle name="Notas 2 2 4 3" xfId="2573" xr:uid="{00000000-0005-0000-0000-0000AF060000}"/>
    <cellStyle name="Notas 2 2 4 4" xfId="3119" xr:uid="{00000000-0005-0000-0000-0000B0060000}"/>
    <cellStyle name="Notas 2 2 5" xfId="1018" xr:uid="{00000000-0005-0000-0000-0000B1060000}"/>
    <cellStyle name="Notas 2 2 5 2" xfId="1890" xr:uid="{00000000-0005-0000-0000-0000B2060000}"/>
    <cellStyle name="Notas 2 2 5 3" xfId="2513" xr:uid="{00000000-0005-0000-0000-0000B3060000}"/>
    <cellStyle name="Notas 2 2 5 4" xfId="3065" xr:uid="{00000000-0005-0000-0000-0000B4060000}"/>
    <cellStyle name="Notas 2 2 6" xfId="1159" xr:uid="{00000000-0005-0000-0000-0000B5060000}"/>
    <cellStyle name="Notas 2 2 6 2" xfId="1973" xr:uid="{00000000-0005-0000-0000-0000B6060000}"/>
    <cellStyle name="Notas 2 2 6 3" xfId="2592" xr:uid="{00000000-0005-0000-0000-0000B7060000}"/>
    <cellStyle name="Notas 2 2 6 4" xfId="3137" xr:uid="{00000000-0005-0000-0000-0000B8060000}"/>
    <cellStyle name="Notas 2 2 7" xfId="1759" xr:uid="{00000000-0005-0000-0000-0000B9060000}"/>
    <cellStyle name="Notas 2 2 7 2" xfId="2400" xr:uid="{00000000-0005-0000-0000-0000BA060000}"/>
    <cellStyle name="Notas 2 2 7 3" xfId="2956" xr:uid="{00000000-0005-0000-0000-0000BB060000}"/>
    <cellStyle name="Notas 2 2 8" xfId="1006" xr:uid="{00000000-0005-0000-0000-0000BC060000}"/>
    <cellStyle name="Notas 2 2 9" xfId="1171" xr:uid="{00000000-0005-0000-0000-0000BD060000}"/>
    <cellStyle name="Notas 2 3" xfId="884" xr:uid="{00000000-0005-0000-0000-0000BE060000}"/>
    <cellStyle name="Notas 3" xfId="710" xr:uid="{00000000-0005-0000-0000-0000BF060000}"/>
    <cellStyle name="Notas 3 2" xfId="936" xr:uid="{00000000-0005-0000-0000-0000C0060000}"/>
    <cellStyle name="Notas 4" xfId="737" xr:uid="{00000000-0005-0000-0000-0000C1060000}"/>
    <cellStyle name="Notas 4 2" xfId="950" xr:uid="{00000000-0005-0000-0000-0000C2060000}"/>
    <cellStyle name="Notas 5" xfId="759" xr:uid="{00000000-0005-0000-0000-0000C3060000}"/>
    <cellStyle name="Notas 5 2" xfId="972" xr:uid="{00000000-0005-0000-0000-0000C4060000}"/>
    <cellStyle name="Notas 6" xfId="524" xr:uid="{00000000-0005-0000-0000-0000C5060000}"/>
    <cellStyle name="Notas 6 10" xfId="1621" xr:uid="{00000000-0005-0000-0000-0000C6060000}"/>
    <cellStyle name="Notas 6 2" xfId="883" xr:uid="{00000000-0005-0000-0000-0000C7060000}"/>
    <cellStyle name="Notas 6 2 10" xfId="1605" xr:uid="{00000000-0005-0000-0000-0000C8060000}"/>
    <cellStyle name="Notas 6 2 2" xfId="1411" xr:uid="{00000000-0005-0000-0000-0000C9060000}"/>
    <cellStyle name="Notas 6 2 2 2" xfId="2123" xr:uid="{00000000-0005-0000-0000-0000CA060000}"/>
    <cellStyle name="Notas 6 2 2 3" xfId="2735" xr:uid="{00000000-0005-0000-0000-0000CB060000}"/>
    <cellStyle name="Notas 6 2 2 4" xfId="3277" xr:uid="{00000000-0005-0000-0000-0000CC060000}"/>
    <cellStyle name="Notas 6 2 3" xfId="1498" xr:uid="{00000000-0005-0000-0000-0000CD060000}"/>
    <cellStyle name="Notas 6 2 3 2" xfId="2184" xr:uid="{00000000-0005-0000-0000-0000CE060000}"/>
    <cellStyle name="Notas 6 2 3 3" xfId="2793" xr:uid="{00000000-0005-0000-0000-0000CF060000}"/>
    <cellStyle name="Notas 6 2 3 4" xfId="3334" xr:uid="{00000000-0005-0000-0000-0000D0060000}"/>
    <cellStyle name="Notas 6 2 4" xfId="1253" xr:uid="{00000000-0005-0000-0000-0000D1060000}"/>
    <cellStyle name="Notas 6 2 4 2" xfId="2007" xr:uid="{00000000-0005-0000-0000-0000D2060000}"/>
    <cellStyle name="Notas 6 2 4 3" xfId="2622" xr:uid="{00000000-0005-0000-0000-0000D3060000}"/>
    <cellStyle name="Notas 6 2 4 4" xfId="3167" xr:uid="{00000000-0005-0000-0000-0000D4060000}"/>
    <cellStyle name="Notas 6 2 5" xfId="1069" xr:uid="{00000000-0005-0000-0000-0000D5060000}"/>
    <cellStyle name="Notas 6 2 5 2" xfId="1919" xr:uid="{00000000-0005-0000-0000-0000D6060000}"/>
    <cellStyle name="Notas 6 2 5 3" xfId="2539" xr:uid="{00000000-0005-0000-0000-0000D7060000}"/>
    <cellStyle name="Notas 6 2 5 4" xfId="3087" xr:uid="{00000000-0005-0000-0000-0000D8060000}"/>
    <cellStyle name="Notas 6 2 6" xfId="1837" xr:uid="{00000000-0005-0000-0000-0000D9060000}"/>
    <cellStyle name="Notas 6 2 6 2" xfId="2465" xr:uid="{00000000-0005-0000-0000-0000DA060000}"/>
    <cellStyle name="Notas 6 2 6 3" xfId="3019" xr:uid="{00000000-0005-0000-0000-0000DB060000}"/>
    <cellStyle name="Notas 6 2 7" xfId="2301" xr:uid="{00000000-0005-0000-0000-0000DC060000}"/>
    <cellStyle name="Notas 6 2 7 2" xfId="2903" xr:uid="{00000000-0005-0000-0000-0000DD060000}"/>
    <cellStyle name="Notas 6 2 7 3" xfId="3440" xr:uid="{00000000-0005-0000-0000-0000DE060000}"/>
    <cellStyle name="Notas 6 2 8" xfId="1617" xr:uid="{00000000-0005-0000-0000-0000DF060000}"/>
    <cellStyle name="Notas 6 2 9" xfId="1235" xr:uid="{00000000-0005-0000-0000-0000E0060000}"/>
    <cellStyle name="Notas 6 3" xfId="1212" xr:uid="{00000000-0005-0000-0000-0000E1060000}"/>
    <cellStyle name="Notas 6 3 2" xfId="1992" xr:uid="{00000000-0005-0000-0000-0000E2060000}"/>
    <cellStyle name="Notas 6 3 3" xfId="2609" xr:uid="{00000000-0005-0000-0000-0000E3060000}"/>
    <cellStyle name="Notas 6 3 4" xfId="3154" xr:uid="{00000000-0005-0000-0000-0000E4060000}"/>
    <cellStyle name="Notas 6 4" xfId="1130" xr:uid="{00000000-0005-0000-0000-0000E5060000}"/>
    <cellStyle name="Notas 6 4 2" xfId="1955" xr:uid="{00000000-0005-0000-0000-0000E6060000}"/>
    <cellStyle name="Notas 6 4 3" xfId="2574" xr:uid="{00000000-0005-0000-0000-0000E7060000}"/>
    <cellStyle name="Notas 6 4 4" xfId="3120" xr:uid="{00000000-0005-0000-0000-0000E8060000}"/>
    <cellStyle name="Notas 6 5" xfId="1536" xr:uid="{00000000-0005-0000-0000-0000E9060000}"/>
    <cellStyle name="Notas 6 5 2" xfId="2217" xr:uid="{00000000-0005-0000-0000-0000EA060000}"/>
    <cellStyle name="Notas 6 5 3" xfId="2825" xr:uid="{00000000-0005-0000-0000-0000EB060000}"/>
    <cellStyle name="Notas 6 5 4" xfId="3366" xr:uid="{00000000-0005-0000-0000-0000EC060000}"/>
    <cellStyle name="Notas 6 6" xfId="1160" xr:uid="{00000000-0005-0000-0000-0000ED060000}"/>
    <cellStyle name="Notas 6 6 2" xfId="1974" xr:uid="{00000000-0005-0000-0000-0000EE060000}"/>
    <cellStyle name="Notas 6 6 3" xfId="2593" xr:uid="{00000000-0005-0000-0000-0000EF060000}"/>
    <cellStyle name="Notas 6 6 4" xfId="3138" xr:uid="{00000000-0005-0000-0000-0000F0060000}"/>
    <cellStyle name="Notas 6 7" xfId="1758" xr:uid="{00000000-0005-0000-0000-0000F1060000}"/>
    <cellStyle name="Notas 6 7 2" xfId="2399" xr:uid="{00000000-0005-0000-0000-0000F2060000}"/>
    <cellStyle name="Notas 6 7 3" xfId="2955" xr:uid="{00000000-0005-0000-0000-0000F3060000}"/>
    <cellStyle name="Notas 6 8" xfId="1613" xr:uid="{00000000-0005-0000-0000-0000F4060000}"/>
    <cellStyle name="Notas 6 9" xfId="1172" xr:uid="{00000000-0005-0000-0000-0000F5060000}"/>
    <cellStyle name="Note 2" xfId="527" xr:uid="{00000000-0005-0000-0000-0000F6060000}"/>
    <cellStyle name="Note 2 2" xfId="886" xr:uid="{00000000-0005-0000-0000-0000F7060000}"/>
    <cellStyle name="NPPESalesPct" xfId="528" xr:uid="{00000000-0005-0000-0000-0000F8060000}"/>
    <cellStyle name="NWI%S" xfId="529" xr:uid="{00000000-0005-0000-0000-0000F9060000}"/>
    <cellStyle name="Output 2" xfId="530" xr:uid="{00000000-0005-0000-0000-0000FA060000}"/>
    <cellStyle name="Output 2 2" xfId="531" xr:uid="{00000000-0005-0000-0000-0000FB060000}"/>
    <cellStyle name="Output 2 3" xfId="532" xr:uid="{00000000-0005-0000-0000-0000FC060000}"/>
    <cellStyle name="Output 2 3 10" xfId="1718" xr:uid="{00000000-0005-0000-0000-0000FD060000}"/>
    <cellStyle name="Output 2 3 2" xfId="888" xr:uid="{00000000-0005-0000-0000-0000FE060000}"/>
    <cellStyle name="Output 2 3 2 10" xfId="1595" xr:uid="{00000000-0005-0000-0000-0000FF060000}"/>
    <cellStyle name="Output 2 3 2 2" xfId="1413" xr:uid="{00000000-0005-0000-0000-000000070000}"/>
    <cellStyle name="Output 2 3 2 2 2" xfId="2125" xr:uid="{00000000-0005-0000-0000-000001070000}"/>
    <cellStyle name="Output 2 3 2 2 3" xfId="2737" xr:uid="{00000000-0005-0000-0000-000002070000}"/>
    <cellStyle name="Output 2 3 2 2 4" xfId="3279" xr:uid="{00000000-0005-0000-0000-000003070000}"/>
    <cellStyle name="Output 2 3 2 3" xfId="1501" xr:uid="{00000000-0005-0000-0000-000004070000}"/>
    <cellStyle name="Output 2 3 2 3 2" xfId="2186" xr:uid="{00000000-0005-0000-0000-000005070000}"/>
    <cellStyle name="Output 2 3 2 3 3" xfId="2795" xr:uid="{00000000-0005-0000-0000-000006070000}"/>
    <cellStyle name="Output 2 3 2 3 4" xfId="3336" xr:uid="{00000000-0005-0000-0000-000007070000}"/>
    <cellStyle name="Output 2 3 2 4" xfId="1256" xr:uid="{00000000-0005-0000-0000-000008070000}"/>
    <cellStyle name="Output 2 3 2 4 2" xfId="2009" xr:uid="{00000000-0005-0000-0000-000009070000}"/>
    <cellStyle name="Output 2 3 2 4 3" xfId="2624" xr:uid="{00000000-0005-0000-0000-00000A070000}"/>
    <cellStyle name="Output 2 3 2 4 4" xfId="3169" xr:uid="{00000000-0005-0000-0000-00000B070000}"/>
    <cellStyle name="Output 2 3 2 5" xfId="1065" xr:uid="{00000000-0005-0000-0000-00000C070000}"/>
    <cellStyle name="Output 2 3 2 5 2" xfId="1916" xr:uid="{00000000-0005-0000-0000-00000D070000}"/>
    <cellStyle name="Output 2 3 2 5 3" xfId="2536" xr:uid="{00000000-0005-0000-0000-00000E070000}"/>
    <cellStyle name="Output 2 3 2 5 4" xfId="3084" xr:uid="{00000000-0005-0000-0000-00000F070000}"/>
    <cellStyle name="Output 2 3 2 6" xfId="1840" xr:uid="{00000000-0005-0000-0000-000010070000}"/>
    <cellStyle name="Output 2 3 2 6 2" xfId="2468" xr:uid="{00000000-0005-0000-0000-000011070000}"/>
    <cellStyle name="Output 2 3 2 6 3" xfId="3022" xr:uid="{00000000-0005-0000-0000-000012070000}"/>
    <cellStyle name="Output 2 3 2 7" xfId="2303" xr:uid="{00000000-0005-0000-0000-000013070000}"/>
    <cellStyle name="Output 2 3 2 7 2" xfId="2905" xr:uid="{00000000-0005-0000-0000-000014070000}"/>
    <cellStyle name="Output 2 3 2 7 3" xfId="3442" xr:uid="{00000000-0005-0000-0000-000015070000}"/>
    <cellStyle name="Output 2 3 2 8" xfId="1108" xr:uid="{00000000-0005-0000-0000-000016070000}"/>
    <cellStyle name="Output 2 3 2 9" xfId="1143" xr:uid="{00000000-0005-0000-0000-000017070000}"/>
    <cellStyle name="Output 2 3 3" xfId="1216" xr:uid="{00000000-0005-0000-0000-000018070000}"/>
    <cellStyle name="Output 2 3 3 2" xfId="1994" xr:uid="{00000000-0005-0000-0000-000019070000}"/>
    <cellStyle name="Output 2 3 3 3" xfId="2611" xr:uid="{00000000-0005-0000-0000-00001A070000}"/>
    <cellStyle name="Output 2 3 3 4" xfId="3156" xr:uid="{00000000-0005-0000-0000-00001B070000}"/>
    <cellStyle name="Output 2 3 4" xfId="1127" xr:uid="{00000000-0005-0000-0000-00001C070000}"/>
    <cellStyle name="Output 2 3 4 2" xfId="1953" xr:uid="{00000000-0005-0000-0000-00001D070000}"/>
    <cellStyle name="Output 2 3 4 3" xfId="2572" xr:uid="{00000000-0005-0000-0000-00001E070000}"/>
    <cellStyle name="Output 2 3 4 4" xfId="3118" xr:uid="{00000000-0005-0000-0000-00001F070000}"/>
    <cellStyle name="Output 2 3 5" xfId="1184" xr:uid="{00000000-0005-0000-0000-000020070000}"/>
    <cellStyle name="Output 2 3 5 2" xfId="1978" xr:uid="{00000000-0005-0000-0000-000021070000}"/>
    <cellStyle name="Output 2 3 5 3" xfId="2596" xr:uid="{00000000-0005-0000-0000-000022070000}"/>
    <cellStyle name="Output 2 3 5 4" xfId="3141" xr:uid="{00000000-0005-0000-0000-000023070000}"/>
    <cellStyle name="Output 2 3 6" xfId="1339" xr:uid="{00000000-0005-0000-0000-000024070000}"/>
    <cellStyle name="Output 2 3 6 2" xfId="2063" xr:uid="{00000000-0005-0000-0000-000025070000}"/>
    <cellStyle name="Output 2 3 6 3" xfId="2678" xr:uid="{00000000-0005-0000-0000-000026070000}"/>
    <cellStyle name="Output 2 3 6 4" xfId="3222" xr:uid="{00000000-0005-0000-0000-000027070000}"/>
    <cellStyle name="Output 2 3 7" xfId="1760" xr:uid="{00000000-0005-0000-0000-000028070000}"/>
    <cellStyle name="Output 2 3 7 2" xfId="2401" xr:uid="{00000000-0005-0000-0000-000029070000}"/>
    <cellStyle name="Output 2 3 7 3" xfId="2957" xr:uid="{00000000-0005-0000-0000-00002A070000}"/>
    <cellStyle name="Output 2 3 8" xfId="1660" xr:uid="{00000000-0005-0000-0000-00002B070000}"/>
    <cellStyle name="Output 2 3 9" xfId="1077" xr:uid="{00000000-0005-0000-0000-00002C070000}"/>
    <cellStyle name="Output Amounts" xfId="533" xr:uid="{00000000-0005-0000-0000-00002D070000}"/>
    <cellStyle name="Output Column Headings" xfId="534" xr:uid="{00000000-0005-0000-0000-00002E070000}"/>
    <cellStyle name="Output Line Items" xfId="535" xr:uid="{00000000-0005-0000-0000-00002F070000}"/>
    <cellStyle name="Output Report Heading" xfId="536" xr:uid="{00000000-0005-0000-0000-000030070000}"/>
    <cellStyle name="Output Report Title" xfId="537" xr:uid="{00000000-0005-0000-0000-000031070000}"/>
    <cellStyle name="Output-Number" xfId="538" xr:uid="{00000000-0005-0000-0000-000032070000}"/>
    <cellStyle name="Output-Number-Dim" xfId="539" xr:uid="{00000000-0005-0000-0000-000033070000}"/>
    <cellStyle name="Output-Number-Price" xfId="540" xr:uid="{00000000-0005-0000-0000-000034070000}"/>
    <cellStyle name="Output-Number-Price-Dim" xfId="541" xr:uid="{00000000-0005-0000-0000-000035070000}"/>
    <cellStyle name="Output-Percent" xfId="542" xr:uid="{00000000-0005-0000-0000-000036070000}"/>
    <cellStyle name="Output-Percent-Dim" xfId="543" xr:uid="{00000000-0005-0000-0000-000037070000}"/>
    <cellStyle name="Package_numbers" xfId="544" xr:uid="{00000000-0005-0000-0000-000038070000}"/>
    <cellStyle name="Percent (0)" xfId="545" xr:uid="{00000000-0005-0000-0000-000039070000}"/>
    <cellStyle name="Percent [0]" xfId="546" xr:uid="{00000000-0005-0000-0000-00003A070000}"/>
    <cellStyle name="Percent [1]" xfId="547" xr:uid="{00000000-0005-0000-0000-00003B070000}"/>
    <cellStyle name="Percent [1] --" xfId="548" xr:uid="{00000000-0005-0000-0000-00003C070000}"/>
    <cellStyle name="Percent [1]_RMCC_model_January_v2" xfId="549" xr:uid="{00000000-0005-0000-0000-00003D070000}"/>
    <cellStyle name="Percent [2]" xfId="550" xr:uid="{00000000-0005-0000-0000-00003E070000}"/>
    <cellStyle name="Percent 10" xfId="551" xr:uid="{00000000-0005-0000-0000-00003F070000}"/>
    <cellStyle name="Percent 11" xfId="552" xr:uid="{00000000-0005-0000-0000-000040070000}"/>
    <cellStyle name="Percent 12" xfId="553" xr:uid="{00000000-0005-0000-0000-000041070000}"/>
    <cellStyle name="Percent 13" xfId="554" xr:uid="{00000000-0005-0000-0000-000042070000}"/>
    <cellStyle name="Percent 14" xfId="555" xr:uid="{00000000-0005-0000-0000-000043070000}"/>
    <cellStyle name="Percent 15" xfId="556" xr:uid="{00000000-0005-0000-0000-000044070000}"/>
    <cellStyle name="Percent 16" xfId="557" xr:uid="{00000000-0005-0000-0000-000045070000}"/>
    <cellStyle name="Percent 17" xfId="558" xr:uid="{00000000-0005-0000-0000-000046070000}"/>
    <cellStyle name="Percent 18" xfId="559" xr:uid="{00000000-0005-0000-0000-000047070000}"/>
    <cellStyle name="Percent 19" xfId="560" xr:uid="{00000000-0005-0000-0000-000048070000}"/>
    <cellStyle name="Percent 2" xfId="66" xr:uid="{00000000-0005-0000-0000-000049070000}"/>
    <cellStyle name="Percent 2 2" xfId="562" xr:uid="{00000000-0005-0000-0000-00004A070000}"/>
    <cellStyle name="Percent 2 2 2" xfId="563" xr:uid="{00000000-0005-0000-0000-00004B070000}"/>
    <cellStyle name="Percent 2 3" xfId="564" xr:uid="{00000000-0005-0000-0000-00004C070000}"/>
    <cellStyle name="Percent 2 4" xfId="565" xr:uid="{00000000-0005-0000-0000-00004D070000}"/>
    <cellStyle name="Percent 2 5" xfId="566" xr:uid="{00000000-0005-0000-0000-00004E070000}"/>
    <cellStyle name="Percent 2 6" xfId="561" xr:uid="{00000000-0005-0000-0000-00004F070000}"/>
    <cellStyle name="Percent 2 7" xfId="794" xr:uid="{00000000-0005-0000-0000-000050070000}"/>
    <cellStyle name="Percent 20" xfId="3486" xr:uid="{00000000-0005-0000-0000-000051070000}"/>
    <cellStyle name="Percent 3" xfId="567" xr:uid="{00000000-0005-0000-0000-000052070000}"/>
    <cellStyle name="Percent 3 2" xfId="568" xr:uid="{00000000-0005-0000-0000-000053070000}"/>
    <cellStyle name="Percent 3 3" xfId="569" xr:uid="{00000000-0005-0000-0000-000054070000}"/>
    <cellStyle name="Percent 3 3 2" xfId="890" xr:uid="{00000000-0005-0000-0000-000055070000}"/>
    <cellStyle name="Percent 3 4" xfId="570" xr:uid="{00000000-0005-0000-0000-000056070000}"/>
    <cellStyle name="Percent 4" xfId="571" xr:uid="{00000000-0005-0000-0000-000057070000}"/>
    <cellStyle name="Percent 4 2" xfId="572" xr:uid="{00000000-0005-0000-0000-000058070000}"/>
    <cellStyle name="Percent 5" xfId="573" xr:uid="{00000000-0005-0000-0000-000059070000}"/>
    <cellStyle name="Percent 6" xfId="574" xr:uid="{00000000-0005-0000-0000-00005A070000}"/>
    <cellStyle name="Percent 7" xfId="575" xr:uid="{00000000-0005-0000-0000-00005B070000}"/>
    <cellStyle name="Percent 8" xfId="576" xr:uid="{00000000-0005-0000-0000-00005C070000}"/>
    <cellStyle name="Percent 9" xfId="577" xr:uid="{00000000-0005-0000-0000-00005D070000}"/>
    <cellStyle name="Percent Comma" xfId="578" xr:uid="{00000000-0005-0000-0000-00005E070000}"/>
    <cellStyle name="Percent input" xfId="579" xr:uid="{00000000-0005-0000-0000-00005F070000}"/>
    <cellStyle name="Percent input 10" xfId="1323" xr:uid="{00000000-0005-0000-0000-000060070000}"/>
    <cellStyle name="Percent input 2" xfId="891" xr:uid="{00000000-0005-0000-0000-000061070000}"/>
    <cellStyle name="Percent input 2 10" xfId="81" xr:uid="{00000000-0005-0000-0000-000062070000}"/>
    <cellStyle name="Percent input 2 2" xfId="1415" xr:uid="{00000000-0005-0000-0000-000063070000}"/>
    <cellStyle name="Percent input 2 2 2" xfId="2126" xr:uid="{00000000-0005-0000-0000-000064070000}"/>
    <cellStyle name="Percent input 2 2 3" xfId="2738" xr:uid="{00000000-0005-0000-0000-000065070000}"/>
    <cellStyle name="Percent input 2 2 4" xfId="3280" xr:uid="{00000000-0005-0000-0000-000066070000}"/>
    <cellStyle name="Percent input 2 3" xfId="1503" xr:uid="{00000000-0005-0000-0000-000067070000}"/>
    <cellStyle name="Percent input 2 3 2" xfId="2187" xr:uid="{00000000-0005-0000-0000-000068070000}"/>
    <cellStyle name="Percent input 2 3 3" xfId="2796" xr:uid="{00000000-0005-0000-0000-000069070000}"/>
    <cellStyle name="Percent input 2 3 4" xfId="3337" xr:uid="{00000000-0005-0000-0000-00006A070000}"/>
    <cellStyle name="Percent input 2 4" xfId="1035" xr:uid="{00000000-0005-0000-0000-00006B070000}"/>
    <cellStyle name="Percent input 2 4 2" xfId="1903" xr:uid="{00000000-0005-0000-0000-00006C070000}"/>
    <cellStyle name="Percent input 2 4 3" xfId="2526" xr:uid="{00000000-0005-0000-0000-00006D070000}"/>
    <cellStyle name="Percent input 2 4 4" xfId="3075" xr:uid="{00000000-0005-0000-0000-00006E070000}"/>
    <cellStyle name="Percent input 2 5" xfId="1063" xr:uid="{00000000-0005-0000-0000-00006F070000}"/>
    <cellStyle name="Percent input 2 5 2" xfId="1914" xr:uid="{00000000-0005-0000-0000-000070070000}"/>
    <cellStyle name="Percent input 2 5 3" xfId="2534" xr:uid="{00000000-0005-0000-0000-000071070000}"/>
    <cellStyle name="Percent input 2 5 4" xfId="3082" xr:uid="{00000000-0005-0000-0000-000072070000}"/>
    <cellStyle name="Percent input 2 6" xfId="1841" xr:uid="{00000000-0005-0000-0000-000073070000}"/>
    <cellStyle name="Percent input 2 6 2" xfId="2469" xr:uid="{00000000-0005-0000-0000-000074070000}"/>
    <cellStyle name="Percent input 2 6 3" xfId="3023" xr:uid="{00000000-0005-0000-0000-000075070000}"/>
    <cellStyle name="Percent input 2 7" xfId="2304" xr:uid="{00000000-0005-0000-0000-000076070000}"/>
    <cellStyle name="Percent input 2 7 2" xfId="2906" xr:uid="{00000000-0005-0000-0000-000077070000}"/>
    <cellStyle name="Percent input 2 7 3" xfId="3443" xr:uid="{00000000-0005-0000-0000-000078070000}"/>
    <cellStyle name="Percent input 2 8" xfId="1109" xr:uid="{00000000-0005-0000-0000-000079070000}"/>
    <cellStyle name="Percent input 2 9" xfId="1140" xr:uid="{00000000-0005-0000-0000-00007A070000}"/>
    <cellStyle name="Percent input 3" xfId="1242" xr:uid="{00000000-0005-0000-0000-00007B070000}"/>
    <cellStyle name="Percent input 3 2" xfId="2001" xr:uid="{00000000-0005-0000-0000-00007C070000}"/>
    <cellStyle name="Percent input 3 3" xfId="2617" xr:uid="{00000000-0005-0000-0000-00007D070000}"/>
    <cellStyle name="Percent input 3 4" xfId="3162" xr:uid="{00000000-0005-0000-0000-00007E070000}"/>
    <cellStyle name="Percent input 4" xfId="1112" xr:uid="{00000000-0005-0000-0000-00007F070000}"/>
    <cellStyle name="Percent input 4 2" xfId="1948" xr:uid="{00000000-0005-0000-0000-000080070000}"/>
    <cellStyle name="Percent input 4 3" xfId="2567" xr:uid="{00000000-0005-0000-0000-000081070000}"/>
    <cellStyle name="Percent input 4 4" xfId="3115" xr:uid="{00000000-0005-0000-0000-000082070000}"/>
    <cellStyle name="Percent input 5" xfId="1192" xr:uid="{00000000-0005-0000-0000-000083070000}"/>
    <cellStyle name="Percent input 5 2" xfId="1981" xr:uid="{00000000-0005-0000-0000-000084070000}"/>
    <cellStyle name="Percent input 5 3" xfId="2599" xr:uid="{00000000-0005-0000-0000-000085070000}"/>
    <cellStyle name="Percent input 5 4" xfId="3144" xr:uid="{00000000-0005-0000-0000-000086070000}"/>
    <cellStyle name="Percent input 6" xfId="1251" xr:uid="{00000000-0005-0000-0000-000087070000}"/>
    <cellStyle name="Percent input 6 2" xfId="2005" xr:uid="{00000000-0005-0000-0000-000088070000}"/>
    <cellStyle name="Percent input 6 3" xfId="2621" xr:uid="{00000000-0005-0000-0000-000089070000}"/>
    <cellStyle name="Percent input 6 4" xfId="3166" xr:uid="{00000000-0005-0000-0000-00008A070000}"/>
    <cellStyle name="Percent input 7" xfId="1761" xr:uid="{00000000-0005-0000-0000-00008B070000}"/>
    <cellStyle name="Percent input 7 2" xfId="2402" xr:uid="{00000000-0005-0000-0000-00008C070000}"/>
    <cellStyle name="Percent input 7 3" xfId="2958" xr:uid="{00000000-0005-0000-0000-00008D070000}"/>
    <cellStyle name="Percent input 8" xfId="1180" xr:uid="{00000000-0005-0000-0000-00008E070000}"/>
    <cellStyle name="Percent input 9" xfId="1658" xr:uid="{00000000-0005-0000-0000-00008F070000}"/>
    <cellStyle name="PercentSales" xfId="580" xr:uid="{00000000-0005-0000-0000-000090070000}"/>
    <cellStyle name="POA" xfId="581" xr:uid="{00000000-0005-0000-0000-000091070000}"/>
    <cellStyle name="Porcentaje 2" xfId="74" xr:uid="{00000000-0005-0000-0000-000093070000}"/>
    <cellStyle name="Porcentaje 2 2" xfId="582" xr:uid="{00000000-0005-0000-0000-000094070000}"/>
    <cellStyle name="Porcentaje 2 3" xfId="801" xr:uid="{00000000-0005-0000-0000-000095070000}"/>
    <cellStyle name="Porcentaje 3" xfId="89" xr:uid="{00000000-0005-0000-0000-000096070000}"/>
    <cellStyle name="Porcentaje 3 2" xfId="583" xr:uid="{00000000-0005-0000-0000-000097070000}"/>
    <cellStyle name="Porcentaje 3 3" xfId="800" xr:uid="{00000000-0005-0000-0000-000098070000}"/>
    <cellStyle name="Porcentaje 4" xfId="12" xr:uid="{00000000-0005-0000-0000-000018000000}"/>
    <cellStyle name="Porcentaje 4 2" xfId="3485" xr:uid="{00000000-0005-0000-0000-00009A070000}"/>
    <cellStyle name="Porcentaje 4 3" xfId="100" xr:uid="{00000000-0005-0000-0000-000099070000}"/>
    <cellStyle name="Porcentaje 5" xfId="73" xr:uid="{00000000-0005-0000-0000-00009B070000}"/>
    <cellStyle name="Porcentaje 6" xfId="3472" xr:uid="{00000000-0005-0000-0000-00009C070000}"/>
    <cellStyle name="Porcentaje 7" xfId="3480" xr:uid="{00000000-0005-0000-0000-00009D070000}"/>
    <cellStyle name="Porcentaje 8" xfId="18" xr:uid="{00000000-0005-0000-0000-000019000000}"/>
    <cellStyle name="Porcentaje 9" xfId="62" xr:uid="{00000000-0005-0000-0000-0000CE070000}"/>
    <cellStyle name="Porcentual 10" xfId="584" xr:uid="{00000000-0005-0000-0000-00009F070000}"/>
    <cellStyle name="Porcentual 11" xfId="585" xr:uid="{00000000-0005-0000-0000-0000A0070000}"/>
    <cellStyle name="Porcentual 12" xfId="586" xr:uid="{00000000-0005-0000-0000-0000A1070000}"/>
    <cellStyle name="Porcentual 2" xfId="587" xr:uid="{00000000-0005-0000-0000-0000A2070000}"/>
    <cellStyle name="Porcentual 3" xfId="588" xr:uid="{00000000-0005-0000-0000-0000A3070000}"/>
    <cellStyle name="Porcentual 4" xfId="589" xr:uid="{00000000-0005-0000-0000-0000A4070000}"/>
    <cellStyle name="Porcentual 5" xfId="590" xr:uid="{00000000-0005-0000-0000-0000A5070000}"/>
    <cellStyle name="Porcentual 6" xfId="591" xr:uid="{00000000-0005-0000-0000-0000A6070000}"/>
    <cellStyle name="Porcentual 7" xfId="592" xr:uid="{00000000-0005-0000-0000-0000A7070000}"/>
    <cellStyle name="Porcentual 8" xfId="593" xr:uid="{00000000-0005-0000-0000-0000A8070000}"/>
    <cellStyle name="Porcentual 9" xfId="594" xr:uid="{00000000-0005-0000-0000-0000A9070000}"/>
    <cellStyle name="Print_header" xfId="595" xr:uid="{00000000-0005-0000-0000-0000AA070000}"/>
    <cellStyle name="Protected" xfId="596" xr:uid="{00000000-0005-0000-0000-0000AB070000}"/>
    <cellStyle name="Qté calculées" xfId="597" xr:uid="{00000000-0005-0000-0000-0000AC070000}"/>
    <cellStyle name="Qté calculées 2" xfId="892" xr:uid="{00000000-0005-0000-0000-0000AD070000}"/>
    <cellStyle name="Qté calculées 2 2" xfId="1416" xr:uid="{00000000-0005-0000-0000-0000AE070000}"/>
    <cellStyle name="Qté calculées 2 2 2" xfId="2127" xr:uid="{00000000-0005-0000-0000-0000AF070000}"/>
    <cellStyle name="Qté calculées 2 2 3" xfId="2739" xr:uid="{00000000-0005-0000-0000-0000B0070000}"/>
    <cellStyle name="Qté calculées 2 2 4" xfId="3281" xr:uid="{00000000-0005-0000-0000-0000B1070000}"/>
    <cellStyle name="Qté calculées 2 3" xfId="1842" xr:uid="{00000000-0005-0000-0000-0000B2070000}"/>
    <cellStyle name="Qté calculées 2 4" xfId="1203" xr:uid="{00000000-0005-0000-0000-0000B3070000}"/>
    <cellStyle name="Qté calculées 2 5" xfId="1218" xr:uid="{00000000-0005-0000-0000-0000B4070000}"/>
    <cellStyle name="Qté calculées 2 6" xfId="2368" xr:uid="{00000000-0005-0000-0000-0000B5070000}"/>
    <cellStyle name="Qté calculées 3" xfId="987" xr:uid="{00000000-0005-0000-0000-0000B6070000}"/>
    <cellStyle name="Qté calculées 3 2" xfId="1680" xr:uid="{00000000-0005-0000-0000-0000B7070000}"/>
    <cellStyle name="Qté calculées 4" xfId="1250" xr:uid="{00000000-0005-0000-0000-0000B8070000}"/>
    <cellStyle name="Qté calculées 4 2" xfId="2004" xr:uid="{00000000-0005-0000-0000-0000B9070000}"/>
    <cellStyle name="Qté calculées 4 3" xfId="2620" xr:uid="{00000000-0005-0000-0000-0000BA070000}"/>
    <cellStyle name="Qté calculées 4 4" xfId="3165" xr:uid="{00000000-0005-0000-0000-0000BB070000}"/>
    <cellStyle name="Qté calculées 5" xfId="1210" xr:uid="{00000000-0005-0000-0000-0000BC070000}"/>
    <cellStyle name="Qté calculées 6" xfId="1614" xr:uid="{00000000-0005-0000-0000-0000BD070000}"/>
    <cellStyle name="Qté calculées 7" xfId="1107" xr:uid="{00000000-0005-0000-0000-0000BE070000}"/>
    <cellStyle name="QTé entrées" xfId="598" xr:uid="{00000000-0005-0000-0000-0000BF070000}"/>
    <cellStyle name="rate" xfId="599" xr:uid="{00000000-0005-0000-0000-0000C0070000}"/>
    <cellStyle name="Ratio" xfId="600" xr:uid="{00000000-0005-0000-0000-0000C1070000}"/>
    <cellStyle name="Ratio 2" xfId="893" xr:uid="{00000000-0005-0000-0000-0000C2070000}"/>
    <cellStyle name="Ratio 2 2" xfId="1417" xr:uid="{00000000-0005-0000-0000-0000C3070000}"/>
    <cellStyle name="Ratio 2 2 2" xfId="2128" xr:uid="{00000000-0005-0000-0000-0000C4070000}"/>
    <cellStyle name="Ratio 2 2 3" xfId="2740" xr:uid="{00000000-0005-0000-0000-0000C5070000}"/>
    <cellStyle name="Ratio 2 2 4" xfId="3282" xr:uid="{00000000-0005-0000-0000-0000C6070000}"/>
    <cellStyle name="Ratio 2 3" xfId="1505" xr:uid="{00000000-0005-0000-0000-0000C7070000}"/>
    <cellStyle name="Ratio 2 3 2" xfId="2189" xr:uid="{00000000-0005-0000-0000-0000C8070000}"/>
    <cellStyle name="Ratio 2 3 3" xfId="2798" xr:uid="{00000000-0005-0000-0000-0000C9070000}"/>
    <cellStyle name="Ratio 2 3 4" xfId="3339" xr:uid="{00000000-0005-0000-0000-0000CA070000}"/>
    <cellStyle name="Ratio 2 4" xfId="1433" xr:uid="{00000000-0005-0000-0000-0000CB070000}"/>
    <cellStyle name="Ratio 2 4 2" xfId="2144" xr:uid="{00000000-0005-0000-0000-0000CC070000}"/>
    <cellStyle name="Ratio 2 4 3" xfId="2756" xr:uid="{00000000-0005-0000-0000-0000CD070000}"/>
    <cellStyle name="Ratio 2 4 4" xfId="3298" xr:uid="{00000000-0005-0000-0000-0000CE070000}"/>
    <cellStyle name="Ratio 2 5" xfId="1456" xr:uid="{00000000-0005-0000-0000-0000CF070000}"/>
    <cellStyle name="Ratio 2 5 2" xfId="2161" xr:uid="{00000000-0005-0000-0000-0000D0070000}"/>
    <cellStyle name="Ratio 2 5 3" xfId="2772" xr:uid="{00000000-0005-0000-0000-0000D1070000}"/>
    <cellStyle name="Ratio 2 5 4" xfId="3314" xr:uid="{00000000-0005-0000-0000-0000D2070000}"/>
    <cellStyle name="Ratio 2 6" xfId="1843" xr:uid="{00000000-0005-0000-0000-0000D3070000}"/>
    <cellStyle name="Ratio 2 6 2" xfId="2470" xr:uid="{00000000-0005-0000-0000-0000D4070000}"/>
    <cellStyle name="Ratio 2 6 3" xfId="3024" xr:uid="{00000000-0005-0000-0000-0000D5070000}"/>
    <cellStyle name="Ratio 2 7" xfId="1364" xr:uid="{00000000-0005-0000-0000-0000D6070000}"/>
    <cellStyle name="Ratio 3" xfId="988" xr:uid="{00000000-0005-0000-0000-0000D7070000}"/>
    <cellStyle name="Ratio 3 10" xfId="2934" xr:uid="{00000000-0005-0000-0000-0000D8070000}"/>
    <cellStyle name="Ratio 3 2" xfId="1476" xr:uid="{00000000-0005-0000-0000-0000D9070000}"/>
    <cellStyle name="Ratio 3 2 2" xfId="2171" xr:uid="{00000000-0005-0000-0000-0000DA070000}"/>
    <cellStyle name="Ratio 3 2 3" xfId="2781" xr:uid="{00000000-0005-0000-0000-0000DB070000}"/>
    <cellStyle name="Ratio 3 2 4" xfId="3323" xr:uid="{00000000-0005-0000-0000-0000DC070000}"/>
    <cellStyle name="Ratio 3 3" xfId="1563" xr:uid="{00000000-0005-0000-0000-0000DD070000}"/>
    <cellStyle name="Ratio 3 3 2" xfId="2233" xr:uid="{00000000-0005-0000-0000-0000DE070000}"/>
    <cellStyle name="Ratio 3 3 3" xfId="2841" xr:uid="{00000000-0005-0000-0000-0000DF070000}"/>
    <cellStyle name="Ratio 3 3 4" xfId="3381" xr:uid="{00000000-0005-0000-0000-0000E0070000}"/>
    <cellStyle name="Ratio 3 4" xfId="1619" xr:uid="{00000000-0005-0000-0000-0000E1070000}"/>
    <cellStyle name="Ratio 3 4 2" xfId="2263" xr:uid="{00000000-0005-0000-0000-0000E2070000}"/>
    <cellStyle name="Ratio 3 4 3" xfId="2868" xr:uid="{00000000-0005-0000-0000-0000E3070000}"/>
    <cellStyle name="Ratio 3 4 4" xfId="3407" xr:uid="{00000000-0005-0000-0000-0000E4070000}"/>
    <cellStyle name="Ratio 3 5" xfId="1681" xr:uid="{00000000-0005-0000-0000-0000E5070000}"/>
    <cellStyle name="Ratio 3 5 2" xfId="2297" xr:uid="{00000000-0005-0000-0000-0000E6070000}"/>
    <cellStyle name="Ratio 3 5 3" xfId="2899" xr:uid="{00000000-0005-0000-0000-0000E7070000}"/>
    <cellStyle name="Ratio 3 5 4" xfId="3436" xr:uid="{00000000-0005-0000-0000-0000E8070000}"/>
    <cellStyle name="Ratio 3 6" xfId="1876" xr:uid="{00000000-0005-0000-0000-0000E9070000}"/>
    <cellStyle name="Ratio 3 6 2" xfId="2502" xr:uid="{00000000-0005-0000-0000-0000EA070000}"/>
    <cellStyle name="Ratio 3 6 3" xfId="3055" xr:uid="{00000000-0005-0000-0000-0000EB070000}"/>
    <cellStyle name="Ratio 3 7" xfId="2331" xr:uid="{00000000-0005-0000-0000-0000EC070000}"/>
    <cellStyle name="Ratio 3 7 2" xfId="2933" xr:uid="{00000000-0005-0000-0000-0000ED070000}"/>
    <cellStyle name="Ratio 3 7 3" xfId="3470" xr:uid="{00000000-0005-0000-0000-0000EE070000}"/>
    <cellStyle name="Ratio 3 8" xfId="1722" xr:uid="{00000000-0005-0000-0000-0000EF070000}"/>
    <cellStyle name="Ratio 3 9" xfId="2376" xr:uid="{00000000-0005-0000-0000-0000F0070000}"/>
    <cellStyle name="Ratio 4" xfId="787" xr:uid="{00000000-0005-0000-0000-0000F1070000}"/>
    <cellStyle name="Ratio 4 2" xfId="1357" xr:uid="{00000000-0005-0000-0000-0000F2070000}"/>
    <cellStyle name="Ratio 4 2 2" xfId="2079" xr:uid="{00000000-0005-0000-0000-0000F3070000}"/>
    <cellStyle name="Ratio 4 2 3" xfId="2694" xr:uid="{00000000-0005-0000-0000-0000F4070000}"/>
    <cellStyle name="Ratio 4 2 4" xfId="3238" xr:uid="{00000000-0005-0000-0000-0000F5070000}"/>
    <cellStyle name="Ratio 4 3" xfId="1320" xr:uid="{00000000-0005-0000-0000-0000F6070000}"/>
    <cellStyle name="Ratio 4 3 2" xfId="2055" xr:uid="{00000000-0005-0000-0000-0000F7070000}"/>
    <cellStyle name="Ratio 4 3 3" xfId="2671" xr:uid="{00000000-0005-0000-0000-0000F8070000}"/>
    <cellStyle name="Ratio 4 3 4" xfId="3215" xr:uid="{00000000-0005-0000-0000-0000F9070000}"/>
    <cellStyle name="Ratio 4 4" xfId="1360" xr:uid="{00000000-0005-0000-0000-0000FA070000}"/>
    <cellStyle name="Ratio 4 4 2" xfId="2081" xr:uid="{00000000-0005-0000-0000-0000FB070000}"/>
    <cellStyle name="Ratio 4 4 3" xfId="2696" xr:uid="{00000000-0005-0000-0000-0000FC070000}"/>
    <cellStyle name="Ratio 4 4 4" xfId="3240" xr:uid="{00000000-0005-0000-0000-0000FD070000}"/>
    <cellStyle name="Ratio 4 5" xfId="1544" xr:uid="{00000000-0005-0000-0000-0000FE070000}"/>
    <cellStyle name="Ratio 4 5 2" xfId="2224" xr:uid="{00000000-0005-0000-0000-0000FF070000}"/>
    <cellStyle name="Ratio 4 5 3" xfId="2832" xr:uid="{00000000-0005-0000-0000-000000080000}"/>
    <cellStyle name="Ratio 4 5 4" xfId="3372" xr:uid="{00000000-0005-0000-0000-000001080000}"/>
    <cellStyle name="Ratio 4 6" xfId="1804" xr:uid="{00000000-0005-0000-0000-000002080000}"/>
    <cellStyle name="Ratio 4 6 2" xfId="2442" xr:uid="{00000000-0005-0000-0000-000003080000}"/>
    <cellStyle name="Ratio 4 6 3" xfId="2997" xr:uid="{00000000-0005-0000-0000-000004080000}"/>
    <cellStyle name="Ratio 4 7" xfId="1190" xr:uid="{00000000-0005-0000-0000-000005080000}"/>
    <cellStyle name="Ratio 5" xfId="1762" xr:uid="{00000000-0005-0000-0000-000006080000}"/>
    <cellStyle name="Ratio 5 2" xfId="2403" xr:uid="{00000000-0005-0000-0000-000007080000}"/>
    <cellStyle name="Ratio 5 3" xfId="2959" xr:uid="{00000000-0005-0000-0000-000008080000}"/>
    <cellStyle name="Ratio Comma" xfId="601" xr:uid="{00000000-0005-0000-0000-000009080000}"/>
    <cellStyle name="Ratio_Modelo Wacc_Chemicals" xfId="602" xr:uid="{00000000-0005-0000-0000-00000A080000}"/>
    <cellStyle name="Red font" xfId="603" xr:uid="{00000000-0005-0000-0000-00000B080000}"/>
    <cellStyle name="Roadrunner" xfId="604" xr:uid="{00000000-0005-0000-0000-00000C080000}"/>
    <cellStyle name="Salida" xfId="29" builtinId="21" customBuiltin="1"/>
    <cellStyle name="Salida 2" xfId="606" xr:uid="{00000000-0005-0000-0000-00000D080000}"/>
    <cellStyle name="Salida 2 10" xfId="1174" xr:uid="{00000000-0005-0000-0000-00000E080000}"/>
    <cellStyle name="Salida 2 2" xfId="895" xr:uid="{00000000-0005-0000-0000-00000F080000}"/>
    <cellStyle name="Salida 2 2 10" xfId="1454" xr:uid="{00000000-0005-0000-0000-000010080000}"/>
    <cellStyle name="Salida 2 2 2" xfId="1419" xr:uid="{00000000-0005-0000-0000-000011080000}"/>
    <cellStyle name="Salida 2 2 2 2" xfId="2130" xr:uid="{00000000-0005-0000-0000-000012080000}"/>
    <cellStyle name="Salida 2 2 2 3" xfId="2742" xr:uid="{00000000-0005-0000-0000-000013080000}"/>
    <cellStyle name="Salida 2 2 2 4" xfId="3284" xr:uid="{00000000-0005-0000-0000-000014080000}"/>
    <cellStyle name="Salida 2 2 3" xfId="1507" xr:uid="{00000000-0005-0000-0000-000015080000}"/>
    <cellStyle name="Salida 2 2 3 2" xfId="2191" xr:uid="{00000000-0005-0000-0000-000016080000}"/>
    <cellStyle name="Salida 2 2 3 3" xfId="2800" xr:uid="{00000000-0005-0000-0000-000017080000}"/>
    <cellStyle name="Salida 2 2 3 4" xfId="3341" xr:uid="{00000000-0005-0000-0000-000018080000}"/>
    <cellStyle name="Salida 2 2 4" xfId="1410" xr:uid="{00000000-0005-0000-0000-000019080000}"/>
    <cellStyle name="Salida 2 2 4 2" xfId="2122" xr:uid="{00000000-0005-0000-0000-00001A080000}"/>
    <cellStyle name="Salida 2 2 4 3" xfId="2734" xr:uid="{00000000-0005-0000-0000-00001B080000}"/>
    <cellStyle name="Salida 2 2 4 4" xfId="3276" xr:uid="{00000000-0005-0000-0000-00001C080000}"/>
    <cellStyle name="Salida 2 2 5" xfId="1629" xr:uid="{00000000-0005-0000-0000-00001D080000}"/>
    <cellStyle name="Salida 2 2 5 2" xfId="2269" xr:uid="{00000000-0005-0000-0000-00001E080000}"/>
    <cellStyle name="Salida 2 2 5 3" xfId="2872" xr:uid="{00000000-0005-0000-0000-00001F080000}"/>
    <cellStyle name="Salida 2 2 5 4" xfId="3410" xr:uid="{00000000-0005-0000-0000-000020080000}"/>
    <cellStyle name="Salida 2 2 6" xfId="1845" xr:uid="{00000000-0005-0000-0000-000021080000}"/>
    <cellStyle name="Salida 2 2 6 2" xfId="2472" xr:uid="{00000000-0005-0000-0000-000022080000}"/>
    <cellStyle name="Salida 2 2 6 3" xfId="3026" xr:uid="{00000000-0005-0000-0000-000023080000}"/>
    <cellStyle name="Salida 2 2 7" xfId="2306" xr:uid="{00000000-0005-0000-0000-000024080000}"/>
    <cellStyle name="Salida 2 2 7 2" xfId="2908" xr:uid="{00000000-0005-0000-0000-000025080000}"/>
    <cellStyle name="Salida 2 2 7 3" xfId="3445" xr:uid="{00000000-0005-0000-0000-000026080000}"/>
    <cellStyle name="Salida 2 2 8" xfId="1405" xr:uid="{00000000-0005-0000-0000-000027080000}"/>
    <cellStyle name="Salida 2 2 9" xfId="1125" xr:uid="{00000000-0005-0000-0000-000028080000}"/>
    <cellStyle name="Salida 2 3" xfId="1258" xr:uid="{00000000-0005-0000-0000-000029080000}"/>
    <cellStyle name="Salida 2 3 2" xfId="2011" xr:uid="{00000000-0005-0000-0000-00002A080000}"/>
    <cellStyle name="Salida 2 3 3" xfId="2626" xr:uid="{00000000-0005-0000-0000-00002B080000}"/>
    <cellStyle name="Salida 2 3 4" xfId="3171" xr:uid="{00000000-0005-0000-0000-00002C080000}"/>
    <cellStyle name="Salida 2 4" xfId="1361" xr:uid="{00000000-0005-0000-0000-00002D080000}"/>
    <cellStyle name="Salida 2 4 2" xfId="2082" xr:uid="{00000000-0005-0000-0000-00002E080000}"/>
    <cellStyle name="Salida 2 4 3" xfId="2697" xr:uid="{00000000-0005-0000-0000-00002F080000}"/>
    <cellStyle name="Salida 2 4 4" xfId="3241" xr:uid="{00000000-0005-0000-0000-000030080000}"/>
    <cellStyle name="Salida 2 5" xfId="1197" xr:uid="{00000000-0005-0000-0000-000031080000}"/>
    <cellStyle name="Salida 2 5 2" xfId="1984" xr:uid="{00000000-0005-0000-0000-000032080000}"/>
    <cellStyle name="Salida 2 5 3" xfId="2602" xr:uid="{00000000-0005-0000-0000-000033080000}"/>
    <cellStyle name="Salida 2 5 4" xfId="3147" xr:uid="{00000000-0005-0000-0000-000034080000}"/>
    <cellStyle name="Salida 2 6" xfId="1042" xr:uid="{00000000-0005-0000-0000-000035080000}"/>
    <cellStyle name="Salida 2 6 2" xfId="1908" xr:uid="{00000000-0005-0000-0000-000036080000}"/>
    <cellStyle name="Salida 2 6 3" xfId="2530" xr:uid="{00000000-0005-0000-0000-000037080000}"/>
    <cellStyle name="Salida 2 6 4" xfId="3079" xr:uid="{00000000-0005-0000-0000-000038080000}"/>
    <cellStyle name="Salida 2 7" xfId="1764" xr:uid="{00000000-0005-0000-0000-000039080000}"/>
    <cellStyle name="Salida 2 7 2" xfId="2405" xr:uid="{00000000-0005-0000-0000-00003A080000}"/>
    <cellStyle name="Salida 2 7 3" xfId="2961" xr:uid="{00000000-0005-0000-0000-00003B080000}"/>
    <cellStyle name="Salida 2 8" xfId="1231" xr:uid="{00000000-0005-0000-0000-00003C080000}"/>
    <cellStyle name="Salida 2 9" xfId="1293" xr:uid="{00000000-0005-0000-0000-00003D080000}"/>
    <cellStyle name="Salida 3" xfId="705" xr:uid="{00000000-0005-0000-0000-00003E080000}"/>
    <cellStyle name="Salida 4" xfId="605" xr:uid="{00000000-0005-0000-0000-00003F080000}"/>
    <cellStyle name="Salida 4 10" xfId="1173" xr:uid="{00000000-0005-0000-0000-000040080000}"/>
    <cellStyle name="Salida 4 2" xfId="894" xr:uid="{00000000-0005-0000-0000-000041080000}"/>
    <cellStyle name="Salida 4 2 10" xfId="2363" xr:uid="{00000000-0005-0000-0000-000042080000}"/>
    <cellStyle name="Salida 4 2 2" xfId="1418" xr:uid="{00000000-0005-0000-0000-000043080000}"/>
    <cellStyle name="Salida 4 2 2 2" xfId="2129" xr:uid="{00000000-0005-0000-0000-000044080000}"/>
    <cellStyle name="Salida 4 2 2 3" xfId="2741" xr:uid="{00000000-0005-0000-0000-000045080000}"/>
    <cellStyle name="Salida 4 2 2 4" xfId="3283" xr:uid="{00000000-0005-0000-0000-000046080000}"/>
    <cellStyle name="Salida 4 2 3" xfId="1506" xr:uid="{00000000-0005-0000-0000-000047080000}"/>
    <cellStyle name="Salida 4 2 3 2" xfId="2190" xr:uid="{00000000-0005-0000-0000-000048080000}"/>
    <cellStyle name="Salida 4 2 3 3" xfId="2799" xr:uid="{00000000-0005-0000-0000-000049080000}"/>
    <cellStyle name="Salida 4 2 3 4" xfId="3340" xr:uid="{00000000-0005-0000-0000-00004A080000}"/>
    <cellStyle name="Salida 4 2 4" xfId="1477" xr:uid="{00000000-0005-0000-0000-00004B080000}"/>
    <cellStyle name="Salida 4 2 4 2" xfId="2172" xr:uid="{00000000-0005-0000-0000-00004C080000}"/>
    <cellStyle name="Salida 4 2 4 3" xfId="2782" xr:uid="{00000000-0005-0000-0000-00004D080000}"/>
    <cellStyle name="Salida 4 2 4 4" xfId="3324" xr:uid="{00000000-0005-0000-0000-00004E080000}"/>
    <cellStyle name="Salida 4 2 5" xfId="1628" xr:uid="{00000000-0005-0000-0000-00004F080000}"/>
    <cellStyle name="Salida 4 2 5 2" xfId="2268" xr:uid="{00000000-0005-0000-0000-000050080000}"/>
    <cellStyle name="Salida 4 2 5 3" xfId="2871" xr:uid="{00000000-0005-0000-0000-000051080000}"/>
    <cellStyle name="Salida 4 2 5 4" xfId="3409" xr:uid="{00000000-0005-0000-0000-000052080000}"/>
    <cellStyle name="Salida 4 2 6" xfId="1844" xr:uid="{00000000-0005-0000-0000-000053080000}"/>
    <cellStyle name="Salida 4 2 6 2" xfId="2471" xr:uid="{00000000-0005-0000-0000-000054080000}"/>
    <cellStyle name="Salida 4 2 6 3" xfId="3025" xr:uid="{00000000-0005-0000-0000-000055080000}"/>
    <cellStyle name="Salida 4 2 7" xfId="2305" xr:uid="{00000000-0005-0000-0000-000056080000}"/>
    <cellStyle name="Salida 4 2 7 2" xfId="2907" xr:uid="{00000000-0005-0000-0000-000057080000}"/>
    <cellStyle name="Salida 4 2 7 3" xfId="3444" xr:uid="{00000000-0005-0000-0000-000058080000}"/>
    <cellStyle name="Salida 4 2 8" xfId="1461" xr:uid="{00000000-0005-0000-0000-000059080000}"/>
    <cellStyle name="Salida 4 2 9" xfId="1141" xr:uid="{00000000-0005-0000-0000-00005A080000}"/>
    <cellStyle name="Salida 4 3" xfId="1257" xr:uid="{00000000-0005-0000-0000-00005B080000}"/>
    <cellStyle name="Salida 4 3 2" xfId="2010" xr:uid="{00000000-0005-0000-0000-00005C080000}"/>
    <cellStyle name="Salida 4 3 3" xfId="2625" xr:uid="{00000000-0005-0000-0000-00005D080000}"/>
    <cellStyle name="Salida 4 3 4" xfId="3170" xr:uid="{00000000-0005-0000-0000-00005E080000}"/>
    <cellStyle name="Salida 4 4" xfId="1101" xr:uid="{00000000-0005-0000-0000-00005F080000}"/>
    <cellStyle name="Salida 4 4 2" xfId="1944" xr:uid="{00000000-0005-0000-0000-000060080000}"/>
    <cellStyle name="Salida 4 4 3" xfId="2563" xr:uid="{00000000-0005-0000-0000-000061080000}"/>
    <cellStyle name="Salida 4 4 4" xfId="3111" xr:uid="{00000000-0005-0000-0000-000062080000}"/>
    <cellStyle name="Salida 4 5" xfId="1196" xr:uid="{00000000-0005-0000-0000-000063080000}"/>
    <cellStyle name="Salida 4 5 2" xfId="1983" xr:uid="{00000000-0005-0000-0000-000064080000}"/>
    <cellStyle name="Salida 4 5 3" xfId="2601" xr:uid="{00000000-0005-0000-0000-000065080000}"/>
    <cellStyle name="Salida 4 5 4" xfId="3146" xr:uid="{00000000-0005-0000-0000-000066080000}"/>
    <cellStyle name="Salida 4 6" xfId="1555" xr:uid="{00000000-0005-0000-0000-000067080000}"/>
    <cellStyle name="Salida 4 6 2" xfId="2230" xr:uid="{00000000-0005-0000-0000-000068080000}"/>
    <cellStyle name="Salida 4 6 3" xfId="2838" xr:uid="{00000000-0005-0000-0000-000069080000}"/>
    <cellStyle name="Salida 4 6 4" xfId="3378" xr:uid="{00000000-0005-0000-0000-00006A080000}"/>
    <cellStyle name="Salida 4 7" xfId="1763" xr:uid="{00000000-0005-0000-0000-00006B080000}"/>
    <cellStyle name="Salida 4 7 2" xfId="2404" xr:uid="{00000000-0005-0000-0000-00006C080000}"/>
    <cellStyle name="Salida 4 7 3" xfId="2960" xr:uid="{00000000-0005-0000-0000-00006D080000}"/>
    <cellStyle name="Salida 4 8" xfId="1105" xr:uid="{00000000-0005-0000-0000-00006E080000}"/>
    <cellStyle name="Salida 4 9" xfId="1327" xr:uid="{00000000-0005-0000-0000-00006F080000}"/>
    <cellStyle name="SAPBEXaggData" xfId="607" xr:uid="{00000000-0005-0000-0000-000070080000}"/>
    <cellStyle name="SAPBEXaggData 10" xfId="1010" xr:uid="{00000000-0005-0000-0000-000071080000}"/>
    <cellStyle name="SAPBEXaggData 2" xfId="896" xr:uid="{00000000-0005-0000-0000-000072080000}"/>
    <cellStyle name="SAPBEXaggData 2 10" xfId="1370" xr:uid="{00000000-0005-0000-0000-000073080000}"/>
    <cellStyle name="SAPBEXaggData 2 2" xfId="1420" xr:uid="{00000000-0005-0000-0000-000074080000}"/>
    <cellStyle name="SAPBEXaggData 2 2 2" xfId="2131" xr:uid="{00000000-0005-0000-0000-000075080000}"/>
    <cellStyle name="SAPBEXaggData 2 2 3" xfId="2743" xr:uid="{00000000-0005-0000-0000-000076080000}"/>
    <cellStyle name="SAPBEXaggData 2 2 4" xfId="3285" xr:uid="{00000000-0005-0000-0000-000077080000}"/>
    <cellStyle name="SAPBEXaggData 2 3" xfId="1508" xr:uid="{00000000-0005-0000-0000-000078080000}"/>
    <cellStyle name="SAPBEXaggData 2 3 2" xfId="2192" xr:uid="{00000000-0005-0000-0000-000079080000}"/>
    <cellStyle name="SAPBEXaggData 2 3 3" xfId="2801" xr:uid="{00000000-0005-0000-0000-00007A080000}"/>
    <cellStyle name="SAPBEXaggData 2 3 4" xfId="3342" xr:uid="{00000000-0005-0000-0000-00007B080000}"/>
    <cellStyle name="SAPBEXaggData 2 4" xfId="1485" xr:uid="{00000000-0005-0000-0000-00007C080000}"/>
    <cellStyle name="SAPBEXaggData 2 4 2" xfId="2177" xr:uid="{00000000-0005-0000-0000-00007D080000}"/>
    <cellStyle name="SAPBEXaggData 2 4 3" xfId="2787" xr:uid="{00000000-0005-0000-0000-00007E080000}"/>
    <cellStyle name="SAPBEXaggData 2 4 4" xfId="3328" xr:uid="{00000000-0005-0000-0000-00007F080000}"/>
    <cellStyle name="SAPBEXaggData 2 5" xfId="1630" xr:uid="{00000000-0005-0000-0000-000080080000}"/>
    <cellStyle name="SAPBEXaggData 2 5 2" xfId="2270" xr:uid="{00000000-0005-0000-0000-000081080000}"/>
    <cellStyle name="SAPBEXaggData 2 5 3" xfId="2873" xr:uid="{00000000-0005-0000-0000-000082080000}"/>
    <cellStyle name="SAPBEXaggData 2 5 4" xfId="3411" xr:uid="{00000000-0005-0000-0000-000083080000}"/>
    <cellStyle name="SAPBEXaggData 2 6" xfId="1846" xr:uid="{00000000-0005-0000-0000-000084080000}"/>
    <cellStyle name="SAPBEXaggData 2 6 2" xfId="2473" xr:uid="{00000000-0005-0000-0000-000085080000}"/>
    <cellStyle name="SAPBEXaggData 2 6 3" xfId="3027" xr:uid="{00000000-0005-0000-0000-000086080000}"/>
    <cellStyle name="SAPBEXaggData 2 7" xfId="2307" xr:uid="{00000000-0005-0000-0000-000087080000}"/>
    <cellStyle name="SAPBEXaggData 2 7 2" xfId="2909" xr:uid="{00000000-0005-0000-0000-000088080000}"/>
    <cellStyle name="SAPBEXaggData 2 7 3" xfId="3446" xr:uid="{00000000-0005-0000-0000-000089080000}"/>
    <cellStyle name="SAPBEXaggData 2 8" xfId="1292" xr:uid="{00000000-0005-0000-0000-00008A080000}"/>
    <cellStyle name="SAPBEXaggData 2 9" xfId="2332" xr:uid="{00000000-0005-0000-0000-00008B080000}"/>
    <cellStyle name="SAPBEXaggData 3" xfId="1259" xr:uid="{00000000-0005-0000-0000-00008C080000}"/>
    <cellStyle name="SAPBEXaggData 3 2" xfId="2012" xr:uid="{00000000-0005-0000-0000-00008D080000}"/>
    <cellStyle name="SAPBEXaggData 3 3" xfId="2627" xr:uid="{00000000-0005-0000-0000-00008E080000}"/>
    <cellStyle name="SAPBEXaggData 3 4" xfId="3172" xr:uid="{00000000-0005-0000-0000-00008F080000}"/>
    <cellStyle name="SAPBEXaggData 4" xfId="1100" xr:uid="{00000000-0005-0000-0000-000090080000}"/>
    <cellStyle name="SAPBEXaggData 4 2" xfId="1943" xr:uid="{00000000-0005-0000-0000-000091080000}"/>
    <cellStyle name="SAPBEXaggData 4 3" xfId="2562" xr:uid="{00000000-0005-0000-0000-000092080000}"/>
    <cellStyle name="SAPBEXaggData 4 4" xfId="3110" xr:uid="{00000000-0005-0000-0000-000093080000}"/>
    <cellStyle name="SAPBEXaggData 5" xfId="1198" xr:uid="{00000000-0005-0000-0000-000094080000}"/>
    <cellStyle name="SAPBEXaggData 5 2" xfId="1985" xr:uid="{00000000-0005-0000-0000-000095080000}"/>
    <cellStyle name="SAPBEXaggData 5 3" xfId="2603" xr:uid="{00000000-0005-0000-0000-000096080000}"/>
    <cellStyle name="SAPBEXaggData 5 4" xfId="3148" xr:uid="{00000000-0005-0000-0000-000097080000}"/>
    <cellStyle name="SAPBEXaggData 6" xfId="1562" xr:uid="{00000000-0005-0000-0000-000098080000}"/>
    <cellStyle name="SAPBEXaggData 6 2" xfId="2232" xr:uid="{00000000-0005-0000-0000-000099080000}"/>
    <cellStyle name="SAPBEXaggData 6 3" xfId="2840" xr:uid="{00000000-0005-0000-0000-00009A080000}"/>
    <cellStyle name="SAPBEXaggData 6 4" xfId="3380" xr:uid="{00000000-0005-0000-0000-00009B080000}"/>
    <cellStyle name="SAPBEXaggData 7" xfId="1765" xr:uid="{00000000-0005-0000-0000-00009C080000}"/>
    <cellStyle name="SAPBEXaggData 7 2" xfId="2406" xr:uid="{00000000-0005-0000-0000-00009D080000}"/>
    <cellStyle name="SAPBEXaggData 7 3" xfId="2962" xr:uid="{00000000-0005-0000-0000-00009E080000}"/>
    <cellStyle name="SAPBEXaggData 8" xfId="1296" xr:uid="{00000000-0005-0000-0000-00009F080000}"/>
    <cellStyle name="SAPBEXaggData 9" xfId="1294" xr:uid="{00000000-0005-0000-0000-0000A0080000}"/>
    <cellStyle name="SAPBEXaggDataEmph" xfId="608" xr:uid="{00000000-0005-0000-0000-0000A1080000}"/>
    <cellStyle name="SAPBEXaggDataEmph 10" xfId="1487" xr:uid="{00000000-0005-0000-0000-0000A2080000}"/>
    <cellStyle name="SAPBEXaggDataEmph 2" xfId="897" xr:uid="{00000000-0005-0000-0000-0000A3080000}"/>
    <cellStyle name="SAPBEXaggDataEmph 2 10" xfId="1721" xr:uid="{00000000-0005-0000-0000-0000A4080000}"/>
    <cellStyle name="SAPBEXaggDataEmph 2 2" xfId="1421" xr:uid="{00000000-0005-0000-0000-0000A5080000}"/>
    <cellStyle name="SAPBEXaggDataEmph 2 2 2" xfId="2132" xr:uid="{00000000-0005-0000-0000-0000A6080000}"/>
    <cellStyle name="SAPBEXaggDataEmph 2 2 3" xfId="2744" xr:uid="{00000000-0005-0000-0000-0000A7080000}"/>
    <cellStyle name="SAPBEXaggDataEmph 2 2 4" xfId="3286" xr:uid="{00000000-0005-0000-0000-0000A8080000}"/>
    <cellStyle name="SAPBEXaggDataEmph 2 3" xfId="1509" xr:uid="{00000000-0005-0000-0000-0000A9080000}"/>
    <cellStyle name="SAPBEXaggDataEmph 2 3 2" xfId="2193" xr:uid="{00000000-0005-0000-0000-0000AA080000}"/>
    <cellStyle name="SAPBEXaggDataEmph 2 3 3" xfId="2802" xr:uid="{00000000-0005-0000-0000-0000AB080000}"/>
    <cellStyle name="SAPBEXaggDataEmph 2 3 4" xfId="3343" xr:uid="{00000000-0005-0000-0000-0000AC080000}"/>
    <cellStyle name="SAPBEXaggDataEmph 2 4" xfId="1358" xr:uid="{00000000-0005-0000-0000-0000AD080000}"/>
    <cellStyle name="SAPBEXaggDataEmph 2 4 2" xfId="2080" xr:uid="{00000000-0005-0000-0000-0000AE080000}"/>
    <cellStyle name="SAPBEXaggDataEmph 2 4 3" xfId="2695" xr:uid="{00000000-0005-0000-0000-0000AF080000}"/>
    <cellStyle name="SAPBEXaggDataEmph 2 4 4" xfId="3239" xr:uid="{00000000-0005-0000-0000-0000B0080000}"/>
    <cellStyle name="SAPBEXaggDataEmph 2 5" xfId="1631" xr:uid="{00000000-0005-0000-0000-0000B1080000}"/>
    <cellStyle name="SAPBEXaggDataEmph 2 5 2" xfId="2271" xr:uid="{00000000-0005-0000-0000-0000B2080000}"/>
    <cellStyle name="SAPBEXaggDataEmph 2 5 3" xfId="2874" xr:uid="{00000000-0005-0000-0000-0000B3080000}"/>
    <cellStyle name="SAPBEXaggDataEmph 2 5 4" xfId="3412" xr:uid="{00000000-0005-0000-0000-0000B4080000}"/>
    <cellStyle name="SAPBEXaggDataEmph 2 6" xfId="1847" xr:uid="{00000000-0005-0000-0000-0000B5080000}"/>
    <cellStyle name="SAPBEXaggDataEmph 2 6 2" xfId="2474" xr:uid="{00000000-0005-0000-0000-0000B6080000}"/>
    <cellStyle name="SAPBEXaggDataEmph 2 6 3" xfId="3028" xr:uid="{00000000-0005-0000-0000-0000B7080000}"/>
    <cellStyle name="SAPBEXaggDataEmph 2 7" xfId="2308" xr:uid="{00000000-0005-0000-0000-0000B8080000}"/>
    <cellStyle name="SAPBEXaggDataEmph 2 7 2" xfId="2910" xr:uid="{00000000-0005-0000-0000-0000B9080000}"/>
    <cellStyle name="SAPBEXaggDataEmph 2 7 3" xfId="3447" xr:uid="{00000000-0005-0000-0000-0000BA080000}"/>
    <cellStyle name="SAPBEXaggDataEmph 2 8" xfId="1013" xr:uid="{00000000-0005-0000-0000-0000BB080000}"/>
    <cellStyle name="SAPBEXaggDataEmph 2 9" xfId="2333" xr:uid="{00000000-0005-0000-0000-0000BC080000}"/>
    <cellStyle name="SAPBEXaggDataEmph 3" xfId="1260" xr:uid="{00000000-0005-0000-0000-0000BD080000}"/>
    <cellStyle name="SAPBEXaggDataEmph 3 2" xfId="2013" xr:uid="{00000000-0005-0000-0000-0000BE080000}"/>
    <cellStyle name="SAPBEXaggDataEmph 3 3" xfId="2628" xr:uid="{00000000-0005-0000-0000-0000BF080000}"/>
    <cellStyle name="SAPBEXaggDataEmph 3 4" xfId="3173" xr:uid="{00000000-0005-0000-0000-0000C0080000}"/>
    <cellStyle name="SAPBEXaggDataEmph 4" xfId="1008" xr:uid="{00000000-0005-0000-0000-0000C1080000}"/>
    <cellStyle name="SAPBEXaggDataEmph 4 2" xfId="1886" xr:uid="{00000000-0005-0000-0000-0000C2080000}"/>
    <cellStyle name="SAPBEXaggDataEmph 4 3" xfId="2510" xr:uid="{00000000-0005-0000-0000-0000C3080000}"/>
    <cellStyle name="SAPBEXaggDataEmph 4 4" xfId="3063" xr:uid="{00000000-0005-0000-0000-0000C4080000}"/>
    <cellStyle name="SAPBEXaggDataEmph 5" xfId="1199" xr:uid="{00000000-0005-0000-0000-0000C5080000}"/>
    <cellStyle name="SAPBEXaggDataEmph 5 2" xfId="1986" xr:uid="{00000000-0005-0000-0000-0000C6080000}"/>
    <cellStyle name="SAPBEXaggDataEmph 5 3" xfId="2604" xr:uid="{00000000-0005-0000-0000-0000C7080000}"/>
    <cellStyle name="SAPBEXaggDataEmph 5 4" xfId="3149" xr:uid="{00000000-0005-0000-0000-0000C8080000}"/>
    <cellStyle name="SAPBEXaggDataEmph 6" xfId="1149" xr:uid="{00000000-0005-0000-0000-0000C9080000}"/>
    <cellStyle name="SAPBEXaggDataEmph 6 2" xfId="1969" xr:uid="{00000000-0005-0000-0000-0000CA080000}"/>
    <cellStyle name="SAPBEXaggDataEmph 6 3" xfId="2588" xr:uid="{00000000-0005-0000-0000-0000CB080000}"/>
    <cellStyle name="SAPBEXaggDataEmph 6 4" xfId="3133" xr:uid="{00000000-0005-0000-0000-0000CC080000}"/>
    <cellStyle name="SAPBEXaggDataEmph 7" xfId="1766" xr:uid="{00000000-0005-0000-0000-0000CD080000}"/>
    <cellStyle name="SAPBEXaggDataEmph 7 2" xfId="2407" xr:uid="{00000000-0005-0000-0000-0000CE080000}"/>
    <cellStyle name="SAPBEXaggDataEmph 7 3" xfId="2963" xr:uid="{00000000-0005-0000-0000-0000CF080000}"/>
    <cellStyle name="SAPBEXaggDataEmph 8" xfId="1473" xr:uid="{00000000-0005-0000-0000-0000D0080000}"/>
    <cellStyle name="SAPBEXaggDataEmph 9" xfId="1241" xr:uid="{00000000-0005-0000-0000-0000D1080000}"/>
    <cellStyle name="SAPBEXaggItem" xfId="609" xr:uid="{00000000-0005-0000-0000-0000D2080000}"/>
    <cellStyle name="SAPBEXaggItem 10" xfId="1033" xr:uid="{00000000-0005-0000-0000-0000D3080000}"/>
    <cellStyle name="SAPBEXaggItem 2" xfId="898" xr:uid="{00000000-0005-0000-0000-0000D4080000}"/>
    <cellStyle name="SAPBEXaggItem 2 10" xfId="2374" xr:uid="{00000000-0005-0000-0000-0000D5080000}"/>
    <cellStyle name="SAPBEXaggItem 2 2" xfId="1422" xr:uid="{00000000-0005-0000-0000-0000D6080000}"/>
    <cellStyle name="SAPBEXaggItem 2 2 2" xfId="2133" xr:uid="{00000000-0005-0000-0000-0000D7080000}"/>
    <cellStyle name="SAPBEXaggItem 2 2 3" xfId="2745" xr:uid="{00000000-0005-0000-0000-0000D8080000}"/>
    <cellStyle name="SAPBEXaggItem 2 2 4" xfId="3287" xr:uid="{00000000-0005-0000-0000-0000D9080000}"/>
    <cellStyle name="SAPBEXaggItem 2 3" xfId="1510" xr:uid="{00000000-0005-0000-0000-0000DA080000}"/>
    <cellStyle name="SAPBEXaggItem 2 3 2" xfId="2194" xr:uid="{00000000-0005-0000-0000-0000DB080000}"/>
    <cellStyle name="SAPBEXaggItem 2 3 3" xfId="2803" xr:uid="{00000000-0005-0000-0000-0000DC080000}"/>
    <cellStyle name="SAPBEXaggItem 2 3 4" xfId="3344" xr:uid="{00000000-0005-0000-0000-0000DD080000}"/>
    <cellStyle name="SAPBEXaggItem 2 4" xfId="1272" xr:uid="{00000000-0005-0000-0000-0000DE080000}"/>
    <cellStyle name="SAPBEXaggItem 2 4 2" xfId="2025" xr:uid="{00000000-0005-0000-0000-0000DF080000}"/>
    <cellStyle name="SAPBEXaggItem 2 4 3" xfId="2640" xr:uid="{00000000-0005-0000-0000-0000E0080000}"/>
    <cellStyle name="SAPBEXaggItem 2 4 4" xfId="3185" xr:uid="{00000000-0005-0000-0000-0000E1080000}"/>
    <cellStyle name="SAPBEXaggItem 2 5" xfId="1632" xr:uid="{00000000-0005-0000-0000-0000E2080000}"/>
    <cellStyle name="SAPBEXaggItem 2 5 2" xfId="2272" xr:uid="{00000000-0005-0000-0000-0000E3080000}"/>
    <cellStyle name="SAPBEXaggItem 2 5 3" xfId="2875" xr:uid="{00000000-0005-0000-0000-0000E4080000}"/>
    <cellStyle name="SAPBEXaggItem 2 5 4" xfId="3413" xr:uid="{00000000-0005-0000-0000-0000E5080000}"/>
    <cellStyle name="SAPBEXaggItem 2 6" xfId="1848" xr:uid="{00000000-0005-0000-0000-0000E6080000}"/>
    <cellStyle name="SAPBEXaggItem 2 6 2" xfId="2475" xr:uid="{00000000-0005-0000-0000-0000E7080000}"/>
    <cellStyle name="SAPBEXaggItem 2 6 3" xfId="3029" xr:uid="{00000000-0005-0000-0000-0000E8080000}"/>
    <cellStyle name="SAPBEXaggItem 2 7" xfId="2309" xr:uid="{00000000-0005-0000-0000-0000E9080000}"/>
    <cellStyle name="SAPBEXaggItem 2 7 2" xfId="2911" xr:uid="{00000000-0005-0000-0000-0000EA080000}"/>
    <cellStyle name="SAPBEXaggItem 2 7 3" xfId="3448" xr:uid="{00000000-0005-0000-0000-0000EB080000}"/>
    <cellStyle name="SAPBEXaggItem 2 8" xfId="1359" xr:uid="{00000000-0005-0000-0000-0000EC080000}"/>
    <cellStyle name="SAPBEXaggItem 2 9" xfId="2334" xr:uid="{00000000-0005-0000-0000-0000ED080000}"/>
    <cellStyle name="SAPBEXaggItem 3" xfId="1261" xr:uid="{00000000-0005-0000-0000-0000EE080000}"/>
    <cellStyle name="SAPBEXaggItem 3 2" xfId="2014" xr:uid="{00000000-0005-0000-0000-0000EF080000}"/>
    <cellStyle name="SAPBEXaggItem 3 3" xfId="2629" xr:uid="{00000000-0005-0000-0000-0000F0080000}"/>
    <cellStyle name="SAPBEXaggItem 3 4" xfId="3174" xr:uid="{00000000-0005-0000-0000-0000F1080000}"/>
    <cellStyle name="SAPBEXaggItem 4" xfId="1099" xr:uid="{00000000-0005-0000-0000-0000F2080000}"/>
    <cellStyle name="SAPBEXaggItem 4 2" xfId="1942" xr:uid="{00000000-0005-0000-0000-0000F3080000}"/>
    <cellStyle name="SAPBEXaggItem 4 3" xfId="2561" xr:uid="{00000000-0005-0000-0000-0000F4080000}"/>
    <cellStyle name="SAPBEXaggItem 4 4" xfId="3109" xr:uid="{00000000-0005-0000-0000-0000F5080000}"/>
    <cellStyle name="SAPBEXaggItem 5" xfId="1200" xr:uid="{00000000-0005-0000-0000-0000F6080000}"/>
    <cellStyle name="SAPBEXaggItem 5 2" xfId="1987" xr:uid="{00000000-0005-0000-0000-0000F7080000}"/>
    <cellStyle name="SAPBEXaggItem 5 3" xfId="2605" xr:uid="{00000000-0005-0000-0000-0000F8080000}"/>
    <cellStyle name="SAPBEXaggItem 5 4" xfId="3150" xr:uid="{00000000-0005-0000-0000-0000F9080000}"/>
    <cellStyle name="SAPBEXaggItem 6" xfId="1148" xr:uid="{00000000-0005-0000-0000-0000FA080000}"/>
    <cellStyle name="SAPBEXaggItem 6 2" xfId="1968" xr:uid="{00000000-0005-0000-0000-0000FB080000}"/>
    <cellStyle name="SAPBEXaggItem 6 3" xfId="2587" xr:uid="{00000000-0005-0000-0000-0000FC080000}"/>
    <cellStyle name="SAPBEXaggItem 6 4" xfId="3132" xr:uid="{00000000-0005-0000-0000-0000FD080000}"/>
    <cellStyle name="SAPBEXaggItem 7" xfId="1767" xr:uid="{00000000-0005-0000-0000-0000FE080000}"/>
    <cellStyle name="SAPBEXaggItem 7 2" xfId="2408" xr:uid="{00000000-0005-0000-0000-0000FF080000}"/>
    <cellStyle name="SAPBEXaggItem 7 3" xfId="2964" xr:uid="{00000000-0005-0000-0000-000000090000}"/>
    <cellStyle name="SAPBEXaggItem 8" xfId="1610" xr:uid="{00000000-0005-0000-0000-000001090000}"/>
    <cellStyle name="SAPBEXaggItem 9" xfId="1166" xr:uid="{00000000-0005-0000-0000-000002090000}"/>
    <cellStyle name="SAPBEXchaText" xfId="610" xr:uid="{00000000-0005-0000-0000-000003090000}"/>
    <cellStyle name="SAPBEXchaText 10" xfId="1139" xr:uid="{00000000-0005-0000-0000-000004090000}"/>
    <cellStyle name="SAPBEXchaText 2" xfId="899" xr:uid="{00000000-0005-0000-0000-000005090000}"/>
    <cellStyle name="SAPBEXchaText 2 10" xfId="1185" xr:uid="{00000000-0005-0000-0000-000006090000}"/>
    <cellStyle name="SAPBEXchaText 2 2" xfId="1423" xr:uid="{00000000-0005-0000-0000-000007090000}"/>
    <cellStyle name="SAPBEXchaText 2 2 2" xfId="2134" xr:uid="{00000000-0005-0000-0000-000008090000}"/>
    <cellStyle name="SAPBEXchaText 2 2 3" xfId="2746" xr:uid="{00000000-0005-0000-0000-000009090000}"/>
    <cellStyle name="SAPBEXchaText 2 2 4" xfId="3288" xr:uid="{00000000-0005-0000-0000-00000A090000}"/>
    <cellStyle name="SAPBEXchaText 2 3" xfId="1511" xr:uid="{00000000-0005-0000-0000-00000B090000}"/>
    <cellStyle name="SAPBEXchaText 2 3 2" xfId="2195" xr:uid="{00000000-0005-0000-0000-00000C090000}"/>
    <cellStyle name="SAPBEXchaText 2 3 3" xfId="2804" xr:uid="{00000000-0005-0000-0000-00000D090000}"/>
    <cellStyle name="SAPBEXchaText 2 3 4" xfId="3345" xr:uid="{00000000-0005-0000-0000-00000E090000}"/>
    <cellStyle name="SAPBEXchaText 2 4" xfId="1273" xr:uid="{00000000-0005-0000-0000-00000F090000}"/>
    <cellStyle name="SAPBEXchaText 2 4 2" xfId="2026" xr:uid="{00000000-0005-0000-0000-000010090000}"/>
    <cellStyle name="SAPBEXchaText 2 4 3" xfId="2641" xr:uid="{00000000-0005-0000-0000-000011090000}"/>
    <cellStyle name="SAPBEXchaText 2 4 4" xfId="3186" xr:uid="{00000000-0005-0000-0000-000012090000}"/>
    <cellStyle name="SAPBEXchaText 2 5" xfId="1633" xr:uid="{00000000-0005-0000-0000-000013090000}"/>
    <cellStyle name="SAPBEXchaText 2 5 2" xfId="2273" xr:uid="{00000000-0005-0000-0000-000014090000}"/>
    <cellStyle name="SAPBEXchaText 2 5 3" xfId="2876" xr:uid="{00000000-0005-0000-0000-000015090000}"/>
    <cellStyle name="SAPBEXchaText 2 5 4" xfId="3414" xr:uid="{00000000-0005-0000-0000-000016090000}"/>
    <cellStyle name="SAPBEXchaText 2 6" xfId="1849" xr:uid="{00000000-0005-0000-0000-000017090000}"/>
    <cellStyle name="SAPBEXchaText 2 6 2" xfId="2476" xr:uid="{00000000-0005-0000-0000-000018090000}"/>
    <cellStyle name="SAPBEXchaText 2 6 3" xfId="3030" xr:uid="{00000000-0005-0000-0000-000019090000}"/>
    <cellStyle name="SAPBEXchaText 2 7" xfId="2310" xr:uid="{00000000-0005-0000-0000-00001A090000}"/>
    <cellStyle name="SAPBEXchaText 2 7 2" xfId="2912" xr:uid="{00000000-0005-0000-0000-00001B090000}"/>
    <cellStyle name="SAPBEXchaText 2 7 3" xfId="3449" xr:uid="{00000000-0005-0000-0000-00001C090000}"/>
    <cellStyle name="SAPBEXchaText 2 8" xfId="1447" xr:uid="{00000000-0005-0000-0000-00001D090000}"/>
    <cellStyle name="SAPBEXchaText 2 9" xfId="2335" xr:uid="{00000000-0005-0000-0000-00001E090000}"/>
    <cellStyle name="SAPBEXchaText 3" xfId="1262" xr:uid="{00000000-0005-0000-0000-00001F090000}"/>
    <cellStyle name="SAPBEXchaText 3 2" xfId="2015" xr:uid="{00000000-0005-0000-0000-000020090000}"/>
    <cellStyle name="SAPBEXchaText 3 3" xfId="2630" xr:uid="{00000000-0005-0000-0000-000021090000}"/>
    <cellStyle name="SAPBEXchaText 3 4" xfId="3175" xr:uid="{00000000-0005-0000-0000-000022090000}"/>
    <cellStyle name="SAPBEXchaText 4" xfId="1344" xr:uid="{00000000-0005-0000-0000-000023090000}"/>
    <cellStyle name="SAPBEXchaText 4 2" xfId="2066" xr:uid="{00000000-0005-0000-0000-000024090000}"/>
    <cellStyle name="SAPBEXchaText 4 3" xfId="2681" xr:uid="{00000000-0005-0000-0000-000025090000}"/>
    <cellStyle name="SAPBEXchaText 4 4" xfId="3225" xr:uid="{00000000-0005-0000-0000-000026090000}"/>
    <cellStyle name="SAPBEXchaText 5" xfId="1024" xr:uid="{00000000-0005-0000-0000-000027090000}"/>
    <cellStyle name="SAPBEXchaText 5 2" xfId="1893" xr:uid="{00000000-0005-0000-0000-000028090000}"/>
    <cellStyle name="SAPBEXchaText 5 3" xfId="2516" xr:uid="{00000000-0005-0000-0000-000029090000}"/>
    <cellStyle name="SAPBEXchaText 5 4" xfId="3068" xr:uid="{00000000-0005-0000-0000-00002A090000}"/>
    <cellStyle name="SAPBEXchaText 6" xfId="1146" xr:uid="{00000000-0005-0000-0000-00002B090000}"/>
    <cellStyle name="SAPBEXchaText 6 2" xfId="1966" xr:uid="{00000000-0005-0000-0000-00002C090000}"/>
    <cellStyle name="SAPBEXchaText 6 3" xfId="2585" xr:uid="{00000000-0005-0000-0000-00002D090000}"/>
    <cellStyle name="SAPBEXchaText 6 4" xfId="3130" xr:uid="{00000000-0005-0000-0000-00002E090000}"/>
    <cellStyle name="SAPBEXchaText 7" xfId="1768" xr:uid="{00000000-0005-0000-0000-00002F090000}"/>
    <cellStyle name="SAPBEXchaText 7 2" xfId="2409" xr:uid="{00000000-0005-0000-0000-000030090000}"/>
    <cellStyle name="SAPBEXchaText 7 3" xfId="2965" xr:uid="{00000000-0005-0000-0000-000031090000}"/>
    <cellStyle name="SAPBEXchaText 8" xfId="1007" xr:uid="{00000000-0005-0000-0000-000032090000}"/>
    <cellStyle name="SAPBEXchaText 9" xfId="1073" xr:uid="{00000000-0005-0000-0000-000033090000}"/>
    <cellStyle name="SAPBEXexcBad7" xfId="611" xr:uid="{00000000-0005-0000-0000-000034090000}"/>
    <cellStyle name="SAPBEXexcBad7 10" xfId="1684" xr:uid="{00000000-0005-0000-0000-000035090000}"/>
    <cellStyle name="SAPBEXexcBad7 2" xfId="900" xr:uid="{00000000-0005-0000-0000-000036090000}"/>
    <cellStyle name="SAPBEXexcBad7 2 10" xfId="2367" xr:uid="{00000000-0005-0000-0000-000037090000}"/>
    <cellStyle name="SAPBEXexcBad7 2 2" xfId="1424" xr:uid="{00000000-0005-0000-0000-000038090000}"/>
    <cellStyle name="SAPBEXexcBad7 2 2 2" xfId="2135" xr:uid="{00000000-0005-0000-0000-000039090000}"/>
    <cellStyle name="SAPBEXexcBad7 2 2 3" xfId="2747" xr:uid="{00000000-0005-0000-0000-00003A090000}"/>
    <cellStyle name="SAPBEXexcBad7 2 2 4" xfId="3289" xr:uid="{00000000-0005-0000-0000-00003B090000}"/>
    <cellStyle name="SAPBEXexcBad7 2 3" xfId="1512" xr:uid="{00000000-0005-0000-0000-00003C090000}"/>
    <cellStyle name="SAPBEXexcBad7 2 3 2" xfId="2196" xr:uid="{00000000-0005-0000-0000-00003D090000}"/>
    <cellStyle name="SAPBEXexcBad7 2 3 3" xfId="2805" xr:uid="{00000000-0005-0000-0000-00003E090000}"/>
    <cellStyle name="SAPBEXexcBad7 2 3 4" xfId="3346" xr:uid="{00000000-0005-0000-0000-00003F090000}"/>
    <cellStyle name="SAPBEXexcBad7 2 4" xfId="1287" xr:uid="{00000000-0005-0000-0000-000040090000}"/>
    <cellStyle name="SAPBEXexcBad7 2 4 2" xfId="2040" xr:uid="{00000000-0005-0000-0000-000041090000}"/>
    <cellStyle name="SAPBEXexcBad7 2 4 3" xfId="2655" xr:uid="{00000000-0005-0000-0000-000042090000}"/>
    <cellStyle name="SAPBEXexcBad7 2 4 4" xfId="3200" xr:uid="{00000000-0005-0000-0000-000043090000}"/>
    <cellStyle name="SAPBEXexcBad7 2 5" xfId="1634" xr:uid="{00000000-0005-0000-0000-000044090000}"/>
    <cellStyle name="SAPBEXexcBad7 2 5 2" xfId="2274" xr:uid="{00000000-0005-0000-0000-000045090000}"/>
    <cellStyle name="SAPBEXexcBad7 2 5 3" xfId="2877" xr:uid="{00000000-0005-0000-0000-000046090000}"/>
    <cellStyle name="SAPBEXexcBad7 2 5 4" xfId="3415" xr:uid="{00000000-0005-0000-0000-000047090000}"/>
    <cellStyle name="SAPBEXexcBad7 2 6" xfId="1850" xr:uid="{00000000-0005-0000-0000-000048090000}"/>
    <cellStyle name="SAPBEXexcBad7 2 6 2" xfId="2477" xr:uid="{00000000-0005-0000-0000-000049090000}"/>
    <cellStyle name="SAPBEXexcBad7 2 6 3" xfId="3031" xr:uid="{00000000-0005-0000-0000-00004A090000}"/>
    <cellStyle name="SAPBEXexcBad7 2 7" xfId="2311" xr:uid="{00000000-0005-0000-0000-00004B090000}"/>
    <cellStyle name="SAPBEXexcBad7 2 7 2" xfId="2913" xr:uid="{00000000-0005-0000-0000-00004C090000}"/>
    <cellStyle name="SAPBEXexcBad7 2 7 3" xfId="3450" xr:uid="{00000000-0005-0000-0000-00004D090000}"/>
    <cellStyle name="SAPBEXexcBad7 2 8" xfId="1037" xr:uid="{00000000-0005-0000-0000-00004E090000}"/>
    <cellStyle name="SAPBEXexcBad7 2 9" xfId="2336" xr:uid="{00000000-0005-0000-0000-00004F090000}"/>
    <cellStyle name="SAPBEXexcBad7 3" xfId="1263" xr:uid="{00000000-0005-0000-0000-000050090000}"/>
    <cellStyle name="SAPBEXexcBad7 3 2" xfId="2016" xr:uid="{00000000-0005-0000-0000-000051090000}"/>
    <cellStyle name="SAPBEXexcBad7 3 3" xfId="2631" xr:uid="{00000000-0005-0000-0000-000052090000}"/>
    <cellStyle name="SAPBEXexcBad7 3 4" xfId="3176" xr:uid="{00000000-0005-0000-0000-000053090000}"/>
    <cellStyle name="SAPBEXexcBad7 4" xfId="1402" xr:uid="{00000000-0005-0000-0000-000054090000}"/>
    <cellStyle name="SAPBEXexcBad7 4 2" xfId="2116" xr:uid="{00000000-0005-0000-0000-000055090000}"/>
    <cellStyle name="SAPBEXexcBad7 4 3" xfId="2729" xr:uid="{00000000-0005-0000-0000-000056090000}"/>
    <cellStyle name="SAPBEXexcBad7 4 4" xfId="3272" xr:uid="{00000000-0005-0000-0000-000057090000}"/>
    <cellStyle name="SAPBEXexcBad7 5" xfId="1194" xr:uid="{00000000-0005-0000-0000-000058090000}"/>
    <cellStyle name="SAPBEXexcBad7 5 2" xfId="1982" xr:uid="{00000000-0005-0000-0000-000059090000}"/>
    <cellStyle name="SAPBEXexcBad7 5 3" xfId="2600" xr:uid="{00000000-0005-0000-0000-00005A090000}"/>
    <cellStyle name="SAPBEXexcBad7 5 4" xfId="3145" xr:uid="{00000000-0005-0000-0000-00005B090000}"/>
    <cellStyle name="SAPBEXexcBad7 6" xfId="1492" xr:uid="{00000000-0005-0000-0000-00005C090000}"/>
    <cellStyle name="SAPBEXexcBad7 6 2" xfId="2180" xr:uid="{00000000-0005-0000-0000-00005D090000}"/>
    <cellStyle name="SAPBEXexcBad7 6 3" xfId="2790" xr:uid="{00000000-0005-0000-0000-00005E090000}"/>
    <cellStyle name="SAPBEXexcBad7 6 4" xfId="3331" xr:uid="{00000000-0005-0000-0000-00005F090000}"/>
    <cellStyle name="SAPBEXexcBad7 7" xfId="1769" xr:uid="{00000000-0005-0000-0000-000060090000}"/>
    <cellStyle name="SAPBEXexcBad7 7 2" xfId="2410" xr:uid="{00000000-0005-0000-0000-000061090000}"/>
    <cellStyle name="SAPBEXexcBad7 7 3" xfId="2966" xr:uid="{00000000-0005-0000-0000-000062090000}"/>
    <cellStyle name="SAPBEXexcBad7 8" xfId="1611" xr:uid="{00000000-0005-0000-0000-000063090000}"/>
    <cellStyle name="SAPBEXexcBad7 9" xfId="1408" xr:uid="{00000000-0005-0000-0000-000064090000}"/>
    <cellStyle name="SAPBEXexcBad8" xfId="612" xr:uid="{00000000-0005-0000-0000-000065090000}"/>
    <cellStyle name="SAPBEXexcBad8 10" xfId="1054" xr:uid="{00000000-0005-0000-0000-000066090000}"/>
    <cellStyle name="SAPBEXexcBad8 2" xfId="901" xr:uid="{00000000-0005-0000-0000-000067090000}"/>
    <cellStyle name="SAPBEXexcBad8 2 10" xfId="1557" xr:uid="{00000000-0005-0000-0000-000068090000}"/>
    <cellStyle name="SAPBEXexcBad8 2 2" xfId="1425" xr:uid="{00000000-0005-0000-0000-000069090000}"/>
    <cellStyle name="SAPBEXexcBad8 2 2 2" xfId="2136" xr:uid="{00000000-0005-0000-0000-00006A090000}"/>
    <cellStyle name="SAPBEXexcBad8 2 2 3" xfId="2748" xr:uid="{00000000-0005-0000-0000-00006B090000}"/>
    <cellStyle name="SAPBEXexcBad8 2 2 4" xfId="3290" xr:uid="{00000000-0005-0000-0000-00006C090000}"/>
    <cellStyle name="SAPBEXexcBad8 2 3" xfId="1513" xr:uid="{00000000-0005-0000-0000-00006D090000}"/>
    <cellStyle name="SAPBEXexcBad8 2 3 2" xfId="2197" xr:uid="{00000000-0005-0000-0000-00006E090000}"/>
    <cellStyle name="SAPBEXexcBad8 2 3 3" xfId="2806" xr:uid="{00000000-0005-0000-0000-00006F090000}"/>
    <cellStyle name="SAPBEXexcBad8 2 3 4" xfId="3347" xr:uid="{00000000-0005-0000-0000-000070090000}"/>
    <cellStyle name="SAPBEXexcBad8 2 4" xfId="1275" xr:uid="{00000000-0005-0000-0000-000071090000}"/>
    <cellStyle name="SAPBEXexcBad8 2 4 2" xfId="2028" xr:uid="{00000000-0005-0000-0000-000072090000}"/>
    <cellStyle name="SAPBEXexcBad8 2 4 3" xfId="2643" xr:uid="{00000000-0005-0000-0000-000073090000}"/>
    <cellStyle name="SAPBEXexcBad8 2 4 4" xfId="3188" xr:uid="{00000000-0005-0000-0000-000074090000}"/>
    <cellStyle name="SAPBEXexcBad8 2 5" xfId="1635" xr:uid="{00000000-0005-0000-0000-000075090000}"/>
    <cellStyle name="SAPBEXexcBad8 2 5 2" xfId="2275" xr:uid="{00000000-0005-0000-0000-000076090000}"/>
    <cellStyle name="SAPBEXexcBad8 2 5 3" xfId="2878" xr:uid="{00000000-0005-0000-0000-000077090000}"/>
    <cellStyle name="SAPBEXexcBad8 2 5 4" xfId="3416" xr:uid="{00000000-0005-0000-0000-000078090000}"/>
    <cellStyle name="SAPBEXexcBad8 2 6" xfId="1851" xr:uid="{00000000-0005-0000-0000-000079090000}"/>
    <cellStyle name="SAPBEXexcBad8 2 6 2" xfId="2478" xr:uid="{00000000-0005-0000-0000-00007A090000}"/>
    <cellStyle name="SAPBEXexcBad8 2 6 3" xfId="3032" xr:uid="{00000000-0005-0000-0000-00007B090000}"/>
    <cellStyle name="SAPBEXexcBad8 2 7" xfId="2312" xr:uid="{00000000-0005-0000-0000-00007C090000}"/>
    <cellStyle name="SAPBEXexcBad8 2 7 2" xfId="2914" xr:uid="{00000000-0005-0000-0000-00007D090000}"/>
    <cellStyle name="SAPBEXexcBad8 2 7 3" xfId="3451" xr:uid="{00000000-0005-0000-0000-00007E090000}"/>
    <cellStyle name="SAPBEXexcBad8 2 8" xfId="1480" xr:uid="{00000000-0005-0000-0000-00007F090000}"/>
    <cellStyle name="SAPBEXexcBad8 2 9" xfId="2337" xr:uid="{00000000-0005-0000-0000-000080090000}"/>
    <cellStyle name="SAPBEXexcBad8 3" xfId="1264" xr:uid="{00000000-0005-0000-0000-000081090000}"/>
    <cellStyle name="SAPBEXexcBad8 3 2" xfId="2017" xr:uid="{00000000-0005-0000-0000-000082090000}"/>
    <cellStyle name="SAPBEXexcBad8 3 3" xfId="2632" xr:uid="{00000000-0005-0000-0000-000083090000}"/>
    <cellStyle name="SAPBEXexcBad8 3 4" xfId="3177" xr:uid="{00000000-0005-0000-0000-000084090000}"/>
    <cellStyle name="SAPBEXexcBad8 4" xfId="1097" xr:uid="{00000000-0005-0000-0000-000085090000}"/>
    <cellStyle name="SAPBEXexcBad8 4 2" xfId="1940" xr:uid="{00000000-0005-0000-0000-000086090000}"/>
    <cellStyle name="SAPBEXexcBad8 4 3" xfId="2559" xr:uid="{00000000-0005-0000-0000-000087090000}"/>
    <cellStyle name="SAPBEXexcBad8 4 4" xfId="3107" xr:uid="{00000000-0005-0000-0000-000088090000}"/>
    <cellStyle name="SAPBEXexcBad8 5" xfId="1365" xr:uid="{00000000-0005-0000-0000-000089090000}"/>
    <cellStyle name="SAPBEXexcBad8 5 2" xfId="2084" xr:uid="{00000000-0005-0000-0000-00008A090000}"/>
    <cellStyle name="SAPBEXexcBad8 5 3" xfId="2699" xr:uid="{00000000-0005-0000-0000-00008B090000}"/>
    <cellStyle name="SAPBEXexcBad8 5 4" xfId="3243" xr:uid="{00000000-0005-0000-0000-00008C090000}"/>
    <cellStyle name="SAPBEXexcBad8 6" xfId="1353" xr:uid="{00000000-0005-0000-0000-00008D090000}"/>
    <cellStyle name="SAPBEXexcBad8 6 2" xfId="2075" xr:uid="{00000000-0005-0000-0000-00008E090000}"/>
    <cellStyle name="SAPBEXexcBad8 6 3" xfId="2690" xr:uid="{00000000-0005-0000-0000-00008F090000}"/>
    <cellStyle name="SAPBEXexcBad8 6 4" xfId="3234" xr:uid="{00000000-0005-0000-0000-000090090000}"/>
    <cellStyle name="SAPBEXexcBad8 7" xfId="1770" xr:uid="{00000000-0005-0000-0000-000091090000}"/>
    <cellStyle name="SAPBEXexcBad8 7 2" xfId="2411" xr:uid="{00000000-0005-0000-0000-000092090000}"/>
    <cellStyle name="SAPBEXexcBad8 7 3" xfId="2967" xr:uid="{00000000-0005-0000-0000-000093090000}"/>
    <cellStyle name="SAPBEXexcBad8 8" xfId="1559" xr:uid="{00000000-0005-0000-0000-000094090000}"/>
    <cellStyle name="SAPBEXexcBad8 9" xfId="1460" xr:uid="{00000000-0005-0000-0000-000095090000}"/>
    <cellStyle name="SAPBEXexcBad9" xfId="613" xr:uid="{00000000-0005-0000-0000-000096090000}"/>
    <cellStyle name="SAPBEXexcBad9 10" xfId="1401" xr:uid="{00000000-0005-0000-0000-000097090000}"/>
    <cellStyle name="SAPBEXexcBad9 2" xfId="902" xr:uid="{00000000-0005-0000-0000-000098090000}"/>
    <cellStyle name="SAPBEXexcBad9 2 10" xfId="2362" xr:uid="{00000000-0005-0000-0000-000099090000}"/>
    <cellStyle name="SAPBEXexcBad9 2 2" xfId="1426" xr:uid="{00000000-0005-0000-0000-00009A090000}"/>
    <cellStyle name="SAPBEXexcBad9 2 2 2" xfId="2137" xr:uid="{00000000-0005-0000-0000-00009B090000}"/>
    <cellStyle name="SAPBEXexcBad9 2 2 3" xfId="2749" xr:uid="{00000000-0005-0000-0000-00009C090000}"/>
    <cellStyle name="SAPBEXexcBad9 2 2 4" xfId="3291" xr:uid="{00000000-0005-0000-0000-00009D090000}"/>
    <cellStyle name="SAPBEXexcBad9 2 3" xfId="1514" xr:uid="{00000000-0005-0000-0000-00009E090000}"/>
    <cellStyle name="SAPBEXexcBad9 2 3 2" xfId="2198" xr:uid="{00000000-0005-0000-0000-00009F090000}"/>
    <cellStyle name="SAPBEXexcBad9 2 3 3" xfId="2807" xr:uid="{00000000-0005-0000-0000-0000A0090000}"/>
    <cellStyle name="SAPBEXexcBad9 2 3 4" xfId="3348" xr:uid="{00000000-0005-0000-0000-0000A1090000}"/>
    <cellStyle name="SAPBEXexcBad9 2 4" xfId="1282" xr:uid="{00000000-0005-0000-0000-0000A2090000}"/>
    <cellStyle name="SAPBEXexcBad9 2 4 2" xfId="2035" xr:uid="{00000000-0005-0000-0000-0000A3090000}"/>
    <cellStyle name="SAPBEXexcBad9 2 4 3" xfId="2650" xr:uid="{00000000-0005-0000-0000-0000A4090000}"/>
    <cellStyle name="SAPBEXexcBad9 2 4 4" xfId="3195" xr:uid="{00000000-0005-0000-0000-0000A5090000}"/>
    <cellStyle name="SAPBEXexcBad9 2 5" xfId="1636" xr:uid="{00000000-0005-0000-0000-0000A6090000}"/>
    <cellStyle name="SAPBEXexcBad9 2 5 2" xfId="2276" xr:uid="{00000000-0005-0000-0000-0000A7090000}"/>
    <cellStyle name="SAPBEXexcBad9 2 5 3" xfId="2879" xr:uid="{00000000-0005-0000-0000-0000A8090000}"/>
    <cellStyle name="SAPBEXexcBad9 2 5 4" xfId="3417" xr:uid="{00000000-0005-0000-0000-0000A9090000}"/>
    <cellStyle name="SAPBEXexcBad9 2 6" xfId="1852" xr:uid="{00000000-0005-0000-0000-0000AA090000}"/>
    <cellStyle name="SAPBEXexcBad9 2 6 2" xfId="2479" xr:uid="{00000000-0005-0000-0000-0000AB090000}"/>
    <cellStyle name="SAPBEXexcBad9 2 6 3" xfId="3033" xr:uid="{00000000-0005-0000-0000-0000AC090000}"/>
    <cellStyle name="SAPBEXexcBad9 2 7" xfId="2313" xr:uid="{00000000-0005-0000-0000-0000AD090000}"/>
    <cellStyle name="SAPBEXexcBad9 2 7 2" xfId="2915" xr:uid="{00000000-0005-0000-0000-0000AE090000}"/>
    <cellStyle name="SAPBEXexcBad9 2 7 3" xfId="3452" xr:uid="{00000000-0005-0000-0000-0000AF090000}"/>
    <cellStyle name="SAPBEXexcBad9 2 8" xfId="1443" xr:uid="{00000000-0005-0000-0000-0000B0090000}"/>
    <cellStyle name="SAPBEXexcBad9 2 9" xfId="2338" xr:uid="{00000000-0005-0000-0000-0000B1090000}"/>
    <cellStyle name="SAPBEXexcBad9 3" xfId="1265" xr:uid="{00000000-0005-0000-0000-0000B2090000}"/>
    <cellStyle name="SAPBEXexcBad9 3 2" xfId="2018" xr:uid="{00000000-0005-0000-0000-0000B3090000}"/>
    <cellStyle name="SAPBEXexcBad9 3 3" xfId="2633" xr:uid="{00000000-0005-0000-0000-0000B4090000}"/>
    <cellStyle name="SAPBEXexcBad9 3 4" xfId="3178" xr:uid="{00000000-0005-0000-0000-0000B5090000}"/>
    <cellStyle name="SAPBEXexcBad9 4" xfId="1381" xr:uid="{00000000-0005-0000-0000-0000B6090000}"/>
    <cellStyle name="SAPBEXexcBad9 4 2" xfId="2098" xr:uid="{00000000-0005-0000-0000-0000B7090000}"/>
    <cellStyle name="SAPBEXexcBad9 4 3" xfId="2712" xr:uid="{00000000-0005-0000-0000-0000B8090000}"/>
    <cellStyle name="SAPBEXexcBad9 4 4" xfId="3256" xr:uid="{00000000-0005-0000-0000-0000B9090000}"/>
    <cellStyle name="SAPBEXexcBad9 5" xfId="1363" xr:uid="{00000000-0005-0000-0000-0000BA090000}"/>
    <cellStyle name="SAPBEXexcBad9 5 2" xfId="2083" xr:uid="{00000000-0005-0000-0000-0000BB090000}"/>
    <cellStyle name="SAPBEXexcBad9 5 3" xfId="2698" xr:uid="{00000000-0005-0000-0000-0000BC090000}"/>
    <cellStyle name="SAPBEXexcBad9 5 4" xfId="3242" xr:uid="{00000000-0005-0000-0000-0000BD090000}"/>
    <cellStyle name="SAPBEXexcBad9 6" xfId="1493" xr:uid="{00000000-0005-0000-0000-0000BE090000}"/>
    <cellStyle name="SAPBEXexcBad9 6 2" xfId="2181" xr:uid="{00000000-0005-0000-0000-0000BF090000}"/>
    <cellStyle name="SAPBEXexcBad9 6 3" xfId="2791" xr:uid="{00000000-0005-0000-0000-0000C0090000}"/>
    <cellStyle name="SAPBEXexcBad9 6 4" xfId="3332" xr:uid="{00000000-0005-0000-0000-0000C1090000}"/>
    <cellStyle name="SAPBEXexcBad9 7" xfId="1771" xr:uid="{00000000-0005-0000-0000-0000C2090000}"/>
    <cellStyle name="SAPBEXexcBad9 7 2" xfId="2412" xr:uid="{00000000-0005-0000-0000-0000C3090000}"/>
    <cellStyle name="SAPBEXexcBad9 7 3" xfId="2968" xr:uid="{00000000-0005-0000-0000-0000C4090000}"/>
    <cellStyle name="SAPBEXexcBad9 8" xfId="1612" xr:uid="{00000000-0005-0000-0000-0000C5090000}"/>
    <cellStyle name="SAPBEXexcBad9 9" xfId="1657" xr:uid="{00000000-0005-0000-0000-0000C6090000}"/>
    <cellStyle name="SAPBEXexcCritical4" xfId="614" xr:uid="{00000000-0005-0000-0000-0000C7090000}"/>
    <cellStyle name="SAPBEXexcCritical4 10" xfId="1153" xr:uid="{00000000-0005-0000-0000-0000C8090000}"/>
    <cellStyle name="SAPBEXexcCritical4 2" xfId="903" xr:uid="{00000000-0005-0000-0000-0000C9090000}"/>
    <cellStyle name="SAPBEXexcCritical4 2 10" xfId="1395" xr:uid="{00000000-0005-0000-0000-0000CA090000}"/>
    <cellStyle name="SAPBEXexcCritical4 2 2" xfId="1427" xr:uid="{00000000-0005-0000-0000-0000CB090000}"/>
    <cellStyle name="SAPBEXexcCritical4 2 2 2" xfId="2138" xr:uid="{00000000-0005-0000-0000-0000CC090000}"/>
    <cellStyle name="SAPBEXexcCritical4 2 2 3" xfId="2750" xr:uid="{00000000-0005-0000-0000-0000CD090000}"/>
    <cellStyle name="SAPBEXexcCritical4 2 2 4" xfId="3292" xr:uid="{00000000-0005-0000-0000-0000CE090000}"/>
    <cellStyle name="SAPBEXexcCritical4 2 3" xfId="1515" xr:uid="{00000000-0005-0000-0000-0000CF090000}"/>
    <cellStyle name="SAPBEXexcCritical4 2 3 2" xfId="2199" xr:uid="{00000000-0005-0000-0000-0000D0090000}"/>
    <cellStyle name="SAPBEXexcCritical4 2 3 3" xfId="2808" xr:uid="{00000000-0005-0000-0000-0000D1090000}"/>
    <cellStyle name="SAPBEXexcCritical4 2 3 4" xfId="3349" xr:uid="{00000000-0005-0000-0000-0000D2090000}"/>
    <cellStyle name="SAPBEXexcCritical4 2 4" xfId="1574" xr:uid="{00000000-0005-0000-0000-0000D3090000}"/>
    <cellStyle name="SAPBEXexcCritical4 2 4 2" xfId="2240" xr:uid="{00000000-0005-0000-0000-0000D4090000}"/>
    <cellStyle name="SAPBEXexcCritical4 2 4 3" xfId="2846" xr:uid="{00000000-0005-0000-0000-0000D5090000}"/>
    <cellStyle name="SAPBEXexcCritical4 2 4 4" xfId="3385" xr:uid="{00000000-0005-0000-0000-0000D6090000}"/>
    <cellStyle name="SAPBEXexcCritical4 2 5" xfId="1637" xr:uid="{00000000-0005-0000-0000-0000D7090000}"/>
    <cellStyle name="SAPBEXexcCritical4 2 5 2" xfId="2277" xr:uid="{00000000-0005-0000-0000-0000D8090000}"/>
    <cellStyle name="SAPBEXexcCritical4 2 5 3" xfId="2880" xr:uid="{00000000-0005-0000-0000-0000D9090000}"/>
    <cellStyle name="SAPBEXexcCritical4 2 5 4" xfId="3418" xr:uid="{00000000-0005-0000-0000-0000DA090000}"/>
    <cellStyle name="SAPBEXexcCritical4 2 6" xfId="1853" xr:uid="{00000000-0005-0000-0000-0000DB090000}"/>
    <cellStyle name="SAPBEXexcCritical4 2 6 2" xfId="2480" xr:uid="{00000000-0005-0000-0000-0000DC090000}"/>
    <cellStyle name="SAPBEXexcCritical4 2 6 3" xfId="3034" xr:uid="{00000000-0005-0000-0000-0000DD090000}"/>
    <cellStyle name="SAPBEXexcCritical4 2 7" xfId="2314" xr:uid="{00000000-0005-0000-0000-0000DE090000}"/>
    <cellStyle name="SAPBEXexcCritical4 2 7 2" xfId="2916" xr:uid="{00000000-0005-0000-0000-0000DF090000}"/>
    <cellStyle name="SAPBEXexcCritical4 2 7 3" xfId="3453" xr:uid="{00000000-0005-0000-0000-0000E0090000}"/>
    <cellStyle name="SAPBEXexcCritical4 2 8" xfId="1482" xr:uid="{00000000-0005-0000-0000-0000E1090000}"/>
    <cellStyle name="SAPBEXexcCritical4 2 9" xfId="2339" xr:uid="{00000000-0005-0000-0000-0000E2090000}"/>
    <cellStyle name="SAPBEXexcCritical4 3" xfId="1266" xr:uid="{00000000-0005-0000-0000-0000E3090000}"/>
    <cellStyle name="SAPBEXexcCritical4 3 2" xfId="2019" xr:uid="{00000000-0005-0000-0000-0000E4090000}"/>
    <cellStyle name="SAPBEXexcCritical4 3 3" xfId="2634" xr:uid="{00000000-0005-0000-0000-0000E5090000}"/>
    <cellStyle name="SAPBEXexcCritical4 3 4" xfId="3179" xr:uid="{00000000-0005-0000-0000-0000E6090000}"/>
    <cellStyle name="SAPBEXexcCritical4 4" xfId="1096" xr:uid="{00000000-0005-0000-0000-0000E7090000}"/>
    <cellStyle name="SAPBEXexcCritical4 4 2" xfId="1939" xr:uid="{00000000-0005-0000-0000-0000E8090000}"/>
    <cellStyle name="SAPBEXexcCritical4 4 3" xfId="2558" xr:uid="{00000000-0005-0000-0000-0000E9090000}"/>
    <cellStyle name="SAPBEXexcCritical4 4 4" xfId="3106" xr:uid="{00000000-0005-0000-0000-0000EA090000}"/>
    <cellStyle name="SAPBEXexcCritical4 5" xfId="1448" xr:uid="{00000000-0005-0000-0000-0000EB090000}"/>
    <cellStyle name="SAPBEXexcCritical4 5 2" xfId="2156" xr:uid="{00000000-0005-0000-0000-0000EC090000}"/>
    <cellStyle name="SAPBEXexcCritical4 5 3" xfId="2768" xr:uid="{00000000-0005-0000-0000-0000ED090000}"/>
    <cellStyle name="SAPBEXexcCritical4 5 4" xfId="3310" xr:uid="{00000000-0005-0000-0000-0000EE090000}"/>
    <cellStyle name="SAPBEXexcCritical4 6" xfId="1484" xr:uid="{00000000-0005-0000-0000-0000EF090000}"/>
    <cellStyle name="SAPBEXexcCritical4 6 2" xfId="2176" xr:uid="{00000000-0005-0000-0000-0000F0090000}"/>
    <cellStyle name="SAPBEXexcCritical4 6 3" xfId="2786" xr:uid="{00000000-0005-0000-0000-0000F1090000}"/>
    <cellStyle name="SAPBEXexcCritical4 6 4" xfId="3327" xr:uid="{00000000-0005-0000-0000-0000F2090000}"/>
    <cellStyle name="SAPBEXexcCritical4 7" xfId="1772" xr:uid="{00000000-0005-0000-0000-0000F3090000}"/>
    <cellStyle name="SAPBEXexcCritical4 7 2" xfId="2413" xr:uid="{00000000-0005-0000-0000-0000F4090000}"/>
    <cellStyle name="SAPBEXexcCritical4 7 3" xfId="2969" xr:uid="{00000000-0005-0000-0000-0000F5090000}"/>
    <cellStyle name="SAPBEXexcCritical4 8" xfId="1233" xr:uid="{00000000-0005-0000-0000-0000F6090000}"/>
    <cellStyle name="SAPBEXexcCritical4 9" xfId="1683" xr:uid="{00000000-0005-0000-0000-0000F7090000}"/>
    <cellStyle name="SAPBEXexcCritical5" xfId="615" xr:uid="{00000000-0005-0000-0000-0000F8090000}"/>
    <cellStyle name="SAPBEXexcCritical5 10" xfId="1295" xr:uid="{00000000-0005-0000-0000-0000F9090000}"/>
    <cellStyle name="SAPBEXexcCritical5 2" xfId="904" xr:uid="{00000000-0005-0000-0000-0000FA090000}"/>
    <cellStyle name="SAPBEXexcCritical5 2 10" xfId="1596" xr:uid="{00000000-0005-0000-0000-0000FB090000}"/>
    <cellStyle name="SAPBEXexcCritical5 2 2" xfId="1428" xr:uid="{00000000-0005-0000-0000-0000FC090000}"/>
    <cellStyle name="SAPBEXexcCritical5 2 2 2" xfId="2139" xr:uid="{00000000-0005-0000-0000-0000FD090000}"/>
    <cellStyle name="SAPBEXexcCritical5 2 2 3" xfId="2751" xr:uid="{00000000-0005-0000-0000-0000FE090000}"/>
    <cellStyle name="SAPBEXexcCritical5 2 2 4" xfId="3293" xr:uid="{00000000-0005-0000-0000-0000FF090000}"/>
    <cellStyle name="SAPBEXexcCritical5 2 3" xfId="1516" xr:uid="{00000000-0005-0000-0000-0000000A0000}"/>
    <cellStyle name="SAPBEXexcCritical5 2 3 2" xfId="2200" xr:uid="{00000000-0005-0000-0000-0000010A0000}"/>
    <cellStyle name="SAPBEXexcCritical5 2 3 3" xfId="2809" xr:uid="{00000000-0005-0000-0000-0000020A0000}"/>
    <cellStyle name="SAPBEXexcCritical5 2 3 4" xfId="3350" xr:uid="{00000000-0005-0000-0000-0000030A0000}"/>
    <cellStyle name="SAPBEXexcCritical5 2 4" xfId="1575" xr:uid="{00000000-0005-0000-0000-0000040A0000}"/>
    <cellStyle name="SAPBEXexcCritical5 2 4 2" xfId="2241" xr:uid="{00000000-0005-0000-0000-0000050A0000}"/>
    <cellStyle name="SAPBEXexcCritical5 2 4 3" xfId="2847" xr:uid="{00000000-0005-0000-0000-0000060A0000}"/>
    <cellStyle name="SAPBEXexcCritical5 2 4 4" xfId="3386" xr:uid="{00000000-0005-0000-0000-0000070A0000}"/>
    <cellStyle name="SAPBEXexcCritical5 2 5" xfId="1638" xr:uid="{00000000-0005-0000-0000-0000080A0000}"/>
    <cellStyle name="SAPBEXexcCritical5 2 5 2" xfId="2278" xr:uid="{00000000-0005-0000-0000-0000090A0000}"/>
    <cellStyle name="SAPBEXexcCritical5 2 5 3" xfId="2881" xr:uid="{00000000-0005-0000-0000-00000A0A0000}"/>
    <cellStyle name="SAPBEXexcCritical5 2 5 4" xfId="3419" xr:uid="{00000000-0005-0000-0000-00000B0A0000}"/>
    <cellStyle name="SAPBEXexcCritical5 2 6" xfId="1854" xr:uid="{00000000-0005-0000-0000-00000C0A0000}"/>
    <cellStyle name="SAPBEXexcCritical5 2 6 2" xfId="2481" xr:uid="{00000000-0005-0000-0000-00000D0A0000}"/>
    <cellStyle name="SAPBEXexcCritical5 2 6 3" xfId="3035" xr:uid="{00000000-0005-0000-0000-00000E0A0000}"/>
    <cellStyle name="SAPBEXexcCritical5 2 7" xfId="2315" xr:uid="{00000000-0005-0000-0000-00000F0A0000}"/>
    <cellStyle name="SAPBEXexcCritical5 2 7 2" xfId="2917" xr:uid="{00000000-0005-0000-0000-0000100A0000}"/>
    <cellStyle name="SAPBEXexcCritical5 2 7 3" xfId="3454" xr:uid="{00000000-0005-0000-0000-0000110A0000}"/>
    <cellStyle name="SAPBEXexcCritical5 2 8" xfId="1291" xr:uid="{00000000-0005-0000-0000-0000120A0000}"/>
    <cellStyle name="SAPBEXexcCritical5 2 9" xfId="2340" xr:uid="{00000000-0005-0000-0000-0000130A0000}"/>
    <cellStyle name="SAPBEXexcCritical5 3" xfId="1267" xr:uid="{00000000-0005-0000-0000-0000140A0000}"/>
    <cellStyle name="SAPBEXexcCritical5 3 2" xfId="2020" xr:uid="{00000000-0005-0000-0000-0000150A0000}"/>
    <cellStyle name="SAPBEXexcCritical5 3 3" xfId="2635" xr:uid="{00000000-0005-0000-0000-0000160A0000}"/>
    <cellStyle name="SAPBEXexcCritical5 3 4" xfId="3180" xr:uid="{00000000-0005-0000-0000-0000170A0000}"/>
    <cellStyle name="SAPBEXexcCritical5 4" xfId="1094" xr:uid="{00000000-0005-0000-0000-0000180A0000}"/>
    <cellStyle name="SAPBEXexcCritical5 4 2" xfId="1937" xr:uid="{00000000-0005-0000-0000-0000190A0000}"/>
    <cellStyle name="SAPBEXexcCritical5 4 3" xfId="2556" xr:uid="{00000000-0005-0000-0000-00001A0A0000}"/>
    <cellStyle name="SAPBEXexcCritical5 4 4" xfId="3104" xr:uid="{00000000-0005-0000-0000-00001B0A0000}"/>
    <cellStyle name="SAPBEXexcCritical5 5" xfId="1302" xr:uid="{00000000-0005-0000-0000-00001C0A0000}"/>
    <cellStyle name="SAPBEXexcCritical5 5 2" xfId="2045" xr:uid="{00000000-0005-0000-0000-00001D0A0000}"/>
    <cellStyle name="SAPBEXexcCritical5 5 3" xfId="2660" xr:uid="{00000000-0005-0000-0000-00001E0A0000}"/>
    <cellStyle name="SAPBEXexcCritical5 5 4" xfId="3205" xr:uid="{00000000-0005-0000-0000-00001F0A0000}"/>
    <cellStyle name="SAPBEXexcCritical5 6" xfId="1547" xr:uid="{00000000-0005-0000-0000-0000200A0000}"/>
    <cellStyle name="SAPBEXexcCritical5 6 2" xfId="2226" xr:uid="{00000000-0005-0000-0000-0000210A0000}"/>
    <cellStyle name="SAPBEXexcCritical5 6 3" xfId="2834" xr:uid="{00000000-0005-0000-0000-0000220A0000}"/>
    <cellStyle name="SAPBEXexcCritical5 6 4" xfId="3374" xr:uid="{00000000-0005-0000-0000-0000230A0000}"/>
    <cellStyle name="SAPBEXexcCritical5 7" xfId="1773" xr:uid="{00000000-0005-0000-0000-0000240A0000}"/>
    <cellStyle name="SAPBEXexcCritical5 7 2" xfId="2414" xr:uid="{00000000-0005-0000-0000-0000250A0000}"/>
    <cellStyle name="SAPBEXexcCritical5 7 3" xfId="2970" xr:uid="{00000000-0005-0000-0000-0000260A0000}"/>
    <cellStyle name="SAPBEXexcCritical5 8" xfId="1618" xr:uid="{00000000-0005-0000-0000-0000270A0000}"/>
    <cellStyle name="SAPBEXexcCritical5 9" xfId="1685" xr:uid="{00000000-0005-0000-0000-0000280A0000}"/>
    <cellStyle name="SAPBEXexcCritical6" xfId="616" xr:uid="{00000000-0005-0000-0000-0000290A0000}"/>
    <cellStyle name="SAPBEXexcCritical6 10" xfId="1551" xr:uid="{00000000-0005-0000-0000-00002A0A0000}"/>
    <cellStyle name="SAPBEXexcCritical6 2" xfId="905" xr:uid="{00000000-0005-0000-0000-00002B0A0000}"/>
    <cellStyle name="SAPBEXexcCritical6 2 10" xfId="1597" xr:uid="{00000000-0005-0000-0000-00002C0A0000}"/>
    <cellStyle name="SAPBEXexcCritical6 2 2" xfId="1429" xr:uid="{00000000-0005-0000-0000-00002D0A0000}"/>
    <cellStyle name="SAPBEXexcCritical6 2 2 2" xfId="2140" xr:uid="{00000000-0005-0000-0000-00002E0A0000}"/>
    <cellStyle name="SAPBEXexcCritical6 2 2 3" xfId="2752" xr:uid="{00000000-0005-0000-0000-00002F0A0000}"/>
    <cellStyle name="SAPBEXexcCritical6 2 2 4" xfId="3294" xr:uid="{00000000-0005-0000-0000-0000300A0000}"/>
    <cellStyle name="SAPBEXexcCritical6 2 3" xfId="1517" xr:uid="{00000000-0005-0000-0000-0000310A0000}"/>
    <cellStyle name="SAPBEXexcCritical6 2 3 2" xfId="2201" xr:uid="{00000000-0005-0000-0000-0000320A0000}"/>
    <cellStyle name="SAPBEXexcCritical6 2 3 3" xfId="2810" xr:uid="{00000000-0005-0000-0000-0000330A0000}"/>
    <cellStyle name="SAPBEXexcCritical6 2 3 4" xfId="3351" xr:uid="{00000000-0005-0000-0000-0000340A0000}"/>
    <cellStyle name="SAPBEXexcCritical6 2 4" xfId="1576" xr:uid="{00000000-0005-0000-0000-0000350A0000}"/>
    <cellStyle name="SAPBEXexcCritical6 2 4 2" xfId="2242" xr:uid="{00000000-0005-0000-0000-0000360A0000}"/>
    <cellStyle name="SAPBEXexcCritical6 2 4 3" xfId="2848" xr:uid="{00000000-0005-0000-0000-0000370A0000}"/>
    <cellStyle name="SAPBEXexcCritical6 2 4 4" xfId="3387" xr:uid="{00000000-0005-0000-0000-0000380A0000}"/>
    <cellStyle name="SAPBEXexcCritical6 2 5" xfId="1639" xr:uid="{00000000-0005-0000-0000-0000390A0000}"/>
    <cellStyle name="SAPBEXexcCritical6 2 5 2" xfId="2279" xr:uid="{00000000-0005-0000-0000-00003A0A0000}"/>
    <cellStyle name="SAPBEXexcCritical6 2 5 3" xfId="2882" xr:uid="{00000000-0005-0000-0000-00003B0A0000}"/>
    <cellStyle name="SAPBEXexcCritical6 2 5 4" xfId="3420" xr:uid="{00000000-0005-0000-0000-00003C0A0000}"/>
    <cellStyle name="SAPBEXexcCritical6 2 6" xfId="1855" xr:uid="{00000000-0005-0000-0000-00003D0A0000}"/>
    <cellStyle name="SAPBEXexcCritical6 2 6 2" xfId="2482" xr:uid="{00000000-0005-0000-0000-00003E0A0000}"/>
    <cellStyle name="SAPBEXexcCritical6 2 6 3" xfId="3036" xr:uid="{00000000-0005-0000-0000-00003F0A0000}"/>
    <cellStyle name="SAPBEXexcCritical6 2 7" xfId="2316" xr:uid="{00000000-0005-0000-0000-0000400A0000}"/>
    <cellStyle name="SAPBEXexcCritical6 2 7 2" xfId="2918" xr:uid="{00000000-0005-0000-0000-0000410A0000}"/>
    <cellStyle name="SAPBEXexcCritical6 2 7 3" xfId="3455" xr:uid="{00000000-0005-0000-0000-0000420A0000}"/>
    <cellStyle name="SAPBEXexcCritical6 2 8" xfId="1689" xr:uid="{00000000-0005-0000-0000-0000430A0000}"/>
    <cellStyle name="SAPBEXexcCritical6 2 9" xfId="2341" xr:uid="{00000000-0005-0000-0000-0000440A0000}"/>
    <cellStyle name="SAPBEXexcCritical6 3" xfId="1268" xr:uid="{00000000-0005-0000-0000-0000450A0000}"/>
    <cellStyle name="SAPBEXexcCritical6 3 2" xfId="2021" xr:uid="{00000000-0005-0000-0000-0000460A0000}"/>
    <cellStyle name="SAPBEXexcCritical6 3 3" xfId="2636" xr:uid="{00000000-0005-0000-0000-0000470A0000}"/>
    <cellStyle name="SAPBEXexcCritical6 3 4" xfId="3181" xr:uid="{00000000-0005-0000-0000-0000480A0000}"/>
    <cellStyle name="SAPBEXexcCritical6 4" xfId="1310" xr:uid="{00000000-0005-0000-0000-0000490A0000}"/>
    <cellStyle name="SAPBEXexcCritical6 4 2" xfId="2051" xr:uid="{00000000-0005-0000-0000-00004A0A0000}"/>
    <cellStyle name="SAPBEXexcCritical6 4 3" xfId="2667" xr:uid="{00000000-0005-0000-0000-00004B0A0000}"/>
    <cellStyle name="SAPBEXexcCritical6 4 4" xfId="3211" xr:uid="{00000000-0005-0000-0000-00004C0A0000}"/>
    <cellStyle name="SAPBEXexcCritical6 5" xfId="1449" xr:uid="{00000000-0005-0000-0000-00004D0A0000}"/>
    <cellStyle name="SAPBEXexcCritical6 5 2" xfId="2157" xr:uid="{00000000-0005-0000-0000-00004E0A0000}"/>
    <cellStyle name="SAPBEXexcCritical6 5 3" xfId="2769" xr:uid="{00000000-0005-0000-0000-00004F0A0000}"/>
    <cellStyle name="SAPBEXexcCritical6 5 4" xfId="3311" xr:uid="{00000000-0005-0000-0000-0000500A0000}"/>
    <cellStyle name="SAPBEXexcCritical6 6" xfId="1491" xr:uid="{00000000-0005-0000-0000-0000510A0000}"/>
    <cellStyle name="SAPBEXexcCritical6 6 2" xfId="2179" xr:uid="{00000000-0005-0000-0000-0000520A0000}"/>
    <cellStyle name="SAPBEXexcCritical6 6 3" xfId="2789" xr:uid="{00000000-0005-0000-0000-0000530A0000}"/>
    <cellStyle name="SAPBEXexcCritical6 6 4" xfId="3330" xr:uid="{00000000-0005-0000-0000-0000540A0000}"/>
    <cellStyle name="SAPBEXexcCritical6 7" xfId="1774" xr:uid="{00000000-0005-0000-0000-0000550A0000}"/>
    <cellStyle name="SAPBEXexcCritical6 7 2" xfId="2415" xr:uid="{00000000-0005-0000-0000-0000560A0000}"/>
    <cellStyle name="SAPBEXexcCritical6 7 3" xfId="2971" xr:uid="{00000000-0005-0000-0000-0000570A0000}"/>
    <cellStyle name="SAPBEXexcCritical6 8" xfId="1181" xr:uid="{00000000-0005-0000-0000-0000580A0000}"/>
    <cellStyle name="SAPBEXexcCritical6 9" xfId="1652" xr:uid="{00000000-0005-0000-0000-0000590A0000}"/>
    <cellStyle name="SAPBEXexcGood1" xfId="617" xr:uid="{00000000-0005-0000-0000-00005A0A0000}"/>
    <cellStyle name="SAPBEXexcGood1 10" xfId="1608" xr:uid="{00000000-0005-0000-0000-00005B0A0000}"/>
    <cellStyle name="SAPBEXexcGood1 2" xfId="906" xr:uid="{00000000-0005-0000-0000-00005C0A0000}"/>
    <cellStyle name="SAPBEXexcGood1 2 10" xfId="2372" xr:uid="{00000000-0005-0000-0000-00005D0A0000}"/>
    <cellStyle name="SAPBEXexcGood1 2 2" xfId="1430" xr:uid="{00000000-0005-0000-0000-00005E0A0000}"/>
    <cellStyle name="SAPBEXexcGood1 2 2 2" xfId="2141" xr:uid="{00000000-0005-0000-0000-00005F0A0000}"/>
    <cellStyle name="SAPBEXexcGood1 2 2 3" xfId="2753" xr:uid="{00000000-0005-0000-0000-0000600A0000}"/>
    <cellStyle name="SAPBEXexcGood1 2 2 4" xfId="3295" xr:uid="{00000000-0005-0000-0000-0000610A0000}"/>
    <cellStyle name="SAPBEXexcGood1 2 3" xfId="1518" xr:uid="{00000000-0005-0000-0000-0000620A0000}"/>
    <cellStyle name="SAPBEXexcGood1 2 3 2" xfId="2202" xr:uid="{00000000-0005-0000-0000-0000630A0000}"/>
    <cellStyle name="SAPBEXexcGood1 2 3 3" xfId="2811" xr:uid="{00000000-0005-0000-0000-0000640A0000}"/>
    <cellStyle name="SAPBEXexcGood1 2 3 4" xfId="3352" xr:uid="{00000000-0005-0000-0000-0000650A0000}"/>
    <cellStyle name="SAPBEXexcGood1 2 4" xfId="1577" xr:uid="{00000000-0005-0000-0000-0000660A0000}"/>
    <cellStyle name="SAPBEXexcGood1 2 4 2" xfId="2243" xr:uid="{00000000-0005-0000-0000-0000670A0000}"/>
    <cellStyle name="SAPBEXexcGood1 2 4 3" xfId="2849" xr:uid="{00000000-0005-0000-0000-0000680A0000}"/>
    <cellStyle name="SAPBEXexcGood1 2 4 4" xfId="3388" xr:uid="{00000000-0005-0000-0000-0000690A0000}"/>
    <cellStyle name="SAPBEXexcGood1 2 5" xfId="1640" xr:uid="{00000000-0005-0000-0000-00006A0A0000}"/>
    <cellStyle name="SAPBEXexcGood1 2 5 2" xfId="2280" xr:uid="{00000000-0005-0000-0000-00006B0A0000}"/>
    <cellStyle name="SAPBEXexcGood1 2 5 3" xfId="2883" xr:uid="{00000000-0005-0000-0000-00006C0A0000}"/>
    <cellStyle name="SAPBEXexcGood1 2 5 4" xfId="3421" xr:uid="{00000000-0005-0000-0000-00006D0A0000}"/>
    <cellStyle name="SAPBEXexcGood1 2 6" xfId="1856" xr:uid="{00000000-0005-0000-0000-00006E0A0000}"/>
    <cellStyle name="SAPBEXexcGood1 2 6 2" xfId="2483" xr:uid="{00000000-0005-0000-0000-00006F0A0000}"/>
    <cellStyle name="SAPBEXexcGood1 2 6 3" xfId="3037" xr:uid="{00000000-0005-0000-0000-0000700A0000}"/>
    <cellStyle name="SAPBEXexcGood1 2 7" xfId="2317" xr:uid="{00000000-0005-0000-0000-0000710A0000}"/>
    <cellStyle name="SAPBEXexcGood1 2 7 2" xfId="2919" xr:uid="{00000000-0005-0000-0000-0000720A0000}"/>
    <cellStyle name="SAPBEXexcGood1 2 7 3" xfId="3456" xr:uid="{00000000-0005-0000-0000-0000730A0000}"/>
    <cellStyle name="SAPBEXexcGood1 2 8" xfId="1690" xr:uid="{00000000-0005-0000-0000-0000740A0000}"/>
    <cellStyle name="SAPBEXexcGood1 2 9" xfId="2342" xr:uid="{00000000-0005-0000-0000-0000750A0000}"/>
    <cellStyle name="SAPBEXexcGood1 3" xfId="1269" xr:uid="{00000000-0005-0000-0000-0000760A0000}"/>
    <cellStyle name="SAPBEXexcGood1 3 2" xfId="2022" xr:uid="{00000000-0005-0000-0000-0000770A0000}"/>
    <cellStyle name="SAPBEXexcGood1 3 3" xfId="2637" xr:uid="{00000000-0005-0000-0000-0000780A0000}"/>
    <cellStyle name="SAPBEXexcGood1 3 4" xfId="3182" xr:uid="{00000000-0005-0000-0000-0000790A0000}"/>
    <cellStyle name="SAPBEXexcGood1 4" xfId="1095" xr:uid="{00000000-0005-0000-0000-00007A0A0000}"/>
    <cellStyle name="SAPBEXexcGood1 4 2" xfId="1938" xr:uid="{00000000-0005-0000-0000-00007B0A0000}"/>
    <cellStyle name="SAPBEXexcGood1 4 3" xfId="2557" xr:uid="{00000000-0005-0000-0000-00007C0A0000}"/>
    <cellStyle name="SAPBEXexcGood1 4 4" xfId="3105" xr:uid="{00000000-0005-0000-0000-00007D0A0000}"/>
    <cellStyle name="SAPBEXexcGood1 5" xfId="1304" xr:uid="{00000000-0005-0000-0000-00007E0A0000}"/>
    <cellStyle name="SAPBEXexcGood1 5 2" xfId="2046" xr:uid="{00000000-0005-0000-0000-00007F0A0000}"/>
    <cellStyle name="SAPBEXexcGood1 5 3" xfId="2661" xr:uid="{00000000-0005-0000-0000-0000800A0000}"/>
    <cellStyle name="SAPBEXexcGood1 5 4" xfId="3206" xr:uid="{00000000-0005-0000-0000-0000810A0000}"/>
    <cellStyle name="SAPBEXexcGood1 6" xfId="1369" xr:uid="{00000000-0005-0000-0000-0000820A0000}"/>
    <cellStyle name="SAPBEXexcGood1 6 2" xfId="2088" xr:uid="{00000000-0005-0000-0000-0000830A0000}"/>
    <cellStyle name="SAPBEXexcGood1 6 3" xfId="2702" xr:uid="{00000000-0005-0000-0000-0000840A0000}"/>
    <cellStyle name="SAPBEXexcGood1 6 4" xfId="3246" xr:uid="{00000000-0005-0000-0000-0000850A0000}"/>
    <cellStyle name="SAPBEXexcGood1 7" xfId="1775" xr:uid="{00000000-0005-0000-0000-0000860A0000}"/>
    <cellStyle name="SAPBEXexcGood1 7 2" xfId="2416" xr:uid="{00000000-0005-0000-0000-0000870A0000}"/>
    <cellStyle name="SAPBEXexcGood1 7 3" xfId="2972" xr:uid="{00000000-0005-0000-0000-0000880A0000}"/>
    <cellStyle name="SAPBEXexcGood1 8" xfId="1333" xr:uid="{00000000-0005-0000-0000-0000890A0000}"/>
    <cellStyle name="SAPBEXexcGood1 9" xfId="1676" xr:uid="{00000000-0005-0000-0000-00008A0A0000}"/>
    <cellStyle name="SAPBEXexcGood2" xfId="618" xr:uid="{00000000-0005-0000-0000-00008B0A0000}"/>
    <cellStyle name="SAPBEXexcGood2 10" xfId="1043" xr:uid="{00000000-0005-0000-0000-00008C0A0000}"/>
    <cellStyle name="SAPBEXexcGood2 2" xfId="907" xr:uid="{00000000-0005-0000-0000-00008D0A0000}"/>
    <cellStyle name="SAPBEXexcGood2 2 10" xfId="1338" xr:uid="{00000000-0005-0000-0000-00008E0A0000}"/>
    <cellStyle name="SAPBEXexcGood2 2 2" xfId="1431" xr:uid="{00000000-0005-0000-0000-00008F0A0000}"/>
    <cellStyle name="SAPBEXexcGood2 2 2 2" xfId="2142" xr:uid="{00000000-0005-0000-0000-0000900A0000}"/>
    <cellStyle name="SAPBEXexcGood2 2 2 3" xfId="2754" xr:uid="{00000000-0005-0000-0000-0000910A0000}"/>
    <cellStyle name="SAPBEXexcGood2 2 2 4" xfId="3296" xr:uid="{00000000-0005-0000-0000-0000920A0000}"/>
    <cellStyle name="SAPBEXexcGood2 2 3" xfId="1519" xr:uid="{00000000-0005-0000-0000-0000930A0000}"/>
    <cellStyle name="SAPBEXexcGood2 2 3 2" xfId="2203" xr:uid="{00000000-0005-0000-0000-0000940A0000}"/>
    <cellStyle name="SAPBEXexcGood2 2 3 3" xfId="2812" xr:uid="{00000000-0005-0000-0000-0000950A0000}"/>
    <cellStyle name="SAPBEXexcGood2 2 3 4" xfId="3353" xr:uid="{00000000-0005-0000-0000-0000960A0000}"/>
    <cellStyle name="SAPBEXexcGood2 2 4" xfId="1578" xr:uid="{00000000-0005-0000-0000-0000970A0000}"/>
    <cellStyle name="SAPBEXexcGood2 2 4 2" xfId="2244" xr:uid="{00000000-0005-0000-0000-0000980A0000}"/>
    <cellStyle name="SAPBEXexcGood2 2 4 3" xfId="2850" xr:uid="{00000000-0005-0000-0000-0000990A0000}"/>
    <cellStyle name="SAPBEXexcGood2 2 4 4" xfId="3389" xr:uid="{00000000-0005-0000-0000-00009A0A0000}"/>
    <cellStyle name="SAPBEXexcGood2 2 5" xfId="1641" xr:uid="{00000000-0005-0000-0000-00009B0A0000}"/>
    <cellStyle name="SAPBEXexcGood2 2 5 2" xfId="2281" xr:uid="{00000000-0005-0000-0000-00009C0A0000}"/>
    <cellStyle name="SAPBEXexcGood2 2 5 3" xfId="2884" xr:uid="{00000000-0005-0000-0000-00009D0A0000}"/>
    <cellStyle name="SAPBEXexcGood2 2 5 4" xfId="3422" xr:uid="{00000000-0005-0000-0000-00009E0A0000}"/>
    <cellStyle name="SAPBEXexcGood2 2 6" xfId="1857" xr:uid="{00000000-0005-0000-0000-00009F0A0000}"/>
    <cellStyle name="SAPBEXexcGood2 2 6 2" xfId="2484" xr:uid="{00000000-0005-0000-0000-0000A00A0000}"/>
    <cellStyle name="SAPBEXexcGood2 2 6 3" xfId="3038" xr:uid="{00000000-0005-0000-0000-0000A10A0000}"/>
    <cellStyle name="SAPBEXexcGood2 2 7" xfId="2318" xr:uid="{00000000-0005-0000-0000-0000A20A0000}"/>
    <cellStyle name="SAPBEXexcGood2 2 7 2" xfId="2920" xr:uid="{00000000-0005-0000-0000-0000A30A0000}"/>
    <cellStyle name="SAPBEXexcGood2 2 7 3" xfId="3457" xr:uid="{00000000-0005-0000-0000-0000A40A0000}"/>
    <cellStyle name="SAPBEXexcGood2 2 8" xfId="1691" xr:uid="{00000000-0005-0000-0000-0000A50A0000}"/>
    <cellStyle name="SAPBEXexcGood2 2 9" xfId="2343" xr:uid="{00000000-0005-0000-0000-0000A60A0000}"/>
    <cellStyle name="SAPBEXexcGood2 3" xfId="1270" xr:uid="{00000000-0005-0000-0000-0000A70A0000}"/>
    <cellStyle name="SAPBEXexcGood2 3 2" xfId="2023" xr:uid="{00000000-0005-0000-0000-0000A80A0000}"/>
    <cellStyle name="SAPBEXexcGood2 3 3" xfId="2638" xr:uid="{00000000-0005-0000-0000-0000A90A0000}"/>
    <cellStyle name="SAPBEXexcGood2 3 4" xfId="3183" xr:uid="{00000000-0005-0000-0000-0000AA0A0000}"/>
    <cellStyle name="SAPBEXexcGood2 4" xfId="1092" xr:uid="{00000000-0005-0000-0000-0000AB0A0000}"/>
    <cellStyle name="SAPBEXexcGood2 4 2" xfId="1935" xr:uid="{00000000-0005-0000-0000-0000AC0A0000}"/>
    <cellStyle name="SAPBEXexcGood2 4 3" xfId="2555" xr:uid="{00000000-0005-0000-0000-0000AD0A0000}"/>
    <cellStyle name="SAPBEXexcGood2 4 4" xfId="3103" xr:uid="{00000000-0005-0000-0000-0000AE0A0000}"/>
    <cellStyle name="SAPBEXexcGood2 5" xfId="1450" xr:uid="{00000000-0005-0000-0000-0000AF0A0000}"/>
    <cellStyle name="SAPBEXexcGood2 5 2" xfId="2158" xr:uid="{00000000-0005-0000-0000-0000B00A0000}"/>
    <cellStyle name="SAPBEXexcGood2 5 3" xfId="2770" xr:uid="{00000000-0005-0000-0000-0000B10A0000}"/>
    <cellStyle name="SAPBEXexcGood2 5 4" xfId="3312" xr:uid="{00000000-0005-0000-0000-0000B20A0000}"/>
    <cellStyle name="SAPBEXexcGood2 6" xfId="1288" xr:uid="{00000000-0005-0000-0000-0000B30A0000}"/>
    <cellStyle name="SAPBEXexcGood2 6 2" xfId="2041" xr:uid="{00000000-0005-0000-0000-0000B40A0000}"/>
    <cellStyle name="SAPBEXexcGood2 6 3" xfId="2656" xr:uid="{00000000-0005-0000-0000-0000B50A0000}"/>
    <cellStyle name="SAPBEXexcGood2 6 4" xfId="3201" xr:uid="{00000000-0005-0000-0000-0000B60A0000}"/>
    <cellStyle name="SAPBEXexcGood2 7" xfId="1776" xr:uid="{00000000-0005-0000-0000-0000B70A0000}"/>
    <cellStyle name="SAPBEXexcGood2 7 2" xfId="2417" xr:uid="{00000000-0005-0000-0000-0000B80A0000}"/>
    <cellStyle name="SAPBEXexcGood2 7 3" xfId="2973" xr:uid="{00000000-0005-0000-0000-0000B90A0000}"/>
    <cellStyle name="SAPBEXexcGood2 8" xfId="1455" xr:uid="{00000000-0005-0000-0000-0000BA0A0000}"/>
    <cellStyle name="SAPBEXexcGood2 9" xfId="1070" xr:uid="{00000000-0005-0000-0000-0000BB0A0000}"/>
    <cellStyle name="SAPBEXexcGood3" xfId="619" xr:uid="{00000000-0005-0000-0000-0000BC0A0000}"/>
    <cellStyle name="SAPBEXexcGood3 10" xfId="1543" xr:uid="{00000000-0005-0000-0000-0000BD0A0000}"/>
    <cellStyle name="SAPBEXexcGood3 2" xfId="908" xr:uid="{00000000-0005-0000-0000-0000BE0A0000}"/>
    <cellStyle name="SAPBEXexcGood3 2 10" xfId="2365" xr:uid="{00000000-0005-0000-0000-0000BF0A0000}"/>
    <cellStyle name="SAPBEXexcGood3 2 2" xfId="1432" xr:uid="{00000000-0005-0000-0000-0000C00A0000}"/>
    <cellStyle name="SAPBEXexcGood3 2 2 2" xfId="2143" xr:uid="{00000000-0005-0000-0000-0000C10A0000}"/>
    <cellStyle name="SAPBEXexcGood3 2 2 3" xfId="2755" xr:uid="{00000000-0005-0000-0000-0000C20A0000}"/>
    <cellStyle name="SAPBEXexcGood3 2 2 4" xfId="3297" xr:uid="{00000000-0005-0000-0000-0000C30A0000}"/>
    <cellStyle name="SAPBEXexcGood3 2 3" xfId="1520" xr:uid="{00000000-0005-0000-0000-0000C40A0000}"/>
    <cellStyle name="SAPBEXexcGood3 2 3 2" xfId="2204" xr:uid="{00000000-0005-0000-0000-0000C50A0000}"/>
    <cellStyle name="SAPBEXexcGood3 2 3 3" xfId="2813" xr:uid="{00000000-0005-0000-0000-0000C60A0000}"/>
    <cellStyle name="SAPBEXexcGood3 2 3 4" xfId="3354" xr:uid="{00000000-0005-0000-0000-0000C70A0000}"/>
    <cellStyle name="SAPBEXexcGood3 2 4" xfId="1579" xr:uid="{00000000-0005-0000-0000-0000C80A0000}"/>
    <cellStyle name="SAPBEXexcGood3 2 4 2" xfId="2245" xr:uid="{00000000-0005-0000-0000-0000C90A0000}"/>
    <cellStyle name="SAPBEXexcGood3 2 4 3" xfId="2851" xr:uid="{00000000-0005-0000-0000-0000CA0A0000}"/>
    <cellStyle name="SAPBEXexcGood3 2 4 4" xfId="3390" xr:uid="{00000000-0005-0000-0000-0000CB0A0000}"/>
    <cellStyle name="SAPBEXexcGood3 2 5" xfId="1642" xr:uid="{00000000-0005-0000-0000-0000CC0A0000}"/>
    <cellStyle name="SAPBEXexcGood3 2 5 2" xfId="2282" xr:uid="{00000000-0005-0000-0000-0000CD0A0000}"/>
    <cellStyle name="SAPBEXexcGood3 2 5 3" xfId="2885" xr:uid="{00000000-0005-0000-0000-0000CE0A0000}"/>
    <cellStyle name="SAPBEXexcGood3 2 5 4" xfId="3423" xr:uid="{00000000-0005-0000-0000-0000CF0A0000}"/>
    <cellStyle name="SAPBEXexcGood3 2 6" xfId="1858" xr:uid="{00000000-0005-0000-0000-0000D00A0000}"/>
    <cellStyle name="SAPBEXexcGood3 2 6 2" xfId="2485" xr:uid="{00000000-0005-0000-0000-0000D10A0000}"/>
    <cellStyle name="SAPBEXexcGood3 2 6 3" xfId="3039" xr:uid="{00000000-0005-0000-0000-0000D20A0000}"/>
    <cellStyle name="SAPBEXexcGood3 2 7" xfId="2319" xr:uid="{00000000-0005-0000-0000-0000D30A0000}"/>
    <cellStyle name="SAPBEXexcGood3 2 7 2" xfId="2921" xr:uid="{00000000-0005-0000-0000-0000D40A0000}"/>
    <cellStyle name="SAPBEXexcGood3 2 7 3" xfId="3458" xr:uid="{00000000-0005-0000-0000-0000D50A0000}"/>
    <cellStyle name="SAPBEXexcGood3 2 8" xfId="1692" xr:uid="{00000000-0005-0000-0000-0000D60A0000}"/>
    <cellStyle name="SAPBEXexcGood3 2 9" xfId="2344" xr:uid="{00000000-0005-0000-0000-0000D70A0000}"/>
    <cellStyle name="SAPBEXexcGood3 3" xfId="1271" xr:uid="{00000000-0005-0000-0000-0000D80A0000}"/>
    <cellStyle name="SAPBEXexcGood3 3 2" xfId="2024" xr:uid="{00000000-0005-0000-0000-0000D90A0000}"/>
    <cellStyle name="SAPBEXexcGood3 3 3" xfId="2639" xr:uid="{00000000-0005-0000-0000-0000DA0A0000}"/>
    <cellStyle name="SAPBEXexcGood3 3 4" xfId="3184" xr:uid="{00000000-0005-0000-0000-0000DB0A0000}"/>
    <cellStyle name="SAPBEXexcGood3 4" xfId="1311" xr:uid="{00000000-0005-0000-0000-0000DC0A0000}"/>
    <cellStyle name="SAPBEXexcGood3 4 2" xfId="2052" xr:uid="{00000000-0005-0000-0000-0000DD0A0000}"/>
    <cellStyle name="SAPBEXexcGood3 4 3" xfId="2668" xr:uid="{00000000-0005-0000-0000-0000DE0A0000}"/>
    <cellStyle name="SAPBEXexcGood3 4 4" xfId="3212" xr:uid="{00000000-0005-0000-0000-0000DF0A0000}"/>
    <cellStyle name="SAPBEXexcGood3 5" xfId="1305" xr:uid="{00000000-0005-0000-0000-0000E00A0000}"/>
    <cellStyle name="SAPBEXexcGood3 5 2" xfId="2047" xr:uid="{00000000-0005-0000-0000-0000E10A0000}"/>
    <cellStyle name="SAPBEXexcGood3 5 3" xfId="2662" xr:uid="{00000000-0005-0000-0000-0000E20A0000}"/>
    <cellStyle name="SAPBEXexcGood3 5 4" xfId="3207" xr:uid="{00000000-0005-0000-0000-0000E30A0000}"/>
    <cellStyle name="SAPBEXexcGood3 6" xfId="1064" xr:uid="{00000000-0005-0000-0000-0000E40A0000}"/>
    <cellStyle name="SAPBEXexcGood3 6 2" xfId="1915" xr:uid="{00000000-0005-0000-0000-0000E50A0000}"/>
    <cellStyle name="SAPBEXexcGood3 6 3" xfId="2535" xr:uid="{00000000-0005-0000-0000-0000E60A0000}"/>
    <cellStyle name="SAPBEXexcGood3 6 4" xfId="3083" xr:uid="{00000000-0005-0000-0000-0000E70A0000}"/>
    <cellStyle name="SAPBEXexcGood3 7" xfId="1777" xr:uid="{00000000-0005-0000-0000-0000E80A0000}"/>
    <cellStyle name="SAPBEXexcGood3 7 2" xfId="2418" xr:uid="{00000000-0005-0000-0000-0000E90A0000}"/>
    <cellStyle name="SAPBEXexcGood3 7 3" xfId="2974" xr:uid="{00000000-0005-0000-0000-0000EA0A0000}"/>
    <cellStyle name="SAPBEXexcGood3 8" xfId="1326" xr:uid="{00000000-0005-0000-0000-0000EB0A0000}"/>
    <cellStyle name="SAPBEXexcGood3 9" xfId="1534" xr:uid="{00000000-0005-0000-0000-0000EC0A0000}"/>
    <cellStyle name="SAPBEXfilterDrill" xfId="620" xr:uid="{00000000-0005-0000-0000-0000ED0A0000}"/>
    <cellStyle name="SAPBEXfilterDrill 10" xfId="1561" xr:uid="{00000000-0005-0000-0000-0000EE0A0000}"/>
    <cellStyle name="SAPBEXfilterDrill 2" xfId="909" xr:uid="{00000000-0005-0000-0000-0000EF0A0000}"/>
    <cellStyle name="SAPBEXfilterDrill 2 2" xfId="1521" xr:uid="{00000000-0005-0000-0000-0000F00A0000}"/>
    <cellStyle name="SAPBEXfilterDrill 2 2 2" xfId="2205" xr:uid="{00000000-0005-0000-0000-0000F10A0000}"/>
    <cellStyle name="SAPBEXfilterDrill 2 3" xfId="1580" xr:uid="{00000000-0005-0000-0000-0000F20A0000}"/>
    <cellStyle name="SAPBEXfilterDrill 2 3 2" xfId="2246" xr:uid="{00000000-0005-0000-0000-0000F30A0000}"/>
    <cellStyle name="SAPBEXfilterDrill 2 4" xfId="1859" xr:uid="{00000000-0005-0000-0000-0000F40A0000}"/>
    <cellStyle name="SAPBEXfilterDrill 2 5" xfId="1693" xr:uid="{00000000-0005-0000-0000-0000F50A0000}"/>
    <cellStyle name="SAPBEXfilterDrill 3" xfId="989" xr:uid="{00000000-0005-0000-0000-0000F60A0000}"/>
    <cellStyle name="SAPBEXfilterDrill 3 2" xfId="1564" xr:uid="{00000000-0005-0000-0000-0000F70A0000}"/>
    <cellStyle name="SAPBEXfilterDrill 3 2 2" xfId="2234" xr:uid="{00000000-0005-0000-0000-0000F80A0000}"/>
    <cellStyle name="SAPBEXfilterDrill 3 3" xfId="1620" xr:uid="{00000000-0005-0000-0000-0000F90A0000}"/>
    <cellStyle name="SAPBEXfilterDrill 3 3 2" xfId="2264" xr:uid="{00000000-0005-0000-0000-0000FA0A0000}"/>
    <cellStyle name="SAPBEXfilterDrill 3 4" xfId="1877" xr:uid="{00000000-0005-0000-0000-0000FB0A0000}"/>
    <cellStyle name="SAPBEXfilterDrill 3 5" xfId="1723" xr:uid="{00000000-0005-0000-0000-0000FC0A0000}"/>
    <cellStyle name="SAPBEXfilterDrill 4" xfId="882" xr:uid="{00000000-0005-0000-0000-0000FD0A0000}"/>
    <cellStyle name="SAPBEXfilterDrill 4 2" xfId="1497" xr:uid="{00000000-0005-0000-0000-0000FE0A0000}"/>
    <cellStyle name="SAPBEXfilterDrill 4 2 2" xfId="2183" xr:uid="{00000000-0005-0000-0000-0000FF0A0000}"/>
    <cellStyle name="SAPBEXfilterDrill 4 3" xfId="1252" xr:uid="{00000000-0005-0000-0000-0000000B0000}"/>
    <cellStyle name="SAPBEXfilterDrill 4 3 2" xfId="2006" xr:uid="{00000000-0005-0000-0000-0000010B0000}"/>
    <cellStyle name="SAPBEXfilterDrill 4 4" xfId="1836" xr:uid="{00000000-0005-0000-0000-0000020B0000}"/>
    <cellStyle name="SAPBEXfilterDrill 4 5" xfId="1475" xr:uid="{00000000-0005-0000-0000-0000030B0000}"/>
    <cellStyle name="SAPBEXfilterDrill 4 6" xfId="2375" xr:uid="{00000000-0005-0000-0000-0000040B0000}"/>
    <cellStyle name="SAPBEXfilterDrill 5" xfId="1000" xr:uid="{00000000-0005-0000-0000-0000050B0000}"/>
    <cellStyle name="SAPBEXfilterDrill 5 2" xfId="1571" xr:uid="{00000000-0005-0000-0000-0000060B0000}"/>
    <cellStyle name="SAPBEXfilterDrill 5 2 2" xfId="2239" xr:uid="{00000000-0005-0000-0000-0000070B0000}"/>
    <cellStyle name="SAPBEXfilterDrill 5 3" xfId="1627" xr:uid="{00000000-0005-0000-0000-0000080B0000}"/>
    <cellStyle name="SAPBEXfilterDrill 5 3 2" xfId="2267" xr:uid="{00000000-0005-0000-0000-0000090B0000}"/>
    <cellStyle name="SAPBEXfilterDrill 5 4" xfId="1882" xr:uid="{00000000-0005-0000-0000-00000A0B0000}"/>
    <cellStyle name="SAPBEXfilterDrill 5 5" xfId="1728" xr:uid="{00000000-0005-0000-0000-00000B0B0000}"/>
    <cellStyle name="SAPBEXfilterDrill 5 6" xfId="2938" xr:uid="{00000000-0005-0000-0000-00000C0B0000}"/>
    <cellStyle name="SAPBEXfilterDrill 6" xfId="788" xr:uid="{00000000-0005-0000-0000-00000D0B0000}"/>
    <cellStyle name="SAPBEXfilterDrill 6 2" xfId="1039" xr:uid="{00000000-0005-0000-0000-00000E0B0000}"/>
    <cellStyle name="SAPBEXfilterDrill 6 2 2" xfId="1905" xr:uid="{00000000-0005-0000-0000-00000F0B0000}"/>
    <cellStyle name="SAPBEXfilterDrill 6 3" xfId="1367" xr:uid="{00000000-0005-0000-0000-0000100B0000}"/>
    <cellStyle name="SAPBEXfilterDrill 6 3 2" xfId="2086" xr:uid="{00000000-0005-0000-0000-0000110B0000}"/>
    <cellStyle name="SAPBEXfilterDrill 6 4" xfId="1805" xr:uid="{00000000-0005-0000-0000-0000120B0000}"/>
    <cellStyle name="SAPBEXfilterDrill 6 5" xfId="1558" xr:uid="{00000000-0005-0000-0000-0000130B0000}"/>
    <cellStyle name="SAPBEXfilterDrill 7" xfId="1093" xr:uid="{00000000-0005-0000-0000-0000140B0000}"/>
    <cellStyle name="SAPBEXfilterDrill 7 2" xfId="1936" xr:uid="{00000000-0005-0000-0000-0000150B0000}"/>
    <cellStyle name="SAPBEXfilterDrill 8" xfId="1451" xr:uid="{00000000-0005-0000-0000-0000160B0000}"/>
    <cellStyle name="SAPBEXfilterDrill 8 2" xfId="2159" xr:uid="{00000000-0005-0000-0000-0000170B0000}"/>
    <cellStyle name="SAPBEXfilterDrill 9" xfId="1778" xr:uid="{00000000-0005-0000-0000-0000180B0000}"/>
    <cellStyle name="SAPBEXfilterItem" xfId="621" xr:uid="{00000000-0005-0000-0000-0000190B0000}"/>
    <cellStyle name="SAPBEXfilterText" xfId="622" xr:uid="{00000000-0005-0000-0000-00001A0B0000}"/>
    <cellStyle name="SAPBEXformats" xfId="623" xr:uid="{00000000-0005-0000-0000-00001B0B0000}"/>
    <cellStyle name="SAPBEXformats 10" xfId="1048" xr:uid="{00000000-0005-0000-0000-00001C0B0000}"/>
    <cellStyle name="SAPBEXformats 2" xfId="910" xr:uid="{00000000-0005-0000-0000-00001D0B0000}"/>
    <cellStyle name="SAPBEXformats 2 10" xfId="2361" xr:uid="{00000000-0005-0000-0000-00001E0B0000}"/>
    <cellStyle name="SAPBEXformats 2 2" xfId="1434" xr:uid="{00000000-0005-0000-0000-00001F0B0000}"/>
    <cellStyle name="SAPBEXformats 2 2 2" xfId="2145" xr:uid="{00000000-0005-0000-0000-0000200B0000}"/>
    <cellStyle name="SAPBEXformats 2 2 3" xfId="2757" xr:uid="{00000000-0005-0000-0000-0000210B0000}"/>
    <cellStyle name="SAPBEXformats 2 2 4" xfId="3299" xr:uid="{00000000-0005-0000-0000-0000220B0000}"/>
    <cellStyle name="SAPBEXformats 2 3" xfId="1522" xr:uid="{00000000-0005-0000-0000-0000230B0000}"/>
    <cellStyle name="SAPBEXformats 2 3 2" xfId="2206" xr:uid="{00000000-0005-0000-0000-0000240B0000}"/>
    <cellStyle name="SAPBEXformats 2 3 3" xfId="2814" xr:uid="{00000000-0005-0000-0000-0000250B0000}"/>
    <cellStyle name="SAPBEXformats 2 3 4" xfId="3355" xr:uid="{00000000-0005-0000-0000-0000260B0000}"/>
    <cellStyle name="SAPBEXformats 2 4" xfId="1581" xr:uid="{00000000-0005-0000-0000-0000270B0000}"/>
    <cellStyle name="SAPBEXformats 2 4 2" xfId="2247" xr:uid="{00000000-0005-0000-0000-0000280B0000}"/>
    <cellStyle name="SAPBEXformats 2 4 3" xfId="2852" xr:uid="{00000000-0005-0000-0000-0000290B0000}"/>
    <cellStyle name="SAPBEXformats 2 4 4" xfId="3391" xr:uid="{00000000-0005-0000-0000-00002A0B0000}"/>
    <cellStyle name="SAPBEXformats 2 5" xfId="1644" xr:uid="{00000000-0005-0000-0000-00002B0B0000}"/>
    <cellStyle name="SAPBEXformats 2 5 2" xfId="2283" xr:uid="{00000000-0005-0000-0000-00002C0B0000}"/>
    <cellStyle name="SAPBEXformats 2 5 3" xfId="2886" xr:uid="{00000000-0005-0000-0000-00002D0B0000}"/>
    <cellStyle name="SAPBEXformats 2 5 4" xfId="3424" xr:uid="{00000000-0005-0000-0000-00002E0B0000}"/>
    <cellStyle name="SAPBEXformats 2 6" xfId="1860" xr:uid="{00000000-0005-0000-0000-00002F0B0000}"/>
    <cellStyle name="SAPBEXformats 2 6 2" xfId="2486" xr:uid="{00000000-0005-0000-0000-0000300B0000}"/>
    <cellStyle name="SAPBEXformats 2 6 3" xfId="3040" xr:uid="{00000000-0005-0000-0000-0000310B0000}"/>
    <cellStyle name="SAPBEXformats 2 7" xfId="2320" xr:uid="{00000000-0005-0000-0000-0000320B0000}"/>
    <cellStyle name="SAPBEXformats 2 7 2" xfId="2922" xr:uid="{00000000-0005-0000-0000-0000330B0000}"/>
    <cellStyle name="SAPBEXformats 2 7 3" xfId="3459" xr:uid="{00000000-0005-0000-0000-0000340B0000}"/>
    <cellStyle name="SAPBEXformats 2 8" xfId="1694" xr:uid="{00000000-0005-0000-0000-0000350B0000}"/>
    <cellStyle name="SAPBEXformats 2 9" xfId="2345" xr:uid="{00000000-0005-0000-0000-0000360B0000}"/>
    <cellStyle name="SAPBEXformats 3" xfId="1274" xr:uid="{00000000-0005-0000-0000-0000370B0000}"/>
    <cellStyle name="SAPBEXformats 3 2" xfId="2027" xr:uid="{00000000-0005-0000-0000-0000380B0000}"/>
    <cellStyle name="SAPBEXformats 3 3" xfId="2642" xr:uid="{00000000-0005-0000-0000-0000390B0000}"/>
    <cellStyle name="SAPBEXformats 3 4" xfId="3187" xr:uid="{00000000-0005-0000-0000-00003A0B0000}"/>
    <cellStyle name="SAPBEXformats 4" xfId="1091" xr:uid="{00000000-0005-0000-0000-00003B0B0000}"/>
    <cellStyle name="SAPBEXformats 4 2" xfId="1934" xr:uid="{00000000-0005-0000-0000-00003C0B0000}"/>
    <cellStyle name="SAPBEXformats 4 3" xfId="2554" xr:uid="{00000000-0005-0000-0000-00003D0B0000}"/>
    <cellStyle name="SAPBEXformats 4 4" xfId="3102" xr:uid="{00000000-0005-0000-0000-00003E0B0000}"/>
    <cellStyle name="SAPBEXformats 5" xfId="1332" xr:uid="{00000000-0005-0000-0000-00003F0B0000}"/>
    <cellStyle name="SAPBEXformats 5 2" xfId="2059" xr:uid="{00000000-0005-0000-0000-0000400B0000}"/>
    <cellStyle name="SAPBEXformats 5 3" xfId="2675" xr:uid="{00000000-0005-0000-0000-0000410B0000}"/>
    <cellStyle name="SAPBEXformats 5 4" xfId="3219" xr:uid="{00000000-0005-0000-0000-0000420B0000}"/>
    <cellStyle name="SAPBEXformats 6" xfId="1568" xr:uid="{00000000-0005-0000-0000-0000430B0000}"/>
    <cellStyle name="SAPBEXformats 6 2" xfId="2236" xr:uid="{00000000-0005-0000-0000-0000440B0000}"/>
    <cellStyle name="SAPBEXformats 6 3" xfId="2843" xr:uid="{00000000-0005-0000-0000-0000450B0000}"/>
    <cellStyle name="SAPBEXformats 6 4" xfId="3382" xr:uid="{00000000-0005-0000-0000-0000460B0000}"/>
    <cellStyle name="SAPBEXformats 7" xfId="1779" xr:uid="{00000000-0005-0000-0000-0000470B0000}"/>
    <cellStyle name="SAPBEXformats 7 2" xfId="2419" xr:uid="{00000000-0005-0000-0000-0000480B0000}"/>
    <cellStyle name="SAPBEXformats 7 3" xfId="2975" xr:uid="{00000000-0005-0000-0000-0000490B0000}"/>
    <cellStyle name="SAPBEXformats 8" xfId="1249" xr:uid="{00000000-0005-0000-0000-00004A0B0000}"/>
    <cellStyle name="SAPBEXformats 9" xfId="1227" xr:uid="{00000000-0005-0000-0000-00004B0B0000}"/>
    <cellStyle name="SAPBEXheaderItem" xfId="624" xr:uid="{00000000-0005-0000-0000-00004C0B0000}"/>
    <cellStyle name="SAPBEXheaderText" xfId="625" xr:uid="{00000000-0005-0000-0000-00004D0B0000}"/>
    <cellStyle name="SAPBEXresData" xfId="626" xr:uid="{00000000-0005-0000-0000-00004E0B0000}"/>
    <cellStyle name="SAPBEXresData 10" xfId="1102" xr:uid="{00000000-0005-0000-0000-00004F0B0000}"/>
    <cellStyle name="SAPBEXresData 2" xfId="911" xr:uid="{00000000-0005-0000-0000-0000500B0000}"/>
    <cellStyle name="SAPBEXresData 2 10" xfId="1220" xr:uid="{00000000-0005-0000-0000-0000510B0000}"/>
    <cellStyle name="SAPBEXresData 2 2" xfId="1435" xr:uid="{00000000-0005-0000-0000-0000520B0000}"/>
    <cellStyle name="SAPBEXresData 2 2 2" xfId="2146" xr:uid="{00000000-0005-0000-0000-0000530B0000}"/>
    <cellStyle name="SAPBEXresData 2 2 3" xfId="2758" xr:uid="{00000000-0005-0000-0000-0000540B0000}"/>
    <cellStyle name="SAPBEXresData 2 2 4" xfId="3300" xr:uid="{00000000-0005-0000-0000-0000550B0000}"/>
    <cellStyle name="SAPBEXresData 2 3" xfId="1523" xr:uid="{00000000-0005-0000-0000-0000560B0000}"/>
    <cellStyle name="SAPBEXresData 2 3 2" xfId="2207" xr:uid="{00000000-0005-0000-0000-0000570B0000}"/>
    <cellStyle name="SAPBEXresData 2 3 3" xfId="2815" xr:uid="{00000000-0005-0000-0000-0000580B0000}"/>
    <cellStyle name="SAPBEXresData 2 3 4" xfId="3356" xr:uid="{00000000-0005-0000-0000-0000590B0000}"/>
    <cellStyle name="SAPBEXresData 2 4" xfId="1582" xr:uid="{00000000-0005-0000-0000-00005A0B0000}"/>
    <cellStyle name="SAPBEXresData 2 4 2" xfId="2248" xr:uid="{00000000-0005-0000-0000-00005B0B0000}"/>
    <cellStyle name="SAPBEXresData 2 4 3" xfId="2853" xr:uid="{00000000-0005-0000-0000-00005C0B0000}"/>
    <cellStyle name="SAPBEXresData 2 4 4" xfId="3392" xr:uid="{00000000-0005-0000-0000-00005D0B0000}"/>
    <cellStyle name="SAPBEXresData 2 5" xfId="1645" xr:uid="{00000000-0005-0000-0000-00005E0B0000}"/>
    <cellStyle name="SAPBEXresData 2 5 2" xfId="2284" xr:uid="{00000000-0005-0000-0000-00005F0B0000}"/>
    <cellStyle name="SAPBEXresData 2 5 3" xfId="2887" xr:uid="{00000000-0005-0000-0000-0000600B0000}"/>
    <cellStyle name="SAPBEXresData 2 5 4" xfId="3425" xr:uid="{00000000-0005-0000-0000-0000610B0000}"/>
    <cellStyle name="SAPBEXresData 2 6" xfId="1861" xr:uid="{00000000-0005-0000-0000-0000620B0000}"/>
    <cellStyle name="SAPBEXresData 2 6 2" xfId="2487" xr:uid="{00000000-0005-0000-0000-0000630B0000}"/>
    <cellStyle name="SAPBEXresData 2 6 3" xfId="3041" xr:uid="{00000000-0005-0000-0000-0000640B0000}"/>
    <cellStyle name="SAPBEXresData 2 7" xfId="2321" xr:uid="{00000000-0005-0000-0000-0000650B0000}"/>
    <cellStyle name="SAPBEXresData 2 7 2" xfId="2923" xr:uid="{00000000-0005-0000-0000-0000660B0000}"/>
    <cellStyle name="SAPBEXresData 2 7 3" xfId="3460" xr:uid="{00000000-0005-0000-0000-0000670B0000}"/>
    <cellStyle name="SAPBEXresData 2 8" xfId="1695" xr:uid="{00000000-0005-0000-0000-0000680B0000}"/>
    <cellStyle name="SAPBEXresData 2 9" xfId="2346" xr:uid="{00000000-0005-0000-0000-0000690B0000}"/>
    <cellStyle name="SAPBEXresData 3" xfId="1276" xr:uid="{00000000-0005-0000-0000-00006A0B0000}"/>
    <cellStyle name="SAPBEXresData 3 2" xfId="2029" xr:uid="{00000000-0005-0000-0000-00006B0B0000}"/>
    <cellStyle name="SAPBEXresData 3 3" xfId="2644" xr:uid="{00000000-0005-0000-0000-00006C0B0000}"/>
    <cellStyle name="SAPBEXresData 3 4" xfId="3189" xr:uid="{00000000-0005-0000-0000-00006D0B0000}"/>
    <cellStyle name="SAPBEXresData 4" xfId="1086" xr:uid="{00000000-0005-0000-0000-00006E0B0000}"/>
    <cellStyle name="SAPBEXresData 4 2" xfId="1929" xr:uid="{00000000-0005-0000-0000-00006F0B0000}"/>
    <cellStyle name="SAPBEXresData 4 3" xfId="2549" xr:uid="{00000000-0005-0000-0000-0000700B0000}"/>
    <cellStyle name="SAPBEXresData 4 4" xfId="3097" xr:uid="{00000000-0005-0000-0000-0000710B0000}"/>
    <cellStyle name="SAPBEXresData 5" xfId="1026" xr:uid="{00000000-0005-0000-0000-0000720B0000}"/>
    <cellStyle name="SAPBEXresData 5 2" xfId="1895" xr:uid="{00000000-0005-0000-0000-0000730B0000}"/>
    <cellStyle name="SAPBEXresData 5 3" xfId="2518" xr:uid="{00000000-0005-0000-0000-0000740B0000}"/>
    <cellStyle name="SAPBEXresData 5 4" xfId="3070" xr:uid="{00000000-0005-0000-0000-0000750B0000}"/>
    <cellStyle name="SAPBEXresData 6" xfId="1569" xr:uid="{00000000-0005-0000-0000-0000760B0000}"/>
    <cellStyle name="SAPBEXresData 6 2" xfId="2237" xr:uid="{00000000-0005-0000-0000-0000770B0000}"/>
    <cellStyle name="SAPBEXresData 6 3" xfId="2844" xr:uid="{00000000-0005-0000-0000-0000780B0000}"/>
    <cellStyle name="SAPBEXresData 6 4" xfId="3383" xr:uid="{00000000-0005-0000-0000-0000790B0000}"/>
    <cellStyle name="SAPBEXresData 7" xfId="1780" xr:uid="{00000000-0005-0000-0000-00007A0B0000}"/>
    <cellStyle name="SAPBEXresData 7 2" xfId="2420" xr:uid="{00000000-0005-0000-0000-00007B0B0000}"/>
    <cellStyle name="SAPBEXresData 7 3" xfId="2976" xr:uid="{00000000-0005-0000-0000-00007C0B0000}"/>
    <cellStyle name="SAPBEXresData 8" xfId="1248" xr:uid="{00000000-0005-0000-0000-00007D0B0000}"/>
    <cellStyle name="SAPBEXresData 9" xfId="1164" xr:uid="{00000000-0005-0000-0000-00007E0B0000}"/>
    <cellStyle name="SAPBEXresDataEmph" xfId="627" xr:uid="{00000000-0005-0000-0000-00007F0B0000}"/>
    <cellStyle name="SAPBEXresDataEmph 10" xfId="1215" xr:uid="{00000000-0005-0000-0000-0000800B0000}"/>
    <cellStyle name="SAPBEXresDataEmph 2" xfId="912" xr:uid="{00000000-0005-0000-0000-0000810B0000}"/>
    <cellStyle name="SAPBEXresDataEmph 2 10" xfId="2296" xr:uid="{00000000-0005-0000-0000-0000820B0000}"/>
    <cellStyle name="SAPBEXresDataEmph 2 2" xfId="1436" xr:uid="{00000000-0005-0000-0000-0000830B0000}"/>
    <cellStyle name="SAPBEXresDataEmph 2 2 2" xfId="2147" xr:uid="{00000000-0005-0000-0000-0000840B0000}"/>
    <cellStyle name="SAPBEXresDataEmph 2 2 3" xfId="2759" xr:uid="{00000000-0005-0000-0000-0000850B0000}"/>
    <cellStyle name="SAPBEXresDataEmph 2 2 4" xfId="3301" xr:uid="{00000000-0005-0000-0000-0000860B0000}"/>
    <cellStyle name="SAPBEXresDataEmph 2 3" xfId="1524" xr:uid="{00000000-0005-0000-0000-0000870B0000}"/>
    <cellStyle name="SAPBEXresDataEmph 2 3 2" xfId="2208" xr:uid="{00000000-0005-0000-0000-0000880B0000}"/>
    <cellStyle name="SAPBEXresDataEmph 2 3 3" xfId="2816" xr:uid="{00000000-0005-0000-0000-0000890B0000}"/>
    <cellStyle name="SAPBEXresDataEmph 2 3 4" xfId="3357" xr:uid="{00000000-0005-0000-0000-00008A0B0000}"/>
    <cellStyle name="SAPBEXresDataEmph 2 4" xfId="1583" xr:uid="{00000000-0005-0000-0000-00008B0B0000}"/>
    <cellStyle name="SAPBEXresDataEmph 2 4 2" xfId="2249" xr:uid="{00000000-0005-0000-0000-00008C0B0000}"/>
    <cellStyle name="SAPBEXresDataEmph 2 4 3" xfId="2854" xr:uid="{00000000-0005-0000-0000-00008D0B0000}"/>
    <cellStyle name="SAPBEXresDataEmph 2 4 4" xfId="3393" xr:uid="{00000000-0005-0000-0000-00008E0B0000}"/>
    <cellStyle name="SAPBEXresDataEmph 2 5" xfId="1646" xr:uid="{00000000-0005-0000-0000-00008F0B0000}"/>
    <cellStyle name="SAPBEXresDataEmph 2 5 2" xfId="2285" xr:uid="{00000000-0005-0000-0000-0000900B0000}"/>
    <cellStyle name="SAPBEXresDataEmph 2 5 3" xfId="2888" xr:uid="{00000000-0005-0000-0000-0000910B0000}"/>
    <cellStyle name="SAPBEXresDataEmph 2 5 4" xfId="3426" xr:uid="{00000000-0005-0000-0000-0000920B0000}"/>
    <cellStyle name="SAPBEXresDataEmph 2 6" xfId="1862" xr:uid="{00000000-0005-0000-0000-0000930B0000}"/>
    <cellStyle name="SAPBEXresDataEmph 2 6 2" xfId="2488" xr:uid="{00000000-0005-0000-0000-0000940B0000}"/>
    <cellStyle name="SAPBEXresDataEmph 2 6 3" xfId="3042" xr:uid="{00000000-0005-0000-0000-0000950B0000}"/>
    <cellStyle name="SAPBEXresDataEmph 2 7" xfId="2322" xr:uid="{00000000-0005-0000-0000-0000960B0000}"/>
    <cellStyle name="SAPBEXresDataEmph 2 7 2" xfId="2924" xr:uid="{00000000-0005-0000-0000-0000970B0000}"/>
    <cellStyle name="SAPBEXresDataEmph 2 7 3" xfId="3461" xr:uid="{00000000-0005-0000-0000-0000980B0000}"/>
    <cellStyle name="SAPBEXresDataEmph 2 8" xfId="1696" xr:uid="{00000000-0005-0000-0000-0000990B0000}"/>
    <cellStyle name="SAPBEXresDataEmph 2 9" xfId="2347" xr:uid="{00000000-0005-0000-0000-00009A0B0000}"/>
    <cellStyle name="SAPBEXresDataEmph 3" xfId="1277" xr:uid="{00000000-0005-0000-0000-00009B0B0000}"/>
    <cellStyle name="SAPBEXresDataEmph 3 2" xfId="2030" xr:uid="{00000000-0005-0000-0000-00009C0B0000}"/>
    <cellStyle name="SAPBEXresDataEmph 3 3" xfId="2645" xr:uid="{00000000-0005-0000-0000-00009D0B0000}"/>
    <cellStyle name="SAPBEXresDataEmph 3 4" xfId="3190" xr:uid="{00000000-0005-0000-0000-00009E0B0000}"/>
    <cellStyle name="SAPBEXresDataEmph 4" xfId="1085" xr:uid="{00000000-0005-0000-0000-00009F0B0000}"/>
    <cellStyle name="SAPBEXresDataEmph 4 2" xfId="1928" xr:uid="{00000000-0005-0000-0000-0000A00B0000}"/>
    <cellStyle name="SAPBEXresDataEmph 4 3" xfId="2548" xr:uid="{00000000-0005-0000-0000-0000A10B0000}"/>
    <cellStyle name="SAPBEXresDataEmph 4 4" xfId="3096" xr:uid="{00000000-0005-0000-0000-0000A20B0000}"/>
    <cellStyle name="SAPBEXresDataEmph 5" xfId="1334" xr:uid="{00000000-0005-0000-0000-0000A30B0000}"/>
    <cellStyle name="SAPBEXresDataEmph 5 2" xfId="2060" xr:uid="{00000000-0005-0000-0000-0000A40B0000}"/>
    <cellStyle name="SAPBEXresDataEmph 5 3" xfId="2676" xr:uid="{00000000-0005-0000-0000-0000A50B0000}"/>
    <cellStyle name="SAPBEXresDataEmph 5 4" xfId="3220" xr:uid="{00000000-0005-0000-0000-0000A60B0000}"/>
    <cellStyle name="SAPBEXresDataEmph 6" xfId="1496" xr:uid="{00000000-0005-0000-0000-0000A70B0000}"/>
    <cellStyle name="SAPBEXresDataEmph 6 2" xfId="2182" xr:uid="{00000000-0005-0000-0000-0000A80B0000}"/>
    <cellStyle name="SAPBEXresDataEmph 6 3" xfId="2792" xr:uid="{00000000-0005-0000-0000-0000A90B0000}"/>
    <cellStyle name="SAPBEXresDataEmph 6 4" xfId="3333" xr:uid="{00000000-0005-0000-0000-0000AA0B0000}"/>
    <cellStyle name="SAPBEXresDataEmph 7" xfId="1781" xr:uid="{00000000-0005-0000-0000-0000AB0B0000}"/>
    <cellStyle name="SAPBEXresDataEmph 7 2" xfId="2421" xr:uid="{00000000-0005-0000-0000-0000AC0B0000}"/>
    <cellStyle name="SAPBEXresDataEmph 7 3" xfId="2977" xr:uid="{00000000-0005-0000-0000-0000AD0B0000}"/>
    <cellStyle name="SAPBEXresDataEmph 8" xfId="1062" xr:uid="{00000000-0005-0000-0000-0000AE0B0000}"/>
    <cellStyle name="SAPBEXresDataEmph 9" xfId="1071" xr:uid="{00000000-0005-0000-0000-0000AF0B0000}"/>
    <cellStyle name="SAPBEXresItem" xfId="628" xr:uid="{00000000-0005-0000-0000-0000B00B0000}"/>
    <cellStyle name="SAPBEXresItem 10" xfId="1609" xr:uid="{00000000-0005-0000-0000-0000B10B0000}"/>
    <cellStyle name="SAPBEXresItem 2" xfId="913" xr:uid="{00000000-0005-0000-0000-0000B20B0000}"/>
    <cellStyle name="SAPBEXresItem 2 10" xfId="1598" xr:uid="{00000000-0005-0000-0000-0000B30B0000}"/>
    <cellStyle name="SAPBEXresItem 2 2" xfId="1437" xr:uid="{00000000-0005-0000-0000-0000B40B0000}"/>
    <cellStyle name="SAPBEXresItem 2 2 2" xfId="2148" xr:uid="{00000000-0005-0000-0000-0000B50B0000}"/>
    <cellStyle name="SAPBEXresItem 2 2 3" xfId="2760" xr:uid="{00000000-0005-0000-0000-0000B60B0000}"/>
    <cellStyle name="SAPBEXresItem 2 2 4" xfId="3302" xr:uid="{00000000-0005-0000-0000-0000B70B0000}"/>
    <cellStyle name="SAPBEXresItem 2 3" xfId="1525" xr:uid="{00000000-0005-0000-0000-0000B80B0000}"/>
    <cellStyle name="SAPBEXresItem 2 3 2" xfId="2209" xr:uid="{00000000-0005-0000-0000-0000B90B0000}"/>
    <cellStyle name="SAPBEXresItem 2 3 3" xfId="2817" xr:uid="{00000000-0005-0000-0000-0000BA0B0000}"/>
    <cellStyle name="SAPBEXresItem 2 3 4" xfId="3358" xr:uid="{00000000-0005-0000-0000-0000BB0B0000}"/>
    <cellStyle name="SAPBEXresItem 2 4" xfId="1584" xr:uid="{00000000-0005-0000-0000-0000BC0B0000}"/>
    <cellStyle name="SAPBEXresItem 2 4 2" xfId="2250" xr:uid="{00000000-0005-0000-0000-0000BD0B0000}"/>
    <cellStyle name="SAPBEXresItem 2 4 3" xfId="2855" xr:uid="{00000000-0005-0000-0000-0000BE0B0000}"/>
    <cellStyle name="SAPBEXresItem 2 4 4" xfId="3394" xr:uid="{00000000-0005-0000-0000-0000BF0B0000}"/>
    <cellStyle name="SAPBEXresItem 2 5" xfId="1647" xr:uid="{00000000-0005-0000-0000-0000C00B0000}"/>
    <cellStyle name="SAPBEXresItem 2 5 2" xfId="2286" xr:uid="{00000000-0005-0000-0000-0000C10B0000}"/>
    <cellStyle name="SAPBEXresItem 2 5 3" xfId="2889" xr:uid="{00000000-0005-0000-0000-0000C20B0000}"/>
    <cellStyle name="SAPBEXresItem 2 5 4" xfId="3427" xr:uid="{00000000-0005-0000-0000-0000C30B0000}"/>
    <cellStyle name="SAPBEXresItem 2 6" xfId="1863" xr:uid="{00000000-0005-0000-0000-0000C40B0000}"/>
    <cellStyle name="SAPBEXresItem 2 6 2" xfId="2489" xr:uid="{00000000-0005-0000-0000-0000C50B0000}"/>
    <cellStyle name="SAPBEXresItem 2 6 3" xfId="3043" xr:uid="{00000000-0005-0000-0000-0000C60B0000}"/>
    <cellStyle name="SAPBEXresItem 2 7" xfId="2323" xr:uid="{00000000-0005-0000-0000-0000C70B0000}"/>
    <cellStyle name="SAPBEXresItem 2 7 2" xfId="2925" xr:uid="{00000000-0005-0000-0000-0000C80B0000}"/>
    <cellStyle name="SAPBEXresItem 2 7 3" xfId="3462" xr:uid="{00000000-0005-0000-0000-0000C90B0000}"/>
    <cellStyle name="SAPBEXresItem 2 8" xfId="1697" xr:uid="{00000000-0005-0000-0000-0000CA0B0000}"/>
    <cellStyle name="SAPBEXresItem 2 9" xfId="2348" xr:uid="{00000000-0005-0000-0000-0000CB0B0000}"/>
    <cellStyle name="SAPBEXresItem 3" xfId="1278" xr:uid="{00000000-0005-0000-0000-0000CC0B0000}"/>
    <cellStyle name="SAPBEXresItem 3 2" xfId="2031" xr:uid="{00000000-0005-0000-0000-0000CD0B0000}"/>
    <cellStyle name="SAPBEXresItem 3 3" xfId="2646" xr:uid="{00000000-0005-0000-0000-0000CE0B0000}"/>
    <cellStyle name="SAPBEXresItem 3 4" xfId="3191" xr:uid="{00000000-0005-0000-0000-0000CF0B0000}"/>
    <cellStyle name="SAPBEXresItem 4" xfId="1083" xr:uid="{00000000-0005-0000-0000-0000D00B0000}"/>
    <cellStyle name="SAPBEXresItem 4 2" xfId="1926" xr:uid="{00000000-0005-0000-0000-0000D10B0000}"/>
    <cellStyle name="SAPBEXresItem 4 3" xfId="2546" xr:uid="{00000000-0005-0000-0000-0000D20B0000}"/>
    <cellStyle name="SAPBEXresItem 4 4" xfId="3094" xr:uid="{00000000-0005-0000-0000-0000D30B0000}"/>
    <cellStyle name="SAPBEXresItem 5" xfId="1286" xr:uid="{00000000-0005-0000-0000-0000D40B0000}"/>
    <cellStyle name="SAPBEXresItem 5 2" xfId="2039" xr:uid="{00000000-0005-0000-0000-0000D50B0000}"/>
    <cellStyle name="SAPBEXresItem 5 3" xfId="2654" xr:uid="{00000000-0005-0000-0000-0000D60B0000}"/>
    <cellStyle name="SAPBEXresItem 5 4" xfId="3199" xr:uid="{00000000-0005-0000-0000-0000D70B0000}"/>
    <cellStyle name="SAPBEXresItem 6" xfId="1040" xr:uid="{00000000-0005-0000-0000-0000D80B0000}"/>
    <cellStyle name="SAPBEXresItem 6 2" xfId="1906" xr:uid="{00000000-0005-0000-0000-0000D90B0000}"/>
    <cellStyle name="SAPBEXresItem 6 3" xfId="2528" xr:uid="{00000000-0005-0000-0000-0000DA0B0000}"/>
    <cellStyle name="SAPBEXresItem 6 4" xfId="3077" xr:uid="{00000000-0005-0000-0000-0000DB0B0000}"/>
    <cellStyle name="SAPBEXresItem 7" xfId="1782" xr:uid="{00000000-0005-0000-0000-0000DC0B0000}"/>
    <cellStyle name="SAPBEXresItem 7 2" xfId="2422" xr:uid="{00000000-0005-0000-0000-0000DD0B0000}"/>
    <cellStyle name="SAPBEXresItem 7 3" xfId="2978" xr:uid="{00000000-0005-0000-0000-0000DE0B0000}"/>
    <cellStyle name="SAPBEXresItem 8" xfId="1237" xr:uid="{00000000-0005-0000-0000-0000DF0B0000}"/>
    <cellStyle name="SAPBEXresItem 9" xfId="1488" xr:uid="{00000000-0005-0000-0000-0000E00B0000}"/>
    <cellStyle name="SAPBEXstdData" xfId="629" xr:uid="{00000000-0005-0000-0000-0000E10B0000}"/>
    <cellStyle name="SAPBEXstdData 10" xfId="1239" xr:uid="{00000000-0005-0000-0000-0000E20B0000}"/>
    <cellStyle name="SAPBEXstdData 2" xfId="914" xr:uid="{00000000-0005-0000-0000-0000E30B0000}"/>
    <cellStyle name="SAPBEXstdData 2 10" xfId="2370" xr:uid="{00000000-0005-0000-0000-0000E40B0000}"/>
    <cellStyle name="SAPBEXstdData 2 2" xfId="1438" xr:uid="{00000000-0005-0000-0000-0000E50B0000}"/>
    <cellStyle name="SAPBEXstdData 2 2 2" xfId="2149" xr:uid="{00000000-0005-0000-0000-0000E60B0000}"/>
    <cellStyle name="SAPBEXstdData 2 2 3" xfId="2761" xr:uid="{00000000-0005-0000-0000-0000E70B0000}"/>
    <cellStyle name="SAPBEXstdData 2 2 4" xfId="3303" xr:uid="{00000000-0005-0000-0000-0000E80B0000}"/>
    <cellStyle name="SAPBEXstdData 2 3" xfId="1526" xr:uid="{00000000-0005-0000-0000-0000E90B0000}"/>
    <cellStyle name="SAPBEXstdData 2 3 2" xfId="2210" xr:uid="{00000000-0005-0000-0000-0000EA0B0000}"/>
    <cellStyle name="SAPBEXstdData 2 3 3" xfId="2818" xr:uid="{00000000-0005-0000-0000-0000EB0B0000}"/>
    <cellStyle name="SAPBEXstdData 2 3 4" xfId="3359" xr:uid="{00000000-0005-0000-0000-0000EC0B0000}"/>
    <cellStyle name="SAPBEXstdData 2 4" xfId="1585" xr:uid="{00000000-0005-0000-0000-0000ED0B0000}"/>
    <cellStyle name="SAPBEXstdData 2 4 2" xfId="2251" xr:uid="{00000000-0005-0000-0000-0000EE0B0000}"/>
    <cellStyle name="SAPBEXstdData 2 4 3" xfId="2856" xr:uid="{00000000-0005-0000-0000-0000EF0B0000}"/>
    <cellStyle name="SAPBEXstdData 2 4 4" xfId="3395" xr:uid="{00000000-0005-0000-0000-0000F00B0000}"/>
    <cellStyle name="SAPBEXstdData 2 5" xfId="1648" xr:uid="{00000000-0005-0000-0000-0000F10B0000}"/>
    <cellStyle name="SAPBEXstdData 2 5 2" xfId="2287" xr:uid="{00000000-0005-0000-0000-0000F20B0000}"/>
    <cellStyle name="SAPBEXstdData 2 5 3" xfId="2890" xr:uid="{00000000-0005-0000-0000-0000F30B0000}"/>
    <cellStyle name="SAPBEXstdData 2 5 4" xfId="3428" xr:uid="{00000000-0005-0000-0000-0000F40B0000}"/>
    <cellStyle name="SAPBEXstdData 2 6" xfId="1864" xr:uid="{00000000-0005-0000-0000-0000F50B0000}"/>
    <cellStyle name="SAPBEXstdData 2 6 2" xfId="2490" xr:uid="{00000000-0005-0000-0000-0000F60B0000}"/>
    <cellStyle name="SAPBEXstdData 2 6 3" xfId="3044" xr:uid="{00000000-0005-0000-0000-0000F70B0000}"/>
    <cellStyle name="SAPBEXstdData 2 7" xfId="2324" xr:uid="{00000000-0005-0000-0000-0000F80B0000}"/>
    <cellStyle name="SAPBEXstdData 2 7 2" xfId="2926" xr:uid="{00000000-0005-0000-0000-0000F90B0000}"/>
    <cellStyle name="SAPBEXstdData 2 7 3" xfId="3463" xr:uid="{00000000-0005-0000-0000-0000FA0B0000}"/>
    <cellStyle name="SAPBEXstdData 2 8" xfId="1698" xr:uid="{00000000-0005-0000-0000-0000FB0B0000}"/>
    <cellStyle name="SAPBEXstdData 2 9" xfId="2349" xr:uid="{00000000-0005-0000-0000-0000FC0B0000}"/>
    <cellStyle name="SAPBEXstdData 3" xfId="1279" xr:uid="{00000000-0005-0000-0000-0000FD0B0000}"/>
    <cellStyle name="SAPBEXstdData 3 2" xfId="2032" xr:uid="{00000000-0005-0000-0000-0000FE0B0000}"/>
    <cellStyle name="SAPBEXstdData 3 3" xfId="2647" xr:uid="{00000000-0005-0000-0000-0000FF0B0000}"/>
    <cellStyle name="SAPBEXstdData 3 4" xfId="3192" xr:uid="{00000000-0005-0000-0000-0000000C0000}"/>
    <cellStyle name="SAPBEXstdData 4" xfId="1309" xr:uid="{00000000-0005-0000-0000-0000010C0000}"/>
    <cellStyle name="SAPBEXstdData 4 2" xfId="2050" xr:uid="{00000000-0005-0000-0000-0000020C0000}"/>
    <cellStyle name="SAPBEXstdData 4 3" xfId="2666" xr:uid="{00000000-0005-0000-0000-0000030C0000}"/>
    <cellStyle name="SAPBEXstdData 4 4" xfId="3210" xr:uid="{00000000-0005-0000-0000-0000040C0000}"/>
    <cellStyle name="SAPBEXstdData 5" xfId="1466" xr:uid="{00000000-0005-0000-0000-0000050C0000}"/>
    <cellStyle name="SAPBEXstdData 5 2" xfId="2166" xr:uid="{00000000-0005-0000-0000-0000060C0000}"/>
    <cellStyle name="SAPBEXstdData 5 3" xfId="2777" xr:uid="{00000000-0005-0000-0000-0000070C0000}"/>
    <cellStyle name="SAPBEXstdData 5 4" xfId="3319" xr:uid="{00000000-0005-0000-0000-0000080C0000}"/>
    <cellStyle name="SAPBEXstdData 6" xfId="1307" xr:uid="{00000000-0005-0000-0000-0000090C0000}"/>
    <cellStyle name="SAPBEXstdData 6 2" xfId="2048" xr:uid="{00000000-0005-0000-0000-00000A0C0000}"/>
    <cellStyle name="SAPBEXstdData 6 3" xfId="2664" xr:uid="{00000000-0005-0000-0000-00000B0C0000}"/>
    <cellStyle name="SAPBEXstdData 6 4" xfId="3208" xr:uid="{00000000-0005-0000-0000-00000C0C0000}"/>
    <cellStyle name="SAPBEXstdData 7" xfId="1783" xr:uid="{00000000-0005-0000-0000-00000D0C0000}"/>
    <cellStyle name="SAPBEXstdData 7 2" xfId="2423" xr:uid="{00000000-0005-0000-0000-00000E0C0000}"/>
    <cellStyle name="SAPBEXstdData 7 3" xfId="2979" xr:uid="{00000000-0005-0000-0000-00000F0C0000}"/>
    <cellStyle name="SAPBEXstdData 8" xfId="1594" xr:uid="{00000000-0005-0000-0000-0000100C0000}"/>
    <cellStyle name="SAPBEXstdData 9" xfId="1481" xr:uid="{00000000-0005-0000-0000-0000110C0000}"/>
    <cellStyle name="SAPBEXstdDataEmph" xfId="630" xr:uid="{00000000-0005-0000-0000-0000120C0000}"/>
    <cellStyle name="SAPBEXstdDataEmph 10" xfId="1052" xr:uid="{00000000-0005-0000-0000-0000130C0000}"/>
    <cellStyle name="SAPBEXstdDataEmph 2" xfId="915" xr:uid="{00000000-0005-0000-0000-0000140C0000}"/>
    <cellStyle name="SAPBEXstdDataEmph 2 10" xfId="1119" xr:uid="{00000000-0005-0000-0000-0000150C0000}"/>
    <cellStyle name="SAPBEXstdDataEmph 2 2" xfId="1439" xr:uid="{00000000-0005-0000-0000-0000160C0000}"/>
    <cellStyle name="SAPBEXstdDataEmph 2 2 2" xfId="2150" xr:uid="{00000000-0005-0000-0000-0000170C0000}"/>
    <cellStyle name="SAPBEXstdDataEmph 2 2 3" xfId="2762" xr:uid="{00000000-0005-0000-0000-0000180C0000}"/>
    <cellStyle name="SAPBEXstdDataEmph 2 2 4" xfId="3304" xr:uid="{00000000-0005-0000-0000-0000190C0000}"/>
    <cellStyle name="SAPBEXstdDataEmph 2 3" xfId="1527" xr:uid="{00000000-0005-0000-0000-00001A0C0000}"/>
    <cellStyle name="SAPBEXstdDataEmph 2 3 2" xfId="2211" xr:uid="{00000000-0005-0000-0000-00001B0C0000}"/>
    <cellStyle name="SAPBEXstdDataEmph 2 3 3" xfId="2819" xr:uid="{00000000-0005-0000-0000-00001C0C0000}"/>
    <cellStyle name="SAPBEXstdDataEmph 2 3 4" xfId="3360" xr:uid="{00000000-0005-0000-0000-00001D0C0000}"/>
    <cellStyle name="SAPBEXstdDataEmph 2 4" xfId="1586" xr:uid="{00000000-0005-0000-0000-00001E0C0000}"/>
    <cellStyle name="SAPBEXstdDataEmph 2 4 2" xfId="2252" xr:uid="{00000000-0005-0000-0000-00001F0C0000}"/>
    <cellStyle name="SAPBEXstdDataEmph 2 4 3" xfId="2857" xr:uid="{00000000-0005-0000-0000-0000200C0000}"/>
    <cellStyle name="SAPBEXstdDataEmph 2 4 4" xfId="3396" xr:uid="{00000000-0005-0000-0000-0000210C0000}"/>
    <cellStyle name="SAPBEXstdDataEmph 2 5" xfId="1649" xr:uid="{00000000-0005-0000-0000-0000220C0000}"/>
    <cellStyle name="SAPBEXstdDataEmph 2 5 2" xfId="2288" xr:uid="{00000000-0005-0000-0000-0000230C0000}"/>
    <cellStyle name="SAPBEXstdDataEmph 2 5 3" xfId="2891" xr:uid="{00000000-0005-0000-0000-0000240C0000}"/>
    <cellStyle name="SAPBEXstdDataEmph 2 5 4" xfId="3429" xr:uid="{00000000-0005-0000-0000-0000250C0000}"/>
    <cellStyle name="SAPBEXstdDataEmph 2 6" xfId="1865" xr:uid="{00000000-0005-0000-0000-0000260C0000}"/>
    <cellStyle name="SAPBEXstdDataEmph 2 6 2" xfId="2491" xr:uid="{00000000-0005-0000-0000-0000270C0000}"/>
    <cellStyle name="SAPBEXstdDataEmph 2 6 3" xfId="3045" xr:uid="{00000000-0005-0000-0000-0000280C0000}"/>
    <cellStyle name="SAPBEXstdDataEmph 2 7" xfId="2325" xr:uid="{00000000-0005-0000-0000-0000290C0000}"/>
    <cellStyle name="SAPBEXstdDataEmph 2 7 2" xfId="2927" xr:uid="{00000000-0005-0000-0000-00002A0C0000}"/>
    <cellStyle name="SAPBEXstdDataEmph 2 7 3" xfId="3464" xr:uid="{00000000-0005-0000-0000-00002B0C0000}"/>
    <cellStyle name="SAPBEXstdDataEmph 2 8" xfId="1699" xr:uid="{00000000-0005-0000-0000-00002C0C0000}"/>
    <cellStyle name="SAPBEXstdDataEmph 2 9" xfId="2350" xr:uid="{00000000-0005-0000-0000-00002D0C0000}"/>
    <cellStyle name="SAPBEXstdDataEmph 3" xfId="1280" xr:uid="{00000000-0005-0000-0000-00002E0C0000}"/>
    <cellStyle name="SAPBEXstdDataEmph 3 2" xfId="2033" xr:uid="{00000000-0005-0000-0000-00002F0C0000}"/>
    <cellStyle name="SAPBEXstdDataEmph 3 3" xfId="2648" xr:uid="{00000000-0005-0000-0000-0000300C0000}"/>
    <cellStyle name="SAPBEXstdDataEmph 3 4" xfId="3193" xr:uid="{00000000-0005-0000-0000-0000310C0000}"/>
    <cellStyle name="SAPBEXstdDataEmph 4" xfId="1084" xr:uid="{00000000-0005-0000-0000-0000320C0000}"/>
    <cellStyle name="SAPBEXstdDataEmph 4 2" xfId="1927" xr:uid="{00000000-0005-0000-0000-0000330C0000}"/>
    <cellStyle name="SAPBEXstdDataEmph 4 3" xfId="2547" xr:uid="{00000000-0005-0000-0000-0000340C0000}"/>
    <cellStyle name="SAPBEXstdDataEmph 4 4" xfId="3095" xr:uid="{00000000-0005-0000-0000-0000350C0000}"/>
    <cellStyle name="SAPBEXstdDataEmph 5" xfId="1335" xr:uid="{00000000-0005-0000-0000-0000360C0000}"/>
    <cellStyle name="SAPBEXstdDataEmph 5 2" xfId="2061" xr:uid="{00000000-0005-0000-0000-0000370C0000}"/>
    <cellStyle name="SAPBEXstdDataEmph 5 3" xfId="2677" xr:uid="{00000000-0005-0000-0000-0000380C0000}"/>
    <cellStyle name="SAPBEXstdDataEmph 5 4" xfId="3221" xr:uid="{00000000-0005-0000-0000-0000390C0000}"/>
    <cellStyle name="SAPBEXstdDataEmph 6" xfId="1393" xr:uid="{00000000-0005-0000-0000-00003A0C0000}"/>
    <cellStyle name="SAPBEXstdDataEmph 6 2" xfId="2109" xr:uid="{00000000-0005-0000-0000-00003B0C0000}"/>
    <cellStyle name="SAPBEXstdDataEmph 6 3" xfId="2723" xr:uid="{00000000-0005-0000-0000-00003C0C0000}"/>
    <cellStyle name="SAPBEXstdDataEmph 6 4" xfId="3266" xr:uid="{00000000-0005-0000-0000-00003D0C0000}"/>
    <cellStyle name="SAPBEXstdDataEmph 7" xfId="1784" xr:uid="{00000000-0005-0000-0000-00003E0C0000}"/>
    <cellStyle name="SAPBEXstdDataEmph 7 2" xfId="2424" xr:uid="{00000000-0005-0000-0000-00003F0C0000}"/>
    <cellStyle name="SAPBEXstdDataEmph 7 3" xfId="2980" xr:uid="{00000000-0005-0000-0000-0000400C0000}"/>
    <cellStyle name="SAPBEXstdDataEmph 8" xfId="1622" xr:uid="{00000000-0005-0000-0000-0000410C0000}"/>
    <cellStyle name="SAPBEXstdDataEmph 9" xfId="1324" xr:uid="{00000000-0005-0000-0000-0000420C0000}"/>
    <cellStyle name="SAPBEXstdItem" xfId="631" xr:uid="{00000000-0005-0000-0000-0000430C0000}"/>
    <cellStyle name="SAPBEXstdItem 10" xfId="1374" xr:uid="{00000000-0005-0000-0000-0000440C0000}"/>
    <cellStyle name="SAPBEXstdItem 2" xfId="916" xr:uid="{00000000-0005-0000-0000-0000450C0000}"/>
    <cellStyle name="SAPBEXstdItem 2 10" xfId="2364" xr:uid="{00000000-0005-0000-0000-0000460C0000}"/>
    <cellStyle name="SAPBEXstdItem 2 2" xfId="1440" xr:uid="{00000000-0005-0000-0000-0000470C0000}"/>
    <cellStyle name="SAPBEXstdItem 2 2 2" xfId="2151" xr:uid="{00000000-0005-0000-0000-0000480C0000}"/>
    <cellStyle name="SAPBEXstdItem 2 2 3" xfId="2763" xr:uid="{00000000-0005-0000-0000-0000490C0000}"/>
    <cellStyle name="SAPBEXstdItem 2 2 4" xfId="3305" xr:uid="{00000000-0005-0000-0000-00004A0C0000}"/>
    <cellStyle name="SAPBEXstdItem 2 3" xfId="1528" xr:uid="{00000000-0005-0000-0000-00004B0C0000}"/>
    <cellStyle name="SAPBEXstdItem 2 3 2" xfId="2212" xr:uid="{00000000-0005-0000-0000-00004C0C0000}"/>
    <cellStyle name="SAPBEXstdItem 2 3 3" xfId="2820" xr:uid="{00000000-0005-0000-0000-00004D0C0000}"/>
    <cellStyle name="SAPBEXstdItem 2 3 4" xfId="3361" xr:uid="{00000000-0005-0000-0000-00004E0C0000}"/>
    <cellStyle name="SAPBEXstdItem 2 4" xfId="1587" xr:uid="{00000000-0005-0000-0000-00004F0C0000}"/>
    <cellStyle name="SAPBEXstdItem 2 4 2" xfId="2253" xr:uid="{00000000-0005-0000-0000-0000500C0000}"/>
    <cellStyle name="SAPBEXstdItem 2 4 3" xfId="2858" xr:uid="{00000000-0005-0000-0000-0000510C0000}"/>
    <cellStyle name="SAPBEXstdItem 2 4 4" xfId="3397" xr:uid="{00000000-0005-0000-0000-0000520C0000}"/>
    <cellStyle name="SAPBEXstdItem 2 5" xfId="1650" xr:uid="{00000000-0005-0000-0000-0000530C0000}"/>
    <cellStyle name="SAPBEXstdItem 2 5 2" xfId="2289" xr:uid="{00000000-0005-0000-0000-0000540C0000}"/>
    <cellStyle name="SAPBEXstdItem 2 5 3" xfId="2892" xr:uid="{00000000-0005-0000-0000-0000550C0000}"/>
    <cellStyle name="SAPBEXstdItem 2 5 4" xfId="3430" xr:uid="{00000000-0005-0000-0000-0000560C0000}"/>
    <cellStyle name="SAPBEXstdItem 2 6" xfId="1866" xr:uid="{00000000-0005-0000-0000-0000570C0000}"/>
    <cellStyle name="SAPBEXstdItem 2 6 2" xfId="2492" xr:uid="{00000000-0005-0000-0000-0000580C0000}"/>
    <cellStyle name="SAPBEXstdItem 2 6 3" xfId="3046" xr:uid="{00000000-0005-0000-0000-0000590C0000}"/>
    <cellStyle name="SAPBEXstdItem 2 7" xfId="2326" xr:uid="{00000000-0005-0000-0000-00005A0C0000}"/>
    <cellStyle name="SAPBEXstdItem 2 7 2" xfId="2928" xr:uid="{00000000-0005-0000-0000-00005B0C0000}"/>
    <cellStyle name="SAPBEXstdItem 2 7 3" xfId="3465" xr:uid="{00000000-0005-0000-0000-00005C0C0000}"/>
    <cellStyle name="SAPBEXstdItem 2 8" xfId="1700" xr:uid="{00000000-0005-0000-0000-00005D0C0000}"/>
    <cellStyle name="SAPBEXstdItem 2 9" xfId="2351" xr:uid="{00000000-0005-0000-0000-00005E0C0000}"/>
    <cellStyle name="SAPBEXstdItem 3" xfId="1281" xr:uid="{00000000-0005-0000-0000-00005F0C0000}"/>
    <cellStyle name="SAPBEXstdItem 3 2" xfId="2034" xr:uid="{00000000-0005-0000-0000-0000600C0000}"/>
    <cellStyle name="SAPBEXstdItem 3 3" xfId="2649" xr:uid="{00000000-0005-0000-0000-0000610C0000}"/>
    <cellStyle name="SAPBEXstdItem 3 4" xfId="3194" xr:uid="{00000000-0005-0000-0000-0000620C0000}"/>
    <cellStyle name="SAPBEXstdItem 4" xfId="1081" xr:uid="{00000000-0005-0000-0000-0000630C0000}"/>
    <cellStyle name="SAPBEXstdItem 4 2" xfId="1924" xr:uid="{00000000-0005-0000-0000-0000640C0000}"/>
    <cellStyle name="SAPBEXstdItem 4 3" xfId="2544" xr:uid="{00000000-0005-0000-0000-0000650C0000}"/>
    <cellStyle name="SAPBEXstdItem 4 4" xfId="3092" xr:uid="{00000000-0005-0000-0000-0000660C0000}"/>
    <cellStyle name="SAPBEXstdItem 5" xfId="1467" xr:uid="{00000000-0005-0000-0000-0000670C0000}"/>
    <cellStyle name="SAPBEXstdItem 5 2" xfId="2167" xr:uid="{00000000-0005-0000-0000-0000680C0000}"/>
    <cellStyle name="SAPBEXstdItem 5 3" xfId="2778" xr:uid="{00000000-0005-0000-0000-0000690C0000}"/>
    <cellStyle name="SAPBEXstdItem 5 4" xfId="3320" xr:uid="{00000000-0005-0000-0000-00006A0C0000}"/>
    <cellStyle name="SAPBEXstdItem 6" xfId="1145" xr:uid="{00000000-0005-0000-0000-00006B0C0000}"/>
    <cellStyle name="SAPBEXstdItem 6 2" xfId="1965" xr:uid="{00000000-0005-0000-0000-00006C0C0000}"/>
    <cellStyle name="SAPBEXstdItem 6 3" xfId="2584" xr:uid="{00000000-0005-0000-0000-00006D0C0000}"/>
    <cellStyle name="SAPBEXstdItem 6 4" xfId="3129" xr:uid="{00000000-0005-0000-0000-00006E0C0000}"/>
    <cellStyle name="SAPBEXstdItem 7" xfId="1785" xr:uid="{00000000-0005-0000-0000-00006F0C0000}"/>
    <cellStyle name="SAPBEXstdItem 7 2" xfId="2425" xr:uid="{00000000-0005-0000-0000-0000700C0000}"/>
    <cellStyle name="SAPBEXstdItem 7 3" xfId="2981" xr:uid="{00000000-0005-0000-0000-0000710C0000}"/>
    <cellStyle name="SAPBEXstdItem 8" xfId="1624" xr:uid="{00000000-0005-0000-0000-0000720C0000}"/>
    <cellStyle name="SAPBEXstdItem 9" xfId="1315" xr:uid="{00000000-0005-0000-0000-0000730C0000}"/>
    <cellStyle name="SAPBEXtitle" xfId="632" xr:uid="{00000000-0005-0000-0000-0000740C0000}"/>
    <cellStyle name="SAPBEXtitle 2" xfId="1336" xr:uid="{00000000-0005-0000-0000-0000750C0000}"/>
    <cellStyle name="SAPBEXtitle 2 2" xfId="2062" xr:uid="{00000000-0005-0000-0000-0000760C0000}"/>
    <cellStyle name="SAPBEXtitle 3" xfId="1590" xr:uid="{00000000-0005-0000-0000-0000770C0000}"/>
    <cellStyle name="SAPBEXundefined" xfId="633" xr:uid="{00000000-0005-0000-0000-0000780C0000}"/>
    <cellStyle name="SAPBEXundefined 10" xfId="1151" xr:uid="{00000000-0005-0000-0000-0000790C0000}"/>
    <cellStyle name="SAPBEXundefined 2" xfId="917" xr:uid="{00000000-0005-0000-0000-00007A0C0000}"/>
    <cellStyle name="SAPBEXundefined 2 10" xfId="1049" xr:uid="{00000000-0005-0000-0000-00007B0C0000}"/>
    <cellStyle name="SAPBEXundefined 2 2" xfId="1441" xr:uid="{00000000-0005-0000-0000-00007C0C0000}"/>
    <cellStyle name="SAPBEXundefined 2 2 2" xfId="2152" xr:uid="{00000000-0005-0000-0000-00007D0C0000}"/>
    <cellStyle name="SAPBEXundefined 2 2 3" xfId="2764" xr:uid="{00000000-0005-0000-0000-00007E0C0000}"/>
    <cellStyle name="SAPBEXundefined 2 2 4" xfId="3306" xr:uid="{00000000-0005-0000-0000-00007F0C0000}"/>
    <cellStyle name="SAPBEXundefined 2 3" xfId="1529" xr:uid="{00000000-0005-0000-0000-0000800C0000}"/>
    <cellStyle name="SAPBEXundefined 2 3 2" xfId="2213" xr:uid="{00000000-0005-0000-0000-0000810C0000}"/>
    <cellStyle name="SAPBEXundefined 2 3 3" xfId="2821" xr:uid="{00000000-0005-0000-0000-0000820C0000}"/>
    <cellStyle name="SAPBEXundefined 2 3 4" xfId="3362" xr:uid="{00000000-0005-0000-0000-0000830C0000}"/>
    <cellStyle name="SAPBEXundefined 2 4" xfId="1588" xr:uid="{00000000-0005-0000-0000-0000840C0000}"/>
    <cellStyle name="SAPBEXundefined 2 4 2" xfId="2254" xr:uid="{00000000-0005-0000-0000-0000850C0000}"/>
    <cellStyle name="SAPBEXundefined 2 4 3" xfId="2859" xr:uid="{00000000-0005-0000-0000-0000860C0000}"/>
    <cellStyle name="SAPBEXundefined 2 4 4" xfId="3398" xr:uid="{00000000-0005-0000-0000-0000870C0000}"/>
    <cellStyle name="SAPBEXundefined 2 5" xfId="1651" xr:uid="{00000000-0005-0000-0000-0000880C0000}"/>
    <cellStyle name="SAPBEXundefined 2 5 2" xfId="2290" xr:uid="{00000000-0005-0000-0000-0000890C0000}"/>
    <cellStyle name="SAPBEXundefined 2 5 3" xfId="2893" xr:uid="{00000000-0005-0000-0000-00008A0C0000}"/>
    <cellStyle name="SAPBEXundefined 2 5 4" xfId="3431" xr:uid="{00000000-0005-0000-0000-00008B0C0000}"/>
    <cellStyle name="SAPBEXundefined 2 6" xfId="1867" xr:uid="{00000000-0005-0000-0000-00008C0C0000}"/>
    <cellStyle name="SAPBEXundefined 2 6 2" xfId="2493" xr:uid="{00000000-0005-0000-0000-00008D0C0000}"/>
    <cellStyle name="SAPBEXundefined 2 6 3" xfId="3047" xr:uid="{00000000-0005-0000-0000-00008E0C0000}"/>
    <cellStyle name="SAPBEXundefined 2 7" xfId="2327" xr:uid="{00000000-0005-0000-0000-00008F0C0000}"/>
    <cellStyle name="SAPBEXundefined 2 7 2" xfId="2929" xr:uid="{00000000-0005-0000-0000-0000900C0000}"/>
    <cellStyle name="SAPBEXundefined 2 7 3" xfId="3466" xr:uid="{00000000-0005-0000-0000-0000910C0000}"/>
    <cellStyle name="SAPBEXundefined 2 8" xfId="1701" xr:uid="{00000000-0005-0000-0000-0000920C0000}"/>
    <cellStyle name="SAPBEXundefined 2 9" xfId="2352" xr:uid="{00000000-0005-0000-0000-0000930C0000}"/>
    <cellStyle name="SAPBEXundefined 3" xfId="1283" xr:uid="{00000000-0005-0000-0000-0000940C0000}"/>
    <cellStyle name="SAPBEXundefined 3 2" xfId="2036" xr:uid="{00000000-0005-0000-0000-0000950C0000}"/>
    <cellStyle name="SAPBEXundefined 3 3" xfId="2651" xr:uid="{00000000-0005-0000-0000-0000960C0000}"/>
    <cellStyle name="SAPBEXundefined 3 4" xfId="3196" xr:uid="{00000000-0005-0000-0000-0000970C0000}"/>
    <cellStyle name="SAPBEXundefined 4" xfId="1079" xr:uid="{00000000-0005-0000-0000-0000980C0000}"/>
    <cellStyle name="SAPBEXundefined 4 2" xfId="1923" xr:uid="{00000000-0005-0000-0000-0000990C0000}"/>
    <cellStyle name="SAPBEXundefined 4 3" xfId="2543" xr:uid="{00000000-0005-0000-0000-00009A0C0000}"/>
    <cellStyle name="SAPBEXundefined 4 4" xfId="3091" xr:uid="{00000000-0005-0000-0000-00009B0C0000}"/>
    <cellStyle name="SAPBEXundefined 5" xfId="1468" xr:uid="{00000000-0005-0000-0000-00009C0C0000}"/>
    <cellStyle name="SAPBEXundefined 5 2" xfId="2168" xr:uid="{00000000-0005-0000-0000-00009D0C0000}"/>
    <cellStyle name="SAPBEXundefined 5 3" xfId="2779" xr:uid="{00000000-0005-0000-0000-00009E0C0000}"/>
    <cellStyle name="SAPBEXundefined 5 4" xfId="3321" xr:uid="{00000000-0005-0000-0000-00009F0C0000}"/>
    <cellStyle name="SAPBEXundefined 6" xfId="1144" xr:uid="{00000000-0005-0000-0000-0000A00C0000}"/>
    <cellStyle name="SAPBEXundefined 6 2" xfId="1964" xr:uid="{00000000-0005-0000-0000-0000A10C0000}"/>
    <cellStyle name="SAPBEXundefined 6 3" xfId="2583" xr:uid="{00000000-0005-0000-0000-0000A20C0000}"/>
    <cellStyle name="SAPBEXundefined 6 4" xfId="3128" xr:uid="{00000000-0005-0000-0000-0000A30C0000}"/>
    <cellStyle name="SAPBEXundefined 7" xfId="1786" xr:uid="{00000000-0005-0000-0000-0000A40C0000}"/>
    <cellStyle name="SAPBEXundefined 7 2" xfId="2426" xr:uid="{00000000-0005-0000-0000-0000A50C0000}"/>
    <cellStyle name="SAPBEXundefined 7 3" xfId="2982" xr:uid="{00000000-0005-0000-0000-0000A60C0000}"/>
    <cellStyle name="SAPBEXundefined 8" xfId="1337" xr:uid="{00000000-0005-0000-0000-0000A70C0000}"/>
    <cellStyle name="SAPBEXundefined 9" xfId="1331" xr:uid="{00000000-0005-0000-0000-0000A80C0000}"/>
    <cellStyle name="SAPLocked" xfId="634" xr:uid="{00000000-0005-0000-0000-0000A90C0000}"/>
    <cellStyle name="SAPLocked 2" xfId="918" xr:uid="{00000000-0005-0000-0000-0000AA0C0000}"/>
    <cellStyle name="SAPLocked 2 2" xfId="1442" xr:uid="{00000000-0005-0000-0000-0000AB0C0000}"/>
    <cellStyle name="SAPLocked 2 2 2" xfId="2153" xr:uid="{00000000-0005-0000-0000-0000AC0C0000}"/>
    <cellStyle name="SAPLocked 2 2 3" xfId="2765" xr:uid="{00000000-0005-0000-0000-0000AD0C0000}"/>
    <cellStyle name="SAPLocked 2 2 4" xfId="3307" xr:uid="{00000000-0005-0000-0000-0000AE0C0000}"/>
    <cellStyle name="SAPLocked 2 3" xfId="1530" xr:uid="{00000000-0005-0000-0000-0000AF0C0000}"/>
    <cellStyle name="SAPLocked 2 3 2" xfId="2214" xr:uid="{00000000-0005-0000-0000-0000B00C0000}"/>
    <cellStyle name="SAPLocked 2 3 3" xfId="2822" xr:uid="{00000000-0005-0000-0000-0000B10C0000}"/>
    <cellStyle name="SAPLocked 2 3 4" xfId="3363" xr:uid="{00000000-0005-0000-0000-0000B20C0000}"/>
    <cellStyle name="SAPLocked 2 4" xfId="1589" xr:uid="{00000000-0005-0000-0000-0000B30C0000}"/>
    <cellStyle name="SAPLocked 2 4 2" xfId="2255" xr:uid="{00000000-0005-0000-0000-0000B40C0000}"/>
    <cellStyle name="SAPLocked 2 4 3" xfId="2860" xr:uid="{00000000-0005-0000-0000-0000B50C0000}"/>
    <cellStyle name="SAPLocked 2 4 4" xfId="3399" xr:uid="{00000000-0005-0000-0000-0000B60C0000}"/>
    <cellStyle name="SAPLocked 2 5" xfId="1868" xr:uid="{00000000-0005-0000-0000-0000B70C0000}"/>
    <cellStyle name="SAPLocked 2 5 2" xfId="2494" xr:uid="{00000000-0005-0000-0000-0000B80C0000}"/>
    <cellStyle name="SAPLocked 2 5 3" xfId="3048" xr:uid="{00000000-0005-0000-0000-0000B90C0000}"/>
    <cellStyle name="SAPLocked 2 6" xfId="2328" xr:uid="{00000000-0005-0000-0000-0000BA0C0000}"/>
    <cellStyle name="SAPLocked 2 6 2" xfId="2930" xr:uid="{00000000-0005-0000-0000-0000BB0C0000}"/>
    <cellStyle name="SAPLocked 2 6 3" xfId="3467" xr:uid="{00000000-0005-0000-0000-0000BC0C0000}"/>
    <cellStyle name="SAPLocked 2 7" xfId="1702" xr:uid="{00000000-0005-0000-0000-0000BD0C0000}"/>
    <cellStyle name="SAPLocked 2 8" xfId="2353" xr:uid="{00000000-0005-0000-0000-0000BE0C0000}"/>
    <cellStyle name="SAPLocked 2 9" xfId="2359" xr:uid="{00000000-0005-0000-0000-0000BF0C0000}"/>
    <cellStyle name="SAPLocked 3" xfId="1284" xr:uid="{00000000-0005-0000-0000-0000C00C0000}"/>
    <cellStyle name="SAPLocked 3 2" xfId="2037" xr:uid="{00000000-0005-0000-0000-0000C10C0000}"/>
    <cellStyle name="SAPLocked 3 3" xfId="2652" xr:uid="{00000000-0005-0000-0000-0000C20C0000}"/>
    <cellStyle name="SAPLocked 3 4" xfId="3197" xr:uid="{00000000-0005-0000-0000-0000C30C0000}"/>
    <cellStyle name="SAPLocked 4" xfId="1078" xr:uid="{00000000-0005-0000-0000-0000C40C0000}"/>
    <cellStyle name="SAPLocked 4 2" xfId="1922" xr:uid="{00000000-0005-0000-0000-0000C50C0000}"/>
    <cellStyle name="SAPLocked 4 3" xfId="2542" xr:uid="{00000000-0005-0000-0000-0000C60C0000}"/>
    <cellStyle name="SAPLocked 4 4" xfId="3090" xr:uid="{00000000-0005-0000-0000-0000C70C0000}"/>
    <cellStyle name="SAPLocked 5" xfId="1343" xr:uid="{00000000-0005-0000-0000-0000C80C0000}"/>
    <cellStyle name="SAPLocked 5 2" xfId="2065" xr:uid="{00000000-0005-0000-0000-0000C90C0000}"/>
    <cellStyle name="SAPLocked 5 3" xfId="2680" xr:uid="{00000000-0005-0000-0000-0000CA0C0000}"/>
    <cellStyle name="SAPLocked 5 4" xfId="3224" xr:uid="{00000000-0005-0000-0000-0000CB0C0000}"/>
    <cellStyle name="SAPLocked 6" xfId="1787" xr:uid="{00000000-0005-0000-0000-0000CC0C0000}"/>
    <cellStyle name="SAPLocked 6 2" xfId="2427" xr:uid="{00000000-0005-0000-0000-0000CD0C0000}"/>
    <cellStyle name="SAPLocked 6 3" xfId="2983" xr:uid="{00000000-0005-0000-0000-0000CE0C0000}"/>
    <cellStyle name="SAPLocked 7" xfId="1625" xr:uid="{00000000-0005-0000-0000-0000CF0C0000}"/>
    <cellStyle name="SAPLocked 8" xfId="1313" xr:uid="{00000000-0005-0000-0000-0000D00C0000}"/>
    <cellStyle name="SAPLocked 9" xfId="1195" xr:uid="{00000000-0005-0000-0000-0000D10C0000}"/>
    <cellStyle name="SAPOutput" xfId="635" xr:uid="{00000000-0005-0000-0000-0000D20C0000}"/>
    <cellStyle name="SAPUnLocked" xfId="636" xr:uid="{00000000-0005-0000-0000-0000D30C0000}"/>
    <cellStyle name="SAPUnLocked 10" xfId="1152" xr:uid="{00000000-0005-0000-0000-0000D40C0000}"/>
    <cellStyle name="SAPUnLocked 2" xfId="920" xr:uid="{00000000-0005-0000-0000-0000D50C0000}"/>
    <cellStyle name="SAPUnLocked 2 10" xfId="1211" xr:uid="{00000000-0005-0000-0000-0000D60C0000}"/>
    <cellStyle name="SAPUnLocked 2 2" xfId="1444" xr:uid="{00000000-0005-0000-0000-0000D70C0000}"/>
    <cellStyle name="SAPUnLocked 2 2 2" xfId="2154" xr:uid="{00000000-0005-0000-0000-0000D80C0000}"/>
    <cellStyle name="SAPUnLocked 2 2 3" xfId="2766" xr:uid="{00000000-0005-0000-0000-0000D90C0000}"/>
    <cellStyle name="SAPUnLocked 2 2 4" xfId="3308" xr:uid="{00000000-0005-0000-0000-0000DA0C0000}"/>
    <cellStyle name="SAPUnLocked 2 3" xfId="1531" xr:uid="{00000000-0005-0000-0000-0000DB0C0000}"/>
    <cellStyle name="SAPUnLocked 2 3 2" xfId="2215" xr:uid="{00000000-0005-0000-0000-0000DC0C0000}"/>
    <cellStyle name="SAPUnLocked 2 3 3" xfId="2823" xr:uid="{00000000-0005-0000-0000-0000DD0C0000}"/>
    <cellStyle name="SAPUnLocked 2 3 4" xfId="3364" xr:uid="{00000000-0005-0000-0000-0000DE0C0000}"/>
    <cellStyle name="SAPUnLocked 2 4" xfId="1591" xr:uid="{00000000-0005-0000-0000-0000DF0C0000}"/>
    <cellStyle name="SAPUnLocked 2 4 2" xfId="2256" xr:uid="{00000000-0005-0000-0000-0000E00C0000}"/>
    <cellStyle name="SAPUnLocked 2 4 3" xfId="2861" xr:uid="{00000000-0005-0000-0000-0000E10C0000}"/>
    <cellStyle name="SAPUnLocked 2 4 4" xfId="3400" xr:uid="{00000000-0005-0000-0000-0000E20C0000}"/>
    <cellStyle name="SAPUnLocked 2 5" xfId="1653" xr:uid="{00000000-0005-0000-0000-0000E30C0000}"/>
    <cellStyle name="SAPUnLocked 2 5 2" xfId="2291" xr:uid="{00000000-0005-0000-0000-0000E40C0000}"/>
    <cellStyle name="SAPUnLocked 2 5 3" xfId="2894" xr:uid="{00000000-0005-0000-0000-0000E50C0000}"/>
    <cellStyle name="SAPUnLocked 2 5 4" xfId="3432" xr:uid="{00000000-0005-0000-0000-0000E60C0000}"/>
    <cellStyle name="SAPUnLocked 2 6" xfId="1869" xr:uid="{00000000-0005-0000-0000-0000E70C0000}"/>
    <cellStyle name="SAPUnLocked 2 6 2" xfId="2495" xr:uid="{00000000-0005-0000-0000-0000E80C0000}"/>
    <cellStyle name="SAPUnLocked 2 6 3" xfId="3049" xr:uid="{00000000-0005-0000-0000-0000E90C0000}"/>
    <cellStyle name="SAPUnLocked 2 7" xfId="2329" xr:uid="{00000000-0005-0000-0000-0000EA0C0000}"/>
    <cellStyle name="SAPUnLocked 2 7 2" xfId="2931" xr:uid="{00000000-0005-0000-0000-0000EB0C0000}"/>
    <cellStyle name="SAPUnLocked 2 7 3" xfId="3468" xr:uid="{00000000-0005-0000-0000-0000EC0C0000}"/>
    <cellStyle name="SAPUnLocked 2 8" xfId="1703" xr:uid="{00000000-0005-0000-0000-0000ED0C0000}"/>
    <cellStyle name="SAPUnLocked 2 9" xfId="2354" xr:uid="{00000000-0005-0000-0000-0000EE0C0000}"/>
    <cellStyle name="SAPUnLocked 3" xfId="1285" xr:uid="{00000000-0005-0000-0000-0000EF0C0000}"/>
    <cellStyle name="SAPUnLocked 3 2" xfId="2038" xr:uid="{00000000-0005-0000-0000-0000F00C0000}"/>
    <cellStyle name="SAPUnLocked 3 3" xfId="2653" xr:uid="{00000000-0005-0000-0000-0000F10C0000}"/>
    <cellStyle name="SAPUnLocked 3 4" xfId="3198" xr:uid="{00000000-0005-0000-0000-0000F20C0000}"/>
    <cellStyle name="SAPUnLocked 4" xfId="1076" xr:uid="{00000000-0005-0000-0000-0000F30C0000}"/>
    <cellStyle name="SAPUnLocked 4 2" xfId="1921" xr:uid="{00000000-0005-0000-0000-0000F40C0000}"/>
    <cellStyle name="SAPUnLocked 4 3" xfId="2541" xr:uid="{00000000-0005-0000-0000-0000F50C0000}"/>
    <cellStyle name="SAPUnLocked 4 4" xfId="3089" xr:uid="{00000000-0005-0000-0000-0000F60C0000}"/>
    <cellStyle name="SAPUnLocked 5" xfId="1201" xr:uid="{00000000-0005-0000-0000-0000F70C0000}"/>
    <cellStyle name="SAPUnLocked 5 2" xfId="1988" xr:uid="{00000000-0005-0000-0000-0000F80C0000}"/>
    <cellStyle name="SAPUnLocked 5 3" xfId="2606" xr:uid="{00000000-0005-0000-0000-0000F90C0000}"/>
    <cellStyle name="SAPUnLocked 5 4" xfId="3151" xr:uid="{00000000-0005-0000-0000-0000FA0C0000}"/>
    <cellStyle name="SAPUnLocked 6" xfId="1060" xr:uid="{00000000-0005-0000-0000-0000FB0C0000}"/>
    <cellStyle name="SAPUnLocked 6 2" xfId="1913" xr:uid="{00000000-0005-0000-0000-0000FC0C0000}"/>
    <cellStyle name="SAPUnLocked 6 3" xfId="2533" xr:uid="{00000000-0005-0000-0000-0000FD0C0000}"/>
    <cellStyle name="SAPUnLocked 6 4" xfId="3081" xr:uid="{00000000-0005-0000-0000-0000FE0C0000}"/>
    <cellStyle name="SAPUnLocked 7" xfId="1788" xr:uid="{00000000-0005-0000-0000-0000FF0C0000}"/>
    <cellStyle name="SAPUnLocked 7 2" xfId="2428" xr:uid="{00000000-0005-0000-0000-0000000D0000}"/>
    <cellStyle name="SAPUnLocked 7 3" xfId="2984" xr:uid="{00000000-0005-0000-0000-0000010D0000}"/>
    <cellStyle name="SAPUnLocked 8" xfId="1546" xr:uid="{00000000-0005-0000-0000-0000020D0000}"/>
    <cellStyle name="SAPUnLocked 9" xfId="1191" xr:uid="{00000000-0005-0000-0000-0000030D0000}"/>
    <cellStyle name="Section" xfId="637" xr:uid="{00000000-0005-0000-0000-0000040D0000}"/>
    <cellStyle name="Separador de milhares_060403 PMT NorteFluminense GSantamarina" xfId="638" xr:uid="{00000000-0005-0000-0000-0000050D0000}"/>
    <cellStyle name="Standard_ABSATZTB_HY00" xfId="639" xr:uid="{00000000-0005-0000-0000-0000060D0000}"/>
    <cellStyle name="Stock Comma" xfId="640" xr:uid="{00000000-0005-0000-0000-0000070D0000}"/>
    <cellStyle name="Stock Price" xfId="641" xr:uid="{00000000-0005-0000-0000-0000080D0000}"/>
    <cellStyle name="Style 21" xfId="642" xr:uid="{00000000-0005-0000-0000-0000090D0000}"/>
    <cellStyle name="STYLE1" xfId="643" xr:uid="{00000000-0005-0000-0000-00000A0D0000}"/>
    <cellStyle name="STYLE2" xfId="644" xr:uid="{00000000-0005-0000-0000-00000B0D0000}"/>
    <cellStyle name="STYLE3" xfId="645" xr:uid="{00000000-0005-0000-0000-00000C0D0000}"/>
    <cellStyle name="STYLE4" xfId="646" xr:uid="{00000000-0005-0000-0000-00000D0D0000}"/>
    <cellStyle name="Tag" xfId="647" xr:uid="{00000000-0005-0000-0000-00000E0D0000}"/>
    <cellStyle name="Test" xfId="648" xr:uid="{00000000-0005-0000-0000-00000F0D0000}"/>
    <cellStyle name="TESTE" xfId="649" xr:uid="{00000000-0005-0000-0000-0000100D0000}"/>
    <cellStyle name="Text" xfId="650" xr:uid="{00000000-0005-0000-0000-0000110D0000}"/>
    <cellStyle name="Texto de advertencia" xfId="33" builtinId="11" customBuiltin="1"/>
    <cellStyle name="Texto de advertencia 2" xfId="652" xr:uid="{00000000-0005-0000-0000-0000120D0000}"/>
    <cellStyle name="Texto de advertencia 3" xfId="709" xr:uid="{00000000-0005-0000-0000-0000130D0000}"/>
    <cellStyle name="Texto de advertencia 4" xfId="651" xr:uid="{00000000-0005-0000-0000-0000140D0000}"/>
    <cellStyle name="Texto explicativo" xfId="35" builtinId="53" customBuiltin="1"/>
    <cellStyle name="Texto explicativo 2" xfId="654" xr:uid="{00000000-0005-0000-0000-0000150D0000}"/>
    <cellStyle name="Texto explicativo 3" xfId="711" xr:uid="{00000000-0005-0000-0000-0000160D0000}"/>
    <cellStyle name="Texto explicativo 4" xfId="653" xr:uid="{00000000-0005-0000-0000-0000170D0000}"/>
    <cellStyle name="TFCF" xfId="655" xr:uid="{00000000-0005-0000-0000-0000180D0000}"/>
    <cellStyle name="Tickmark" xfId="656" xr:uid="{00000000-0005-0000-0000-0000190D0000}"/>
    <cellStyle name="Times" xfId="657" xr:uid="{00000000-0005-0000-0000-00001A0D0000}"/>
    <cellStyle name="Title 2" xfId="658" xr:uid="{00000000-0005-0000-0000-00001B0D0000}"/>
    <cellStyle name="Título" xfId="20" builtinId="15" customBuiltin="1"/>
    <cellStyle name="Título 1" xfId="660" xr:uid="{00000000-0005-0000-0000-00001C0D0000}"/>
    <cellStyle name="Título 1 2" xfId="661" xr:uid="{00000000-0005-0000-0000-00001D0D0000}"/>
    <cellStyle name="Título 2" xfId="22" builtinId="17" customBuiltin="1"/>
    <cellStyle name="Título 2 2" xfId="663" xr:uid="{00000000-0005-0000-0000-00001E0D0000}"/>
    <cellStyle name="Título 2 3" xfId="699" xr:uid="{00000000-0005-0000-0000-00001F0D0000}"/>
    <cellStyle name="Título 2 4" xfId="662" xr:uid="{00000000-0005-0000-0000-0000200D0000}"/>
    <cellStyle name="Título 3" xfId="23" builtinId="18" customBuiltin="1"/>
    <cellStyle name="Título 3 2" xfId="665" xr:uid="{00000000-0005-0000-0000-0000210D0000}"/>
    <cellStyle name="Título 3 2 2" xfId="1406" xr:uid="{00000000-0005-0000-0000-0000220D0000}"/>
    <cellStyle name="Título 3 2 2 2" xfId="2119" xr:uid="{00000000-0005-0000-0000-0000230D0000}"/>
    <cellStyle name="Título 3 2 3" xfId="1221" xr:uid="{00000000-0005-0000-0000-0000240D0000}"/>
    <cellStyle name="Título 3 3" xfId="700" xr:uid="{00000000-0005-0000-0000-0000250D0000}"/>
    <cellStyle name="Título 3 4" xfId="664" xr:uid="{00000000-0005-0000-0000-0000260D0000}"/>
    <cellStyle name="Título 3 4 2" xfId="1204" xr:uid="{00000000-0005-0000-0000-0000270D0000}"/>
    <cellStyle name="Título 3 4 2 2" xfId="1989" xr:uid="{00000000-0005-0000-0000-0000280D0000}"/>
    <cellStyle name="Título 3 4 3" xfId="1012" xr:uid="{00000000-0005-0000-0000-0000290D0000}"/>
    <cellStyle name="Título 4" xfId="666" xr:uid="{00000000-0005-0000-0000-00002A0D0000}"/>
    <cellStyle name="Título 4 2" xfId="3510" xr:uid="{00000000-0005-0000-0000-000031000000}"/>
    <cellStyle name="Título 5" xfId="698" xr:uid="{00000000-0005-0000-0000-00002B0D0000}"/>
    <cellStyle name="Título 6" xfId="659" xr:uid="{00000000-0005-0000-0000-00002C0D0000}"/>
    <cellStyle name="Top Edge" xfId="667" xr:uid="{00000000-0005-0000-0000-00002D0D0000}"/>
    <cellStyle name="Total" xfId="36" builtinId="25" customBuiltin="1"/>
    <cellStyle name="Total 2" xfId="668" xr:uid="{00000000-0005-0000-0000-00002F0D0000}"/>
    <cellStyle name="Total 3" xfId="669" xr:uid="{00000000-0005-0000-0000-0000300D0000}"/>
    <cellStyle name="Total 3 10" xfId="1607" xr:uid="{00000000-0005-0000-0000-0000310D0000}"/>
    <cellStyle name="Total 3 2" xfId="922" xr:uid="{00000000-0005-0000-0000-0000320D0000}"/>
    <cellStyle name="Total 3 2 10" xfId="1225" xr:uid="{00000000-0005-0000-0000-0000330D0000}"/>
    <cellStyle name="Total 3 2 2" xfId="1445" xr:uid="{00000000-0005-0000-0000-0000340D0000}"/>
    <cellStyle name="Total 3 2 2 2" xfId="2155" xr:uid="{00000000-0005-0000-0000-0000350D0000}"/>
    <cellStyle name="Total 3 2 2 3" xfId="2767" xr:uid="{00000000-0005-0000-0000-0000360D0000}"/>
    <cellStyle name="Total 3 2 2 4" xfId="3309" xr:uid="{00000000-0005-0000-0000-0000370D0000}"/>
    <cellStyle name="Total 3 2 3" xfId="1533" xr:uid="{00000000-0005-0000-0000-0000380D0000}"/>
    <cellStyle name="Total 3 2 3 2" xfId="2216" xr:uid="{00000000-0005-0000-0000-0000390D0000}"/>
    <cellStyle name="Total 3 2 3 3" xfId="2824" xr:uid="{00000000-0005-0000-0000-00003A0D0000}"/>
    <cellStyle name="Total 3 2 3 4" xfId="3365" xr:uid="{00000000-0005-0000-0000-00003B0D0000}"/>
    <cellStyle name="Total 3 2 4" xfId="1593" xr:uid="{00000000-0005-0000-0000-00003C0D0000}"/>
    <cellStyle name="Total 3 2 4 2" xfId="2257" xr:uid="{00000000-0005-0000-0000-00003D0D0000}"/>
    <cellStyle name="Total 3 2 4 3" xfId="2862" xr:uid="{00000000-0005-0000-0000-00003E0D0000}"/>
    <cellStyle name="Total 3 2 4 4" xfId="3401" xr:uid="{00000000-0005-0000-0000-00003F0D0000}"/>
    <cellStyle name="Total 3 2 5" xfId="1655" xr:uid="{00000000-0005-0000-0000-0000400D0000}"/>
    <cellStyle name="Total 3 2 5 2" xfId="2293" xr:uid="{00000000-0005-0000-0000-0000410D0000}"/>
    <cellStyle name="Total 3 2 5 3" xfId="2896" xr:uid="{00000000-0005-0000-0000-0000420D0000}"/>
    <cellStyle name="Total 3 2 5 4" xfId="3433" xr:uid="{00000000-0005-0000-0000-0000430D0000}"/>
    <cellStyle name="Total 3 2 6" xfId="1871" xr:uid="{00000000-0005-0000-0000-0000440D0000}"/>
    <cellStyle name="Total 3 2 6 2" xfId="2497" xr:uid="{00000000-0005-0000-0000-0000450D0000}"/>
    <cellStyle name="Total 3 2 6 3" xfId="3050" xr:uid="{00000000-0005-0000-0000-0000460D0000}"/>
    <cellStyle name="Total 3 2 7" xfId="2330" xr:uid="{00000000-0005-0000-0000-0000470D0000}"/>
    <cellStyle name="Total 3 2 7 2" xfId="2932" xr:uid="{00000000-0005-0000-0000-0000480D0000}"/>
    <cellStyle name="Total 3 2 7 3" xfId="3469" xr:uid="{00000000-0005-0000-0000-0000490D0000}"/>
    <cellStyle name="Total 3 2 8" xfId="1705" xr:uid="{00000000-0005-0000-0000-00004A0D0000}"/>
    <cellStyle name="Total 3 2 9" xfId="2356" xr:uid="{00000000-0005-0000-0000-00004B0D0000}"/>
    <cellStyle name="Total 3 3" xfId="1298" xr:uid="{00000000-0005-0000-0000-00004C0D0000}"/>
    <cellStyle name="Total 3 3 2" xfId="2042" xr:uid="{00000000-0005-0000-0000-00004D0D0000}"/>
    <cellStyle name="Total 3 3 3" xfId="2657" xr:uid="{00000000-0005-0000-0000-00004E0D0000}"/>
    <cellStyle name="Total 3 3 4" xfId="3202" xr:uid="{00000000-0005-0000-0000-00004F0D0000}"/>
    <cellStyle name="Total 3 4" xfId="1318" xr:uid="{00000000-0005-0000-0000-0000500D0000}"/>
    <cellStyle name="Total 3 4 2" xfId="2054" xr:uid="{00000000-0005-0000-0000-0000510D0000}"/>
    <cellStyle name="Total 3 4 3" xfId="2670" xr:uid="{00000000-0005-0000-0000-0000520D0000}"/>
    <cellStyle name="Total 3 4 4" xfId="3214" xr:uid="{00000000-0005-0000-0000-0000530D0000}"/>
    <cellStyle name="Total 3 5" xfId="1004" xr:uid="{00000000-0005-0000-0000-0000540D0000}"/>
    <cellStyle name="Total 3 5 2" xfId="1885" xr:uid="{00000000-0005-0000-0000-0000550D0000}"/>
    <cellStyle name="Total 3 5 3" xfId="2509" xr:uid="{00000000-0005-0000-0000-0000560D0000}"/>
    <cellStyle name="Total 3 5 4" xfId="3062" xr:uid="{00000000-0005-0000-0000-0000570D0000}"/>
    <cellStyle name="Total 3 6" xfId="1133" xr:uid="{00000000-0005-0000-0000-0000580D0000}"/>
    <cellStyle name="Total 3 6 2" xfId="1958" xr:uid="{00000000-0005-0000-0000-0000590D0000}"/>
    <cellStyle name="Total 3 6 3" xfId="2577" xr:uid="{00000000-0005-0000-0000-00005A0D0000}"/>
    <cellStyle name="Total 3 6 4" xfId="3123" xr:uid="{00000000-0005-0000-0000-00005B0D0000}"/>
    <cellStyle name="Total 3 7" xfId="1789" xr:uid="{00000000-0005-0000-0000-00005C0D0000}"/>
    <cellStyle name="Total 3 7 2" xfId="2429" xr:uid="{00000000-0005-0000-0000-00005D0D0000}"/>
    <cellStyle name="Total 3 7 3" xfId="2985" xr:uid="{00000000-0005-0000-0000-00005E0D0000}"/>
    <cellStyle name="Total 3 8" xfId="1464" xr:uid="{00000000-0005-0000-0000-00005F0D0000}"/>
    <cellStyle name="Total 3 9" xfId="1068" xr:uid="{00000000-0005-0000-0000-0000600D0000}"/>
    <cellStyle name="Total-1" xfId="670" xr:uid="{00000000-0005-0000-0000-0000610D0000}"/>
    <cellStyle name="Total-2" xfId="671" xr:uid="{00000000-0005-0000-0000-0000620D0000}"/>
    <cellStyle name="ubordinated Debt" xfId="672" xr:uid="{00000000-0005-0000-0000-0000630D0000}"/>
    <cellStyle name="User Entered" xfId="673" xr:uid="{00000000-0005-0000-0000-0000640D0000}"/>
    <cellStyle name="Valuta (0)_1320 NX" xfId="674" xr:uid="{00000000-0005-0000-0000-0000650D0000}"/>
    <cellStyle name="Valuta_1320 NX" xfId="675" xr:uid="{00000000-0005-0000-0000-0000660D0000}"/>
    <cellStyle name="Virgule fixe" xfId="676" xr:uid="{00000000-0005-0000-0000-0000670D0000}"/>
    <cellStyle name="Währung [0]_2CEMENT" xfId="677" xr:uid="{00000000-0005-0000-0000-0000680D0000}"/>
    <cellStyle name="Währung[0]" xfId="678" xr:uid="{00000000-0005-0000-0000-0000690D0000}"/>
    <cellStyle name="Währung_2CEMENT" xfId="679" xr:uid="{00000000-0005-0000-0000-00006A0D0000}"/>
    <cellStyle name="Warning Text 2" xfId="680" xr:uid="{00000000-0005-0000-0000-00006B0D0000}"/>
    <cellStyle name="White" xfId="681" xr:uid="{00000000-0005-0000-0000-00006C0D0000}"/>
    <cellStyle name="WrappedBold" xfId="682" xr:uid="{00000000-0005-0000-0000-00006D0D0000}"/>
    <cellStyle name="Year" xfId="683" xr:uid="{00000000-0005-0000-0000-00006E0D0000}"/>
    <cellStyle name="Year-Dim" xfId="684" xr:uid="{00000000-0005-0000-0000-00006F0D0000}"/>
    <cellStyle name="Zeilenebene_2_CEMENT" xfId="685" xr:uid="{00000000-0005-0000-0000-0000700D0000}"/>
  </cellStyles>
  <dxfs count="2">
    <dxf>
      <numFmt numFmtId="241" formatCode="#,##0_ ;[Red]\-#,##0\ "/>
    </dxf>
    <dxf>
      <numFmt numFmtId="241" formatCode="#,##0_ ;[Red]\-#,##0\ "/>
    </dxf>
  </dxfs>
  <tableStyles count="0" defaultTableStyle="TableStyleMedium2" defaultPivotStyle="PivotStyleLight16"/>
  <colors>
    <mruColors>
      <color rgb="FFFF99FF"/>
      <color rgb="FFFFFF99"/>
      <color rgb="FFCC3300"/>
      <color rgb="FFFF0066"/>
      <color rgb="FFFF0000"/>
      <color rgb="FFFFCC99"/>
      <color rgb="FFFF9933"/>
      <color rgb="FFEAEAEA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file:///H:\Modelos%20Cartas%20y%20Formatos%20Trabajo\DOCUME~1\mherrera\CONFIG~1\Temp\Documents%20and%20Settings\lgomezp\Configuraci&#243;n%20local\Archivos%20temporales%20de%20Internet\OLK69\rioclaro%202005\HOJAS%20DE%20ANALISIS\INV%20%20PERMANENTES%202005%20MP%20S.%20ARGOS.xls?132639F5" TargetMode="External"/><Relationship Id="rId1" Type="http://schemas.openxmlformats.org/officeDocument/2006/relationships/externalLinkPath" Target="file:///\\132639F5\INV%20%20PERMANENTES%202005%20MP%20S.%20ARG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delos%20Cartas%20y%20Formatos%20Trabajo\DOCUME~1\mherrera\CONFIG~1\Temp\data\Documents%20and%20Settings\Jairo_Olarte\Escritorio\VALORACION%20ACCION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00.1.95.138\dat\Documents%20and%20Settings\Jairo_Olarte\Mis%20documentos\Macro%20de%20acciones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sval05\Valoraci&#243;nd%20de%20Acciones\Dehldon\Copia%20de%20Macro%20de%20acciones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dro.local\BRP\WINDOWS\TEMP\APPORT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delos%20Cartas%20y%20Formatos%20Trabajo\DOCUME~1\mherrera\CONFIG~1\Temp\Documents%20and%20Settings\CERM\Mis%20documentos\Libro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net.isagen.com.co/Otra%20Informaci&#243;n/DECLARACION%20DE%20RENTA/A&#209;O%202017/PROVISION%20RENTA/REPORTES%20BREP/MARZO/CMB%20ISAGEN%20Mar%2017%20lady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net.isagen.com.co/Otra%20Informaci&#243;n/BREP%20SAS/2017/09.%20Septiembre/CMB%20BCHSAS%20PROV%20Q3%202017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odelos%20Cartas%20y%20Formatos%20Trabajo\DOCUME~1\mherrera\CONFIG~1\Temp\DATA\BOLETINES%20DIARIOS\prueba\DEFINITIV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sval05\Valoraci&#243;nd%20de%20Acciones\Documents%20and%20Settings\Jairo_Olarte\Configuraci&#243;n%20local\Archivos%20temporales%20de%20Internet\OLK167\definitiv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m924\prueb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ERSIONES2005 (3)"/>
      <sheetName val="OTRAS INVERSIONES"/>
      <sheetName val="INVERSIONES2005 (2)"/>
      <sheetName val="ANEXO141"/>
      <sheetName val="INVERSIONES2005"/>
      <sheetName val="PROMPROY"/>
      <sheetName val="METROCON"/>
      <sheetName val="M.P.MCONCRETO"/>
      <sheetName val="CEMAS"/>
      <sheetName val="CECALDAS"/>
      <sheetName val="LOGITRANS"/>
      <sheetName val="M.P. LOGITRANS (2)"/>
      <sheetName val="CPR"/>
      <sheetName val="M.P. CEPAZRIO"/>
      <sheetName val="SURAMERICANA"/>
      <sheetName val="TLC"/>
      <sheetName val="M.P.TLC"/>
      <sheetName val="POINT"/>
      <sheetName val="M.P.POINT (2)"/>
      <sheetName val="MERILE.&amp; CIA SCA"/>
      <sheetName val="M.P.MERIL.&amp; CIA. S.C.A."/>
      <sheetName val="MERILECTRICA S.A."/>
      <sheetName val="M.P.MERILECTRICA S.A."/>
      <sheetName val="CAMPESTRE"/>
      <sheetName val="COUNTRY"/>
      <sheetName val="NORTH ROW"/>
      <sheetName val="AxIs"/>
      <sheetName val="met.particip."/>
      <sheetName val="M.P.tlc-cene"/>
      <sheetName val="met.particip. (2)"/>
      <sheetName val="M.P. METRO"/>
      <sheetName val="M.P. LOGITRANS"/>
      <sheetName val="M.P. CPR"/>
      <sheetName val="M.P.cemas"/>
      <sheetName val="M.P.CPR2"/>
      <sheetName val="M.P.tlc (jo)"/>
      <sheetName val="M.P.Point"/>
      <sheetName val="M.P.MER.Y CIA."/>
      <sheetName val="M.P. MERI S.A."/>
      <sheetName val="NOTA-9."/>
      <sheetName val="valorizaciones"/>
      <sheetName val="IVA"/>
      <sheetName val="Listas"/>
    </sheetNames>
    <sheetDataSet>
      <sheetData sheetId="0" refreshError="1"/>
      <sheetData sheetId="1" refreshError="1"/>
      <sheetData sheetId="2" refreshError="1"/>
      <sheetData sheetId="3">
        <row r="1">
          <cell r="P1" t="str">
            <v xml:space="preserve">          RAZON SOCIAL:</v>
          </cell>
          <cell r="AS1" t="str">
            <v xml:space="preserve">     RAZON SOCIAL:</v>
          </cell>
        </row>
        <row r="2">
          <cell r="P2" t="str">
            <v>NIT:</v>
          </cell>
          <cell r="T2" t="str">
            <v xml:space="preserve"> </v>
          </cell>
          <cell r="AS2" t="str">
            <v xml:space="preserve">     NIT:</v>
          </cell>
        </row>
        <row r="3">
          <cell r="AL3">
            <v>38825.675169444447</v>
          </cell>
        </row>
        <row r="4">
          <cell r="AL4">
            <v>38825.675169444447</v>
          </cell>
          <cell r="BK4">
            <v>38825.675169444447</v>
          </cell>
        </row>
        <row r="5">
          <cell r="N5" t="str">
            <v xml:space="preserve"> DECLARACION DE RENTA - AÑO GRAVABLE </v>
          </cell>
          <cell r="V5">
            <v>2005</v>
          </cell>
          <cell r="AQ5" t="str">
            <v xml:space="preserve">DECLARACION DE RENTA - AÑO GRAVABLE </v>
          </cell>
          <cell r="AW5">
            <v>2005</v>
          </cell>
          <cell r="BK5">
            <v>38825.675169444447</v>
          </cell>
        </row>
        <row r="6">
          <cell r="N6" t="str">
            <v xml:space="preserve">  ADMINISTRACION  DE  IMPUESTOS  DE  </v>
          </cell>
          <cell r="AL6" t="str">
            <v>ANEXO 1-4-1</v>
          </cell>
          <cell r="AQ6" t="str">
            <v xml:space="preserve"> ADMINISTRACION  DE  IMPUESTOS  DE  </v>
          </cell>
        </row>
        <row r="7">
          <cell r="BK7" t="str">
            <v>ANEXO 1-4-1</v>
          </cell>
        </row>
        <row r="8">
          <cell r="N8" t="str">
            <v>CEMENTOS RIOCLARO</v>
          </cell>
          <cell r="AL8" t="str">
            <v>Hoja 1</v>
          </cell>
          <cell r="AM8" t="str">
            <v>VALOR PATRIMONIAL DE ACCIONES EN SOCIEDADES ANONIMAS Y APORTES EN LIMITADAS Y ASIMILADAS</v>
          </cell>
        </row>
        <row r="9">
          <cell r="A9" t="str">
            <v>VALOR PATRIMONIAL DE ACCIONES EN SOCIEDADES ANONIMAS Y APORTES EN LIMITADAS Y ASIMILADAS</v>
          </cell>
        </row>
        <row r="17">
          <cell r="C17" t="str">
            <v xml:space="preserve"> NOMBRE / SOCIEDAD</v>
          </cell>
        </row>
        <row r="19">
          <cell r="A19" t="str">
            <v>I</v>
          </cell>
          <cell r="B19" t="str">
            <v>ACCIONES EN SOCIEDADES ANONIMAS</v>
          </cell>
        </row>
        <row r="21">
          <cell r="B21" t="str">
            <v>PROMOTORA DE PROYECTOS</v>
          </cell>
        </row>
        <row r="23">
          <cell r="B23" t="str">
            <v>METRO CONCRETO S.A.</v>
          </cell>
          <cell r="D23" t="str">
            <v xml:space="preserve"> </v>
          </cell>
        </row>
        <row r="25">
          <cell r="B25" t="str">
            <v>SOCIEDAD PORTUARIA DE CEMENTERAS ASOCIADAS</v>
          </cell>
          <cell r="D25" t="str">
            <v xml:space="preserve"> </v>
          </cell>
        </row>
        <row r="27">
          <cell r="B27" t="str">
            <v>CEMENTOS DE CALDAS S.A.</v>
          </cell>
        </row>
        <row r="29">
          <cell r="B29" t="str">
            <v>CEMENTOS PAZ DEL RIO S.A.</v>
          </cell>
          <cell r="D29" t="str">
            <v xml:space="preserve"> </v>
          </cell>
        </row>
        <row r="31">
          <cell r="B31" t="str">
            <v>METRO CONCRETO S.A.</v>
          </cell>
          <cell r="D31" t="str">
            <v xml:space="preserve"> </v>
          </cell>
        </row>
        <row r="33">
          <cell r="B33" t="str">
            <v>MERIELECTRICA S.A.</v>
          </cell>
          <cell r="D33" t="str">
            <v xml:space="preserve"> </v>
          </cell>
        </row>
        <row r="35">
          <cell r="B35" t="str">
            <v>LOGISTICA DE TRANSPORTES S.A.</v>
          </cell>
          <cell r="D35" t="str">
            <v xml:space="preserve"> </v>
          </cell>
        </row>
        <row r="37">
          <cell r="B37" t="str">
            <v>SURAMERICANA DE INVERSIONES S.A.</v>
          </cell>
        </row>
        <row r="39">
          <cell r="B39" t="str">
            <v>TLC INTERNATIONAL LDC</v>
          </cell>
        </row>
        <row r="41">
          <cell r="B41" t="str">
            <v>POINT CORP.</v>
          </cell>
          <cell r="D41" t="str">
            <v xml:space="preserve"> </v>
          </cell>
        </row>
        <row r="50">
          <cell r="D50" t="str">
            <v>Subtotal Acciones</v>
          </cell>
        </row>
        <row r="52">
          <cell r="A52" t="str">
            <v>II</v>
          </cell>
          <cell r="B52" t="str">
            <v>APORTES EN SOCIEDADES LIMITADAS</v>
          </cell>
        </row>
        <row r="54">
          <cell r="B54" t="str">
            <v>NORTH ROW LIMITED</v>
          </cell>
        </row>
        <row r="56">
          <cell r="D56" t="str">
            <v xml:space="preserve"> </v>
          </cell>
          <cell r="E56" t="str">
            <v xml:space="preserve"> </v>
          </cell>
        </row>
        <row r="58">
          <cell r="D58" t="str">
            <v xml:space="preserve"> </v>
          </cell>
          <cell r="E58" t="str">
            <v xml:space="preserve"> </v>
          </cell>
        </row>
        <row r="60">
          <cell r="D60" t="str">
            <v>Subtotal Aportes</v>
          </cell>
        </row>
        <row r="62">
          <cell r="A62" t="str">
            <v>III</v>
          </cell>
          <cell r="B62" t="str">
            <v>INVERSIONES EN EL EXTERIOR</v>
          </cell>
        </row>
        <row r="64">
          <cell r="D64" t="str">
            <v xml:space="preserve"> </v>
          </cell>
        </row>
        <row r="66">
          <cell r="B66" t="str">
            <v>Subtotal Inversiones en el Exterior</v>
          </cell>
        </row>
        <row r="68">
          <cell r="B68" t="str">
            <v>Total Acciones, Aportes e Inversiones en el Exterior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TEMPORAL"/>
      <sheetName val="Periodo exdividendo"/>
      <sheetName val="DATOS"/>
      <sheetName val="VALORACIO"/>
      <sheetName val="TEMPORAL INFORME"/>
      <sheetName val="VALORACION"/>
      <sheetName val="INFOVALORACION"/>
      <sheetName val="INFOVABIN"/>
      <sheetName val="VERIFICADORES"/>
      <sheetName val="DATE"/>
      <sheetName val="INFOMEC"/>
      <sheetName val="pa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ada"/>
      <sheetName val="Periodo exdividendo"/>
      <sheetName val="DATOS"/>
      <sheetName val="VALORACIO"/>
      <sheetName val="Para prueb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ada"/>
      <sheetName val="Periodo exdividendo"/>
      <sheetName val="DATOS"/>
      <sheetName val="VALORACIO"/>
      <sheetName val="Para prueba"/>
    </sheetNames>
    <sheetDataSet>
      <sheetData sheetId="0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 février"/>
      <sheetName val="Plan janv"/>
      <sheetName val="Plan déc"/>
      <sheetName val="Plan oct"/>
      <sheetName val="Plan sept"/>
      <sheetName val="Plan août"/>
      <sheetName val="conciliation"/>
      <sheetName val="1997-98"/>
      <sheetName val="apports"/>
      <sheetName val="Prévisions"/>
      <sheetName val="Graphiques"/>
      <sheetName val="volume moyen"/>
      <sheetName val="printemps"/>
      <sheetName val="Sheet1"/>
      <sheetName val="BUSSPLANFLCX_2002"/>
      <sheetName val="resumo"/>
      <sheetName val="Inputs"/>
      <sheetName val="GL"/>
      <sheetName val="Commitments - Old do not use"/>
      <sheetName val="DESP_ADM"/>
      <sheetName val="Data"/>
      <sheetName val="revenue"/>
      <sheetName val="Changes in shareholders"/>
      <sheetName val="Paramètres"/>
      <sheetName val="smartlist"/>
      <sheetName val="Annual Input"/>
      <sheetName val="Title"/>
      <sheetName val="Management Fees - 100%"/>
      <sheetName val="Supplemental Information"/>
      <sheetName val="Forward Prices"/>
      <sheetName val="DEMAND"/>
      <sheetName val="Shs"/>
      <sheetName val="Plan_février"/>
      <sheetName val="Plan_janv"/>
      <sheetName val="Plan_déc"/>
      <sheetName val="Plan_oct"/>
      <sheetName val="Plan_sept"/>
      <sheetName val="Plan_août"/>
      <sheetName val="volume_moyen"/>
      <sheetName val="details"/>
      <sheetName val="Assumptions"/>
      <sheetName val="Debt"/>
      <sheetName val="FS"/>
      <sheetName val="Capex"/>
      <sheetName val="Opex"/>
      <sheetName val="Capital Costs"/>
      <sheetName val="IDC"/>
      <sheetName val="Construction"/>
      <sheetName val="Project CF"/>
      <sheetName val="Cash Flow"/>
      <sheetName val="O&amp;M Total"/>
      <sheetName val="SOLDERS"/>
      <sheetName val="Derivative Schedule YTD"/>
      <sheetName val="USINAS"/>
      <sheetName val="MOTIVOS PADRÕES"/>
      <sheetName val="Listas"/>
      <sheetName val="Maine BPC"/>
      <sheetName val="Brassua BPC"/>
      <sheetName val="Kennebec BPC"/>
      <sheetName val="New Hampshire BPC"/>
      <sheetName val="Pontook BPC"/>
      <sheetName val="Errol BPC"/>
      <sheetName val="Louisiana BPC"/>
      <sheetName val="Piney BPC"/>
      <sheetName val="Deep Creek BPC"/>
      <sheetName val="Hawks Nest BPC"/>
      <sheetName val="FORD BPC"/>
      <sheetName val="West Delaware BPC"/>
      <sheetName val="GLENN BPC"/>
      <sheetName val="Potsdam BPC"/>
      <sheetName val="Hudson BPC"/>
      <sheetName val="St-Lawrence BPC"/>
      <sheetName val="Lake Ontario BPC"/>
      <sheetName val="Carr Street BPC"/>
      <sheetName val="Plan_février1"/>
      <sheetName val="Plan_janv1"/>
      <sheetName val="Plan_déc1"/>
      <sheetName val="Plan_oct1"/>
      <sheetName val="Plan_sept1"/>
      <sheetName val="Plan_août1"/>
      <sheetName val="volume_moyen1"/>
      <sheetName val="Commitments_-_Old_do_not_use"/>
      <sheetName val="Changes_in_shareholders"/>
      <sheetName val="Annual_Input"/>
      <sheetName val="Management_Fees_-_100%"/>
      <sheetName val="Supplemental_Information"/>
      <sheetName val="Forward_Prices"/>
      <sheetName val="Capital_Costs"/>
      <sheetName val="Project_CF"/>
      <sheetName val="Cash_Flow"/>
      <sheetName val="O&amp;M_Total"/>
      <sheetName val="Derivative_Schedule_YTD"/>
      <sheetName val="MOTIVOS_PADRÕES"/>
      <sheetName val="Maine_BPC"/>
      <sheetName val="Brassua_BPC"/>
      <sheetName val="Kennebec_BPC"/>
      <sheetName val="New_Hampshire_BPC"/>
      <sheetName val="Pontook_BPC"/>
      <sheetName val="Errol_BPC"/>
      <sheetName val="Louisiana_BPC"/>
      <sheetName val="Piney_BPC"/>
      <sheetName val="Deep_Creek_BPC"/>
      <sheetName val="Hawks_Nest_BPC"/>
      <sheetName val="FORD_BPC"/>
      <sheetName val="West_Delaware_BPC"/>
      <sheetName val="GLENN_BPC"/>
      <sheetName val="Potsdam_BPC"/>
      <sheetName val="Hudson_BPC"/>
      <sheetName val="St-Lawrence_BPC"/>
      <sheetName val="Lake_Ontario_BPC"/>
      <sheetName val="Carr_Street_BPC"/>
      <sheetName val="Plan_février2"/>
      <sheetName val="Plan_janv2"/>
      <sheetName val="Plan_déc2"/>
      <sheetName val="Plan_oct2"/>
      <sheetName val="Plan_sept2"/>
      <sheetName val="Plan_août2"/>
      <sheetName val="volume_moyen2"/>
      <sheetName val="Commitments_-_Old_do_not_use1"/>
      <sheetName val="Maine_BPC1"/>
      <sheetName val="Brassua_BPC1"/>
      <sheetName val="Kennebec_BPC1"/>
      <sheetName val="New_Hampshire_BPC1"/>
      <sheetName val="Pontook_BPC1"/>
      <sheetName val="Errol_BPC1"/>
      <sheetName val="Louisiana_BPC1"/>
      <sheetName val="Piney_BPC1"/>
      <sheetName val="Deep_Creek_BPC1"/>
      <sheetName val="Hawks_Nest_BPC1"/>
      <sheetName val="FORD_BPC1"/>
      <sheetName val="West_Delaware_BPC1"/>
      <sheetName val="GLENN_BPC1"/>
      <sheetName val="Potsdam_BPC1"/>
      <sheetName val="Hudson_BPC1"/>
      <sheetName val="St-Lawrence_BPC1"/>
      <sheetName val="Lake_Ontario_BPC1"/>
      <sheetName val="Carr_Street_BPC1"/>
      <sheetName val="Capital_Costs1"/>
      <sheetName val="Project_CF1"/>
      <sheetName val="Cash_Flow1"/>
      <sheetName val="Changes_in_shareholders1"/>
      <sheetName val="Annual_Input1"/>
      <sheetName val="Management_Fees_-_100%1"/>
      <sheetName val="Supplemental_Information1"/>
      <sheetName val="Forward_Prices1"/>
      <sheetName val="Input"/>
      <sheetName val="Final Sheet (Rounded)"/>
      <sheetName val="Quarterly Report"/>
      <sheetName val="Top-level JEs"/>
      <sheetName val="Controller GetVAL"/>
      <sheetName val="Controller GetVAL BRASD"/>
      <sheetName val="Controller GetVAL ARCO"/>
      <sheetName val="LTA per closing model"/>
      <sheetName val="Capacity"/>
      <sheetName val="2019 CAPEX"/>
      <sheetName val="Future years CAPEX"/>
      <sheetName val="Input Mapping"/>
      <sheetName val="Mapping"/>
      <sheetName val="O&amp;M_Total1"/>
      <sheetName val="MOTIVOS_PADRÕES1"/>
      <sheetName val="Base"/>
      <sheetName val="Classifica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D1" t="str">
            <v>{FOR aa1,7,9,1,sub1}</v>
          </cell>
        </row>
        <row r="151">
          <cell r="H151">
            <v>131.57</v>
          </cell>
          <cell r="I151">
            <v>201.82060975609707</v>
          </cell>
        </row>
        <row r="152">
          <cell r="H152">
            <v>125.36</v>
          </cell>
          <cell r="I152">
            <v>129.61390243902403</v>
          </cell>
        </row>
        <row r="153">
          <cell r="H153">
            <v>86.63</v>
          </cell>
          <cell r="I153">
            <v>96.163536585365918</v>
          </cell>
        </row>
        <row r="154">
          <cell r="H154">
            <v>208.95</v>
          </cell>
          <cell r="I154">
            <v>96.111341463414618</v>
          </cell>
        </row>
        <row r="155">
          <cell r="H155">
            <v>163.54</v>
          </cell>
          <cell r="I155">
            <v>124.08626506024099</v>
          </cell>
        </row>
        <row r="156">
          <cell r="H156">
            <v>214.04</v>
          </cell>
          <cell r="I156">
            <v>151.61819277108435</v>
          </cell>
        </row>
        <row r="157">
          <cell r="H157">
            <v>109.81</v>
          </cell>
          <cell r="I157">
            <v>201.82060975609707</v>
          </cell>
        </row>
        <row r="158">
          <cell r="H158">
            <v>86.7</v>
          </cell>
          <cell r="I158">
            <v>129.61390243902403</v>
          </cell>
        </row>
        <row r="159">
          <cell r="H159">
            <v>59.83</v>
          </cell>
          <cell r="I159">
            <v>96.163536585365918</v>
          </cell>
        </row>
        <row r="160">
          <cell r="H160">
            <v>46.17</v>
          </cell>
          <cell r="I160">
            <v>96.111341463414618</v>
          </cell>
        </row>
        <row r="161">
          <cell r="H161">
            <v>442.67</v>
          </cell>
          <cell r="I161">
            <v>124.08626506024099</v>
          </cell>
        </row>
        <row r="162">
          <cell r="H162">
            <v>265.43</v>
          </cell>
          <cell r="I162">
            <v>151.61819277108435</v>
          </cell>
        </row>
        <row r="163">
          <cell r="H163">
            <v>185.28</v>
          </cell>
        </row>
        <row r="164">
          <cell r="H164">
            <v>92.83</v>
          </cell>
        </row>
        <row r="165">
          <cell r="H165">
            <v>81.680000000000007</v>
          </cell>
        </row>
        <row r="166">
          <cell r="H166">
            <v>88.07</v>
          </cell>
        </row>
        <row r="167">
          <cell r="H167">
            <v>220.48</v>
          </cell>
        </row>
        <row r="168">
          <cell r="H168">
            <v>265.43</v>
          </cell>
        </row>
        <row r="169">
          <cell r="H169">
            <v>185.28</v>
          </cell>
        </row>
        <row r="170">
          <cell r="H170">
            <v>92.83</v>
          </cell>
        </row>
        <row r="171">
          <cell r="H171">
            <v>81.680000000000007</v>
          </cell>
        </row>
        <row r="172">
          <cell r="H172">
            <v>88.07</v>
          </cell>
        </row>
        <row r="173">
          <cell r="H173">
            <v>220.48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#REF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ew Checklist"/>
      <sheetName val="Checklist"/>
      <sheetName val="Change log"/>
      <sheetName val="Cognos"/>
      <sheetName val="completeness.IFRS"/>
      <sheetName val="completeness.BAMR"/>
      <sheetName val="Pivot"/>
      <sheetName val="ISAGEN-REPO"/>
    </sheetNames>
    <sheetDataSet>
      <sheetData sheetId="0"/>
      <sheetData sheetId="1">
        <row r="3">
          <cell r="A3" t="str">
            <v>Q1 2017</v>
          </cell>
        </row>
      </sheetData>
      <sheetData sheetId="2"/>
      <sheetData sheetId="3">
        <row r="1">
          <cell r="D1">
            <v>3000.7139999999999</v>
          </cell>
        </row>
        <row r="2">
          <cell r="D2">
            <v>2942.28</v>
          </cell>
        </row>
        <row r="3">
          <cell r="D3">
            <v>2880.24</v>
          </cell>
        </row>
      </sheetData>
      <sheetData sheetId="4"/>
      <sheetData sheetId="5"/>
      <sheetData sheetId="6">
        <row r="5">
          <cell r="A5" t="str">
            <v>Row Labels</v>
          </cell>
        </row>
      </sheetData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ew Checklist"/>
      <sheetName val="Checklist"/>
      <sheetName val="Change log"/>
      <sheetName val="BCHSAS-IFRS"/>
      <sheetName val="Cognos"/>
      <sheetName val="completeness.IFRS"/>
      <sheetName val="completeness.BAMR"/>
      <sheetName val="Pivot"/>
      <sheetName val="Deffered tax"/>
      <sheetName val="Tax equity"/>
      <sheetName val="Income tax prov"/>
      <sheetName val="CréditoMercantil"/>
    </sheetNames>
    <sheetDataSet>
      <sheetData sheetId="0"/>
      <sheetData sheetId="1">
        <row r="3">
          <cell r="A3" t="str">
            <v>Q3 2017</v>
          </cell>
        </row>
        <row r="5">
          <cell r="A5">
            <v>1709</v>
          </cell>
        </row>
      </sheetData>
      <sheetData sheetId="2"/>
      <sheetData sheetId="3"/>
      <sheetData sheetId="4">
        <row r="1">
          <cell r="D1">
            <v>3000.7139999999999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VALORACION"/>
      <sheetName val="TEMPORAL"/>
      <sheetName val="TEMPORAL INFORME"/>
      <sheetName val="INFOVALORACION"/>
      <sheetName val="VERIFICADORES"/>
      <sheetName val="INFOVABIN"/>
      <sheetName val="DATE"/>
      <sheetName val="INFOMEC"/>
      <sheetName val="CONTROL"/>
      <sheetName val="revisión"/>
      <sheetName val="VALORACI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ón"/>
      <sheetName val="DATOS"/>
      <sheetName val="VALORACIO"/>
      <sheetName val="TEMPORAL"/>
      <sheetName val="TEMPORAL INFORME"/>
      <sheetName val="INFOVALORACION"/>
      <sheetName val="INFOVABIN"/>
      <sheetName val="VERIFICADORES"/>
      <sheetName val="DATE"/>
      <sheetName val="CONTROL"/>
      <sheetName val="INFOMEC"/>
      <sheetName val="VALORACIO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VISIONAL"/>
      <sheetName val="FORMATO"/>
      <sheetName val="Módulo2"/>
      <sheetName val="Módulo1"/>
      <sheetName val="CxC y CxP Vinculados"/>
      <sheetName val="DATE"/>
    </sheetNames>
    <sheetDataSet>
      <sheetData sheetId="0">
        <row r="1">
          <cell r="A1" t="str">
            <v>INDICE BOLSA DE BOGOTA</v>
          </cell>
        </row>
        <row r="2">
          <cell r="A2" t="str">
            <v>GENERAL- SECTORIAL</v>
          </cell>
        </row>
        <row r="4">
          <cell r="A4" t="str">
            <v>FECHA</v>
          </cell>
          <cell r="B4" t="str">
            <v>IBB GENERAL</v>
          </cell>
          <cell r="C4" t="str">
            <v>IBB FINANC.</v>
          </cell>
          <cell r="D4" t="str">
            <v>IBB.INDUST.</v>
          </cell>
          <cell r="E4" t="str">
            <v>IBB SERVIC.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NDRES MAURICIO PATIÑO ARANGO" id="{35C088AE-5AC8-45C0-B611-76C9EE10E088}" userId="S::ampatino@ISAGEN.COM.CO::9f35374d-4ac4-4715-937e-be39fd847c6b" providerId="AD"/>
  <person displayName="ANDRES MAURICIO PATIÑO ARANGO" id="{ED3EB066-9E2B-4FB9-8205-2AA583181518}" userId="S::ampatino@isagen.com.co::9f35374d-4ac4-4715-937e-be39fd847c6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MAURICIO PATIÑO ARANGO" refreshedDate="45048.951843402778" createdVersion="8" refreshedVersion="8" minRefreshableVersion="3" recordCount="1223" xr:uid="{AB53AC48-4C66-4A37-94F3-357EA9E15DE7}">
  <cacheSource type="worksheet">
    <worksheetSource ref="C5:V1228" sheet="CtaPte_Divisas"/>
  </cacheSource>
  <cacheFields count="20">
    <cacheField name=" Año" numFmtId="0">
      <sharedItems containsString="0" containsBlank="1" containsNumber="1" containsInteger="1" minValue="2022" maxValue="2023" count="3">
        <n v="2022"/>
        <m/>
        <n v="2023"/>
      </sharedItems>
    </cacheField>
    <cacheField name="Ejerc./mes" numFmtId="0">
      <sharedItems containsBlank="1" count="17">
        <s v="2022/01"/>
        <s v="2022/02"/>
        <s v="2022/03"/>
        <m/>
        <s v="2022/04"/>
        <s v="2022/05"/>
        <s v="2022/06"/>
        <s v="2022/07"/>
        <s v="2022/08"/>
        <s v="2022/09"/>
        <s v="2022/10"/>
        <s v="2022/11"/>
        <s v="2022/12"/>
        <s v="2023/01"/>
        <s v="2023/02"/>
        <s v="2023/03"/>
        <s v="2023/04"/>
      </sharedItems>
    </cacheField>
    <cacheField name="St" numFmtId="0">
      <sharedItems containsNonDate="0" containsString="0" containsBlank="1"/>
    </cacheField>
    <cacheField name="Lib.mayor" numFmtId="0">
      <sharedItems containsString="0" containsBlank="1" containsNumber="1" containsInteger="1" minValue="1202049905" maxValue="2422999997" count="3">
        <n v="1202049905"/>
        <n v="2422999997"/>
        <m/>
      </sharedItems>
    </cacheField>
    <cacheField name="Cla" numFmtId="0">
      <sharedItems containsBlank="1"/>
    </cacheField>
    <cacheField name="Fe.contab." numFmtId="0">
      <sharedItems containsBlank="1"/>
    </cacheField>
    <cacheField name="Texto" numFmtId="0">
      <sharedItems containsBlank="1"/>
    </cacheField>
    <cacheField name="Mon." numFmtId="0">
      <sharedItems containsBlank="1"/>
    </cacheField>
    <cacheField name="Nº doc." numFmtId="0">
      <sharedItems containsString="0" containsBlank="1" containsNumber="1" containsInteger="1" minValue="100000754" maxValue="7900016553"/>
    </cacheField>
    <cacheField name="Fecha doc." numFmtId="0">
      <sharedItems containsBlank="1"/>
    </cacheField>
    <cacheField name="       Importe en MD" numFmtId="0">
      <sharedItems containsString="0" containsBlank="1" containsNumber="1" minValue="-1638603688884" maxValue="593857500000"/>
    </cacheField>
    <cacheField name=" Tp.camb.ef." numFmtId="0">
      <sharedItems containsString="0" containsBlank="1" containsNumber="1" minValue="1" maxValue="5144.30872"/>
    </cacheField>
    <cacheField name="CT" numFmtId="0">
      <sharedItems containsString="0" containsBlank="1" containsNumber="1" containsInteger="1" minValue="40" maxValue="50"/>
    </cacheField>
    <cacheField name="       Importe en ML" numFmtId="3">
      <sharedItems containsString="0" containsBlank="1" containsNumber="1" containsInteger="1" minValue="-1638603688884" maxValue="1638603688884"/>
    </cacheField>
    <cacheField name="ML" numFmtId="0">
      <sharedItems containsBlank="1"/>
    </cacheField>
    <cacheField name="Fecha doc/" numFmtId="14">
      <sharedItems containsNonDate="0" containsDate="1" containsString="0" containsBlank="1" minDate="2022-01-03T00:00:00" maxDate="2023-04-29T00:00:00"/>
    </cacheField>
    <cacheField name="TRM Doc" numFmtId="43">
      <sharedItems containsString="0" containsBlank="1" containsNumber="1" minValue="1" maxValue="5144.3100000000004"/>
    </cacheField>
    <cacheField name="TRM Fecha Doc" numFmtId="43">
      <sharedItems containsString="0" containsBlank="1" containsNumber="1" minValue="0" maxValue="4958.42"/>
    </cacheField>
    <cacheField name="Diferencia en Cambio" numFmtId="43">
      <sharedItems containsString="0" containsBlank="1" containsNumber="1" minValue="-22788009987.396858" maxValue="22788009987.396858"/>
    </cacheField>
    <cacheField name="D/C" numFmtId="43">
      <sharedItems containsBlank="1" count="5">
        <s v=""/>
        <s v="1-INGRESO"/>
        <s v="2-GASTO"/>
        <s v="ANULAD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3">
  <r>
    <x v="0"/>
    <x v="0"/>
    <m/>
    <x v="0"/>
    <s v="ZI"/>
    <s v="03.01.2022"/>
    <s v="*FX2000- Venta divisas 0100000004258"/>
    <s v="COP"/>
    <n v="7900000696"/>
    <s v="03.01.2022"/>
    <n v="9255241522"/>
    <n v="1"/>
    <n v="40"/>
    <n v="9255241522"/>
    <s v="COP"/>
    <d v="2022-01-03T00:00:00"/>
    <n v="1"/>
    <n v="0"/>
    <n v="0"/>
    <x v="0"/>
  </r>
  <r>
    <x v="0"/>
    <x v="0"/>
    <m/>
    <x v="0"/>
    <s v="ZI"/>
    <s v="19.01.2022"/>
    <s v="*FX2000- Venta divisas 0100000004259"/>
    <s v="COP"/>
    <n v="7900000710"/>
    <s v="19.01.2022"/>
    <n v="3679038446"/>
    <n v="1"/>
    <n v="40"/>
    <n v="3679038446"/>
    <s v="COP"/>
    <d v="2022-01-19T00:00:00"/>
    <n v="1"/>
    <n v="0"/>
    <n v="0"/>
    <x v="0"/>
  </r>
  <r>
    <x v="0"/>
    <x v="0"/>
    <m/>
    <x v="0"/>
    <s v="ZI"/>
    <s v="28.01.2022"/>
    <s v="*FX2000- Venta divisas 0100000004265"/>
    <s v="COP"/>
    <n v="7900000718"/>
    <s v="28.01.2022"/>
    <n v="30665250000"/>
    <n v="1"/>
    <n v="40"/>
    <n v="30665250000"/>
    <s v="COP"/>
    <d v="2022-01-28T00:00:00"/>
    <n v="1"/>
    <n v="0"/>
    <n v="0"/>
    <x v="0"/>
  </r>
  <r>
    <x v="0"/>
    <x v="0"/>
    <m/>
    <x v="0"/>
    <s v="ZI"/>
    <s v="31.01.2022"/>
    <s v="*FX1000+ Compra divisas 0100000004266"/>
    <s v="COP"/>
    <n v="7900001287"/>
    <s v="31.01.2022"/>
    <n v="-30655716968"/>
    <n v="1"/>
    <n v="50"/>
    <n v="-30655716968"/>
    <s v="COP"/>
    <d v="2022-01-31T00:00:00"/>
    <n v="1"/>
    <n v="0"/>
    <n v="0"/>
    <x v="0"/>
  </r>
  <r>
    <x v="0"/>
    <x v="0"/>
    <m/>
    <x v="0"/>
    <s v="ZI"/>
    <s v="18.01.2022"/>
    <s v="*FX1000+ Compra divisas 0100000004254"/>
    <s v="EURO"/>
    <n v="7900000660"/>
    <s v="24.01.2022"/>
    <n v="-4800.6000000000004"/>
    <n v="4529.5977599999997"/>
    <n v="50"/>
    <n v="-21744787"/>
    <s v="COP"/>
    <d v="2022-01-24T00:00:00"/>
    <n v="4529.6000000000004"/>
    <n v="0"/>
    <n v="0"/>
    <x v="0"/>
  </r>
  <r>
    <x v="0"/>
    <x v="0"/>
    <m/>
    <x v="0"/>
    <s v="ZI"/>
    <s v="18.01.2022"/>
    <s v="*FX2000- Venta divisas 0100000004254"/>
    <s v="USD"/>
    <n v="7900000661"/>
    <s v="24.01.2022"/>
    <n v="5437.49"/>
    <n v="3999.04864"/>
    <n v="40"/>
    <n v="21744787"/>
    <s v="COP"/>
    <d v="2022-01-24T00:00:00"/>
    <n v="3999.05"/>
    <n v="3964.3"/>
    <n v="-188952.7775"/>
    <x v="1"/>
  </r>
  <r>
    <x v="0"/>
    <x v="0"/>
    <m/>
    <x v="0"/>
    <s v="ZI"/>
    <s v="03.01.2022"/>
    <s v="*FX1000+ Compra divisas 0100000004258"/>
    <s v="USD"/>
    <n v="7900000695"/>
    <s v="03.01.2022"/>
    <n v="-2324760"/>
    <n v="3981.16"/>
    <n v="50"/>
    <n v="-9255241522"/>
    <s v="COP"/>
    <d v="2022-01-03T00:00:00"/>
    <n v="3981.16"/>
    <n v="3981.16"/>
    <n v="0"/>
    <x v="0"/>
  </r>
  <r>
    <x v="0"/>
    <x v="0"/>
    <m/>
    <x v="0"/>
    <s v="ZI"/>
    <s v="19.01.2022"/>
    <s v="*FX1000+ Compra divisas 0100000004259"/>
    <s v="USD"/>
    <n v="7900000709"/>
    <s v="19.01.2022"/>
    <n v="-912150"/>
    <n v="4033.37"/>
    <n v="50"/>
    <n v="-3679038446"/>
    <s v="COP"/>
    <d v="2022-01-19T00:00:00"/>
    <n v="4033.37"/>
    <n v="4033.37"/>
    <n v="0"/>
    <x v="0"/>
  </r>
  <r>
    <x v="0"/>
    <x v="0"/>
    <m/>
    <x v="0"/>
    <s v="ZI"/>
    <s v="28.01.2022"/>
    <s v="*FX1000+ Compra divisas 0100000004265"/>
    <s v="USD"/>
    <n v="7900000717"/>
    <s v="28.01.2022"/>
    <n v="-7700000"/>
    <n v="3982.5"/>
    <n v="50"/>
    <n v="-30665250000"/>
    <s v="COP"/>
    <d v="2022-01-28T00:00:00"/>
    <n v="3982.5"/>
    <n v="3944.04"/>
    <n v="296142000.0000003"/>
    <x v="2"/>
  </r>
  <r>
    <x v="0"/>
    <x v="0"/>
    <m/>
    <x v="0"/>
    <s v="ZI"/>
    <s v="31.01.2022"/>
    <s v="*FX2000- Venta divisas 0100000004266"/>
    <s v="USD"/>
    <n v="7900001288"/>
    <s v="31.01.2022"/>
    <n v="7765206.9500000002"/>
    <n v="3947.83"/>
    <n v="40"/>
    <n v="30655716968"/>
    <s v="COP"/>
    <d v="2022-01-31T00:00:00"/>
    <n v="3947.83"/>
    <n v="3982.6"/>
    <n v="269996245.65149987"/>
    <x v="2"/>
  </r>
  <r>
    <x v="0"/>
    <x v="0"/>
    <m/>
    <x v="1"/>
    <s v="DL"/>
    <s v="03.01.2022"/>
    <s v="*DE1200- Intereses 0400000000080"/>
    <s v="COP"/>
    <n v="7900000504"/>
    <s v="03.01.2022"/>
    <n v="-1994522662"/>
    <n v="1"/>
    <n v="50"/>
    <n v="-1994522662"/>
    <s v="COP"/>
    <d v="2022-01-03T00:00:00"/>
    <n v="1"/>
    <n v="0"/>
    <n v="0"/>
    <x v="0"/>
  </r>
  <r>
    <x v="0"/>
    <x v="0"/>
    <m/>
    <x v="1"/>
    <s v="DL"/>
    <s v="03.01.2022"/>
    <s v="*DE1200+ Intereses 0400000000080"/>
    <s v="COP"/>
    <n v="7900000505"/>
    <s v="03.01.2022"/>
    <n v="958796468"/>
    <n v="1"/>
    <n v="40"/>
    <n v="958796468"/>
    <s v="COP"/>
    <d v="2022-01-03T00:00:00"/>
    <n v="1"/>
    <n v="0"/>
    <n v="0"/>
    <x v="0"/>
  </r>
  <r>
    <x v="0"/>
    <x v="0"/>
    <m/>
    <x v="1"/>
    <s v="DL"/>
    <s v="06.01.2022"/>
    <s v="*DE1200- Intereses 0400000000008"/>
    <s v="COP"/>
    <n v="7900000516"/>
    <s v="06.01.2022"/>
    <n v="-1426204444"/>
    <n v="1"/>
    <n v="50"/>
    <n v="-1426204444"/>
    <s v="COP"/>
    <d v="2022-01-06T00:00:00"/>
    <n v="1"/>
    <n v="0"/>
    <n v="0"/>
    <x v="0"/>
  </r>
  <r>
    <x v="0"/>
    <x v="0"/>
    <m/>
    <x v="1"/>
    <s v="DL"/>
    <s v="06.01.2022"/>
    <s v="*DE1200+ Intereses 0400000000008"/>
    <s v="COP"/>
    <n v="7900000517"/>
    <s v="06.01.2022"/>
    <n v="993600000"/>
    <n v="1"/>
    <n v="40"/>
    <n v="993600000"/>
    <s v="COP"/>
    <d v="2022-01-06T00:00:00"/>
    <n v="1"/>
    <n v="0"/>
    <n v="0"/>
    <x v="0"/>
  </r>
  <r>
    <x v="0"/>
    <x v="0"/>
    <m/>
    <x v="1"/>
    <s v="DL"/>
    <s v="06.01.2022"/>
    <s v="*DE1200- Intereses 0400000000047"/>
    <s v="COP"/>
    <n v="7900000524"/>
    <s v="06.01.2022"/>
    <n v="-583420842"/>
    <n v="1"/>
    <n v="50"/>
    <n v="-583420842"/>
    <s v="COP"/>
    <d v="2022-01-06T00:00:00"/>
    <n v="1"/>
    <n v="0"/>
    <n v="0"/>
    <x v="0"/>
  </r>
  <r>
    <x v="0"/>
    <x v="0"/>
    <m/>
    <x v="1"/>
    <s v="DL"/>
    <s v="06.01.2022"/>
    <s v="*DE1200+ Intereses 0400000000047"/>
    <s v="COP"/>
    <n v="7900000525"/>
    <s v="06.01.2022"/>
    <n v="415142795"/>
    <n v="1"/>
    <n v="40"/>
    <n v="415142795"/>
    <s v="COP"/>
    <d v="2022-01-06T00:00:00"/>
    <n v="1"/>
    <n v="0"/>
    <n v="0"/>
    <x v="0"/>
  </r>
  <r>
    <x v="0"/>
    <x v="0"/>
    <m/>
    <x v="1"/>
    <s v="DL"/>
    <s v="06.01.2022"/>
    <s v="*DE1200- Intereses 0400000000048"/>
    <s v="COP"/>
    <n v="7900000532"/>
    <s v="06.01.2022"/>
    <n v="-640652462"/>
    <n v="1"/>
    <n v="50"/>
    <n v="-640652462"/>
    <s v="COP"/>
    <d v="2022-01-06T00:00:00"/>
    <n v="1"/>
    <n v="0"/>
    <n v="0"/>
    <x v="0"/>
  </r>
  <r>
    <x v="0"/>
    <x v="0"/>
    <m/>
    <x v="1"/>
    <s v="DL"/>
    <s v="06.01.2022"/>
    <s v="*DE1200+ Intereses 0400000000048"/>
    <s v="COP"/>
    <n v="7900000533"/>
    <s v="06.01.2022"/>
    <n v="415142795"/>
    <n v="1"/>
    <n v="40"/>
    <n v="415142795"/>
    <s v="COP"/>
    <d v="2022-01-06T00:00:00"/>
    <n v="1"/>
    <n v="0"/>
    <n v="0"/>
    <x v="0"/>
  </r>
  <r>
    <x v="0"/>
    <x v="0"/>
    <m/>
    <x v="1"/>
    <s v="DL"/>
    <s v="11.01.2022"/>
    <s v="*DE1200- Intereses 0400000000009"/>
    <s v="COP"/>
    <n v="7900000548"/>
    <s v="11.01.2022"/>
    <n v="-803850000"/>
    <n v="1"/>
    <n v="50"/>
    <n v="-803850000"/>
    <s v="COP"/>
    <d v="2022-01-11T00:00:00"/>
    <n v="1"/>
    <n v="0"/>
    <n v="0"/>
    <x v="0"/>
  </r>
  <r>
    <x v="0"/>
    <x v="0"/>
    <m/>
    <x v="1"/>
    <s v="DL"/>
    <s v="11.01.2022"/>
    <s v="*DE1200+ Intereses 0400000000009"/>
    <s v="COP"/>
    <n v="7900000549"/>
    <s v="11.01.2022"/>
    <n v="562580000"/>
    <n v="1"/>
    <n v="40"/>
    <n v="562580000"/>
    <s v="COP"/>
    <d v="2022-01-11T00:00:00"/>
    <n v="1"/>
    <n v="0"/>
    <n v="0"/>
    <x v="0"/>
  </r>
  <r>
    <x v="0"/>
    <x v="0"/>
    <m/>
    <x v="1"/>
    <s v="DL"/>
    <s v="11.01.2022"/>
    <s v="*DE1200- Intereses 0400000000045"/>
    <s v="COP"/>
    <n v="7900000556"/>
    <s v="11.01.2022"/>
    <n v="-252411029"/>
    <n v="1"/>
    <n v="50"/>
    <n v="-252411029"/>
    <s v="COP"/>
    <d v="2022-01-11T00:00:00"/>
    <n v="1"/>
    <n v="0"/>
    <n v="0"/>
    <x v="0"/>
  </r>
  <r>
    <x v="0"/>
    <x v="0"/>
    <m/>
    <x v="1"/>
    <s v="DL"/>
    <s v="11.01.2022"/>
    <s v="*DE1200+ Intereses 0400000000045"/>
    <s v="COP"/>
    <n v="7900000557"/>
    <s v="11.01.2022"/>
    <n v="193287013"/>
    <n v="1"/>
    <n v="40"/>
    <n v="193287013"/>
    <s v="COP"/>
    <d v="2022-01-11T00:00:00"/>
    <n v="1"/>
    <n v="0"/>
    <n v="0"/>
    <x v="0"/>
  </r>
  <r>
    <x v="0"/>
    <x v="0"/>
    <m/>
    <x v="1"/>
    <s v="DL"/>
    <s v="13.01.2022"/>
    <s v="*DE1200- Intereses 0400000000042"/>
    <s v="COP"/>
    <n v="7900000572"/>
    <s v="13.01.2022"/>
    <n v="-484735733"/>
    <n v="1"/>
    <n v="50"/>
    <n v="-484735733"/>
    <s v="COP"/>
    <d v="2022-01-13T00:00:00"/>
    <n v="1"/>
    <n v="0"/>
    <n v="0"/>
    <x v="0"/>
  </r>
  <r>
    <x v="0"/>
    <x v="0"/>
    <m/>
    <x v="1"/>
    <s v="DL"/>
    <s v="13.01.2022"/>
    <s v="*DE1200+ Intereses 0400000000042"/>
    <s v="COP"/>
    <n v="7900000573"/>
    <s v="13.01.2022"/>
    <n v="347440641"/>
    <n v="1"/>
    <n v="40"/>
    <n v="347440641"/>
    <s v="COP"/>
    <d v="2022-01-13T00:00:00"/>
    <n v="1"/>
    <n v="0"/>
    <n v="0"/>
    <x v="0"/>
  </r>
  <r>
    <x v="0"/>
    <x v="0"/>
    <m/>
    <x v="1"/>
    <s v="DL"/>
    <s v="17.01.2022"/>
    <s v="*DE1200- Intereses 0400000000004"/>
    <s v="COP"/>
    <n v="7900000628"/>
    <s v="17.01.2022"/>
    <n v="-765531245"/>
    <n v="1"/>
    <n v="50"/>
    <n v="-765531245"/>
    <s v="COP"/>
    <d v="2022-01-17T00:00:00"/>
    <n v="1"/>
    <n v="0"/>
    <n v="0"/>
    <x v="0"/>
  </r>
  <r>
    <x v="0"/>
    <x v="0"/>
    <m/>
    <x v="1"/>
    <s v="DL"/>
    <s v="17.01.2022"/>
    <s v="*DE1200+ Intereses 0400000000004"/>
    <s v="COP"/>
    <n v="7900000629"/>
    <s v="17.01.2022"/>
    <n v="365380466"/>
    <n v="1"/>
    <n v="40"/>
    <n v="365380466"/>
    <s v="COP"/>
    <d v="2022-01-17T00:00:00"/>
    <n v="1"/>
    <n v="0"/>
    <n v="0"/>
    <x v="0"/>
  </r>
  <r>
    <x v="0"/>
    <x v="0"/>
    <m/>
    <x v="1"/>
    <s v="DL"/>
    <s v="17.01.2022"/>
    <s v="*DE1200- Intereses 0400000000011"/>
    <s v="COP"/>
    <n v="7900000636"/>
    <s v="17.01.2022"/>
    <n v="-1643500000"/>
    <n v="1"/>
    <n v="50"/>
    <n v="-1643500000"/>
    <s v="COP"/>
    <d v="2022-01-17T00:00:00"/>
    <n v="1"/>
    <n v="0"/>
    <n v="0"/>
    <x v="0"/>
  </r>
  <r>
    <x v="0"/>
    <x v="0"/>
    <m/>
    <x v="1"/>
    <s v="DL"/>
    <s v="17.01.2022"/>
    <s v="*DE1200+ Intereses 0400000000011"/>
    <s v="COP"/>
    <n v="7900000637"/>
    <s v="17.01.2022"/>
    <n v="1191775000"/>
    <n v="1"/>
    <n v="40"/>
    <n v="1191775000"/>
    <s v="COP"/>
    <d v="2022-01-17T00:00:00"/>
    <n v="1"/>
    <n v="0"/>
    <n v="0"/>
    <x v="0"/>
  </r>
  <r>
    <x v="0"/>
    <x v="0"/>
    <m/>
    <x v="1"/>
    <s v="DL"/>
    <s v="17.01.2022"/>
    <s v="*DE1200- Intereses 0400000000006"/>
    <s v="COP"/>
    <n v="7900000644"/>
    <s v="17.01.2022"/>
    <n v="-1281374991"/>
    <n v="1"/>
    <n v="50"/>
    <n v="-1281374991"/>
    <s v="COP"/>
    <d v="2022-01-17T00:00:00"/>
    <n v="1"/>
    <n v="0"/>
    <n v="0"/>
    <x v="0"/>
  </r>
  <r>
    <x v="0"/>
    <x v="0"/>
    <m/>
    <x v="1"/>
    <s v="DL"/>
    <s v="17.01.2022"/>
    <s v="*DE1200+ Intereses 0400000000006"/>
    <s v="COP"/>
    <n v="7900000645"/>
    <s v="17.01.2022"/>
    <n v="595364787"/>
    <n v="1"/>
    <n v="40"/>
    <n v="595364787"/>
    <s v="COP"/>
    <d v="2022-01-17T00:00:00"/>
    <n v="1"/>
    <n v="0"/>
    <n v="0"/>
    <x v="0"/>
  </r>
  <r>
    <x v="0"/>
    <x v="0"/>
    <m/>
    <x v="1"/>
    <s v="DL"/>
    <s v="17.01.2022"/>
    <s v="*DE1200- Intereses 0400000000043"/>
    <s v="COP"/>
    <n v="7900000652"/>
    <s v="17.01.2022"/>
    <n v="-175142489"/>
    <n v="1"/>
    <n v="50"/>
    <n v="-175142489"/>
    <s v="COP"/>
    <d v="2022-01-17T00:00:00"/>
    <n v="1"/>
    <n v="0"/>
    <n v="0"/>
    <x v="0"/>
  </r>
  <r>
    <x v="0"/>
    <x v="0"/>
    <m/>
    <x v="1"/>
    <s v="DL"/>
    <s v="17.01.2022"/>
    <s v="*DE1200+ Intereses 0400000000043"/>
    <s v="COP"/>
    <n v="7900000653"/>
    <s v="17.01.2022"/>
    <n v="129419450"/>
    <n v="1"/>
    <n v="40"/>
    <n v="129419450"/>
    <s v="COP"/>
    <d v="2022-01-17T00:00:00"/>
    <n v="1"/>
    <n v="0"/>
    <n v="0"/>
    <x v="0"/>
  </r>
  <r>
    <x v="0"/>
    <x v="0"/>
    <m/>
    <x v="1"/>
    <s v="TD"/>
    <s v="03.01.2022"/>
    <s v="*FX2001- Venta divisas 0400000000016"/>
    <s v="COP"/>
    <n v="7900000669"/>
    <s v="03.01.2022"/>
    <n v="-6000000000"/>
    <n v="1"/>
    <n v="50"/>
    <n v="-6000000000"/>
    <s v="COP"/>
    <d v="2022-01-03T00:00:00"/>
    <n v="1"/>
    <n v="0"/>
    <n v="0"/>
    <x v="0"/>
  </r>
  <r>
    <x v="0"/>
    <x v="0"/>
    <m/>
    <x v="1"/>
    <s v="TD"/>
    <s v="03.01.2022"/>
    <s v="*FX2001- Venta divisas 0400000000089"/>
    <s v="COP"/>
    <n v="7900000677"/>
    <s v="03.01.2022"/>
    <n v="-2815722396"/>
    <n v="1"/>
    <n v="50"/>
    <n v="-2815722396"/>
    <s v="COP"/>
    <d v="2022-01-03T00:00:00"/>
    <n v="1"/>
    <n v="0"/>
    <n v="0"/>
    <x v="0"/>
  </r>
  <r>
    <x v="0"/>
    <x v="0"/>
    <m/>
    <x v="1"/>
    <s v="TD"/>
    <s v="19.01.2022"/>
    <s v="*FX2001- Venta divisas 0400000000053"/>
    <s v="COP"/>
    <n v="7900000685"/>
    <s v="19.01.2022"/>
    <n v="-3522960459"/>
    <n v="1"/>
    <n v="50"/>
    <n v="-3522960459"/>
    <s v="COP"/>
    <d v="2022-01-19T00:00:00"/>
    <n v="1"/>
    <n v="0"/>
    <n v="0"/>
    <x v="0"/>
  </r>
  <r>
    <x v="0"/>
    <x v="0"/>
    <m/>
    <x v="1"/>
    <s v="ZD"/>
    <s v="03.01.2022"/>
    <s v="*CML1120 0001000000016"/>
    <s v="COP"/>
    <n v="7900000495"/>
    <s v="03.01.2022"/>
    <n v="-829484525"/>
    <n v="1"/>
    <n v="50"/>
    <n v="-829484525"/>
    <s v="COP"/>
    <d v="2022-01-03T00:00:00"/>
    <n v="1"/>
    <n v="0"/>
    <n v="0"/>
    <x v="0"/>
  </r>
  <r>
    <x v="0"/>
    <x v="0"/>
    <m/>
    <x v="1"/>
    <s v="ZI"/>
    <s v="28.01.2022"/>
    <s v="*FX2000- Venta divisas 0100000004265"/>
    <s v="COP"/>
    <n v="7900000718"/>
    <s v="28.01.2022"/>
    <n v="-30665250000"/>
    <n v="1"/>
    <n v="50"/>
    <n v="-30665250000"/>
    <s v="COP"/>
    <d v="2022-01-28T00:00:00"/>
    <n v="1"/>
    <n v="0"/>
    <n v="0"/>
    <x v="0"/>
  </r>
  <r>
    <x v="0"/>
    <x v="0"/>
    <m/>
    <x v="1"/>
    <s v="ZP"/>
    <s v="03.01.2022"/>
    <m/>
    <s v="COP"/>
    <n v="2000000002"/>
    <s v="03.01.2022"/>
    <n v="3005248405"/>
    <n v="1"/>
    <n v="40"/>
    <n v="3005248405"/>
    <s v="COP"/>
    <d v="2022-01-03T00:00:00"/>
    <n v="1"/>
    <n v="0"/>
    <n v="0"/>
    <x v="0"/>
  </r>
  <r>
    <x v="0"/>
    <x v="0"/>
    <m/>
    <x v="1"/>
    <s v="ZP"/>
    <s v="03.01.2022"/>
    <m/>
    <s v="COP"/>
    <n v="2000000003"/>
    <s v="03.01.2022"/>
    <n v="1035726194"/>
    <n v="1"/>
    <n v="40"/>
    <n v="1035726194"/>
    <s v="COP"/>
    <d v="2022-01-03T00:00:00"/>
    <n v="1"/>
    <n v="0"/>
    <n v="0"/>
    <x v="0"/>
  </r>
  <r>
    <x v="0"/>
    <x v="0"/>
    <m/>
    <x v="1"/>
    <s v="ZP"/>
    <s v="06.01.2022"/>
    <m/>
    <s v="COP"/>
    <n v="2000000078"/>
    <s v="06.01.2022"/>
    <n v="4381707124"/>
    <n v="1"/>
    <n v="40"/>
    <n v="4381707124"/>
    <s v="COP"/>
    <d v="2022-01-06T00:00:00"/>
    <n v="1"/>
    <n v="0"/>
    <n v="0"/>
    <x v="0"/>
  </r>
  <r>
    <x v="0"/>
    <x v="0"/>
    <m/>
    <x v="1"/>
    <s v="ZP"/>
    <s v="06.01.2022"/>
    <m/>
    <s v="COP"/>
    <n v="2000000103"/>
    <s v="06.01.2022"/>
    <n v="432604444"/>
    <n v="1"/>
    <n v="40"/>
    <n v="432604444"/>
    <s v="COP"/>
    <d v="2022-01-06T00:00:00"/>
    <n v="1"/>
    <n v="0"/>
    <n v="0"/>
    <x v="0"/>
  </r>
  <r>
    <x v="0"/>
    <x v="0"/>
    <m/>
    <x v="1"/>
    <s v="ZP"/>
    <s v="06.01.2022"/>
    <m/>
    <s v="COP"/>
    <n v="2000000124"/>
    <s v="06.01.2022"/>
    <n v="393787714"/>
    <n v="1"/>
    <n v="40"/>
    <n v="393787714"/>
    <s v="COP"/>
    <d v="2022-01-06T00:00:00"/>
    <n v="1"/>
    <n v="0"/>
    <n v="0"/>
    <x v="0"/>
  </r>
  <r>
    <x v="0"/>
    <x v="0"/>
    <m/>
    <x v="1"/>
    <s v="ZP"/>
    <s v="11.01.2022"/>
    <m/>
    <s v="COP"/>
    <n v="2000000380"/>
    <s v="11.01.2022"/>
    <n v="59124016"/>
    <n v="1"/>
    <n v="40"/>
    <n v="59124016"/>
    <s v="COP"/>
    <d v="2022-01-11T00:00:00"/>
    <n v="1"/>
    <n v="0"/>
    <n v="0"/>
    <x v="0"/>
  </r>
  <r>
    <x v="0"/>
    <x v="0"/>
    <m/>
    <x v="1"/>
    <s v="ZP"/>
    <s v="11.01.2022"/>
    <m/>
    <s v="COP"/>
    <n v="2000000381"/>
    <s v="11.01.2022"/>
    <n v="642032270"/>
    <n v="1"/>
    <n v="40"/>
    <n v="642032270"/>
    <s v="COP"/>
    <d v="2022-01-11T00:00:00"/>
    <n v="1"/>
    <n v="0"/>
    <n v="0"/>
    <x v="0"/>
  </r>
  <r>
    <x v="0"/>
    <x v="0"/>
    <m/>
    <x v="1"/>
    <s v="ZP"/>
    <s v="11.01.2022"/>
    <m/>
    <s v="COP"/>
    <n v="2000000382"/>
    <s v="11.01.2022"/>
    <n v="1167331391"/>
    <n v="1"/>
    <n v="40"/>
    <n v="1167331391"/>
    <s v="COP"/>
    <d v="2022-01-11T00:00:00"/>
    <n v="1"/>
    <n v="0"/>
    <n v="0"/>
    <x v="0"/>
  </r>
  <r>
    <x v="0"/>
    <x v="0"/>
    <m/>
    <x v="1"/>
    <s v="ZP"/>
    <s v="11.01.2022"/>
    <m/>
    <s v="COP"/>
    <n v="2000000385"/>
    <s v="11.01.2022"/>
    <n v="241270000"/>
    <n v="1"/>
    <n v="40"/>
    <n v="241270000"/>
    <s v="COP"/>
    <d v="2022-01-11T00:00:00"/>
    <n v="1"/>
    <n v="0"/>
    <n v="0"/>
    <x v="0"/>
  </r>
  <r>
    <x v="0"/>
    <x v="0"/>
    <m/>
    <x v="1"/>
    <s v="ZP"/>
    <s v="13.01.2022"/>
    <m/>
    <s v="COP"/>
    <n v="2000000424"/>
    <s v="13.01.2022"/>
    <n v="137295092"/>
    <n v="1"/>
    <n v="40"/>
    <n v="137295092"/>
    <s v="COP"/>
    <d v="2022-01-13T00:00:00"/>
    <n v="1"/>
    <n v="0"/>
    <n v="0"/>
    <x v="0"/>
  </r>
  <r>
    <x v="0"/>
    <x v="0"/>
    <m/>
    <x v="1"/>
    <s v="ZP"/>
    <s v="17.01.2022"/>
    <m/>
    <s v="COP"/>
    <n v="2000000456"/>
    <s v="17.01.2022"/>
    <n v="6776626890"/>
    <n v="1"/>
    <n v="40"/>
    <n v="6776626890"/>
    <s v="COP"/>
    <d v="2022-01-17T00:00:00"/>
    <n v="1"/>
    <n v="0"/>
    <n v="0"/>
    <x v="0"/>
  </r>
  <r>
    <x v="0"/>
    <x v="0"/>
    <m/>
    <x v="1"/>
    <s v="ZP"/>
    <s v="13.01.2022"/>
    <m/>
    <s v="COP"/>
    <n v="2000000457"/>
    <s v="13.01.2022"/>
    <n v="1077955195"/>
    <n v="1"/>
    <n v="40"/>
    <n v="1077955195"/>
    <s v="COP"/>
    <d v="2022-01-13T00:00:00"/>
    <n v="1"/>
    <n v="0"/>
    <n v="0"/>
    <x v="0"/>
  </r>
  <r>
    <x v="0"/>
    <x v="0"/>
    <m/>
    <x v="1"/>
    <s v="ZP"/>
    <s v="17.01.2022"/>
    <m/>
    <s v="COP"/>
    <n v="2000000458"/>
    <s v="17.01.2022"/>
    <n v="851875779"/>
    <n v="1"/>
    <n v="40"/>
    <n v="851875779"/>
    <s v="COP"/>
    <d v="2022-01-17T00:00:00"/>
    <n v="1"/>
    <n v="0"/>
    <n v="0"/>
    <x v="0"/>
  </r>
  <r>
    <x v="0"/>
    <x v="0"/>
    <m/>
    <x v="1"/>
    <s v="ZP"/>
    <s v="17.01.2022"/>
    <m/>
    <s v="COP"/>
    <n v="2000000509"/>
    <s v="17.01.2022"/>
    <n v="731733243"/>
    <n v="1"/>
    <n v="40"/>
    <n v="731733243"/>
    <s v="COP"/>
    <d v="2022-01-17T00:00:00"/>
    <n v="1"/>
    <n v="0"/>
    <n v="0"/>
    <x v="0"/>
  </r>
  <r>
    <x v="0"/>
    <x v="0"/>
    <m/>
    <x v="1"/>
    <s v="ZP"/>
    <s v="03.01.2022"/>
    <m/>
    <s v="COP"/>
    <n v="2000000777"/>
    <s v="03.01.2022"/>
    <n v="6000000000"/>
    <n v="1"/>
    <n v="40"/>
    <n v="6000000000"/>
    <s v="COP"/>
    <d v="2022-01-03T00:00:00"/>
    <n v="1"/>
    <n v="0"/>
    <n v="0"/>
    <x v="0"/>
  </r>
  <r>
    <x v="0"/>
    <x v="0"/>
    <m/>
    <x v="1"/>
    <s v="ZP"/>
    <s v="03.01.2022"/>
    <m/>
    <s v="COP"/>
    <n v="2000000778"/>
    <s v="03.01.2022"/>
    <n v="2815722396"/>
    <n v="1"/>
    <n v="40"/>
    <n v="2815722396"/>
    <s v="COP"/>
    <d v="2022-01-03T00:00:00"/>
    <n v="1"/>
    <n v="0"/>
    <n v="0"/>
    <x v="0"/>
  </r>
  <r>
    <x v="0"/>
    <x v="0"/>
    <m/>
    <x v="1"/>
    <s v="ZP"/>
    <s v="19.01.2022"/>
    <m/>
    <s v="COP"/>
    <n v="2000000779"/>
    <s v="19.01.2022"/>
    <n v="3522960459"/>
    <n v="1"/>
    <n v="40"/>
    <n v="3522960459"/>
    <s v="COP"/>
    <d v="2022-01-19T00:00:00"/>
    <n v="1"/>
    <n v="0"/>
    <n v="0"/>
    <x v="0"/>
  </r>
  <r>
    <x v="0"/>
    <x v="0"/>
    <m/>
    <x v="1"/>
    <s v="ZP"/>
    <s v="28.01.2022"/>
    <m/>
    <s v="COP"/>
    <n v="2000000810"/>
    <s v="28.01.2022"/>
    <n v="30665250000"/>
    <n v="1"/>
    <n v="40"/>
    <n v="30665250000"/>
    <s v="COP"/>
    <d v="2022-01-28T00:00:00"/>
    <n v="1"/>
    <n v="0"/>
    <n v="0"/>
    <x v="0"/>
  </r>
  <r>
    <x v="0"/>
    <x v="0"/>
    <m/>
    <x v="1"/>
    <s v="ZS"/>
    <s v="03.01.2022"/>
    <s v="*CML1110 0001000000015"/>
    <s v="COP"/>
    <n v="7900000494"/>
    <s v="03.01.2022"/>
    <n v="-1747008822"/>
    <n v="1"/>
    <n v="50"/>
    <n v="-1747008822"/>
    <s v="COP"/>
    <d v="2022-01-03T00:00:00"/>
    <n v="1"/>
    <n v="0"/>
    <n v="0"/>
    <x v="0"/>
  </r>
  <r>
    <x v="0"/>
    <x v="0"/>
    <m/>
    <x v="1"/>
    <s v="ZS"/>
    <s v="03.01.2022"/>
    <s v="*CML1110 0001000000016"/>
    <s v="COP"/>
    <n v="7900000496"/>
    <s v="03.01.2022"/>
    <n v="-428755058"/>
    <n v="1"/>
    <n v="50"/>
    <n v="-428755058"/>
    <s v="COP"/>
    <d v="2022-01-03T00:00:00"/>
    <n v="1"/>
    <n v="0"/>
    <n v="0"/>
    <x v="0"/>
  </r>
  <r>
    <x v="0"/>
    <x v="0"/>
    <m/>
    <x v="1"/>
    <s v="ZS"/>
    <s v="06.01.2022"/>
    <s v="*CML1110 0001000003054"/>
    <s v="COP"/>
    <n v="7900000510"/>
    <s v="06.01.2022"/>
    <n v="-4381707124"/>
    <n v="1"/>
    <n v="50"/>
    <n v="-4381707124"/>
    <s v="COP"/>
    <d v="2022-01-06T00:00:00"/>
    <n v="1"/>
    <n v="0"/>
    <n v="0"/>
    <x v="0"/>
  </r>
  <r>
    <x v="0"/>
    <x v="0"/>
    <m/>
    <x v="1"/>
    <s v="ZS"/>
    <s v="11.01.2022"/>
    <s v="*CML1110 0001000003057"/>
    <s v="COP"/>
    <n v="7900000538"/>
    <s v="11.01.2022"/>
    <n v="-1167331391"/>
    <n v="1"/>
    <n v="50"/>
    <n v="-1167331391"/>
    <s v="COP"/>
    <d v="2022-01-11T00:00:00"/>
    <n v="1"/>
    <n v="0"/>
    <n v="0"/>
    <x v="0"/>
  </r>
  <r>
    <x v="0"/>
    <x v="0"/>
    <m/>
    <x v="1"/>
    <s v="ZS"/>
    <s v="11.01.2022"/>
    <s v="*CML1110 0001000003055"/>
    <s v="COP"/>
    <n v="7900000542"/>
    <s v="11.01.2022"/>
    <n v="-642032270"/>
    <n v="1"/>
    <n v="50"/>
    <n v="-642032270"/>
    <s v="COP"/>
    <d v="2022-01-11T00:00:00"/>
    <n v="1"/>
    <n v="0"/>
    <n v="0"/>
    <x v="0"/>
  </r>
  <r>
    <x v="0"/>
    <x v="0"/>
    <m/>
    <x v="1"/>
    <s v="ZS"/>
    <s v="13.01.2022"/>
    <s v="*CML1110 0001000003052"/>
    <s v="COP"/>
    <n v="7900000562"/>
    <s v="13.01.2022"/>
    <n v="-1077696320"/>
    <n v="1"/>
    <n v="50"/>
    <n v="-1077696320"/>
    <s v="COP"/>
    <d v="2022-01-13T00:00:00"/>
    <n v="1"/>
    <n v="0"/>
    <n v="0"/>
    <x v="0"/>
  </r>
  <r>
    <x v="0"/>
    <x v="0"/>
    <m/>
    <x v="1"/>
    <s v="ZS"/>
    <s v="13.01.2022"/>
    <s v="*CML1110 0001000003052"/>
    <s v="COP"/>
    <n v="7900000566"/>
    <s v="13.01.2022"/>
    <n v="1077696320"/>
    <n v="1"/>
    <n v="40"/>
    <n v="1077696320"/>
    <s v="COP"/>
    <d v="2022-01-13T00:00:00"/>
    <n v="1"/>
    <n v="0"/>
    <n v="0"/>
    <x v="0"/>
  </r>
  <r>
    <x v="0"/>
    <x v="0"/>
    <m/>
    <x v="1"/>
    <s v="ZS"/>
    <s v="17.01.2022"/>
    <s v="*CML1110 0001000003050"/>
    <s v="COP"/>
    <n v="7900000578"/>
    <s v="17.01.2022"/>
    <n v="-6776626890"/>
    <n v="1"/>
    <n v="50"/>
    <n v="-6776626890"/>
    <s v="COP"/>
    <d v="2022-01-17T00:00:00"/>
    <n v="1"/>
    <n v="0"/>
    <n v="0"/>
    <x v="0"/>
  </r>
  <r>
    <x v="0"/>
    <x v="0"/>
    <m/>
    <x v="1"/>
    <s v="ZS"/>
    <s v="13.01.2022"/>
    <s v="*CML1110 0001000003052"/>
    <s v="COP"/>
    <n v="7900000586"/>
    <s v="13.01.2022"/>
    <n v="-1077955195"/>
    <n v="1"/>
    <n v="50"/>
    <n v="-1077955195"/>
    <s v="COP"/>
    <d v="2022-01-13T00:00:00"/>
    <n v="1"/>
    <n v="0"/>
    <n v="0"/>
    <x v="0"/>
  </r>
  <r>
    <x v="0"/>
    <x v="0"/>
    <m/>
    <x v="1"/>
    <s v="ZI"/>
    <s v="31.01.2022"/>
    <s v="*FX2000- Venta divisas 0100000004266"/>
    <s v="USD"/>
    <n v="7900001288"/>
    <s v="31.01.2022"/>
    <n v="-7765206.9500000002"/>
    <n v="3947.83"/>
    <n v="50"/>
    <n v="-30655716968"/>
    <s v="COP"/>
    <d v="2022-01-31T00:00:00"/>
    <n v="3947.83"/>
    <n v="3982.6"/>
    <n v="269996245.65149987"/>
    <x v="2"/>
  </r>
  <r>
    <x v="0"/>
    <x v="0"/>
    <m/>
    <x v="1"/>
    <s v="ZP"/>
    <s v="31.01.2022"/>
    <m/>
    <s v="USD"/>
    <n v="2000000812"/>
    <s v="31.01.2022"/>
    <n v="7765206.9500000002"/>
    <n v="3947.83"/>
    <n v="40"/>
    <n v="30655716968"/>
    <s v="COP"/>
    <d v="2022-01-31T00:00:00"/>
    <n v="3947.83"/>
    <n v="3982.6"/>
    <n v="-269996245.65149987"/>
    <x v="1"/>
  </r>
  <r>
    <x v="0"/>
    <x v="1"/>
    <m/>
    <x v="0"/>
    <s v="ZI"/>
    <s v="17.02.2022"/>
    <s v="*FX2000- Venta divisas 0100000004267"/>
    <s v="COP"/>
    <n v="7900001454"/>
    <s v="17.02.2022"/>
    <n v="59355000000"/>
    <n v="1"/>
    <n v="40"/>
    <n v="59355000000"/>
    <s v="COP"/>
    <d v="2022-02-17T00:00:00"/>
    <n v="1"/>
    <n v="0"/>
    <n v="0"/>
    <x v="0"/>
  </r>
  <r>
    <x v="0"/>
    <x v="1"/>
    <m/>
    <x v="0"/>
    <s v="ZI"/>
    <s v="17.02.2022"/>
    <s v="*FX2000- Venta divisas 0100000004268"/>
    <s v="COP"/>
    <n v="7900001462"/>
    <s v="17.02.2022"/>
    <n v="59362500000"/>
    <n v="1"/>
    <n v="40"/>
    <n v="59362500000"/>
    <s v="COP"/>
    <d v="2022-02-17T00:00:00"/>
    <n v="1"/>
    <n v="0"/>
    <n v="0"/>
    <x v="0"/>
  </r>
  <r>
    <x v="0"/>
    <x v="1"/>
    <m/>
    <x v="0"/>
    <s v="ZI"/>
    <s v="17.02.2022"/>
    <s v="*FX2000- Venta divisas 0100000004269"/>
    <s v="COP"/>
    <n v="7900001470"/>
    <s v="17.02.2022"/>
    <n v="39533000000"/>
    <n v="1"/>
    <n v="40"/>
    <n v="39533000000"/>
    <s v="COP"/>
    <d v="2022-02-17T00:00:00"/>
    <n v="1"/>
    <n v="0"/>
    <n v="0"/>
    <x v="0"/>
  </r>
  <r>
    <x v="0"/>
    <x v="1"/>
    <m/>
    <x v="0"/>
    <s v="ZI"/>
    <s v="18.02.2022"/>
    <s v="*FX2000- Venta divisas 0100000004282"/>
    <s v="COP"/>
    <n v="7900001534"/>
    <s v="18.02.2022"/>
    <n v="44206800000"/>
    <n v="1"/>
    <n v="40"/>
    <n v="44206800000"/>
    <s v="COP"/>
    <d v="2022-02-18T00:00:00"/>
    <n v="1"/>
    <n v="0"/>
    <n v="0"/>
    <x v="0"/>
  </r>
  <r>
    <x v="0"/>
    <x v="1"/>
    <m/>
    <x v="0"/>
    <s v="ZI"/>
    <s v="18.02.2022"/>
    <s v="*FX2000- Venta divisas 0100000004283"/>
    <s v="COP"/>
    <n v="7900001542"/>
    <s v="18.02.2022"/>
    <n v="39321000000"/>
    <n v="1"/>
    <n v="40"/>
    <n v="39321000000"/>
    <s v="COP"/>
    <d v="2022-02-18T00:00:00"/>
    <n v="1"/>
    <n v="0"/>
    <n v="0"/>
    <x v="0"/>
  </r>
  <r>
    <x v="0"/>
    <x v="1"/>
    <m/>
    <x v="0"/>
    <s v="ZI"/>
    <s v="18.02.2022"/>
    <s v="*FX2000- Venta divisas 0100000004284"/>
    <s v="COP"/>
    <n v="7900001550"/>
    <s v="18.02.2022"/>
    <n v="39347500000"/>
    <n v="1"/>
    <n v="40"/>
    <n v="39347500000"/>
    <s v="COP"/>
    <d v="2022-02-18T00:00:00"/>
    <n v="1"/>
    <n v="0"/>
    <n v="0"/>
    <x v="0"/>
  </r>
  <r>
    <x v="0"/>
    <x v="1"/>
    <m/>
    <x v="0"/>
    <s v="ZI"/>
    <s v="24.02.2022"/>
    <s v="*FX2000- Venta divisas 0100000004285"/>
    <s v="COP"/>
    <n v="7900001558"/>
    <s v="24.02.2022"/>
    <n v="44000000000"/>
    <n v="1"/>
    <n v="40"/>
    <n v="44000000000"/>
    <s v="COP"/>
    <d v="2022-02-24T00:00:00"/>
    <n v="1"/>
    <n v="0"/>
    <n v="0"/>
    <x v="0"/>
  </r>
  <r>
    <x v="0"/>
    <x v="1"/>
    <m/>
    <x v="0"/>
    <s v="ZI"/>
    <s v="25.02.2022"/>
    <s v="*FX2000- Venta divisas 0100000004286"/>
    <s v="COP"/>
    <n v="7900001582"/>
    <s v="25.02.2022"/>
    <n v="8599800000"/>
    <n v="1"/>
    <n v="40"/>
    <n v="8599800000"/>
    <s v="COP"/>
    <d v="2022-02-25T00:00:00"/>
    <n v="1"/>
    <n v="0"/>
    <n v="0"/>
    <x v="0"/>
  </r>
  <r>
    <x v="0"/>
    <x v="1"/>
    <m/>
    <x v="0"/>
    <s v="ZI"/>
    <s v="28.02.2022"/>
    <s v="*FX1000+ Compra divisas 0100000004289"/>
    <s v="COP"/>
    <n v="7900001613"/>
    <s v="28.02.2022"/>
    <n v="-278674055102"/>
    <n v="1"/>
    <n v="50"/>
    <n v="-278674055102"/>
    <s v="COP"/>
    <d v="2022-02-28T00:00:00"/>
    <n v="1"/>
    <n v="0"/>
    <n v="0"/>
    <x v="0"/>
  </r>
  <r>
    <x v="0"/>
    <x v="1"/>
    <m/>
    <x v="0"/>
    <s v="ZI"/>
    <s v="28.02.2022"/>
    <s v="*FX1000+ Compra divisas 0100000004290"/>
    <s v="COP"/>
    <n v="7900002066"/>
    <s v="28.02.2022"/>
    <n v="-43986107549"/>
    <n v="1"/>
    <n v="50"/>
    <n v="-43986107549"/>
    <s v="COP"/>
    <d v="2022-02-28T00:00:00"/>
    <n v="1"/>
    <n v="0"/>
    <n v="0"/>
    <x v="0"/>
  </r>
  <r>
    <x v="0"/>
    <x v="1"/>
    <m/>
    <x v="0"/>
    <s v="ZI"/>
    <s v="28.02.2022"/>
    <s v="*FX1000+ Compra divisas 0100000004291"/>
    <s v="COP"/>
    <n v="7900002404"/>
    <s v="28.02.2022"/>
    <n v="-225124125"/>
    <n v="1"/>
    <n v="50"/>
    <n v="-225124125"/>
    <s v="COP"/>
    <d v="2022-02-28T00:00:00"/>
    <n v="1"/>
    <n v="0"/>
    <n v="0"/>
    <x v="0"/>
  </r>
  <r>
    <x v="0"/>
    <x v="1"/>
    <m/>
    <x v="0"/>
    <s v="ZI"/>
    <s v="17.02.2022"/>
    <s v="*FX1000+ Compra divisas 0100000004267"/>
    <s v="USD"/>
    <n v="7900001453"/>
    <s v="17.02.2022"/>
    <n v="-15000000"/>
    <n v="3957"/>
    <n v="50"/>
    <n v="-59355000000"/>
    <s v="COP"/>
    <d v="2022-02-17T00:00:00"/>
    <n v="3957"/>
    <n v="3963.72"/>
    <n v="-100799999.999997"/>
    <x v="1"/>
  </r>
  <r>
    <x v="0"/>
    <x v="1"/>
    <m/>
    <x v="0"/>
    <s v="ZI"/>
    <s v="17.02.2022"/>
    <s v="*FX1000+ Compra divisas 0100000004268"/>
    <s v="USD"/>
    <n v="7900001461"/>
    <s v="17.02.2022"/>
    <n v="-15000000"/>
    <n v="3957.5"/>
    <n v="50"/>
    <n v="-59362500000"/>
    <s v="COP"/>
    <d v="2022-02-17T00:00:00"/>
    <n v="3957.5"/>
    <n v="3963.72"/>
    <n v="-93299999.999997005"/>
    <x v="1"/>
  </r>
  <r>
    <x v="0"/>
    <x v="1"/>
    <m/>
    <x v="0"/>
    <s v="ZI"/>
    <s v="17.02.2022"/>
    <s v="*FX1000+ Compra divisas 0100000004269"/>
    <s v="USD"/>
    <n v="7900001469"/>
    <s v="17.02.2022"/>
    <n v="-10000000"/>
    <n v="3953.3"/>
    <n v="50"/>
    <n v="-39533000000"/>
    <s v="COP"/>
    <d v="2022-02-17T00:00:00"/>
    <n v="3953.3"/>
    <n v="3963.72"/>
    <n v="-104199999.99999619"/>
    <x v="1"/>
  </r>
  <r>
    <x v="0"/>
    <x v="1"/>
    <m/>
    <x v="0"/>
    <s v="ZI"/>
    <s v="18.02.2022"/>
    <s v="*FX1000+ Compra divisas 0100000004282"/>
    <s v="USD"/>
    <n v="7900001533"/>
    <s v="18.02.2022"/>
    <n v="-11220000"/>
    <n v="3940"/>
    <n v="50"/>
    <n v="-44206800000"/>
    <s v="COP"/>
    <d v="2022-02-18T00:00:00"/>
    <n v="3940"/>
    <n v="3953.26"/>
    <n v="-148777200.00000244"/>
    <x v="1"/>
  </r>
  <r>
    <x v="0"/>
    <x v="1"/>
    <m/>
    <x v="0"/>
    <s v="ZI"/>
    <s v="18.02.2022"/>
    <s v="*FX1000+ Compra divisas 0100000004283"/>
    <s v="USD"/>
    <n v="7900001541"/>
    <s v="18.02.2022"/>
    <n v="-10000000"/>
    <n v="3932.1"/>
    <n v="50"/>
    <n v="-39321000000"/>
    <s v="COP"/>
    <d v="2022-02-18T00:00:00"/>
    <n v="3932.1"/>
    <n v="3953.26"/>
    <n v="-211600000.0000031"/>
    <x v="1"/>
  </r>
  <r>
    <x v="0"/>
    <x v="1"/>
    <m/>
    <x v="0"/>
    <s v="ZI"/>
    <s v="18.02.2022"/>
    <s v="*FX1000+ Compra divisas 0100000004284"/>
    <s v="USD"/>
    <n v="7900001549"/>
    <s v="18.02.2022"/>
    <n v="-10000000"/>
    <n v="3934.75"/>
    <n v="50"/>
    <n v="-39347500000"/>
    <s v="COP"/>
    <d v="2022-02-18T00:00:00"/>
    <n v="3934.75"/>
    <n v="3953.26"/>
    <n v="-185100000.00000218"/>
    <x v="1"/>
  </r>
  <r>
    <x v="0"/>
    <x v="1"/>
    <m/>
    <x v="0"/>
    <s v="ZI"/>
    <s v="24.02.2022"/>
    <s v="*FX1000+ Compra divisas 0100000004285"/>
    <s v="USD"/>
    <n v="7900001557"/>
    <s v="24.02.2022"/>
    <n v="-11166860.82"/>
    <n v="3940.23"/>
    <n v="50"/>
    <n v="-44000000000"/>
    <s v="COP"/>
    <d v="2022-02-24T00:00:00"/>
    <n v="3940.23"/>
    <n v="3913.79"/>
    <n v="295251800.08080059"/>
    <x v="2"/>
  </r>
  <r>
    <x v="0"/>
    <x v="1"/>
    <m/>
    <x v="0"/>
    <s v="ZI"/>
    <s v="25.02.2022"/>
    <s v="*FX1000+ Compra divisas 0100000004286"/>
    <s v="USD"/>
    <n v="7900001581"/>
    <s v="25.02.2022"/>
    <n v="-2200000"/>
    <n v="3909"/>
    <n v="50"/>
    <n v="-8599800000"/>
    <s v="COP"/>
    <d v="2022-02-25T00:00:00"/>
    <n v="3909"/>
    <n v="3940.2"/>
    <n v="-68639999.999999598"/>
    <x v="1"/>
  </r>
  <r>
    <x v="0"/>
    <x v="1"/>
    <m/>
    <x v="0"/>
    <s v="ZI"/>
    <s v="28.02.2022"/>
    <s v="*FX2000- Venta divisas 0100000004289"/>
    <s v="USD"/>
    <n v="7900001614"/>
    <s v="28.02.2022"/>
    <n v="71203119"/>
    <n v="3913.79"/>
    <n v="40"/>
    <n v="278674055102"/>
    <s v="COP"/>
    <d v="2022-02-28T00:00:00"/>
    <n v="3913.79"/>
    <n v="3910.64"/>
    <n v="-224289824.85000646"/>
    <x v="1"/>
  </r>
  <r>
    <x v="0"/>
    <x v="1"/>
    <m/>
    <x v="0"/>
    <s v="ZI"/>
    <s v="28.02.2022"/>
    <s v="*FX2000- Venta divisas 0100000004290"/>
    <s v="USD"/>
    <n v="7900002067"/>
    <s v="28.02.2022"/>
    <n v="11163420.02"/>
    <n v="3940.2"/>
    <n v="40"/>
    <n v="43986107549"/>
    <s v="COP"/>
    <d v="2022-02-28T00:00:00"/>
    <n v="3940.2"/>
    <n v="3910.64"/>
    <n v="-329990695.79119939"/>
    <x v="1"/>
  </r>
  <r>
    <x v="0"/>
    <x v="1"/>
    <m/>
    <x v="0"/>
    <s v="ZI"/>
    <s v="28.02.2022"/>
    <s v="*FX2000- Venta divisas 0100000004291"/>
    <s v="USD"/>
    <n v="7900002405"/>
    <s v="28.02.2022"/>
    <n v="57520.75"/>
    <n v="3913.7898100000002"/>
    <n v="40"/>
    <n v="225124125"/>
    <s v="COP"/>
    <d v="2022-02-28T00:00:00"/>
    <n v="3913.79"/>
    <n v="3910.64"/>
    <n v="-181190.36250000523"/>
    <x v="1"/>
  </r>
  <r>
    <x v="0"/>
    <x v="1"/>
    <m/>
    <x v="1"/>
    <s v="DL"/>
    <s v="28.02.2022"/>
    <s v="*DE1200+ Intereses 0400000000007"/>
    <s v="COP"/>
    <n v="7900001621"/>
    <s v="28.02.2022"/>
    <n v="1919861111"/>
    <n v="1"/>
    <n v="40"/>
    <n v="1919861111"/>
    <s v="COP"/>
    <d v="2022-02-28T00:00:00"/>
    <n v="1"/>
    <n v="0"/>
    <n v="0"/>
    <x v="0"/>
  </r>
  <r>
    <x v="0"/>
    <x v="1"/>
    <m/>
    <x v="1"/>
    <s v="DL"/>
    <s v="28.02.2022"/>
    <s v="*DE1200- Intereses 0400000000007"/>
    <s v="COP"/>
    <n v="7900001622"/>
    <s v="28.02.2022"/>
    <n v="-2392638889"/>
    <n v="1"/>
    <n v="50"/>
    <n v="-2392638889"/>
    <s v="COP"/>
    <d v="2022-02-28T00:00:00"/>
    <n v="1"/>
    <n v="0"/>
    <n v="0"/>
    <x v="0"/>
  </r>
  <r>
    <x v="0"/>
    <x v="1"/>
    <m/>
    <x v="1"/>
    <s v="DL"/>
    <s v="28.02.2022"/>
    <s v="*DE1200- Intereses 0400000000041"/>
    <s v="COP"/>
    <n v="7900001629"/>
    <s v="28.02.2022"/>
    <n v="-816759145"/>
    <n v="1"/>
    <n v="50"/>
    <n v="-816759145"/>
    <s v="COP"/>
    <d v="2022-02-28T00:00:00"/>
    <n v="1"/>
    <n v="0"/>
    <n v="0"/>
    <x v="0"/>
  </r>
  <r>
    <x v="0"/>
    <x v="1"/>
    <m/>
    <x v="1"/>
    <s v="DL"/>
    <s v="28.02.2022"/>
    <s v="*DE1200+ Intereses 0400000000041"/>
    <s v="COP"/>
    <n v="7900001630"/>
    <s v="28.02.2022"/>
    <n v="739443610"/>
    <n v="1"/>
    <n v="40"/>
    <n v="739443610"/>
    <s v="COP"/>
    <d v="2022-02-28T00:00:00"/>
    <n v="1"/>
    <n v="0"/>
    <n v="0"/>
    <x v="0"/>
  </r>
  <r>
    <x v="0"/>
    <x v="1"/>
    <m/>
    <x v="1"/>
    <s v="DL"/>
    <s v="28.02.2022"/>
    <s v="*DE1200- Intereses 0400000000046"/>
    <s v="COP"/>
    <n v="7900001637"/>
    <s v="28.02.2022"/>
    <n v="-755389523"/>
    <n v="1"/>
    <n v="50"/>
    <n v="-755389523"/>
    <s v="COP"/>
    <d v="2022-02-28T00:00:00"/>
    <n v="1"/>
    <n v="0"/>
    <n v="0"/>
    <x v="0"/>
  </r>
  <r>
    <x v="0"/>
    <x v="1"/>
    <m/>
    <x v="1"/>
    <s v="DL"/>
    <s v="28.02.2022"/>
    <s v="*DE1200+ Intereses 0400000000046"/>
    <s v="COP"/>
    <n v="7900001638"/>
    <s v="28.02.2022"/>
    <n v="561409125"/>
    <n v="1"/>
    <n v="40"/>
    <n v="561409125"/>
    <s v="COP"/>
    <d v="2022-02-28T00:00:00"/>
    <n v="1"/>
    <n v="0"/>
    <n v="0"/>
    <x v="0"/>
  </r>
  <r>
    <x v="0"/>
    <x v="1"/>
    <m/>
    <x v="1"/>
    <s v="DL"/>
    <s v="28.02.2022"/>
    <s v="*DE1200+ Intereses 0400000000041"/>
    <s v="COP"/>
    <n v="7900001686"/>
    <s v="28.02.2022"/>
    <n v="-739443610"/>
    <n v="1"/>
    <n v="50"/>
    <n v="-739443610"/>
    <s v="COP"/>
    <d v="2022-02-28T00:00:00"/>
    <n v="1"/>
    <n v="0"/>
    <n v="0"/>
    <x v="0"/>
  </r>
  <r>
    <x v="0"/>
    <x v="1"/>
    <m/>
    <x v="1"/>
    <s v="DL"/>
    <s v="28.02.2022"/>
    <s v="*DE1200- Intereses 0400000000041"/>
    <s v="COP"/>
    <n v="7900001687"/>
    <s v="28.02.2022"/>
    <n v="816759145"/>
    <n v="1"/>
    <n v="40"/>
    <n v="816759145"/>
    <s v="COP"/>
    <d v="2022-02-28T00:00:00"/>
    <n v="1"/>
    <n v="0"/>
    <n v="0"/>
    <x v="0"/>
  </r>
  <r>
    <x v="0"/>
    <x v="1"/>
    <m/>
    <x v="1"/>
    <s v="DL"/>
    <s v="28.02.2022"/>
    <s v="*DE1200+ Intereses 0400000000046"/>
    <s v="COP"/>
    <n v="7900001694"/>
    <s v="28.02.2022"/>
    <n v="-561409125"/>
    <n v="1"/>
    <n v="50"/>
    <n v="-561409125"/>
    <s v="COP"/>
    <d v="2022-02-28T00:00:00"/>
    <n v="1"/>
    <n v="0"/>
    <n v="0"/>
    <x v="0"/>
  </r>
  <r>
    <x v="0"/>
    <x v="1"/>
    <m/>
    <x v="1"/>
    <s v="DL"/>
    <s v="28.02.2022"/>
    <s v="*DE1200- Intereses 0400000000046"/>
    <s v="COP"/>
    <n v="7900001695"/>
    <s v="28.02.2022"/>
    <n v="755389523"/>
    <n v="1"/>
    <n v="40"/>
    <n v="755389523"/>
    <s v="COP"/>
    <d v="2022-02-28T00:00:00"/>
    <n v="1"/>
    <n v="0"/>
    <n v="0"/>
    <x v="0"/>
  </r>
  <r>
    <x v="0"/>
    <x v="1"/>
    <m/>
    <x v="1"/>
    <s v="DL"/>
    <s v="28.02.2022"/>
    <s v="*DE1200+ Intereses 0400000000041"/>
    <s v="COP"/>
    <n v="7900001702"/>
    <s v="28.02.2022"/>
    <n v="739443610"/>
    <n v="1"/>
    <n v="40"/>
    <n v="739443610"/>
    <s v="COP"/>
    <d v="2022-02-28T00:00:00"/>
    <n v="1"/>
    <n v="0"/>
    <n v="0"/>
    <x v="0"/>
  </r>
  <r>
    <x v="0"/>
    <x v="1"/>
    <m/>
    <x v="1"/>
    <s v="DL"/>
    <s v="28.02.2022"/>
    <s v="*DE1200- Intereses 0400000000041"/>
    <s v="COP"/>
    <n v="7900001703"/>
    <s v="28.02.2022"/>
    <n v="-816759145"/>
    <n v="1"/>
    <n v="50"/>
    <n v="-816759145"/>
    <s v="COP"/>
    <d v="2022-02-28T00:00:00"/>
    <n v="1"/>
    <n v="0"/>
    <n v="0"/>
    <x v="0"/>
  </r>
  <r>
    <x v="0"/>
    <x v="1"/>
    <m/>
    <x v="1"/>
    <s v="DL"/>
    <s v="28.02.2022"/>
    <s v="*DE1200+ Intereses 0400000000046"/>
    <s v="COP"/>
    <n v="7900001710"/>
    <s v="28.02.2022"/>
    <n v="561409125"/>
    <n v="1"/>
    <n v="40"/>
    <n v="561409125"/>
    <s v="COP"/>
    <d v="2022-02-28T00:00:00"/>
    <n v="1"/>
    <n v="0"/>
    <n v="0"/>
    <x v="0"/>
  </r>
  <r>
    <x v="0"/>
    <x v="1"/>
    <m/>
    <x v="1"/>
    <s v="DL"/>
    <s v="28.02.2022"/>
    <s v="*DE1200- Intereses 0400000000046"/>
    <s v="COP"/>
    <n v="7900001711"/>
    <s v="28.02.2022"/>
    <n v="-755389523"/>
    <n v="1"/>
    <n v="50"/>
    <n v="-755389523"/>
    <s v="COP"/>
    <d v="2022-02-28T00:00:00"/>
    <n v="1"/>
    <n v="0"/>
    <n v="0"/>
    <x v="0"/>
  </r>
  <r>
    <x v="0"/>
    <x v="1"/>
    <m/>
    <x v="1"/>
    <s v="ZI"/>
    <s v="17.02.2022"/>
    <s v="*FX2000- Venta divisas 0100000004267"/>
    <s v="COP"/>
    <n v="7900001454"/>
    <s v="17.02.2022"/>
    <n v="-59355000000"/>
    <n v="1"/>
    <n v="50"/>
    <n v="-59355000000"/>
    <s v="COP"/>
    <d v="2022-02-17T00:00:00"/>
    <n v="1"/>
    <n v="0"/>
    <n v="0"/>
    <x v="0"/>
  </r>
  <r>
    <x v="0"/>
    <x v="1"/>
    <m/>
    <x v="1"/>
    <s v="ZI"/>
    <s v="17.02.2022"/>
    <s v="*FX2000- Venta divisas 0100000004268"/>
    <s v="COP"/>
    <n v="7900001462"/>
    <s v="17.02.2022"/>
    <n v="-59362500000"/>
    <n v="1"/>
    <n v="50"/>
    <n v="-59362500000"/>
    <s v="COP"/>
    <d v="2022-02-17T00:00:00"/>
    <n v="1"/>
    <n v="0"/>
    <n v="0"/>
    <x v="0"/>
  </r>
  <r>
    <x v="0"/>
    <x v="1"/>
    <m/>
    <x v="1"/>
    <s v="ZI"/>
    <s v="17.02.2022"/>
    <s v="*FX2000- Venta divisas 0100000004269"/>
    <s v="COP"/>
    <n v="7900001470"/>
    <s v="17.02.2022"/>
    <n v="-39533000000"/>
    <n v="1"/>
    <n v="50"/>
    <n v="-39533000000"/>
    <s v="COP"/>
    <d v="2022-02-17T00:00:00"/>
    <n v="1"/>
    <n v="0"/>
    <n v="0"/>
    <x v="0"/>
  </r>
  <r>
    <x v="0"/>
    <x v="1"/>
    <m/>
    <x v="1"/>
    <s v="ZI"/>
    <s v="18.02.2022"/>
    <s v="*FX2000- Venta divisas 0100000004282"/>
    <s v="COP"/>
    <n v="7900001534"/>
    <s v="18.02.2022"/>
    <n v="-44206800000"/>
    <n v="1"/>
    <n v="50"/>
    <n v="-44206800000"/>
    <s v="COP"/>
    <d v="2022-02-18T00:00:00"/>
    <n v="1"/>
    <n v="0"/>
    <n v="0"/>
    <x v="0"/>
  </r>
  <r>
    <x v="0"/>
    <x v="1"/>
    <m/>
    <x v="1"/>
    <s v="ZI"/>
    <s v="18.02.2022"/>
    <s v="*FX2000- Venta divisas 0100000004283"/>
    <s v="COP"/>
    <n v="7900001542"/>
    <s v="18.02.2022"/>
    <n v="-39321000000"/>
    <n v="1"/>
    <n v="50"/>
    <n v="-39321000000"/>
    <s v="COP"/>
    <d v="2022-02-18T00:00:00"/>
    <n v="1"/>
    <n v="0"/>
    <n v="0"/>
    <x v="0"/>
  </r>
  <r>
    <x v="0"/>
    <x v="1"/>
    <m/>
    <x v="1"/>
    <s v="ZI"/>
    <s v="18.02.2022"/>
    <s v="*FX2000- Venta divisas 0100000004284"/>
    <s v="COP"/>
    <n v="7900001550"/>
    <s v="18.02.2022"/>
    <n v="-39347500000"/>
    <n v="1"/>
    <n v="50"/>
    <n v="-39347500000"/>
    <s v="COP"/>
    <d v="2022-02-18T00:00:00"/>
    <n v="1"/>
    <n v="0"/>
    <n v="0"/>
    <x v="0"/>
  </r>
  <r>
    <x v="0"/>
    <x v="1"/>
    <m/>
    <x v="1"/>
    <s v="ZI"/>
    <s v="24.02.2022"/>
    <s v="*FX2000- Venta divisas 0100000004285"/>
    <s v="COP"/>
    <n v="7900001558"/>
    <s v="24.02.2022"/>
    <n v="-44000000000"/>
    <n v="1"/>
    <n v="50"/>
    <n v="-44000000000"/>
    <s v="COP"/>
    <d v="2022-02-24T00:00:00"/>
    <n v="1"/>
    <n v="0"/>
    <n v="0"/>
    <x v="0"/>
  </r>
  <r>
    <x v="0"/>
    <x v="1"/>
    <m/>
    <x v="1"/>
    <s v="ZI"/>
    <s v="25.02.2022"/>
    <s v="*FX2000- Venta divisas 0100000004286"/>
    <s v="COP"/>
    <n v="7900001582"/>
    <s v="25.02.2022"/>
    <n v="-8599800000"/>
    <n v="1"/>
    <n v="50"/>
    <n v="-8599800000"/>
    <s v="COP"/>
    <d v="2022-02-25T00:00:00"/>
    <n v="1"/>
    <n v="0"/>
    <n v="0"/>
    <x v="0"/>
  </r>
  <r>
    <x v="0"/>
    <x v="1"/>
    <m/>
    <x v="1"/>
    <s v="ZP"/>
    <s v="21.02.2022"/>
    <m/>
    <s v="COP"/>
    <n v="2000001483"/>
    <s v="21.02.2022"/>
    <n v="11418025300"/>
    <n v="1"/>
    <n v="40"/>
    <n v="11418025300"/>
    <s v="COP"/>
    <d v="2022-02-21T00:00:00"/>
    <n v="1"/>
    <n v="0"/>
    <n v="0"/>
    <x v="0"/>
  </r>
  <r>
    <x v="0"/>
    <x v="1"/>
    <m/>
    <x v="1"/>
    <s v="ZP"/>
    <s v="17.02.2022"/>
    <m/>
    <s v="COP"/>
    <n v="2000001531"/>
    <s v="17.02.2022"/>
    <n v="59355000000"/>
    <n v="1"/>
    <n v="40"/>
    <n v="59355000000"/>
    <s v="COP"/>
    <d v="2022-02-17T00:00:00"/>
    <n v="1"/>
    <n v="0"/>
    <n v="0"/>
    <x v="0"/>
  </r>
  <r>
    <x v="0"/>
    <x v="1"/>
    <m/>
    <x v="1"/>
    <s v="ZP"/>
    <s v="17.02.2022"/>
    <m/>
    <s v="COP"/>
    <n v="2000001532"/>
    <s v="17.02.2022"/>
    <n v="59362500000"/>
    <n v="1"/>
    <n v="40"/>
    <n v="59362500000"/>
    <s v="COP"/>
    <d v="2022-02-17T00:00:00"/>
    <n v="1"/>
    <n v="0"/>
    <n v="0"/>
    <x v="0"/>
  </r>
  <r>
    <x v="0"/>
    <x v="1"/>
    <m/>
    <x v="1"/>
    <s v="ZP"/>
    <s v="17.02.2022"/>
    <m/>
    <s v="COP"/>
    <n v="2000001533"/>
    <s v="17.02.2022"/>
    <n v="39533000000"/>
    <n v="1"/>
    <n v="40"/>
    <n v="39533000000"/>
    <s v="COP"/>
    <d v="2022-02-17T00:00:00"/>
    <n v="1"/>
    <n v="0"/>
    <n v="0"/>
    <x v="0"/>
  </r>
  <r>
    <x v="0"/>
    <x v="1"/>
    <m/>
    <x v="1"/>
    <s v="ZP"/>
    <s v="18.02.2022"/>
    <m/>
    <s v="COP"/>
    <n v="2000001640"/>
    <s v="18.02.2022"/>
    <n v="44206800000"/>
    <n v="1"/>
    <n v="40"/>
    <n v="44206800000"/>
    <s v="COP"/>
    <d v="2022-02-18T00:00:00"/>
    <n v="1"/>
    <n v="0"/>
    <n v="0"/>
    <x v="0"/>
  </r>
  <r>
    <x v="0"/>
    <x v="1"/>
    <m/>
    <x v="1"/>
    <s v="ZP"/>
    <s v="18.02.2022"/>
    <m/>
    <s v="COP"/>
    <n v="2000001641"/>
    <s v="18.02.2022"/>
    <n v="39321000000"/>
    <n v="1"/>
    <n v="40"/>
    <n v="39321000000"/>
    <s v="COP"/>
    <d v="2022-02-18T00:00:00"/>
    <n v="1"/>
    <n v="0"/>
    <n v="0"/>
    <x v="0"/>
  </r>
  <r>
    <x v="0"/>
    <x v="1"/>
    <m/>
    <x v="1"/>
    <s v="ZP"/>
    <s v="18.02.2022"/>
    <m/>
    <s v="COP"/>
    <n v="2000001642"/>
    <s v="18.02.2022"/>
    <n v="39347500000"/>
    <n v="1"/>
    <n v="40"/>
    <n v="39347500000"/>
    <s v="COP"/>
    <d v="2022-02-18T00:00:00"/>
    <n v="1"/>
    <n v="0"/>
    <n v="0"/>
    <x v="0"/>
  </r>
  <r>
    <x v="0"/>
    <x v="1"/>
    <m/>
    <x v="1"/>
    <s v="ZP"/>
    <s v="24.02.2022"/>
    <m/>
    <s v="COP"/>
    <n v="2000001643"/>
    <s v="24.02.2022"/>
    <n v="44000000000"/>
    <n v="1"/>
    <n v="40"/>
    <n v="44000000000"/>
    <s v="COP"/>
    <d v="2022-02-24T00:00:00"/>
    <n v="1"/>
    <n v="0"/>
    <n v="0"/>
    <x v="0"/>
  </r>
  <r>
    <x v="0"/>
    <x v="1"/>
    <m/>
    <x v="1"/>
    <s v="ZP"/>
    <s v="25.02.2022"/>
    <m/>
    <s v="COP"/>
    <n v="2000001681"/>
    <s v="25.02.2022"/>
    <n v="8599800000"/>
    <n v="1"/>
    <n v="40"/>
    <n v="8599800000"/>
    <s v="COP"/>
    <d v="2022-02-25T00:00:00"/>
    <n v="1"/>
    <n v="0"/>
    <n v="0"/>
    <x v="0"/>
  </r>
  <r>
    <x v="0"/>
    <x v="1"/>
    <m/>
    <x v="1"/>
    <s v="ZP"/>
    <s v="28.02.2022"/>
    <m/>
    <s v="COP"/>
    <n v="2000001682"/>
    <s v="28.02.2022"/>
    <n v="8023105547"/>
    <n v="1"/>
    <n v="40"/>
    <n v="8023105547"/>
    <s v="COP"/>
    <d v="2022-02-28T00:00:00"/>
    <n v="1"/>
    <n v="0"/>
    <n v="0"/>
    <x v="0"/>
  </r>
  <r>
    <x v="0"/>
    <x v="1"/>
    <m/>
    <x v="1"/>
    <s v="ZP"/>
    <s v="28.02.2022"/>
    <m/>
    <s v="COP"/>
    <n v="2000001684"/>
    <s v="28.02.2022"/>
    <n v="22502325000"/>
    <n v="1"/>
    <n v="40"/>
    <n v="22502325000"/>
    <s v="COP"/>
    <d v="2022-02-28T00:00:00"/>
    <n v="1"/>
    <n v="0"/>
    <n v="0"/>
    <x v="0"/>
  </r>
  <r>
    <x v="0"/>
    <x v="1"/>
    <m/>
    <x v="1"/>
    <s v="ZP"/>
    <s v="28.02.2022"/>
    <m/>
    <s v="COP"/>
    <n v="2000001685"/>
    <s v="28.02.2022"/>
    <n v="472777778"/>
    <n v="1"/>
    <n v="40"/>
    <n v="472777778"/>
    <s v="COP"/>
    <d v="2022-02-28T00:00:00"/>
    <n v="1"/>
    <n v="0"/>
    <n v="0"/>
    <x v="0"/>
  </r>
  <r>
    <x v="0"/>
    <x v="1"/>
    <m/>
    <x v="1"/>
    <s v="ZP"/>
    <s v="28.02.2022"/>
    <m/>
    <s v="COP"/>
    <n v="2000001744"/>
    <s v="28.02.2022"/>
    <n v="271295933"/>
    <n v="1"/>
    <n v="40"/>
    <n v="271295933"/>
    <s v="COP"/>
    <d v="2022-02-28T00:00:00"/>
    <n v="1"/>
    <n v="0"/>
    <n v="0"/>
    <x v="0"/>
  </r>
  <r>
    <x v="0"/>
    <x v="1"/>
    <m/>
    <x v="1"/>
    <s v="ZS"/>
    <s v="21.02.2022"/>
    <s v="*CML1110 0001000003902"/>
    <s v="COP"/>
    <n v="7900001418"/>
    <s v="21.02.2022"/>
    <n v="-3765138240"/>
    <n v="1"/>
    <n v="50"/>
    <n v="-3765138240"/>
    <s v="COP"/>
    <d v="2022-02-21T00:00:00"/>
    <n v="1"/>
    <n v="0"/>
    <n v="0"/>
    <x v="0"/>
  </r>
  <r>
    <x v="0"/>
    <x v="1"/>
    <m/>
    <x v="1"/>
    <s v="ZS"/>
    <s v="21.02.2022"/>
    <s v="*CML1110 0001000003901"/>
    <s v="COP"/>
    <n v="7900001419"/>
    <s v="21.02.2022"/>
    <n v="-3836703260"/>
    <n v="1"/>
    <n v="50"/>
    <n v="-3836703260"/>
    <s v="COP"/>
    <d v="2022-02-21T00:00:00"/>
    <n v="1"/>
    <n v="0"/>
    <n v="0"/>
    <x v="0"/>
  </r>
  <r>
    <x v="0"/>
    <x v="1"/>
    <m/>
    <x v="1"/>
    <s v="ZS"/>
    <s v="21.02.2022"/>
    <s v="*CML1110 0001000003900"/>
    <s v="COP"/>
    <n v="7900001420"/>
    <s v="21.02.2022"/>
    <n v="-3816183800"/>
    <n v="1"/>
    <n v="50"/>
    <n v="-3816183800"/>
    <s v="COP"/>
    <d v="2022-02-21T00:00:00"/>
    <n v="1"/>
    <n v="0"/>
    <n v="0"/>
    <x v="0"/>
  </r>
  <r>
    <x v="0"/>
    <x v="1"/>
    <m/>
    <x v="1"/>
    <s v="ZS"/>
    <s v="21.02.2022"/>
    <s v="*CML1110 0001000003900"/>
    <s v="COP"/>
    <n v="7900001427"/>
    <s v="21.02.2022"/>
    <n v="3816183800"/>
    <n v="1"/>
    <n v="40"/>
    <n v="3816183800"/>
    <s v="COP"/>
    <d v="2022-02-21T00:00:00"/>
    <n v="1"/>
    <n v="0"/>
    <n v="0"/>
    <x v="0"/>
  </r>
  <r>
    <x v="0"/>
    <x v="1"/>
    <m/>
    <x v="1"/>
    <s v="ZS"/>
    <s v="21.02.2022"/>
    <s v="*CML1110 0001000003901"/>
    <s v="COP"/>
    <n v="7900001431"/>
    <s v="21.02.2022"/>
    <n v="3836703260"/>
    <n v="1"/>
    <n v="40"/>
    <n v="3836703260"/>
    <s v="COP"/>
    <d v="2022-02-21T00:00:00"/>
    <n v="1"/>
    <n v="0"/>
    <n v="0"/>
    <x v="0"/>
  </r>
  <r>
    <x v="0"/>
    <x v="1"/>
    <m/>
    <x v="1"/>
    <s v="ZS"/>
    <s v="21.02.2022"/>
    <s v="*CML1110 0001000003902"/>
    <s v="COP"/>
    <n v="7900001435"/>
    <s v="21.02.2022"/>
    <n v="3765138240"/>
    <n v="1"/>
    <n v="40"/>
    <n v="3765138240"/>
    <s v="COP"/>
    <d v="2022-02-21T00:00:00"/>
    <n v="1"/>
    <n v="0"/>
    <n v="0"/>
    <x v="0"/>
  </r>
  <r>
    <x v="0"/>
    <x v="1"/>
    <m/>
    <x v="1"/>
    <s v="ZS"/>
    <s v="21.02.2022"/>
    <s v="*CML1110 0001000003901"/>
    <s v="COP"/>
    <n v="7900001443"/>
    <s v="21.02.2022"/>
    <n v="-3836703260"/>
    <n v="1"/>
    <n v="50"/>
    <n v="-3836703260"/>
    <s v="COP"/>
    <d v="2022-02-21T00:00:00"/>
    <n v="1"/>
    <n v="0"/>
    <n v="0"/>
    <x v="0"/>
  </r>
  <r>
    <x v="0"/>
    <x v="1"/>
    <m/>
    <x v="1"/>
    <s v="ZS"/>
    <s v="21.02.2022"/>
    <s v="*CML1110 0001000003900"/>
    <s v="COP"/>
    <n v="7900001444"/>
    <s v="21.02.2022"/>
    <n v="-3816183800"/>
    <n v="1"/>
    <n v="50"/>
    <n v="-3816183800"/>
    <s v="COP"/>
    <d v="2022-02-21T00:00:00"/>
    <n v="1"/>
    <n v="0"/>
    <n v="0"/>
    <x v="0"/>
  </r>
  <r>
    <x v="0"/>
    <x v="1"/>
    <m/>
    <x v="1"/>
    <s v="ZS"/>
    <s v="21.02.2022"/>
    <s v="*CML1110 0001000003902"/>
    <s v="COP"/>
    <n v="7900001445"/>
    <s v="21.02.2022"/>
    <n v="-3765138240"/>
    <n v="1"/>
    <n v="50"/>
    <n v="-3765138240"/>
    <s v="COP"/>
    <d v="2022-02-21T00:00:00"/>
    <n v="1"/>
    <n v="0"/>
    <n v="0"/>
    <x v="0"/>
  </r>
  <r>
    <x v="0"/>
    <x v="1"/>
    <m/>
    <x v="1"/>
    <s v="ZS"/>
    <s v="28.02.2022"/>
    <s v="*CML1110 0001000003700"/>
    <s v="COP"/>
    <n v="7900001571"/>
    <s v="28.02.2022"/>
    <n v="-8023105547"/>
    <n v="1"/>
    <n v="50"/>
    <n v="-8023105547"/>
    <s v="COP"/>
    <d v="2022-02-28T00:00:00"/>
    <n v="1"/>
    <n v="0"/>
    <n v="0"/>
    <x v="0"/>
  </r>
  <r>
    <x v="0"/>
    <x v="1"/>
    <m/>
    <x v="1"/>
    <s v="ZS"/>
    <s v="28.02.2022"/>
    <s v="*CML1110 0001000003000"/>
    <s v="COP"/>
    <n v="7900001599"/>
    <s v="28.02.2022"/>
    <n v="-6559875000"/>
    <n v="1"/>
    <n v="50"/>
    <n v="-6559875000"/>
    <s v="COP"/>
    <d v="2022-02-28T00:00:00"/>
    <n v="1"/>
    <n v="0"/>
    <n v="0"/>
    <x v="0"/>
  </r>
  <r>
    <x v="0"/>
    <x v="1"/>
    <m/>
    <x v="1"/>
    <s v="ZS"/>
    <s v="28.02.2022"/>
    <s v="*CML1110 0001000003801"/>
    <s v="COP"/>
    <n v="7900001600"/>
    <s v="28.02.2022"/>
    <n v="-4229400000"/>
    <n v="1"/>
    <n v="50"/>
    <n v="-4229400000"/>
    <s v="COP"/>
    <d v="2022-02-28T00:00:00"/>
    <n v="1"/>
    <n v="0"/>
    <n v="0"/>
    <x v="0"/>
  </r>
  <r>
    <x v="0"/>
    <x v="1"/>
    <m/>
    <x v="1"/>
    <s v="ZS"/>
    <s v="28.02.2022"/>
    <s v="*CML1110 0001000003001"/>
    <s v="COP"/>
    <n v="7900001601"/>
    <s v="28.02.2022"/>
    <n v="-3047400000"/>
    <n v="1"/>
    <n v="50"/>
    <n v="-3047400000"/>
    <s v="COP"/>
    <d v="2022-02-28T00:00:00"/>
    <n v="1"/>
    <n v="0"/>
    <n v="0"/>
    <x v="0"/>
  </r>
  <r>
    <x v="0"/>
    <x v="1"/>
    <m/>
    <x v="1"/>
    <s v="ZS"/>
    <s v="28.02.2022"/>
    <s v="*CML1110 0001000003002"/>
    <s v="COP"/>
    <n v="7900001602"/>
    <s v="28.02.2022"/>
    <n v="-4809150000"/>
    <n v="1"/>
    <n v="50"/>
    <n v="-4809150000"/>
    <s v="COP"/>
    <d v="2022-02-28T00:00:00"/>
    <n v="1"/>
    <n v="0"/>
    <n v="0"/>
    <x v="0"/>
  </r>
  <r>
    <x v="0"/>
    <x v="1"/>
    <m/>
    <x v="1"/>
    <s v="ZS"/>
    <s v="28.02.2022"/>
    <s v="*CML1110 0001000003800"/>
    <s v="COP"/>
    <n v="7900001603"/>
    <s v="28.02.2022"/>
    <n v="-3856500000"/>
    <n v="1"/>
    <n v="50"/>
    <n v="-3856500000"/>
    <s v="COP"/>
    <d v="2022-02-28T00:00:00"/>
    <n v="1"/>
    <n v="0"/>
    <n v="0"/>
    <x v="0"/>
  </r>
  <r>
    <x v="0"/>
    <x v="1"/>
    <m/>
    <x v="1"/>
    <s v="ZI"/>
    <s v="28.02.2022"/>
    <s v="*FX2000- Venta divisas 0100000004289"/>
    <s v="USD"/>
    <n v="7900001614"/>
    <s v="28.02.2022"/>
    <n v="-71203119"/>
    <n v="3913.79"/>
    <n v="50"/>
    <n v="-278674055102"/>
    <s v="COP"/>
    <d v="2022-02-28T00:00:00"/>
    <n v="3913.79"/>
    <n v="3910.64"/>
    <n v="-224289824.85000646"/>
    <x v="1"/>
  </r>
  <r>
    <x v="0"/>
    <x v="1"/>
    <m/>
    <x v="1"/>
    <s v="ZI"/>
    <s v="28.02.2022"/>
    <s v="*FX2000- Venta divisas 0100000004290"/>
    <s v="USD"/>
    <n v="7900002067"/>
    <s v="28.02.2022"/>
    <n v="-11163420.02"/>
    <n v="3940.2"/>
    <n v="50"/>
    <n v="-43986107549"/>
    <s v="COP"/>
    <d v="2022-02-28T00:00:00"/>
    <n v="3940.2"/>
    <n v="3910.64"/>
    <n v="-329990695.79119939"/>
    <x v="1"/>
  </r>
  <r>
    <x v="0"/>
    <x v="1"/>
    <m/>
    <x v="1"/>
    <s v="ZI"/>
    <s v="28.02.2022"/>
    <s v="*FX2000- Venta divisas 0100000004291"/>
    <s v="USD"/>
    <n v="7900002405"/>
    <s v="28.02.2022"/>
    <n v="-57520.75"/>
    <n v="3913.7898100000002"/>
    <n v="50"/>
    <n v="-225124125"/>
    <s v="COP"/>
    <d v="2022-02-28T00:00:00"/>
    <n v="3913.79"/>
    <n v="3910.64"/>
    <n v="-181190.36250000523"/>
    <x v="1"/>
  </r>
  <r>
    <x v="0"/>
    <x v="1"/>
    <m/>
    <x v="1"/>
    <s v="ZP"/>
    <s v="28.02.2022"/>
    <m/>
    <s v="USD"/>
    <n v="2000001686"/>
    <s v="28.02.2022"/>
    <n v="71203119"/>
    <n v="3913.79"/>
    <n v="40"/>
    <n v="278674055102"/>
    <s v="COP"/>
    <d v="2022-02-28T00:00:00"/>
    <n v="3913.79"/>
    <n v="3910.64"/>
    <n v="224289824.85000646"/>
    <x v="2"/>
  </r>
  <r>
    <x v="0"/>
    <x v="1"/>
    <m/>
    <x v="1"/>
    <s v="ZP"/>
    <s v="28.02.2022"/>
    <m/>
    <s v="USD"/>
    <n v="2000001745"/>
    <s v="28.02.2022"/>
    <n v="11163420.02"/>
    <n v="3940.2"/>
    <n v="40"/>
    <n v="43986107549"/>
    <s v="COP"/>
    <d v="2022-02-28T00:00:00"/>
    <n v="3940.2"/>
    <n v="3910.64"/>
    <n v="329990695.79119939"/>
    <x v="2"/>
  </r>
  <r>
    <x v="0"/>
    <x v="1"/>
    <m/>
    <x v="1"/>
    <s v="ZP"/>
    <s v="28.02.2022"/>
    <m/>
    <s v="USD"/>
    <n v="2000001747"/>
    <s v="28.02.2022"/>
    <n v="57520.75"/>
    <n v="3913.7898100000002"/>
    <n v="40"/>
    <n v="225124125"/>
    <s v="COP"/>
    <d v="2022-02-28T00:00:00"/>
    <n v="3913.79"/>
    <n v="3910.64"/>
    <n v="181190.36250000523"/>
    <x v="2"/>
  </r>
  <r>
    <x v="0"/>
    <x v="2"/>
    <m/>
    <x v="0"/>
    <s v="ZI"/>
    <s v="03.03.2022"/>
    <s v="*FX2000- Venta divisas 0100000004292"/>
    <s v="COP"/>
    <n v="7900002468"/>
    <s v="03.03.2022"/>
    <n v="4718323019"/>
    <n v="1"/>
    <n v="40"/>
    <n v="4718323019"/>
    <s v="COP"/>
    <d v="2022-03-03T00:00:00"/>
    <n v="1"/>
    <n v="0"/>
    <n v="0"/>
    <x v="0"/>
  </r>
  <r>
    <x v="0"/>
    <x v="2"/>
    <m/>
    <x v="0"/>
    <s v="ZI"/>
    <s v="11.03.2022"/>
    <s v="*FX2000- Venta divisas 0100000004293"/>
    <s v="COP"/>
    <n v="7900002556"/>
    <s v="11.03.2022"/>
    <n v="38390000000"/>
    <n v="1"/>
    <n v="40"/>
    <n v="38390000000"/>
    <s v="COP"/>
    <d v="2022-03-11T00:00:00"/>
    <n v="1"/>
    <n v="0"/>
    <n v="0"/>
    <x v="0"/>
  </r>
  <r>
    <x v="0"/>
    <x v="2"/>
    <m/>
    <x v="0"/>
    <s v="ZI"/>
    <s v="11.03.2022"/>
    <s v="*FX2000- Venta divisas 0100000004296"/>
    <s v="COP"/>
    <n v="7900002564"/>
    <s v="11.03.2022"/>
    <n v="57367500000"/>
    <n v="1"/>
    <n v="40"/>
    <n v="57367500000"/>
    <s v="COP"/>
    <d v="2022-03-11T00:00:00"/>
    <n v="1"/>
    <n v="0"/>
    <n v="0"/>
    <x v="0"/>
  </r>
  <r>
    <x v="0"/>
    <x v="2"/>
    <m/>
    <x v="0"/>
    <s v="ZI"/>
    <s v="11.03.2022"/>
    <s v="*FX2000- Venta divisas 0100000004297"/>
    <s v="COP"/>
    <n v="7900002572"/>
    <s v="11.03.2022"/>
    <n v="19087500000"/>
    <n v="1"/>
    <n v="40"/>
    <n v="19087500000"/>
    <s v="COP"/>
    <d v="2022-03-11T00:00:00"/>
    <n v="1"/>
    <n v="0"/>
    <n v="0"/>
    <x v="0"/>
  </r>
  <r>
    <x v="0"/>
    <x v="2"/>
    <m/>
    <x v="0"/>
    <s v="ZI"/>
    <s v="14.03.2022"/>
    <s v="*FX2000- Venta divisas 0100000004299"/>
    <s v="COP"/>
    <n v="7900002580"/>
    <s v="14.03.2022"/>
    <n v="18914000000"/>
    <n v="1"/>
    <n v="40"/>
    <n v="18914000000"/>
    <s v="COP"/>
    <d v="2022-03-14T00:00:00"/>
    <n v="1"/>
    <n v="0"/>
    <n v="0"/>
    <x v="0"/>
  </r>
  <r>
    <x v="0"/>
    <x v="2"/>
    <m/>
    <x v="0"/>
    <s v="ZI"/>
    <s v="14.03.2022"/>
    <s v="*FX2000- Venta divisas 0100000004300"/>
    <s v="COP"/>
    <n v="7900002588"/>
    <s v="14.03.2022"/>
    <n v="18922500000"/>
    <n v="1"/>
    <n v="40"/>
    <n v="18922500000"/>
    <s v="COP"/>
    <d v="2022-03-14T00:00:00"/>
    <n v="1"/>
    <n v="0"/>
    <n v="0"/>
    <x v="0"/>
  </r>
  <r>
    <x v="0"/>
    <x v="2"/>
    <m/>
    <x v="0"/>
    <s v="ZI"/>
    <s v="14.03.2022"/>
    <s v="*FX2000- Venta divisas 0100000004304"/>
    <s v="COP"/>
    <n v="7900002596"/>
    <s v="14.03.2022"/>
    <n v="38037900000"/>
    <n v="1"/>
    <n v="40"/>
    <n v="38037900000"/>
    <s v="COP"/>
    <d v="2022-03-14T00:00:00"/>
    <n v="1"/>
    <n v="0"/>
    <n v="0"/>
    <x v="0"/>
  </r>
  <r>
    <x v="0"/>
    <x v="2"/>
    <m/>
    <x v="0"/>
    <s v="ZI"/>
    <s v="16.03.2022"/>
    <s v="*FX2000- Venta divisas 0100000004309"/>
    <s v="COP"/>
    <n v="7900002604"/>
    <s v="16.03.2022"/>
    <n v="3305900010"/>
    <n v="1"/>
    <n v="40"/>
    <n v="3305900010"/>
    <s v="COP"/>
    <d v="2022-03-16T00:00:00"/>
    <n v="1"/>
    <n v="0"/>
    <n v="0"/>
    <x v="0"/>
  </r>
  <r>
    <x v="0"/>
    <x v="2"/>
    <m/>
    <x v="0"/>
    <s v="ZI"/>
    <s v="16.03.2022"/>
    <s v="*FX2000- Venta divisas 0100000004311"/>
    <s v="COP"/>
    <n v="7900002612"/>
    <s v="16.03.2022"/>
    <n v="4699999986"/>
    <n v="1"/>
    <n v="40"/>
    <n v="4699999986"/>
    <s v="COP"/>
    <d v="2022-03-16T00:00:00"/>
    <n v="1"/>
    <n v="0"/>
    <n v="0"/>
    <x v="0"/>
  </r>
  <r>
    <x v="0"/>
    <x v="2"/>
    <m/>
    <x v="0"/>
    <s v="ZI"/>
    <s v="16.03.2022"/>
    <s v="*FX2000- Venta divisas 0100000004313"/>
    <s v="COP"/>
    <n v="7900002620"/>
    <s v="16.03.2022"/>
    <n v="6890400000"/>
    <n v="1"/>
    <n v="40"/>
    <n v="6890400000"/>
    <s v="COP"/>
    <d v="2022-03-16T00:00:00"/>
    <n v="1"/>
    <n v="0"/>
    <n v="0"/>
    <x v="0"/>
  </r>
  <r>
    <x v="0"/>
    <x v="2"/>
    <m/>
    <x v="0"/>
    <s v="ZI"/>
    <s v="16.03.2022"/>
    <s v="*FX2000- Venta divisas 0100000004314"/>
    <s v="COP"/>
    <n v="7900002628"/>
    <s v="16.03.2022"/>
    <n v="5355000000"/>
    <n v="1"/>
    <n v="40"/>
    <n v="5355000000"/>
    <s v="COP"/>
    <d v="2022-03-16T00:00:00"/>
    <n v="1"/>
    <n v="0"/>
    <n v="0"/>
    <x v="0"/>
  </r>
  <r>
    <x v="0"/>
    <x v="2"/>
    <m/>
    <x v="0"/>
    <s v="ZI"/>
    <s v="16.03.2022"/>
    <s v="*FX2000- Venta divisas 0100000004315"/>
    <s v="COP"/>
    <n v="7900002636"/>
    <s v="16.03.2022"/>
    <n v="22975200000"/>
    <n v="1"/>
    <n v="40"/>
    <n v="22975200000"/>
    <s v="COP"/>
    <d v="2022-03-16T00:00:00"/>
    <n v="1"/>
    <n v="0"/>
    <n v="0"/>
    <x v="0"/>
  </r>
  <r>
    <x v="0"/>
    <x v="2"/>
    <m/>
    <x v="0"/>
    <s v="ZI"/>
    <s v="16.03.2022"/>
    <s v="*FX2000- Venta divisas 0100000004316"/>
    <s v="COP"/>
    <n v="7900002644"/>
    <s v="16.03.2022"/>
    <n v="3827600000"/>
    <n v="1"/>
    <n v="40"/>
    <n v="3827600000"/>
    <s v="COP"/>
    <d v="2022-03-16T00:00:00"/>
    <n v="1"/>
    <n v="0"/>
    <n v="0"/>
    <x v="0"/>
  </r>
  <r>
    <x v="0"/>
    <x v="2"/>
    <m/>
    <x v="0"/>
    <s v="ZI"/>
    <s v="11.03.2022"/>
    <s v="*FX2000- Venta divisas 0100000004294"/>
    <s v="COP"/>
    <n v="7900002676"/>
    <s v="11.03.2022"/>
    <n v="57517500000"/>
    <n v="1"/>
    <n v="40"/>
    <n v="57517500000"/>
    <s v="COP"/>
    <d v="2022-03-11T00:00:00"/>
    <n v="1"/>
    <n v="0"/>
    <n v="0"/>
    <x v="0"/>
  </r>
  <r>
    <x v="0"/>
    <x v="2"/>
    <m/>
    <x v="0"/>
    <s v="ZI"/>
    <s v="11.03.2022"/>
    <s v="*FX2000- Venta divisas 0100000004295"/>
    <s v="COP"/>
    <n v="7900002684"/>
    <s v="11.03.2022"/>
    <n v="57487500000"/>
    <n v="1"/>
    <n v="40"/>
    <n v="57487500000"/>
    <s v="COP"/>
    <d v="2022-03-11T00:00:00"/>
    <n v="1"/>
    <n v="0"/>
    <n v="0"/>
    <x v="0"/>
  </r>
  <r>
    <x v="0"/>
    <x v="2"/>
    <m/>
    <x v="0"/>
    <s v="ZI"/>
    <s v="11.03.2022"/>
    <s v="*FX2000- Venta divisas 0100000004298"/>
    <s v="COP"/>
    <n v="7900002692"/>
    <s v="11.03.2022"/>
    <n v="19050000000"/>
    <n v="1"/>
    <n v="40"/>
    <n v="19050000000"/>
    <s v="COP"/>
    <d v="2022-03-11T00:00:00"/>
    <n v="1"/>
    <n v="0"/>
    <n v="0"/>
    <x v="0"/>
  </r>
  <r>
    <x v="0"/>
    <x v="2"/>
    <m/>
    <x v="0"/>
    <s v="ZI"/>
    <s v="14.03.2022"/>
    <s v="*FX2000- Venta divisas 0100000004301"/>
    <s v="COP"/>
    <n v="7900002700"/>
    <s v="14.03.2022"/>
    <n v="37888000000"/>
    <n v="1"/>
    <n v="40"/>
    <n v="37888000000"/>
    <s v="COP"/>
    <d v="2022-03-14T00:00:00"/>
    <n v="1"/>
    <n v="0"/>
    <n v="0"/>
    <x v="0"/>
  </r>
  <r>
    <x v="0"/>
    <x v="2"/>
    <m/>
    <x v="0"/>
    <s v="ZI"/>
    <s v="14.03.2022"/>
    <s v="*FX2000- Venta divisas 0100000004302"/>
    <s v="COP"/>
    <n v="7900002708"/>
    <s v="14.03.2022"/>
    <n v="37929000000"/>
    <n v="1"/>
    <n v="40"/>
    <n v="37929000000"/>
    <s v="COP"/>
    <d v="2022-03-14T00:00:00"/>
    <n v="1"/>
    <n v="0"/>
    <n v="0"/>
    <x v="0"/>
  </r>
  <r>
    <x v="0"/>
    <x v="2"/>
    <m/>
    <x v="0"/>
    <s v="ZI"/>
    <s v="14.03.2022"/>
    <s v="*FX2000- Venta divisas 0100000004303"/>
    <s v="COP"/>
    <n v="7900002716"/>
    <s v="14.03.2022"/>
    <n v="38080000000"/>
    <n v="1"/>
    <n v="40"/>
    <n v="38080000000"/>
    <s v="COP"/>
    <d v="2022-03-14T00:00:00"/>
    <n v="1"/>
    <n v="0"/>
    <n v="0"/>
    <x v="0"/>
  </r>
  <r>
    <x v="0"/>
    <x v="2"/>
    <m/>
    <x v="0"/>
    <s v="ZI"/>
    <s v="14.03.2022"/>
    <s v="*FX2000- Venta divisas 0100000004305"/>
    <s v="COP"/>
    <n v="7900002724"/>
    <s v="14.03.2022"/>
    <n v="38050000000"/>
    <n v="1"/>
    <n v="40"/>
    <n v="38050000000"/>
    <s v="COP"/>
    <d v="2022-03-14T00:00:00"/>
    <n v="1"/>
    <n v="0"/>
    <n v="0"/>
    <x v="0"/>
  </r>
  <r>
    <x v="0"/>
    <x v="2"/>
    <m/>
    <x v="0"/>
    <s v="ZI"/>
    <s v="14.03.2022"/>
    <s v="*FX2000- Venta divisas 0100000004306"/>
    <s v="COP"/>
    <n v="7900002732"/>
    <s v="14.03.2022"/>
    <n v="38080000000"/>
    <n v="1"/>
    <n v="40"/>
    <n v="38080000000"/>
    <s v="COP"/>
    <d v="2022-03-14T00:00:00"/>
    <n v="1"/>
    <n v="0"/>
    <n v="0"/>
    <x v="0"/>
  </r>
  <r>
    <x v="0"/>
    <x v="2"/>
    <m/>
    <x v="0"/>
    <s v="ZI"/>
    <s v="16.03.2022"/>
    <s v="*FX2000- Venta divisas 0100000004307"/>
    <s v="COP"/>
    <n v="7900002740"/>
    <s v="16.03.2022"/>
    <n v="32362147461"/>
    <n v="1"/>
    <n v="40"/>
    <n v="32362147461"/>
    <s v="COP"/>
    <d v="2022-03-16T00:00:00"/>
    <n v="1"/>
    <n v="0"/>
    <n v="0"/>
    <x v="0"/>
  </r>
  <r>
    <x v="0"/>
    <x v="2"/>
    <m/>
    <x v="0"/>
    <s v="ZI"/>
    <s v="16.03.2022"/>
    <s v="*FX2000- Venta divisas 0100000004308"/>
    <s v="COP"/>
    <n v="7900002748"/>
    <s v="16.03.2022"/>
    <n v="5837852539"/>
    <n v="1"/>
    <n v="40"/>
    <n v="5837852539"/>
    <s v="COP"/>
    <d v="2022-03-16T00:00:00"/>
    <n v="1"/>
    <n v="0"/>
    <n v="0"/>
    <x v="0"/>
  </r>
  <r>
    <x v="0"/>
    <x v="2"/>
    <m/>
    <x v="0"/>
    <s v="ZI"/>
    <s v="16.03.2022"/>
    <s v="*FX2000- Venta divisas 0100000004312"/>
    <s v="COP"/>
    <n v="7900002756"/>
    <s v="16.03.2022"/>
    <n v="5731800000"/>
    <n v="1"/>
    <n v="40"/>
    <n v="5731800000"/>
    <s v="COP"/>
    <d v="2022-03-16T00:00:00"/>
    <n v="1"/>
    <n v="0"/>
    <n v="0"/>
    <x v="0"/>
  </r>
  <r>
    <x v="0"/>
    <x v="2"/>
    <m/>
    <x v="0"/>
    <s v="ZI"/>
    <s v="16.03.2022"/>
    <s v="*FX2000- Venta divisas 0100000004310"/>
    <s v="COP"/>
    <n v="7900002786"/>
    <s v="16.03.2022"/>
    <n v="1930000004"/>
    <n v="1"/>
    <n v="40"/>
    <n v="1930000004"/>
    <s v="COP"/>
    <d v="2022-03-16T00:00:00"/>
    <n v="1"/>
    <n v="0"/>
    <n v="0"/>
    <x v="0"/>
  </r>
  <r>
    <x v="0"/>
    <x v="2"/>
    <m/>
    <x v="0"/>
    <s v="ZI"/>
    <s v="24.03.2022"/>
    <s v="*FX2000- Venta divisas 0100000004319"/>
    <s v="COP"/>
    <n v="7900002794"/>
    <s v="24.03.2022"/>
    <n v="6824700000"/>
    <n v="1"/>
    <n v="40"/>
    <n v="6824700000"/>
    <s v="COP"/>
    <d v="2022-03-24T00:00:00"/>
    <n v="1"/>
    <n v="0"/>
    <n v="0"/>
    <x v="0"/>
  </r>
  <r>
    <x v="0"/>
    <x v="2"/>
    <m/>
    <x v="0"/>
    <s v="ZI"/>
    <s v="24.03.2022"/>
    <s v="*FX2000- Venta divisas 0100000004321"/>
    <s v="COP"/>
    <n v="7900002802"/>
    <s v="24.03.2022"/>
    <n v="764746718"/>
    <n v="1"/>
    <n v="40"/>
    <n v="764746718"/>
    <s v="COP"/>
    <d v="2022-03-24T00:00:00"/>
    <n v="1"/>
    <n v="0"/>
    <n v="0"/>
    <x v="0"/>
  </r>
  <r>
    <x v="0"/>
    <x v="2"/>
    <m/>
    <x v="0"/>
    <s v="ZI"/>
    <s v="07.03.2022"/>
    <s v="*FX1000+ Compra divisas 0100000004325"/>
    <s v="COP"/>
    <n v="7900002828"/>
    <s v="07.03.2022"/>
    <n v="-2209822074"/>
    <n v="1"/>
    <n v="50"/>
    <n v="-2209822074"/>
    <s v="COP"/>
    <d v="2022-03-07T00:00:00"/>
    <n v="1"/>
    <n v="0"/>
    <n v="0"/>
    <x v="0"/>
  </r>
  <r>
    <x v="0"/>
    <x v="2"/>
    <m/>
    <x v="0"/>
    <s v="ZI"/>
    <s v="29.03.2022"/>
    <s v="*FX2000- Venta divisas 0100000004331"/>
    <s v="COP"/>
    <n v="7900002845"/>
    <s v="29.03.2022"/>
    <n v="3836806950"/>
    <n v="1"/>
    <n v="40"/>
    <n v="3836806950"/>
    <s v="COP"/>
    <d v="2022-03-29T00:00:00"/>
    <n v="1"/>
    <n v="0"/>
    <n v="0"/>
    <x v="0"/>
  </r>
  <r>
    <x v="0"/>
    <x v="2"/>
    <m/>
    <x v="0"/>
    <s v="ZI"/>
    <s v="28.03.2022"/>
    <s v="*FX1000+ Compra divisas 0100000004328"/>
    <s v="COP"/>
    <n v="7900003194"/>
    <s v="28.03.2022"/>
    <n v="-6638794173"/>
    <n v="1"/>
    <n v="50"/>
    <n v="-6638794173"/>
    <s v="COP"/>
    <d v="2022-03-28T00:00:00"/>
    <n v="1"/>
    <n v="0"/>
    <n v="0"/>
    <x v="0"/>
  </r>
  <r>
    <x v="0"/>
    <x v="2"/>
    <m/>
    <x v="0"/>
    <s v="ZI"/>
    <s v="28.03.2022"/>
    <s v="*FX1000+ Compra divisas 0100000004329"/>
    <s v="COP"/>
    <n v="7900003202"/>
    <s v="28.03.2022"/>
    <n v="-378859767"/>
    <n v="1"/>
    <n v="50"/>
    <n v="-378859767"/>
    <s v="COP"/>
    <d v="2022-03-28T00:00:00"/>
    <n v="1"/>
    <n v="0"/>
    <n v="0"/>
    <x v="0"/>
  </r>
  <r>
    <x v="0"/>
    <x v="2"/>
    <m/>
    <x v="0"/>
    <s v="ZI"/>
    <s v="31.03.2022"/>
    <s v="*FX1000+ Compra divisas 0100000004332"/>
    <s v="COP"/>
    <n v="7900003488"/>
    <s v="31.03.2022"/>
    <n v="-31923288362"/>
    <n v="1"/>
    <n v="50"/>
    <n v="-31923288362"/>
    <s v="COP"/>
    <d v="2022-03-31T00:00:00"/>
    <n v="1"/>
    <n v="0"/>
    <n v="0"/>
    <x v="0"/>
  </r>
  <r>
    <x v="0"/>
    <x v="2"/>
    <m/>
    <x v="0"/>
    <s v="ZI"/>
    <s v="29.03.2022"/>
    <s v="*FX1000+ Compra divisas 0100000004326"/>
    <s v="EURO"/>
    <n v="7900002836"/>
    <s v="29.03.2022"/>
    <n v="-2055.2399999999998"/>
    <n v="4152.11168"/>
    <n v="50"/>
    <n v="-8533586"/>
    <s v="COP"/>
    <d v="2022-03-29T00:00:00"/>
    <n v="4152.1099999999997"/>
    <n v="0"/>
    <n v="0"/>
    <x v="0"/>
  </r>
  <r>
    <x v="0"/>
    <x v="2"/>
    <m/>
    <x v="0"/>
    <s v="ZI"/>
    <s v="03.03.2022"/>
    <s v="*FX1000+ Compra divisas 0100000004292"/>
    <s v="USD"/>
    <n v="7900002467"/>
    <s v="03.03.2022"/>
    <n v="-1221430"/>
    <n v="3862.95"/>
    <n v="50"/>
    <n v="-4718323019"/>
    <s v="COP"/>
    <d v="2022-03-03T00:00:00"/>
    <n v="3862.95"/>
    <n v="3862.95"/>
    <n v="0"/>
    <x v="0"/>
  </r>
  <r>
    <x v="0"/>
    <x v="2"/>
    <m/>
    <x v="0"/>
    <s v="ZI"/>
    <s v="11.03.2022"/>
    <s v="*FX1000+ Compra divisas 0100000004293"/>
    <s v="USD"/>
    <n v="7900002555"/>
    <s v="11.03.2022"/>
    <n v="-10000000"/>
    <n v="3839"/>
    <n v="50"/>
    <n v="-38390000000"/>
    <s v="COP"/>
    <d v="2022-03-11T00:00:00"/>
    <n v="3839"/>
    <n v="3786"/>
    <n v="530000000"/>
    <x v="2"/>
  </r>
  <r>
    <x v="0"/>
    <x v="2"/>
    <m/>
    <x v="0"/>
    <s v="ZI"/>
    <s v="11.03.2022"/>
    <s v="*FX1000+ Compra divisas 0100000004296"/>
    <s v="USD"/>
    <n v="7900002563"/>
    <s v="11.03.2022"/>
    <n v="-15000000"/>
    <n v="3824.5"/>
    <n v="50"/>
    <n v="-57367500000"/>
    <s v="COP"/>
    <d v="2022-03-11T00:00:00"/>
    <n v="3824.5"/>
    <n v="3786"/>
    <n v="577500000"/>
    <x v="2"/>
  </r>
  <r>
    <x v="0"/>
    <x v="2"/>
    <m/>
    <x v="0"/>
    <s v="ZI"/>
    <s v="11.03.2022"/>
    <s v="*FX1000+ Compra divisas 0100000004297"/>
    <s v="USD"/>
    <n v="7900002571"/>
    <s v="11.03.2022"/>
    <n v="-5000000"/>
    <n v="3817.5"/>
    <n v="50"/>
    <n v="-19087500000"/>
    <s v="COP"/>
    <d v="2022-03-11T00:00:00"/>
    <n v="3817.5"/>
    <n v="3786"/>
    <n v="157500000"/>
    <x v="2"/>
  </r>
  <r>
    <x v="0"/>
    <x v="2"/>
    <m/>
    <x v="0"/>
    <s v="ZI"/>
    <s v="14.03.2022"/>
    <s v="*FX1000+ Compra divisas 0100000004299"/>
    <s v="USD"/>
    <n v="7900002579"/>
    <s v="14.03.2022"/>
    <n v="-5000000"/>
    <n v="3782.8"/>
    <n v="50"/>
    <n v="-18914000000"/>
    <s v="COP"/>
    <d v="2022-03-14T00:00:00"/>
    <n v="3782.8"/>
    <n v="3827.64"/>
    <n v="-224199999.99999845"/>
    <x v="1"/>
  </r>
  <r>
    <x v="0"/>
    <x v="2"/>
    <m/>
    <x v="0"/>
    <s v="ZI"/>
    <s v="14.03.2022"/>
    <s v="*FX1000+ Compra divisas 0100000004300"/>
    <s v="USD"/>
    <n v="7900002587"/>
    <s v="14.03.2022"/>
    <n v="-5000000"/>
    <n v="3784.5"/>
    <n v="50"/>
    <n v="-18922500000"/>
    <s v="COP"/>
    <d v="2022-03-14T00:00:00"/>
    <n v="3784.5"/>
    <n v="3827.64"/>
    <n v="-215699999.99999937"/>
    <x v="1"/>
  </r>
  <r>
    <x v="0"/>
    <x v="2"/>
    <m/>
    <x v="0"/>
    <s v="ZI"/>
    <s v="14.03.2022"/>
    <s v="*FX1000+ Compra divisas 0100000004304"/>
    <s v="USD"/>
    <n v="7900002595"/>
    <s v="14.03.2022"/>
    <n v="-10000000"/>
    <n v="3803.79"/>
    <n v="50"/>
    <n v="-38037900000"/>
    <s v="COP"/>
    <d v="2022-03-14T00:00:00"/>
    <n v="3803.79"/>
    <n v="3827.64"/>
    <n v="-238499999.99999908"/>
    <x v="1"/>
  </r>
  <r>
    <x v="0"/>
    <x v="2"/>
    <m/>
    <x v="0"/>
    <s v="ZI"/>
    <s v="16.03.2022"/>
    <s v="*FX1000+ Compra divisas 0100000004309"/>
    <s v="USD"/>
    <n v="7900002603"/>
    <s v="16.03.2022"/>
    <n v="-865079.16"/>
    <n v="3821.5"/>
    <n v="50"/>
    <n v="-3305900010"/>
    <s v="COP"/>
    <d v="2022-03-16T00:00:00"/>
    <n v="3821.5"/>
    <n v="3836.56"/>
    <n v="-13028092.149599953"/>
    <x v="1"/>
  </r>
  <r>
    <x v="0"/>
    <x v="2"/>
    <m/>
    <x v="0"/>
    <s v="ZI"/>
    <s v="16.03.2022"/>
    <s v="*FX1000+ Compra divisas 0100000004311"/>
    <s v="USD"/>
    <n v="7900002611"/>
    <s v="16.03.2022"/>
    <n v="-1229883.55"/>
    <n v="3821.5"/>
    <n v="50"/>
    <n v="-4699999986"/>
    <s v="COP"/>
    <d v="2022-03-16T00:00:00"/>
    <n v="3821.5"/>
    <n v="3836.56"/>
    <n v="-18522046.262999933"/>
    <x v="1"/>
  </r>
  <r>
    <x v="0"/>
    <x v="2"/>
    <m/>
    <x v="0"/>
    <s v="ZI"/>
    <s v="16.03.2022"/>
    <s v="*FX1000+ Compra divisas 0100000004313"/>
    <s v="USD"/>
    <n v="7900002619"/>
    <s v="16.03.2022"/>
    <n v="-1800000"/>
    <n v="3828"/>
    <n v="50"/>
    <n v="-6890400000"/>
    <s v="COP"/>
    <d v="2022-03-16T00:00:00"/>
    <n v="3828"/>
    <n v="3836.56"/>
    <n v="-15407999.999999901"/>
    <x v="1"/>
  </r>
  <r>
    <x v="0"/>
    <x v="2"/>
    <m/>
    <x v="0"/>
    <s v="ZI"/>
    <s v="16.03.2022"/>
    <s v="*FX1000+ Compra divisas 0100000004314"/>
    <s v="USD"/>
    <n v="7900002627"/>
    <s v="16.03.2022"/>
    <n v="-1400000"/>
    <n v="3825"/>
    <n v="50"/>
    <n v="-5355000000"/>
    <s v="COP"/>
    <d v="2022-03-16T00:00:00"/>
    <n v="3825"/>
    <n v="3836.56"/>
    <n v="-16183999.999999924"/>
    <x v="1"/>
  </r>
  <r>
    <x v="0"/>
    <x v="2"/>
    <m/>
    <x v="0"/>
    <s v="ZI"/>
    <s v="16.03.2022"/>
    <s v="*FX1000+ Compra divisas 0100000004315"/>
    <s v="USD"/>
    <n v="7900002635"/>
    <s v="16.03.2022"/>
    <n v="-6000000"/>
    <n v="3829.2"/>
    <n v="50"/>
    <n v="-22975200000"/>
    <s v="COP"/>
    <d v="2022-03-16T00:00:00"/>
    <n v="3829.2"/>
    <n v="3836.56"/>
    <n v="-44160000.000000767"/>
    <x v="1"/>
  </r>
  <r>
    <x v="0"/>
    <x v="2"/>
    <m/>
    <x v="0"/>
    <s v="ZI"/>
    <s v="16.03.2022"/>
    <s v="*FX1000+ Compra divisas 0100000004316"/>
    <s v="USD"/>
    <n v="7900002643"/>
    <s v="16.03.2022"/>
    <n v="-1000000"/>
    <n v="3827.6"/>
    <n v="50"/>
    <n v="-3827600000"/>
    <s v="COP"/>
    <d v="2022-03-16T00:00:00"/>
    <n v="3827.6"/>
    <n v="3836.56"/>
    <n v="-8960000.0000000373"/>
    <x v="1"/>
  </r>
  <r>
    <x v="0"/>
    <x v="2"/>
    <m/>
    <x v="0"/>
    <s v="ZI"/>
    <s v="11.03.2022"/>
    <s v="*FX1000+ Compra divisas 0100000004294"/>
    <s v="USD"/>
    <n v="7900002675"/>
    <s v="11.03.2022"/>
    <n v="-15000000"/>
    <n v="3834.5"/>
    <n v="50"/>
    <n v="-57517500000"/>
    <s v="COP"/>
    <d v="2022-03-11T00:00:00"/>
    <n v="3834.5"/>
    <n v="3786"/>
    <n v="727500000"/>
    <x v="2"/>
  </r>
  <r>
    <x v="0"/>
    <x v="2"/>
    <m/>
    <x v="0"/>
    <s v="ZI"/>
    <s v="11.03.2022"/>
    <s v="*FX1000+ Compra divisas 0100000004295"/>
    <s v="USD"/>
    <n v="7900002683"/>
    <s v="11.03.2022"/>
    <n v="-15000000"/>
    <n v="3832.5"/>
    <n v="50"/>
    <n v="-57487500000"/>
    <s v="COP"/>
    <d v="2022-03-11T00:00:00"/>
    <n v="3832.5"/>
    <n v="3786"/>
    <n v="697500000"/>
    <x v="2"/>
  </r>
  <r>
    <x v="0"/>
    <x v="2"/>
    <m/>
    <x v="0"/>
    <s v="ZI"/>
    <s v="11.03.2022"/>
    <s v="*FX1000+ Compra divisas 0100000004298"/>
    <s v="USD"/>
    <n v="7900002691"/>
    <s v="11.03.2022"/>
    <n v="-5000000"/>
    <n v="3810"/>
    <n v="50"/>
    <n v="-19050000000"/>
    <s v="COP"/>
    <d v="2022-03-11T00:00:00"/>
    <n v="3810"/>
    <n v="3786"/>
    <n v="120000000"/>
    <x v="2"/>
  </r>
  <r>
    <x v="0"/>
    <x v="2"/>
    <m/>
    <x v="0"/>
    <s v="ZI"/>
    <s v="14.03.2022"/>
    <s v="*FX1000+ Compra divisas 0100000004301"/>
    <s v="USD"/>
    <n v="7900002699"/>
    <s v="14.03.2022"/>
    <n v="-10000000"/>
    <n v="3788.8"/>
    <n v="50"/>
    <n v="-37888000000"/>
    <s v="COP"/>
    <d v="2022-03-14T00:00:00"/>
    <n v="3788.8"/>
    <n v="3827.64"/>
    <n v="-388399999.9999969"/>
    <x v="1"/>
  </r>
  <r>
    <x v="0"/>
    <x v="2"/>
    <m/>
    <x v="0"/>
    <s v="ZI"/>
    <s v="14.03.2022"/>
    <s v="*FX1000+ Compra divisas 0100000004302"/>
    <s v="USD"/>
    <n v="7900002707"/>
    <s v="14.03.2022"/>
    <n v="-10000000"/>
    <n v="3792.9"/>
    <n v="50"/>
    <n v="-37929000000"/>
    <s v="COP"/>
    <d v="2022-03-14T00:00:00"/>
    <n v="3792.9"/>
    <n v="3827.64"/>
    <n v="-347399999.99999779"/>
    <x v="1"/>
  </r>
  <r>
    <x v="0"/>
    <x v="2"/>
    <m/>
    <x v="0"/>
    <s v="ZI"/>
    <s v="14.03.2022"/>
    <s v="*FX1000+ Compra divisas 0100000004303"/>
    <s v="USD"/>
    <n v="7900002715"/>
    <s v="14.03.2022"/>
    <n v="-10000000"/>
    <n v="3808"/>
    <n v="50"/>
    <n v="-38080000000"/>
    <s v="COP"/>
    <d v="2022-03-14T00:00:00"/>
    <n v="3808"/>
    <n v="3827.64"/>
    <n v="-196399999.99999872"/>
    <x v="1"/>
  </r>
  <r>
    <x v="0"/>
    <x v="2"/>
    <m/>
    <x v="0"/>
    <s v="ZI"/>
    <s v="14.03.2022"/>
    <s v="*FX1000+ Compra divisas 0100000004305"/>
    <s v="USD"/>
    <n v="7900002723"/>
    <s v="14.03.2022"/>
    <n v="-10000000"/>
    <n v="3805"/>
    <n v="50"/>
    <n v="-38050000000"/>
    <s v="COP"/>
    <d v="2022-03-14T00:00:00"/>
    <n v="3805"/>
    <n v="3827.64"/>
    <n v="-226399999.99999872"/>
    <x v="1"/>
  </r>
  <r>
    <x v="0"/>
    <x v="2"/>
    <m/>
    <x v="0"/>
    <s v="ZI"/>
    <s v="14.03.2022"/>
    <s v="*FX1000+ Compra divisas 0100000004306"/>
    <s v="USD"/>
    <n v="7900002731"/>
    <s v="14.03.2022"/>
    <n v="-10000000"/>
    <n v="3808"/>
    <n v="50"/>
    <n v="-38080000000"/>
    <s v="COP"/>
    <d v="2022-03-14T00:00:00"/>
    <n v="3808"/>
    <n v="3827.64"/>
    <n v="-196399999.99999872"/>
    <x v="1"/>
  </r>
  <r>
    <x v="0"/>
    <x v="2"/>
    <m/>
    <x v="0"/>
    <s v="ZI"/>
    <s v="16.03.2022"/>
    <s v="*FX1000+ Compra divisas 0100000004307"/>
    <s v="USD"/>
    <n v="7900002739"/>
    <s v="16.03.2022"/>
    <n v="-8471766.3499999996"/>
    <n v="3820"/>
    <n v="50"/>
    <n v="-32362147461"/>
    <s v="COP"/>
    <d v="2022-03-16T00:00:00"/>
    <n v="3820"/>
    <n v="3836.56"/>
    <n v="-140292450.75599954"/>
    <x v="1"/>
  </r>
  <r>
    <x v="0"/>
    <x v="2"/>
    <m/>
    <x v="0"/>
    <s v="ZI"/>
    <s v="16.03.2022"/>
    <s v="*FX1000+ Compra divisas 0100000004308"/>
    <s v="USD"/>
    <n v="7900002747"/>
    <s v="16.03.2022"/>
    <n v="-1528233.65"/>
    <n v="3820"/>
    <n v="50"/>
    <n v="-5837852539"/>
    <s v="COP"/>
    <d v="2022-03-16T00:00:00"/>
    <n v="3820"/>
    <n v="3836.56"/>
    <n v="-25307549.243999913"/>
    <x v="1"/>
  </r>
  <r>
    <x v="0"/>
    <x v="2"/>
    <m/>
    <x v="0"/>
    <s v="ZI"/>
    <s v="16.03.2022"/>
    <s v="*FX1000+ Compra divisas 0100000004312"/>
    <s v="USD"/>
    <n v="7900002755"/>
    <s v="16.03.2022"/>
    <n v="-1500000"/>
    <n v="3821.2"/>
    <n v="50"/>
    <n v="-5731800000"/>
    <s v="COP"/>
    <d v="2022-03-16T00:00:00"/>
    <n v="3821.2"/>
    <n v="3836.56"/>
    <n v="-23040000.00000019"/>
    <x v="1"/>
  </r>
  <r>
    <x v="0"/>
    <x v="2"/>
    <m/>
    <x v="0"/>
    <s v="ZI"/>
    <s v="16.03.2022"/>
    <s v="*FX1000+ Compra divisas 0100000004310"/>
    <s v="USD"/>
    <n v="7900002785"/>
    <s v="16.03.2022"/>
    <n v="-505037.29"/>
    <n v="3821.5"/>
    <n v="50"/>
    <n v="-1930000004"/>
    <s v="COP"/>
    <d v="2022-03-16T00:00:00"/>
    <n v="3821.5"/>
    <n v="3836.56"/>
    <n v="-7605861.5873999717"/>
    <x v="1"/>
  </r>
  <r>
    <x v="0"/>
    <x v="2"/>
    <m/>
    <x v="0"/>
    <s v="ZI"/>
    <s v="24.03.2022"/>
    <s v="*FX1000+ Compra divisas 0100000004319"/>
    <s v="USD"/>
    <n v="7900002793"/>
    <s v="24.03.2022"/>
    <n v="-1800000"/>
    <n v="3791.5"/>
    <n v="50"/>
    <n v="-6824700000"/>
    <s v="COP"/>
    <d v="2022-03-24T00:00:00"/>
    <n v="3791.5"/>
    <n v="3756.64"/>
    <n v="62748000.000000231"/>
    <x v="2"/>
  </r>
  <r>
    <x v="0"/>
    <x v="2"/>
    <m/>
    <x v="0"/>
    <s v="ZI"/>
    <s v="24.03.2022"/>
    <s v="*FX1000+ Compra divisas 0100000004321"/>
    <s v="USD"/>
    <n v="7900002801"/>
    <s v="24.03.2022"/>
    <n v="-203572"/>
    <n v="3756.64"/>
    <n v="50"/>
    <n v="-764746718"/>
    <s v="COP"/>
    <d v="2022-03-24T00:00:00"/>
    <n v="3756.64"/>
    <n v="3756.64"/>
    <n v="0"/>
    <x v="0"/>
  </r>
  <r>
    <x v="0"/>
    <x v="2"/>
    <m/>
    <x v="0"/>
    <s v="ZI"/>
    <s v="07.03.2022"/>
    <s v="*FX2000- Venta divisas 0100000004325"/>
    <s v="USD"/>
    <n v="7900002829"/>
    <s v="07.03.2022"/>
    <n v="585884.64"/>
    <n v="3771.7699400000001"/>
    <n v="40"/>
    <n v="2209822074"/>
    <s v="COP"/>
    <d v="2022-03-07T00:00:00"/>
    <n v="3771.77"/>
    <n v="3806.11"/>
    <n v="20119278.537600085"/>
    <x v="2"/>
  </r>
  <r>
    <x v="0"/>
    <x v="2"/>
    <m/>
    <x v="0"/>
    <s v="ZI"/>
    <s v="29.03.2022"/>
    <s v="*FX2000- Venta divisas 0100000004326"/>
    <s v="USD"/>
    <n v="7900002837"/>
    <s v="29.03.2022"/>
    <n v="2347.5"/>
    <n v="3635.1804000000002"/>
    <n v="40"/>
    <n v="8533586"/>
    <s v="COP"/>
    <d v="2022-03-29T00:00:00"/>
    <n v="3635.18"/>
    <n v="3785.7"/>
    <n v="353345.69999999995"/>
    <x v="2"/>
  </r>
  <r>
    <x v="0"/>
    <x v="2"/>
    <m/>
    <x v="0"/>
    <s v="ZI"/>
    <s v="29.03.2022"/>
    <s v="*FX1000+ Compra divisas 0100000004331"/>
    <s v="USD"/>
    <n v="7900002844"/>
    <s v="29.03.2022"/>
    <n v="-1013500"/>
    <n v="3785.7"/>
    <n v="50"/>
    <n v="-3836806950"/>
    <s v="COP"/>
    <d v="2022-03-29T00:00:00"/>
    <n v="3785.7"/>
    <n v="3785.7"/>
    <n v="0"/>
    <x v="0"/>
  </r>
  <r>
    <x v="0"/>
    <x v="2"/>
    <m/>
    <x v="0"/>
    <s v="ZI"/>
    <s v="28.03.2022"/>
    <s v="*FX2000- Venta divisas 0100000004328"/>
    <s v="USD"/>
    <n v="7900003195"/>
    <s v="28.03.2022"/>
    <n v="1747556.97"/>
    <n v="3798.9"/>
    <n v="40"/>
    <n v="6638794173"/>
    <s v="COP"/>
    <d v="2022-03-28T00:00:00"/>
    <n v="3798.9"/>
    <n v="3785.66"/>
    <n v="-23137654.282800414"/>
    <x v="1"/>
  </r>
  <r>
    <x v="0"/>
    <x v="2"/>
    <m/>
    <x v="0"/>
    <s v="ZI"/>
    <s v="28.03.2022"/>
    <s v="*FX2000- Venta divisas 0100000004329"/>
    <s v="USD"/>
    <n v="7900003203"/>
    <s v="28.03.2022"/>
    <n v="100077.6"/>
    <n v="3785.66"/>
    <n v="40"/>
    <n v="378859767"/>
    <s v="COP"/>
    <d v="2022-03-28T00:00:00"/>
    <n v="3785.66"/>
    <n v="3785.66"/>
    <n v="0"/>
    <x v="0"/>
  </r>
  <r>
    <x v="0"/>
    <x v="2"/>
    <m/>
    <x v="0"/>
    <s v="ZI"/>
    <s v="31.03.2022"/>
    <s v="*FX2000- Venta divisas 0100000004332"/>
    <s v="USD"/>
    <n v="7900003489"/>
    <s v="31.03.2022"/>
    <n v="8432598.5600000005"/>
    <n v="3785.7"/>
    <n v="40"/>
    <n v="31923288362"/>
    <s v="COP"/>
    <d v="2022-03-31T00:00:00"/>
    <n v="3785.7"/>
    <n v="3748.15"/>
    <n v="-316644075.92799771"/>
    <x v="1"/>
  </r>
  <r>
    <x v="0"/>
    <x v="2"/>
    <m/>
    <x v="1"/>
    <s v="DL"/>
    <s v="07.03.2022"/>
    <s v="*DE1200- Intereses 0400000000010"/>
    <s v="COP"/>
    <n v="7900002448"/>
    <s v="07.03.2022"/>
    <n v="-1581504957"/>
    <n v="1"/>
    <n v="50"/>
    <n v="-1581504957"/>
    <s v="COP"/>
    <d v="2022-03-07T00:00:00"/>
    <n v="1"/>
    <n v="0"/>
    <n v="0"/>
    <x v="0"/>
  </r>
  <r>
    <x v="0"/>
    <x v="2"/>
    <m/>
    <x v="1"/>
    <s v="DL"/>
    <s v="07.03.2022"/>
    <s v="*DE1200+ Intereses 0400000000010"/>
    <s v="COP"/>
    <n v="7900002449"/>
    <s v="07.03.2022"/>
    <n v="1197035648"/>
    <n v="1"/>
    <n v="40"/>
    <n v="1197035648"/>
    <s v="COP"/>
    <d v="2022-03-07T00:00:00"/>
    <n v="1"/>
    <n v="0"/>
    <n v="0"/>
    <x v="0"/>
  </r>
  <r>
    <x v="0"/>
    <x v="2"/>
    <m/>
    <x v="1"/>
    <s v="MD"/>
    <s v="07.03.2022"/>
    <s v="LIQUIDACIÓN SWAP CITIBANK"/>
    <s v="COP"/>
    <n v="100012244"/>
    <s v="07.03.2022"/>
    <n v="416528666"/>
    <n v="1"/>
    <n v="40"/>
    <n v="416528666"/>
    <s v="COP"/>
    <d v="2022-03-07T00:00:00"/>
    <n v="1"/>
    <n v="0"/>
    <n v="0"/>
    <x v="0"/>
  </r>
  <r>
    <x v="0"/>
    <x v="2"/>
    <m/>
    <x v="1"/>
    <s v="TD"/>
    <s v="03.03.2022"/>
    <s v="*FX2001- Venta divisas 0400000000054"/>
    <s v="COP"/>
    <n v="7900002457"/>
    <s v="03.03.2022"/>
    <n v="-4732320606"/>
    <n v="1"/>
    <n v="50"/>
    <n v="-4732320606"/>
    <s v="COP"/>
    <d v="2022-03-03T00:00:00"/>
    <n v="1"/>
    <n v="0"/>
    <n v="0"/>
    <x v="0"/>
  </r>
  <r>
    <x v="0"/>
    <x v="2"/>
    <m/>
    <x v="1"/>
    <s v="TD"/>
    <s v="03.03.2022"/>
    <s v="*FX2001- Venta divisas 0400000000054"/>
    <s v="COP"/>
    <n v="7900002766"/>
    <s v="03.03.2022"/>
    <n v="4732320606"/>
    <n v="1"/>
    <n v="40"/>
    <n v="4732320606"/>
    <s v="COP"/>
    <d v="2022-03-03T00:00:00"/>
    <n v="1"/>
    <n v="0"/>
    <n v="0"/>
    <x v="0"/>
  </r>
  <r>
    <x v="0"/>
    <x v="2"/>
    <m/>
    <x v="1"/>
    <s v="TD"/>
    <s v="03.03.2022"/>
    <s v="*FX2001- Venta divisas 0400000000054"/>
    <s v="COP"/>
    <n v="7900002775"/>
    <s v="03.03.2022"/>
    <n v="-4732320606"/>
    <n v="1"/>
    <n v="50"/>
    <n v="-4732320606"/>
    <s v="COP"/>
    <d v="2022-03-03T00:00:00"/>
    <n v="1"/>
    <n v="0"/>
    <n v="0"/>
    <x v="0"/>
  </r>
  <r>
    <x v="0"/>
    <x v="2"/>
    <m/>
    <x v="1"/>
    <s v="TD"/>
    <s v="24.03.2022"/>
    <s v="*FX2001- Venta divisas 0400000000055"/>
    <s v="COP"/>
    <n v="7900002814"/>
    <s v="24.03.2022"/>
    <n v="-790032396"/>
    <n v="1"/>
    <n v="50"/>
    <n v="-790032396"/>
    <s v="COP"/>
    <d v="2022-03-24T00:00:00"/>
    <n v="1"/>
    <n v="0"/>
    <n v="0"/>
    <x v="0"/>
  </r>
  <r>
    <x v="0"/>
    <x v="2"/>
    <m/>
    <x v="1"/>
    <s v="TD"/>
    <s v="29.03.2022"/>
    <s v="*FX2001- Venta divisas 0400000000056"/>
    <s v="COP"/>
    <n v="7900002853"/>
    <s v="29.03.2022"/>
    <n v="-3934792130"/>
    <n v="1"/>
    <n v="50"/>
    <n v="-3934792130"/>
    <s v="COP"/>
    <d v="2022-03-29T00:00:00"/>
    <n v="1"/>
    <n v="0"/>
    <n v="0"/>
    <x v="0"/>
  </r>
  <r>
    <x v="0"/>
    <x v="2"/>
    <m/>
    <x v="1"/>
    <s v="ZI"/>
    <s v="11.03.2022"/>
    <s v="*FX2000- Venta divisas 0100000004293"/>
    <s v="COP"/>
    <n v="7900002556"/>
    <s v="11.03.2022"/>
    <n v="-38390000000"/>
    <n v="1"/>
    <n v="50"/>
    <n v="-38390000000"/>
    <s v="COP"/>
    <d v="2022-03-11T00:00:00"/>
    <n v="1"/>
    <n v="0"/>
    <n v="0"/>
    <x v="0"/>
  </r>
  <r>
    <x v="0"/>
    <x v="2"/>
    <m/>
    <x v="1"/>
    <s v="ZI"/>
    <s v="11.03.2022"/>
    <s v="*FX2000- Venta divisas 0100000004296"/>
    <s v="COP"/>
    <n v="7900002564"/>
    <s v="11.03.2022"/>
    <n v="-57367500000"/>
    <n v="1"/>
    <n v="50"/>
    <n v="-57367500000"/>
    <s v="COP"/>
    <d v="2022-03-11T00:00:00"/>
    <n v="1"/>
    <n v="0"/>
    <n v="0"/>
    <x v="0"/>
  </r>
  <r>
    <x v="0"/>
    <x v="2"/>
    <m/>
    <x v="1"/>
    <s v="ZI"/>
    <s v="11.03.2022"/>
    <s v="*FX2000- Venta divisas 0100000004297"/>
    <s v="COP"/>
    <n v="7900002572"/>
    <s v="11.03.2022"/>
    <n v="-19087500000"/>
    <n v="1"/>
    <n v="50"/>
    <n v="-19087500000"/>
    <s v="COP"/>
    <d v="2022-03-11T00:00:00"/>
    <n v="1"/>
    <n v="0"/>
    <n v="0"/>
    <x v="0"/>
  </r>
  <r>
    <x v="0"/>
    <x v="2"/>
    <m/>
    <x v="1"/>
    <s v="ZI"/>
    <s v="14.03.2022"/>
    <s v="*FX2000- Venta divisas 0100000004299"/>
    <s v="COP"/>
    <n v="7900002580"/>
    <s v="14.03.2022"/>
    <n v="-18914000000"/>
    <n v="1"/>
    <n v="50"/>
    <n v="-18914000000"/>
    <s v="COP"/>
    <d v="2022-03-14T00:00:00"/>
    <n v="1"/>
    <n v="0"/>
    <n v="0"/>
    <x v="0"/>
  </r>
  <r>
    <x v="0"/>
    <x v="2"/>
    <m/>
    <x v="1"/>
    <s v="ZI"/>
    <s v="14.03.2022"/>
    <s v="*FX2000- Venta divisas 0100000004300"/>
    <s v="COP"/>
    <n v="7900002588"/>
    <s v="14.03.2022"/>
    <n v="-18922500000"/>
    <n v="1"/>
    <n v="50"/>
    <n v="-18922500000"/>
    <s v="COP"/>
    <d v="2022-03-14T00:00:00"/>
    <n v="1"/>
    <n v="0"/>
    <n v="0"/>
    <x v="0"/>
  </r>
  <r>
    <x v="0"/>
    <x v="2"/>
    <m/>
    <x v="1"/>
    <s v="ZI"/>
    <s v="14.03.2022"/>
    <s v="*FX2000- Venta divisas 0100000004304"/>
    <s v="COP"/>
    <n v="7900002596"/>
    <s v="14.03.2022"/>
    <n v="-38037900000"/>
    <n v="1"/>
    <n v="50"/>
    <n v="-38037900000"/>
    <s v="COP"/>
    <d v="2022-03-14T00:00:00"/>
    <n v="1"/>
    <n v="0"/>
    <n v="0"/>
    <x v="0"/>
  </r>
  <r>
    <x v="0"/>
    <x v="2"/>
    <m/>
    <x v="1"/>
    <s v="ZI"/>
    <s v="16.03.2022"/>
    <s v="*FX2000- Venta divisas 0100000004309"/>
    <s v="COP"/>
    <n v="7900002604"/>
    <s v="16.03.2022"/>
    <n v="-3305900010"/>
    <n v="1"/>
    <n v="50"/>
    <n v="-3305900010"/>
    <s v="COP"/>
    <d v="2022-03-16T00:00:00"/>
    <n v="1"/>
    <n v="0"/>
    <n v="0"/>
    <x v="0"/>
  </r>
  <r>
    <x v="0"/>
    <x v="2"/>
    <m/>
    <x v="1"/>
    <s v="ZI"/>
    <s v="16.03.2022"/>
    <s v="*FX2000- Venta divisas 0100000004311"/>
    <s v="COP"/>
    <n v="7900002612"/>
    <s v="16.03.2022"/>
    <n v="-4699999986"/>
    <n v="1"/>
    <n v="50"/>
    <n v="-4699999986"/>
    <s v="COP"/>
    <d v="2022-03-16T00:00:00"/>
    <n v="1"/>
    <n v="0"/>
    <n v="0"/>
    <x v="0"/>
  </r>
  <r>
    <x v="0"/>
    <x v="2"/>
    <m/>
    <x v="1"/>
    <s v="ZI"/>
    <s v="16.03.2022"/>
    <s v="*FX2000- Venta divisas 0100000004313"/>
    <s v="COP"/>
    <n v="7900002620"/>
    <s v="16.03.2022"/>
    <n v="-6890400000"/>
    <n v="1"/>
    <n v="50"/>
    <n v="-6890400000"/>
    <s v="COP"/>
    <d v="2022-03-16T00:00:00"/>
    <n v="1"/>
    <n v="0"/>
    <n v="0"/>
    <x v="0"/>
  </r>
  <r>
    <x v="0"/>
    <x v="2"/>
    <m/>
    <x v="1"/>
    <s v="ZI"/>
    <s v="16.03.2022"/>
    <s v="*FX2000- Venta divisas 0100000004314"/>
    <s v="COP"/>
    <n v="7900002628"/>
    <s v="16.03.2022"/>
    <n v="-5355000000"/>
    <n v="1"/>
    <n v="50"/>
    <n v="-5355000000"/>
    <s v="COP"/>
    <d v="2022-03-16T00:00:00"/>
    <n v="1"/>
    <n v="0"/>
    <n v="0"/>
    <x v="0"/>
  </r>
  <r>
    <x v="0"/>
    <x v="2"/>
    <m/>
    <x v="1"/>
    <s v="ZI"/>
    <s v="16.03.2022"/>
    <s v="*FX2000- Venta divisas 0100000004315"/>
    <s v="COP"/>
    <n v="7900002636"/>
    <s v="16.03.2022"/>
    <n v="-22975200000"/>
    <n v="1"/>
    <n v="50"/>
    <n v="-22975200000"/>
    <s v="COP"/>
    <d v="2022-03-16T00:00:00"/>
    <n v="1"/>
    <n v="0"/>
    <n v="0"/>
    <x v="0"/>
  </r>
  <r>
    <x v="0"/>
    <x v="2"/>
    <m/>
    <x v="1"/>
    <s v="ZI"/>
    <s v="16.03.2022"/>
    <s v="*FX2000- Venta divisas 0100000004316"/>
    <s v="COP"/>
    <n v="7900002644"/>
    <s v="16.03.2022"/>
    <n v="-3827600000"/>
    <n v="1"/>
    <n v="50"/>
    <n v="-3827600000"/>
    <s v="COP"/>
    <d v="2022-03-16T00:00:00"/>
    <n v="1"/>
    <n v="0"/>
    <n v="0"/>
    <x v="0"/>
  </r>
  <r>
    <x v="0"/>
    <x v="2"/>
    <m/>
    <x v="1"/>
    <s v="ZI"/>
    <s v="11.03.2022"/>
    <s v="*FX2000- Venta divisas 0100000004294"/>
    <s v="COP"/>
    <n v="7900002676"/>
    <s v="11.03.2022"/>
    <n v="-57517500000"/>
    <n v="1"/>
    <n v="50"/>
    <n v="-57517500000"/>
    <s v="COP"/>
    <d v="2022-03-11T00:00:00"/>
    <n v="1"/>
    <n v="0"/>
    <n v="0"/>
    <x v="0"/>
  </r>
  <r>
    <x v="0"/>
    <x v="2"/>
    <m/>
    <x v="1"/>
    <s v="ZI"/>
    <s v="11.03.2022"/>
    <s v="*FX2000- Venta divisas 0100000004295"/>
    <s v="COP"/>
    <n v="7900002684"/>
    <s v="11.03.2022"/>
    <n v="-57487500000"/>
    <n v="1"/>
    <n v="50"/>
    <n v="-57487500000"/>
    <s v="COP"/>
    <d v="2022-03-11T00:00:00"/>
    <n v="1"/>
    <n v="0"/>
    <n v="0"/>
    <x v="0"/>
  </r>
  <r>
    <x v="0"/>
    <x v="2"/>
    <m/>
    <x v="1"/>
    <s v="ZI"/>
    <s v="11.03.2022"/>
    <s v="*FX2000- Venta divisas 0100000004298"/>
    <s v="COP"/>
    <n v="7900002692"/>
    <s v="11.03.2022"/>
    <n v="-19050000000"/>
    <n v="1"/>
    <n v="50"/>
    <n v="-19050000000"/>
    <s v="COP"/>
    <d v="2022-03-11T00:00:00"/>
    <n v="1"/>
    <n v="0"/>
    <n v="0"/>
    <x v="0"/>
  </r>
  <r>
    <x v="0"/>
    <x v="2"/>
    <m/>
    <x v="1"/>
    <s v="ZI"/>
    <s v="14.03.2022"/>
    <s v="*FX2000- Venta divisas 0100000004301"/>
    <s v="COP"/>
    <n v="7900002700"/>
    <s v="14.03.2022"/>
    <n v="-37888000000"/>
    <n v="1"/>
    <n v="50"/>
    <n v="-37888000000"/>
    <s v="COP"/>
    <d v="2022-03-14T00:00:00"/>
    <n v="1"/>
    <n v="0"/>
    <n v="0"/>
    <x v="0"/>
  </r>
  <r>
    <x v="0"/>
    <x v="2"/>
    <m/>
    <x v="1"/>
    <s v="ZI"/>
    <s v="14.03.2022"/>
    <s v="*FX2000- Venta divisas 0100000004302"/>
    <s v="COP"/>
    <n v="7900002708"/>
    <s v="14.03.2022"/>
    <n v="-37929000000"/>
    <n v="1"/>
    <n v="50"/>
    <n v="-37929000000"/>
    <s v="COP"/>
    <d v="2022-03-14T00:00:00"/>
    <n v="1"/>
    <n v="0"/>
    <n v="0"/>
    <x v="0"/>
  </r>
  <r>
    <x v="0"/>
    <x v="2"/>
    <m/>
    <x v="1"/>
    <s v="ZI"/>
    <s v="14.03.2022"/>
    <s v="*FX2000- Venta divisas 0100000004303"/>
    <s v="COP"/>
    <n v="7900002716"/>
    <s v="14.03.2022"/>
    <n v="-38080000000"/>
    <n v="1"/>
    <n v="50"/>
    <n v="-38080000000"/>
    <s v="COP"/>
    <d v="2022-03-14T00:00:00"/>
    <n v="1"/>
    <n v="0"/>
    <n v="0"/>
    <x v="0"/>
  </r>
  <r>
    <x v="0"/>
    <x v="2"/>
    <m/>
    <x v="1"/>
    <s v="ZI"/>
    <s v="14.03.2022"/>
    <s v="*FX2000- Venta divisas 0100000004305"/>
    <s v="COP"/>
    <n v="7900002724"/>
    <s v="14.03.2022"/>
    <n v="-38050000000"/>
    <n v="1"/>
    <n v="50"/>
    <n v="-38050000000"/>
    <s v="COP"/>
    <d v="2022-03-14T00:00:00"/>
    <n v="1"/>
    <n v="0"/>
    <n v="0"/>
    <x v="0"/>
  </r>
  <r>
    <x v="0"/>
    <x v="2"/>
    <m/>
    <x v="1"/>
    <s v="ZI"/>
    <s v="14.03.2022"/>
    <s v="*FX2000- Venta divisas 0100000004306"/>
    <s v="COP"/>
    <n v="7900002732"/>
    <s v="14.03.2022"/>
    <n v="-38080000000"/>
    <n v="1"/>
    <n v="50"/>
    <n v="-38080000000"/>
    <s v="COP"/>
    <d v="2022-03-14T00:00:00"/>
    <n v="1"/>
    <n v="0"/>
    <n v="0"/>
    <x v="0"/>
  </r>
  <r>
    <x v="0"/>
    <x v="2"/>
    <m/>
    <x v="1"/>
    <s v="ZI"/>
    <s v="16.03.2022"/>
    <s v="*FX2000- Venta divisas 0100000004307"/>
    <s v="COP"/>
    <n v="7900002740"/>
    <s v="16.03.2022"/>
    <n v="-32362147461"/>
    <n v="1"/>
    <n v="50"/>
    <n v="-32362147461"/>
    <s v="COP"/>
    <d v="2022-03-16T00:00:00"/>
    <n v="1"/>
    <n v="0"/>
    <n v="0"/>
    <x v="0"/>
  </r>
  <r>
    <x v="0"/>
    <x v="2"/>
    <m/>
    <x v="1"/>
    <s v="ZI"/>
    <s v="16.03.2022"/>
    <s v="*FX2000- Venta divisas 0100000004308"/>
    <s v="COP"/>
    <n v="7900002748"/>
    <s v="16.03.2022"/>
    <n v="-5837852539"/>
    <n v="1"/>
    <n v="50"/>
    <n v="-5837852539"/>
    <s v="COP"/>
    <d v="2022-03-16T00:00:00"/>
    <n v="1"/>
    <n v="0"/>
    <n v="0"/>
    <x v="0"/>
  </r>
  <r>
    <x v="0"/>
    <x v="2"/>
    <m/>
    <x v="1"/>
    <s v="ZI"/>
    <s v="16.03.2022"/>
    <s v="*FX2000- Venta divisas 0100000004312"/>
    <s v="COP"/>
    <n v="7900002756"/>
    <s v="16.03.2022"/>
    <n v="-5731800000"/>
    <n v="1"/>
    <n v="50"/>
    <n v="-5731800000"/>
    <s v="COP"/>
    <d v="2022-03-16T00:00:00"/>
    <n v="1"/>
    <n v="0"/>
    <n v="0"/>
    <x v="0"/>
  </r>
  <r>
    <x v="0"/>
    <x v="2"/>
    <m/>
    <x v="1"/>
    <s v="ZI"/>
    <s v="16.03.2022"/>
    <s v="*FX2000- Venta divisas 0100000004310"/>
    <s v="COP"/>
    <n v="7900002786"/>
    <s v="16.03.2022"/>
    <n v="-1930000004"/>
    <n v="1"/>
    <n v="50"/>
    <n v="-1930000004"/>
    <s v="COP"/>
    <d v="2022-03-16T00:00:00"/>
    <n v="1"/>
    <n v="0"/>
    <n v="0"/>
    <x v="0"/>
  </r>
  <r>
    <x v="0"/>
    <x v="2"/>
    <m/>
    <x v="1"/>
    <s v="ZI"/>
    <s v="24.03.2022"/>
    <s v="*FX2000- Venta divisas 0100000004319"/>
    <s v="COP"/>
    <n v="7900002794"/>
    <s v="24.03.2022"/>
    <n v="-6824700000"/>
    <n v="1"/>
    <n v="50"/>
    <n v="-6824700000"/>
    <s v="COP"/>
    <d v="2022-03-24T00:00:00"/>
    <n v="1"/>
    <n v="0"/>
    <n v="0"/>
    <x v="0"/>
  </r>
  <r>
    <x v="0"/>
    <x v="2"/>
    <m/>
    <x v="1"/>
    <s v="ZP"/>
    <s v="07.03.2022"/>
    <m/>
    <s v="COP"/>
    <n v="2000001910"/>
    <s v="07.03.2022"/>
    <n v="21191886826"/>
    <n v="1"/>
    <n v="40"/>
    <n v="21191886826"/>
    <s v="COP"/>
    <d v="2022-03-07T00:00:00"/>
    <n v="1"/>
    <n v="0"/>
    <n v="0"/>
    <x v="0"/>
  </r>
  <r>
    <x v="0"/>
    <x v="2"/>
    <m/>
    <x v="1"/>
    <s v="ZP"/>
    <s v="14.03.2022"/>
    <m/>
    <s v="COP"/>
    <n v="2000002267"/>
    <s v="14.03.2022"/>
    <n v="1300000000"/>
    <n v="1"/>
    <n v="40"/>
    <n v="1300000000"/>
    <s v="COP"/>
    <d v="2022-03-14T00:00:00"/>
    <n v="1"/>
    <n v="0"/>
    <n v="0"/>
    <x v="0"/>
  </r>
  <r>
    <x v="0"/>
    <x v="2"/>
    <m/>
    <x v="1"/>
    <s v="ZP"/>
    <s v="14.03.2022"/>
    <m/>
    <s v="COP"/>
    <n v="2000002268"/>
    <s v="14.03.2022"/>
    <n v="6117699408"/>
    <n v="1"/>
    <n v="40"/>
    <n v="6117699408"/>
    <s v="COP"/>
    <d v="2022-03-14T00:00:00"/>
    <n v="1"/>
    <n v="0"/>
    <n v="0"/>
    <x v="0"/>
  </r>
  <r>
    <x v="0"/>
    <x v="2"/>
    <m/>
    <x v="1"/>
    <s v="ZP"/>
    <s v="15.03.2022"/>
    <m/>
    <s v="COP"/>
    <n v="2000002290"/>
    <s v="15.03.2022"/>
    <n v="27639240750"/>
    <n v="1"/>
    <n v="40"/>
    <n v="27639240750"/>
    <s v="COP"/>
    <d v="2022-03-15T00:00:00"/>
    <n v="1"/>
    <n v="0"/>
    <n v="0"/>
    <x v="0"/>
  </r>
  <r>
    <x v="0"/>
    <x v="2"/>
    <m/>
    <x v="1"/>
    <s v="ZP"/>
    <s v="23.03.2022"/>
    <m/>
    <s v="COP"/>
    <n v="2000002535"/>
    <s v="23.03.2022"/>
    <n v="1728146749"/>
    <n v="1"/>
    <n v="40"/>
    <n v="1728146749"/>
    <s v="COP"/>
    <d v="2022-03-23T00:00:00"/>
    <n v="1"/>
    <n v="0"/>
    <n v="0"/>
    <x v="0"/>
  </r>
  <r>
    <x v="0"/>
    <x v="2"/>
    <m/>
    <x v="1"/>
    <s v="ZP"/>
    <s v="11.03.2022"/>
    <m/>
    <s v="COP"/>
    <n v="2000002581"/>
    <s v="11.03.2022"/>
    <n v="38390000000"/>
    <n v="1"/>
    <n v="40"/>
    <n v="38390000000"/>
    <s v="COP"/>
    <d v="2022-03-11T00:00:00"/>
    <n v="1"/>
    <n v="0"/>
    <n v="0"/>
    <x v="0"/>
  </r>
  <r>
    <x v="0"/>
    <x v="2"/>
    <m/>
    <x v="1"/>
    <s v="ZP"/>
    <s v="11.03.2022"/>
    <m/>
    <s v="COP"/>
    <n v="2000002582"/>
    <s v="11.03.2022"/>
    <n v="57367500000"/>
    <n v="1"/>
    <n v="40"/>
    <n v="57367500000"/>
    <s v="COP"/>
    <d v="2022-03-11T00:00:00"/>
    <n v="1"/>
    <n v="0"/>
    <n v="0"/>
    <x v="0"/>
  </r>
  <r>
    <x v="0"/>
    <x v="2"/>
    <m/>
    <x v="1"/>
    <s v="ZP"/>
    <s v="11.03.2022"/>
    <m/>
    <s v="COP"/>
    <n v="2000002603"/>
    <s v="11.03.2022"/>
    <n v="19087500000"/>
    <n v="1"/>
    <n v="40"/>
    <n v="19087500000"/>
    <s v="COP"/>
    <d v="2022-03-11T00:00:00"/>
    <n v="1"/>
    <n v="0"/>
    <n v="0"/>
    <x v="0"/>
  </r>
  <r>
    <x v="0"/>
    <x v="2"/>
    <m/>
    <x v="1"/>
    <s v="ZP"/>
    <s v="14.03.2022"/>
    <m/>
    <s v="COP"/>
    <n v="2000002605"/>
    <s v="14.03.2022"/>
    <n v="18914000000"/>
    <n v="1"/>
    <n v="40"/>
    <n v="18914000000"/>
    <s v="COP"/>
    <d v="2022-03-14T00:00:00"/>
    <n v="1"/>
    <n v="0"/>
    <n v="0"/>
    <x v="0"/>
  </r>
  <r>
    <x v="0"/>
    <x v="2"/>
    <m/>
    <x v="1"/>
    <s v="ZP"/>
    <s v="14.03.2022"/>
    <m/>
    <s v="COP"/>
    <n v="2000002606"/>
    <s v="14.03.2022"/>
    <n v="18922500000"/>
    <n v="1"/>
    <n v="40"/>
    <n v="18922500000"/>
    <s v="COP"/>
    <d v="2022-03-14T00:00:00"/>
    <n v="1"/>
    <n v="0"/>
    <n v="0"/>
    <x v="0"/>
  </r>
  <r>
    <x v="0"/>
    <x v="2"/>
    <m/>
    <x v="1"/>
    <s v="ZP"/>
    <s v="14.03.2022"/>
    <m/>
    <s v="COP"/>
    <n v="2000002607"/>
    <s v="14.03.2022"/>
    <n v="38037900000"/>
    <n v="1"/>
    <n v="40"/>
    <n v="38037900000"/>
    <s v="COP"/>
    <d v="2022-03-14T00:00:00"/>
    <n v="1"/>
    <n v="0"/>
    <n v="0"/>
    <x v="0"/>
  </r>
  <r>
    <x v="0"/>
    <x v="2"/>
    <m/>
    <x v="1"/>
    <s v="ZP"/>
    <s v="16.03.2022"/>
    <m/>
    <s v="COP"/>
    <n v="2000002608"/>
    <s v="16.03.2022"/>
    <n v="3305900010"/>
    <n v="1"/>
    <n v="40"/>
    <n v="3305900010"/>
    <s v="COP"/>
    <d v="2022-03-16T00:00:00"/>
    <n v="1"/>
    <n v="0"/>
    <n v="0"/>
    <x v="0"/>
  </r>
  <r>
    <x v="0"/>
    <x v="2"/>
    <m/>
    <x v="1"/>
    <s v="ZP"/>
    <s v="16.03.2022"/>
    <m/>
    <s v="COP"/>
    <n v="2000002609"/>
    <s v="16.03.2022"/>
    <n v="4699999986"/>
    <n v="1"/>
    <n v="40"/>
    <n v="4699999986"/>
    <s v="COP"/>
    <d v="2022-03-16T00:00:00"/>
    <n v="1"/>
    <n v="0"/>
    <n v="0"/>
    <x v="0"/>
  </r>
  <r>
    <x v="0"/>
    <x v="2"/>
    <m/>
    <x v="1"/>
    <s v="ZP"/>
    <s v="16.03.2022"/>
    <m/>
    <s v="COP"/>
    <n v="2000002610"/>
    <s v="16.03.2022"/>
    <n v="6890400000"/>
    <n v="1"/>
    <n v="40"/>
    <n v="6890400000"/>
    <s v="COP"/>
    <d v="2022-03-16T00:00:00"/>
    <n v="1"/>
    <n v="0"/>
    <n v="0"/>
    <x v="0"/>
  </r>
  <r>
    <x v="0"/>
    <x v="2"/>
    <m/>
    <x v="1"/>
    <s v="ZP"/>
    <s v="16.03.2022"/>
    <m/>
    <s v="COP"/>
    <n v="2000002611"/>
    <s v="16.03.2022"/>
    <n v="5355000000"/>
    <n v="1"/>
    <n v="40"/>
    <n v="5355000000"/>
    <s v="COP"/>
    <d v="2022-03-16T00:00:00"/>
    <n v="1"/>
    <n v="0"/>
    <n v="0"/>
    <x v="0"/>
  </r>
  <r>
    <x v="0"/>
    <x v="2"/>
    <m/>
    <x v="1"/>
    <s v="ZP"/>
    <s v="16.03.2022"/>
    <m/>
    <s v="COP"/>
    <n v="2000002612"/>
    <s v="16.03.2022"/>
    <n v="22975200000"/>
    <n v="1"/>
    <n v="40"/>
    <n v="22975200000"/>
    <s v="COP"/>
    <d v="2022-03-16T00:00:00"/>
    <n v="1"/>
    <n v="0"/>
    <n v="0"/>
    <x v="0"/>
  </r>
  <r>
    <x v="0"/>
    <x v="2"/>
    <m/>
    <x v="1"/>
    <s v="ZP"/>
    <s v="16.03.2022"/>
    <m/>
    <s v="COP"/>
    <n v="2000002613"/>
    <s v="16.03.2022"/>
    <n v="3827600000"/>
    <n v="1"/>
    <n v="40"/>
    <n v="3827600000"/>
    <s v="COP"/>
    <d v="2022-03-16T00:00:00"/>
    <n v="1"/>
    <n v="0"/>
    <n v="0"/>
    <x v="0"/>
  </r>
  <r>
    <x v="0"/>
    <x v="2"/>
    <m/>
    <x v="1"/>
    <s v="ZP"/>
    <s v="07.03.2022"/>
    <m/>
    <s v="COP"/>
    <n v="2000002614"/>
    <s v="07.03.2022"/>
    <n v="384469309"/>
    <n v="1"/>
    <n v="40"/>
    <n v="384469309"/>
    <s v="COP"/>
    <d v="2022-03-07T00:00:00"/>
    <n v="1"/>
    <n v="0"/>
    <n v="0"/>
    <x v="0"/>
  </r>
  <r>
    <x v="0"/>
    <x v="2"/>
    <m/>
    <x v="1"/>
    <s v="ZP"/>
    <s v="25.03.2022"/>
    <m/>
    <s v="COP"/>
    <n v="2000002615"/>
    <s v="25.03.2022"/>
    <n v="1523750000"/>
    <n v="1"/>
    <n v="40"/>
    <n v="1523750000"/>
    <s v="COP"/>
    <d v="2022-03-25T00:00:00"/>
    <n v="1"/>
    <n v="0"/>
    <n v="0"/>
    <x v="0"/>
  </r>
  <r>
    <x v="0"/>
    <x v="2"/>
    <m/>
    <x v="1"/>
    <s v="ZP"/>
    <s v="11.03.2022"/>
    <m/>
    <s v="COP"/>
    <n v="2000002705"/>
    <s v="11.03.2022"/>
    <n v="19050000000"/>
    <n v="1"/>
    <n v="40"/>
    <n v="19050000000"/>
    <s v="COP"/>
    <d v="2022-03-11T00:00:00"/>
    <n v="1"/>
    <n v="0"/>
    <n v="0"/>
    <x v="0"/>
  </r>
  <r>
    <x v="0"/>
    <x v="2"/>
    <m/>
    <x v="1"/>
    <s v="ZP"/>
    <s v="14.03.2022"/>
    <m/>
    <s v="COP"/>
    <n v="2000002706"/>
    <s v="14.03.2022"/>
    <n v="37888000000"/>
    <n v="1"/>
    <n v="40"/>
    <n v="37888000000"/>
    <s v="COP"/>
    <d v="2022-03-14T00:00:00"/>
    <n v="1"/>
    <n v="0"/>
    <n v="0"/>
    <x v="0"/>
  </r>
  <r>
    <x v="0"/>
    <x v="2"/>
    <m/>
    <x v="1"/>
    <s v="ZP"/>
    <s v="14.03.2022"/>
    <m/>
    <s v="COP"/>
    <n v="2000002707"/>
    <s v="14.03.2022"/>
    <n v="37929000000"/>
    <n v="1"/>
    <n v="40"/>
    <n v="37929000000"/>
    <s v="COP"/>
    <d v="2022-03-14T00:00:00"/>
    <n v="1"/>
    <n v="0"/>
    <n v="0"/>
    <x v="0"/>
  </r>
  <r>
    <x v="0"/>
    <x v="2"/>
    <m/>
    <x v="1"/>
    <s v="ZP"/>
    <s v="14.03.2022"/>
    <m/>
    <s v="COP"/>
    <n v="2000002708"/>
    <s v="14.03.2022"/>
    <n v="38080000000"/>
    <n v="1"/>
    <n v="40"/>
    <n v="38080000000"/>
    <s v="COP"/>
    <d v="2022-03-14T00:00:00"/>
    <n v="1"/>
    <n v="0"/>
    <n v="0"/>
    <x v="0"/>
  </r>
  <r>
    <x v="0"/>
    <x v="2"/>
    <m/>
    <x v="1"/>
    <s v="ZP"/>
    <s v="14.03.2022"/>
    <m/>
    <s v="COP"/>
    <n v="2000002709"/>
    <s v="14.03.2022"/>
    <n v="38050000000"/>
    <n v="1"/>
    <n v="40"/>
    <n v="38050000000"/>
    <s v="COP"/>
    <d v="2022-03-14T00:00:00"/>
    <n v="1"/>
    <n v="0"/>
    <n v="0"/>
    <x v="0"/>
  </r>
  <r>
    <x v="0"/>
    <x v="2"/>
    <m/>
    <x v="1"/>
    <s v="ZP"/>
    <s v="14.03.2022"/>
    <m/>
    <s v="COP"/>
    <n v="2000002710"/>
    <s v="14.03.2022"/>
    <n v="38080000000"/>
    <n v="1"/>
    <n v="40"/>
    <n v="38080000000"/>
    <s v="COP"/>
    <d v="2022-03-14T00:00:00"/>
    <n v="1"/>
    <n v="0"/>
    <n v="0"/>
    <x v="0"/>
  </r>
  <r>
    <x v="0"/>
    <x v="2"/>
    <m/>
    <x v="1"/>
    <s v="ZP"/>
    <s v="16.03.2022"/>
    <m/>
    <s v="COP"/>
    <n v="2000002711"/>
    <s v="16.03.2022"/>
    <n v="32362147461"/>
    <n v="1"/>
    <n v="40"/>
    <n v="32362147461"/>
    <s v="COP"/>
    <d v="2022-03-16T00:00:00"/>
    <n v="1"/>
    <n v="0"/>
    <n v="0"/>
    <x v="0"/>
  </r>
  <r>
    <x v="0"/>
    <x v="2"/>
    <m/>
    <x v="1"/>
    <s v="ZP"/>
    <s v="16.03.2022"/>
    <m/>
    <s v="COP"/>
    <n v="2000002712"/>
    <s v="16.03.2022"/>
    <n v="5837852539"/>
    <n v="1"/>
    <n v="40"/>
    <n v="5837852539"/>
    <s v="COP"/>
    <d v="2022-03-16T00:00:00"/>
    <n v="1"/>
    <n v="0"/>
    <n v="0"/>
    <x v="0"/>
  </r>
  <r>
    <x v="0"/>
    <x v="2"/>
    <m/>
    <x v="1"/>
    <s v="ZP"/>
    <s v="16.03.2022"/>
    <m/>
    <s v="COP"/>
    <n v="2000002713"/>
    <s v="16.03.2022"/>
    <n v="5731800000"/>
    <n v="1"/>
    <n v="40"/>
    <n v="5731800000"/>
    <s v="COP"/>
    <d v="2022-03-16T00:00:00"/>
    <n v="1"/>
    <n v="0"/>
    <n v="0"/>
    <x v="0"/>
  </r>
  <r>
    <x v="0"/>
    <x v="2"/>
    <m/>
    <x v="1"/>
    <s v="ZP"/>
    <s v="11.03.2022"/>
    <m/>
    <s v="COP"/>
    <n v="2000002714"/>
    <s v="11.03.2022"/>
    <n v="57517500000"/>
    <n v="1"/>
    <n v="40"/>
    <n v="57517500000"/>
    <s v="COP"/>
    <d v="2022-03-11T00:00:00"/>
    <n v="1"/>
    <n v="0"/>
    <n v="0"/>
    <x v="0"/>
  </r>
  <r>
    <x v="0"/>
    <x v="2"/>
    <m/>
    <x v="1"/>
    <s v="ZP"/>
    <s v="11.03.2022"/>
    <m/>
    <s v="COP"/>
    <n v="2000002715"/>
    <s v="11.03.2022"/>
    <n v="57487500000"/>
    <n v="1"/>
    <n v="40"/>
    <n v="57487500000"/>
    <s v="COP"/>
    <d v="2022-03-11T00:00:00"/>
    <n v="1"/>
    <n v="0"/>
    <n v="0"/>
    <x v="0"/>
  </r>
  <r>
    <x v="0"/>
    <x v="2"/>
    <m/>
    <x v="1"/>
    <s v="ZP"/>
    <s v="03.03.2022"/>
    <m/>
    <s v="COP"/>
    <n v="2000002726"/>
    <s v="03.03.2022"/>
    <n v="4732320606"/>
    <n v="1"/>
    <n v="40"/>
    <n v="4732320606"/>
    <s v="COP"/>
    <d v="2022-03-03T00:00:00"/>
    <n v="1"/>
    <n v="0"/>
    <n v="0"/>
    <x v="0"/>
  </r>
  <r>
    <x v="0"/>
    <x v="2"/>
    <m/>
    <x v="1"/>
    <s v="ZP"/>
    <s v="16.03.2022"/>
    <m/>
    <s v="COP"/>
    <n v="2000002743"/>
    <s v="16.03.2022"/>
    <n v="1930000004"/>
    <n v="1"/>
    <n v="40"/>
    <n v="1930000004"/>
    <s v="COP"/>
    <d v="2022-03-16T00:00:00"/>
    <n v="1"/>
    <n v="0"/>
    <n v="0"/>
    <x v="0"/>
  </r>
  <r>
    <x v="0"/>
    <x v="2"/>
    <m/>
    <x v="1"/>
    <s v="ZP"/>
    <s v="24.03.2022"/>
    <m/>
    <s v="COP"/>
    <n v="2000002744"/>
    <s v="24.03.2022"/>
    <n v="6824700000"/>
    <n v="1"/>
    <n v="40"/>
    <n v="6824700000"/>
    <s v="COP"/>
    <d v="2022-03-24T00:00:00"/>
    <n v="1"/>
    <n v="0"/>
    <n v="0"/>
    <x v="0"/>
  </r>
  <r>
    <x v="0"/>
    <x v="2"/>
    <m/>
    <x v="1"/>
    <s v="ZP"/>
    <s v="24.03.2022"/>
    <m/>
    <s v="COP"/>
    <n v="2000002745"/>
    <s v="24.03.2022"/>
    <n v="790032396"/>
    <n v="1"/>
    <n v="40"/>
    <n v="790032396"/>
    <s v="COP"/>
    <d v="2022-03-24T00:00:00"/>
    <n v="1"/>
    <n v="0"/>
    <n v="0"/>
    <x v="0"/>
  </r>
  <r>
    <x v="0"/>
    <x v="2"/>
    <m/>
    <x v="1"/>
    <s v="ZP"/>
    <s v="29.03.2022"/>
    <m/>
    <s v="COP"/>
    <n v="2000002754"/>
    <s v="29.03.2022"/>
    <n v="3934792130"/>
    <n v="1"/>
    <n v="40"/>
    <n v="3934792130"/>
    <s v="COP"/>
    <d v="2022-03-29T00:00:00"/>
    <n v="1"/>
    <n v="0"/>
    <n v="0"/>
    <x v="0"/>
  </r>
  <r>
    <x v="0"/>
    <x v="2"/>
    <m/>
    <x v="1"/>
    <s v="ZS"/>
    <s v="07.03.2022"/>
    <s v="*CML1110 0001000003450"/>
    <s v="COP"/>
    <n v="7900002436"/>
    <s v="07.03.2022"/>
    <n v="-2360721352"/>
    <n v="1"/>
    <n v="50"/>
    <n v="-2360721352"/>
    <s v="COP"/>
    <d v="2022-03-07T00:00:00"/>
    <n v="1"/>
    <n v="0"/>
    <n v="0"/>
    <x v="0"/>
  </r>
  <r>
    <x v="0"/>
    <x v="2"/>
    <m/>
    <x v="1"/>
    <s v="ZS"/>
    <s v="07.03.2022"/>
    <s v="*CML1110 0001000003451"/>
    <s v="COP"/>
    <n v="7900002437"/>
    <s v="07.03.2022"/>
    <n v="-5968381320"/>
    <n v="1"/>
    <n v="50"/>
    <n v="-5968381320"/>
    <s v="COP"/>
    <d v="2022-03-07T00:00:00"/>
    <n v="1"/>
    <n v="0"/>
    <n v="0"/>
    <x v="0"/>
  </r>
  <r>
    <x v="0"/>
    <x v="2"/>
    <m/>
    <x v="1"/>
    <s v="ZS"/>
    <s v="07.03.2022"/>
    <s v="*CML1110 0001000003453"/>
    <s v="COP"/>
    <n v="7900002438"/>
    <s v="07.03.2022"/>
    <n v="-4762800984"/>
    <n v="1"/>
    <n v="50"/>
    <n v="-4762800984"/>
    <s v="COP"/>
    <d v="2022-03-07T00:00:00"/>
    <n v="1"/>
    <n v="0"/>
    <n v="0"/>
    <x v="0"/>
  </r>
  <r>
    <x v="0"/>
    <x v="2"/>
    <m/>
    <x v="1"/>
    <s v="ZS"/>
    <s v="07.03.2022"/>
    <s v="*CML1110 0001000003452"/>
    <s v="COP"/>
    <n v="7900002439"/>
    <s v="07.03.2022"/>
    <n v="-8099983170"/>
    <n v="1"/>
    <n v="50"/>
    <n v="-8099983170"/>
    <s v="COP"/>
    <d v="2022-03-07T00:00:00"/>
    <n v="1"/>
    <n v="0"/>
    <n v="0"/>
    <x v="0"/>
  </r>
  <r>
    <x v="0"/>
    <x v="2"/>
    <m/>
    <x v="1"/>
    <s v="ZS"/>
    <s v="14.03.2022"/>
    <s v="*CML1110 0001000003650"/>
    <s v="COP"/>
    <n v="7900002473"/>
    <s v="14.03.2022"/>
    <n v="-1300000000"/>
    <n v="1"/>
    <n v="50"/>
    <n v="-1300000000"/>
    <s v="COP"/>
    <d v="2022-03-14T00:00:00"/>
    <n v="1"/>
    <n v="0"/>
    <n v="0"/>
    <x v="0"/>
  </r>
  <r>
    <x v="0"/>
    <x v="2"/>
    <m/>
    <x v="1"/>
    <s v="ZS"/>
    <s v="14.03.2022"/>
    <s v="*CML1110 0001000003650"/>
    <s v="COP"/>
    <n v="7900002477"/>
    <s v="14.03.2022"/>
    <n v="1300000000"/>
    <n v="1"/>
    <n v="40"/>
    <n v="1300000000"/>
    <s v="COP"/>
    <d v="2022-03-14T00:00:00"/>
    <n v="1"/>
    <n v="0"/>
    <n v="0"/>
    <x v="0"/>
  </r>
  <r>
    <x v="0"/>
    <x v="2"/>
    <m/>
    <x v="1"/>
    <s v="ZS"/>
    <s v="14.03.2022"/>
    <s v="*CML1110 0001000003650"/>
    <s v="COP"/>
    <n v="7900002481"/>
    <s v="14.03.2022"/>
    <n v="-1300000000"/>
    <n v="1"/>
    <n v="50"/>
    <n v="-1300000000"/>
    <s v="COP"/>
    <d v="2022-03-14T00:00:00"/>
    <n v="1"/>
    <n v="0"/>
    <n v="0"/>
    <x v="0"/>
  </r>
  <r>
    <x v="0"/>
    <x v="2"/>
    <m/>
    <x v="1"/>
    <s v="ZS"/>
    <s v="14.03.2022"/>
    <s v="*CML1110 0001000002400"/>
    <s v="COP"/>
    <n v="7900002487"/>
    <s v="14.03.2022"/>
    <n v="-3959551161"/>
    <n v="1"/>
    <n v="50"/>
    <n v="-3959551161"/>
    <s v="COP"/>
    <d v="2022-03-14T00:00:00"/>
    <n v="1"/>
    <n v="0"/>
    <n v="0"/>
    <x v="0"/>
  </r>
  <r>
    <x v="0"/>
    <x v="2"/>
    <m/>
    <x v="1"/>
    <s v="ZS"/>
    <s v="14.03.2022"/>
    <s v="*CML1110 0001000002401"/>
    <s v="COP"/>
    <n v="7900002488"/>
    <s v="14.03.2022"/>
    <n v="-2158148247"/>
    <n v="1"/>
    <n v="50"/>
    <n v="-2158148247"/>
    <s v="COP"/>
    <d v="2022-03-14T00:00:00"/>
    <n v="1"/>
    <n v="0"/>
    <n v="0"/>
    <x v="0"/>
  </r>
  <r>
    <x v="0"/>
    <x v="2"/>
    <m/>
    <x v="1"/>
    <s v="ZS"/>
    <s v="15.03.2022"/>
    <s v="*CML1110 0001000000027"/>
    <s v="COP"/>
    <n v="7900002507"/>
    <s v="15.03.2022"/>
    <n v="-14999910750"/>
    <n v="1"/>
    <n v="50"/>
    <n v="-14999910750"/>
    <s v="COP"/>
    <d v="2022-03-15T00:00:00"/>
    <n v="1"/>
    <n v="0"/>
    <n v="0"/>
    <x v="0"/>
  </r>
  <r>
    <x v="0"/>
    <x v="2"/>
    <m/>
    <x v="1"/>
    <s v="ZS"/>
    <s v="15.03.2022"/>
    <s v="*CML1110 0001000000030"/>
    <s v="COP"/>
    <n v="7900002508"/>
    <s v="15.03.2022"/>
    <n v="-12639330000"/>
    <n v="1"/>
    <n v="50"/>
    <n v="-12639330000"/>
    <s v="COP"/>
    <d v="2022-03-15T00:00:00"/>
    <n v="1"/>
    <n v="0"/>
    <n v="0"/>
    <x v="0"/>
  </r>
  <r>
    <x v="0"/>
    <x v="2"/>
    <m/>
    <x v="1"/>
    <s v="ZS"/>
    <s v="23.03.2022"/>
    <s v="*CML1110 0001000003051"/>
    <s v="COP"/>
    <n v="7900002549"/>
    <s v="23.03.2022"/>
    <n v="-1728146749"/>
    <n v="1"/>
    <n v="50"/>
    <n v="-1728146749"/>
    <s v="COP"/>
    <d v="2022-03-23T00:00:00"/>
    <n v="1"/>
    <n v="0"/>
    <n v="0"/>
    <x v="0"/>
  </r>
  <r>
    <x v="0"/>
    <x v="2"/>
    <m/>
    <x v="1"/>
    <s v="ZS"/>
    <s v="25.03.2022"/>
    <s v="*CML1110 0001000003651"/>
    <s v="COP"/>
    <n v="7900002649"/>
    <s v="25.03.2022"/>
    <n v="-1523750000"/>
    <n v="1"/>
    <n v="50"/>
    <n v="-1523750000"/>
    <s v="COP"/>
    <d v="2022-03-25T00:00:00"/>
    <n v="1"/>
    <n v="0"/>
    <n v="0"/>
    <x v="0"/>
  </r>
  <r>
    <x v="0"/>
    <x v="2"/>
    <m/>
    <x v="1"/>
    <s v="ZS"/>
    <s v="25.03.2022"/>
    <s v="*CML1110 0001000003651"/>
    <s v="COP"/>
    <n v="7900002653"/>
    <s v="25.03.2022"/>
    <n v="1523750000"/>
    <n v="1"/>
    <n v="40"/>
    <n v="1523750000"/>
    <s v="COP"/>
    <d v="2022-03-25T00:00:00"/>
    <n v="1"/>
    <n v="0"/>
    <n v="0"/>
    <x v="0"/>
  </r>
  <r>
    <x v="0"/>
    <x v="2"/>
    <m/>
    <x v="1"/>
    <s v="ZS"/>
    <s v="25.03.2022"/>
    <s v="*CML1110 0001000003651"/>
    <s v="COP"/>
    <n v="7900002657"/>
    <s v="25.03.2022"/>
    <n v="-1523750000"/>
    <n v="1"/>
    <n v="50"/>
    <n v="-1523750000"/>
    <s v="COP"/>
    <d v="2022-03-25T00:00:00"/>
    <n v="1"/>
    <n v="0"/>
    <n v="0"/>
    <x v="0"/>
  </r>
  <r>
    <x v="0"/>
    <x v="2"/>
    <m/>
    <x v="1"/>
    <s v="ZD"/>
    <s v="03.03.2022"/>
    <s v="*CML1120 0001000001001"/>
    <s v="USD"/>
    <n v="7900002421"/>
    <s v="03.03.2022"/>
    <n v="-1715255.57"/>
    <n v="3901.62"/>
    <n v="50"/>
    <n v="-6692275437"/>
    <s v="COP"/>
    <d v="2022-03-03T00:00:00"/>
    <n v="3901.62"/>
    <n v="3862.95"/>
    <n v="-66328932.89190013"/>
    <x v="1"/>
  </r>
  <r>
    <x v="0"/>
    <x v="2"/>
    <m/>
    <x v="1"/>
    <s v="ZI"/>
    <s v="07.03.2022"/>
    <s v="*FX2000- Venta divisas 0100000004325"/>
    <s v="USD"/>
    <n v="7900002829"/>
    <s v="07.03.2022"/>
    <n v="-585884.64"/>
    <n v="3771.7699400000001"/>
    <n v="50"/>
    <n v="-2209822074"/>
    <s v="COP"/>
    <d v="2022-03-07T00:00:00"/>
    <n v="3771.77"/>
    <n v="3806.11"/>
    <n v="20119278.537600085"/>
    <x v="2"/>
  </r>
  <r>
    <x v="0"/>
    <x v="2"/>
    <m/>
    <x v="1"/>
    <s v="ZI"/>
    <s v="28.03.2022"/>
    <s v="*FX2000- Venta divisas 0100000004328"/>
    <s v="USD"/>
    <n v="7900003195"/>
    <s v="28.03.2022"/>
    <n v="-1747556.97"/>
    <n v="3798.9"/>
    <n v="50"/>
    <n v="-6638794173"/>
    <s v="COP"/>
    <d v="2022-03-28T00:00:00"/>
    <n v="3798.9"/>
    <n v="3785.66"/>
    <n v="-23137654.282800414"/>
    <x v="1"/>
  </r>
  <r>
    <x v="0"/>
    <x v="2"/>
    <m/>
    <x v="1"/>
    <s v="ZI"/>
    <s v="28.03.2022"/>
    <s v="*FX2000- Venta divisas 0100000004329"/>
    <s v="USD"/>
    <n v="7900003203"/>
    <s v="28.03.2022"/>
    <n v="-100077.6"/>
    <n v="3785.66"/>
    <n v="50"/>
    <n v="-378859767"/>
    <s v="COP"/>
    <d v="2022-03-28T00:00:00"/>
    <n v="3785.66"/>
    <n v="3785.66"/>
    <n v="0"/>
    <x v="0"/>
  </r>
  <r>
    <x v="0"/>
    <x v="2"/>
    <m/>
    <x v="1"/>
    <s v="ZI"/>
    <s v="31.03.2022"/>
    <s v="*FX2000- Venta divisas 0100000004332"/>
    <s v="USD"/>
    <n v="7900003489"/>
    <s v="31.03.2022"/>
    <n v="-8432598.5600000005"/>
    <n v="3785.7"/>
    <n v="50"/>
    <n v="-31923288362"/>
    <s v="COP"/>
    <d v="2022-03-31T00:00:00"/>
    <n v="3785.7"/>
    <n v="3748.15"/>
    <n v="-316644075.92799771"/>
    <x v="1"/>
  </r>
  <r>
    <x v="0"/>
    <x v="2"/>
    <m/>
    <x v="1"/>
    <s v="ZP"/>
    <s v="03.03.2022"/>
    <m/>
    <s v="USD"/>
    <n v="2000001813"/>
    <s v="03.03.2022"/>
    <n v="1997447.79"/>
    <n v="3901.62"/>
    <n v="40"/>
    <n v="7793282246"/>
    <s v="COP"/>
    <d v="2022-03-03T00:00:00"/>
    <n v="3901.62"/>
    <n v="3862.95"/>
    <n v="77241306.039300144"/>
    <x v="2"/>
  </r>
  <r>
    <x v="0"/>
    <x v="2"/>
    <m/>
    <x v="1"/>
    <s v="ZP"/>
    <s v="07.03.2022"/>
    <m/>
    <s v="USD"/>
    <n v="2000002746"/>
    <s v="07.03.2022"/>
    <n v="585884.64"/>
    <n v="3771.7699400000001"/>
    <n v="40"/>
    <n v="2209822074"/>
    <s v="COP"/>
    <d v="2022-03-07T00:00:00"/>
    <n v="3771.77"/>
    <n v="3806.11"/>
    <n v="-20119278.537600085"/>
    <x v="1"/>
  </r>
  <r>
    <x v="0"/>
    <x v="2"/>
    <m/>
    <x v="1"/>
    <s v="ZP"/>
    <s v="28.03.2022"/>
    <m/>
    <s v="USD"/>
    <n v="2000002796"/>
    <s v="28.03.2022"/>
    <n v="1847634.57"/>
    <n v="3798.1828500000001"/>
    <n v="40"/>
    <n v="7017653940"/>
    <s v="COP"/>
    <d v="2022-03-28T00:00:00"/>
    <n v="3798.18"/>
    <n v="3785.66"/>
    <n v="23132384.816399965"/>
    <x v="2"/>
  </r>
  <r>
    <x v="0"/>
    <x v="2"/>
    <m/>
    <x v="1"/>
    <s v="ZP"/>
    <s v="31.03.2022"/>
    <m/>
    <s v="USD"/>
    <n v="2000002808"/>
    <s v="31.03.2022"/>
    <n v="8432598.5600000005"/>
    <n v="3785.7"/>
    <n v="40"/>
    <n v="31923288362"/>
    <s v="COP"/>
    <d v="2022-03-31T00:00:00"/>
    <n v="3785.7"/>
    <n v="3748.15"/>
    <n v="316644075.92799771"/>
    <x v="2"/>
  </r>
  <r>
    <x v="0"/>
    <x v="2"/>
    <m/>
    <x v="1"/>
    <s v="ZS"/>
    <s v="03.03.2022"/>
    <s v="*CML1110 0001000001001"/>
    <s v="USD"/>
    <n v="7900002420"/>
    <s v="03.03.2022"/>
    <n v="-282192.21999999997"/>
    <n v="3901.62"/>
    <n v="50"/>
    <n v="-1101006809"/>
    <s v="COP"/>
    <d v="2022-03-03T00:00:00"/>
    <n v="3901.62"/>
    <n v="3862.95"/>
    <n v="-10912373.14740002"/>
    <x v="1"/>
  </r>
  <r>
    <x v="1"/>
    <x v="3"/>
    <m/>
    <x v="2"/>
    <m/>
    <m/>
    <m/>
    <m/>
    <m/>
    <m/>
    <m/>
    <m/>
    <m/>
    <n v="6"/>
    <m/>
    <m/>
    <m/>
    <m/>
    <m/>
    <x v="0"/>
  </r>
  <r>
    <x v="0"/>
    <x v="4"/>
    <m/>
    <x v="0"/>
    <s v="ZI"/>
    <s v="11.04.2022"/>
    <s v="*FX2000- Venta divisas 0100000004337"/>
    <s v="COP"/>
    <n v="7900004492"/>
    <s v="11.04.2022"/>
    <n v="124194372147"/>
    <n v="1"/>
    <n v="40"/>
    <n v="124194372147"/>
    <s v="COP"/>
    <d v="2022-04-11T00:00:00"/>
    <n v="1"/>
    <n v="0"/>
    <n v="0"/>
    <x v="0"/>
  </r>
  <r>
    <x v="0"/>
    <x v="4"/>
    <m/>
    <x v="0"/>
    <s v="ZI"/>
    <s v="22.04.2022"/>
    <s v="*FX2000- Venta divisas 0100000004339"/>
    <s v="COP"/>
    <n v="7900004511"/>
    <s v="22.04.2022"/>
    <n v="27966525214"/>
    <n v="1"/>
    <n v="40"/>
    <n v="27966525214"/>
    <s v="COP"/>
    <d v="2022-04-22T00:00:00"/>
    <n v="1"/>
    <n v="0"/>
    <n v="0"/>
    <x v="0"/>
  </r>
  <r>
    <x v="0"/>
    <x v="4"/>
    <m/>
    <x v="0"/>
    <s v="ZI"/>
    <s v="19.04.2022"/>
    <s v="*FX2000- Venta divisas 0100000004338"/>
    <s v="COP"/>
    <n v="7900004530"/>
    <s v="19.04.2022"/>
    <n v="2581443391"/>
    <n v="1"/>
    <n v="40"/>
    <n v="2581443391"/>
    <s v="COP"/>
    <d v="2022-04-19T00:00:00"/>
    <n v="1"/>
    <n v="0"/>
    <n v="0"/>
    <x v="0"/>
  </r>
  <r>
    <x v="0"/>
    <x v="4"/>
    <m/>
    <x v="0"/>
    <s v="ZI"/>
    <s v="29.04.2022"/>
    <s v="*FX1000+ Compra divisas 0100000004356"/>
    <s v="COP"/>
    <n v="7900005161"/>
    <s v="29.04.2022"/>
    <n v="-197381500"/>
    <n v="1"/>
    <n v="50"/>
    <n v="-197381500"/>
    <s v="COP"/>
    <d v="2022-04-29T00:00:00"/>
    <n v="1"/>
    <n v="0"/>
    <n v="0"/>
    <x v="0"/>
  </r>
  <r>
    <x v="0"/>
    <x v="4"/>
    <m/>
    <x v="0"/>
    <s v="ZI"/>
    <s v="29.04.2022"/>
    <s v="*FX1000+ Compra divisas 0100000004356"/>
    <s v="COP"/>
    <n v="7900005178"/>
    <s v="29.04.2022"/>
    <n v="197381500"/>
    <n v="1"/>
    <n v="40"/>
    <n v="197381500"/>
    <s v="COP"/>
    <d v="2022-04-29T00:00:00"/>
    <n v="1"/>
    <n v="0"/>
    <n v="0"/>
    <x v="0"/>
  </r>
  <r>
    <x v="0"/>
    <x v="4"/>
    <m/>
    <x v="0"/>
    <s v="ZI"/>
    <s v="29.04.2022"/>
    <s v="*FX1000+ Compra divisas 0100000004356"/>
    <s v="COP"/>
    <n v="7900005186"/>
    <s v="29.04.2022"/>
    <n v="-197381500"/>
    <n v="1"/>
    <n v="50"/>
    <n v="-197381500"/>
    <s v="COP"/>
    <d v="2022-04-29T00:00:00"/>
    <n v="1"/>
    <n v="0"/>
    <n v="0"/>
    <x v="0"/>
  </r>
  <r>
    <x v="0"/>
    <x v="4"/>
    <m/>
    <x v="0"/>
    <s v="ZI"/>
    <s v="29.04.2022"/>
    <s v="*FX1000+ Compra divisas 0100000004357"/>
    <s v="COP"/>
    <n v="7900005223"/>
    <s v="29.04.2022"/>
    <n v="-29656724053"/>
    <n v="1"/>
    <n v="50"/>
    <n v="-29656724053"/>
    <s v="COP"/>
    <d v="2022-04-29T00:00:00"/>
    <n v="1"/>
    <n v="0"/>
    <n v="0"/>
    <x v="0"/>
  </r>
  <r>
    <x v="0"/>
    <x v="4"/>
    <m/>
    <x v="0"/>
    <s v="ZI"/>
    <s v="29.04.2022"/>
    <s v="*FX2000- Venta divisas 0100000004358"/>
    <s v="COP"/>
    <n v="7900005247"/>
    <s v="29.04.2022"/>
    <n v="1837863589"/>
    <n v="1"/>
    <n v="40"/>
    <n v="1837863589"/>
    <s v="COP"/>
    <d v="2022-04-29T00:00:00"/>
    <n v="1"/>
    <n v="0"/>
    <n v="0"/>
    <x v="0"/>
  </r>
  <r>
    <x v="0"/>
    <x v="4"/>
    <m/>
    <x v="0"/>
    <s v="ZI"/>
    <s v="06.04.2022"/>
    <s v="*FX1000+ Compra divisas 0100000004335"/>
    <s v="EURO"/>
    <n v="7900004541"/>
    <s v="06.04.2022"/>
    <n v="-1648"/>
    <n v="4054.29126"/>
    <n v="50"/>
    <n v="-6681472"/>
    <s v="COP"/>
    <d v="2022-04-06T00:00:00"/>
    <n v="4054.29"/>
    <n v="0"/>
    <n v="0"/>
    <x v="0"/>
  </r>
  <r>
    <x v="0"/>
    <x v="4"/>
    <m/>
    <x v="0"/>
    <s v="ZI"/>
    <s v="08.04.2022"/>
    <s v="*FX1000+ Compra divisas 0100000004336"/>
    <s v="EURO"/>
    <n v="7900004549"/>
    <s v="08.04.2022"/>
    <n v="-4600.5"/>
    <n v="4033.3157299999998"/>
    <n v="50"/>
    <n v="-18555269"/>
    <s v="COP"/>
    <d v="2022-04-08T00:00:00"/>
    <n v="4033.32"/>
    <n v="0"/>
    <n v="0"/>
    <x v="0"/>
  </r>
  <r>
    <x v="0"/>
    <x v="4"/>
    <m/>
    <x v="0"/>
    <s v="ZI"/>
    <s v="11.04.2022"/>
    <s v="*FX1000+ Compra divisas 0100000004337"/>
    <s v="USD"/>
    <n v="7900004491"/>
    <s v="11.04.2022"/>
    <n v="-32878181.649999999"/>
    <n v="3777.41"/>
    <n v="50"/>
    <n v="-124194372147"/>
    <s v="COP"/>
    <d v="2022-04-11T00:00:00"/>
    <n v="3777.41"/>
    <n v="3777.41"/>
    <n v="0"/>
    <x v="0"/>
  </r>
  <r>
    <x v="0"/>
    <x v="4"/>
    <m/>
    <x v="0"/>
    <s v="ZI"/>
    <s v="22.04.2022"/>
    <s v="*FX1000+ Compra divisas 0100000004339"/>
    <s v="USD"/>
    <n v="7900004510"/>
    <s v="22.04.2022"/>
    <n v="-7438815.71"/>
    <n v="3759.54"/>
    <n v="50"/>
    <n v="-27966525214"/>
    <s v="COP"/>
    <d v="2022-04-22T00:00:00"/>
    <n v="3759.54"/>
    <n v="3759.54"/>
    <n v="0"/>
    <x v="0"/>
  </r>
  <r>
    <x v="0"/>
    <x v="4"/>
    <m/>
    <x v="0"/>
    <s v="ZI"/>
    <s v="19.04.2022"/>
    <s v="*FX1000+ Compra divisas 0100000004338"/>
    <s v="USD"/>
    <n v="7900004529"/>
    <s v="19.04.2022"/>
    <n v="-691833"/>
    <n v="3731.31"/>
    <n v="50"/>
    <n v="-2581443391"/>
    <s v="COP"/>
    <d v="2022-04-19T00:00:00"/>
    <n v="3731.31"/>
    <n v="3731.31"/>
    <n v="0"/>
    <x v="0"/>
  </r>
  <r>
    <x v="0"/>
    <x v="4"/>
    <m/>
    <x v="0"/>
    <s v="ZI"/>
    <s v="06.04.2022"/>
    <s v="*FX2000- Venta divisas 0100000004335"/>
    <s v="USD"/>
    <n v="7900004542"/>
    <s v="06.04.2022"/>
    <n v="1848.56"/>
    <n v="3614.4198700000002"/>
    <n v="40"/>
    <n v="6681472"/>
    <s v="COP"/>
    <d v="2022-04-06T00:00:00"/>
    <n v="3614.42"/>
    <n v="3723.79"/>
    <n v="202177.00719999979"/>
    <x v="2"/>
  </r>
  <r>
    <x v="0"/>
    <x v="4"/>
    <m/>
    <x v="0"/>
    <s v="ZI"/>
    <s v="08.04.2022"/>
    <s v="*FX2000- Venta divisas 0100000004336"/>
    <s v="USD"/>
    <n v="7900004550"/>
    <s v="08.04.2022"/>
    <n v="5124.04"/>
    <n v="3621.2186099999999"/>
    <n v="40"/>
    <n v="18555269"/>
    <s v="COP"/>
    <d v="2022-04-08T00:00:00"/>
    <n v="3621.22"/>
    <n v="3771.83"/>
    <n v="771731.66440000059"/>
    <x v="2"/>
  </r>
  <r>
    <x v="0"/>
    <x v="4"/>
    <m/>
    <x v="0"/>
    <s v="ZI"/>
    <s v="29.04.2022"/>
    <s v="*FX2000- Venta divisas 0100000004356"/>
    <s v="USD"/>
    <n v="7900005162"/>
    <s v="29.04.2022"/>
    <n v="50000"/>
    <n v="3947.63"/>
    <n v="40"/>
    <n v="197381500"/>
    <s v="COP"/>
    <d v="2022-04-29T00:00:00"/>
    <n v="3947.63"/>
    <n v="3984.77"/>
    <n v="1856999.9999999937"/>
    <x v="2"/>
  </r>
  <r>
    <x v="0"/>
    <x v="4"/>
    <m/>
    <x v="0"/>
    <s v="ZI"/>
    <s v="29.04.2022"/>
    <s v="*FX2000- Venta divisas 0100000004356"/>
    <s v="USD"/>
    <n v="7900005179"/>
    <s v="29.04.2022"/>
    <n v="-50000"/>
    <n v="3947.63"/>
    <n v="50"/>
    <n v="-197381500"/>
    <s v="COP"/>
    <d v="2022-04-29T00:00:00"/>
    <n v="3947.63"/>
    <n v="3984.77"/>
    <n v="-1856999.9999999937"/>
    <x v="1"/>
  </r>
  <r>
    <x v="0"/>
    <x v="4"/>
    <m/>
    <x v="0"/>
    <s v="ZI"/>
    <s v="29.04.2022"/>
    <s v="*FX2000- Venta divisas 0100000004356"/>
    <s v="USD"/>
    <n v="7900005187"/>
    <s v="29.04.2022"/>
    <n v="50000"/>
    <n v="3947.63"/>
    <n v="40"/>
    <n v="197381500"/>
    <s v="COP"/>
    <d v="2022-04-29T00:00:00"/>
    <n v="3947.63"/>
    <n v="3984.77"/>
    <n v="1856999.9999999937"/>
    <x v="2"/>
  </r>
  <r>
    <x v="0"/>
    <x v="4"/>
    <m/>
    <x v="0"/>
    <s v="ZI"/>
    <s v="29.04.2022"/>
    <s v="*FX2000- Venta divisas 0100000004357"/>
    <s v="USD"/>
    <n v="7900005224"/>
    <s v="29.04.2022"/>
    <n v="7512538.9299999997"/>
    <n v="3947.63"/>
    <n v="40"/>
    <n v="29656724053"/>
    <s v="COP"/>
    <d v="2022-04-29T00:00:00"/>
    <n v="3947.63"/>
    <n v="3984.77"/>
    <n v="279015695.86019903"/>
    <x v="2"/>
  </r>
  <r>
    <x v="0"/>
    <x v="4"/>
    <m/>
    <x v="0"/>
    <s v="ZI"/>
    <s v="29.04.2022"/>
    <s v="*FX1000+ Compra divisas 0100000004358"/>
    <s v="USD"/>
    <n v="7900005246"/>
    <s v="29.04.2022"/>
    <n v="-461222"/>
    <n v="3984.77"/>
    <n v="50"/>
    <n v="-1837863589"/>
    <s v="COP"/>
    <d v="2022-04-29T00:00:00"/>
    <n v="3984.77"/>
    <n v="3984.77"/>
    <n v="0"/>
    <x v="0"/>
  </r>
  <r>
    <x v="0"/>
    <x v="4"/>
    <m/>
    <x v="1"/>
    <s v="DL"/>
    <s v="06.04.2022"/>
    <s v="*DE1200- Intereses 0400000000048"/>
    <s v="COP"/>
    <n v="7900004320"/>
    <s v="06.04.2022"/>
    <n v="-626725234"/>
    <n v="1"/>
    <n v="50"/>
    <n v="-626725234"/>
    <s v="COP"/>
    <d v="2022-04-06T00:00:00"/>
    <n v="1"/>
    <n v="0"/>
    <n v="0"/>
    <x v="0"/>
  </r>
  <r>
    <x v="0"/>
    <x v="4"/>
    <m/>
    <x v="1"/>
    <s v="DL"/>
    <s v="06.04.2022"/>
    <s v="*DE1200+ Intereses 0400000000048"/>
    <s v="COP"/>
    <n v="7900004321"/>
    <s v="06.04.2022"/>
    <n v="595138282"/>
    <n v="1"/>
    <n v="40"/>
    <n v="595138282"/>
    <s v="COP"/>
    <d v="2022-04-06T00:00:00"/>
    <n v="1"/>
    <n v="0"/>
    <n v="0"/>
    <x v="0"/>
  </r>
  <r>
    <x v="0"/>
    <x v="4"/>
    <m/>
    <x v="1"/>
    <s v="DL"/>
    <s v="18.04.2022"/>
    <s v="*DE1200- Intereses 0400000000004"/>
    <s v="COP"/>
    <n v="7900005192"/>
    <s v="18.04.2022"/>
    <n v="-774037148"/>
    <n v="1"/>
    <n v="50"/>
    <n v="-774037148"/>
    <s v="COP"/>
    <d v="2022-04-18T00:00:00"/>
    <n v="1"/>
    <n v="0"/>
    <n v="0"/>
    <x v="0"/>
  </r>
  <r>
    <x v="0"/>
    <x v="4"/>
    <m/>
    <x v="1"/>
    <s v="DL"/>
    <s v="18.04.2022"/>
    <s v="*DE1200+ Intereses 0400000000004"/>
    <s v="COP"/>
    <n v="7900005193"/>
    <s v="18.04.2022"/>
    <n v="559552045"/>
    <n v="1"/>
    <n v="40"/>
    <n v="559552045"/>
    <s v="COP"/>
    <d v="2022-04-18T00:00:00"/>
    <n v="1"/>
    <n v="0"/>
    <n v="0"/>
    <x v="0"/>
  </r>
  <r>
    <x v="0"/>
    <x v="4"/>
    <m/>
    <x v="1"/>
    <s v="DL"/>
    <s v="18.04.2022"/>
    <s v="*DE1200- Intereses 0400000000006"/>
    <s v="COP"/>
    <n v="7900005201"/>
    <s v="18.04.2022"/>
    <n v="-1295612491"/>
    <n v="1"/>
    <n v="50"/>
    <n v="-1295612491"/>
    <s v="COP"/>
    <d v="2022-04-18T00:00:00"/>
    <n v="1"/>
    <n v="0"/>
    <n v="0"/>
    <x v="0"/>
  </r>
  <r>
    <x v="0"/>
    <x v="4"/>
    <m/>
    <x v="1"/>
    <s v="DL"/>
    <s v="18.04.2022"/>
    <s v="*DE1200+ Intereses 0400000000006"/>
    <s v="COP"/>
    <n v="7900005202"/>
    <s v="18.04.2022"/>
    <n v="900690609"/>
    <n v="1"/>
    <n v="40"/>
    <n v="900690609"/>
    <s v="COP"/>
    <d v="2022-04-18T00:00:00"/>
    <n v="1"/>
    <n v="0"/>
    <n v="0"/>
    <x v="0"/>
  </r>
  <r>
    <x v="0"/>
    <x v="4"/>
    <m/>
    <x v="1"/>
    <s v="MT"/>
    <s v="01.04.2022"/>
    <s v="CUMPLIMIENTO SWAP CITIBANK"/>
    <s v="COP"/>
    <n v="100018137"/>
    <s v="07.03.2022"/>
    <n v="-416528666"/>
    <n v="1"/>
    <n v="50"/>
    <n v="-416528666"/>
    <s v="COP"/>
    <d v="2022-03-07T00:00:00"/>
    <n v="1"/>
    <n v="0"/>
    <n v="0"/>
    <x v="0"/>
  </r>
  <r>
    <x v="0"/>
    <x v="4"/>
    <m/>
    <x v="1"/>
    <s v="TD"/>
    <s v="11.04.2022"/>
    <s v="*FX2001- Venta divisas 0400000000091"/>
    <s v="COP"/>
    <n v="7900004419"/>
    <s v="11.04.2022"/>
    <n v="-124327200000"/>
    <n v="1"/>
    <n v="50"/>
    <n v="-124327200000"/>
    <s v="COP"/>
    <d v="2022-04-11T00:00:00"/>
    <n v="1"/>
    <n v="0"/>
    <n v="0"/>
    <x v="0"/>
  </r>
  <r>
    <x v="0"/>
    <x v="4"/>
    <m/>
    <x v="1"/>
    <s v="TD"/>
    <s v="22.04.2022"/>
    <s v="*FX2001- Venta divisas 0400000000092"/>
    <s v="COP"/>
    <n v="7900004500"/>
    <s v="22.04.2022"/>
    <n v="-28170199989"/>
    <n v="1"/>
    <n v="50"/>
    <n v="-28170199989"/>
    <s v="COP"/>
    <d v="2022-04-22T00:00:00"/>
    <n v="1"/>
    <n v="0"/>
    <n v="0"/>
    <x v="0"/>
  </r>
  <r>
    <x v="0"/>
    <x v="4"/>
    <m/>
    <x v="1"/>
    <s v="TD"/>
    <s v="19.04.2022"/>
    <s v="*FX2001- Venta divisas 0400000000057"/>
    <s v="COP"/>
    <n v="7900004519"/>
    <s v="19.04.2022"/>
    <n v="-2690414007"/>
    <n v="1"/>
    <n v="50"/>
    <n v="-2690414007"/>
    <s v="COP"/>
    <d v="2022-04-19T00:00:00"/>
    <n v="1"/>
    <n v="0"/>
    <n v="0"/>
    <x v="0"/>
  </r>
  <r>
    <x v="0"/>
    <x v="4"/>
    <m/>
    <x v="1"/>
    <s v="TD"/>
    <s v="29.04.2022"/>
    <s v="*FX2001- Venta divisas 0400000000058"/>
    <s v="COP"/>
    <n v="7900005232"/>
    <s v="29.04.2022"/>
    <n v="-1795025290"/>
    <n v="1"/>
    <n v="50"/>
    <n v="-1795025290"/>
    <s v="COP"/>
    <d v="2022-04-29T00:00:00"/>
    <n v="1"/>
    <n v="0"/>
    <n v="0"/>
    <x v="0"/>
  </r>
  <r>
    <x v="0"/>
    <x v="4"/>
    <m/>
    <x v="1"/>
    <s v="ZD"/>
    <s v="13.04.2022"/>
    <s v="*CML1120 0001000003052"/>
    <s v="COP"/>
    <n v="7900004349"/>
    <s v="13.04.2022"/>
    <n v="-4568380000"/>
    <n v="1"/>
    <n v="50"/>
    <n v="-4568380000"/>
    <s v="COP"/>
    <d v="2022-04-13T00:00:00"/>
    <n v="1"/>
    <n v="0"/>
    <n v="0"/>
    <x v="0"/>
  </r>
  <r>
    <x v="0"/>
    <x v="4"/>
    <m/>
    <x v="1"/>
    <s v="ZP"/>
    <s v="06.04.2022"/>
    <m/>
    <s v="COP"/>
    <n v="2000003080"/>
    <s v="06.04.2022"/>
    <n v="5184226309"/>
    <n v="1"/>
    <n v="40"/>
    <n v="5184226309"/>
    <s v="COP"/>
    <d v="2022-04-06T00:00:00"/>
    <n v="1"/>
    <n v="0"/>
    <n v="0"/>
    <x v="0"/>
  </r>
  <r>
    <x v="0"/>
    <x v="4"/>
    <m/>
    <x v="1"/>
    <s v="ZP"/>
    <s v="11.04.2022"/>
    <m/>
    <s v="COP"/>
    <n v="2000003745"/>
    <s v="11.04.2022"/>
    <n v="1400032993"/>
    <n v="1"/>
    <n v="40"/>
    <n v="1400032993"/>
    <s v="COP"/>
    <d v="2022-04-11T00:00:00"/>
    <n v="1"/>
    <n v="0"/>
    <n v="0"/>
    <x v="0"/>
  </r>
  <r>
    <x v="0"/>
    <x v="4"/>
    <m/>
    <x v="1"/>
    <s v="ZP"/>
    <s v="11.04.2022"/>
    <m/>
    <s v="COP"/>
    <n v="2000003746"/>
    <s v="11.04.2022"/>
    <n v="770018146"/>
    <n v="1"/>
    <n v="40"/>
    <n v="770018146"/>
    <s v="COP"/>
    <d v="2022-04-11T00:00:00"/>
    <n v="1"/>
    <n v="0"/>
    <n v="0"/>
    <x v="0"/>
  </r>
  <r>
    <x v="0"/>
    <x v="4"/>
    <m/>
    <x v="1"/>
    <s v="ZP"/>
    <s v="13.04.2022"/>
    <m/>
    <s v="COP"/>
    <n v="2000003747"/>
    <s v="13.04.2022"/>
    <n v="5853694011"/>
    <n v="1"/>
    <n v="40"/>
    <n v="5853694011"/>
    <s v="COP"/>
    <d v="2022-04-13T00:00:00"/>
    <n v="1"/>
    <n v="0"/>
    <n v="0"/>
    <x v="0"/>
  </r>
  <r>
    <x v="0"/>
    <x v="4"/>
    <m/>
    <x v="1"/>
    <s v="ZP"/>
    <s v="18.04.2022"/>
    <m/>
    <s v="COP"/>
    <n v="2000003897"/>
    <s v="18.04.2022"/>
    <n v="8119843941"/>
    <n v="1"/>
    <n v="40"/>
    <n v="8119843941"/>
    <s v="COP"/>
    <d v="2022-04-18T00:00:00"/>
    <n v="1"/>
    <n v="0"/>
    <n v="0"/>
    <x v="0"/>
  </r>
  <r>
    <x v="0"/>
    <x v="4"/>
    <m/>
    <x v="1"/>
    <s v="ZP"/>
    <s v="06.04.2022"/>
    <m/>
    <s v="COP"/>
    <n v="2000003899"/>
    <s v="06.04.2022"/>
    <n v="31586952"/>
    <n v="1"/>
    <n v="40"/>
    <n v="31586952"/>
    <s v="COP"/>
    <d v="2022-04-06T00:00:00"/>
    <n v="1"/>
    <n v="0"/>
    <n v="0"/>
    <x v="0"/>
  </r>
  <r>
    <x v="0"/>
    <x v="4"/>
    <m/>
    <x v="1"/>
    <s v="ZP"/>
    <s v="19.04.2022"/>
    <m/>
    <s v="COP"/>
    <n v="2000004013"/>
    <s v="19.04.2022"/>
    <n v="62475000"/>
    <n v="1"/>
    <n v="40"/>
    <n v="62475000"/>
    <s v="COP"/>
    <d v="2022-04-19T00:00:00"/>
    <n v="1"/>
    <n v="0"/>
    <n v="0"/>
    <x v="0"/>
  </r>
  <r>
    <x v="0"/>
    <x v="4"/>
    <m/>
    <x v="1"/>
    <s v="ZP"/>
    <s v="25.04.2022"/>
    <m/>
    <s v="COP"/>
    <n v="2000004164"/>
    <s v="25.04.2022"/>
    <n v="5625545205"/>
    <n v="1"/>
    <n v="40"/>
    <n v="5625545205"/>
    <s v="COP"/>
    <d v="2022-04-25T00:00:00"/>
    <n v="1"/>
    <n v="0"/>
    <n v="0"/>
    <x v="0"/>
  </r>
  <r>
    <x v="0"/>
    <x v="4"/>
    <m/>
    <x v="1"/>
    <s v="ZP"/>
    <s v="18.04.2022"/>
    <m/>
    <s v="COP"/>
    <n v="2000004363"/>
    <s v="18.04.2022"/>
    <n v="214485103"/>
    <n v="1"/>
    <n v="40"/>
    <n v="214485103"/>
    <s v="COP"/>
    <d v="2022-04-18T00:00:00"/>
    <n v="1"/>
    <n v="0"/>
    <n v="0"/>
    <x v="0"/>
  </r>
  <r>
    <x v="0"/>
    <x v="4"/>
    <m/>
    <x v="1"/>
    <s v="ZP"/>
    <s v="18.04.2022"/>
    <m/>
    <s v="COP"/>
    <n v="2000004364"/>
    <s v="18.04.2022"/>
    <n v="394921882"/>
    <n v="1"/>
    <n v="40"/>
    <n v="394921882"/>
    <s v="COP"/>
    <d v="2022-04-18T00:00:00"/>
    <n v="1"/>
    <n v="0"/>
    <n v="0"/>
    <x v="0"/>
  </r>
  <r>
    <x v="0"/>
    <x v="4"/>
    <m/>
    <x v="1"/>
    <s v="ZP"/>
    <s v="11.04.2022"/>
    <m/>
    <s v="COP"/>
    <n v="2000004365"/>
    <s v="11.04.2022"/>
    <n v="124327200000"/>
    <n v="1"/>
    <n v="40"/>
    <n v="124327200000"/>
    <s v="COP"/>
    <d v="2022-04-11T00:00:00"/>
    <n v="1"/>
    <n v="0"/>
    <n v="0"/>
    <x v="0"/>
  </r>
  <r>
    <x v="0"/>
    <x v="4"/>
    <m/>
    <x v="1"/>
    <s v="ZP"/>
    <s v="22.04.2022"/>
    <m/>
    <s v="COP"/>
    <n v="2000004366"/>
    <s v="22.04.2022"/>
    <n v="28170199989"/>
    <n v="1"/>
    <n v="40"/>
    <n v="28170199989"/>
    <s v="COP"/>
    <d v="2022-04-22T00:00:00"/>
    <n v="1"/>
    <n v="0"/>
    <n v="0"/>
    <x v="0"/>
  </r>
  <r>
    <x v="0"/>
    <x v="4"/>
    <m/>
    <x v="1"/>
    <s v="ZP"/>
    <s v="19.04.2022"/>
    <m/>
    <s v="COP"/>
    <n v="2000004367"/>
    <s v="19.04.2022"/>
    <n v="2690414007"/>
    <n v="1"/>
    <n v="40"/>
    <n v="2690414007"/>
    <s v="COP"/>
    <d v="2022-04-19T00:00:00"/>
    <n v="1"/>
    <n v="0"/>
    <n v="0"/>
    <x v="0"/>
  </r>
  <r>
    <x v="0"/>
    <x v="4"/>
    <m/>
    <x v="1"/>
    <s v="ZP"/>
    <s v="29.04.2022"/>
    <m/>
    <s v="COP"/>
    <n v="2000004414"/>
    <s v="29.04.2022"/>
    <n v="1795025290"/>
    <n v="1"/>
    <n v="40"/>
    <n v="1795025290"/>
    <s v="COP"/>
    <d v="2022-04-29T00:00:00"/>
    <n v="1"/>
    <n v="0"/>
    <n v="0"/>
    <x v="0"/>
  </r>
  <r>
    <x v="0"/>
    <x v="4"/>
    <m/>
    <x v="1"/>
    <s v="ZS"/>
    <s v="06.04.2022"/>
    <s v="*CML1110 0001000003054"/>
    <s v="COP"/>
    <n v="7900004290"/>
    <s v="06.04.2022"/>
    <n v="-5184226309"/>
    <n v="1"/>
    <n v="50"/>
    <n v="-5184226309"/>
    <s v="COP"/>
    <d v="2022-04-06T00:00:00"/>
    <n v="1"/>
    <n v="0"/>
    <n v="0"/>
    <x v="0"/>
  </r>
  <r>
    <x v="0"/>
    <x v="4"/>
    <m/>
    <x v="1"/>
    <s v="ZS"/>
    <s v="11.04.2022"/>
    <s v="*CML1110 0001000003057"/>
    <s v="COP"/>
    <n v="7900004338"/>
    <s v="11.04.2022"/>
    <n v="-1400032993"/>
    <n v="1"/>
    <n v="50"/>
    <n v="-1400032993"/>
    <s v="COP"/>
    <d v="2022-04-11T00:00:00"/>
    <n v="1"/>
    <n v="0"/>
    <n v="0"/>
    <x v="0"/>
  </r>
  <r>
    <x v="0"/>
    <x v="4"/>
    <m/>
    <x v="1"/>
    <s v="ZS"/>
    <s v="11.04.2022"/>
    <s v="*CML1110 0001000003055"/>
    <s v="COP"/>
    <n v="7900004342"/>
    <s v="11.04.2022"/>
    <n v="-770018146"/>
    <n v="1"/>
    <n v="50"/>
    <n v="-770018146"/>
    <s v="COP"/>
    <d v="2022-04-11T00:00:00"/>
    <n v="1"/>
    <n v="0"/>
    <n v="0"/>
    <x v="0"/>
  </r>
  <r>
    <x v="0"/>
    <x v="4"/>
    <m/>
    <x v="1"/>
    <s v="ZS"/>
    <s v="13.04.2022"/>
    <s v="*CML1110 0001000003052"/>
    <s v="COP"/>
    <n v="7900004348"/>
    <s v="13.04.2022"/>
    <n v="-1285314011"/>
    <n v="1"/>
    <n v="50"/>
    <n v="-1285314011"/>
    <s v="COP"/>
    <d v="2022-04-13T00:00:00"/>
    <n v="1"/>
    <n v="0"/>
    <n v="0"/>
    <x v="0"/>
  </r>
  <r>
    <x v="0"/>
    <x v="4"/>
    <m/>
    <x v="1"/>
    <s v="ZS"/>
    <s v="18.04.2022"/>
    <s v="*CML1110 0001000003050"/>
    <s v="COP"/>
    <n v="7900004354"/>
    <s v="18.04.2022"/>
    <n v="-8119843941"/>
    <n v="1"/>
    <n v="50"/>
    <n v="-8119843941"/>
    <s v="COP"/>
    <d v="2022-04-18T00:00:00"/>
    <n v="1"/>
    <n v="0"/>
    <n v="0"/>
    <x v="0"/>
  </r>
  <r>
    <x v="0"/>
    <x v="4"/>
    <m/>
    <x v="1"/>
    <s v="ZS"/>
    <s v="25.04.2022"/>
    <s v="*CML1110 0001000003550"/>
    <s v="COP"/>
    <n v="7900004394"/>
    <s v="25.04.2022"/>
    <n v="-5625545205"/>
    <n v="1"/>
    <n v="50"/>
    <n v="-5625545205"/>
    <s v="COP"/>
    <d v="2022-04-25T00:00:00"/>
    <n v="1"/>
    <n v="0"/>
    <n v="0"/>
    <x v="0"/>
  </r>
  <r>
    <x v="0"/>
    <x v="4"/>
    <m/>
    <x v="1"/>
    <s v="ZS"/>
    <s v="19.04.2022"/>
    <s v="*CMLZ010 0001000004100"/>
    <s v="COP"/>
    <n v="7900004398"/>
    <s v="19.04.2022"/>
    <n v="-62475000"/>
    <n v="1"/>
    <n v="50"/>
    <n v="-62475000"/>
    <s v="COP"/>
    <d v="2022-04-19T00:00:00"/>
    <n v="1"/>
    <n v="0"/>
    <n v="0"/>
    <x v="0"/>
  </r>
  <r>
    <x v="0"/>
    <x v="4"/>
    <m/>
    <x v="1"/>
    <s v="ZS"/>
    <s v="25.04.2022"/>
    <s v="*CML1110 0001000003550"/>
    <s v="COP"/>
    <n v="7900004424"/>
    <s v="25.04.2022"/>
    <n v="5625545205"/>
    <n v="1"/>
    <n v="40"/>
    <n v="5625545205"/>
    <s v="COP"/>
    <d v="2022-04-25T00:00:00"/>
    <n v="1"/>
    <n v="0"/>
    <n v="0"/>
    <x v="0"/>
  </r>
  <r>
    <x v="0"/>
    <x v="4"/>
    <m/>
    <x v="1"/>
    <s v="ZS"/>
    <s v="25.04.2022"/>
    <s v="*CML1110 0001000003550"/>
    <s v="COP"/>
    <n v="7900004446"/>
    <s v="25.04.2022"/>
    <n v="-5625545205"/>
    <n v="1"/>
    <n v="50"/>
    <n v="-5625545205"/>
    <s v="COP"/>
    <d v="2022-04-25T00:00:00"/>
    <n v="1"/>
    <n v="0"/>
    <n v="0"/>
    <x v="0"/>
  </r>
  <r>
    <x v="0"/>
    <x v="4"/>
    <m/>
    <x v="1"/>
    <s v="ZI"/>
    <s v="29.04.2022"/>
    <s v="*FX2000- Venta divisas 0100000004356"/>
    <s v="USD"/>
    <n v="7900005162"/>
    <s v="29.04.2022"/>
    <n v="-50000"/>
    <n v="3947.63"/>
    <n v="50"/>
    <n v="-197381500"/>
    <s v="COP"/>
    <d v="2022-04-29T00:00:00"/>
    <n v="3947.63"/>
    <n v="3984.77"/>
    <n v="1856999.9999999937"/>
    <x v="2"/>
  </r>
  <r>
    <x v="0"/>
    <x v="4"/>
    <m/>
    <x v="1"/>
    <s v="ZI"/>
    <s v="29.04.2022"/>
    <s v="*FX2000- Venta divisas 0100000004356"/>
    <s v="USD"/>
    <n v="7900005179"/>
    <s v="29.04.2022"/>
    <n v="50000"/>
    <n v="3947.63"/>
    <n v="40"/>
    <n v="197381500"/>
    <s v="COP"/>
    <d v="2022-04-29T00:00:00"/>
    <n v="3947.63"/>
    <n v="3984.77"/>
    <n v="-1856999.9999999937"/>
    <x v="1"/>
  </r>
  <r>
    <x v="0"/>
    <x v="4"/>
    <m/>
    <x v="1"/>
    <s v="ZI"/>
    <s v="29.04.2022"/>
    <s v="*FX2000- Venta divisas 0100000004356"/>
    <s v="USD"/>
    <n v="7900005187"/>
    <s v="29.04.2022"/>
    <n v="-50000"/>
    <n v="3947.63"/>
    <n v="50"/>
    <n v="-197381500"/>
    <s v="COP"/>
    <d v="2022-04-29T00:00:00"/>
    <n v="3947.63"/>
    <n v="3984.77"/>
    <n v="1856999.9999999937"/>
    <x v="2"/>
  </r>
  <r>
    <x v="0"/>
    <x v="4"/>
    <m/>
    <x v="1"/>
    <s v="ZI"/>
    <s v="29.04.2022"/>
    <s v="*FX2000- Venta divisas 0100000004357"/>
    <s v="USD"/>
    <n v="7900005224"/>
    <s v="29.04.2022"/>
    <n v="-7512538.9299999997"/>
    <n v="3947.63"/>
    <n v="50"/>
    <n v="-29656724053"/>
    <s v="COP"/>
    <d v="2022-04-29T00:00:00"/>
    <n v="3947.63"/>
    <n v="3984.77"/>
    <n v="279015695.86019903"/>
    <x v="2"/>
  </r>
  <r>
    <x v="0"/>
    <x v="4"/>
    <m/>
    <x v="1"/>
    <s v="ZP"/>
    <s v="29.04.2022"/>
    <m/>
    <s v="USD"/>
    <n v="2000004368"/>
    <s v="29.04.2022"/>
    <n v="50000"/>
    <n v="3947.63"/>
    <n v="40"/>
    <n v="197381500"/>
    <s v="COP"/>
    <d v="2022-04-29T00:00:00"/>
    <n v="3947.63"/>
    <n v="3984.77"/>
    <n v="-1856999.9999999937"/>
    <x v="1"/>
  </r>
  <r>
    <x v="0"/>
    <x v="4"/>
    <m/>
    <x v="1"/>
    <s v="ZP"/>
    <s v="29.04.2022"/>
    <m/>
    <s v="USD"/>
    <n v="2000004370"/>
    <s v="29.04.2022"/>
    <n v="-50000"/>
    <n v="3947.63"/>
    <n v="50"/>
    <n v="-197381500"/>
    <s v="COP"/>
    <d v="2022-04-29T00:00:00"/>
    <n v="3947.63"/>
    <n v="3984.77"/>
    <n v="1856999.9999999937"/>
    <x v="2"/>
  </r>
  <r>
    <x v="0"/>
    <x v="4"/>
    <m/>
    <x v="1"/>
    <s v="ZP"/>
    <s v="29.04.2022"/>
    <m/>
    <s v="USD"/>
    <n v="2000004381"/>
    <s v="29.04.2022"/>
    <n v="50000"/>
    <n v="3947.63"/>
    <n v="40"/>
    <n v="197381500"/>
    <s v="COP"/>
    <d v="2022-04-29T00:00:00"/>
    <n v="3947.63"/>
    <n v="3984.77"/>
    <n v="-1856999.9999999937"/>
    <x v="1"/>
  </r>
  <r>
    <x v="0"/>
    <x v="4"/>
    <m/>
    <x v="1"/>
    <s v="ZP"/>
    <s v="29.04.2022"/>
    <m/>
    <s v="USD"/>
    <n v="2000004413"/>
    <s v="29.04.2022"/>
    <n v="7512538.9299999997"/>
    <n v="3947.63"/>
    <n v="40"/>
    <n v="29656724053"/>
    <s v="COP"/>
    <d v="2022-04-29T00:00:00"/>
    <n v="3947.63"/>
    <n v="3984.77"/>
    <n v="-279015695.86019903"/>
    <x v="1"/>
  </r>
  <r>
    <x v="1"/>
    <x v="3"/>
    <m/>
    <x v="2"/>
    <m/>
    <m/>
    <m/>
    <m/>
    <m/>
    <m/>
    <m/>
    <m/>
    <m/>
    <m/>
    <m/>
    <m/>
    <m/>
    <m/>
    <m/>
    <x v="0"/>
  </r>
  <r>
    <x v="0"/>
    <x v="5"/>
    <m/>
    <x v="0"/>
    <s v="ZI"/>
    <s v="03.05.2022"/>
    <s v="*FX2000- Venta divisas 0100000004360"/>
    <s v="COP"/>
    <n v="7900005428"/>
    <s v="03.05.2022"/>
    <n v="2770147760"/>
    <n v="1"/>
    <n v="40"/>
    <n v="2770147760"/>
    <s v="COP"/>
    <d v="2022-05-03T00:00:00"/>
    <n v="1"/>
    <n v="0"/>
    <n v="0"/>
    <x v="0"/>
  </r>
  <r>
    <x v="0"/>
    <x v="5"/>
    <m/>
    <x v="0"/>
    <s v="ZI"/>
    <s v="09.05.2022"/>
    <s v="*FX2000- Venta divisas 0100000004361"/>
    <s v="COP"/>
    <n v="7900005491"/>
    <s v="09.05.2022"/>
    <n v="98183271446"/>
    <n v="1"/>
    <n v="40"/>
    <n v="98183271446"/>
    <s v="COP"/>
    <d v="2022-05-09T00:00:00"/>
    <n v="1"/>
    <n v="0"/>
    <n v="0"/>
    <x v="0"/>
  </r>
  <r>
    <x v="0"/>
    <x v="5"/>
    <m/>
    <x v="0"/>
    <s v="ZI"/>
    <s v="17.05.2022"/>
    <s v="*FX2000- Venta divisas 0100000004369"/>
    <s v="COP"/>
    <n v="7900005506"/>
    <s v="17.05.2022"/>
    <n v="18189900000"/>
    <n v="1"/>
    <n v="40"/>
    <n v="18189900000"/>
    <s v="COP"/>
    <d v="2022-05-17T00:00:00"/>
    <n v="1"/>
    <n v="0"/>
    <n v="0"/>
    <x v="0"/>
  </r>
  <r>
    <x v="0"/>
    <x v="5"/>
    <m/>
    <x v="0"/>
    <s v="ZI"/>
    <s v="17.05.2022"/>
    <s v="*FX2000- Venta divisas 0100000004370"/>
    <s v="COP"/>
    <n v="7900005514"/>
    <s v="17.05.2022"/>
    <n v="20237500000"/>
    <n v="1"/>
    <n v="40"/>
    <n v="20237500000"/>
    <s v="COP"/>
    <d v="2022-05-17T00:00:00"/>
    <n v="1"/>
    <n v="0"/>
    <n v="0"/>
    <x v="0"/>
  </r>
  <r>
    <x v="0"/>
    <x v="5"/>
    <m/>
    <x v="0"/>
    <s v="ZI"/>
    <s v="20.05.2022"/>
    <s v="*FX2000- Venta divisas 0100000004373"/>
    <s v="COP"/>
    <n v="7900005522"/>
    <s v="20.05.2022"/>
    <n v="1868354975"/>
    <n v="1"/>
    <n v="40"/>
    <n v="1868354975"/>
    <s v="COP"/>
    <d v="2022-05-20T00:00:00"/>
    <n v="1"/>
    <n v="0"/>
    <n v="0"/>
    <x v="0"/>
  </r>
  <r>
    <x v="0"/>
    <x v="5"/>
    <m/>
    <x v="0"/>
    <s v="ZI"/>
    <s v="20.05.2022"/>
    <s v="*FX2000- Venta divisas 0100000004374"/>
    <s v="COP"/>
    <n v="7900005530"/>
    <s v="20.05.2022"/>
    <n v="261421561337"/>
    <n v="1"/>
    <n v="40"/>
    <n v="261421561337"/>
    <s v="COP"/>
    <d v="2022-05-20T00:00:00"/>
    <n v="1"/>
    <n v="0"/>
    <n v="0"/>
    <x v="0"/>
  </r>
  <r>
    <x v="0"/>
    <x v="5"/>
    <m/>
    <x v="0"/>
    <s v="ZI"/>
    <s v="24.05.2022"/>
    <s v="*FX2000- Venta divisas 0100000004378"/>
    <s v="COP"/>
    <n v="7900005594"/>
    <s v="24.05.2022"/>
    <n v="37700000011"/>
    <n v="1"/>
    <n v="40"/>
    <n v="37700000011"/>
    <s v="COP"/>
    <d v="2022-05-24T00:00:00"/>
    <n v="1"/>
    <n v="0"/>
    <n v="0"/>
    <x v="0"/>
  </r>
  <r>
    <x v="0"/>
    <x v="5"/>
    <m/>
    <x v="0"/>
    <s v="ZI"/>
    <s v="24.05.2022"/>
    <s v="*FX2000- Venta divisas 0100000004379"/>
    <s v="COP"/>
    <n v="7900005602"/>
    <s v="24.05.2022"/>
    <n v="1100000000"/>
    <n v="1"/>
    <n v="40"/>
    <n v="1100000000"/>
    <s v="COP"/>
    <d v="2022-05-24T00:00:00"/>
    <n v="1"/>
    <n v="0"/>
    <n v="0"/>
    <x v="0"/>
  </r>
  <r>
    <x v="0"/>
    <x v="5"/>
    <m/>
    <x v="0"/>
    <s v="ZI"/>
    <s v="24.05.2022"/>
    <s v="*FX2000- Venta divisas 0100000004380"/>
    <s v="COP"/>
    <n v="7900005610"/>
    <s v="24.05.2022"/>
    <n v="2800000005"/>
    <n v="1"/>
    <n v="40"/>
    <n v="2800000005"/>
    <s v="COP"/>
    <d v="2022-05-24T00:00:00"/>
    <n v="1"/>
    <n v="0"/>
    <n v="0"/>
    <x v="0"/>
  </r>
  <r>
    <x v="0"/>
    <x v="5"/>
    <m/>
    <x v="0"/>
    <s v="ZI"/>
    <s v="24.05.2022"/>
    <s v="*FX2000- Venta divisas 0100000004381"/>
    <s v="COP"/>
    <n v="7900005618"/>
    <s v="24.05.2022"/>
    <n v="2000000008"/>
    <n v="1"/>
    <n v="40"/>
    <n v="2000000008"/>
    <s v="COP"/>
    <d v="2022-05-24T00:00:00"/>
    <n v="1"/>
    <n v="0"/>
    <n v="0"/>
    <x v="0"/>
  </r>
  <r>
    <x v="0"/>
    <x v="5"/>
    <m/>
    <x v="0"/>
    <s v="ZI"/>
    <s v="24.05.2022"/>
    <s v="*FX2000- Venta divisas 0100000004383"/>
    <s v="COP"/>
    <n v="7900005660"/>
    <s v="24.05.2022"/>
    <n v="206666091191"/>
    <n v="1"/>
    <n v="40"/>
    <n v="206666091191"/>
    <s v="COP"/>
    <d v="2022-05-24T00:00:00"/>
    <n v="1"/>
    <n v="0"/>
    <n v="0"/>
    <x v="0"/>
  </r>
  <r>
    <x v="0"/>
    <x v="5"/>
    <m/>
    <x v="0"/>
    <s v="ZI"/>
    <s v="24.05.2022"/>
    <s v="*FX2000- Venta divisas 0100000004384"/>
    <s v="COP"/>
    <n v="7900005684"/>
    <s v="24.05.2022"/>
    <n v="168971370655"/>
    <n v="1"/>
    <n v="40"/>
    <n v="168971370655"/>
    <s v="COP"/>
    <d v="2022-05-24T00:00:00"/>
    <n v="1"/>
    <n v="0"/>
    <n v="0"/>
    <x v="0"/>
  </r>
  <r>
    <x v="0"/>
    <x v="5"/>
    <m/>
    <x v="0"/>
    <s v="ZI"/>
    <s v="24.05.2022"/>
    <s v="*FX2000- Venta divisas 0100000004386"/>
    <s v="COP"/>
    <n v="7900005706"/>
    <s v="24.05.2022"/>
    <n v="65911300624"/>
    <n v="1"/>
    <n v="40"/>
    <n v="65911300624"/>
    <s v="COP"/>
    <d v="2022-05-24T00:00:00"/>
    <n v="1"/>
    <n v="0"/>
    <n v="0"/>
    <x v="0"/>
  </r>
  <r>
    <x v="0"/>
    <x v="5"/>
    <m/>
    <x v="0"/>
    <s v="ZI"/>
    <s v="24.05.2022"/>
    <s v="*FX2000- Venta divisas 0100000004385"/>
    <s v="COP"/>
    <n v="7900005725"/>
    <s v="24.05.2022"/>
    <n v="59255250000"/>
    <n v="1"/>
    <n v="40"/>
    <n v="59255250000"/>
    <s v="COP"/>
    <d v="2022-05-24T00:00:00"/>
    <n v="1"/>
    <n v="0"/>
    <n v="0"/>
    <x v="0"/>
  </r>
  <r>
    <x v="0"/>
    <x v="5"/>
    <m/>
    <x v="0"/>
    <s v="ZI"/>
    <s v="31.05.2022"/>
    <s v="*FX1000+ Compra divisas 0100000004396"/>
    <s v="COP"/>
    <n v="7900005823"/>
    <s v="31.05.2022"/>
    <n v="-38449642365"/>
    <n v="1"/>
    <n v="50"/>
    <n v="-38449642365"/>
    <s v="COP"/>
    <d v="2022-05-31T00:00:00"/>
    <n v="1"/>
    <n v="0"/>
    <n v="0"/>
    <x v="0"/>
  </r>
  <r>
    <x v="0"/>
    <x v="5"/>
    <m/>
    <x v="0"/>
    <s v="ZI"/>
    <s v="24.05.2022"/>
    <s v="*FX2000- Venta divisas 0100000004387"/>
    <s v="COP"/>
    <n v="7900005859"/>
    <s v="24.05.2022"/>
    <n v="97554681345"/>
    <n v="1"/>
    <n v="40"/>
    <n v="97554681345"/>
    <s v="COP"/>
    <d v="2022-05-24T00:00:00"/>
    <n v="1"/>
    <n v="0"/>
    <n v="0"/>
    <x v="0"/>
  </r>
  <r>
    <x v="0"/>
    <x v="5"/>
    <m/>
    <x v="0"/>
    <s v="ZI"/>
    <s v="24.05.2022"/>
    <s v="*FX2000- Venta divisas 0100000004388"/>
    <s v="COP"/>
    <n v="7900005886"/>
    <s v="24.05.2022"/>
    <n v="48670489314"/>
    <n v="1"/>
    <n v="40"/>
    <n v="48670489314"/>
    <s v="COP"/>
    <d v="2022-05-24T00:00:00"/>
    <n v="1"/>
    <n v="0"/>
    <n v="0"/>
    <x v="0"/>
  </r>
  <r>
    <x v="0"/>
    <x v="5"/>
    <m/>
    <x v="0"/>
    <s v="ZI"/>
    <s v="26.05.2022"/>
    <s v="*FX2000- Venta divisas 0100000004389"/>
    <s v="COP"/>
    <n v="7900005905"/>
    <s v="26.05.2022"/>
    <n v="97497217214"/>
    <n v="1"/>
    <n v="40"/>
    <n v="97497217214"/>
    <s v="COP"/>
    <d v="2022-05-26T00:00:00"/>
    <n v="1"/>
    <n v="0"/>
    <n v="0"/>
    <x v="0"/>
  </r>
  <r>
    <x v="0"/>
    <x v="5"/>
    <m/>
    <x v="0"/>
    <s v="ZI"/>
    <s v="24.05.2022"/>
    <s v="*FX2000- Venta divisas 0100000004382"/>
    <s v="COP"/>
    <n v="7900005945"/>
    <s v="24.05.2022"/>
    <n v="1300000000"/>
    <n v="1"/>
    <n v="40"/>
    <n v="1300000000"/>
    <s v="COP"/>
    <d v="2022-05-24T00:00:00"/>
    <n v="1"/>
    <n v="0"/>
    <n v="0"/>
    <x v="0"/>
  </r>
  <r>
    <x v="0"/>
    <x v="5"/>
    <m/>
    <x v="0"/>
    <s v="ZI"/>
    <s v="26.05.2022"/>
    <s v="*FX1000+ Compra divisas 0100000004393"/>
    <s v="COP"/>
    <n v="7900005952"/>
    <s v="26.05.2022"/>
    <n v="-2375430000"/>
    <n v="1"/>
    <n v="50"/>
    <n v="-2375430000"/>
    <s v="COP"/>
    <d v="2022-05-26T00:00:00"/>
    <n v="1"/>
    <n v="0"/>
    <n v="0"/>
    <x v="0"/>
  </r>
  <r>
    <x v="0"/>
    <x v="5"/>
    <m/>
    <x v="0"/>
    <s v="ZI"/>
    <s v="26.05.2022"/>
    <s v="*FX1000+ Compra divisas 0100000004394"/>
    <s v="COP"/>
    <n v="7900005960"/>
    <s v="26.05.2022"/>
    <n v="-185473772"/>
    <n v="1"/>
    <n v="50"/>
    <n v="-185473772"/>
    <s v="COP"/>
    <d v="2022-05-26T00:00:00"/>
    <n v="1"/>
    <n v="0"/>
    <n v="0"/>
    <x v="0"/>
  </r>
  <r>
    <x v="0"/>
    <x v="5"/>
    <m/>
    <x v="0"/>
    <s v="ZI"/>
    <s v="27.05.2022"/>
    <s v="*FX2000- Venta divisas 0100000004398"/>
    <s v="COP"/>
    <n v="7900005969"/>
    <s v="27.05.2022"/>
    <n v="593857500000"/>
    <n v="1"/>
    <n v="40"/>
    <n v="593857500000"/>
    <s v="COP"/>
    <d v="2022-05-27T00:00:00"/>
    <n v="1"/>
    <n v="0"/>
    <n v="0"/>
    <x v="0"/>
  </r>
  <r>
    <x v="0"/>
    <x v="5"/>
    <m/>
    <x v="0"/>
    <s v="ZI"/>
    <s v="25.05.2022"/>
    <s v="*FX2000- Venta divisas 0100000004377"/>
    <s v="COP"/>
    <n v="7900005993"/>
    <s v="25.05.2022"/>
    <n v="134999999994"/>
    <n v="1"/>
    <n v="40"/>
    <n v="134999999994"/>
    <s v="COP"/>
    <d v="2022-05-25T00:00:00"/>
    <n v="1"/>
    <n v="0"/>
    <n v="0"/>
    <x v="0"/>
  </r>
  <r>
    <x v="0"/>
    <x v="5"/>
    <m/>
    <x v="0"/>
    <s v="ZI"/>
    <s v="27.05.2022"/>
    <s v="*FX2000- Venta divisas 0100000004395"/>
    <s v="COP"/>
    <n v="7900006003"/>
    <s v="27.05.2022"/>
    <n v="158387850"/>
    <n v="1"/>
    <n v="40"/>
    <n v="158387850"/>
    <s v="COP"/>
    <d v="2022-05-27T00:00:00"/>
    <n v="1"/>
    <n v="0"/>
    <n v="0"/>
    <x v="0"/>
  </r>
  <r>
    <x v="0"/>
    <x v="5"/>
    <m/>
    <x v="0"/>
    <s v="ZI"/>
    <s v="26.05.2022"/>
    <s v="*FX2000- Venta divisas 0100000004399"/>
    <s v="COP"/>
    <n v="7900006011"/>
    <s v="26.05.2022"/>
    <n v="230397780480"/>
    <n v="1"/>
    <n v="40"/>
    <n v="230397780480"/>
    <s v="COP"/>
    <d v="2022-05-26T00:00:00"/>
    <n v="1"/>
    <n v="0"/>
    <n v="0"/>
    <x v="0"/>
  </r>
  <r>
    <x v="0"/>
    <x v="5"/>
    <m/>
    <x v="0"/>
    <s v="ZI"/>
    <s v="31.05.2022"/>
    <s v="*FX1000+ Compra divisas 0100000004397"/>
    <s v="COP"/>
    <n v="7900006831"/>
    <s v="31.05.2022"/>
    <n v="-1431385042316"/>
    <n v="1"/>
    <n v="50"/>
    <n v="-1431385042316"/>
    <s v="COP"/>
    <d v="2022-05-31T00:00:00"/>
    <n v="1"/>
    <n v="0"/>
    <n v="0"/>
    <x v="0"/>
  </r>
  <r>
    <x v="0"/>
    <x v="5"/>
    <m/>
    <x v="0"/>
    <s v="ZI"/>
    <s v="26.05.2022"/>
    <s v="*FX2000- Venta divisas 0100000004399"/>
    <s v="COP"/>
    <n v="7900006921"/>
    <s v="26.05.2022"/>
    <n v="-230397780480"/>
    <n v="1"/>
    <n v="50"/>
    <n v="-230397780480"/>
    <s v="COP"/>
    <d v="2022-05-26T00:00:00"/>
    <n v="1"/>
    <n v="0"/>
    <n v="0"/>
    <x v="0"/>
  </r>
  <r>
    <x v="0"/>
    <x v="5"/>
    <m/>
    <x v="0"/>
    <s v="ZI"/>
    <s v="26.05.2022"/>
    <s v="*FX2000- Venta divisas 0100000004400"/>
    <s v="COP"/>
    <n v="7900006987"/>
    <s v="26.05.2022"/>
    <n v="230397780480"/>
    <n v="1"/>
    <n v="40"/>
    <n v="230397780480"/>
    <s v="COP"/>
    <d v="2022-05-26T00:00:00"/>
    <n v="1"/>
    <n v="0"/>
    <n v="0"/>
    <x v="0"/>
  </r>
  <r>
    <x v="0"/>
    <x v="5"/>
    <m/>
    <x v="0"/>
    <s v="ZI"/>
    <s v="03.05.2022"/>
    <s v="*FX1000+ Compra divisas 0100000004376"/>
    <s v="EURO"/>
    <n v="7900005924"/>
    <s v="03.05.2022"/>
    <n v="-6000"/>
    <n v="4173.30933"/>
    <n v="50"/>
    <n v="-25039856"/>
    <s v="COP"/>
    <d v="2022-05-03T00:00:00"/>
    <n v="4173.3100000000004"/>
    <n v="0"/>
    <n v="0"/>
    <x v="0"/>
  </r>
  <r>
    <x v="0"/>
    <x v="5"/>
    <m/>
    <x v="0"/>
    <s v="ZI"/>
    <s v="04.05.2022"/>
    <s v="*FX1000+ Compra divisas 0100000004375"/>
    <s v="EURO"/>
    <n v="7900005932"/>
    <s v="04.05.2022"/>
    <n v="-412"/>
    <n v="4212.0752400000001"/>
    <n v="50"/>
    <n v="-1735375"/>
    <s v="COP"/>
    <d v="2022-05-04T00:00:00"/>
    <n v="4212.08"/>
    <n v="0"/>
    <n v="0"/>
    <x v="0"/>
  </r>
  <r>
    <x v="0"/>
    <x v="5"/>
    <m/>
    <x v="0"/>
    <s v="ZI"/>
    <s v="03.05.2022"/>
    <s v="*FX1000+ Compra divisas 0100000004360"/>
    <s v="USD"/>
    <n v="7900005427"/>
    <s v="03.05.2022"/>
    <n v="-691833"/>
    <n v="4004.07"/>
    <n v="50"/>
    <n v="-2770147760"/>
    <s v="COP"/>
    <d v="2022-05-03T00:00:00"/>
    <n v="4004.07"/>
    <n v="4004.07"/>
    <n v="0"/>
    <x v="0"/>
  </r>
  <r>
    <x v="0"/>
    <x v="5"/>
    <m/>
    <x v="0"/>
    <s v="ZI"/>
    <s v="09.05.2022"/>
    <s v="*FX1000+ Compra divisas 0100000004361"/>
    <s v="USD"/>
    <n v="7900005490"/>
    <s v="09.05.2022"/>
    <n v="-24219281.399999999"/>
    <n v="4053.93"/>
    <n v="50"/>
    <n v="-98183271446"/>
    <s v="COP"/>
    <d v="2022-05-09T00:00:00"/>
    <n v="4053.93"/>
    <n v="4053.93"/>
    <n v="0"/>
    <x v="0"/>
  </r>
  <r>
    <x v="0"/>
    <x v="5"/>
    <m/>
    <x v="0"/>
    <s v="ZI"/>
    <s v="17.05.2022"/>
    <s v="*FX1000+ Compra divisas 0100000004369"/>
    <s v="USD"/>
    <n v="7900005505"/>
    <s v="17.05.2022"/>
    <n v="-4500000"/>
    <n v="4042.2"/>
    <n v="50"/>
    <n v="-18189900000"/>
    <s v="COP"/>
    <d v="2022-05-17T00:00:00"/>
    <n v="4042.2"/>
    <n v="4070.25"/>
    <n v="-126225000.00000082"/>
    <x v="1"/>
  </r>
  <r>
    <x v="0"/>
    <x v="5"/>
    <m/>
    <x v="0"/>
    <s v="ZI"/>
    <s v="17.05.2022"/>
    <s v="*FX1000+ Compra divisas 0100000004370"/>
    <s v="USD"/>
    <n v="7900005513"/>
    <s v="17.05.2022"/>
    <n v="-5000000"/>
    <n v="4047.5"/>
    <n v="50"/>
    <n v="-20237500000"/>
    <s v="COP"/>
    <d v="2022-05-17T00:00:00"/>
    <n v="4047.5"/>
    <n v="4070.25"/>
    <n v="-113750000"/>
    <x v="1"/>
  </r>
  <r>
    <x v="0"/>
    <x v="5"/>
    <m/>
    <x v="0"/>
    <s v="ZI"/>
    <s v="20.05.2022"/>
    <s v="*FX1000+ Compra divisas 0100000004373"/>
    <s v="USD"/>
    <n v="7900005521"/>
    <s v="20.05.2022"/>
    <n v="-461222"/>
    <n v="4050.88"/>
    <n v="50"/>
    <n v="-1868354975"/>
    <s v="COP"/>
    <d v="2022-05-20T00:00:00"/>
    <n v="4050.88"/>
    <n v="4050.88"/>
    <n v="0"/>
    <x v="0"/>
  </r>
  <r>
    <x v="0"/>
    <x v="5"/>
    <m/>
    <x v="0"/>
    <s v="ZI"/>
    <s v="20.05.2022"/>
    <s v="*FX1000+ Compra divisas 0100000004374"/>
    <s v="USD"/>
    <n v="7900005529"/>
    <s v="20.05.2022"/>
    <n v="-64534511.350000001"/>
    <n v="4050.88"/>
    <n v="50"/>
    <n v="-261421561337"/>
    <s v="COP"/>
    <d v="2022-05-20T00:00:00"/>
    <n v="4050.88"/>
    <n v="4050.88"/>
    <n v="0"/>
    <x v="0"/>
  </r>
  <r>
    <x v="0"/>
    <x v="5"/>
    <m/>
    <x v="0"/>
    <s v="ZI"/>
    <s v="24.05.2022"/>
    <s v="*FX1000+ Compra divisas 0100000004378"/>
    <s v="USD"/>
    <n v="7900005593"/>
    <s v="24.05.2022"/>
    <n v="-9490962.1899999995"/>
    <n v="3972.2"/>
    <n v="50"/>
    <n v="-37700000011"/>
    <s v="COP"/>
    <d v="2022-05-24T00:00:00"/>
    <n v="3972.2"/>
    <n v="3950.35"/>
    <n v="207377523.85149914"/>
    <x v="2"/>
  </r>
  <r>
    <x v="0"/>
    <x v="5"/>
    <m/>
    <x v="0"/>
    <s v="ZI"/>
    <s v="24.05.2022"/>
    <s v="*FX1000+ Compra divisas 0100000004379"/>
    <s v="USD"/>
    <n v="7900005601"/>
    <s v="24.05.2022"/>
    <n v="-276868.86"/>
    <n v="3973.0000700000001"/>
    <n v="50"/>
    <n v="-1100000000"/>
    <s v="COP"/>
    <d v="2022-05-24T00:00:00"/>
    <n v="3973"/>
    <n v="3950.35"/>
    <n v="6271079.6790000247"/>
    <x v="2"/>
  </r>
  <r>
    <x v="0"/>
    <x v="5"/>
    <m/>
    <x v="0"/>
    <s v="ZI"/>
    <s v="24.05.2022"/>
    <s v="*FX1000+ Compra divisas 0100000004380"/>
    <s v="USD"/>
    <n v="7900005609"/>
    <s v="24.05.2022"/>
    <n v="-704597.5"/>
    <n v="3973.9"/>
    <n v="50"/>
    <n v="-2800000005"/>
    <s v="COP"/>
    <d v="2022-05-24T00:00:00"/>
    <n v="3973.9"/>
    <n v="3950.35"/>
    <n v="16593271.125000129"/>
    <x v="2"/>
  </r>
  <r>
    <x v="0"/>
    <x v="5"/>
    <m/>
    <x v="0"/>
    <s v="ZI"/>
    <s v="24.05.2022"/>
    <s v="*FX1000+ Compra divisas 0100000004381"/>
    <s v="USD"/>
    <n v="7900005617"/>
    <s v="24.05.2022"/>
    <n v="-503328.26"/>
    <n v="3973.55"/>
    <n v="50"/>
    <n v="-2000000008"/>
    <s v="COP"/>
    <d v="2022-05-24T00:00:00"/>
    <n v="3973.55"/>
    <n v="3950.35"/>
    <n v="11677215.632000137"/>
    <x v="2"/>
  </r>
  <r>
    <x v="0"/>
    <x v="5"/>
    <m/>
    <x v="0"/>
    <s v="ZI"/>
    <s v="24.05.2022"/>
    <s v="*FX1000+ Compra divisas 0100000004383"/>
    <s v="USD"/>
    <n v="7900005659"/>
    <s v="24.05.2022"/>
    <n v="-52315893.829999998"/>
    <n v="3950.35"/>
    <n v="50"/>
    <n v="-206666091191"/>
    <s v="COP"/>
    <d v="2022-05-24T00:00:00"/>
    <n v="3950.35"/>
    <n v="3950.35"/>
    <n v="0"/>
    <x v="0"/>
  </r>
  <r>
    <x v="0"/>
    <x v="5"/>
    <m/>
    <x v="0"/>
    <s v="ZI"/>
    <s v="24.05.2022"/>
    <s v="*FX1000+ Compra divisas 0100000004384"/>
    <s v="USD"/>
    <n v="7900005683"/>
    <s v="24.05.2022"/>
    <n v="-42773772.109999999"/>
    <n v="3950.35"/>
    <n v="50"/>
    <n v="-168971370655"/>
    <s v="COP"/>
    <d v="2022-05-24T00:00:00"/>
    <n v="3950.35"/>
    <n v="3950.35"/>
    <n v="0"/>
    <x v="0"/>
  </r>
  <r>
    <x v="0"/>
    <x v="5"/>
    <m/>
    <x v="0"/>
    <s v="ZI"/>
    <s v="24.05.2022"/>
    <s v="*FX1000+ Compra divisas 0100000004386"/>
    <s v="USD"/>
    <n v="7900005705"/>
    <s v="24.05.2022"/>
    <n v="-16684926.810000001"/>
    <n v="3950.35"/>
    <n v="50"/>
    <n v="-65911300624"/>
    <s v="COP"/>
    <d v="2022-05-24T00:00:00"/>
    <n v="3950.35"/>
    <n v="3950.35"/>
    <n v="0"/>
    <x v="0"/>
  </r>
  <r>
    <x v="0"/>
    <x v="5"/>
    <m/>
    <x v="0"/>
    <s v="ZI"/>
    <s v="24.05.2022"/>
    <s v="*FX1000+ Compra divisas 0100000004385"/>
    <s v="USD"/>
    <n v="7900005724"/>
    <s v="24.05.2022"/>
    <n v="-15000000"/>
    <n v="3950.35"/>
    <n v="50"/>
    <n v="-59255250000"/>
    <s v="COP"/>
    <d v="2022-05-24T00:00:00"/>
    <n v="3950.35"/>
    <n v="3950.35"/>
    <n v="0"/>
    <x v="0"/>
  </r>
  <r>
    <x v="0"/>
    <x v="5"/>
    <m/>
    <x v="0"/>
    <s v="ZI"/>
    <s v="31.05.2022"/>
    <s v="*FX2000- Venta divisas 0100000004396"/>
    <s v="USD"/>
    <n v="7900005824"/>
    <s v="31.05.2022"/>
    <n v="9711835.5099999998"/>
    <n v="3959.05"/>
    <n v="40"/>
    <n v="38449642365"/>
    <s v="COP"/>
    <d v="2022-05-31T00:00:00"/>
    <n v="3959.05"/>
    <n v="3912.34"/>
    <n v="-453639836.67210037"/>
    <x v="1"/>
  </r>
  <r>
    <x v="0"/>
    <x v="5"/>
    <m/>
    <x v="0"/>
    <s v="ZI"/>
    <s v="24.05.2022"/>
    <s v="*FX1000+ Compra divisas 0100000004387"/>
    <s v="USD"/>
    <n v="7900005858"/>
    <s v="24.05.2022"/>
    <n v="-24695199.5"/>
    <n v="3950.35"/>
    <n v="50"/>
    <n v="-97554681345"/>
    <s v="COP"/>
    <d v="2022-05-24T00:00:00"/>
    <n v="3950.35"/>
    <n v="3950.35"/>
    <n v="0"/>
    <x v="0"/>
  </r>
  <r>
    <x v="0"/>
    <x v="5"/>
    <m/>
    <x v="0"/>
    <s v="ZI"/>
    <s v="24.05.2022"/>
    <s v="*FX1000+ Compra divisas 0100000004388"/>
    <s v="USD"/>
    <n v="7900005885"/>
    <s v="24.05.2022"/>
    <n v="-12320551.17"/>
    <n v="3950.35"/>
    <n v="50"/>
    <n v="-48670489314"/>
    <s v="COP"/>
    <d v="2022-05-24T00:00:00"/>
    <n v="3950.35"/>
    <n v="3950.35"/>
    <n v="0"/>
    <x v="0"/>
  </r>
  <r>
    <x v="0"/>
    <x v="5"/>
    <m/>
    <x v="0"/>
    <s v="ZI"/>
    <s v="26.05.2022"/>
    <s v="*FX1000+ Compra divisas 0100000004389"/>
    <s v="USD"/>
    <n v="7900005904"/>
    <s v="26.05.2022"/>
    <n v="-24626417.25"/>
    <n v="3959.05"/>
    <n v="50"/>
    <n v="-97497217214"/>
    <s v="COP"/>
    <d v="2022-05-26T00:00:00"/>
    <n v="3959.05"/>
    <n v="3959.05"/>
    <n v="0"/>
    <x v="0"/>
  </r>
  <r>
    <x v="0"/>
    <x v="5"/>
    <m/>
    <x v="0"/>
    <s v="ZI"/>
    <s v="03.05.2022"/>
    <s v="*FX2000- Venta divisas 0100000004376"/>
    <s v="USD"/>
    <n v="7900005925"/>
    <s v="03.05.2022"/>
    <n v="6513"/>
    <n v="3844.5963499999998"/>
    <n v="40"/>
    <n v="25039856"/>
    <s v="COP"/>
    <d v="2022-05-03T00:00:00"/>
    <n v="3844.6"/>
    <n v="4004.07"/>
    <n v="1038628.1100000016"/>
    <x v="2"/>
  </r>
  <r>
    <x v="0"/>
    <x v="5"/>
    <m/>
    <x v="0"/>
    <s v="ZI"/>
    <s v="04.05.2022"/>
    <s v="*FX2000- Venta divisas 0100000004375"/>
    <s v="USD"/>
    <n v="7900005933"/>
    <s v="04.05.2022"/>
    <n v="446.24"/>
    <n v="3888.8826600000002"/>
    <n v="40"/>
    <n v="1735375"/>
    <s v="COP"/>
    <d v="2022-05-04T00:00:00"/>
    <n v="3888.88"/>
    <n v="4016.34"/>
    <n v="56877.750400000019"/>
    <x v="2"/>
  </r>
  <r>
    <x v="0"/>
    <x v="5"/>
    <m/>
    <x v="0"/>
    <s v="ZI"/>
    <s v="24.05.2022"/>
    <s v="*FX1000+ Compra divisas 0100000004382"/>
    <s v="USD"/>
    <n v="7900005944"/>
    <s v="24.05.2022"/>
    <n v="-327044.03000000003"/>
    <n v="3974.9999400000002"/>
    <n v="50"/>
    <n v="-1300000000"/>
    <s v="COP"/>
    <d v="2022-05-24T00:00:00"/>
    <n v="3975"/>
    <n v="3950.35"/>
    <n v="8061635.3395000305"/>
    <x v="2"/>
  </r>
  <r>
    <x v="0"/>
    <x v="5"/>
    <m/>
    <x v="0"/>
    <s v="ZI"/>
    <s v="26.05.2022"/>
    <s v="*FX2000- Venta divisas 0100000004393"/>
    <s v="USD"/>
    <n v="7900005953"/>
    <s v="26.05.2022"/>
    <n v="600000"/>
    <n v="3959.05"/>
    <n v="40"/>
    <n v="2375430000"/>
    <s v="COP"/>
    <d v="2022-05-26T00:00:00"/>
    <n v="3959.05"/>
    <n v="3959.05"/>
    <n v="0"/>
    <x v="0"/>
  </r>
  <r>
    <x v="0"/>
    <x v="5"/>
    <m/>
    <x v="0"/>
    <s v="ZI"/>
    <s v="26.05.2022"/>
    <s v="*FX2000- Venta divisas 0100000004394"/>
    <s v="USD"/>
    <n v="7900005961"/>
    <s v="26.05.2022"/>
    <n v="46848.05"/>
    <n v="3959.04999"/>
    <n v="40"/>
    <n v="185473772"/>
    <s v="COP"/>
    <d v="2022-05-26T00:00:00"/>
    <n v="3959.05"/>
    <n v="3959.05"/>
    <n v="0"/>
    <x v="0"/>
  </r>
  <r>
    <x v="0"/>
    <x v="5"/>
    <m/>
    <x v="0"/>
    <s v="ZI"/>
    <s v="27.05.2022"/>
    <s v="*FX1000+ Compra divisas 0100000004398"/>
    <s v="USD"/>
    <n v="7900005968"/>
    <s v="27.05.2022"/>
    <n v="-150000000"/>
    <n v="3959.05"/>
    <n v="50"/>
    <n v="-593857500000"/>
    <s v="COP"/>
    <d v="2022-05-27T00:00:00"/>
    <n v="3959.05"/>
    <n v="3930.89"/>
    <n v="4224000000.0000463"/>
    <x v="2"/>
  </r>
  <r>
    <x v="0"/>
    <x v="5"/>
    <m/>
    <x v="0"/>
    <s v="ZI"/>
    <s v="25.05.2022"/>
    <s v="*FX1000+ Compra divisas 0100000004377"/>
    <s v="USD"/>
    <n v="7900005992"/>
    <s v="25.05.2022"/>
    <n v="-33987059.740000002"/>
    <n v="3972.1"/>
    <n v="50"/>
    <n v="-134999999994"/>
    <s v="COP"/>
    <d v="2022-05-25T00:00:00"/>
    <n v="3972.1"/>
    <n v="3971.28"/>
    <n v="27869388.986790109"/>
    <x v="2"/>
  </r>
  <r>
    <x v="0"/>
    <x v="5"/>
    <m/>
    <x v="0"/>
    <s v="ZI"/>
    <s v="27.05.2022"/>
    <s v="*FX1000+ Compra divisas 0100000004395"/>
    <s v="USD"/>
    <n v="7900006002"/>
    <s v="27.05.2022"/>
    <n v="-40094.639999999999"/>
    <n v="3950.3497200000002"/>
    <n v="50"/>
    <n v="-158387850"/>
    <s v="COP"/>
    <d v="2022-05-27T00:00:00"/>
    <n v="3950.35"/>
    <n v="3930.89"/>
    <n v="780241.69440000143"/>
    <x v="2"/>
  </r>
  <r>
    <x v="0"/>
    <x v="5"/>
    <m/>
    <x v="0"/>
    <s v="ZI"/>
    <s v="26.05.2022"/>
    <s v="*FX1000+ Compra divisas 0100000004399"/>
    <s v="USD"/>
    <n v="7900006010"/>
    <s v="26.05.2022"/>
    <n v="-58016000"/>
    <n v="3971.28"/>
    <n v="50"/>
    <n v="-230397780480"/>
    <s v="COP"/>
    <d v="2022-05-26T00:00:00"/>
    <n v="3971.28"/>
    <n v="3959.05"/>
    <n v="709535680.00000107"/>
    <x v="2"/>
  </r>
  <r>
    <x v="0"/>
    <x v="5"/>
    <m/>
    <x v="0"/>
    <s v="ZI"/>
    <s v="31.05.2022"/>
    <s v="*FX2000- Venta divisas 0100000004397"/>
    <s v="USD"/>
    <n v="7900006832"/>
    <s v="31.05.2022"/>
    <n v="371000068"/>
    <n v="3858.18"/>
    <n v="40"/>
    <n v="1431385042316"/>
    <s v="COP"/>
    <d v="2022-05-31T00:00:00"/>
    <n v="3858.18"/>
    <n v="3912.34"/>
    <n v="20093363682.880116"/>
    <x v="2"/>
  </r>
  <r>
    <x v="0"/>
    <x v="5"/>
    <m/>
    <x v="0"/>
    <s v="ZI"/>
    <s v="26.05.2022"/>
    <s v="*FX1000+ Compra divisas 0100000004399"/>
    <s v="USD"/>
    <n v="7900006920"/>
    <s v="26.05.2022"/>
    <n v="58016000"/>
    <n v="3971.28"/>
    <n v="40"/>
    <n v="230397780480"/>
    <s v="COP"/>
    <d v="2022-05-26T00:00:00"/>
    <n v="3971.28"/>
    <n v="3959.05"/>
    <n v="-709535680.00000107"/>
    <x v="1"/>
  </r>
  <r>
    <x v="0"/>
    <x v="5"/>
    <m/>
    <x v="0"/>
    <s v="ZI"/>
    <s v="26.05.2022"/>
    <s v="*FX1000+ Compra divisas 0100000004400"/>
    <s v="USD"/>
    <n v="7900006986"/>
    <s v="26.05.2022"/>
    <n v="-58016000"/>
    <n v="3971.28"/>
    <n v="50"/>
    <n v="-230397780480"/>
    <s v="COP"/>
    <d v="2022-05-26T00:00:00"/>
    <n v="3971.28"/>
    <n v="3959.05"/>
    <n v="709535680.00000107"/>
    <x v="2"/>
  </r>
  <r>
    <x v="0"/>
    <x v="5"/>
    <m/>
    <x v="1"/>
    <s v="TD"/>
    <s v="03.05.2022"/>
    <s v="*FX2001- Venta divisas 0400000000059"/>
    <s v="COP"/>
    <n v="7900005436"/>
    <s v="03.05.2022"/>
    <n v="-2693381971"/>
    <n v="1"/>
    <n v="50"/>
    <n v="-2693381971"/>
    <s v="COP"/>
    <d v="2022-05-03T00:00:00"/>
    <n v="1"/>
    <n v="0"/>
    <n v="0"/>
    <x v="0"/>
  </r>
  <r>
    <x v="0"/>
    <x v="5"/>
    <m/>
    <x v="1"/>
    <s v="TD"/>
    <s v="09.05.2022"/>
    <s v="*FX2001- Venta divisas 0400000000093"/>
    <s v="COP"/>
    <n v="7900005483"/>
    <s v="09.05.2022"/>
    <n v="-91936150002"/>
    <n v="1"/>
    <n v="50"/>
    <n v="-91936150002"/>
    <s v="COP"/>
    <d v="2022-05-09T00:00:00"/>
    <n v="1"/>
    <n v="0"/>
    <n v="0"/>
    <x v="0"/>
  </r>
  <r>
    <x v="0"/>
    <x v="5"/>
    <m/>
    <x v="1"/>
    <s v="TD"/>
    <s v="20.05.2022"/>
    <s v="*FX2001- Venta divisas 0400000000098"/>
    <s v="COP"/>
    <n v="7900005586"/>
    <s v="20.05.2022"/>
    <n v="-265000000000"/>
    <n v="1"/>
    <n v="50"/>
    <n v="-265000000000"/>
    <s v="COP"/>
    <d v="2022-05-20T00:00:00"/>
    <n v="1"/>
    <n v="0"/>
    <n v="0"/>
    <x v="0"/>
  </r>
  <r>
    <x v="0"/>
    <x v="5"/>
    <m/>
    <x v="1"/>
    <s v="TD"/>
    <s v="24.05.2022"/>
    <s v="*FX2001- Venta divisas 0400000000090"/>
    <s v="COP"/>
    <n v="7900005649"/>
    <s v="24.05.2022"/>
    <n v="-200000000000"/>
    <n v="1"/>
    <n v="50"/>
    <n v="-200000000000"/>
    <s v="COP"/>
    <d v="2022-05-24T00:00:00"/>
    <n v="1"/>
    <n v="0"/>
    <n v="0"/>
    <x v="0"/>
  </r>
  <r>
    <x v="0"/>
    <x v="5"/>
    <m/>
    <x v="1"/>
    <s v="TD"/>
    <s v="24.05.2022"/>
    <s v="*FX2001- Venta divisas 0400000000095"/>
    <s v="COP"/>
    <n v="7900005676"/>
    <s v="24.05.2022"/>
    <n v="-162270859254"/>
    <n v="1"/>
    <n v="50"/>
    <n v="-162270859254"/>
    <s v="COP"/>
    <d v="2022-05-24T00:00:00"/>
    <n v="1"/>
    <n v="0"/>
    <n v="0"/>
    <x v="0"/>
  </r>
  <r>
    <x v="0"/>
    <x v="5"/>
    <m/>
    <x v="1"/>
    <s v="TD"/>
    <s v="24.05.2022"/>
    <s v="*FX2001- Venta divisas 0400000000097"/>
    <s v="COP"/>
    <n v="7900005695"/>
    <s v="24.05.2022"/>
    <n v="-63200000017"/>
    <n v="1"/>
    <n v="50"/>
    <n v="-63200000017"/>
    <s v="COP"/>
    <d v="2022-05-24T00:00:00"/>
    <n v="1"/>
    <n v="0"/>
    <n v="0"/>
    <x v="0"/>
  </r>
  <r>
    <x v="0"/>
    <x v="5"/>
    <m/>
    <x v="1"/>
    <s v="TD"/>
    <s v="24.05.2022"/>
    <s v="*FX2001- Venta divisas 0400000000096"/>
    <s v="COP"/>
    <n v="7900005714"/>
    <s v="24.05.2022"/>
    <n v="-56795250000"/>
    <n v="1"/>
    <n v="50"/>
    <n v="-56795250000"/>
    <s v="COP"/>
    <d v="2022-05-24T00:00:00"/>
    <n v="1"/>
    <n v="0"/>
    <n v="0"/>
    <x v="0"/>
  </r>
  <r>
    <x v="0"/>
    <x v="5"/>
    <m/>
    <x v="1"/>
    <s v="TD"/>
    <s v="20.05.2022"/>
    <s v="*FX2001- Venta divisas 0400000000060"/>
    <s v="COP"/>
    <n v="7900005733"/>
    <s v="20.05.2022"/>
    <n v="-1798590536"/>
    <n v="1"/>
    <n v="50"/>
    <n v="-1798590536"/>
    <s v="COP"/>
    <d v="2022-05-20T00:00:00"/>
    <n v="1"/>
    <n v="0"/>
    <n v="0"/>
    <x v="0"/>
  </r>
  <r>
    <x v="0"/>
    <x v="5"/>
    <m/>
    <x v="1"/>
    <s v="TD"/>
    <s v="24.05.2022"/>
    <s v="*FX2001- Venta divisas 0400000000099"/>
    <s v="COP"/>
    <n v="7900005848"/>
    <s v="24.05.2022"/>
    <n v="-100000000000"/>
    <n v="1"/>
    <n v="50"/>
    <n v="-100000000000"/>
    <s v="COP"/>
    <d v="2022-05-24T00:00:00"/>
    <n v="1"/>
    <n v="0"/>
    <n v="0"/>
    <x v="0"/>
  </r>
  <r>
    <x v="0"/>
    <x v="5"/>
    <m/>
    <x v="1"/>
    <s v="TD"/>
    <s v="24.05.2022"/>
    <s v="*FX2001- Venta divisas 0400000000101"/>
    <s v="COP"/>
    <n v="7900005875"/>
    <s v="24.05.2022"/>
    <n v="-50000000000"/>
    <n v="1"/>
    <n v="50"/>
    <n v="-50000000000"/>
    <s v="COP"/>
    <d v="2022-05-24T00:00:00"/>
    <n v="1"/>
    <n v="0"/>
    <n v="0"/>
    <x v="0"/>
  </r>
  <r>
    <x v="0"/>
    <x v="5"/>
    <m/>
    <x v="1"/>
    <s v="TD"/>
    <s v="26.05.2022"/>
    <s v="*FX2001- Venta divisas 0400000000100"/>
    <s v="COP"/>
    <n v="7900005894"/>
    <s v="26.05.2022"/>
    <n v="-100000000000"/>
    <n v="1"/>
    <n v="50"/>
    <n v="-100000000000"/>
    <s v="COP"/>
    <d v="2022-05-26T00:00:00"/>
    <n v="1"/>
    <n v="0"/>
    <n v="0"/>
    <x v="0"/>
  </r>
  <r>
    <x v="0"/>
    <x v="5"/>
    <m/>
    <x v="1"/>
    <s v="TD"/>
    <s v="24.05.2022"/>
    <s v="*FX2001- Venta divisas 0400000000101"/>
    <s v="COP"/>
    <n v="7900006859"/>
    <s v="24.05.2022"/>
    <n v="50000000000"/>
    <n v="1"/>
    <n v="40"/>
    <n v="50000000000"/>
    <s v="COP"/>
    <d v="2022-05-24T00:00:00"/>
    <n v="1"/>
    <n v="0"/>
    <n v="0"/>
    <x v="0"/>
  </r>
  <r>
    <x v="0"/>
    <x v="5"/>
    <m/>
    <x v="1"/>
    <s v="TD"/>
    <s v="24.05.2022"/>
    <s v="*FX2001- Venta divisas 0400000000101"/>
    <s v="COP"/>
    <n v="7900006910"/>
    <s v="24.05.2022"/>
    <n v="-49999999991"/>
    <n v="1"/>
    <n v="50"/>
    <n v="-49999999991"/>
    <s v="COP"/>
    <d v="2022-05-24T00:00:00"/>
    <n v="1"/>
    <n v="0"/>
    <n v="0"/>
    <x v="0"/>
  </r>
  <r>
    <x v="0"/>
    <x v="5"/>
    <m/>
    <x v="1"/>
    <s v="ZD"/>
    <s v="16.05.2022"/>
    <s v="*CML1120 0001000003501"/>
    <s v="COP"/>
    <n v="7900005404"/>
    <s v="16.05.2022"/>
    <n v="-16800000000"/>
    <n v="1"/>
    <n v="50"/>
    <n v="-16800000000"/>
    <s v="COP"/>
    <d v="2022-05-16T00:00:00"/>
    <n v="1"/>
    <n v="0"/>
    <n v="0"/>
    <x v="0"/>
  </r>
  <r>
    <x v="0"/>
    <x v="5"/>
    <m/>
    <x v="1"/>
    <s v="ZI"/>
    <s v="17.05.2022"/>
    <s v="*FX2000- Venta divisas 0100000004369"/>
    <s v="COP"/>
    <n v="7900005506"/>
    <s v="17.05.2022"/>
    <n v="-18189900000"/>
    <n v="1"/>
    <n v="50"/>
    <n v="-18189900000"/>
    <s v="COP"/>
    <d v="2022-05-17T00:00:00"/>
    <n v="1"/>
    <n v="0"/>
    <n v="0"/>
    <x v="0"/>
  </r>
  <r>
    <x v="0"/>
    <x v="5"/>
    <m/>
    <x v="1"/>
    <s v="ZI"/>
    <s v="17.05.2022"/>
    <s v="*FX2000- Venta divisas 0100000004370"/>
    <s v="COP"/>
    <n v="7900005514"/>
    <s v="17.05.2022"/>
    <n v="-20237500000"/>
    <n v="1"/>
    <n v="50"/>
    <n v="-20237500000"/>
    <s v="COP"/>
    <d v="2022-05-17T00:00:00"/>
    <n v="1"/>
    <n v="0"/>
    <n v="0"/>
    <x v="0"/>
  </r>
  <r>
    <x v="0"/>
    <x v="5"/>
    <m/>
    <x v="1"/>
    <s v="ZI"/>
    <s v="24.05.2022"/>
    <s v="*FX2000- Venta divisas 0100000004378"/>
    <s v="COP"/>
    <n v="7900005594"/>
    <s v="24.05.2022"/>
    <n v="-37700000011"/>
    <n v="1"/>
    <n v="50"/>
    <n v="-37700000011"/>
    <s v="COP"/>
    <d v="2022-05-24T00:00:00"/>
    <n v="1"/>
    <n v="0"/>
    <n v="0"/>
    <x v="0"/>
  </r>
  <r>
    <x v="0"/>
    <x v="5"/>
    <m/>
    <x v="1"/>
    <s v="ZI"/>
    <s v="24.05.2022"/>
    <s v="*FX2000- Venta divisas 0100000004379"/>
    <s v="COP"/>
    <n v="7900005602"/>
    <s v="24.05.2022"/>
    <n v="-1100000000"/>
    <n v="1"/>
    <n v="50"/>
    <n v="-1100000000"/>
    <s v="COP"/>
    <d v="2022-05-24T00:00:00"/>
    <n v="1"/>
    <n v="0"/>
    <n v="0"/>
    <x v="0"/>
  </r>
  <r>
    <x v="0"/>
    <x v="5"/>
    <m/>
    <x v="1"/>
    <s v="ZI"/>
    <s v="24.05.2022"/>
    <s v="*FX2000- Venta divisas 0100000004380"/>
    <s v="COP"/>
    <n v="7900005610"/>
    <s v="24.05.2022"/>
    <n v="-2800000005"/>
    <n v="1"/>
    <n v="50"/>
    <n v="-2800000005"/>
    <s v="COP"/>
    <d v="2022-05-24T00:00:00"/>
    <n v="1"/>
    <n v="0"/>
    <n v="0"/>
    <x v="0"/>
  </r>
  <r>
    <x v="0"/>
    <x v="5"/>
    <m/>
    <x v="1"/>
    <s v="ZI"/>
    <s v="24.05.2022"/>
    <s v="*FX2000- Venta divisas 0100000004381"/>
    <s v="COP"/>
    <n v="7900005618"/>
    <s v="24.05.2022"/>
    <n v="-2000000008"/>
    <n v="1"/>
    <n v="50"/>
    <n v="-2000000008"/>
    <s v="COP"/>
    <d v="2022-05-24T00:00:00"/>
    <n v="1"/>
    <n v="0"/>
    <n v="0"/>
    <x v="0"/>
  </r>
  <r>
    <x v="0"/>
    <x v="5"/>
    <m/>
    <x v="1"/>
    <s v="ZI"/>
    <s v="24.05.2022"/>
    <s v="*FX2000- Venta divisas 0100000004382"/>
    <s v="COP"/>
    <n v="7900005945"/>
    <s v="24.05.2022"/>
    <n v="-1300000000"/>
    <n v="1"/>
    <n v="50"/>
    <n v="-1300000000"/>
    <s v="COP"/>
    <d v="2022-05-24T00:00:00"/>
    <n v="1"/>
    <n v="0"/>
    <n v="0"/>
    <x v="0"/>
  </r>
  <r>
    <x v="0"/>
    <x v="5"/>
    <m/>
    <x v="1"/>
    <s v="ZI"/>
    <s v="25.05.2022"/>
    <s v="*FX2000- Venta divisas 0100000004377"/>
    <s v="COP"/>
    <n v="7900005993"/>
    <s v="25.05.2022"/>
    <n v="-134999999994"/>
    <n v="1"/>
    <n v="50"/>
    <n v="-134999999994"/>
    <s v="COP"/>
    <d v="2022-05-25T00:00:00"/>
    <n v="1"/>
    <n v="0"/>
    <n v="0"/>
    <x v="0"/>
  </r>
  <r>
    <x v="0"/>
    <x v="5"/>
    <m/>
    <x v="1"/>
    <s v="ZP"/>
    <s v="03.05.2022"/>
    <m/>
    <s v="COP"/>
    <n v="2000004893"/>
    <s v="03.05.2022"/>
    <n v="2693381971"/>
    <n v="1"/>
    <n v="40"/>
    <n v="2693381971"/>
    <s v="COP"/>
    <d v="2022-05-03T00:00:00"/>
    <n v="1"/>
    <n v="0"/>
    <n v="0"/>
    <x v="0"/>
  </r>
  <r>
    <x v="0"/>
    <x v="5"/>
    <m/>
    <x v="1"/>
    <s v="ZP"/>
    <s v="16.05.2022"/>
    <m/>
    <s v="COP"/>
    <n v="2000005030"/>
    <s v="16.05.2022"/>
    <n v="23210416667"/>
    <n v="1"/>
    <n v="40"/>
    <n v="23210416667"/>
    <s v="COP"/>
    <d v="2022-05-16T00:00:00"/>
    <n v="1"/>
    <n v="0"/>
    <n v="0"/>
    <x v="0"/>
  </r>
  <r>
    <x v="0"/>
    <x v="5"/>
    <m/>
    <x v="1"/>
    <s v="ZP"/>
    <s v="17.05.2022"/>
    <m/>
    <s v="COP"/>
    <n v="2000005092"/>
    <s v="17.05.2022"/>
    <n v="89250000"/>
    <n v="1"/>
    <n v="40"/>
    <n v="89250000"/>
    <s v="COP"/>
    <d v="2022-05-17T00:00:00"/>
    <n v="1"/>
    <n v="0"/>
    <n v="0"/>
    <x v="0"/>
  </r>
  <r>
    <x v="0"/>
    <x v="5"/>
    <m/>
    <x v="1"/>
    <s v="ZP"/>
    <s v="19.05.2022"/>
    <m/>
    <s v="COP"/>
    <n v="2000005225"/>
    <s v="19.05.2022"/>
    <n v="13053966220"/>
    <n v="1"/>
    <n v="40"/>
    <n v="13053966220"/>
    <s v="COP"/>
    <d v="2022-05-19T00:00:00"/>
    <n v="1"/>
    <n v="0"/>
    <n v="0"/>
    <x v="0"/>
  </r>
  <r>
    <x v="0"/>
    <x v="5"/>
    <m/>
    <x v="1"/>
    <s v="ZP"/>
    <s v="09.05.2022"/>
    <m/>
    <s v="COP"/>
    <n v="2000005265"/>
    <s v="09.05.2022"/>
    <n v="91936150002"/>
    <n v="1"/>
    <n v="40"/>
    <n v="91936150002"/>
    <s v="COP"/>
    <d v="2022-05-09T00:00:00"/>
    <n v="1"/>
    <n v="0"/>
    <n v="0"/>
    <x v="0"/>
  </r>
  <r>
    <x v="0"/>
    <x v="5"/>
    <m/>
    <x v="1"/>
    <s v="ZP"/>
    <s v="17.05.2022"/>
    <m/>
    <s v="COP"/>
    <n v="2000005351"/>
    <s v="17.05.2022"/>
    <n v="18189900000"/>
    <n v="1"/>
    <n v="40"/>
    <n v="18189900000"/>
    <s v="COP"/>
    <d v="2022-05-17T00:00:00"/>
    <n v="1"/>
    <n v="0"/>
    <n v="0"/>
    <x v="0"/>
  </r>
  <r>
    <x v="0"/>
    <x v="5"/>
    <m/>
    <x v="1"/>
    <s v="ZP"/>
    <s v="17.05.2022"/>
    <m/>
    <s v="COP"/>
    <n v="2000005352"/>
    <s v="17.05.2022"/>
    <n v="20237500000"/>
    <n v="1"/>
    <n v="40"/>
    <n v="20237500000"/>
    <s v="COP"/>
    <d v="2022-05-17T00:00:00"/>
    <n v="1"/>
    <n v="0"/>
    <n v="0"/>
    <x v="0"/>
  </r>
  <r>
    <x v="0"/>
    <x v="5"/>
    <m/>
    <x v="1"/>
    <s v="ZP"/>
    <s v="26.05.2022"/>
    <m/>
    <s v="COP"/>
    <n v="2000005394"/>
    <s v="26.05.2022"/>
    <n v="9923622831"/>
    <n v="1"/>
    <n v="40"/>
    <n v="9923622831"/>
    <s v="COP"/>
    <d v="2022-05-26T00:00:00"/>
    <n v="1"/>
    <n v="0"/>
    <n v="0"/>
    <x v="0"/>
  </r>
  <r>
    <x v="0"/>
    <x v="5"/>
    <m/>
    <x v="1"/>
    <s v="ZP"/>
    <s v="27.05.2022"/>
    <m/>
    <s v="COP"/>
    <n v="2000005469"/>
    <s v="27.05.2022"/>
    <n v="24965175000"/>
    <n v="1"/>
    <n v="40"/>
    <n v="24965175000"/>
    <s v="COP"/>
    <d v="2022-05-27T00:00:00"/>
    <n v="1"/>
    <n v="0"/>
    <n v="0"/>
    <x v="0"/>
  </r>
  <r>
    <x v="0"/>
    <x v="5"/>
    <m/>
    <x v="1"/>
    <s v="ZP"/>
    <s v="24.05.2022"/>
    <m/>
    <s v="COP"/>
    <n v="2000005488"/>
    <s v="24.05.2022"/>
    <n v="37700000011"/>
    <n v="1"/>
    <n v="40"/>
    <n v="37700000011"/>
    <s v="COP"/>
    <d v="2022-05-24T00:00:00"/>
    <n v="1"/>
    <n v="0"/>
    <n v="0"/>
    <x v="0"/>
  </r>
  <r>
    <x v="0"/>
    <x v="5"/>
    <m/>
    <x v="1"/>
    <s v="ZP"/>
    <s v="24.05.2022"/>
    <m/>
    <s v="COP"/>
    <n v="2000005489"/>
    <s v="24.05.2022"/>
    <n v="1100000000"/>
    <n v="1"/>
    <n v="40"/>
    <n v="1100000000"/>
    <s v="COP"/>
    <d v="2022-05-24T00:00:00"/>
    <n v="1"/>
    <n v="0"/>
    <n v="0"/>
    <x v="0"/>
  </r>
  <r>
    <x v="0"/>
    <x v="5"/>
    <m/>
    <x v="1"/>
    <s v="ZP"/>
    <s v="24.05.2022"/>
    <m/>
    <s v="COP"/>
    <n v="2000005490"/>
    <s v="24.05.2022"/>
    <n v="2800000005"/>
    <n v="1"/>
    <n v="40"/>
    <n v="2800000005"/>
    <s v="COP"/>
    <d v="2022-05-24T00:00:00"/>
    <n v="1"/>
    <n v="0"/>
    <n v="0"/>
    <x v="0"/>
  </r>
  <r>
    <x v="0"/>
    <x v="5"/>
    <m/>
    <x v="1"/>
    <s v="ZP"/>
    <s v="24.05.2022"/>
    <m/>
    <s v="COP"/>
    <n v="2000005491"/>
    <s v="24.05.2022"/>
    <n v="2000000008"/>
    <n v="1"/>
    <n v="40"/>
    <n v="2000000008"/>
    <s v="COP"/>
    <d v="2022-05-24T00:00:00"/>
    <n v="1"/>
    <n v="0"/>
    <n v="0"/>
    <x v="0"/>
  </r>
  <r>
    <x v="0"/>
    <x v="5"/>
    <m/>
    <x v="1"/>
    <s v="ZP"/>
    <s v="24.05.2022"/>
    <m/>
    <s v="COP"/>
    <n v="2000005494"/>
    <s v="24.05.2022"/>
    <n v="200000000000"/>
    <n v="1"/>
    <n v="40"/>
    <n v="200000000000"/>
    <s v="COP"/>
    <d v="2022-05-24T00:00:00"/>
    <n v="1"/>
    <n v="0"/>
    <n v="0"/>
    <x v="0"/>
  </r>
  <r>
    <x v="0"/>
    <x v="5"/>
    <m/>
    <x v="1"/>
    <s v="ZP"/>
    <s v="24.05.2022"/>
    <m/>
    <s v="COP"/>
    <n v="2000005495"/>
    <s v="24.05.2022"/>
    <n v="162270859254"/>
    <n v="1"/>
    <n v="40"/>
    <n v="162270859254"/>
    <s v="COP"/>
    <d v="2022-05-24T00:00:00"/>
    <n v="1"/>
    <n v="0"/>
    <n v="0"/>
    <x v="0"/>
  </r>
  <r>
    <x v="0"/>
    <x v="5"/>
    <m/>
    <x v="1"/>
    <s v="ZP"/>
    <s v="24.05.2022"/>
    <m/>
    <s v="COP"/>
    <n v="2000005496"/>
    <s v="24.05.2022"/>
    <n v="63200000017"/>
    <n v="1"/>
    <n v="40"/>
    <n v="63200000017"/>
    <s v="COP"/>
    <d v="2022-05-24T00:00:00"/>
    <n v="1"/>
    <n v="0"/>
    <n v="0"/>
    <x v="0"/>
  </r>
  <r>
    <x v="0"/>
    <x v="5"/>
    <m/>
    <x v="1"/>
    <s v="ZP"/>
    <s v="24.05.2022"/>
    <m/>
    <s v="COP"/>
    <n v="2000005497"/>
    <s v="24.05.2022"/>
    <n v="56795250000"/>
    <n v="1"/>
    <n v="40"/>
    <n v="56795250000"/>
    <s v="COP"/>
    <d v="2022-05-24T00:00:00"/>
    <n v="1"/>
    <n v="0"/>
    <n v="0"/>
    <x v="0"/>
  </r>
  <r>
    <x v="0"/>
    <x v="5"/>
    <m/>
    <x v="1"/>
    <s v="ZP"/>
    <s v="20.05.2022"/>
    <m/>
    <s v="COP"/>
    <n v="2000005498"/>
    <s v="20.05.2022"/>
    <n v="1798590536"/>
    <n v="1"/>
    <n v="40"/>
    <n v="1798590536"/>
    <s v="COP"/>
    <d v="2022-05-20T00:00:00"/>
    <n v="1"/>
    <n v="0"/>
    <n v="0"/>
    <x v="0"/>
  </r>
  <r>
    <x v="0"/>
    <x v="5"/>
    <m/>
    <x v="1"/>
    <s v="ZP"/>
    <s v="20.05.2022"/>
    <m/>
    <s v="COP"/>
    <n v="2000005499"/>
    <s v="20.05.2022"/>
    <n v="265000000000"/>
    <n v="1"/>
    <n v="40"/>
    <n v="265000000000"/>
    <s v="COP"/>
    <d v="2022-05-20T00:00:00"/>
    <n v="1"/>
    <n v="0"/>
    <n v="0"/>
    <x v="0"/>
  </r>
  <r>
    <x v="0"/>
    <x v="5"/>
    <m/>
    <x v="1"/>
    <s v="ZP"/>
    <s v="26.05.2022"/>
    <m/>
    <s v="COP"/>
    <n v="2000005586"/>
    <s v="26.05.2022"/>
    <n v="100000000000"/>
    <n v="1"/>
    <n v="40"/>
    <n v="100000000000"/>
    <s v="COP"/>
    <d v="2022-05-26T00:00:00"/>
    <n v="1"/>
    <n v="0"/>
    <n v="0"/>
    <x v="0"/>
  </r>
  <r>
    <x v="0"/>
    <x v="5"/>
    <m/>
    <x v="1"/>
    <s v="ZP"/>
    <s v="24.05.2022"/>
    <m/>
    <s v="COP"/>
    <n v="2000005587"/>
    <s v="24.05.2022"/>
    <n v="100000000000"/>
    <n v="1"/>
    <n v="40"/>
    <n v="100000000000"/>
    <s v="COP"/>
    <d v="2022-05-24T00:00:00"/>
    <n v="1"/>
    <n v="0"/>
    <n v="0"/>
    <x v="0"/>
  </r>
  <r>
    <x v="0"/>
    <x v="5"/>
    <m/>
    <x v="1"/>
    <s v="ZP"/>
    <s v="24.05.2022"/>
    <m/>
    <s v="COP"/>
    <n v="2000005588"/>
    <s v="24.05.2022"/>
    <n v="1300000000"/>
    <n v="1"/>
    <n v="40"/>
    <n v="1300000000"/>
    <s v="COP"/>
    <d v="2022-05-24T00:00:00"/>
    <n v="1"/>
    <n v="0"/>
    <n v="0"/>
    <x v="0"/>
  </r>
  <r>
    <x v="0"/>
    <x v="5"/>
    <m/>
    <x v="1"/>
    <s v="ZP"/>
    <s v="25.05.2022"/>
    <m/>
    <s v="COP"/>
    <n v="2000005596"/>
    <s v="25.05.2022"/>
    <n v="134999999994"/>
    <n v="1"/>
    <n v="40"/>
    <n v="134999999994"/>
    <s v="COP"/>
    <d v="2022-05-25T00:00:00"/>
    <n v="1"/>
    <n v="0"/>
    <n v="0"/>
    <x v="0"/>
  </r>
  <r>
    <x v="0"/>
    <x v="5"/>
    <m/>
    <x v="1"/>
    <s v="ZP"/>
    <s v="24.05.2022"/>
    <m/>
    <s v="COP"/>
    <n v="2000005627"/>
    <s v="24.05.2022"/>
    <n v="49999999991"/>
    <n v="1"/>
    <n v="40"/>
    <n v="49999999991"/>
    <s v="COP"/>
    <d v="2022-05-24T00:00:00"/>
    <n v="1"/>
    <n v="0"/>
    <n v="0"/>
    <x v="0"/>
  </r>
  <r>
    <x v="0"/>
    <x v="5"/>
    <m/>
    <x v="1"/>
    <s v="ZS"/>
    <s v="16.05.2022"/>
    <s v="*CML1110 0001000003501"/>
    <s v="COP"/>
    <n v="7900005403"/>
    <s v="16.05.2022"/>
    <n v="-6410416667"/>
    <n v="1"/>
    <n v="50"/>
    <n v="-6410416667"/>
    <s v="COP"/>
    <d v="2022-05-16T00:00:00"/>
    <n v="1"/>
    <n v="0"/>
    <n v="0"/>
    <x v="0"/>
  </r>
  <r>
    <x v="0"/>
    <x v="5"/>
    <m/>
    <x v="1"/>
    <s v="ZS"/>
    <s v="17.05.2022"/>
    <s v="*CMLZ010 0001000004100"/>
    <s v="COP"/>
    <n v="7900005464"/>
    <s v="17.05.2022"/>
    <n v="-89250000"/>
    <n v="1"/>
    <n v="50"/>
    <n v="-89250000"/>
    <s v="COP"/>
    <d v="2022-05-17T00:00:00"/>
    <n v="1"/>
    <n v="0"/>
    <n v="0"/>
    <x v="0"/>
  </r>
  <r>
    <x v="0"/>
    <x v="5"/>
    <m/>
    <x v="1"/>
    <s v="ZS"/>
    <s v="19.05.2022"/>
    <s v="*CML1110 0001000003900"/>
    <s v="COP"/>
    <n v="7900005472"/>
    <s v="19.05.2022"/>
    <n v="-3691763790"/>
    <n v="1"/>
    <n v="50"/>
    <n v="-3691763790"/>
    <s v="COP"/>
    <d v="2022-05-19T00:00:00"/>
    <n v="1"/>
    <n v="0"/>
    <n v="0"/>
    <x v="0"/>
  </r>
  <r>
    <x v="0"/>
    <x v="5"/>
    <m/>
    <x v="1"/>
    <s v="ZS"/>
    <s v="19.05.2022"/>
    <s v="*CML1110 0001000003902"/>
    <s v="COP"/>
    <n v="7900005473"/>
    <s v="19.05.2022"/>
    <n v="-4572431520"/>
    <n v="1"/>
    <n v="50"/>
    <n v="-4572431520"/>
    <s v="COP"/>
    <d v="2022-05-19T00:00:00"/>
    <n v="1"/>
    <n v="0"/>
    <n v="0"/>
    <x v="0"/>
  </r>
  <r>
    <x v="0"/>
    <x v="5"/>
    <m/>
    <x v="1"/>
    <s v="ZS"/>
    <s v="19.05.2022"/>
    <s v="*CML1110 0001000003901"/>
    <s v="COP"/>
    <n v="7900005474"/>
    <s v="19.05.2022"/>
    <n v="-4789770910"/>
    <n v="1"/>
    <n v="50"/>
    <n v="-4789770910"/>
    <s v="COP"/>
    <d v="2022-05-19T00:00:00"/>
    <n v="1"/>
    <n v="0"/>
    <n v="0"/>
    <x v="0"/>
  </r>
  <r>
    <x v="0"/>
    <x v="5"/>
    <m/>
    <x v="1"/>
    <s v="ZS"/>
    <s v="26.05.2022"/>
    <s v="*CML1110 0001000003700"/>
    <s v="COP"/>
    <n v="7900005535"/>
    <s v="26.05.2022"/>
    <n v="-9923622831"/>
    <n v="1"/>
    <n v="50"/>
    <n v="-9923622831"/>
    <s v="COP"/>
    <d v="2022-05-26T00:00:00"/>
    <n v="1"/>
    <n v="0"/>
    <n v="0"/>
    <x v="0"/>
  </r>
  <r>
    <x v="0"/>
    <x v="5"/>
    <m/>
    <x v="1"/>
    <s v="ZS"/>
    <s v="27.05.2022"/>
    <s v="*CML1110 0001000003002"/>
    <s v="COP"/>
    <n v="7900005634"/>
    <s v="27.05.2022"/>
    <n v="-5903325000"/>
    <n v="1"/>
    <n v="50"/>
    <n v="-5903325000"/>
    <s v="COP"/>
    <d v="2022-05-27T00:00:00"/>
    <n v="1"/>
    <n v="0"/>
    <n v="0"/>
    <x v="0"/>
  </r>
  <r>
    <x v="0"/>
    <x v="5"/>
    <m/>
    <x v="1"/>
    <s v="ZS"/>
    <s v="27.05.2022"/>
    <s v="*CML1110 0001000003001"/>
    <s v="COP"/>
    <n v="7900005635"/>
    <s v="27.05.2022"/>
    <n v="-3781950000"/>
    <n v="1"/>
    <n v="50"/>
    <n v="-3781950000"/>
    <s v="COP"/>
    <d v="2022-05-27T00:00:00"/>
    <n v="1"/>
    <n v="0"/>
    <n v="0"/>
    <x v="0"/>
  </r>
  <r>
    <x v="0"/>
    <x v="5"/>
    <m/>
    <x v="1"/>
    <s v="ZS"/>
    <s v="27.05.2022"/>
    <s v="*CML1110 0001000003800"/>
    <s v="COP"/>
    <n v="7900005636"/>
    <s v="27.05.2022"/>
    <n v="-3730750000"/>
    <n v="1"/>
    <n v="50"/>
    <n v="-3730750000"/>
    <s v="COP"/>
    <d v="2022-05-27T00:00:00"/>
    <n v="1"/>
    <n v="0"/>
    <n v="0"/>
    <x v="0"/>
  </r>
  <r>
    <x v="0"/>
    <x v="5"/>
    <m/>
    <x v="1"/>
    <s v="ZS"/>
    <s v="27.05.2022"/>
    <s v="*CML1110 0001000003801"/>
    <s v="COP"/>
    <n v="7900005637"/>
    <s v="27.05.2022"/>
    <n v="-5203400000"/>
    <n v="1"/>
    <n v="50"/>
    <n v="-5203400000"/>
    <s v="COP"/>
    <d v="2022-05-27T00:00:00"/>
    <n v="1"/>
    <n v="0"/>
    <n v="0"/>
    <x v="0"/>
  </r>
  <r>
    <x v="0"/>
    <x v="5"/>
    <m/>
    <x v="1"/>
    <s v="ZS"/>
    <s v="27.05.2022"/>
    <s v="*CML1110 0001000003000"/>
    <s v="COP"/>
    <n v="7900005638"/>
    <s v="27.05.2022"/>
    <n v="-6345750000"/>
    <n v="1"/>
    <n v="50"/>
    <n v="-6345750000"/>
    <s v="COP"/>
    <d v="2022-05-27T00:00:00"/>
    <n v="1"/>
    <n v="0"/>
    <n v="0"/>
    <x v="0"/>
  </r>
  <r>
    <x v="0"/>
    <x v="5"/>
    <m/>
    <x v="1"/>
    <s v="ZI"/>
    <s v="31.05.2022"/>
    <s v="*FX2000- Venta divisas 0100000004396"/>
    <s v="USD"/>
    <n v="7900005824"/>
    <s v="31.05.2022"/>
    <n v="-9711835.5099999998"/>
    <n v="3959.05"/>
    <n v="50"/>
    <n v="-38449642365"/>
    <s v="COP"/>
    <d v="2022-05-31T00:00:00"/>
    <n v="3959.05"/>
    <n v="3912.34"/>
    <n v="-453639836.67210037"/>
    <x v="1"/>
  </r>
  <r>
    <x v="0"/>
    <x v="5"/>
    <m/>
    <x v="1"/>
    <s v="ZI"/>
    <s v="26.05.2022"/>
    <s v="*FX2000- Venta divisas 0100000004393"/>
    <s v="USD"/>
    <n v="7900005953"/>
    <s v="26.05.2022"/>
    <n v="-600000"/>
    <n v="3959.05"/>
    <n v="50"/>
    <n v="-2375430000"/>
    <s v="COP"/>
    <d v="2022-05-26T00:00:00"/>
    <n v="3959.05"/>
    <n v="3959.05"/>
    <n v="0"/>
    <x v="0"/>
  </r>
  <r>
    <x v="0"/>
    <x v="5"/>
    <m/>
    <x v="1"/>
    <s v="ZI"/>
    <s v="26.05.2022"/>
    <s v="*FX2000- Venta divisas 0100000004394"/>
    <s v="USD"/>
    <n v="7900005961"/>
    <s v="26.05.2022"/>
    <n v="-46848.05"/>
    <n v="3959.04999"/>
    <n v="50"/>
    <n v="-185473772"/>
    <s v="COP"/>
    <d v="2022-05-26T00:00:00"/>
    <n v="3959.05"/>
    <n v="3959.05"/>
    <n v="0"/>
    <x v="0"/>
  </r>
  <r>
    <x v="0"/>
    <x v="5"/>
    <m/>
    <x v="1"/>
    <s v="ZI"/>
    <s v="31.05.2022"/>
    <s v="*FX2000- Venta divisas 0100000004397"/>
    <s v="USD"/>
    <n v="7900006832"/>
    <s v="31.05.2022"/>
    <n v="-371000068"/>
    <n v="3858.18"/>
    <n v="50"/>
    <n v="-1431385042316"/>
    <s v="COP"/>
    <d v="2022-05-31T00:00:00"/>
    <n v="3858.18"/>
    <n v="3912.34"/>
    <n v="20093363682.880116"/>
    <x v="2"/>
  </r>
  <r>
    <x v="0"/>
    <x v="5"/>
    <m/>
    <x v="1"/>
    <s v="ZP"/>
    <s v="31.05.2022"/>
    <m/>
    <s v="USD"/>
    <n v="2000005511"/>
    <s v="31.05.2022"/>
    <n v="9711835.5099999998"/>
    <n v="3959.05"/>
    <n v="40"/>
    <n v="38449642365"/>
    <s v="COP"/>
    <d v="2022-05-31T00:00:00"/>
    <n v="3959.05"/>
    <n v="3912.34"/>
    <n v="453639836.67210037"/>
    <x v="2"/>
  </r>
  <r>
    <x v="0"/>
    <x v="5"/>
    <m/>
    <x v="1"/>
    <s v="ZP"/>
    <s v="26.05.2022"/>
    <m/>
    <s v="USD"/>
    <n v="2000005589"/>
    <s v="26.05.2022"/>
    <n v="600000"/>
    <n v="3959.05"/>
    <n v="40"/>
    <n v="2375430000"/>
    <s v="COP"/>
    <d v="2022-05-26T00:00:00"/>
    <n v="3959.05"/>
    <n v="3959.05"/>
    <n v="0"/>
    <x v="0"/>
  </r>
  <r>
    <x v="0"/>
    <x v="5"/>
    <m/>
    <x v="1"/>
    <s v="ZP"/>
    <s v="26.05.2022"/>
    <m/>
    <s v="USD"/>
    <n v="2000005590"/>
    <s v="26.05.2022"/>
    <n v="46848.05"/>
    <n v="3959.04999"/>
    <n v="40"/>
    <n v="185473772"/>
    <s v="COP"/>
    <d v="2022-05-26T00:00:00"/>
    <n v="3959.05"/>
    <n v="3959.05"/>
    <n v="0"/>
    <x v="0"/>
  </r>
  <r>
    <x v="0"/>
    <x v="5"/>
    <m/>
    <x v="1"/>
    <s v="ZP"/>
    <s v="31.05.2022"/>
    <m/>
    <s v="USD"/>
    <n v="2000005599"/>
    <s v="31.05.2022"/>
    <n v="371000068"/>
    <n v="3858.18"/>
    <n v="40"/>
    <n v="1431385042316"/>
    <s v="COP"/>
    <d v="2022-05-31T00:00:00"/>
    <n v="3858.18"/>
    <n v="3912.34"/>
    <n v="-20093363682.880116"/>
    <x v="1"/>
  </r>
  <r>
    <x v="1"/>
    <x v="3"/>
    <m/>
    <x v="2"/>
    <m/>
    <m/>
    <m/>
    <m/>
    <m/>
    <m/>
    <m/>
    <m/>
    <m/>
    <m/>
    <m/>
    <m/>
    <m/>
    <m/>
    <m/>
    <x v="0"/>
  </r>
  <r>
    <x v="0"/>
    <x v="6"/>
    <m/>
    <x v="0"/>
    <s v="ZI"/>
    <s v="02.06.2022"/>
    <s v="*FX2000- Venta divisas 0100000004401"/>
    <s v="COP"/>
    <n v="7900007051"/>
    <s v="02.06.2022"/>
    <n v="15204400000"/>
    <n v="1"/>
    <n v="40"/>
    <n v="15204400000"/>
    <s v="COP"/>
    <d v="2022-06-02T00:00:00"/>
    <n v="1"/>
    <n v="0"/>
    <n v="0"/>
    <x v="0"/>
  </r>
  <r>
    <x v="0"/>
    <x v="6"/>
    <m/>
    <x v="0"/>
    <s v="ZI"/>
    <s v="02.06.2022"/>
    <s v="*FX2000- Venta divisas 0100000004402"/>
    <s v="COP"/>
    <n v="7900007059"/>
    <s v="02.06.2022"/>
    <n v="15192800000"/>
    <n v="1"/>
    <n v="40"/>
    <n v="15192800000"/>
    <s v="COP"/>
    <d v="2022-06-02T00:00:00"/>
    <n v="1"/>
    <n v="0"/>
    <n v="0"/>
    <x v="0"/>
  </r>
  <r>
    <x v="0"/>
    <x v="6"/>
    <m/>
    <x v="0"/>
    <s v="ZI"/>
    <s v="02.06.2022"/>
    <s v="*FX2000- Venta divisas 0100000004403"/>
    <s v="COP"/>
    <n v="7900007067"/>
    <s v="02.06.2022"/>
    <n v="3099999999"/>
    <n v="1"/>
    <n v="40"/>
    <n v="3099999999"/>
    <s v="COP"/>
    <d v="2022-06-02T00:00:00"/>
    <n v="1"/>
    <n v="0"/>
    <n v="0"/>
    <x v="0"/>
  </r>
  <r>
    <x v="0"/>
    <x v="6"/>
    <m/>
    <x v="0"/>
    <s v="ZI"/>
    <s v="06.06.2022"/>
    <s v="*FX1000+ Compra divisas 0100000004404"/>
    <s v="COP"/>
    <n v="7900007074"/>
    <s v="06.06.2022"/>
    <n v="-3091335798"/>
    <n v="1"/>
    <n v="50"/>
    <n v="-3091335798"/>
    <s v="COP"/>
    <d v="2022-06-06T00:00:00"/>
    <n v="1"/>
    <n v="0"/>
    <n v="0"/>
    <x v="0"/>
  </r>
  <r>
    <x v="0"/>
    <x v="6"/>
    <m/>
    <x v="0"/>
    <s v="ZI"/>
    <s v="07.06.2022"/>
    <s v="*FX2000- Venta divisas 0100000004416"/>
    <s v="COP"/>
    <n v="7900007190"/>
    <s v="07.06.2022"/>
    <n v="1752412989"/>
    <n v="1"/>
    <n v="40"/>
    <n v="1752412989"/>
    <s v="COP"/>
    <d v="2022-06-07T00:00:00"/>
    <n v="1"/>
    <n v="0"/>
    <n v="0"/>
    <x v="0"/>
  </r>
  <r>
    <x v="0"/>
    <x v="6"/>
    <m/>
    <x v="0"/>
    <s v="ZI"/>
    <s v="08.06.2022"/>
    <s v="*FX2000- Venta divisas 0100000004405"/>
    <s v="COP"/>
    <n v="7900007198"/>
    <s v="08.06.2022"/>
    <n v="20114560000"/>
    <n v="1"/>
    <n v="40"/>
    <n v="20114560000"/>
    <s v="COP"/>
    <d v="2022-06-08T00:00:00"/>
    <n v="1"/>
    <n v="0"/>
    <n v="0"/>
    <x v="0"/>
  </r>
  <r>
    <x v="0"/>
    <x v="6"/>
    <m/>
    <x v="0"/>
    <s v="ZI"/>
    <s v="10.06.2022"/>
    <s v="*FX1000+ Compra divisas 0100000004406"/>
    <s v="COP"/>
    <n v="7900007205"/>
    <s v="10.06.2022"/>
    <n v="-11903644567"/>
    <n v="1"/>
    <n v="50"/>
    <n v="-11903644567"/>
    <s v="COP"/>
    <d v="2022-06-10T00:00:00"/>
    <n v="1"/>
    <n v="0"/>
    <n v="0"/>
    <x v="0"/>
  </r>
  <r>
    <x v="0"/>
    <x v="6"/>
    <m/>
    <x v="0"/>
    <s v="ZI"/>
    <s v="16.06.2022"/>
    <s v="*FX1000+ Compra divisas 0100000004424"/>
    <s v="COP"/>
    <n v="7900007245"/>
    <s v="16.06.2022"/>
    <n v="-1638603688884"/>
    <n v="1"/>
    <n v="50"/>
    <n v="-1638603688884"/>
    <s v="COP"/>
    <d v="2022-06-16T00:00:00"/>
    <n v="1"/>
    <n v="0"/>
    <n v="0"/>
    <x v="0"/>
  </r>
  <r>
    <x v="0"/>
    <x v="6"/>
    <m/>
    <x v="0"/>
    <s v="ZI"/>
    <s v="28.06.2022"/>
    <s v="*FX1000+ Compra divisas 0100000004421"/>
    <s v="COP"/>
    <n v="7900007253"/>
    <s v="28.06.2022"/>
    <n v="-8627648269"/>
    <n v="1"/>
    <n v="50"/>
    <n v="-8627648269"/>
    <s v="COP"/>
    <d v="2022-06-28T00:00:00"/>
    <n v="1"/>
    <n v="0"/>
    <n v="0"/>
    <x v="0"/>
  </r>
  <r>
    <x v="0"/>
    <x v="6"/>
    <m/>
    <x v="0"/>
    <s v="ZI"/>
    <s v="28.06.2022"/>
    <s v="*FX1000+ Compra divisas 0100000004422"/>
    <s v="COP"/>
    <n v="7900007261"/>
    <s v="28.06.2022"/>
    <n v="-266936162"/>
    <n v="1"/>
    <n v="50"/>
    <n v="-266936162"/>
    <s v="COP"/>
    <d v="2022-06-28T00:00:00"/>
    <n v="1"/>
    <n v="0"/>
    <n v="0"/>
    <x v="0"/>
  </r>
  <r>
    <x v="0"/>
    <x v="6"/>
    <m/>
    <x v="0"/>
    <s v="ZI"/>
    <s v="28.06.2022"/>
    <s v="*FX1000+ Compra divisas 0100000004423"/>
    <s v="COP"/>
    <n v="7900007269"/>
    <s v="28.06.2022"/>
    <n v="-2020742133"/>
    <n v="1"/>
    <n v="50"/>
    <n v="-2020742133"/>
    <s v="COP"/>
    <d v="2022-06-28T00:00:00"/>
    <n v="1"/>
    <n v="0"/>
    <n v="0"/>
    <x v="0"/>
  </r>
  <r>
    <x v="0"/>
    <x v="6"/>
    <m/>
    <x v="0"/>
    <s v="ZI"/>
    <s v="28.06.2022"/>
    <s v="*FX2000- Venta divisas 0100000004419"/>
    <s v="COP"/>
    <n v="7900007278"/>
    <s v="28.06.2022"/>
    <n v="23999999233"/>
    <n v="1"/>
    <n v="40"/>
    <n v="23999999233"/>
    <s v="COP"/>
    <d v="2022-06-28T00:00:00"/>
    <n v="1"/>
    <n v="0"/>
    <n v="0"/>
    <x v="0"/>
  </r>
  <r>
    <x v="0"/>
    <x v="6"/>
    <m/>
    <x v="0"/>
    <s v="ZI"/>
    <s v="28.06.2022"/>
    <s v="*FX2000- Venta divisas 0100000004420"/>
    <s v="COP"/>
    <n v="7900007286"/>
    <s v="28.06.2022"/>
    <n v="11851025767"/>
    <n v="1"/>
    <n v="40"/>
    <n v="11851025767"/>
    <s v="COP"/>
    <d v="2022-06-28T00:00:00"/>
    <n v="1"/>
    <n v="0"/>
    <n v="0"/>
    <x v="0"/>
  </r>
  <r>
    <x v="0"/>
    <x v="6"/>
    <m/>
    <x v="0"/>
    <s v="ZI"/>
    <s v="30.06.2022"/>
    <s v="*FX1000+ Compra divisas 0100000004425"/>
    <s v="COP"/>
    <n v="7900008233"/>
    <s v="30.06.2022"/>
    <n v="-36033006765"/>
    <n v="1"/>
    <n v="50"/>
    <n v="-36033006765"/>
    <s v="COP"/>
    <d v="2022-06-30T00:00:00"/>
    <n v="1"/>
    <n v="0"/>
    <n v="0"/>
    <x v="0"/>
  </r>
  <r>
    <x v="0"/>
    <x v="6"/>
    <m/>
    <x v="0"/>
    <s v="ZI"/>
    <s v="02.06.2022"/>
    <s v="*FX1000+ Compra divisas 0100000004401"/>
    <s v="USD"/>
    <n v="7900007050"/>
    <s v="02.06.2022"/>
    <n v="-4000000"/>
    <n v="3801.1"/>
    <n v="50"/>
    <n v="-15204400000"/>
    <s v="COP"/>
    <d v="2022-06-02T00:00:00"/>
    <n v="3801.1"/>
    <n v="3791.74"/>
    <n v="37440000.000000507"/>
    <x v="2"/>
  </r>
  <r>
    <x v="0"/>
    <x v="6"/>
    <m/>
    <x v="0"/>
    <s v="ZI"/>
    <s v="02.06.2022"/>
    <s v="*FX1000+ Compra divisas 0100000004402"/>
    <s v="USD"/>
    <n v="7900007058"/>
    <s v="02.06.2022"/>
    <n v="-4000000"/>
    <n v="3798.2"/>
    <n v="50"/>
    <n v="-15192800000"/>
    <s v="COP"/>
    <d v="2022-06-02T00:00:00"/>
    <n v="3798.2"/>
    <n v="3791.74"/>
    <n v="25840000.000000145"/>
    <x v="2"/>
  </r>
  <r>
    <x v="0"/>
    <x v="6"/>
    <m/>
    <x v="0"/>
    <s v="ZI"/>
    <s v="02.06.2022"/>
    <s v="*FX1000+ Compra divisas 0100000004403"/>
    <s v="USD"/>
    <n v="7900007066"/>
    <s v="02.06.2022"/>
    <n v="-819057.08"/>
    <n v="3784.84"/>
    <n v="50"/>
    <n v="-3099999999"/>
    <s v="COP"/>
    <d v="2022-06-02T00:00:00"/>
    <n v="3784.84"/>
    <n v="3791.74"/>
    <n v="-5651493.8519997019"/>
    <x v="1"/>
  </r>
  <r>
    <x v="0"/>
    <x v="6"/>
    <m/>
    <x v="0"/>
    <s v="ZI"/>
    <s v="06.06.2022"/>
    <s v="*FX2000- Venta divisas 0100000004404"/>
    <s v="USD"/>
    <n v="7900007075"/>
    <s v="06.06.2022"/>
    <n v="816737.68"/>
    <n v="3784.98002"/>
    <n v="40"/>
    <n v="3091335798"/>
    <s v="COP"/>
    <d v="2022-06-06T00:00:00"/>
    <n v="3784.98"/>
    <n v="3771.63"/>
    <n v="-10903448.027999926"/>
    <x v="1"/>
  </r>
  <r>
    <x v="0"/>
    <x v="6"/>
    <m/>
    <x v="0"/>
    <s v="ZI"/>
    <s v="07.06.2022"/>
    <s v="*FX1000+ Compra divisas 0100000004416"/>
    <s v="USD"/>
    <n v="7900007189"/>
    <s v="07.06.2022"/>
    <n v="-461222"/>
    <n v="3799.5"/>
    <n v="50"/>
    <n v="-1752412989"/>
    <s v="COP"/>
    <d v="2022-06-07T00:00:00"/>
    <n v="3799.5"/>
    <n v="3799.5"/>
    <n v="0"/>
    <x v="0"/>
  </r>
  <r>
    <x v="0"/>
    <x v="6"/>
    <m/>
    <x v="0"/>
    <s v="ZI"/>
    <s v="08.06.2022"/>
    <s v="*FX1000+ Compra divisas 0100000004405"/>
    <s v="USD"/>
    <n v="7900007197"/>
    <s v="08.06.2022"/>
    <n v="-5300000"/>
    <n v="3795.2"/>
    <n v="50"/>
    <n v="-20114560000"/>
    <s v="COP"/>
    <d v="2022-06-08T00:00:00"/>
    <n v="3795.2"/>
    <n v="3790.88"/>
    <n v="22895999.999998458"/>
    <x v="2"/>
  </r>
  <r>
    <x v="0"/>
    <x v="6"/>
    <m/>
    <x v="0"/>
    <s v="ZI"/>
    <s v="10.06.2022"/>
    <s v="*FX2000- Venta divisas 0100000004406"/>
    <s v="USD"/>
    <n v="7900007206"/>
    <s v="10.06.2022"/>
    <n v="3140074.22"/>
    <n v="3790.88"/>
    <n v="40"/>
    <n v="11903644567"/>
    <s v="COP"/>
    <d v="2022-06-10T00:00:00"/>
    <n v="3790.88"/>
    <n v="3833.34"/>
    <n v="133327551.38120012"/>
    <x v="2"/>
  </r>
  <r>
    <x v="0"/>
    <x v="6"/>
    <m/>
    <x v="0"/>
    <s v="ZI"/>
    <s v="16.06.2022"/>
    <s v="*FX2000- Venta divisas 0100000004424"/>
    <s v="USD"/>
    <n v="7900007246"/>
    <s v="16.06.2022"/>
    <n v="411781893.51999998"/>
    <n v="3979.3"/>
    <n v="40"/>
    <n v="1638603688884"/>
    <s v="COP"/>
    <d v="2022-06-16T00:00:00"/>
    <n v="3979.3"/>
    <n v="3923.96"/>
    <n v="-22788009987.396858"/>
    <x v="1"/>
  </r>
  <r>
    <x v="0"/>
    <x v="6"/>
    <m/>
    <x v="0"/>
    <s v="ZI"/>
    <s v="28.06.2022"/>
    <s v="*FX2000- Venta divisas 0100000004421"/>
    <s v="USD"/>
    <n v="7900007254"/>
    <s v="28.06.2022"/>
    <n v="2120466.56"/>
    <n v="4068.7499800000001"/>
    <n v="40"/>
    <n v="8627648269"/>
    <s v="COP"/>
    <d v="2022-06-28T00:00:00"/>
    <n v="4068.75"/>
    <n v="4129.87"/>
    <n v="129602916.14719976"/>
    <x v="2"/>
  </r>
  <r>
    <x v="0"/>
    <x v="6"/>
    <m/>
    <x v="0"/>
    <s v="ZI"/>
    <s v="28.06.2022"/>
    <s v="*FX2000- Venta divisas 0100000004422"/>
    <s v="USD"/>
    <n v="7900007262"/>
    <s v="28.06.2022"/>
    <n v="65606.429999999993"/>
    <n v="4068.75"/>
    <n v="40"/>
    <n v="266936162"/>
    <s v="COP"/>
    <d v="2022-06-28T00:00:00"/>
    <n v="4068.75"/>
    <n v="4129.87"/>
    <n v="4009865.0015999926"/>
    <x v="2"/>
  </r>
  <r>
    <x v="0"/>
    <x v="6"/>
    <m/>
    <x v="0"/>
    <s v="ZI"/>
    <s v="28.06.2022"/>
    <s v="*FX2000- Venta divisas 0100000004423"/>
    <s v="USD"/>
    <n v="7900007270"/>
    <s v="28.06.2022"/>
    <n v="496649.37"/>
    <n v="4068.7500199999999"/>
    <n v="40"/>
    <n v="2020742133"/>
    <s v="COP"/>
    <d v="2022-06-28T00:00:00"/>
    <n v="4068.75"/>
    <n v="4129.87"/>
    <n v="30355209.494399946"/>
    <x v="2"/>
  </r>
  <r>
    <x v="0"/>
    <x v="6"/>
    <m/>
    <x v="0"/>
    <s v="ZI"/>
    <s v="28.06.2022"/>
    <s v="*FX1000+ Compra divisas 0100000004419"/>
    <s v="USD"/>
    <n v="7900007277"/>
    <s v="28.06.2022"/>
    <n v="-5840837"/>
    <n v="4109"/>
    <n v="50"/>
    <n v="-23999999233"/>
    <s v="COP"/>
    <d v="2022-06-28T00:00:00"/>
    <n v="4109"/>
    <n v="4129.87"/>
    <n v="-121898268.18999936"/>
    <x v="1"/>
  </r>
  <r>
    <x v="0"/>
    <x v="6"/>
    <m/>
    <x v="0"/>
    <s v="ZI"/>
    <s v="28.06.2022"/>
    <s v="*FX1000+ Compra divisas 0100000004420"/>
    <s v="USD"/>
    <n v="7900007285"/>
    <s v="28.06.2022"/>
    <n v="-2884163"/>
    <n v="4109"/>
    <n v="50"/>
    <n v="-11851025767"/>
    <s v="COP"/>
    <d v="2022-06-28T00:00:00"/>
    <n v="4109"/>
    <n v="4129.87"/>
    <n v="-60192481.809999682"/>
    <x v="1"/>
  </r>
  <r>
    <x v="0"/>
    <x v="6"/>
    <m/>
    <x v="0"/>
    <s v="ZI"/>
    <s v="30.06.2022"/>
    <s v="*FX2000- Venta divisas 0100000004425"/>
    <s v="USD"/>
    <n v="7900008234"/>
    <s v="30.06.2022"/>
    <n v="8724973.6099999994"/>
    <n v="4129.87"/>
    <n v="40"/>
    <n v="36033006765"/>
    <s v="COP"/>
    <d v="2022-06-30T00:00:00"/>
    <n v="4129.87"/>
    <n v="4127.47"/>
    <n v="-20939936.663996823"/>
    <x v="1"/>
  </r>
  <r>
    <x v="0"/>
    <x v="6"/>
    <m/>
    <x v="1"/>
    <s v="DL"/>
    <s v="06.06.2022"/>
    <s v="*DE1200- Intereses 0400000000010"/>
    <s v="COP"/>
    <n v="7900007028"/>
    <s v="06.06.2022"/>
    <n v="-1581504957"/>
    <n v="1"/>
    <n v="50"/>
    <n v="-1581504957"/>
    <s v="COP"/>
    <d v="2022-06-06T00:00:00"/>
    <n v="1"/>
    <n v="0"/>
    <n v="0"/>
    <x v="0"/>
  </r>
  <r>
    <x v="0"/>
    <x v="6"/>
    <m/>
    <x v="1"/>
    <s v="DL"/>
    <s v="06.06.2022"/>
    <s v="*DE1200- Intereses 0400000000010"/>
    <s v="COP"/>
    <n v="7900007041"/>
    <s v="06.06.2022"/>
    <n v="1581504957"/>
    <n v="1"/>
    <n v="40"/>
    <n v="1581504957"/>
    <s v="COP"/>
    <d v="2022-06-06T00:00:00"/>
    <n v="1"/>
    <n v="0"/>
    <n v="0"/>
    <x v="0"/>
  </r>
  <r>
    <x v="0"/>
    <x v="6"/>
    <m/>
    <x v="1"/>
    <s v="TD"/>
    <s v="07.06.2022"/>
    <s v="*FX2001- Venta divisas 0400000000061"/>
    <s v="COP"/>
    <n v="7900007167"/>
    <s v="07.06.2022"/>
    <n v="-1801902110"/>
    <n v="1"/>
    <n v="50"/>
    <n v="-1801902110"/>
    <s v="COP"/>
    <d v="2022-06-07T00:00:00"/>
    <n v="1"/>
    <n v="0"/>
    <n v="0"/>
    <x v="0"/>
  </r>
  <r>
    <x v="0"/>
    <x v="6"/>
    <m/>
    <x v="1"/>
    <s v="ZD"/>
    <s v="29.06.2022"/>
    <s v="*CML1115 0001000003750"/>
    <s v="COP"/>
    <n v="7900007234"/>
    <s v="29.06.2022"/>
    <n v="-20000000000"/>
    <n v="1"/>
    <n v="50"/>
    <n v="-20000000000"/>
    <s v="COP"/>
    <d v="2022-06-29T00:00:00"/>
    <n v="1"/>
    <n v="0"/>
    <n v="0"/>
    <x v="0"/>
  </r>
  <r>
    <x v="0"/>
    <x v="6"/>
    <m/>
    <x v="1"/>
    <s v="ZI"/>
    <s v="02.06.2022"/>
    <s v="*FX2000- Venta divisas 0100000004401"/>
    <s v="COP"/>
    <n v="7900007051"/>
    <s v="02.06.2022"/>
    <n v="-15204400000"/>
    <n v="1"/>
    <n v="50"/>
    <n v="-15204400000"/>
    <s v="COP"/>
    <d v="2022-06-02T00:00:00"/>
    <n v="1"/>
    <n v="0"/>
    <n v="0"/>
    <x v="0"/>
  </r>
  <r>
    <x v="0"/>
    <x v="6"/>
    <m/>
    <x v="1"/>
    <s v="ZI"/>
    <s v="02.06.2022"/>
    <s v="*FX2000- Venta divisas 0100000004402"/>
    <s v="COP"/>
    <n v="7900007059"/>
    <s v="02.06.2022"/>
    <n v="-15192800000"/>
    <n v="1"/>
    <n v="50"/>
    <n v="-15192800000"/>
    <s v="COP"/>
    <d v="2022-06-02T00:00:00"/>
    <n v="1"/>
    <n v="0"/>
    <n v="0"/>
    <x v="0"/>
  </r>
  <r>
    <x v="0"/>
    <x v="6"/>
    <m/>
    <x v="1"/>
    <s v="ZI"/>
    <s v="02.06.2022"/>
    <s v="*FX2000- Venta divisas 0100000004403"/>
    <s v="COP"/>
    <n v="7900007067"/>
    <s v="02.06.2022"/>
    <n v="-3099999999"/>
    <n v="1"/>
    <n v="50"/>
    <n v="-3099999999"/>
    <s v="COP"/>
    <d v="2022-06-02T00:00:00"/>
    <n v="1"/>
    <n v="0"/>
    <n v="0"/>
    <x v="0"/>
  </r>
  <r>
    <x v="0"/>
    <x v="6"/>
    <m/>
    <x v="1"/>
    <s v="ZI"/>
    <s v="08.06.2022"/>
    <s v="*FX2000- Venta divisas 0100000004405"/>
    <s v="COP"/>
    <n v="7900007198"/>
    <s v="08.06.2022"/>
    <n v="-20114560000"/>
    <n v="1"/>
    <n v="50"/>
    <n v="-20114560000"/>
    <s v="COP"/>
    <d v="2022-06-08T00:00:00"/>
    <n v="1"/>
    <n v="0"/>
    <n v="0"/>
    <x v="0"/>
  </r>
  <r>
    <x v="0"/>
    <x v="6"/>
    <m/>
    <x v="1"/>
    <s v="ZI"/>
    <s v="28.06.2022"/>
    <s v="*FX2000- Venta divisas 0100000004419"/>
    <s v="COP"/>
    <n v="7900007278"/>
    <s v="28.06.2022"/>
    <n v="-23999999233"/>
    <n v="1"/>
    <n v="50"/>
    <n v="-23999999233"/>
    <s v="COP"/>
    <d v="2022-06-28T00:00:00"/>
    <n v="1"/>
    <n v="0"/>
    <n v="0"/>
    <x v="0"/>
  </r>
  <r>
    <x v="0"/>
    <x v="6"/>
    <m/>
    <x v="1"/>
    <s v="ZI"/>
    <s v="28.06.2022"/>
    <s v="*FX2000- Venta divisas 0100000004420"/>
    <s v="COP"/>
    <n v="7900007286"/>
    <s v="28.06.2022"/>
    <n v="-11851025767"/>
    <n v="1"/>
    <n v="50"/>
    <n v="-11851025767"/>
    <s v="COP"/>
    <d v="2022-06-28T00:00:00"/>
    <n v="1"/>
    <n v="0"/>
    <n v="0"/>
    <x v="0"/>
  </r>
  <r>
    <x v="0"/>
    <x v="6"/>
    <m/>
    <x v="1"/>
    <s v="ZP"/>
    <s v="03.06.2022"/>
    <m/>
    <s v="COP"/>
    <n v="2000005743"/>
    <s v="03.06.2022"/>
    <n v="66388459"/>
    <n v="1"/>
    <n v="40"/>
    <n v="66388459"/>
    <s v="COP"/>
    <d v="2022-06-03T00:00:00"/>
    <n v="1"/>
    <n v="0"/>
    <n v="0"/>
    <x v="0"/>
  </r>
  <r>
    <x v="0"/>
    <x v="6"/>
    <m/>
    <x v="1"/>
    <s v="ZP"/>
    <s v="03.06.2022"/>
    <m/>
    <s v="COP"/>
    <n v="2000005745"/>
    <s v="03.06.2022"/>
    <n v="10013546500"/>
    <n v="1"/>
    <n v="40"/>
    <n v="10013546500"/>
    <s v="COP"/>
    <d v="2022-06-03T00:00:00"/>
    <n v="1"/>
    <n v="0"/>
    <n v="0"/>
    <x v="0"/>
  </r>
  <r>
    <x v="0"/>
    <x v="6"/>
    <m/>
    <x v="1"/>
    <s v="ZP"/>
    <s v="06.06.2022"/>
    <m/>
    <s v="COP"/>
    <n v="2000005790"/>
    <s v="06.06.2022"/>
    <n v="24050484192"/>
    <n v="1"/>
    <n v="40"/>
    <n v="24050484192"/>
    <s v="COP"/>
    <d v="2022-06-06T00:00:00"/>
    <n v="1"/>
    <n v="0"/>
    <n v="0"/>
    <x v="0"/>
  </r>
  <r>
    <x v="0"/>
    <x v="6"/>
    <m/>
    <x v="1"/>
    <s v="ZP"/>
    <s v="02.06.2022"/>
    <m/>
    <s v="COP"/>
    <n v="2000005830"/>
    <s v="02.06.2022"/>
    <n v="15204400000"/>
    <n v="1"/>
    <n v="40"/>
    <n v="15204400000"/>
    <s v="COP"/>
    <d v="2022-06-02T00:00:00"/>
    <n v="1"/>
    <n v="0"/>
    <n v="0"/>
    <x v="0"/>
  </r>
  <r>
    <x v="0"/>
    <x v="6"/>
    <m/>
    <x v="1"/>
    <s v="ZP"/>
    <s v="02.06.2022"/>
    <m/>
    <s v="COP"/>
    <n v="2000005831"/>
    <s v="02.06.2022"/>
    <n v="15192800000"/>
    <n v="1"/>
    <n v="40"/>
    <n v="15192800000"/>
    <s v="COP"/>
    <d v="2022-06-02T00:00:00"/>
    <n v="1"/>
    <n v="0"/>
    <n v="0"/>
    <x v="0"/>
  </r>
  <r>
    <x v="0"/>
    <x v="6"/>
    <m/>
    <x v="1"/>
    <s v="ZP"/>
    <s v="02.06.2022"/>
    <m/>
    <s v="COP"/>
    <n v="2000005832"/>
    <s v="02.06.2022"/>
    <n v="3099999999"/>
    <n v="1"/>
    <n v="40"/>
    <n v="3099999999"/>
    <s v="COP"/>
    <d v="2022-06-02T00:00:00"/>
    <n v="1"/>
    <n v="0"/>
    <n v="0"/>
    <x v="0"/>
  </r>
  <r>
    <x v="0"/>
    <x v="6"/>
    <m/>
    <x v="1"/>
    <s v="ZP"/>
    <s v="13.06.2022"/>
    <m/>
    <s v="COP"/>
    <n v="2000006168"/>
    <s v="13.06.2022"/>
    <n v="6908218950"/>
    <n v="1"/>
    <n v="40"/>
    <n v="6908218950"/>
    <s v="COP"/>
    <d v="2022-06-13T00:00:00"/>
    <n v="1"/>
    <n v="0"/>
    <n v="0"/>
    <x v="0"/>
  </r>
  <r>
    <x v="0"/>
    <x v="6"/>
    <m/>
    <x v="1"/>
    <s v="ZP"/>
    <s v="13.06.2022"/>
    <m/>
    <s v="COP"/>
    <n v="2000006169"/>
    <s v="13.06.2022"/>
    <n v="1985922222"/>
    <n v="1"/>
    <n v="40"/>
    <n v="1985922222"/>
    <s v="COP"/>
    <d v="2022-06-13T00:00:00"/>
    <n v="1"/>
    <n v="0"/>
    <n v="0"/>
    <x v="0"/>
  </r>
  <r>
    <x v="0"/>
    <x v="6"/>
    <m/>
    <x v="1"/>
    <s v="ZP"/>
    <s v="22.06.2022"/>
    <m/>
    <s v="COP"/>
    <n v="2000006455"/>
    <s v="22.06.2022"/>
    <n v="104125000"/>
    <n v="1"/>
    <n v="40"/>
    <n v="104125000"/>
    <s v="COP"/>
    <d v="2022-06-22T00:00:00"/>
    <n v="1"/>
    <n v="0"/>
    <n v="0"/>
    <x v="0"/>
  </r>
  <r>
    <x v="0"/>
    <x v="6"/>
    <m/>
    <x v="1"/>
    <s v="ZP"/>
    <s v="23.06.2022"/>
    <m/>
    <s v="COP"/>
    <n v="2000006460"/>
    <s v="23.06.2022"/>
    <n v="203622222"/>
    <n v="1"/>
    <n v="40"/>
    <n v="203622222"/>
    <s v="COP"/>
    <d v="2022-06-23T00:00:00"/>
    <n v="1"/>
    <n v="0"/>
    <n v="0"/>
    <x v="0"/>
  </r>
  <r>
    <x v="0"/>
    <x v="6"/>
    <m/>
    <x v="1"/>
    <s v="ZP"/>
    <s v="07.06.2022"/>
    <m/>
    <s v="COP"/>
    <n v="2000006588"/>
    <s v="07.06.2022"/>
    <n v="1801902110"/>
    <n v="1"/>
    <n v="40"/>
    <n v="1801902110"/>
    <s v="COP"/>
    <d v="2022-06-07T00:00:00"/>
    <n v="1"/>
    <n v="0"/>
    <n v="0"/>
    <x v="0"/>
  </r>
  <r>
    <x v="0"/>
    <x v="6"/>
    <m/>
    <x v="1"/>
    <s v="ZP"/>
    <s v="28.06.2022"/>
    <m/>
    <s v="COP"/>
    <n v="2000006589"/>
    <s v="28.06.2022"/>
    <n v="2283644445"/>
    <n v="1"/>
    <n v="40"/>
    <n v="2283644445"/>
    <s v="COP"/>
    <d v="2022-06-28T00:00:00"/>
    <n v="1"/>
    <n v="0"/>
    <n v="0"/>
    <x v="0"/>
  </r>
  <r>
    <x v="0"/>
    <x v="6"/>
    <m/>
    <x v="1"/>
    <s v="ZP"/>
    <s v="28.06.2022"/>
    <m/>
    <s v="COP"/>
    <n v="2000006590"/>
    <s v="28.06.2022"/>
    <n v="2872693056"/>
    <n v="1"/>
    <n v="40"/>
    <n v="2872693056"/>
    <s v="COP"/>
    <d v="2022-06-28T00:00:00"/>
    <n v="1"/>
    <n v="0"/>
    <n v="0"/>
    <x v="0"/>
  </r>
  <r>
    <x v="0"/>
    <x v="6"/>
    <m/>
    <x v="1"/>
    <s v="ZP"/>
    <s v="08.06.2022"/>
    <m/>
    <s v="COP"/>
    <n v="2000006673"/>
    <s v="08.06.2022"/>
    <n v="20114560000"/>
    <n v="1"/>
    <n v="40"/>
    <n v="20114560000"/>
    <s v="COP"/>
    <d v="2022-06-08T00:00:00"/>
    <n v="1"/>
    <n v="0"/>
    <n v="0"/>
    <x v="0"/>
  </r>
  <r>
    <x v="0"/>
    <x v="6"/>
    <m/>
    <x v="1"/>
    <s v="ZP"/>
    <s v="28.06.2022"/>
    <m/>
    <s v="COP"/>
    <n v="2000006676"/>
    <s v="28.06.2022"/>
    <n v="23999999233"/>
    <n v="1"/>
    <n v="40"/>
    <n v="23999999233"/>
    <s v="COP"/>
    <d v="2022-06-28T00:00:00"/>
    <n v="1"/>
    <n v="0"/>
    <n v="0"/>
    <x v="0"/>
  </r>
  <r>
    <x v="0"/>
    <x v="6"/>
    <m/>
    <x v="1"/>
    <s v="ZP"/>
    <s v="28.06.2022"/>
    <m/>
    <s v="COP"/>
    <n v="2000006677"/>
    <s v="28.06.2022"/>
    <n v="11851025767"/>
    <n v="1"/>
    <n v="40"/>
    <n v="11851025767"/>
    <s v="COP"/>
    <d v="2022-06-28T00:00:00"/>
    <n v="1"/>
    <n v="0"/>
    <n v="0"/>
    <x v="0"/>
  </r>
  <r>
    <x v="0"/>
    <x v="6"/>
    <m/>
    <x v="1"/>
    <s v="ZP"/>
    <s v="29.06.2022"/>
    <m/>
    <s v="COP"/>
    <n v="2000006678"/>
    <s v="29.06.2022"/>
    <n v="20112685860"/>
    <n v="1"/>
    <n v="40"/>
    <n v="20112685860"/>
    <s v="COP"/>
    <d v="2022-06-29T00:00:00"/>
    <n v="1"/>
    <n v="0"/>
    <n v="0"/>
    <x v="0"/>
  </r>
  <r>
    <x v="0"/>
    <x v="6"/>
    <m/>
    <x v="1"/>
    <s v="ZS"/>
    <s v="03.06.2022"/>
    <s v="*CMLZ017 0001000004200"/>
    <s v="COP"/>
    <n v="7900006992"/>
    <s v="03.06.2022"/>
    <n v="-66388459"/>
    <n v="1"/>
    <n v="50"/>
    <n v="-66388459"/>
    <s v="COP"/>
    <d v="2022-06-03T00:00:00"/>
    <n v="1"/>
    <n v="0"/>
    <n v="0"/>
    <x v="0"/>
  </r>
  <r>
    <x v="0"/>
    <x v="6"/>
    <m/>
    <x v="1"/>
    <s v="ZS"/>
    <s v="03.06.2022"/>
    <s v="*CML1110 0001000004102"/>
    <s v="COP"/>
    <n v="7900006998"/>
    <s v="03.06.2022"/>
    <n v="-6939173940"/>
    <n v="1"/>
    <n v="50"/>
    <n v="-6939173940"/>
    <s v="COP"/>
    <d v="2022-06-03T00:00:00"/>
    <n v="1"/>
    <n v="0"/>
    <n v="0"/>
    <x v="0"/>
  </r>
  <r>
    <x v="0"/>
    <x v="6"/>
    <m/>
    <x v="1"/>
    <s v="ZS"/>
    <s v="03.06.2022"/>
    <s v="*CML1110 0001000004101"/>
    <s v="COP"/>
    <n v="7900006999"/>
    <s v="03.06.2022"/>
    <n v="-3074372560"/>
    <n v="1"/>
    <n v="50"/>
    <n v="-3074372560"/>
    <s v="COP"/>
    <d v="2022-06-03T00:00:00"/>
    <n v="1"/>
    <n v="0"/>
    <n v="0"/>
    <x v="0"/>
  </r>
  <r>
    <x v="0"/>
    <x v="6"/>
    <m/>
    <x v="1"/>
    <s v="ZS"/>
    <s v="06.06.2022"/>
    <s v="*CML1110 0001000003451"/>
    <s v="COP"/>
    <n v="7900007014"/>
    <s v="06.06.2022"/>
    <n v="-6101154400"/>
    <n v="1"/>
    <n v="50"/>
    <n v="-6101154400"/>
    <s v="COP"/>
    <d v="2022-06-06T00:00:00"/>
    <n v="1"/>
    <n v="0"/>
    <n v="0"/>
    <x v="0"/>
  </r>
  <r>
    <x v="0"/>
    <x v="6"/>
    <m/>
    <x v="1"/>
    <s v="ZS"/>
    <s v="06.06.2022"/>
    <s v="*CML1110 0001000003450"/>
    <s v="COP"/>
    <n v="7900007015"/>
    <s v="06.06.2022"/>
    <n v="-2413089014"/>
    <n v="1"/>
    <n v="50"/>
    <n v="-2413089014"/>
    <s v="COP"/>
    <d v="2022-06-06T00:00:00"/>
    <n v="1"/>
    <n v="0"/>
    <n v="0"/>
    <x v="0"/>
  </r>
  <r>
    <x v="0"/>
    <x v="6"/>
    <m/>
    <x v="1"/>
    <s v="ZS"/>
    <s v="06.06.2022"/>
    <s v="*CML1110 0001000003452"/>
    <s v="COP"/>
    <n v="7900007016"/>
    <s v="06.06.2022"/>
    <n v="-9797497650"/>
    <n v="1"/>
    <n v="50"/>
    <n v="-9797497650"/>
    <s v="COP"/>
    <d v="2022-06-06T00:00:00"/>
    <n v="1"/>
    <n v="0"/>
    <n v="0"/>
    <x v="0"/>
  </r>
  <r>
    <x v="0"/>
    <x v="6"/>
    <m/>
    <x v="1"/>
    <s v="ZS"/>
    <s v="06.06.2022"/>
    <s v="*CML1110 0001000003453"/>
    <s v="COP"/>
    <n v="7900007017"/>
    <s v="06.06.2022"/>
    <n v="-5738743128"/>
    <n v="1"/>
    <n v="50"/>
    <n v="-5738743128"/>
    <s v="COP"/>
    <d v="2022-06-06T00:00:00"/>
    <n v="1"/>
    <n v="0"/>
    <n v="0"/>
    <x v="0"/>
  </r>
  <r>
    <x v="0"/>
    <x v="6"/>
    <m/>
    <x v="1"/>
    <s v="ZS"/>
    <s v="13.06.2022"/>
    <s v="*CML1110 0001000002400"/>
    <s v="COP"/>
    <n v="7900007098"/>
    <s v="13.06.2022"/>
    <n v="-4047415506"/>
    <n v="1"/>
    <n v="50"/>
    <n v="-4047415506"/>
    <s v="COP"/>
    <d v="2022-06-13T00:00:00"/>
    <n v="1"/>
    <n v="0"/>
    <n v="0"/>
    <x v="0"/>
  </r>
  <r>
    <x v="0"/>
    <x v="6"/>
    <m/>
    <x v="1"/>
    <s v="ZS"/>
    <s v="13.06.2022"/>
    <s v="*CML1110 0001000002401"/>
    <s v="COP"/>
    <n v="7900007099"/>
    <s v="13.06.2022"/>
    <n v="-2860803444"/>
    <n v="1"/>
    <n v="50"/>
    <n v="-2860803444"/>
    <s v="COP"/>
    <d v="2022-06-13T00:00:00"/>
    <n v="1"/>
    <n v="0"/>
    <n v="0"/>
    <x v="0"/>
  </r>
  <r>
    <x v="0"/>
    <x v="6"/>
    <m/>
    <x v="1"/>
    <s v="ZS"/>
    <s v="13.06.2022"/>
    <s v="*CML1110 0001000003650"/>
    <s v="COP"/>
    <n v="7900007104"/>
    <s v="13.06.2022"/>
    <n v="-1985922222"/>
    <n v="1"/>
    <n v="50"/>
    <n v="-1985922222"/>
    <s v="COP"/>
    <d v="2022-06-13T00:00:00"/>
    <n v="1"/>
    <n v="0"/>
    <n v="0"/>
    <x v="0"/>
  </r>
  <r>
    <x v="0"/>
    <x v="6"/>
    <m/>
    <x v="1"/>
    <s v="ZS"/>
    <s v="21.06.2022"/>
    <s v="*CMLZ010 0001000004100"/>
    <s v="COP"/>
    <n v="7900007148"/>
    <s v="21.06.2022"/>
    <n v="-104125000"/>
    <n v="1"/>
    <n v="50"/>
    <n v="-104125000"/>
    <s v="COP"/>
    <d v="2022-06-21T00:00:00"/>
    <n v="1"/>
    <n v="0"/>
    <n v="0"/>
    <x v="0"/>
  </r>
  <r>
    <x v="0"/>
    <x v="6"/>
    <m/>
    <x v="1"/>
    <s v="ZS"/>
    <s v="23.06.2022"/>
    <s v="*CMLZ010 0001000004150"/>
    <s v="COP"/>
    <n v="7900007152"/>
    <s v="23.06.2022"/>
    <n v="-203622222"/>
    <n v="1"/>
    <n v="50"/>
    <n v="-203622222"/>
    <s v="COP"/>
    <d v="2022-06-23T00:00:00"/>
    <n v="1"/>
    <n v="0"/>
    <n v="0"/>
    <x v="0"/>
  </r>
  <r>
    <x v="0"/>
    <x v="6"/>
    <m/>
    <x v="1"/>
    <s v="ZS"/>
    <s v="28.06.2022"/>
    <s v="*CML1110 0001000003950"/>
    <s v="COP"/>
    <n v="7900007179"/>
    <s v="28.06.2022"/>
    <n v="-2872693056"/>
    <n v="1"/>
    <n v="50"/>
    <n v="-2872693056"/>
    <s v="COP"/>
    <d v="2022-06-28T00:00:00"/>
    <n v="1"/>
    <n v="0"/>
    <n v="0"/>
    <x v="0"/>
  </r>
  <r>
    <x v="0"/>
    <x v="6"/>
    <m/>
    <x v="1"/>
    <s v="ZS"/>
    <s v="28.06.2022"/>
    <s v="*CML1110 0001000003651"/>
    <s v="COP"/>
    <n v="7900007183"/>
    <s v="28.06.2022"/>
    <n v="-2283644445"/>
    <n v="1"/>
    <n v="50"/>
    <n v="-2283644445"/>
    <s v="COP"/>
    <d v="2022-06-28T00:00:00"/>
    <n v="1"/>
    <n v="0"/>
    <n v="0"/>
    <x v="0"/>
  </r>
  <r>
    <x v="0"/>
    <x v="6"/>
    <m/>
    <x v="1"/>
    <s v="ZS"/>
    <s v="29.06.2022"/>
    <s v="*CML1110 0001000003750"/>
    <s v="COP"/>
    <n v="7900007233"/>
    <s v="29.06.2022"/>
    <n v="-112685860"/>
    <n v="1"/>
    <n v="50"/>
    <n v="-112685860"/>
    <s v="COP"/>
    <d v="2022-06-29T00:00:00"/>
    <n v="1"/>
    <n v="0"/>
    <n v="0"/>
    <x v="0"/>
  </r>
  <r>
    <x v="0"/>
    <x v="6"/>
    <m/>
    <x v="1"/>
    <s v="ZI"/>
    <s v="06.06.2022"/>
    <s v="*FX2000- Venta divisas 0100000004404"/>
    <s v="USD"/>
    <n v="7900007075"/>
    <s v="06.06.2022"/>
    <n v="-816737.68"/>
    <n v="3784.98002"/>
    <n v="50"/>
    <n v="-3091335798"/>
    <s v="COP"/>
    <d v="2022-06-06T00:00:00"/>
    <n v="3784.98"/>
    <n v="3771.63"/>
    <n v="-10903448.027999926"/>
    <x v="1"/>
  </r>
  <r>
    <x v="0"/>
    <x v="6"/>
    <m/>
    <x v="1"/>
    <s v="ZI"/>
    <s v="10.06.2022"/>
    <s v="*FX2000- Venta divisas 0100000004406"/>
    <s v="USD"/>
    <n v="7900007206"/>
    <s v="10.06.2022"/>
    <n v="-3140074.22"/>
    <n v="3790.88"/>
    <n v="50"/>
    <n v="-11903644567"/>
    <s v="COP"/>
    <d v="2022-06-10T00:00:00"/>
    <n v="3790.88"/>
    <n v="3833.34"/>
    <n v="133327551.38120012"/>
    <x v="2"/>
  </r>
  <r>
    <x v="0"/>
    <x v="6"/>
    <m/>
    <x v="1"/>
    <s v="ZI"/>
    <s v="16.06.2022"/>
    <s v="*FX2000- Venta divisas 0100000004424"/>
    <s v="USD"/>
    <n v="7900007246"/>
    <s v="16.06.2022"/>
    <n v="-411781893.51999998"/>
    <n v="3979.3"/>
    <n v="50"/>
    <n v="-1638603688884"/>
    <s v="COP"/>
    <d v="2022-06-16T00:00:00"/>
    <n v="3979.3"/>
    <n v="3923.96"/>
    <n v="-22788009987.396858"/>
    <x v="1"/>
  </r>
  <r>
    <x v="0"/>
    <x v="6"/>
    <m/>
    <x v="1"/>
    <s v="ZI"/>
    <s v="28.06.2022"/>
    <s v="*FX2000- Venta divisas 0100000004421"/>
    <s v="USD"/>
    <n v="7900007254"/>
    <s v="28.06.2022"/>
    <n v="-2120466.56"/>
    <n v="4068.7499800000001"/>
    <n v="50"/>
    <n v="-8627648269"/>
    <s v="COP"/>
    <d v="2022-06-28T00:00:00"/>
    <n v="4068.75"/>
    <n v="4129.87"/>
    <n v="129602916.14719976"/>
    <x v="2"/>
  </r>
  <r>
    <x v="0"/>
    <x v="6"/>
    <m/>
    <x v="1"/>
    <s v="ZI"/>
    <s v="28.06.2022"/>
    <s v="*FX2000- Venta divisas 0100000004422"/>
    <s v="USD"/>
    <n v="7900007262"/>
    <s v="28.06.2022"/>
    <n v="-65606.429999999993"/>
    <n v="4068.75"/>
    <n v="50"/>
    <n v="-266936162"/>
    <s v="COP"/>
    <d v="2022-06-28T00:00:00"/>
    <n v="4068.75"/>
    <n v="4129.87"/>
    <n v="4009865.0015999926"/>
    <x v="2"/>
  </r>
  <r>
    <x v="0"/>
    <x v="6"/>
    <m/>
    <x v="1"/>
    <s v="ZI"/>
    <s v="28.06.2022"/>
    <s v="*FX2000- Venta divisas 0100000004423"/>
    <s v="USD"/>
    <n v="7900007270"/>
    <s v="28.06.2022"/>
    <n v="-496649.37"/>
    <n v="4068.7500199999999"/>
    <n v="50"/>
    <n v="-2020742133"/>
    <s v="COP"/>
    <d v="2022-06-28T00:00:00"/>
    <n v="4068.75"/>
    <n v="4129.87"/>
    <n v="30355209.494399946"/>
    <x v="2"/>
  </r>
  <r>
    <x v="0"/>
    <x v="6"/>
    <m/>
    <x v="1"/>
    <s v="ZI"/>
    <s v="30.06.2022"/>
    <s v="*FX2000- Venta divisas 0100000004425"/>
    <s v="USD"/>
    <n v="7900008234"/>
    <s v="30.06.2022"/>
    <n v="-8724973.6099999994"/>
    <n v="4129.87"/>
    <n v="50"/>
    <n v="-36033006765"/>
    <s v="COP"/>
    <d v="2022-06-30T00:00:00"/>
    <n v="4129.87"/>
    <n v="4127.47"/>
    <n v="-20939936.663996823"/>
    <x v="1"/>
  </r>
  <r>
    <x v="0"/>
    <x v="6"/>
    <m/>
    <x v="1"/>
    <s v="ZP"/>
    <s v="06.06.2022"/>
    <m/>
    <s v="USD"/>
    <n v="2000005833"/>
    <s v="06.06.2022"/>
    <n v="816737.68"/>
    <n v="3784.98002"/>
    <n v="40"/>
    <n v="3091335798"/>
    <s v="COP"/>
    <d v="2022-06-06T00:00:00"/>
    <n v="3784.98"/>
    <n v="3771.63"/>
    <n v="10903448.027999926"/>
    <x v="2"/>
  </r>
  <r>
    <x v="0"/>
    <x v="6"/>
    <m/>
    <x v="1"/>
    <s v="ZP"/>
    <s v="10.06.2022"/>
    <m/>
    <s v="USD"/>
    <n v="2000006674"/>
    <s v="10.06.2022"/>
    <n v="3140074.22"/>
    <n v="3790.88"/>
    <n v="40"/>
    <n v="11903644567"/>
    <s v="COP"/>
    <d v="2022-06-10T00:00:00"/>
    <n v="3790.88"/>
    <n v="3833.34"/>
    <n v="-133327551.38120012"/>
    <x v="1"/>
  </r>
  <r>
    <x v="0"/>
    <x v="6"/>
    <m/>
    <x v="1"/>
    <s v="ZP"/>
    <s v="28.06.2022"/>
    <m/>
    <s v="USD"/>
    <n v="2000006675"/>
    <s v="28.06.2022"/>
    <n v="2682722.36"/>
    <n v="4068.7499899999998"/>
    <n v="40"/>
    <n v="10915326564"/>
    <s v="COP"/>
    <d v="2022-06-28T00:00:00"/>
    <n v="4068.75"/>
    <n v="4129.87"/>
    <n v="-163967990.64319971"/>
    <x v="1"/>
  </r>
  <r>
    <x v="0"/>
    <x v="6"/>
    <m/>
    <x v="1"/>
    <s v="ZP"/>
    <s v="16.06.2022"/>
    <m/>
    <s v="USD"/>
    <n v="2000006679"/>
    <s v="16.06.2022"/>
    <n v="411781893.51999998"/>
    <n v="3979.3"/>
    <n v="40"/>
    <n v="1638603688884"/>
    <s v="COP"/>
    <d v="2022-06-16T00:00:00"/>
    <n v="3979.3"/>
    <n v="3923.96"/>
    <n v="22788009987.396858"/>
    <x v="2"/>
  </r>
  <r>
    <x v="0"/>
    <x v="6"/>
    <m/>
    <x v="1"/>
    <s v="ZP"/>
    <s v="30.06.2022"/>
    <m/>
    <s v="USD"/>
    <n v="2000006725"/>
    <s v="30.06.2022"/>
    <n v="8724973.6099999994"/>
    <n v="4129.87"/>
    <n v="40"/>
    <n v="36033006765"/>
    <s v="COP"/>
    <d v="2022-06-30T00:00:00"/>
    <n v="4129.87"/>
    <n v="4127.47"/>
    <n v="20939936.663996823"/>
    <x v="2"/>
  </r>
  <r>
    <x v="1"/>
    <x v="3"/>
    <m/>
    <x v="2"/>
    <m/>
    <m/>
    <m/>
    <m/>
    <m/>
    <m/>
    <m/>
    <m/>
    <m/>
    <m/>
    <m/>
    <m/>
    <m/>
    <m/>
    <m/>
    <x v="0"/>
  </r>
  <r>
    <x v="0"/>
    <x v="7"/>
    <m/>
    <x v="0"/>
    <s v="ZI"/>
    <s v="06.07.2022"/>
    <s v="*FX2000- Venta divisas 0100000004427"/>
    <s v="COP"/>
    <n v="7900008950"/>
    <s v="06.07.2022"/>
    <n v="7458580000"/>
    <n v="1"/>
    <n v="40"/>
    <n v="7458580000"/>
    <s v="COP"/>
    <d v="2022-07-06T00:00:00"/>
    <n v="1"/>
    <n v="0"/>
    <n v="0"/>
    <x v="0"/>
  </r>
  <r>
    <x v="0"/>
    <x v="7"/>
    <m/>
    <x v="0"/>
    <s v="ZI"/>
    <s v="07.07.2022"/>
    <s v="*FX1000+ Compra divisas 0100000004428"/>
    <s v="COP"/>
    <n v="7900008957"/>
    <s v="07.07.2022"/>
    <n v="-3354461937"/>
    <n v="1"/>
    <n v="50"/>
    <n v="-3354461937"/>
    <s v="COP"/>
    <d v="2022-07-07T00:00:00"/>
    <n v="1"/>
    <n v="0"/>
    <n v="0"/>
    <x v="0"/>
  </r>
  <r>
    <x v="0"/>
    <x v="7"/>
    <m/>
    <x v="0"/>
    <s v="ZI"/>
    <s v="07.07.2022"/>
    <s v="*FX1000+ Compra divisas 0100000004429"/>
    <s v="COP"/>
    <n v="7900008965"/>
    <s v="07.07.2022"/>
    <n v="-1443954522"/>
    <n v="1"/>
    <n v="50"/>
    <n v="-1443954522"/>
    <s v="COP"/>
    <d v="2022-07-07T00:00:00"/>
    <n v="1"/>
    <n v="0"/>
    <n v="0"/>
    <x v="0"/>
  </r>
  <r>
    <x v="0"/>
    <x v="7"/>
    <m/>
    <x v="0"/>
    <s v="ZI"/>
    <s v="07.07.2022"/>
    <s v="*FX1000+ Compra divisas 0100000004428"/>
    <s v="COP"/>
    <n v="7900008977"/>
    <s v="07.07.2022"/>
    <n v="3354461937"/>
    <n v="1"/>
    <n v="40"/>
    <n v="3354461937"/>
    <s v="COP"/>
    <d v="2022-07-07T00:00:00"/>
    <n v="1"/>
    <n v="0"/>
    <n v="0"/>
    <x v="0"/>
  </r>
  <r>
    <x v="0"/>
    <x v="7"/>
    <m/>
    <x v="0"/>
    <s v="ZI"/>
    <s v="07.07.2022"/>
    <s v="*FX1000+ Compra divisas 0100000004429"/>
    <s v="COP"/>
    <n v="7900008979"/>
    <s v="07.07.2022"/>
    <n v="1443954522"/>
    <n v="1"/>
    <n v="40"/>
    <n v="1443954522"/>
    <s v="COP"/>
    <d v="2022-07-07T00:00:00"/>
    <n v="1"/>
    <n v="0"/>
    <n v="0"/>
    <x v="0"/>
  </r>
  <r>
    <x v="0"/>
    <x v="7"/>
    <m/>
    <x v="0"/>
    <s v="ZI"/>
    <s v="07.07.2022"/>
    <s v="*FX1000+ Compra divisas 0100000004428"/>
    <s v="COP"/>
    <n v="7900009053"/>
    <s v="07.07.2022"/>
    <n v="-3354461937"/>
    <n v="1"/>
    <n v="50"/>
    <n v="-3354461937"/>
    <s v="COP"/>
    <d v="2022-07-07T00:00:00"/>
    <n v="1"/>
    <n v="0"/>
    <n v="0"/>
    <x v="0"/>
  </r>
  <r>
    <x v="0"/>
    <x v="7"/>
    <m/>
    <x v="0"/>
    <s v="ZI"/>
    <s v="07.07.2022"/>
    <s v="*FX1000+ Compra divisas 0100000004429"/>
    <s v="COP"/>
    <n v="7900009061"/>
    <s v="07.07.2022"/>
    <n v="-1443954522"/>
    <n v="1"/>
    <n v="50"/>
    <n v="-1443954522"/>
    <s v="COP"/>
    <d v="2022-07-07T00:00:00"/>
    <n v="1"/>
    <n v="0"/>
    <n v="0"/>
    <x v="0"/>
  </r>
  <r>
    <x v="0"/>
    <x v="7"/>
    <m/>
    <x v="0"/>
    <s v="ZI"/>
    <s v="26.07.2022"/>
    <s v="*FX2000- Venta divisas 0100000004443"/>
    <s v="COP"/>
    <n v="7900009206"/>
    <s v="26.07.2022"/>
    <n v="34824999989"/>
    <n v="1"/>
    <n v="40"/>
    <n v="34824999989"/>
    <s v="COP"/>
    <d v="2022-07-26T00:00:00"/>
    <n v="1"/>
    <n v="0"/>
    <n v="0"/>
    <x v="0"/>
  </r>
  <r>
    <x v="0"/>
    <x v="7"/>
    <m/>
    <x v="0"/>
    <s v="ZI"/>
    <s v="29.07.2022"/>
    <s v="*FX1000+ Compra divisas 0100000004447"/>
    <s v="COP"/>
    <n v="7900009225"/>
    <s v="29.07.2022"/>
    <n v="-34825368066"/>
    <n v="1"/>
    <n v="50"/>
    <n v="-34825368066"/>
    <s v="COP"/>
    <d v="2022-07-29T00:00:00"/>
    <n v="1"/>
    <n v="0"/>
    <n v="0"/>
    <x v="0"/>
  </r>
  <r>
    <x v="0"/>
    <x v="7"/>
    <m/>
    <x v="0"/>
    <s v="ZI"/>
    <s v="29.07.2022"/>
    <s v="*FX2000- Venta divisas 0100000004444"/>
    <s v="COP"/>
    <n v="7900010003"/>
    <s v="29.07.2022"/>
    <n v="5528067465"/>
    <n v="1"/>
    <n v="40"/>
    <n v="5528067465"/>
    <s v="COP"/>
    <d v="2022-07-29T00:00:00"/>
    <n v="1"/>
    <n v="0"/>
    <n v="0"/>
    <x v="0"/>
  </r>
  <r>
    <x v="0"/>
    <x v="7"/>
    <m/>
    <x v="0"/>
    <s v="ZI"/>
    <s v="29.07.2022"/>
    <s v="*FX2000- Venta divisas 0100000004445"/>
    <s v="COP"/>
    <n v="7900010022"/>
    <s v="29.07.2022"/>
    <n v="1345386190"/>
    <n v="1"/>
    <n v="40"/>
    <n v="1345386190"/>
    <s v="COP"/>
    <d v="2022-07-29T00:00:00"/>
    <n v="1"/>
    <n v="0"/>
    <n v="0"/>
    <x v="0"/>
  </r>
  <r>
    <x v="0"/>
    <x v="7"/>
    <m/>
    <x v="0"/>
    <s v="ZI"/>
    <s v="08.07.2022"/>
    <s v="*FX1000+ Compra divisas 0100000004430"/>
    <s v="EURO"/>
    <n v="7900009069"/>
    <s v="08.07.2022"/>
    <n v="-10407"/>
    <n v="4422.1726699999999"/>
    <n v="50"/>
    <n v="-46021551"/>
    <s v="COP"/>
    <d v="2022-07-08T00:00:00"/>
    <n v="4422.17"/>
    <n v="0"/>
    <n v="0"/>
    <x v="0"/>
  </r>
  <r>
    <x v="0"/>
    <x v="7"/>
    <m/>
    <x v="0"/>
    <s v="ZI"/>
    <s v="29.07.2022"/>
    <s v="*FX1000+ Compra divisas 0100000004448"/>
    <s v="EURO"/>
    <n v="7900010029"/>
    <s v="29.07.2022"/>
    <n v="-1968"/>
    <n v="4488.82978"/>
    <n v="50"/>
    <n v="-8834017"/>
    <s v="COP"/>
    <d v="2022-07-29T00:00:00"/>
    <n v="4488.83"/>
    <n v="0"/>
    <n v="0"/>
    <x v="0"/>
  </r>
  <r>
    <x v="0"/>
    <x v="7"/>
    <m/>
    <x v="0"/>
    <s v="ZI"/>
    <s v="29.07.2022"/>
    <s v="*FX1000+ Compra divisas 0100000004449"/>
    <s v="EURO"/>
    <n v="7900010209"/>
    <s v="29.07.2022"/>
    <n v="-26355.599999999999"/>
    <n v="4384.1558500000001"/>
    <n v="50"/>
    <n v="-115547058"/>
    <s v="COP"/>
    <d v="2022-07-29T00:00:00"/>
    <n v="4384.16"/>
    <n v="0"/>
    <n v="0"/>
    <x v="0"/>
  </r>
  <r>
    <x v="0"/>
    <x v="7"/>
    <m/>
    <x v="0"/>
    <s v="ZI"/>
    <s v="06.07.2022"/>
    <s v="*FX1000+ Compra divisas 0100000004426"/>
    <s v="GBP"/>
    <n v="7900008933"/>
    <s v="06.07.2022"/>
    <n v="-575"/>
    <n v="5001.5756499999998"/>
    <n v="50"/>
    <n v="-2875906"/>
    <s v="COP"/>
    <d v="2022-07-06T00:00:00"/>
    <n v="5001.58"/>
    <n v="0"/>
    <n v="0"/>
    <x v="0"/>
  </r>
  <r>
    <x v="0"/>
    <x v="7"/>
    <m/>
    <x v="0"/>
    <s v="ZI"/>
    <s v="06.07.2022"/>
    <s v="*FX2000- Venta divisas 0100000004426"/>
    <s v="USD"/>
    <n v="7900008934"/>
    <s v="06.07.2022"/>
    <n v="704.78"/>
    <n v="4080.5726599999998"/>
    <n v="40"/>
    <n v="2875906"/>
    <s v="COP"/>
    <d v="2022-07-06T00:00:00"/>
    <n v="4080.57"/>
    <n v="4259.8599999999997"/>
    <n v="126360.00619999965"/>
    <x v="2"/>
  </r>
  <r>
    <x v="0"/>
    <x v="7"/>
    <m/>
    <x v="0"/>
    <s v="ZI"/>
    <s v="06.07.2022"/>
    <s v="*FX1000+ Compra divisas 0100000004427"/>
    <s v="USD"/>
    <n v="7900008949"/>
    <s v="06.07.2022"/>
    <n v="-1700000"/>
    <n v="4387.3999999999996"/>
    <n v="50"/>
    <n v="-7458580000"/>
    <s v="COP"/>
    <d v="2022-07-06T00:00:00"/>
    <n v="4387.3999999999996"/>
    <n v="4259.8599999999997"/>
    <n v="216817999.99999994"/>
    <x v="2"/>
  </r>
  <r>
    <x v="0"/>
    <x v="7"/>
    <m/>
    <x v="0"/>
    <s v="ZI"/>
    <s v="07.07.2022"/>
    <s v="*FX2000- Venta divisas 0100000004428"/>
    <s v="USD"/>
    <n v="7900008958"/>
    <s v="07.07.2022"/>
    <n v="798915.38"/>
    <n v="4198.7700100000002"/>
    <n v="40"/>
    <n v="3354461937"/>
    <s v="COP"/>
    <d v="2022-07-07T00:00:00"/>
    <n v="4198.7700000000004"/>
    <n v="4348.68"/>
    <n v="119765404.61579989"/>
    <x v="2"/>
  </r>
  <r>
    <x v="0"/>
    <x v="7"/>
    <m/>
    <x v="0"/>
    <s v="ZI"/>
    <s v="07.07.2022"/>
    <s v="*FX2000- Venta divisas 0100000004429"/>
    <s v="USD"/>
    <n v="7900008966"/>
    <s v="07.07.2022"/>
    <n v="343899.41"/>
    <n v="4198.7699899999998"/>
    <n v="40"/>
    <n v="1443954522"/>
    <s v="COP"/>
    <d v="2022-07-07T00:00:00"/>
    <n v="4198.7700000000004"/>
    <n v="4348.68"/>
    <n v="51553960.553099945"/>
    <x v="2"/>
  </r>
  <r>
    <x v="0"/>
    <x v="7"/>
    <m/>
    <x v="0"/>
    <s v="ZI"/>
    <s v="07.07.2022"/>
    <s v="*FX2000- Venta divisas 0100000004428"/>
    <s v="USD"/>
    <n v="7900008978"/>
    <s v="07.07.2022"/>
    <n v="-798915.38"/>
    <n v="4198.7700100000002"/>
    <n v="50"/>
    <n v="-3354461937"/>
    <s v="COP"/>
    <d v="2022-07-07T00:00:00"/>
    <n v="4198.7700000000004"/>
    <n v="4348.68"/>
    <n v="-119765404.61579989"/>
    <x v="1"/>
  </r>
  <r>
    <x v="0"/>
    <x v="7"/>
    <m/>
    <x v="0"/>
    <s v="ZI"/>
    <s v="07.07.2022"/>
    <s v="*FX2000- Venta divisas 0100000004429"/>
    <s v="USD"/>
    <n v="7900008980"/>
    <s v="07.07.2022"/>
    <n v="-343899.41"/>
    <n v="4198.7699899999998"/>
    <n v="50"/>
    <n v="-1443954522"/>
    <s v="COP"/>
    <d v="2022-07-07T00:00:00"/>
    <n v="4198.7700000000004"/>
    <n v="4348.68"/>
    <n v="-51553960.553099945"/>
    <x v="1"/>
  </r>
  <r>
    <x v="0"/>
    <x v="7"/>
    <m/>
    <x v="0"/>
    <s v="ZI"/>
    <s v="07.07.2022"/>
    <s v="*FX2000- Venta divisas 0100000004428"/>
    <s v="USD"/>
    <n v="7900009054"/>
    <s v="07.07.2022"/>
    <n v="798915.38"/>
    <n v="4198.7700100000002"/>
    <n v="40"/>
    <n v="3354461937"/>
    <s v="COP"/>
    <d v="2022-07-07T00:00:00"/>
    <n v="4198.7700000000004"/>
    <n v="4348.68"/>
    <n v="119765404.61579989"/>
    <x v="2"/>
  </r>
  <r>
    <x v="0"/>
    <x v="7"/>
    <m/>
    <x v="0"/>
    <s v="ZI"/>
    <s v="07.07.2022"/>
    <s v="*FX2000- Venta divisas 0100000004429"/>
    <s v="USD"/>
    <n v="7900009062"/>
    <s v="07.07.2022"/>
    <n v="343899.41"/>
    <n v="4198.7699899999998"/>
    <n v="40"/>
    <n v="1443954522"/>
    <s v="COP"/>
    <d v="2022-07-07T00:00:00"/>
    <n v="4198.7700000000004"/>
    <n v="4348.68"/>
    <n v="51553960.553099945"/>
    <x v="2"/>
  </r>
  <r>
    <x v="0"/>
    <x v="7"/>
    <m/>
    <x v="0"/>
    <s v="ZI"/>
    <s v="08.07.2022"/>
    <s v="*FX2000- Venta divisas 0100000004430"/>
    <s v="USD"/>
    <n v="7900009070"/>
    <s v="08.07.2022"/>
    <n v="10860.75"/>
    <n v="4237.4192400000002"/>
    <n v="40"/>
    <n v="46021551"/>
    <s v="COP"/>
    <d v="2022-07-08T00:00:00"/>
    <n v="4237.42"/>
    <n v="4369.7"/>
    <n v="1436660.0099999972"/>
    <x v="2"/>
  </r>
  <r>
    <x v="0"/>
    <x v="7"/>
    <m/>
    <x v="0"/>
    <s v="ZI"/>
    <s v="26.07.2022"/>
    <s v="*FX1000+ Compra divisas 0100000004443"/>
    <s v="USD"/>
    <n v="7900009205"/>
    <s v="26.07.2022"/>
    <n v="-7834592.79"/>
    <n v="4445.03"/>
    <n v="50"/>
    <n v="-34824999989"/>
    <s v="COP"/>
    <d v="2022-07-26T00:00:00"/>
    <n v="4445.03"/>
    <n v="4461.63"/>
    <n v="-130054240.31400286"/>
    <x v="1"/>
  </r>
  <r>
    <x v="0"/>
    <x v="7"/>
    <m/>
    <x v="0"/>
    <s v="ZI"/>
    <s v="29.07.2022"/>
    <s v="*FX2000- Venta divisas 0100000004447"/>
    <s v="USD"/>
    <n v="7900009226"/>
    <s v="29.07.2022"/>
    <n v="7834710.8499999996"/>
    <n v="4445.01"/>
    <n v="40"/>
    <n v="34825368066"/>
    <s v="COP"/>
    <d v="2022-07-29T00:00:00"/>
    <n v="4445.01"/>
    <n v="4375.51"/>
    <n v="-544512404.07499993"/>
    <x v="1"/>
  </r>
  <r>
    <x v="0"/>
    <x v="7"/>
    <m/>
    <x v="0"/>
    <s v="ZI"/>
    <s v="29.07.2022"/>
    <s v="*FX1000+ Compra divisas 0100000004444"/>
    <s v="USD"/>
    <n v="7900010002"/>
    <s v="29.07.2022"/>
    <n v="-1263411"/>
    <n v="4375.51"/>
    <n v="50"/>
    <n v="-5528067465"/>
    <s v="COP"/>
    <d v="2022-07-29T00:00:00"/>
    <n v="4375.51"/>
    <n v="4375.51"/>
    <n v="0"/>
    <x v="0"/>
  </r>
  <r>
    <x v="0"/>
    <x v="7"/>
    <m/>
    <x v="0"/>
    <s v="ZI"/>
    <s v="29.07.2022"/>
    <s v="*FX1000+ Compra divisas 0100000004445"/>
    <s v="USD"/>
    <n v="7900010021"/>
    <s v="29.07.2022"/>
    <n v="-307481"/>
    <n v="4375.51"/>
    <n v="50"/>
    <n v="-1345386190"/>
    <s v="COP"/>
    <d v="2022-07-29T00:00:00"/>
    <n v="4375.51"/>
    <n v="4375.51"/>
    <n v="0"/>
    <x v="0"/>
  </r>
  <r>
    <x v="0"/>
    <x v="7"/>
    <m/>
    <x v="0"/>
    <s v="ZI"/>
    <s v="29.07.2022"/>
    <s v="*FX2000- Venta divisas 0100000004448"/>
    <s v="USD"/>
    <n v="7900010030"/>
    <s v="29.07.2022"/>
    <n v="2053.61"/>
    <n v="4301.7013900000002"/>
    <n v="40"/>
    <n v="8834017"/>
    <s v="COP"/>
    <d v="2022-07-29T00:00:00"/>
    <n v="4301.7"/>
    <n v="4375.51"/>
    <n v="151576.95410000082"/>
    <x v="2"/>
  </r>
  <r>
    <x v="0"/>
    <x v="7"/>
    <m/>
    <x v="0"/>
    <s v="ZI"/>
    <s v="29.07.2022"/>
    <s v="*FX2000- Venta divisas 0100000004449"/>
    <s v="USD"/>
    <n v="7900010210"/>
    <s v="29.07.2022"/>
    <n v="27554.78"/>
    <n v="4193.3580300000003"/>
    <n v="40"/>
    <n v="115547058"/>
    <s v="COP"/>
    <d v="2022-07-29T00:00:00"/>
    <n v="4193.3599999999997"/>
    <n v="4375.51"/>
    <n v="5019103.177000015"/>
    <x v="2"/>
  </r>
  <r>
    <x v="0"/>
    <x v="7"/>
    <m/>
    <x v="1"/>
    <s v="DL"/>
    <s v="01.07.2022"/>
    <s v="*DE1200- Intereses 0400000000080"/>
    <s v="COP"/>
    <n v="7900008857"/>
    <s v="01.07.2022"/>
    <n v="-1942865012"/>
    <n v="1"/>
    <n v="50"/>
    <n v="-1942865012"/>
    <s v="COP"/>
    <d v="2022-07-01T00:00:00"/>
    <n v="1"/>
    <n v="0"/>
    <n v="0"/>
    <x v="0"/>
  </r>
  <r>
    <x v="0"/>
    <x v="7"/>
    <m/>
    <x v="1"/>
    <s v="DL"/>
    <s v="01.07.2022"/>
    <s v="*DE1200+ Intereses 0400000000080"/>
    <s v="COP"/>
    <n v="7900008858"/>
    <s v="01.07.2022"/>
    <n v="1729907701"/>
    <n v="1"/>
    <n v="40"/>
    <n v="1729907701"/>
    <s v="COP"/>
    <d v="2022-07-01T00:00:00"/>
    <n v="1"/>
    <n v="0"/>
    <n v="0"/>
    <x v="0"/>
  </r>
  <r>
    <x v="0"/>
    <x v="7"/>
    <m/>
    <x v="1"/>
    <s v="DL"/>
    <s v="18.07.2022"/>
    <s v="*DE1200- Intereses 0400000000004"/>
    <s v="COP"/>
    <n v="7900009119"/>
    <s v="18.07.2022"/>
    <n v="-728505550"/>
    <n v="1"/>
    <n v="50"/>
    <n v="-728505550"/>
    <s v="COP"/>
    <d v="2022-07-18T00:00:00"/>
    <n v="1"/>
    <n v="0"/>
    <n v="0"/>
    <x v="0"/>
  </r>
  <r>
    <x v="0"/>
    <x v="7"/>
    <m/>
    <x v="1"/>
    <s v="DL"/>
    <s v="18.07.2022"/>
    <s v="*DE1200- Intereses 0400000000006"/>
    <s v="COP"/>
    <n v="7900009131"/>
    <s v="18.07.2022"/>
    <n v="-1219399990"/>
    <n v="1"/>
    <n v="50"/>
    <n v="-1219399990"/>
    <s v="COP"/>
    <d v="2022-07-18T00:00:00"/>
    <n v="1"/>
    <n v="0"/>
    <n v="0"/>
    <x v="0"/>
  </r>
  <r>
    <x v="0"/>
    <x v="7"/>
    <m/>
    <x v="1"/>
    <s v="DL"/>
    <s v="18.07.2022"/>
    <s v="*DE1200- Intereses 0400000000004"/>
    <s v="COP"/>
    <n v="7900009160"/>
    <s v="18.07.2022"/>
    <n v="728505550"/>
    <n v="1"/>
    <n v="40"/>
    <n v="728505550"/>
    <s v="COP"/>
    <d v="2022-07-18T00:00:00"/>
    <n v="1"/>
    <n v="0"/>
    <n v="0"/>
    <x v="0"/>
  </r>
  <r>
    <x v="0"/>
    <x v="7"/>
    <m/>
    <x v="1"/>
    <s v="DL"/>
    <s v="18.07.2022"/>
    <s v="*DE1200- Intereses 0400000000006"/>
    <s v="COP"/>
    <n v="7900009172"/>
    <s v="18.07.2022"/>
    <n v="1219399990"/>
    <n v="1"/>
    <n v="40"/>
    <n v="1219399990"/>
    <s v="COP"/>
    <d v="2022-07-18T00:00:00"/>
    <n v="1"/>
    <n v="0"/>
    <n v="0"/>
    <x v="0"/>
  </r>
  <r>
    <x v="0"/>
    <x v="7"/>
    <m/>
    <x v="1"/>
    <s v="MD"/>
    <s v="07.07.2022"/>
    <s v="LIQUIDACIÓN SWAP XCCY CITIBANK1"/>
    <s v="COP"/>
    <n v="100037635"/>
    <s v="07.07.2022"/>
    <n v="-3354461937"/>
    <n v="1"/>
    <n v="50"/>
    <n v="-3354461937"/>
    <s v="COP"/>
    <d v="2022-07-07T00:00:00"/>
    <n v="1"/>
    <n v="0"/>
    <n v="0"/>
    <x v="0"/>
  </r>
  <r>
    <x v="0"/>
    <x v="7"/>
    <m/>
    <x v="1"/>
    <s v="MD"/>
    <s v="07.07.2022"/>
    <s v="LIQUIDACIÓN SWAP XCCY CITIBANK 2"/>
    <s v="COP"/>
    <n v="100037636"/>
    <s v="07.07.2022"/>
    <n v="-1443954522"/>
    <n v="1"/>
    <n v="50"/>
    <n v="-1443954522"/>
    <s v="COP"/>
    <d v="2022-07-07T00:00:00"/>
    <n v="1"/>
    <n v="0"/>
    <n v="0"/>
    <x v="0"/>
  </r>
  <r>
    <x v="0"/>
    <x v="7"/>
    <m/>
    <x v="1"/>
    <s v="MT"/>
    <s v="07.07.2022"/>
    <s v="CUMPLIMIENTO SWAP CITI 07072022"/>
    <s v="COP"/>
    <n v="100040921"/>
    <s v="07.07.2022"/>
    <n v="3354461937"/>
    <n v="1"/>
    <n v="40"/>
    <n v="3354461937"/>
    <s v="COP"/>
    <d v="2022-07-07T00:00:00"/>
    <n v="1"/>
    <n v="0"/>
    <n v="0"/>
    <x v="0"/>
  </r>
  <r>
    <x v="0"/>
    <x v="7"/>
    <m/>
    <x v="1"/>
    <s v="MT"/>
    <s v="07.07.2022"/>
    <s v="CUMPLIMIENTO SWAP CITI 07072022"/>
    <s v="COP"/>
    <n v="100040921"/>
    <s v="07.07.2022"/>
    <n v="1443954522"/>
    <n v="1"/>
    <n v="40"/>
    <n v="1443954522"/>
    <s v="COP"/>
    <d v="2022-07-07T00:00:00"/>
    <n v="1"/>
    <n v="0"/>
    <n v="0"/>
    <x v="0"/>
  </r>
  <r>
    <x v="0"/>
    <x v="7"/>
    <m/>
    <x v="1"/>
    <s v="TD"/>
    <s v="29.07.2022"/>
    <s v="*FX2001- Venta divisas 0400000000062"/>
    <s v="COP"/>
    <n v="7900009992"/>
    <s v="29.07.2022"/>
    <n v="-4962109873"/>
    <n v="1"/>
    <n v="50"/>
    <n v="-4962109873"/>
    <s v="COP"/>
    <d v="2022-07-29T00:00:00"/>
    <n v="1"/>
    <n v="0"/>
    <n v="0"/>
    <x v="0"/>
  </r>
  <r>
    <x v="0"/>
    <x v="7"/>
    <m/>
    <x v="1"/>
    <s v="TD"/>
    <s v="29.07.2022"/>
    <s v="*FX2001- Venta divisas 0400000000076"/>
    <s v="COP"/>
    <n v="7900010011"/>
    <s v="29.07.2022"/>
    <n v="-1207647002"/>
    <n v="1"/>
    <n v="50"/>
    <n v="-1207647002"/>
    <s v="COP"/>
    <d v="2022-07-29T00:00:00"/>
    <n v="1"/>
    <n v="0"/>
    <n v="0"/>
    <x v="0"/>
  </r>
  <r>
    <x v="0"/>
    <x v="7"/>
    <m/>
    <x v="1"/>
    <s v="ZD"/>
    <s v="01.07.2022"/>
    <s v="*CML1120 0001000000015"/>
    <s v="COP"/>
    <n v="7900008869"/>
    <s v="01.07.2022"/>
    <n v="-3379824343"/>
    <n v="1"/>
    <n v="50"/>
    <n v="-3379824343"/>
    <s v="COP"/>
    <d v="2022-07-01T00:00:00"/>
    <n v="1"/>
    <n v="0"/>
    <n v="0"/>
    <x v="0"/>
  </r>
  <r>
    <x v="0"/>
    <x v="7"/>
    <m/>
    <x v="1"/>
    <s v="ZD"/>
    <s v="01.07.2022"/>
    <s v="*CML1120 0001000000016"/>
    <s v="COP"/>
    <n v="7900008872"/>
    <s v="01.07.2022"/>
    <n v="-829484525"/>
    <n v="1"/>
    <n v="50"/>
    <n v="-829484525"/>
    <s v="COP"/>
    <d v="2022-07-01T00:00:00"/>
    <n v="1"/>
    <n v="0"/>
    <n v="0"/>
    <x v="0"/>
  </r>
  <r>
    <x v="0"/>
    <x v="7"/>
    <m/>
    <x v="1"/>
    <s v="ZI"/>
    <s v="06.07.2022"/>
    <s v="*FX2000- Venta divisas 0100000004427"/>
    <s v="COP"/>
    <n v="7900008950"/>
    <s v="06.07.2022"/>
    <n v="-7458580000"/>
    <n v="1"/>
    <n v="50"/>
    <n v="-7458580000"/>
    <s v="COP"/>
    <d v="2022-07-06T00:00:00"/>
    <n v="1"/>
    <n v="0"/>
    <n v="0"/>
    <x v="0"/>
  </r>
  <r>
    <x v="0"/>
    <x v="7"/>
    <m/>
    <x v="1"/>
    <s v="ZI"/>
    <s v="26.07.2022"/>
    <s v="*FX2000- Venta divisas 0100000004443"/>
    <s v="COP"/>
    <n v="7900009206"/>
    <s v="26.07.2022"/>
    <n v="-34824999989"/>
    <n v="1"/>
    <n v="50"/>
    <n v="-34824999989"/>
    <s v="COP"/>
    <d v="2022-07-26T00:00:00"/>
    <n v="1"/>
    <n v="0"/>
    <n v="0"/>
    <x v="0"/>
  </r>
  <r>
    <x v="0"/>
    <x v="7"/>
    <m/>
    <x v="1"/>
    <s v="ZP"/>
    <s v="01.07.2022"/>
    <m/>
    <s v="COP"/>
    <n v="2000006739"/>
    <s v="01.07.2022"/>
    <n v="212957311"/>
    <n v="1"/>
    <n v="40"/>
    <n v="212957311"/>
    <s v="COP"/>
    <d v="2022-07-01T00:00:00"/>
    <n v="1"/>
    <n v="0"/>
    <n v="0"/>
    <x v="0"/>
  </r>
  <r>
    <x v="0"/>
    <x v="7"/>
    <m/>
    <x v="1"/>
    <s v="ZP"/>
    <s v="01.07.2022"/>
    <m/>
    <s v="COP"/>
    <n v="2000006809"/>
    <s v="01.07.2022"/>
    <n v="7104342846"/>
    <n v="1"/>
    <n v="40"/>
    <n v="7104342846"/>
    <s v="COP"/>
    <d v="2022-07-01T00:00:00"/>
    <n v="1"/>
    <n v="0"/>
    <n v="0"/>
    <x v="0"/>
  </r>
  <r>
    <x v="0"/>
    <x v="7"/>
    <m/>
    <x v="1"/>
    <s v="ZP"/>
    <s v="06.07.2022"/>
    <m/>
    <s v="COP"/>
    <n v="2000006813"/>
    <s v="06.07.2022"/>
    <n v="7034853718"/>
    <n v="1"/>
    <n v="40"/>
    <n v="7034853718"/>
    <s v="COP"/>
    <d v="2022-07-06T00:00:00"/>
    <n v="1"/>
    <n v="0"/>
    <n v="0"/>
    <x v="0"/>
  </r>
  <r>
    <x v="0"/>
    <x v="7"/>
    <m/>
    <x v="1"/>
    <s v="ZP"/>
    <s v="06.07.2022"/>
    <m/>
    <s v="COP"/>
    <n v="2000006903"/>
    <s v="06.07.2022"/>
    <n v="7458580000"/>
    <n v="1"/>
    <n v="40"/>
    <n v="7458580000"/>
    <s v="COP"/>
    <d v="2022-07-06T00:00:00"/>
    <n v="1"/>
    <n v="0"/>
    <n v="0"/>
    <x v="0"/>
  </r>
  <r>
    <x v="0"/>
    <x v="7"/>
    <m/>
    <x v="1"/>
    <s v="ZP"/>
    <s v="11.07.2022"/>
    <m/>
    <s v="COP"/>
    <n v="2000007206"/>
    <s v="11.07.2022"/>
    <n v="1028327274"/>
    <n v="1"/>
    <n v="40"/>
    <n v="1028327274"/>
    <s v="COP"/>
    <d v="2022-07-11T00:00:00"/>
    <n v="1"/>
    <n v="0"/>
    <n v="0"/>
    <x v="0"/>
  </r>
  <r>
    <x v="0"/>
    <x v="7"/>
    <m/>
    <x v="1"/>
    <s v="ZP"/>
    <s v="11.07.2022"/>
    <m/>
    <s v="COP"/>
    <n v="2000007207"/>
    <s v="11.07.2022"/>
    <n v="1869685962"/>
    <n v="1"/>
    <n v="40"/>
    <n v="1869685962"/>
    <s v="COP"/>
    <d v="2022-07-11T00:00:00"/>
    <n v="1"/>
    <n v="0"/>
    <n v="0"/>
    <x v="0"/>
  </r>
  <r>
    <x v="0"/>
    <x v="7"/>
    <m/>
    <x v="1"/>
    <s v="ZP"/>
    <s v="13.07.2022"/>
    <m/>
    <s v="COP"/>
    <n v="2000007208"/>
    <s v="13.07.2022"/>
    <n v="1644598932"/>
    <n v="1"/>
    <n v="40"/>
    <n v="1644598932"/>
    <s v="COP"/>
    <d v="2022-07-13T00:00:00"/>
    <n v="1"/>
    <n v="0"/>
    <n v="0"/>
    <x v="0"/>
  </r>
  <r>
    <x v="0"/>
    <x v="7"/>
    <m/>
    <x v="1"/>
    <s v="ZP"/>
    <s v="18.07.2022"/>
    <m/>
    <s v="COP"/>
    <n v="2000007316"/>
    <s v="18.07.2022"/>
    <n v="10921858750"/>
    <n v="1"/>
    <n v="40"/>
    <n v="10921858750"/>
    <s v="COP"/>
    <d v="2022-07-18T00:00:00"/>
    <n v="1"/>
    <n v="0"/>
    <n v="0"/>
    <x v="0"/>
  </r>
  <r>
    <x v="0"/>
    <x v="7"/>
    <m/>
    <x v="1"/>
    <s v="ZP"/>
    <s v="26.07.2022"/>
    <m/>
    <s v="COP"/>
    <n v="2000007620"/>
    <s v="26.07.2022"/>
    <n v="34824999989"/>
    <n v="1"/>
    <n v="40"/>
    <n v="34824999989"/>
    <s v="COP"/>
    <d v="2022-07-26T00:00:00"/>
    <n v="1"/>
    <n v="0"/>
    <n v="0"/>
    <x v="0"/>
  </r>
  <r>
    <x v="0"/>
    <x v="7"/>
    <m/>
    <x v="1"/>
    <s v="ZS"/>
    <s v="01.07.2022"/>
    <s v="*CML1110 0001000000015"/>
    <s v="COP"/>
    <n v="7900008870"/>
    <s v="01.07.2022"/>
    <n v="-2347437837"/>
    <n v="1"/>
    <n v="50"/>
    <n v="-2347437837"/>
    <s v="COP"/>
    <d v="2022-07-01T00:00:00"/>
    <n v="1"/>
    <n v="0"/>
    <n v="0"/>
    <x v="0"/>
  </r>
  <r>
    <x v="0"/>
    <x v="7"/>
    <m/>
    <x v="1"/>
    <s v="ZS"/>
    <s v="01.07.2022"/>
    <s v="*CML1110 0001000000016"/>
    <s v="COP"/>
    <n v="7900008871"/>
    <s v="01.07.2022"/>
    <n v="-547596141"/>
    <n v="1"/>
    <n v="50"/>
    <n v="-547596141"/>
    <s v="COP"/>
    <d v="2022-07-01T00:00:00"/>
    <n v="1"/>
    <n v="0"/>
    <n v="0"/>
    <x v="0"/>
  </r>
  <r>
    <x v="0"/>
    <x v="7"/>
    <m/>
    <x v="1"/>
    <s v="ZS"/>
    <s v="06.07.2022"/>
    <s v="*CML1110 0001000003054"/>
    <s v="COP"/>
    <n v="7900008879"/>
    <s v="06.07.2022"/>
    <n v="-7034853718"/>
    <n v="1"/>
    <n v="50"/>
    <n v="-7034853718"/>
    <s v="COP"/>
    <d v="2022-07-06T00:00:00"/>
    <n v="1"/>
    <n v="0"/>
    <n v="0"/>
    <x v="0"/>
  </r>
  <r>
    <x v="0"/>
    <x v="7"/>
    <m/>
    <x v="1"/>
    <s v="ZS"/>
    <s v="06.07.2022"/>
    <s v="*CML1110 0001000003054"/>
    <s v="COP"/>
    <n v="7900008883"/>
    <s v="06.07.2022"/>
    <n v="7034853718"/>
    <n v="1"/>
    <n v="40"/>
    <n v="7034853718"/>
    <s v="COP"/>
    <d v="2022-07-06T00:00:00"/>
    <n v="1"/>
    <n v="0"/>
    <n v="0"/>
    <x v="0"/>
  </r>
  <r>
    <x v="0"/>
    <x v="7"/>
    <m/>
    <x v="1"/>
    <s v="ZS"/>
    <s v="06.07.2022"/>
    <s v="*CML1110 0001000003054"/>
    <s v="COP"/>
    <n v="7900008887"/>
    <s v="06.07.2022"/>
    <n v="-7034853718"/>
    <n v="1"/>
    <n v="50"/>
    <n v="-7034853718"/>
    <s v="COP"/>
    <d v="2022-07-06T00:00:00"/>
    <n v="1"/>
    <n v="0"/>
    <n v="0"/>
    <x v="0"/>
  </r>
  <r>
    <x v="0"/>
    <x v="7"/>
    <m/>
    <x v="1"/>
    <s v="ZS"/>
    <s v="18.07.2022"/>
    <s v="*CML1110 0001000003050"/>
    <s v="COP"/>
    <n v="7900008927"/>
    <s v="18.07.2022"/>
    <n v="-10921858750"/>
    <n v="1"/>
    <n v="50"/>
    <n v="-10921858750"/>
    <s v="COP"/>
    <d v="2022-07-18T00:00:00"/>
    <n v="1"/>
    <n v="0"/>
    <n v="0"/>
    <x v="0"/>
  </r>
  <r>
    <x v="0"/>
    <x v="7"/>
    <m/>
    <x v="1"/>
    <s v="ZS"/>
    <s v="11.07.2022"/>
    <s v="*CML1110 0001000003057"/>
    <s v="COP"/>
    <n v="7900008987"/>
    <s v="11.07.2022"/>
    <n v="-1869685962"/>
    <n v="1"/>
    <n v="50"/>
    <n v="-1869685962"/>
    <s v="COP"/>
    <d v="2022-07-11T00:00:00"/>
    <n v="1"/>
    <n v="0"/>
    <n v="0"/>
    <x v="0"/>
  </r>
  <r>
    <x v="0"/>
    <x v="7"/>
    <m/>
    <x v="1"/>
    <s v="ZS"/>
    <s v="11.07.2022"/>
    <s v="*CML1110 0001000003055"/>
    <s v="COP"/>
    <n v="7900008991"/>
    <s v="11.07.2022"/>
    <n v="-1028327274"/>
    <n v="1"/>
    <n v="50"/>
    <n v="-1028327274"/>
    <s v="COP"/>
    <d v="2022-07-11T00:00:00"/>
    <n v="1"/>
    <n v="0"/>
    <n v="0"/>
    <x v="0"/>
  </r>
  <r>
    <x v="0"/>
    <x v="7"/>
    <m/>
    <x v="1"/>
    <s v="ZS"/>
    <s v="13.07.2022"/>
    <s v="*CML1110 0001000003052"/>
    <s v="COP"/>
    <n v="7900009035"/>
    <s v="13.07.2022"/>
    <n v="-1644598932"/>
    <n v="1"/>
    <n v="50"/>
    <n v="-1644598932"/>
    <s v="COP"/>
    <d v="2022-07-13T00:00:00"/>
    <n v="1"/>
    <n v="0"/>
    <n v="0"/>
    <x v="0"/>
  </r>
  <r>
    <x v="0"/>
    <x v="7"/>
    <m/>
    <x v="1"/>
    <s v="ZI"/>
    <s v="07.07.2022"/>
    <s v="*FX2000- Venta divisas 0100000004428"/>
    <s v="USD"/>
    <n v="7900008958"/>
    <s v="07.07.2022"/>
    <n v="-798915.38"/>
    <n v="4198.7700100000002"/>
    <n v="50"/>
    <n v="-3354461937"/>
    <s v="COP"/>
    <d v="2022-07-07T00:00:00"/>
    <n v="4198.7700000000004"/>
    <n v="4348.68"/>
    <n v="119765404.61579989"/>
    <x v="2"/>
  </r>
  <r>
    <x v="0"/>
    <x v="7"/>
    <m/>
    <x v="1"/>
    <s v="ZI"/>
    <s v="07.07.2022"/>
    <s v="*FX2000- Venta divisas 0100000004429"/>
    <s v="USD"/>
    <n v="7900008966"/>
    <s v="07.07.2022"/>
    <n v="-343899.41"/>
    <n v="4198.7699899999998"/>
    <n v="50"/>
    <n v="-1443954522"/>
    <s v="COP"/>
    <d v="2022-07-07T00:00:00"/>
    <n v="4198.7700000000004"/>
    <n v="4348.68"/>
    <n v="51553960.553099945"/>
    <x v="2"/>
  </r>
  <r>
    <x v="0"/>
    <x v="7"/>
    <m/>
    <x v="1"/>
    <s v="ZI"/>
    <s v="07.07.2022"/>
    <s v="*FX2000- Venta divisas 0100000004428"/>
    <s v="USD"/>
    <n v="7900008978"/>
    <s v="07.07.2022"/>
    <n v="798915.38"/>
    <n v="4198.7700100000002"/>
    <n v="40"/>
    <n v="3354461937"/>
    <s v="COP"/>
    <d v="2022-07-07T00:00:00"/>
    <n v="4198.7700000000004"/>
    <n v="4348.68"/>
    <n v="-119765404.61579989"/>
    <x v="1"/>
  </r>
  <r>
    <x v="0"/>
    <x v="7"/>
    <m/>
    <x v="1"/>
    <s v="ZI"/>
    <s v="07.07.2022"/>
    <s v="*FX2000- Venta divisas 0100000004429"/>
    <s v="USD"/>
    <n v="7900008980"/>
    <s v="07.07.2022"/>
    <n v="343899.41"/>
    <n v="4198.7699899999998"/>
    <n v="40"/>
    <n v="1443954522"/>
    <s v="COP"/>
    <d v="2022-07-07T00:00:00"/>
    <n v="4198.7700000000004"/>
    <n v="4348.68"/>
    <n v="-51553960.553099945"/>
    <x v="1"/>
  </r>
  <r>
    <x v="0"/>
    <x v="7"/>
    <m/>
    <x v="1"/>
    <s v="ZI"/>
    <s v="07.07.2022"/>
    <s v="*FX2000- Venta divisas 0100000004428"/>
    <s v="USD"/>
    <n v="7900009054"/>
    <s v="07.07.2022"/>
    <n v="-798915.38"/>
    <n v="4198.7700100000002"/>
    <n v="50"/>
    <n v="-3354461937"/>
    <s v="COP"/>
    <d v="2022-07-07T00:00:00"/>
    <n v="4198.7700000000004"/>
    <n v="4348.68"/>
    <n v="119765404.61579989"/>
    <x v="2"/>
  </r>
  <r>
    <x v="0"/>
    <x v="7"/>
    <m/>
    <x v="1"/>
    <s v="ZI"/>
    <s v="07.07.2022"/>
    <s v="*FX2000- Venta divisas 0100000004429"/>
    <s v="USD"/>
    <n v="7900009062"/>
    <s v="07.07.2022"/>
    <n v="-343899.41"/>
    <n v="4198.7699899999998"/>
    <n v="50"/>
    <n v="-1443954522"/>
    <s v="COP"/>
    <d v="2022-07-07T00:00:00"/>
    <n v="4198.7700000000004"/>
    <n v="4348.68"/>
    <n v="51553960.553099945"/>
    <x v="2"/>
  </r>
  <r>
    <x v="0"/>
    <x v="7"/>
    <m/>
    <x v="1"/>
    <s v="ZI"/>
    <s v="29.07.2022"/>
    <s v="*FX2000- Venta divisas 0100000004447"/>
    <s v="USD"/>
    <n v="7900009226"/>
    <s v="29.07.2022"/>
    <n v="-7834710.8499999996"/>
    <n v="4445.01"/>
    <n v="50"/>
    <n v="-34825368066"/>
    <s v="COP"/>
    <d v="2022-07-29T00:00:00"/>
    <n v="4445.01"/>
    <n v="4375.51"/>
    <n v="-544512404.07499993"/>
    <x v="1"/>
  </r>
  <r>
    <x v="0"/>
    <x v="7"/>
    <m/>
    <x v="1"/>
    <s v="ZP"/>
    <s v="07.07.2022"/>
    <m/>
    <s v="USD"/>
    <n v="2000006904"/>
    <s v="07.07.2022"/>
    <n v="610464.03"/>
    <n v="4348.68"/>
    <n v="40"/>
    <n v="2654712718"/>
    <s v="COP"/>
    <d v="2022-07-07T00:00:00"/>
    <n v="4348.68"/>
    <n v="4348.68"/>
    <n v="0"/>
    <x v="0"/>
  </r>
  <r>
    <x v="0"/>
    <x v="7"/>
    <m/>
    <x v="1"/>
    <s v="ZP"/>
    <s v="07.07.2022"/>
    <m/>
    <s v="USD"/>
    <n v="2000007251"/>
    <s v="07.07.2022"/>
    <n v="798915.38"/>
    <n v="4198.7700100000002"/>
    <n v="40"/>
    <n v="3354461937"/>
    <s v="COP"/>
    <d v="2022-07-07T00:00:00"/>
    <n v="4198.7700000000004"/>
    <n v="4348.68"/>
    <n v="-119765404.61579989"/>
    <x v="1"/>
  </r>
  <r>
    <x v="0"/>
    <x v="7"/>
    <m/>
    <x v="1"/>
    <s v="ZP"/>
    <s v="07.07.2022"/>
    <m/>
    <s v="USD"/>
    <n v="2000007252"/>
    <s v="07.07.2022"/>
    <n v="343899.41"/>
    <n v="4198.7699899999998"/>
    <n v="40"/>
    <n v="1443954522"/>
    <s v="COP"/>
    <d v="2022-07-07T00:00:00"/>
    <n v="4198.7700000000004"/>
    <n v="4348.68"/>
    <n v="-51553960.553099945"/>
    <x v="1"/>
  </r>
  <r>
    <x v="0"/>
    <x v="7"/>
    <m/>
    <x v="1"/>
    <s v="ZP"/>
    <s v="29.07.2022"/>
    <m/>
    <s v="USD"/>
    <n v="2000007703"/>
    <s v="29.07.2022"/>
    <n v="7834710.8499999996"/>
    <n v="4445.01"/>
    <n v="40"/>
    <n v="34825368066"/>
    <s v="COP"/>
    <d v="2022-07-29T00:00:00"/>
    <n v="4445.01"/>
    <n v="4375.51"/>
    <n v="544512404.07499993"/>
    <x v="2"/>
  </r>
  <r>
    <x v="0"/>
    <x v="7"/>
    <m/>
    <x v="1"/>
    <s v="ZS"/>
    <s v="07.07.2022"/>
    <s v="*CML1110 0001000004253"/>
    <s v="USD"/>
    <n v="7900008941"/>
    <s v="07.07.2022"/>
    <n v="-169602.13"/>
    <n v="4348.68"/>
    <n v="50"/>
    <n v="-737545391"/>
    <s v="COP"/>
    <d v="2022-07-07T00:00:00"/>
    <n v="4348.68"/>
    <n v="4348.68"/>
    <n v="0"/>
    <x v="0"/>
  </r>
  <r>
    <x v="0"/>
    <x v="7"/>
    <m/>
    <x v="1"/>
    <s v="ZS"/>
    <s v="07.07.2022"/>
    <s v="*CML1110 0001000004151"/>
    <s v="USD"/>
    <n v="7900008942"/>
    <s v="07.07.2022"/>
    <n v="-440861.9"/>
    <n v="4348.68"/>
    <n v="50"/>
    <n v="-1917167327"/>
    <s v="COP"/>
    <d v="2022-07-07T00:00:00"/>
    <n v="4348.68"/>
    <n v="4348.68"/>
    <n v="0"/>
    <x v="0"/>
  </r>
  <r>
    <x v="1"/>
    <x v="3"/>
    <m/>
    <x v="2"/>
    <m/>
    <m/>
    <m/>
    <m/>
    <m/>
    <m/>
    <m/>
    <m/>
    <m/>
    <m/>
    <m/>
    <m/>
    <m/>
    <m/>
    <m/>
    <x v="0"/>
  </r>
  <r>
    <x v="0"/>
    <x v="8"/>
    <m/>
    <x v="0"/>
    <s v="ZI"/>
    <s v="12.08.2022"/>
    <s v="*FX2000- Venta divisas 0100000004451"/>
    <s v="COP"/>
    <n v="7900010286"/>
    <s v="12.08.2022"/>
    <n v="62962500000"/>
    <n v="1"/>
    <n v="40"/>
    <n v="62962500000"/>
    <s v="COP"/>
    <d v="2022-08-12T00:00:00"/>
    <n v="1"/>
    <n v="0"/>
    <n v="0"/>
    <x v="0"/>
  </r>
  <r>
    <x v="0"/>
    <x v="8"/>
    <m/>
    <x v="0"/>
    <s v="ZI"/>
    <s v="12.08.2022"/>
    <s v="*FX2000- Venta divisas 0100000004452"/>
    <s v="COP"/>
    <n v="7900010294"/>
    <s v="12.08.2022"/>
    <n v="62970000000"/>
    <n v="1"/>
    <n v="40"/>
    <n v="62970000000"/>
    <s v="COP"/>
    <d v="2022-08-12T00:00:00"/>
    <n v="1"/>
    <n v="0"/>
    <n v="0"/>
    <x v="0"/>
  </r>
  <r>
    <x v="0"/>
    <x v="8"/>
    <m/>
    <x v="0"/>
    <s v="ZI"/>
    <s v="12.08.2022"/>
    <s v="*FX2000- Venta divisas 0100000004453"/>
    <s v="COP"/>
    <n v="7900010302"/>
    <s v="12.08.2022"/>
    <n v="20956000000"/>
    <n v="1"/>
    <n v="40"/>
    <n v="20956000000"/>
    <s v="COP"/>
    <d v="2022-08-12T00:00:00"/>
    <n v="1"/>
    <n v="0"/>
    <n v="0"/>
    <x v="0"/>
  </r>
  <r>
    <x v="0"/>
    <x v="8"/>
    <m/>
    <x v="0"/>
    <s v="ZI"/>
    <s v="12.08.2022"/>
    <s v="*FX2000- Venta divisas 0100000004454"/>
    <s v="COP"/>
    <n v="7900010310"/>
    <s v="12.08.2022"/>
    <n v="20955500000"/>
    <n v="1"/>
    <n v="40"/>
    <n v="20955500000"/>
    <s v="COP"/>
    <d v="2022-08-12T00:00:00"/>
    <n v="1"/>
    <n v="0"/>
    <n v="0"/>
    <x v="0"/>
  </r>
  <r>
    <x v="0"/>
    <x v="8"/>
    <m/>
    <x v="0"/>
    <s v="ZI"/>
    <s v="12.08.2022"/>
    <s v="*FX2000- Venta divisas 0100000004455"/>
    <s v="COP"/>
    <n v="7900010318"/>
    <s v="12.08.2022"/>
    <n v="34819330000"/>
    <n v="1"/>
    <n v="40"/>
    <n v="34819330000"/>
    <s v="COP"/>
    <d v="2022-08-12T00:00:00"/>
    <n v="1"/>
    <n v="0"/>
    <n v="0"/>
    <x v="0"/>
  </r>
  <r>
    <x v="0"/>
    <x v="8"/>
    <m/>
    <x v="0"/>
    <s v="ZI"/>
    <s v="26.08.2022"/>
    <s v="*FX2000- Venta divisas 0100000004470"/>
    <s v="COP"/>
    <n v="7900010418"/>
    <s v="26.08.2022"/>
    <n v="1400000019"/>
    <n v="1"/>
    <n v="40"/>
    <n v="1400000019"/>
    <s v="COP"/>
    <d v="2022-08-26T00:00:00"/>
    <n v="1"/>
    <n v="0"/>
    <n v="0"/>
    <x v="0"/>
  </r>
  <r>
    <x v="0"/>
    <x v="8"/>
    <m/>
    <x v="0"/>
    <s v="ZI"/>
    <s v="19.08.2022"/>
    <s v="*FX2000- Venta divisas 0100000004471"/>
    <s v="COP"/>
    <n v="7900010549"/>
    <s v="19.08.2022"/>
    <n v="227022709925"/>
    <n v="1"/>
    <n v="40"/>
    <n v="227022709925"/>
    <s v="COP"/>
    <d v="2022-08-19T00:00:00"/>
    <n v="1"/>
    <n v="0"/>
    <n v="0"/>
    <x v="0"/>
  </r>
  <r>
    <x v="0"/>
    <x v="8"/>
    <m/>
    <x v="0"/>
    <s v="ZI"/>
    <s v="26.08.2022"/>
    <s v="*FX2000- Venta divisas 0100000004491"/>
    <s v="COP"/>
    <n v="7900010557"/>
    <s v="26.08.2022"/>
    <n v="478884150"/>
    <n v="1"/>
    <n v="40"/>
    <n v="478884150"/>
    <s v="COP"/>
    <d v="2022-08-26T00:00:00"/>
    <n v="1"/>
    <n v="0"/>
    <n v="0"/>
    <x v="0"/>
  </r>
  <r>
    <x v="0"/>
    <x v="8"/>
    <m/>
    <x v="0"/>
    <s v="ZI"/>
    <s v="31.08.2022"/>
    <s v="*FX1000+ Compra divisas 0100000004499"/>
    <s v="COP"/>
    <n v="7900010702"/>
    <s v="31.08.2022"/>
    <n v="-77476019993"/>
    <n v="1"/>
    <n v="50"/>
    <n v="-77476019993"/>
    <s v="COP"/>
    <d v="2022-08-31T00:00:00"/>
    <n v="1"/>
    <n v="0"/>
    <n v="0"/>
    <x v="0"/>
  </r>
  <r>
    <x v="0"/>
    <x v="8"/>
    <m/>
    <x v="0"/>
    <s v="ZI"/>
    <s v="31.08.2022"/>
    <s v="*FX1000+ Compra divisas 0100000004500"/>
    <s v="COP"/>
    <n v="7900010710"/>
    <s v="31.08.2022"/>
    <n v="-361396311116"/>
    <n v="1"/>
    <n v="50"/>
    <n v="-361396311116"/>
    <s v="COP"/>
    <d v="2022-08-31T00:00:00"/>
    <n v="1"/>
    <n v="0"/>
    <n v="0"/>
    <x v="0"/>
  </r>
  <r>
    <x v="0"/>
    <x v="8"/>
    <m/>
    <x v="0"/>
    <s v="ZI"/>
    <s v="31.08.2022"/>
    <s v="*FX2000- Venta divisas 0100000004501"/>
    <s v="COP"/>
    <n v="7900011603"/>
    <s v="31.08.2022"/>
    <n v="9730270000"/>
    <n v="1"/>
    <n v="40"/>
    <n v="9730270000"/>
    <s v="COP"/>
    <d v="2022-08-31T00:00:00"/>
    <n v="1"/>
    <n v="0"/>
    <n v="0"/>
    <x v="0"/>
  </r>
  <r>
    <x v="0"/>
    <x v="8"/>
    <m/>
    <x v="0"/>
    <s v="ZI"/>
    <s v="08.08.2022"/>
    <s v="*FX1000+ Compra divisas 0100000004450"/>
    <s v="EURO"/>
    <n v="7900010277"/>
    <s v="08.08.2022"/>
    <n v="-5664"/>
    <n v="4402.7074499999999"/>
    <n v="50"/>
    <n v="-24936935"/>
    <s v="COP"/>
    <d v="2022-08-08T00:00:00"/>
    <n v="4402.71"/>
    <n v="0"/>
    <n v="0"/>
    <x v="0"/>
  </r>
  <r>
    <x v="0"/>
    <x v="8"/>
    <m/>
    <x v="0"/>
    <s v="ZI"/>
    <s v="18.08.2022"/>
    <s v="*FX1000+ Compra divisas 0100000004469"/>
    <s v="EURO"/>
    <n v="7900010405"/>
    <s v="18.08.2022"/>
    <n v="-10634.56"/>
    <n v="4370.5130300000001"/>
    <n v="50"/>
    <n v="-46478483"/>
    <s v="COP"/>
    <d v="2022-08-18T00:00:00"/>
    <n v="4370.51"/>
    <n v="0"/>
    <n v="0"/>
    <x v="0"/>
  </r>
  <r>
    <x v="0"/>
    <x v="8"/>
    <m/>
    <x v="0"/>
    <s v="ZI"/>
    <s v="08.08.2022"/>
    <s v="*FX2000- Venta divisas 0100000004450"/>
    <s v="USD"/>
    <n v="7900010278"/>
    <s v="08.08.2022"/>
    <n v="5942.67"/>
    <n v="4196.25101"/>
    <n v="40"/>
    <n v="24936935"/>
    <s v="COP"/>
    <d v="2022-08-08T00:00:00"/>
    <n v="4196.25"/>
    <n v="4337.28"/>
    <n v="838094.75009999855"/>
    <x v="2"/>
  </r>
  <r>
    <x v="0"/>
    <x v="8"/>
    <m/>
    <x v="0"/>
    <s v="ZI"/>
    <s v="12.08.2022"/>
    <s v="*FX1000+ Compra divisas 0100000004451"/>
    <s v="USD"/>
    <n v="7900010285"/>
    <s v="12.08.2022"/>
    <n v="-15000000"/>
    <n v="4197.5"/>
    <n v="50"/>
    <n v="-62962500000"/>
    <s v="COP"/>
    <d v="2022-08-12T00:00:00"/>
    <n v="4197.5"/>
    <n v="4231.45"/>
    <n v="-509249999.99999726"/>
    <x v="1"/>
  </r>
  <r>
    <x v="0"/>
    <x v="8"/>
    <m/>
    <x v="0"/>
    <s v="ZI"/>
    <s v="12.08.2022"/>
    <s v="*FX1000+ Compra divisas 0100000004452"/>
    <s v="USD"/>
    <n v="7900010293"/>
    <s v="12.08.2022"/>
    <n v="-15000000"/>
    <n v="4198"/>
    <n v="50"/>
    <n v="-62970000000"/>
    <s v="COP"/>
    <d v="2022-08-12T00:00:00"/>
    <n v="4198"/>
    <n v="4231.45"/>
    <n v="-501749999.99999726"/>
    <x v="1"/>
  </r>
  <r>
    <x v="0"/>
    <x v="8"/>
    <m/>
    <x v="0"/>
    <s v="ZI"/>
    <s v="12.08.2022"/>
    <s v="*FX1000+ Compra divisas 0100000004453"/>
    <s v="USD"/>
    <n v="7900010301"/>
    <s v="12.08.2022"/>
    <n v="-5000000"/>
    <n v="4191.2"/>
    <n v="50"/>
    <n v="-20956000000"/>
    <s v="COP"/>
    <d v="2022-08-12T00:00:00"/>
    <n v="4191.2"/>
    <n v="4231.45"/>
    <n v="-201250000"/>
    <x v="1"/>
  </r>
  <r>
    <x v="0"/>
    <x v="8"/>
    <m/>
    <x v="0"/>
    <s v="ZI"/>
    <s v="12.08.2022"/>
    <s v="*FX1000+ Compra divisas 0100000004454"/>
    <s v="USD"/>
    <n v="7900010309"/>
    <s v="12.08.2022"/>
    <n v="-5000000"/>
    <n v="4191.1000000000004"/>
    <n v="50"/>
    <n v="-20955500000"/>
    <s v="COP"/>
    <d v="2022-08-12T00:00:00"/>
    <n v="4191.1000000000004"/>
    <n v="4231.45"/>
    <n v="-201749999.99999726"/>
    <x v="1"/>
  </r>
  <r>
    <x v="0"/>
    <x v="8"/>
    <m/>
    <x v="0"/>
    <s v="ZI"/>
    <s v="12.08.2022"/>
    <s v="*FX1000+ Compra divisas 0100000004455"/>
    <s v="USD"/>
    <n v="7900010317"/>
    <s v="12.08.2022"/>
    <n v="-8300000"/>
    <n v="4195.1000000000004"/>
    <n v="50"/>
    <n v="-34819330000"/>
    <s v="COP"/>
    <d v="2022-08-12T00:00:00"/>
    <n v="4195.1000000000004"/>
    <n v="4231.45"/>
    <n v="-301704999.99999547"/>
    <x v="1"/>
  </r>
  <r>
    <x v="0"/>
    <x v="8"/>
    <m/>
    <x v="0"/>
    <s v="ZI"/>
    <s v="18.08.2022"/>
    <s v="*FX2000- Venta divisas 0100000004469"/>
    <s v="USD"/>
    <n v="7900010406"/>
    <s v="18.08.2022"/>
    <n v="11073.77"/>
    <n v="4197.1688999999997"/>
    <n v="40"/>
    <n v="46478483"/>
    <s v="COP"/>
    <d v="2022-08-18T00:00:00"/>
    <n v="4197.17"/>
    <n v="4316.47"/>
    <n v="1321100.761000002"/>
    <x v="2"/>
  </r>
  <r>
    <x v="0"/>
    <x v="8"/>
    <m/>
    <x v="0"/>
    <s v="ZI"/>
    <s v="26.08.2022"/>
    <s v="*FX1000+ Compra divisas 0100000004470"/>
    <s v="USD"/>
    <n v="7900010417"/>
    <s v="26.08.2022"/>
    <n v="-317604.36"/>
    <n v="4408"/>
    <n v="50"/>
    <n v="-1400000019"/>
    <s v="COP"/>
    <d v="2022-08-26T00:00:00"/>
    <n v="4408"/>
    <n v="4407.95"/>
    <n v="15880.218000057772"/>
    <x v="2"/>
  </r>
  <r>
    <x v="0"/>
    <x v="8"/>
    <m/>
    <x v="0"/>
    <s v="ZI"/>
    <s v="19.08.2022"/>
    <s v="*FX1000+ Compra divisas 0100000004471"/>
    <s v="USD"/>
    <n v="7900010548"/>
    <s v="19.08.2022"/>
    <n v="-51434053.170000002"/>
    <n v="4413.8599999999997"/>
    <n v="50"/>
    <n v="-227022709925"/>
    <s v="COP"/>
    <d v="2022-08-19T00:00:00"/>
    <n v="4413.8599999999997"/>
    <n v="4413.8599999999997"/>
    <n v="0"/>
    <x v="0"/>
  </r>
  <r>
    <x v="0"/>
    <x v="8"/>
    <m/>
    <x v="0"/>
    <s v="ZI"/>
    <s v="26.08.2022"/>
    <s v="*FX1000+ Compra divisas 0100000004491"/>
    <s v="USD"/>
    <n v="7900010556"/>
    <s v="26.08.2022"/>
    <n v="-109329.54"/>
    <n v="4380.1899299999995"/>
    <n v="50"/>
    <n v="-478884150"/>
    <s v="COP"/>
    <d v="2022-08-26T00:00:00"/>
    <n v="4380.1899999999996"/>
    <n v="4407.95"/>
    <n v="-3034988.0304000238"/>
    <x v="1"/>
  </r>
  <r>
    <x v="0"/>
    <x v="8"/>
    <m/>
    <x v="0"/>
    <s v="ZI"/>
    <s v="31.08.2022"/>
    <s v="*FX2000- Venta divisas 0100000004499"/>
    <s v="USD"/>
    <n v="7900010703"/>
    <s v="31.08.2022"/>
    <n v="17656259.539999999"/>
    <n v="4388.0200000000004"/>
    <n v="40"/>
    <n v="77476019993"/>
    <s v="COP"/>
    <d v="2022-08-31T00:00:00"/>
    <n v="4388.0200000000004"/>
    <n v="4400.16"/>
    <n v="214346990.81558973"/>
    <x v="2"/>
  </r>
  <r>
    <x v="0"/>
    <x v="8"/>
    <m/>
    <x v="0"/>
    <s v="ZI"/>
    <s v="31.08.2022"/>
    <s v="*FX2000- Venta divisas 0100000004500"/>
    <s v="USD"/>
    <n v="7900010711"/>
    <s v="31.08.2022"/>
    <n v="82395257.579999998"/>
    <n v="4386.13"/>
    <n v="40"/>
    <n v="361396311116"/>
    <s v="COP"/>
    <d v="2022-08-31T00:00:00"/>
    <n v="4386.13"/>
    <n v="4400.16"/>
    <n v="1156005463.847379"/>
    <x v="2"/>
  </r>
  <r>
    <x v="0"/>
    <x v="8"/>
    <m/>
    <x v="0"/>
    <s v="ZI"/>
    <s v="31.08.2022"/>
    <s v="*FX1000+ Compra divisas 0100000004501"/>
    <s v="USD"/>
    <n v="7900011602"/>
    <s v="31.08.2022"/>
    <n v="-2200000"/>
    <n v="4422.8500000000004"/>
    <n v="50"/>
    <n v="-9730270000"/>
    <s v="COP"/>
    <d v="2022-08-31T00:00:00"/>
    <n v="4422.8500000000004"/>
    <n v="4400.16"/>
    <n v="49918000.000001118"/>
    <x v="2"/>
  </r>
  <r>
    <x v="0"/>
    <x v="8"/>
    <m/>
    <x v="1"/>
    <s v="TD"/>
    <s v="19.08.2022"/>
    <s v="*FX2001- Venta divisas 0400000000102"/>
    <s v="COP"/>
    <n v="7900010446"/>
    <s v="19.08.2022"/>
    <n v="-214999999996"/>
    <n v="1"/>
    <n v="50"/>
    <n v="-214999999996"/>
    <s v="COP"/>
    <d v="2022-08-19T00:00:00"/>
    <n v="1"/>
    <n v="0"/>
    <n v="0"/>
    <x v="0"/>
  </r>
  <r>
    <x v="0"/>
    <x v="8"/>
    <m/>
    <x v="1"/>
    <s v="ZI"/>
    <s v="12.08.2022"/>
    <s v="*FX2000- Venta divisas 0100000004451"/>
    <s v="COP"/>
    <n v="7900010286"/>
    <s v="12.08.2022"/>
    <n v="-62962500000"/>
    <n v="1"/>
    <n v="50"/>
    <n v="-62962500000"/>
    <s v="COP"/>
    <d v="2022-08-12T00:00:00"/>
    <n v="1"/>
    <n v="0"/>
    <n v="0"/>
    <x v="0"/>
  </r>
  <r>
    <x v="0"/>
    <x v="8"/>
    <m/>
    <x v="1"/>
    <s v="ZI"/>
    <s v="12.08.2022"/>
    <s v="*FX2000- Venta divisas 0100000004452"/>
    <s v="COP"/>
    <n v="7900010294"/>
    <s v="12.08.2022"/>
    <n v="-62970000000"/>
    <n v="1"/>
    <n v="50"/>
    <n v="-62970000000"/>
    <s v="COP"/>
    <d v="2022-08-12T00:00:00"/>
    <n v="1"/>
    <n v="0"/>
    <n v="0"/>
    <x v="0"/>
  </r>
  <r>
    <x v="0"/>
    <x v="8"/>
    <m/>
    <x v="1"/>
    <s v="ZI"/>
    <s v="12.08.2022"/>
    <s v="*FX2000- Venta divisas 0100000004453"/>
    <s v="COP"/>
    <n v="7900010302"/>
    <s v="12.08.2022"/>
    <n v="-20956000000"/>
    <n v="1"/>
    <n v="50"/>
    <n v="-20956000000"/>
    <s v="COP"/>
    <d v="2022-08-12T00:00:00"/>
    <n v="1"/>
    <n v="0"/>
    <n v="0"/>
    <x v="0"/>
  </r>
  <r>
    <x v="0"/>
    <x v="8"/>
    <m/>
    <x v="1"/>
    <s v="ZI"/>
    <s v="12.08.2022"/>
    <s v="*FX2000- Venta divisas 0100000004454"/>
    <s v="COP"/>
    <n v="7900010310"/>
    <s v="12.08.2022"/>
    <n v="-20955500000"/>
    <n v="1"/>
    <n v="50"/>
    <n v="-20955500000"/>
    <s v="COP"/>
    <d v="2022-08-12T00:00:00"/>
    <n v="1"/>
    <n v="0"/>
    <n v="0"/>
    <x v="0"/>
  </r>
  <r>
    <x v="0"/>
    <x v="8"/>
    <m/>
    <x v="1"/>
    <s v="ZI"/>
    <s v="12.08.2022"/>
    <s v="*FX2000- Venta divisas 0100000004455"/>
    <s v="COP"/>
    <n v="7900010318"/>
    <s v="12.08.2022"/>
    <n v="-34819330000"/>
    <n v="1"/>
    <n v="50"/>
    <n v="-34819330000"/>
    <s v="COP"/>
    <d v="2022-08-12T00:00:00"/>
    <n v="1"/>
    <n v="0"/>
    <n v="0"/>
    <x v="0"/>
  </r>
  <r>
    <x v="0"/>
    <x v="8"/>
    <m/>
    <x v="1"/>
    <s v="ZI"/>
    <s v="26.08.2022"/>
    <s v="*FX2000- Venta divisas 0100000004470"/>
    <s v="COP"/>
    <n v="7900010418"/>
    <s v="26.08.2022"/>
    <n v="-1400000019"/>
    <n v="1"/>
    <n v="50"/>
    <n v="-1400000019"/>
    <s v="COP"/>
    <d v="2022-08-26T00:00:00"/>
    <n v="1"/>
    <n v="0"/>
    <n v="0"/>
    <x v="0"/>
  </r>
  <r>
    <x v="0"/>
    <x v="8"/>
    <m/>
    <x v="1"/>
    <s v="ZI"/>
    <s v="31.08.2022"/>
    <s v="*FX2000- Venta divisas 0100000004501"/>
    <s v="COP"/>
    <n v="7900011603"/>
    <s v="31.08.2022"/>
    <n v="-9730270000"/>
    <n v="1"/>
    <n v="50"/>
    <n v="-9730270000"/>
    <s v="COP"/>
    <d v="2022-08-31T00:00:00"/>
    <n v="1"/>
    <n v="0"/>
    <n v="0"/>
    <x v="0"/>
  </r>
  <r>
    <x v="0"/>
    <x v="8"/>
    <m/>
    <x v="1"/>
    <s v="ZP"/>
    <s v="01.08.2022"/>
    <m/>
    <s v="COP"/>
    <n v="2000007798"/>
    <s v="01.08.2022"/>
    <n v="4962109873"/>
    <n v="1"/>
    <n v="40"/>
    <n v="4962109873"/>
    <s v="COP"/>
    <d v="2022-08-01T00:00:00"/>
    <n v="1"/>
    <n v="0"/>
    <n v="0"/>
    <x v="0"/>
  </r>
  <r>
    <x v="0"/>
    <x v="8"/>
    <m/>
    <x v="1"/>
    <s v="ZP"/>
    <s v="01.08.2022"/>
    <m/>
    <s v="COP"/>
    <n v="2000007799"/>
    <s v="01.08.2022"/>
    <n v="1207647002"/>
    <n v="1"/>
    <n v="40"/>
    <n v="1207647002"/>
    <s v="COP"/>
    <d v="2022-08-01T00:00:00"/>
    <n v="1"/>
    <n v="0"/>
    <n v="0"/>
    <x v="0"/>
  </r>
  <r>
    <x v="0"/>
    <x v="8"/>
    <m/>
    <x v="1"/>
    <s v="ZP"/>
    <s v="19.08.2022"/>
    <m/>
    <s v="COP"/>
    <n v="2000008434"/>
    <s v="19.08.2022"/>
    <n v="15482705280"/>
    <n v="1"/>
    <n v="40"/>
    <n v="15482705280"/>
    <s v="COP"/>
    <d v="2022-08-19T00:00:00"/>
    <n v="1"/>
    <n v="0"/>
    <n v="0"/>
    <x v="0"/>
  </r>
  <r>
    <x v="0"/>
    <x v="8"/>
    <m/>
    <x v="1"/>
    <s v="ZP"/>
    <s v="19.08.2022"/>
    <m/>
    <s v="COP"/>
    <n v="2000008468"/>
    <s v="19.08.2022"/>
    <n v="14767258054"/>
    <n v="1"/>
    <n v="40"/>
    <n v="14767258054"/>
    <s v="COP"/>
    <d v="2022-08-19T00:00:00"/>
    <n v="1"/>
    <n v="0"/>
    <n v="0"/>
    <x v="0"/>
  </r>
  <r>
    <x v="0"/>
    <x v="8"/>
    <m/>
    <x v="1"/>
    <s v="ZP"/>
    <s v="12.08.2022"/>
    <m/>
    <s v="COP"/>
    <n v="2000008643"/>
    <s v="12.08.2022"/>
    <n v="62962500000"/>
    <n v="1"/>
    <n v="40"/>
    <n v="62962500000"/>
    <s v="COP"/>
    <d v="2022-08-12T00:00:00"/>
    <n v="1"/>
    <n v="0"/>
    <n v="0"/>
    <x v="0"/>
  </r>
  <r>
    <x v="0"/>
    <x v="8"/>
    <m/>
    <x v="1"/>
    <s v="ZP"/>
    <s v="12.08.2022"/>
    <m/>
    <s v="COP"/>
    <n v="2000008644"/>
    <s v="12.08.2022"/>
    <n v="62970000000"/>
    <n v="1"/>
    <n v="40"/>
    <n v="62970000000"/>
    <s v="COP"/>
    <d v="2022-08-12T00:00:00"/>
    <n v="1"/>
    <n v="0"/>
    <n v="0"/>
    <x v="0"/>
  </r>
  <r>
    <x v="0"/>
    <x v="8"/>
    <m/>
    <x v="1"/>
    <s v="ZP"/>
    <s v="12.08.2022"/>
    <m/>
    <s v="COP"/>
    <n v="2000008645"/>
    <s v="12.08.2022"/>
    <n v="20956000000"/>
    <n v="1"/>
    <n v="40"/>
    <n v="20956000000"/>
    <s v="COP"/>
    <d v="2022-08-12T00:00:00"/>
    <n v="1"/>
    <n v="0"/>
    <n v="0"/>
    <x v="0"/>
  </r>
  <r>
    <x v="0"/>
    <x v="8"/>
    <m/>
    <x v="1"/>
    <s v="ZP"/>
    <s v="12.08.2022"/>
    <m/>
    <s v="COP"/>
    <n v="2000008646"/>
    <s v="12.08.2022"/>
    <n v="20955500000"/>
    <n v="1"/>
    <n v="40"/>
    <n v="20955500000"/>
    <s v="COP"/>
    <d v="2022-08-12T00:00:00"/>
    <n v="1"/>
    <n v="0"/>
    <n v="0"/>
    <x v="0"/>
  </r>
  <r>
    <x v="0"/>
    <x v="8"/>
    <m/>
    <x v="1"/>
    <s v="ZP"/>
    <s v="12.08.2022"/>
    <m/>
    <s v="COP"/>
    <n v="2000008647"/>
    <s v="12.08.2022"/>
    <n v="34819330000"/>
    <n v="1"/>
    <n v="40"/>
    <n v="34819330000"/>
    <s v="COP"/>
    <d v="2022-08-12T00:00:00"/>
    <n v="1"/>
    <n v="0"/>
    <n v="0"/>
    <x v="0"/>
  </r>
  <r>
    <x v="0"/>
    <x v="8"/>
    <m/>
    <x v="1"/>
    <s v="ZP"/>
    <s v="26.08.2022"/>
    <m/>
    <s v="COP"/>
    <n v="2000008687"/>
    <s v="26.08.2022"/>
    <n v="12601204216"/>
    <n v="1"/>
    <n v="40"/>
    <n v="12601204216"/>
    <s v="COP"/>
    <d v="2022-08-26T00:00:00"/>
    <n v="1"/>
    <n v="0"/>
    <n v="0"/>
    <x v="0"/>
  </r>
  <r>
    <x v="0"/>
    <x v="8"/>
    <m/>
    <x v="1"/>
    <s v="ZP"/>
    <s v="26.08.2022"/>
    <m/>
    <s v="COP"/>
    <n v="2000008691"/>
    <s v="26.08.2022"/>
    <n v="1400000019"/>
    <n v="1"/>
    <n v="40"/>
    <n v="1400000019"/>
    <s v="COP"/>
    <d v="2022-08-26T00:00:00"/>
    <n v="1"/>
    <n v="0"/>
    <n v="0"/>
    <x v="0"/>
  </r>
  <r>
    <x v="0"/>
    <x v="8"/>
    <m/>
    <x v="1"/>
    <s v="ZP"/>
    <s v="29.08.2022"/>
    <m/>
    <s v="COP"/>
    <n v="2000008728"/>
    <s v="29.08.2022"/>
    <n v="28976950000"/>
    <n v="1"/>
    <n v="40"/>
    <n v="28976950000"/>
    <s v="COP"/>
    <d v="2022-08-29T00:00:00"/>
    <n v="1"/>
    <n v="0"/>
    <n v="0"/>
    <x v="0"/>
  </r>
  <r>
    <x v="0"/>
    <x v="8"/>
    <m/>
    <x v="1"/>
    <s v="ZP"/>
    <s v="19.08.2022"/>
    <m/>
    <s v="COP"/>
    <n v="2000008741"/>
    <s v="19.08.2022"/>
    <n v="214999999996"/>
    <n v="1"/>
    <n v="40"/>
    <n v="214999999996"/>
    <s v="COP"/>
    <d v="2022-08-19T00:00:00"/>
    <n v="1"/>
    <n v="0"/>
    <n v="0"/>
    <x v="0"/>
  </r>
  <r>
    <x v="0"/>
    <x v="8"/>
    <m/>
    <x v="1"/>
    <s v="ZP"/>
    <s v="31.08.2022"/>
    <m/>
    <s v="COP"/>
    <n v="2000008808"/>
    <s v="31.08.2022"/>
    <n v="9730270000"/>
    <n v="1"/>
    <n v="40"/>
    <n v="9730270000"/>
    <s v="COP"/>
    <d v="2022-08-31T00:00:00"/>
    <n v="1"/>
    <n v="0"/>
    <n v="0"/>
    <x v="0"/>
  </r>
  <r>
    <x v="0"/>
    <x v="8"/>
    <m/>
    <x v="1"/>
    <s v="ZP"/>
    <s v="19.08.2022"/>
    <m/>
    <s v="COP"/>
    <n v="2000008809"/>
    <s v="19.08.2022"/>
    <n v="-14767258054"/>
    <n v="1"/>
    <n v="50"/>
    <n v="-14767258054"/>
    <s v="COP"/>
    <d v="2022-08-19T00:00:00"/>
    <n v="1"/>
    <n v="0"/>
    <n v="0"/>
    <x v="0"/>
  </r>
  <r>
    <x v="0"/>
    <x v="8"/>
    <m/>
    <x v="1"/>
    <s v="ZP"/>
    <s v="19.08.2022"/>
    <m/>
    <s v="COP"/>
    <n v="2000008837"/>
    <s v="19.08.2022"/>
    <n v="14767258054"/>
    <n v="1"/>
    <n v="40"/>
    <n v="14767258054"/>
    <s v="COP"/>
    <d v="2022-08-19T00:00:00"/>
    <n v="1"/>
    <n v="0"/>
    <n v="0"/>
    <x v="0"/>
  </r>
  <r>
    <x v="0"/>
    <x v="8"/>
    <m/>
    <x v="1"/>
    <s v="ZS"/>
    <s v="19.08.2022"/>
    <s v="*CML1110 0001000003900"/>
    <s v="COP"/>
    <n v="7900010219"/>
    <s v="19.08.2022"/>
    <n v="-3816183800"/>
    <n v="1"/>
    <n v="50"/>
    <n v="-3816183800"/>
    <s v="COP"/>
    <d v="2022-08-19T00:00:00"/>
    <n v="1"/>
    <n v="0"/>
    <n v="0"/>
    <x v="0"/>
  </r>
  <r>
    <x v="0"/>
    <x v="8"/>
    <m/>
    <x v="1"/>
    <s v="ZS"/>
    <s v="19.08.2022"/>
    <s v="*CML1110 0001000003902"/>
    <s v="COP"/>
    <n v="7900010220"/>
    <s v="19.08.2022"/>
    <n v="-5649882000"/>
    <n v="1"/>
    <n v="50"/>
    <n v="-5649882000"/>
    <s v="COP"/>
    <d v="2022-08-19T00:00:00"/>
    <n v="1"/>
    <n v="0"/>
    <n v="0"/>
    <x v="0"/>
  </r>
  <r>
    <x v="0"/>
    <x v="8"/>
    <m/>
    <x v="1"/>
    <s v="ZS"/>
    <s v="19.08.2022"/>
    <s v="*CML1110 0001000003901"/>
    <s v="COP"/>
    <n v="7900010221"/>
    <s v="19.08.2022"/>
    <n v="-6016639480"/>
    <n v="1"/>
    <n v="50"/>
    <n v="-6016639480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31"/>
    <s v="19.08.2022"/>
    <n v="-6701113889"/>
    <n v="1"/>
    <n v="50"/>
    <n v="-6701113889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32"/>
    <s v="19.08.2022"/>
    <n v="-4841466667"/>
    <n v="1"/>
    <n v="50"/>
    <n v="-4841466667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33"/>
    <s v="19.08.2022"/>
    <n v="-3224677500"/>
    <n v="1"/>
    <n v="50"/>
    <n v="-3224677500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43"/>
    <s v="19.08.2022"/>
    <n v="3224677500"/>
    <n v="1"/>
    <n v="40"/>
    <n v="3224677500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44"/>
    <s v="19.08.2022"/>
    <n v="4841466667"/>
    <n v="1"/>
    <n v="40"/>
    <n v="4841466667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45"/>
    <s v="19.08.2022"/>
    <n v="6701113889"/>
    <n v="1"/>
    <n v="40"/>
    <n v="6701113889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55"/>
    <s v="19.08.2022"/>
    <n v="-6701113888"/>
    <n v="1"/>
    <n v="50"/>
    <n v="-6701113888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56"/>
    <s v="19.08.2022"/>
    <n v="-4841466666"/>
    <n v="1"/>
    <n v="50"/>
    <n v="-4841466666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0257"/>
    <s v="19.08.2022"/>
    <n v="-3224677500"/>
    <n v="1"/>
    <n v="50"/>
    <n v="-3224677500"/>
    <s v="COP"/>
    <d v="2022-08-19T00:00:00"/>
    <n v="1"/>
    <n v="0"/>
    <n v="0"/>
    <x v="0"/>
  </r>
  <r>
    <x v="0"/>
    <x v="8"/>
    <m/>
    <x v="1"/>
    <s v="ZS"/>
    <s v="26.08.2022"/>
    <s v="*CML1110 0001000003700"/>
    <s v="COP"/>
    <n v="7900010323"/>
    <s v="26.08.2022"/>
    <n v="-12601204216"/>
    <n v="1"/>
    <n v="50"/>
    <n v="-12601204216"/>
    <s v="COP"/>
    <d v="2022-08-26T00:00:00"/>
    <n v="1"/>
    <n v="0"/>
    <n v="0"/>
    <x v="0"/>
  </r>
  <r>
    <x v="0"/>
    <x v="8"/>
    <m/>
    <x v="1"/>
    <s v="ZS"/>
    <s v="29.08.2022"/>
    <s v="*CML1110 0001000003002"/>
    <s v="COP"/>
    <n v="7900010431"/>
    <s v="29.08.2022"/>
    <n v="-7344225000"/>
    <n v="1"/>
    <n v="50"/>
    <n v="-7344225000"/>
    <s v="COP"/>
    <d v="2022-08-29T00:00:00"/>
    <n v="1"/>
    <n v="0"/>
    <n v="0"/>
    <x v="0"/>
  </r>
  <r>
    <x v="0"/>
    <x v="8"/>
    <m/>
    <x v="1"/>
    <s v="ZS"/>
    <s v="29.08.2022"/>
    <s v="*CML1110 0001000003001"/>
    <s v="COP"/>
    <n v="7900010432"/>
    <s v="29.08.2022"/>
    <n v="-4733550000"/>
    <n v="1"/>
    <n v="50"/>
    <n v="-4733550000"/>
    <s v="COP"/>
    <d v="2022-08-29T00:00:00"/>
    <n v="1"/>
    <n v="0"/>
    <n v="0"/>
    <x v="0"/>
  </r>
  <r>
    <x v="0"/>
    <x v="8"/>
    <m/>
    <x v="1"/>
    <s v="ZS"/>
    <s v="29.08.2022"/>
    <s v="*CML1110 0001000003000"/>
    <s v="COP"/>
    <n v="7900010433"/>
    <s v="29.08.2022"/>
    <n v="-6559875000"/>
    <n v="1"/>
    <n v="50"/>
    <n v="-6559875000"/>
    <s v="COP"/>
    <d v="2022-08-29T00:00:00"/>
    <n v="1"/>
    <n v="0"/>
    <n v="0"/>
    <x v="0"/>
  </r>
  <r>
    <x v="0"/>
    <x v="8"/>
    <m/>
    <x v="1"/>
    <s v="ZS"/>
    <s v="29.08.2022"/>
    <s v="*CML1110 0001000003800"/>
    <s v="COP"/>
    <n v="7900010434"/>
    <s v="29.08.2022"/>
    <n v="-3856500000"/>
    <n v="1"/>
    <n v="50"/>
    <n v="-3856500000"/>
    <s v="COP"/>
    <d v="2022-08-29T00:00:00"/>
    <n v="1"/>
    <n v="0"/>
    <n v="0"/>
    <x v="0"/>
  </r>
  <r>
    <x v="0"/>
    <x v="8"/>
    <m/>
    <x v="1"/>
    <s v="ZS"/>
    <s v="29.08.2022"/>
    <s v="*CML1110 0001000003801"/>
    <s v="COP"/>
    <n v="7900010435"/>
    <s v="29.08.2022"/>
    <n v="-6482800000"/>
    <n v="1"/>
    <n v="50"/>
    <n v="-6482800000"/>
    <s v="COP"/>
    <d v="2022-08-29T00:00:00"/>
    <n v="1"/>
    <n v="0"/>
    <n v="0"/>
    <x v="0"/>
  </r>
  <r>
    <x v="0"/>
    <x v="8"/>
    <m/>
    <x v="1"/>
    <s v="ZS"/>
    <s v="19.08.2022"/>
    <s v="*CMLZ110 0001000004150"/>
    <s v="COP"/>
    <n v="7900011648"/>
    <s v="19.08.2022"/>
    <n v="3224677500"/>
    <n v="1"/>
    <n v="40"/>
    <n v="3224677500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1649"/>
    <s v="19.08.2022"/>
    <n v="4841466666"/>
    <n v="1"/>
    <n v="40"/>
    <n v="4841466666"/>
    <s v="COP"/>
    <d v="2022-08-19T00:00:00"/>
    <n v="1"/>
    <n v="0"/>
    <n v="0"/>
    <x v="0"/>
  </r>
  <r>
    <x v="0"/>
    <x v="8"/>
    <m/>
    <x v="1"/>
    <s v="ZS"/>
    <s v="19.08.2022"/>
    <s v="*CMLZ110 0001000004150"/>
    <s v="COP"/>
    <n v="7900011650"/>
    <s v="19.08.2022"/>
    <n v="6701113888"/>
    <n v="1"/>
    <n v="40"/>
    <n v="6701113888"/>
    <s v="COP"/>
    <d v="2022-08-19T00:00:00"/>
    <n v="1"/>
    <n v="0"/>
    <n v="0"/>
    <x v="0"/>
  </r>
  <r>
    <x v="0"/>
    <x v="8"/>
    <m/>
    <x v="1"/>
    <s v="ZS"/>
    <s v="19.08.2022"/>
    <s v="*CML1110 0001000004150"/>
    <s v="COP"/>
    <n v="7900011664"/>
    <s v="19.08.2022"/>
    <n v="-14767258054"/>
    <n v="1"/>
    <n v="50"/>
    <n v="-14767258054"/>
    <s v="COP"/>
    <d v="2022-08-19T00:00:00"/>
    <n v="1"/>
    <n v="0"/>
    <n v="0"/>
    <x v="0"/>
  </r>
  <r>
    <x v="0"/>
    <x v="8"/>
    <m/>
    <x v="1"/>
    <s v="ZI"/>
    <s v="31.08.2022"/>
    <s v="*FX2000- Venta divisas 0100000004499"/>
    <s v="USD"/>
    <n v="7900010703"/>
    <s v="31.08.2022"/>
    <n v="-17656259.539999999"/>
    <n v="4388.0200000000004"/>
    <n v="50"/>
    <n v="-77476019993"/>
    <s v="COP"/>
    <d v="2022-08-31T00:00:00"/>
    <n v="4388.0200000000004"/>
    <n v="4400.16"/>
    <n v="214346990.81558973"/>
    <x v="2"/>
  </r>
  <r>
    <x v="0"/>
    <x v="8"/>
    <m/>
    <x v="1"/>
    <s v="ZI"/>
    <s v="31.08.2022"/>
    <s v="*FX2000- Venta divisas 0100000004500"/>
    <s v="USD"/>
    <n v="7900010711"/>
    <s v="31.08.2022"/>
    <n v="-82395257.579999998"/>
    <n v="4386.13"/>
    <n v="50"/>
    <n v="-361396311116"/>
    <s v="COP"/>
    <d v="2022-08-31T00:00:00"/>
    <n v="4386.13"/>
    <n v="4400.16"/>
    <n v="1156005463.847379"/>
    <x v="2"/>
  </r>
  <r>
    <x v="0"/>
    <x v="8"/>
    <m/>
    <x v="1"/>
    <s v="ZP"/>
    <s v="31.08.2022"/>
    <m/>
    <s v="USD"/>
    <n v="2000008767"/>
    <s v="31.08.2022"/>
    <n v="17656259.539999999"/>
    <n v="4388.0200000000004"/>
    <n v="40"/>
    <n v="77476019993"/>
    <s v="COP"/>
    <d v="2022-08-31T00:00:00"/>
    <n v="4388.0200000000004"/>
    <n v="4400.16"/>
    <n v="-214346990.81558973"/>
    <x v="1"/>
  </r>
  <r>
    <x v="0"/>
    <x v="8"/>
    <m/>
    <x v="1"/>
    <s v="ZP"/>
    <s v="31.08.2022"/>
    <m/>
    <s v="USD"/>
    <n v="2000008801"/>
    <s v="31.08.2022"/>
    <n v="82395257.579999998"/>
    <n v="4386.13"/>
    <n v="40"/>
    <n v="361396311116"/>
    <s v="COP"/>
    <d v="2022-08-31T00:00:00"/>
    <n v="4386.13"/>
    <n v="4400.16"/>
    <n v="-1156005463.847379"/>
    <x v="1"/>
  </r>
  <r>
    <x v="1"/>
    <x v="3"/>
    <m/>
    <x v="2"/>
    <m/>
    <m/>
    <m/>
    <m/>
    <m/>
    <m/>
    <m/>
    <m/>
    <m/>
    <m/>
    <m/>
    <m/>
    <m/>
    <m/>
    <m/>
    <x v="0"/>
  </r>
  <r>
    <x v="0"/>
    <x v="9"/>
    <m/>
    <x v="0"/>
    <s v="ZI"/>
    <s v="06.09.2022"/>
    <s v="*FX1000+ Compra divisas 0100000004502"/>
    <s v="COP"/>
    <n v="7900011730"/>
    <s v="06.09.2022"/>
    <n v="-3833777593"/>
    <n v="1"/>
    <n v="50"/>
    <n v="-3833777593"/>
    <s v="COP"/>
    <d v="2022-09-06T00:00:00"/>
    <n v="1"/>
    <n v="0"/>
    <n v="0"/>
    <x v="0"/>
  </r>
  <r>
    <x v="0"/>
    <x v="9"/>
    <m/>
    <x v="0"/>
    <s v="ZI"/>
    <s v="07.09.2022"/>
    <s v="*FX2000- Venta divisas 0100000004503"/>
    <s v="COP"/>
    <n v="7900011755"/>
    <s v="07.09.2022"/>
    <n v="38394700000"/>
    <n v="1"/>
    <n v="40"/>
    <n v="38394700000"/>
    <s v="COP"/>
    <d v="2022-09-07T00:00:00"/>
    <n v="1"/>
    <n v="0"/>
    <n v="0"/>
    <x v="0"/>
  </r>
  <r>
    <x v="0"/>
    <x v="9"/>
    <m/>
    <x v="0"/>
    <s v="ZI"/>
    <s v="28.09.2022"/>
    <s v="*FX1000+ Compra divisas 0100000004508"/>
    <s v="COP"/>
    <n v="7900011858"/>
    <s v="28.09.2022"/>
    <n v="-10209931511"/>
    <n v="1"/>
    <n v="50"/>
    <n v="-10209931511"/>
    <s v="COP"/>
    <d v="2022-09-28T00:00:00"/>
    <n v="1"/>
    <n v="0"/>
    <n v="0"/>
    <x v="0"/>
  </r>
  <r>
    <x v="0"/>
    <x v="9"/>
    <m/>
    <x v="0"/>
    <s v="ZI"/>
    <s v="28.09.2022"/>
    <s v="*FX1000+ Compra divisas 0100000004509"/>
    <s v="COP"/>
    <n v="7900011866"/>
    <s v="28.09.2022"/>
    <n v="-6219434486"/>
    <n v="1"/>
    <n v="50"/>
    <n v="-6219434486"/>
    <s v="COP"/>
    <d v="2022-09-28T00:00:00"/>
    <n v="1"/>
    <n v="0"/>
    <n v="0"/>
    <x v="0"/>
  </r>
  <r>
    <x v="0"/>
    <x v="9"/>
    <m/>
    <x v="0"/>
    <s v="ZI"/>
    <s v="26.09.2022"/>
    <s v="*FX2000- Venta divisas 0100000004510"/>
    <s v="COP"/>
    <n v="7900011875"/>
    <s v="26.09.2022"/>
    <n v="16173000000"/>
    <n v="1"/>
    <n v="40"/>
    <n v="16173000000"/>
    <s v="COP"/>
    <d v="2022-09-26T00:00:00"/>
    <n v="1"/>
    <n v="0"/>
    <n v="0"/>
    <x v="0"/>
  </r>
  <r>
    <x v="0"/>
    <x v="9"/>
    <m/>
    <x v="0"/>
    <s v="ZI"/>
    <s v="27.09.2022"/>
    <s v="*FX2000- Venta divisas 0100000004511"/>
    <s v="COP"/>
    <n v="7900011883"/>
    <s v="27.09.2022"/>
    <n v="42449999989"/>
    <n v="1"/>
    <n v="40"/>
    <n v="42449999989"/>
    <s v="COP"/>
    <d v="2022-09-27T00:00:00"/>
    <n v="1"/>
    <n v="0"/>
    <n v="0"/>
    <x v="0"/>
  </r>
  <r>
    <x v="0"/>
    <x v="9"/>
    <m/>
    <x v="0"/>
    <s v="ZI"/>
    <s v="27.09.2022"/>
    <s v="*FX2000- Venta divisas 0100000004512"/>
    <s v="COP"/>
    <n v="7900011891"/>
    <s v="27.09.2022"/>
    <n v="49469999996"/>
    <n v="1"/>
    <n v="40"/>
    <n v="49469999996"/>
    <s v="COP"/>
    <d v="2022-09-27T00:00:00"/>
    <n v="1"/>
    <n v="0"/>
    <n v="0"/>
    <x v="0"/>
  </r>
  <r>
    <x v="0"/>
    <x v="9"/>
    <m/>
    <x v="0"/>
    <s v="ZI"/>
    <s v="30.09.2022"/>
    <s v="*FX1000+ Compra divisas 0100000004513"/>
    <s v="COP"/>
    <n v="7900012797"/>
    <s v="30.09.2022"/>
    <n v="-91923156538"/>
    <n v="1"/>
    <n v="50"/>
    <n v="-91923156538"/>
    <s v="COP"/>
    <d v="2022-09-30T00:00:00"/>
    <n v="1"/>
    <n v="0"/>
    <n v="0"/>
    <x v="0"/>
  </r>
  <r>
    <x v="0"/>
    <x v="9"/>
    <m/>
    <x v="0"/>
    <s v="ZI"/>
    <s v="12.09.2022"/>
    <s v="*FX2000- Venta divisas 0100000004504"/>
    <s v="COP"/>
    <n v="7900012838"/>
    <s v="12.09.2022"/>
    <n v="8736000000"/>
    <n v="1"/>
    <n v="40"/>
    <n v="8736000000"/>
    <s v="COP"/>
    <d v="2022-09-12T00:00:00"/>
    <n v="1"/>
    <n v="0"/>
    <n v="0"/>
    <x v="0"/>
  </r>
  <r>
    <x v="0"/>
    <x v="9"/>
    <m/>
    <x v="0"/>
    <s v="ZI"/>
    <s v="06.09.2022"/>
    <s v="*FX2000- Venta divisas 0100000004502"/>
    <s v="USD"/>
    <n v="7900011731"/>
    <s v="06.09.2022"/>
    <n v="858238.6"/>
    <n v="4467.0300200000001"/>
    <n v="40"/>
    <n v="3833777593"/>
    <s v="COP"/>
    <d v="2022-09-06T00:00:00"/>
    <n v="4467.03"/>
    <n v="4466.7299999999996"/>
    <n v="-257471.5800001561"/>
    <x v="1"/>
  </r>
  <r>
    <x v="0"/>
    <x v="9"/>
    <m/>
    <x v="0"/>
    <s v="ZI"/>
    <s v="07.09.2022"/>
    <s v="*FX1000+ Compra divisas 0100000004503"/>
    <s v="USD"/>
    <n v="7900011754"/>
    <s v="07.09.2022"/>
    <n v="-8600000"/>
    <n v="4464.5"/>
    <n v="50"/>
    <n v="-38394700000"/>
    <s v="COP"/>
    <d v="2022-09-07T00:00:00"/>
    <n v="4464.5"/>
    <n v="4480.1000000000004"/>
    <n v="-134160000.00000313"/>
    <x v="1"/>
  </r>
  <r>
    <x v="0"/>
    <x v="9"/>
    <m/>
    <x v="0"/>
    <s v="ZI"/>
    <s v="28.09.2022"/>
    <s v="*FX2000- Venta divisas 0100000004508"/>
    <s v="USD"/>
    <n v="7900011859"/>
    <s v="28.09.2022"/>
    <n v="2270392.31"/>
    <n v="4496.99"/>
    <n v="40"/>
    <n v="10209931511"/>
    <s v="COP"/>
    <d v="2022-09-28T00:00:00"/>
    <n v="4496.99"/>
    <n v="4556.42"/>
    <n v="134929414.98330066"/>
    <x v="2"/>
  </r>
  <r>
    <x v="0"/>
    <x v="9"/>
    <m/>
    <x v="0"/>
    <s v="ZI"/>
    <s v="28.09.2022"/>
    <s v="*FX2000- Venta divisas 0100000004509"/>
    <s v="USD"/>
    <n v="7900011867"/>
    <s v="28.09.2022"/>
    <n v="1383021.64"/>
    <n v="4496.99"/>
    <n v="40"/>
    <n v="6219434486"/>
    <s v="COP"/>
    <d v="2022-09-28T00:00:00"/>
    <n v="4496.99"/>
    <n v="4556.42"/>
    <n v="82192976.065200403"/>
    <x v="2"/>
  </r>
  <r>
    <x v="0"/>
    <x v="9"/>
    <m/>
    <x v="0"/>
    <s v="ZI"/>
    <s v="26.09.2022"/>
    <s v="*FX1000+ Compra divisas 0100000004510"/>
    <s v="USD"/>
    <n v="7900011874"/>
    <s v="26.09.2022"/>
    <n v="-3600000"/>
    <n v="4492.5"/>
    <n v="50"/>
    <n v="-16173000000"/>
    <s v="COP"/>
    <d v="2022-09-26T00:00:00"/>
    <n v="4492.5"/>
    <n v="4426.47"/>
    <n v="237707999.99999908"/>
    <x v="2"/>
  </r>
  <r>
    <x v="0"/>
    <x v="9"/>
    <m/>
    <x v="0"/>
    <s v="ZI"/>
    <s v="27.09.2022"/>
    <s v="*FX1000+ Compra divisas 0100000004511"/>
    <s v="USD"/>
    <n v="7900011882"/>
    <s v="27.09.2022"/>
    <n v="-9316708.8399999999"/>
    <n v="4556.33"/>
    <n v="50"/>
    <n v="-42449999989"/>
    <s v="COP"/>
    <d v="2022-09-27T00:00:00"/>
    <n v="4556.33"/>
    <n v="4496.99"/>
    <n v="552853502.56560135"/>
    <x v="2"/>
  </r>
  <r>
    <x v="0"/>
    <x v="9"/>
    <m/>
    <x v="0"/>
    <s v="ZI"/>
    <s v="27.09.2022"/>
    <s v="*FX1000+ Compra divisas 0100000004512"/>
    <s v="USD"/>
    <n v="7900011890"/>
    <s v="27.09.2022"/>
    <n v="-10857422.529999999"/>
    <n v="4556.33"/>
    <n v="50"/>
    <n v="-49469999996"/>
    <s v="COP"/>
    <d v="2022-09-27T00:00:00"/>
    <n v="4556.33"/>
    <n v="4496.99"/>
    <n v="644279452.93020153"/>
    <x v="2"/>
  </r>
  <r>
    <x v="0"/>
    <x v="9"/>
    <m/>
    <x v="0"/>
    <s v="ZI"/>
    <s v="30.09.2022"/>
    <s v="*FX2000- Venta divisas 0100000004513"/>
    <s v="USD"/>
    <n v="7900012798"/>
    <s v="30.09.2022"/>
    <n v="20174425.649999999"/>
    <n v="4556.42"/>
    <n v="40"/>
    <n v="91923156538"/>
    <s v="COP"/>
    <d v="2022-09-30T00:00:00"/>
    <n v="4556.42"/>
    <n v="4532.07"/>
    <n v="-491247264.57750732"/>
    <x v="1"/>
  </r>
  <r>
    <x v="0"/>
    <x v="9"/>
    <m/>
    <x v="0"/>
    <s v="ZI"/>
    <s v="12.09.2022"/>
    <s v="*FX1000+ Compra divisas 0100000004504"/>
    <s v="USD"/>
    <n v="7900012837"/>
    <s v="12.09.2022"/>
    <n v="-2000000"/>
    <n v="4368"/>
    <n v="50"/>
    <n v="-8736000000"/>
    <s v="COP"/>
    <d v="2022-09-12T00:00:00"/>
    <n v="4368"/>
    <n v="4365.32"/>
    <n v="5360000.0000005821"/>
    <x v="2"/>
  </r>
  <r>
    <x v="0"/>
    <x v="9"/>
    <m/>
    <x v="1"/>
    <s v="ZI"/>
    <s v="07.09.2022"/>
    <s v="*FX2000- Venta divisas 0100000004503"/>
    <s v="COP"/>
    <n v="7900011755"/>
    <s v="07.09.2022"/>
    <n v="-38394700000"/>
    <n v="1"/>
    <n v="50"/>
    <n v="-38394700000"/>
    <s v="COP"/>
    <d v="2022-09-07T00:00:00"/>
    <n v="1"/>
    <n v="0"/>
    <n v="0"/>
    <x v="0"/>
  </r>
  <r>
    <x v="0"/>
    <x v="9"/>
    <m/>
    <x v="1"/>
    <s v="ZI"/>
    <s v="26.09.2022"/>
    <s v="*FX2000- Venta divisas 0100000004510"/>
    <s v="COP"/>
    <n v="7900011875"/>
    <s v="26.09.2022"/>
    <n v="-16173000000"/>
    <n v="1"/>
    <n v="50"/>
    <n v="-16173000000"/>
    <s v="COP"/>
    <d v="2022-09-26T00:00:00"/>
    <n v="1"/>
    <n v="0"/>
    <n v="0"/>
    <x v="0"/>
  </r>
  <r>
    <x v="0"/>
    <x v="9"/>
    <m/>
    <x v="1"/>
    <s v="ZI"/>
    <s v="27.09.2022"/>
    <s v="*FX2000- Venta divisas 0100000004511"/>
    <s v="COP"/>
    <n v="7900011883"/>
    <s v="27.09.2022"/>
    <n v="-42449999989"/>
    <n v="1"/>
    <n v="50"/>
    <n v="-42449999989"/>
    <s v="COP"/>
    <d v="2022-09-27T00:00:00"/>
    <n v="1"/>
    <n v="0"/>
    <n v="0"/>
    <x v="0"/>
  </r>
  <r>
    <x v="0"/>
    <x v="9"/>
    <m/>
    <x v="1"/>
    <s v="ZI"/>
    <s v="27.09.2022"/>
    <s v="*FX2000- Venta divisas 0100000004512"/>
    <s v="COP"/>
    <n v="7900011891"/>
    <s v="27.09.2022"/>
    <n v="-49469999996"/>
    <n v="1"/>
    <n v="50"/>
    <n v="-49469999996"/>
    <s v="COP"/>
    <d v="2022-09-27T00:00:00"/>
    <n v="1"/>
    <n v="0"/>
    <n v="0"/>
    <x v="0"/>
  </r>
  <r>
    <x v="0"/>
    <x v="9"/>
    <m/>
    <x v="1"/>
    <s v="ZI"/>
    <s v="12.09.2022"/>
    <s v="*FX2000- Venta divisas 0100000004504"/>
    <s v="COP"/>
    <n v="7900012838"/>
    <s v="12.09.2022"/>
    <n v="-8736000000"/>
    <n v="1"/>
    <n v="50"/>
    <n v="-8736000000"/>
    <s v="COP"/>
    <d v="2022-09-12T00:00:00"/>
    <n v="1"/>
    <n v="0"/>
    <n v="0"/>
    <x v="0"/>
  </r>
  <r>
    <x v="0"/>
    <x v="9"/>
    <m/>
    <x v="1"/>
    <s v="ZP"/>
    <s v="05.09.2022"/>
    <m/>
    <s v="COP"/>
    <n v="2000008923"/>
    <s v="05.09.2022"/>
    <n v="11973409000"/>
    <n v="1"/>
    <n v="40"/>
    <n v="11973409000"/>
    <s v="COP"/>
    <d v="2022-09-05T00:00:00"/>
    <n v="1"/>
    <n v="0"/>
    <n v="0"/>
    <x v="0"/>
  </r>
  <r>
    <x v="0"/>
    <x v="9"/>
    <m/>
    <x v="1"/>
    <s v="ZP"/>
    <s v="06.09.2022"/>
    <m/>
    <s v="COP"/>
    <n v="2000008925"/>
    <s v="06.09.2022"/>
    <n v="27035757343"/>
    <n v="1"/>
    <n v="40"/>
    <n v="27035757343"/>
    <s v="COP"/>
    <d v="2022-09-06T00:00:00"/>
    <n v="1"/>
    <n v="0"/>
    <n v="0"/>
    <x v="0"/>
  </r>
  <r>
    <x v="0"/>
    <x v="9"/>
    <m/>
    <x v="1"/>
    <s v="ZP"/>
    <s v="06.09.2022"/>
    <m/>
    <s v="COP"/>
    <n v="2000009028"/>
    <s v="06.09.2022"/>
    <n v="38394700000"/>
    <n v="1"/>
    <n v="40"/>
    <n v="38394700000"/>
    <s v="COP"/>
    <d v="2022-09-06T00:00:00"/>
    <n v="1"/>
    <n v="0"/>
    <n v="0"/>
    <x v="0"/>
  </r>
  <r>
    <x v="0"/>
    <x v="9"/>
    <m/>
    <x v="1"/>
    <s v="ZP"/>
    <s v="12.09.2022"/>
    <m/>
    <s v="COP"/>
    <n v="2000009253"/>
    <s v="12.09.2022"/>
    <n v="2357755556"/>
    <n v="1"/>
    <n v="40"/>
    <n v="2357755556"/>
    <s v="COP"/>
    <d v="2022-09-12T00:00:00"/>
    <n v="1"/>
    <n v="0"/>
    <n v="0"/>
    <x v="0"/>
  </r>
  <r>
    <x v="0"/>
    <x v="9"/>
    <m/>
    <x v="1"/>
    <s v="ZP"/>
    <s v="13.09.2022"/>
    <m/>
    <s v="COP"/>
    <n v="2000009306"/>
    <s v="13.09.2022"/>
    <n v="7157760048"/>
    <n v="1"/>
    <n v="40"/>
    <n v="7157760048"/>
    <s v="COP"/>
    <d v="2022-09-13T00:00:00"/>
    <n v="1"/>
    <n v="0"/>
    <n v="0"/>
    <x v="0"/>
  </r>
  <r>
    <x v="0"/>
    <x v="9"/>
    <m/>
    <x v="1"/>
    <s v="ZP"/>
    <s v="15.09.2022"/>
    <m/>
    <s v="COP"/>
    <n v="2000009341"/>
    <s v="15.09.2022"/>
    <n v="33361960250"/>
    <n v="1"/>
    <n v="40"/>
    <n v="33361960250"/>
    <s v="COP"/>
    <d v="2022-09-15T00:00:00"/>
    <n v="1"/>
    <n v="0"/>
    <n v="0"/>
    <x v="0"/>
  </r>
  <r>
    <x v="0"/>
    <x v="9"/>
    <m/>
    <x v="1"/>
    <s v="ZP"/>
    <s v="23.09.2022"/>
    <m/>
    <s v="COP"/>
    <n v="2000009605"/>
    <s v="23.09.2022"/>
    <n v="1728146749"/>
    <n v="1"/>
    <n v="40"/>
    <n v="1728146749"/>
    <s v="COP"/>
    <d v="2022-09-23T00:00:00"/>
    <n v="1"/>
    <n v="0"/>
    <n v="0"/>
    <x v="0"/>
  </r>
  <r>
    <x v="0"/>
    <x v="9"/>
    <m/>
    <x v="1"/>
    <s v="ZP"/>
    <s v="26.09.2022"/>
    <m/>
    <s v="COP"/>
    <n v="2000009644"/>
    <s v="26.09.2022"/>
    <n v="2684100000"/>
    <n v="1"/>
    <n v="40"/>
    <n v="2684100000"/>
    <s v="COP"/>
    <d v="2022-09-26T00:00:00"/>
    <n v="1"/>
    <n v="0"/>
    <n v="0"/>
    <x v="0"/>
  </r>
  <r>
    <x v="0"/>
    <x v="9"/>
    <m/>
    <x v="1"/>
    <s v="ZP"/>
    <s v="26.09.2022"/>
    <m/>
    <s v="COP"/>
    <n v="2000009766"/>
    <s v="26.09.2022"/>
    <n v="16173000000"/>
    <n v="1"/>
    <n v="40"/>
    <n v="16173000000"/>
    <s v="COP"/>
    <d v="2022-09-26T00:00:00"/>
    <n v="1"/>
    <n v="0"/>
    <n v="0"/>
    <x v="0"/>
  </r>
  <r>
    <x v="0"/>
    <x v="9"/>
    <m/>
    <x v="1"/>
    <s v="ZP"/>
    <s v="27.09.2022"/>
    <m/>
    <s v="COP"/>
    <n v="2000009767"/>
    <s v="27.09.2022"/>
    <n v="42449999989"/>
    <n v="1"/>
    <n v="40"/>
    <n v="42449999989"/>
    <s v="COP"/>
    <d v="2022-09-27T00:00:00"/>
    <n v="1"/>
    <n v="0"/>
    <n v="0"/>
    <x v="0"/>
  </r>
  <r>
    <x v="0"/>
    <x v="9"/>
    <m/>
    <x v="1"/>
    <s v="ZP"/>
    <s v="27.09.2022"/>
    <m/>
    <s v="COP"/>
    <n v="2000009768"/>
    <s v="27.09.2022"/>
    <n v="49469999996"/>
    <n v="1"/>
    <n v="40"/>
    <n v="49469999996"/>
    <s v="COP"/>
    <d v="2022-09-27T00:00:00"/>
    <n v="1"/>
    <n v="0"/>
    <n v="0"/>
    <x v="0"/>
  </r>
  <r>
    <x v="0"/>
    <x v="9"/>
    <m/>
    <x v="1"/>
    <s v="ZP"/>
    <s v="12.09.2022"/>
    <m/>
    <s v="COP"/>
    <n v="2000009810"/>
    <s v="12.09.2022"/>
    <n v="8736000000"/>
    <n v="1"/>
    <n v="40"/>
    <n v="8736000000"/>
    <s v="COP"/>
    <d v="2022-09-12T00:00:00"/>
    <n v="1"/>
    <n v="0"/>
    <n v="0"/>
    <x v="0"/>
  </r>
  <r>
    <x v="0"/>
    <x v="9"/>
    <m/>
    <x v="1"/>
    <s v="ZS"/>
    <s v="05.09.2022"/>
    <s v="*CML1110 0001000004101"/>
    <s v="COP"/>
    <n v="7900011706"/>
    <s v="05.09.2022"/>
    <n v="-3696642160"/>
    <n v="1"/>
    <n v="50"/>
    <n v="-3696642160"/>
    <s v="COP"/>
    <d v="2022-09-05T00:00:00"/>
    <n v="1"/>
    <n v="0"/>
    <n v="0"/>
    <x v="0"/>
  </r>
  <r>
    <x v="0"/>
    <x v="9"/>
    <m/>
    <x v="1"/>
    <s v="ZS"/>
    <s v="05.09.2022"/>
    <s v="*CML1110 0001000004102"/>
    <s v="COP"/>
    <n v="7900011707"/>
    <s v="05.09.2022"/>
    <n v="-8276766840"/>
    <n v="1"/>
    <n v="50"/>
    <n v="-8276766840"/>
    <s v="COP"/>
    <d v="2022-09-05T00:00:00"/>
    <n v="1"/>
    <n v="0"/>
    <n v="0"/>
    <x v="0"/>
  </r>
  <r>
    <x v="0"/>
    <x v="9"/>
    <m/>
    <x v="1"/>
    <s v="ZS"/>
    <s v="06.09.2022"/>
    <s v="*CML1110 0001000003453"/>
    <s v="COP"/>
    <n v="7900011718"/>
    <s v="06.09.2022"/>
    <n v="-6822487909"/>
    <n v="1"/>
    <n v="50"/>
    <n v="-6822487909"/>
    <s v="COP"/>
    <d v="2022-09-06T00:00:00"/>
    <n v="1"/>
    <n v="0"/>
    <n v="0"/>
    <x v="0"/>
  </r>
  <r>
    <x v="0"/>
    <x v="9"/>
    <m/>
    <x v="1"/>
    <s v="ZS"/>
    <s v="06.09.2022"/>
    <s v="*CML1110 0001000003452"/>
    <s v="COP"/>
    <n v="7900011719"/>
    <s v="06.09.2022"/>
    <n v="-11699026020"/>
    <n v="1"/>
    <n v="50"/>
    <n v="-11699026020"/>
    <s v="COP"/>
    <d v="2022-09-06T00:00:00"/>
    <n v="1"/>
    <n v="0"/>
    <n v="0"/>
    <x v="0"/>
  </r>
  <r>
    <x v="0"/>
    <x v="9"/>
    <m/>
    <x v="1"/>
    <s v="ZS"/>
    <s v="06.09.2022"/>
    <s v="*CML1110 0001000003450"/>
    <s v="COP"/>
    <n v="7900011720"/>
    <s v="06.09.2022"/>
    <n v="-2413089014"/>
    <n v="1"/>
    <n v="50"/>
    <n v="-2413089014"/>
    <s v="COP"/>
    <d v="2022-09-06T00:00:00"/>
    <n v="1"/>
    <n v="0"/>
    <n v="0"/>
    <x v="0"/>
  </r>
  <r>
    <x v="0"/>
    <x v="9"/>
    <m/>
    <x v="1"/>
    <s v="ZS"/>
    <s v="06.09.2022"/>
    <s v="*CML1110 0001000003451"/>
    <s v="COP"/>
    <n v="7900011721"/>
    <s v="06.09.2022"/>
    <n v="-6101154400"/>
    <n v="1"/>
    <n v="50"/>
    <n v="-6101154400"/>
    <s v="COP"/>
    <d v="2022-09-06T00:00:00"/>
    <n v="1"/>
    <n v="0"/>
    <n v="0"/>
    <x v="0"/>
  </r>
  <r>
    <x v="0"/>
    <x v="9"/>
    <m/>
    <x v="1"/>
    <s v="ZS"/>
    <s v="12.09.2022"/>
    <s v="*CML1110 0001000003650"/>
    <s v="COP"/>
    <n v="7900011748"/>
    <s v="12.09.2022"/>
    <n v="-2357755556"/>
    <n v="1"/>
    <n v="50"/>
    <n v="-2357755556"/>
    <s v="COP"/>
    <d v="2022-09-12T00:00:00"/>
    <n v="1"/>
    <n v="0"/>
    <n v="0"/>
    <x v="0"/>
  </r>
  <r>
    <x v="0"/>
    <x v="9"/>
    <m/>
    <x v="1"/>
    <s v="ZS"/>
    <s v="13.09.2022"/>
    <s v="*CML1110 0001000002400"/>
    <s v="COP"/>
    <n v="7900011774"/>
    <s v="13.09.2022"/>
    <n v="-4047415506"/>
    <n v="1"/>
    <n v="50"/>
    <n v="-4047415506"/>
    <s v="COP"/>
    <d v="2022-09-13T00:00:00"/>
    <n v="1"/>
    <n v="0"/>
    <n v="0"/>
    <x v="0"/>
  </r>
  <r>
    <x v="0"/>
    <x v="9"/>
    <m/>
    <x v="1"/>
    <s v="ZS"/>
    <s v="13.09.2022"/>
    <s v="*CML1110 0001000002401"/>
    <s v="COP"/>
    <n v="7900011775"/>
    <s v="13.09.2022"/>
    <n v="-3110344542"/>
    <n v="1"/>
    <n v="50"/>
    <n v="-3110344542"/>
    <s v="COP"/>
    <d v="2022-09-13T00:00:00"/>
    <n v="1"/>
    <n v="0"/>
    <n v="0"/>
    <x v="0"/>
  </r>
  <r>
    <x v="0"/>
    <x v="9"/>
    <m/>
    <x v="1"/>
    <s v="ZS"/>
    <s v="15.09.2022"/>
    <s v="*CML1110 0001000000030"/>
    <s v="COP"/>
    <n v="7900011782"/>
    <s v="15.09.2022"/>
    <n v="-15256310000"/>
    <n v="1"/>
    <n v="50"/>
    <n v="-15256310000"/>
    <s v="COP"/>
    <d v="2022-09-15T00:00:00"/>
    <n v="1"/>
    <n v="0"/>
    <n v="0"/>
    <x v="0"/>
  </r>
  <r>
    <x v="0"/>
    <x v="9"/>
    <m/>
    <x v="1"/>
    <s v="ZS"/>
    <s v="15.09.2022"/>
    <s v="*CML1110 0001000000027"/>
    <s v="COP"/>
    <n v="7900011783"/>
    <s v="15.09.2022"/>
    <n v="-18105650250"/>
    <n v="1"/>
    <n v="50"/>
    <n v="-18105650250"/>
    <s v="COP"/>
    <d v="2022-09-15T00:00:00"/>
    <n v="1"/>
    <n v="0"/>
    <n v="0"/>
    <x v="0"/>
  </r>
  <r>
    <x v="0"/>
    <x v="9"/>
    <m/>
    <x v="1"/>
    <s v="ZS"/>
    <s v="23.09.2022"/>
    <s v="*CML1110 0001000003051"/>
    <s v="COP"/>
    <n v="7900011828"/>
    <s v="23.09.2022"/>
    <n v="-1728146749"/>
    <n v="1"/>
    <n v="50"/>
    <n v="-1728146749"/>
    <s v="COP"/>
    <d v="2022-09-23T00:00:00"/>
    <n v="1"/>
    <n v="0"/>
    <n v="0"/>
    <x v="0"/>
  </r>
  <r>
    <x v="0"/>
    <x v="9"/>
    <m/>
    <x v="1"/>
    <s v="ZS"/>
    <s v="26.09.2022"/>
    <s v="*CML1110 0001000003651"/>
    <s v="COP"/>
    <n v="7900011832"/>
    <s v="26.09.2022"/>
    <n v="-2684100000"/>
    <n v="1"/>
    <n v="50"/>
    <n v="-2684100000"/>
    <s v="COP"/>
    <d v="2022-09-26T00:00:00"/>
    <n v="1"/>
    <n v="0"/>
    <n v="0"/>
    <x v="0"/>
  </r>
  <r>
    <x v="0"/>
    <x v="9"/>
    <m/>
    <x v="1"/>
    <s v="ZD"/>
    <s v="01.09.2022"/>
    <s v="*CML1120 0001000001001"/>
    <s v="USD"/>
    <n v="7900011695"/>
    <s v="01.09.2022"/>
    <n v="-1715255.57"/>
    <n v="4422.7700000000004"/>
    <n v="50"/>
    <n v="-7586180877"/>
    <s v="COP"/>
    <d v="2022-09-01T00:00:00"/>
    <n v="4422.7700000000004"/>
    <n v="4422.7700000000004"/>
    <n v="0"/>
    <x v="0"/>
  </r>
  <r>
    <x v="0"/>
    <x v="9"/>
    <m/>
    <x v="1"/>
    <s v="ZI"/>
    <s v="06.09.2022"/>
    <s v="*FX2000- Venta divisas 0100000004502"/>
    <s v="USD"/>
    <n v="7900011731"/>
    <s v="06.09.2022"/>
    <n v="-858238.6"/>
    <n v="4467.0300200000001"/>
    <n v="50"/>
    <n v="-3833777593"/>
    <s v="COP"/>
    <d v="2022-09-06T00:00:00"/>
    <n v="4467.03"/>
    <n v="4466.7299999999996"/>
    <n v="-257471.5800001561"/>
    <x v="1"/>
  </r>
  <r>
    <x v="0"/>
    <x v="9"/>
    <m/>
    <x v="1"/>
    <s v="ZI"/>
    <s v="28.09.2022"/>
    <s v="*FX2000- Venta divisas 0100000004508"/>
    <s v="USD"/>
    <n v="7900011859"/>
    <s v="28.09.2022"/>
    <n v="-2270392.31"/>
    <n v="4496.99"/>
    <n v="50"/>
    <n v="-10209931511"/>
    <s v="COP"/>
    <d v="2022-09-28T00:00:00"/>
    <n v="4496.99"/>
    <n v="4556.42"/>
    <n v="134929414.98330066"/>
    <x v="2"/>
  </r>
  <r>
    <x v="0"/>
    <x v="9"/>
    <m/>
    <x v="1"/>
    <s v="ZI"/>
    <s v="28.09.2022"/>
    <s v="*FX2000- Venta divisas 0100000004509"/>
    <s v="USD"/>
    <n v="7900011867"/>
    <s v="28.09.2022"/>
    <n v="-1383021.64"/>
    <n v="4496.99"/>
    <n v="50"/>
    <n v="-6219434486"/>
    <s v="COP"/>
    <d v="2022-09-28T00:00:00"/>
    <n v="4496.99"/>
    <n v="4556.42"/>
    <n v="82192976.065200403"/>
    <x v="2"/>
  </r>
  <r>
    <x v="0"/>
    <x v="9"/>
    <m/>
    <x v="1"/>
    <s v="ZI"/>
    <s v="30.09.2022"/>
    <s v="*FX2000- Venta divisas 0100000004513"/>
    <s v="USD"/>
    <n v="7900012798"/>
    <s v="30.09.2022"/>
    <n v="-20174425.649999999"/>
    <n v="4556.42"/>
    <n v="50"/>
    <n v="-91923156538"/>
    <s v="COP"/>
    <d v="2022-09-30T00:00:00"/>
    <n v="4556.42"/>
    <n v="4532.07"/>
    <n v="-491247264.57750732"/>
    <x v="1"/>
  </r>
  <r>
    <x v="0"/>
    <x v="9"/>
    <m/>
    <x v="1"/>
    <s v="ZP"/>
    <s v="06.09.2022"/>
    <m/>
    <s v="USD"/>
    <n v="2000008926"/>
    <s v="06.09.2022"/>
    <n v="858238.6"/>
    <n v="4467.0300200000001"/>
    <n v="40"/>
    <n v="3833777593"/>
    <s v="COP"/>
    <d v="2022-09-06T00:00:00"/>
    <n v="4467.03"/>
    <n v="4466.7299999999996"/>
    <n v="257471.5800001561"/>
    <x v="2"/>
  </r>
  <r>
    <x v="0"/>
    <x v="9"/>
    <m/>
    <x v="1"/>
    <s v="ZP"/>
    <s v="01.09.2022"/>
    <m/>
    <s v="USD"/>
    <n v="2000009546"/>
    <s v="01.09.2022"/>
    <n v="2090536.83"/>
    <n v="4422.7700000000004"/>
    <n v="40"/>
    <n v="9245963575"/>
    <s v="COP"/>
    <d v="2022-09-01T00:00:00"/>
    <n v="4422.7700000000004"/>
    <n v="4422.7700000000004"/>
    <n v="0"/>
    <x v="0"/>
  </r>
  <r>
    <x v="0"/>
    <x v="9"/>
    <m/>
    <x v="1"/>
    <s v="ZP"/>
    <s v="28.09.2022"/>
    <m/>
    <s v="USD"/>
    <n v="2000009761"/>
    <s v="28.09.2022"/>
    <n v="3653413.95"/>
    <n v="4496.99"/>
    <n v="40"/>
    <n v="16429365997"/>
    <s v="COP"/>
    <d v="2022-09-28T00:00:00"/>
    <n v="4496.99"/>
    <n v="4556.42"/>
    <n v="-217122391.04850107"/>
    <x v="1"/>
  </r>
  <r>
    <x v="0"/>
    <x v="9"/>
    <m/>
    <x v="1"/>
    <s v="ZP"/>
    <s v="30.09.2022"/>
    <m/>
    <s v="USD"/>
    <n v="2000009808"/>
    <s v="30.09.2022"/>
    <n v="20174425.649999999"/>
    <n v="4556.42"/>
    <n v="40"/>
    <n v="91923156538"/>
    <s v="COP"/>
    <d v="2022-09-30T00:00:00"/>
    <n v="4556.42"/>
    <n v="4532.07"/>
    <n v="491247264.57750732"/>
    <x v="2"/>
  </r>
  <r>
    <x v="0"/>
    <x v="9"/>
    <m/>
    <x v="1"/>
    <s v="ZS"/>
    <s v="01.09.2022"/>
    <s v="*CML1110 0001000001001"/>
    <s v="USD"/>
    <n v="7900011694"/>
    <s v="01.09.2022"/>
    <n v="-375281.26"/>
    <n v="4422.7700000000004"/>
    <n v="50"/>
    <n v="-1659782698"/>
    <s v="COP"/>
    <d v="2022-09-01T00:00:00"/>
    <n v="4422.7700000000004"/>
    <n v="4422.7700000000004"/>
    <n v="0"/>
    <x v="0"/>
  </r>
  <r>
    <x v="1"/>
    <x v="3"/>
    <m/>
    <x v="2"/>
    <m/>
    <m/>
    <m/>
    <m/>
    <m/>
    <m/>
    <m/>
    <m/>
    <m/>
    <m/>
    <m/>
    <m/>
    <m/>
    <m/>
    <m/>
    <x v="0"/>
  </r>
  <r>
    <x v="0"/>
    <x v="10"/>
    <m/>
    <x v="0"/>
    <s v="ZI"/>
    <s v="03.10.2022"/>
    <s v="*FX1000+ Compra divisas 0100000004514"/>
    <s v="USD"/>
    <n v="7900013465"/>
    <s v="03.10.2022"/>
    <n v="-5000000"/>
    <n v="4590.54"/>
    <n v="50"/>
    <n v="-22952700000"/>
    <s v="COP"/>
    <d v="2022-10-03T00:00:00"/>
    <n v="4590.54"/>
    <n v="4590.54"/>
    <n v="0"/>
    <x v="0"/>
  </r>
  <r>
    <x v="0"/>
    <x v="10"/>
    <m/>
    <x v="0"/>
    <s v="ZI"/>
    <s v="03.10.2022"/>
    <s v="*FX2000- Venta divisas 0100000004514"/>
    <s v="COP"/>
    <n v="7900013466"/>
    <s v="03.10.2022"/>
    <n v="22952700000"/>
    <n v="1"/>
    <n v="40"/>
    <n v="22952700000"/>
    <s v="COP"/>
    <d v="2022-10-03T00:00:00"/>
    <n v="1"/>
    <n v="0"/>
    <n v="0"/>
    <x v="0"/>
  </r>
  <r>
    <x v="0"/>
    <x v="10"/>
    <m/>
    <x v="0"/>
    <s v="ZI"/>
    <s v="06.10.2022"/>
    <s v="*FX1000+ Compra divisas 0100000004515"/>
    <s v="USD"/>
    <n v="7900013672"/>
    <s v="06.10.2022"/>
    <n v="-3100000"/>
    <n v="4614"/>
    <n v="50"/>
    <n v="-14303400000"/>
    <s v="COP"/>
    <d v="2022-10-06T00:00:00"/>
    <n v="4614"/>
    <n v="4548.8900000000003"/>
    <n v="201840999.99999899"/>
    <x v="2"/>
  </r>
  <r>
    <x v="0"/>
    <x v="10"/>
    <m/>
    <x v="0"/>
    <s v="ZI"/>
    <s v="06.10.2022"/>
    <s v="*FX2000- Venta divisas 0100000004515"/>
    <s v="COP"/>
    <n v="7900013673"/>
    <s v="06.10.2022"/>
    <n v="14303400000"/>
    <n v="1"/>
    <n v="40"/>
    <n v="14303400000"/>
    <s v="COP"/>
    <d v="2022-10-06T00:00:00"/>
    <n v="1"/>
    <n v="0"/>
    <n v="0"/>
    <x v="0"/>
  </r>
  <r>
    <x v="0"/>
    <x v="10"/>
    <m/>
    <x v="0"/>
    <s v="ZI"/>
    <s v="07.10.2022"/>
    <s v="*FX1000+ Compra divisas 0100000004516"/>
    <s v="COP"/>
    <n v="7900013528"/>
    <s v="07.10.2022"/>
    <n v="-4076184153"/>
    <n v="1"/>
    <n v="50"/>
    <n v="-4076184153"/>
    <s v="COP"/>
    <d v="2022-10-07T00:00:00"/>
    <n v="1"/>
    <n v="0"/>
    <n v="0"/>
    <x v="0"/>
  </r>
  <r>
    <x v="0"/>
    <x v="10"/>
    <m/>
    <x v="0"/>
    <s v="ZI"/>
    <s v="07.10.2022"/>
    <s v="*FX2000- Venta divisas 0100000004516"/>
    <s v="USD"/>
    <n v="7900013529"/>
    <s v="07.10.2022"/>
    <n v="896083.25"/>
    <n v="4548.8900199999998"/>
    <n v="40"/>
    <n v="4076184153"/>
    <s v="COP"/>
    <d v="2022-10-07T00:00:00"/>
    <n v="4548.8900000000003"/>
    <n v="4627.6099999999997"/>
    <n v="70539673.439999416"/>
    <x v="2"/>
  </r>
  <r>
    <x v="0"/>
    <x v="10"/>
    <m/>
    <x v="0"/>
    <s v="ZI"/>
    <s v="07.10.2022"/>
    <s v="*FX1000+ Compra divisas 0100000004517"/>
    <s v="COP"/>
    <n v="7900013536"/>
    <s v="07.10.2022"/>
    <n v="-3598236192"/>
    <n v="1"/>
    <n v="50"/>
    <n v="-3598236192"/>
    <s v="COP"/>
    <d v="2022-10-07T00:00:00"/>
    <n v="1"/>
    <n v="0"/>
    <n v="0"/>
    <x v="0"/>
  </r>
  <r>
    <x v="0"/>
    <x v="10"/>
    <m/>
    <x v="0"/>
    <s v="ZI"/>
    <s v="07.10.2022"/>
    <s v="*FX2000- Venta divisas 0100000004517"/>
    <s v="USD"/>
    <n v="7900013537"/>
    <s v="07.10.2022"/>
    <n v="791014.11"/>
    <n v="4548.8900199999998"/>
    <n v="40"/>
    <n v="3598236192"/>
    <s v="COP"/>
    <d v="2022-10-07T00:00:00"/>
    <n v="4548.8900000000003"/>
    <n v="4627.6099999999997"/>
    <n v="62268630.739199482"/>
    <x v="2"/>
  </r>
  <r>
    <x v="0"/>
    <x v="10"/>
    <m/>
    <x v="0"/>
    <s v="ZI"/>
    <s v="11.10.2022"/>
    <s v="*FX1000+ Compra divisas 0100000004518"/>
    <s v="EURO"/>
    <n v="7900013728"/>
    <s v="11.10.2022"/>
    <n v="-708"/>
    <n v="4812.51836"/>
    <n v="50"/>
    <n v="-3407263"/>
    <s v="COP"/>
    <d v="2022-10-11T00:00:00"/>
    <n v="4812.5200000000004"/>
    <n v="0"/>
    <n v="0"/>
    <x v="0"/>
  </r>
  <r>
    <x v="0"/>
    <x v="10"/>
    <m/>
    <x v="0"/>
    <s v="ZI"/>
    <s v="11.10.2022"/>
    <s v="*FX2000- Venta divisas 0100000004518"/>
    <s v="USD"/>
    <n v="7900013729"/>
    <s v="11.10.2022"/>
    <n v="705.59"/>
    <n v="4828.9559099999997"/>
    <n v="40"/>
    <n v="3407263"/>
    <s v="COP"/>
    <d v="2022-10-11T00:00:00"/>
    <n v="4828.96"/>
    <n v="4605.29"/>
    <n v="-157819.31530000005"/>
    <x v="1"/>
  </r>
  <r>
    <x v="0"/>
    <x v="10"/>
    <m/>
    <x v="0"/>
    <s v="ZI"/>
    <s v="26.10.2022"/>
    <s v="*FX1000+ Compra divisas 0100000004525"/>
    <s v="USD"/>
    <n v="7900013736"/>
    <s v="26.10.2022"/>
    <n v="-4432823.32"/>
    <n v="4895.3"/>
    <n v="50"/>
    <n v="-21699999998"/>
    <s v="COP"/>
    <d v="2022-10-26T00:00:00"/>
    <n v="4895.3"/>
    <n v="4948.1400000000003"/>
    <n v="-234230384.22880065"/>
    <x v="1"/>
  </r>
  <r>
    <x v="0"/>
    <x v="10"/>
    <m/>
    <x v="0"/>
    <s v="ZI"/>
    <s v="26.10.2022"/>
    <s v="*FX2000- Venta divisas 0100000004525"/>
    <s v="COP"/>
    <n v="7900013737"/>
    <s v="26.10.2022"/>
    <n v="21699999998"/>
    <n v="1"/>
    <n v="40"/>
    <n v="21699999998"/>
    <s v="COP"/>
    <d v="2022-10-26T00:00:00"/>
    <n v="1"/>
    <n v="0"/>
    <n v="0"/>
    <x v="0"/>
  </r>
  <r>
    <x v="0"/>
    <x v="10"/>
    <m/>
    <x v="0"/>
    <s v="ZI"/>
    <s v="31.10.2022"/>
    <s v="*FX1000+ Compra divisas 0100000004526"/>
    <s v="COP"/>
    <n v="7900014631"/>
    <s v="31.10.2022"/>
    <n v="-43190394216"/>
    <n v="1"/>
    <n v="50"/>
    <n v="-43190394216"/>
    <s v="COP"/>
    <d v="2022-10-31T00:00:00"/>
    <n v="1"/>
    <n v="0"/>
    <n v="0"/>
    <x v="0"/>
  </r>
  <r>
    <x v="0"/>
    <x v="10"/>
    <m/>
    <x v="0"/>
    <s v="ZI"/>
    <s v="31.10.2022"/>
    <s v="*FX2000- Venta divisas 0100000004526"/>
    <s v="USD"/>
    <n v="7900014632"/>
    <s v="31.10.2022"/>
    <n v="8822846.9000000004"/>
    <n v="4895.29"/>
    <n v="40"/>
    <n v="43190394216"/>
    <s v="COP"/>
    <d v="2022-10-31T00:00:00"/>
    <n v="4895.29"/>
    <n v="4819.42"/>
    <n v="-669389394.30299902"/>
    <x v="1"/>
  </r>
  <r>
    <x v="0"/>
    <x v="10"/>
    <m/>
    <x v="1"/>
    <s v="MD"/>
    <s v="07.10.2022"/>
    <s v="LIQUIDACIÓN SWAP XCCY CITIBANK 1"/>
    <s v="USD"/>
    <n v="100056374"/>
    <s v="07.10.2022"/>
    <n v="-896083.25"/>
    <n v="4627.6099999999997"/>
    <n v="50"/>
    <n v="-4146723809"/>
    <s v="COP"/>
    <d v="2022-10-07T00:00:00"/>
    <n v="4627.6099999999997"/>
    <n v="4627.6099999999997"/>
    <n v="0"/>
    <x v="0"/>
  </r>
  <r>
    <x v="0"/>
    <x v="10"/>
    <m/>
    <x v="1"/>
    <s v="MD"/>
    <s v="07.10.2022"/>
    <s v="LIQUIDACIÓN SWAP XCCY CITIBANK 2"/>
    <s v="USD"/>
    <n v="100056375"/>
    <s v="07.10.2022"/>
    <n v="-791014.11"/>
    <n v="4627.6099999999997"/>
    <n v="50"/>
    <n v="-3660504806"/>
    <s v="COP"/>
    <d v="2022-10-07T00:00:00"/>
    <n v="4627.6099999999997"/>
    <n v="4627.6099999999997"/>
    <n v="0"/>
    <x v="0"/>
  </r>
  <r>
    <x v="0"/>
    <x v="10"/>
    <m/>
    <x v="1"/>
    <s v="MD"/>
    <s v="07.10.2022"/>
    <s v="LIQUIDACIÓN SWAP XCCY CITIBANK 1"/>
    <s v="USD"/>
    <n v="100061383"/>
    <s v="07.10.2022"/>
    <n v="896083.25"/>
    <n v="4627.6099999999997"/>
    <n v="40"/>
    <n v="4146723809"/>
    <s v="COP"/>
    <d v="2022-10-07T00:00:00"/>
    <n v="4627.6099999999997"/>
    <n v="4627.6099999999997"/>
    <n v="0"/>
    <x v="0"/>
  </r>
  <r>
    <x v="0"/>
    <x v="10"/>
    <m/>
    <x v="1"/>
    <s v="MD"/>
    <s v="07.10.2022"/>
    <s v="LIQUIDACIÓN SWAP XCCY CITIBANK 2"/>
    <s v="USD"/>
    <n v="100061384"/>
    <s v="07.10.2022"/>
    <n v="791014.11"/>
    <n v="4627.6099999999997"/>
    <n v="40"/>
    <n v="3660504806"/>
    <s v="COP"/>
    <d v="2022-10-07T00:00:00"/>
    <n v="4627.6099999999997"/>
    <n v="4627.6099999999997"/>
    <n v="0"/>
    <x v="0"/>
  </r>
  <r>
    <x v="0"/>
    <x v="10"/>
    <m/>
    <x v="1"/>
    <s v="MD"/>
    <s v="31.10.2022"/>
    <s v="LIQUIDACIÓN SWAP XCCY CITIBANK1"/>
    <s v="COP"/>
    <n v="100061402"/>
    <s v="31.10.2022"/>
    <n v="-4076184153"/>
    <n v="1"/>
    <n v="50"/>
    <n v="-4076184153"/>
    <s v="COP"/>
    <d v="2022-10-31T00:00:00"/>
    <n v="1"/>
    <n v="0"/>
    <n v="0"/>
    <x v="0"/>
  </r>
  <r>
    <x v="0"/>
    <x v="10"/>
    <m/>
    <x v="1"/>
    <s v="MD"/>
    <s v="31.10.2022"/>
    <s v="LIQUIDACIÓN SWAP XCCY CITIBANK 2"/>
    <s v="COP"/>
    <n v="100061403"/>
    <s v="31.10.2022"/>
    <n v="-3598236192"/>
    <n v="1"/>
    <n v="50"/>
    <n v="-3598236192"/>
    <s v="COP"/>
    <d v="2022-10-31T00:00:00"/>
    <n v="1"/>
    <n v="0"/>
    <n v="0"/>
    <x v="0"/>
  </r>
  <r>
    <x v="0"/>
    <x v="10"/>
    <m/>
    <x v="1"/>
    <s v="MT"/>
    <s v="07.10.2022"/>
    <s v="COMPENSACION SWAP CITI 07.10.2022"/>
    <s v="COP"/>
    <n v="100061381"/>
    <s v="07.10.2022"/>
    <n v="7674420345"/>
    <n v="1"/>
    <n v="40"/>
    <n v="7674420345"/>
    <s v="COP"/>
    <d v="2022-10-07T00:00:00"/>
    <n v="1"/>
    <n v="0"/>
    <n v="0"/>
    <x v="0"/>
  </r>
  <r>
    <x v="0"/>
    <x v="10"/>
    <m/>
    <x v="1"/>
    <s v="TD"/>
    <s v="03.10.2022"/>
    <s v="*FX2001- Venta divisas 0400000000103"/>
    <s v="COP"/>
    <n v="7900013458"/>
    <s v="03.10.2022"/>
    <n v="-22057400000"/>
    <n v="1"/>
    <n v="50"/>
    <n v="-22057400000"/>
    <s v="COP"/>
    <d v="2022-10-03T00:00:00"/>
    <n v="1"/>
    <n v="0"/>
    <n v="0"/>
    <x v="0"/>
  </r>
  <r>
    <x v="0"/>
    <x v="10"/>
    <m/>
    <x v="1"/>
    <s v="ZD"/>
    <s v="06.10.2022"/>
    <s v="*CML1120 0001000003054"/>
    <s v="COP"/>
    <n v="7900013477"/>
    <s v="06.10.2022"/>
    <n v="-11906812837"/>
    <n v="1"/>
    <n v="50"/>
    <n v="-11906812837"/>
    <s v="COP"/>
    <d v="2022-10-06T00:00:00"/>
    <n v="1"/>
    <n v="0"/>
    <n v="0"/>
    <x v="0"/>
  </r>
  <r>
    <x v="0"/>
    <x v="10"/>
    <m/>
    <x v="1"/>
    <s v="ZD"/>
    <s v="11.10.2022"/>
    <s v="*CML1120 0001000003057"/>
    <s v="COP"/>
    <n v="7900013561"/>
    <s v="11.10.2022"/>
    <n v="-3162725135"/>
    <n v="1"/>
    <n v="50"/>
    <n v="-3162725135"/>
    <s v="COP"/>
    <d v="2022-10-11T00:00:00"/>
    <n v="1"/>
    <n v="0"/>
    <n v="0"/>
    <x v="0"/>
  </r>
  <r>
    <x v="0"/>
    <x v="10"/>
    <m/>
    <x v="1"/>
    <s v="ZD"/>
    <s v="11.10.2022"/>
    <s v="*CML1120 0001000003055"/>
    <s v="COP"/>
    <n v="7900013569"/>
    <s v="11.10.2022"/>
    <n v="-1739498824"/>
    <n v="1"/>
    <n v="50"/>
    <n v="-1739498824"/>
    <s v="COP"/>
    <d v="2022-10-11T00:00:00"/>
    <n v="1"/>
    <n v="0"/>
    <n v="0"/>
    <x v="0"/>
  </r>
  <r>
    <x v="0"/>
    <x v="10"/>
    <m/>
    <x v="1"/>
    <s v="ZD"/>
    <s v="13.10.2022"/>
    <s v="*CML1120 0001000003052"/>
    <s v="COP"/>
    <n v="7900013601"/>
    <s v="13.10.2022"/>
    <n v="-4568380000"/>
    <n v="1"/>
    <n v="50"/>
    <n v="-4568380000"/>
    <s v="COP"/>
    <d v="2022-10-13T00:00:00"/>
    <n v="1"/>
    <n v="0"/>
    <n v="0"/>
    <x v="0"/>
  </r>
  <r>
    <x v="0"/>
    <x v="10"/>
    <m/>
    <x v="1"/>
    <s v="ZD"/>
    <s v="31.10.2022"/>
    <s v="*CML1115 0001000004400"/>
    <s v="USD"/>
    <n v="7900014644"/>
    <s v="31.10.2022"/>
    <n v="-499815"/>
    <n v="4819.42"/>
    <n v="50"/>
    <n v="-2408818407"/>
    <s v="COP"/>
    <d v="2022-10-31T00:00:00"/>
    <n v="4819.42"/>
    <n v="4819.42"/>
    <n v="0"/>
    <x v="0"/>
  </r>
  <r>
    <x v="0"/>
    <x v="10"/>
    <m/>
    <x v="1"/>
    <s v="ZI"/>
    <s v="06.10.2022"/>
    <s v="*FX2000- Venta divisas 0100000004515"/>
    <s v="COP"/>
    <n v="7900013673"/>
    <s v="06.10.2022"/>
    <n v="-14303400000"/>
    <n v="1"/>
    <n v="50"/>
    <n v="-14303400000"/>
    <s v="COP"/>
    <d v="2022-10-06T00:00:00"/>
    <n v="1"/>
    <n v="0"/>
    <n v="0"/>
    <x v="0"/>
  </r>
  <r>
    <x v="0"/>
    <x v="10"/>
    <m/>
    <x v="1"/>
    <s v="ZI"/>
    <s v="07.10.2022"/>
    <s v="*FX2000- Venta divisas 0100000004516"/>
    <s v="USD"/>
    <n v="7900013529"/>
    <s v="07.10.2022"/>
    <n v="-896083.25"/>
    <n v="4548.8900199999998"/>
    <n v="50"/>
    <n v="-4076184153"/>
    <s v="COP"/>
    <d v="2022-10-07T00:00:00"/>
    <n v="4548.8900000000003"/>
    <n v="4627.6099999999997"/>
    <n v="70539673.439999416"/>
    <x v="2"/>
  </r>
  <r>
    <x v="0"/>
    <x v="10"/>
    <m/>
    <x v="1"/>
    <s v="ZI"/>
    <s v="07.10.2022"/>
    <s v="*FX2000- Venta divisas 0100000004517"/>
    <s v="USD"/>
    <n v="7900013537"/>
    <s v="07.10.2022"/>
    <n v="-791014.11"/>
    <n v="4548.8900199999998"/>
    <n v="50"/>
    <n v="-3598236192"/>
    <s v="COP"/>
    <d v="2022-10-07T00:00:00"/>
    <n v="4548.8900000000003"/>
    <n v="4627.6099999999997"/>
    <n v="62268630.739199482"/>
    <x v="2"/>
  </r>
  <r>
    <x v="0"/>
    <x v="10"/>
    <m/>
    <x v="1"/>
    <s v="ZI"/>
    <s v="26.10.2022"/>
    <s v="*FX2000- Venta divisas 0100000004525"/>
    <s v="COP"/>
    <n v="7900013737"/>
    <s v="26.10.2022"/>
    <n v="-21699999998"/>
    <n v="1"/>
    <n v="50"/>
    <n v="-21699999998"/>
    <s v="COP"/>
    <d v="2022-10-26T00:00:00"/>
    <n v="1"/>
    <n v="0"/>
    <n v="0"/>
    <x v="0"/>
  </r>
  <r>
    <x v="0"/>
    <x v="10"/>
    <m/>
    <x v="1"/>
    <s v="ZI"/>
    <s v="31.10.2022"/>
    <s v="*FX2000- Venta divisas 0100000004526"/>
    <s v="USD"/>
    <n v="7900014632"/>
    <s v="31.10.2022"/>
    <n v="-8822846.9000000004"/>
    <n v="4895.29"/>
    <n v="50"/>
    <n v="-43190394216"/>
    <s v="COP"/>
    <d v="2022-10-31T00:00:00"/>
    <n v="4895.29"/>
    <n v="4819.42"/>
    <n v="-669389394.30299902"/>
    <x v="1"/>
  </r>
  <r>
    <x v="0"/>
    <x v="10"/>
    <m/>
    <x v="1"/>
    <s v="ZP"/>
    <s v="03.10.2022"/>
    <m/>
    <s v="COP"/>
    <n v="2000009915"/>
    <s v="03.10.2022"/>
    <n v="22057400000"/>
    <n v="1"/>
    <n v="40"/>
    <n v="22057400000"/>
    <s v="COP"/>
    <d v="2022-10-03T00:00:00"/>
    <n v="1"/>
    <n v="0"/>
    <n v="0"/>
    <x v="0"/>
  </r>
  <r>
    <x v="0"/>
    <x v="10"/>
    <m/>
    <x v="1"/>
    <s v="ZP"/>
    <s v="06.10.2022"/>
    <m/>
    <s v="COP"/>
    <n v="2000009968"/>
    <s v="06.10.2022"/>
    <n v="20957472436"/>
    <n v="1"/>
    <n v="40"/>
    <n v="20957472436"/>
    <s v="COP"/>
    <d v="2022-10-06T00:00:00"/>
    <n v="1"/>
    <n v="0"/>
    <n v="0"/>
    <x v="0"/>
  </r>
  <r>
    <x v="0"/>
    <x v="10"/>
    <m/>
    <x v="1"/>
    <s v="ZP"/>
    <s v="06.10.2022"/>
    <m/>
    <s v="COP"/>
    <n v="2000010577"/>
    <s v="06.10.2022"/>
    <n v="14303400000"/>
    <n v="1"/>
    <n v="40"/>
    <n v="14303400000"/>
    <s v="COP"/>
    <d v="2022-10-06T00:00:00"/>
    <n v="1"/>
    <n v="0"/>
    <n v="0"/>
    <x v="0"/>
  </r>
  <r>
    <x v="0"/>
    <x v="10"/>
    <m/>
    <x v="1"/>
    <s v="ZP"/>
    <s v="07.10.2022"/>
    <m/>
    <s v="USD"/>
    <n v="2000010202"/>
    <s v="07.10.2022"/>
    <n v="1266453.18"/>
    <n v="4627.6099999999997"/>
    <n v="40"/>
    <n v="5860651400"/>
    <s v="COP"/>
    <d v="2022-10-07T00:00:00"/>
    <n v="4627.6099999999997"/>
    <n v="4627.6099999999997"/>
    <n v="0"/>
    <x v="0"/>
  </r>
  <r>
    <x v="0"/>
    <x v="10"/>
    <m/>
    <x v="1"/>
    <s v="ZP"/>
    <s v="07.10.2022"/>
    <m/>
    <s v="USD"/>
    <n v="2000010227"/>
    <s v="07.10.2022"/>
    <n v="1687097.36"/>
    <n v="4548.8900199999998"/>
    <n v="40"/>
    <n v="7674420345"/>
    <s v="COP"/>
    <d v="2022-10-07T00:00:00"/>
    <n v="4548.8900000000003"/>
    <n v="4627.6099999999997"/>
    <n v="-132808304.17919891"/>
    <x v="1"/>
  </r>
  <r>
    <x v="0"/>
    <x v="10"/>
    <m/>
    <x v="1"/>
    <s v="ZP"/>
    <s v="11.10.2022"/>
    <m/>
    <s v="COP"/>
    <n v="2000010260"/>
    <s v="11.10.2022"/>
    <n v="5593084952"/>
    <n v="1"/>
    <n v="40"/>
    <n v="5593084952"/>
    <s v="COP"/>
    <d v="2022-10-11T00:00:00"/>
    <n v="1"/>
    <n v="0"/>
    <n v="0"/>
    <x v="0"/>
  </r>
  <r>
    <x v="0"/>
    <x v="10"/>
    <m/>
    <x v="1"/>
    <s v="ZP"/>
    <s v="11.10.2022"/>
    <m/>
    <s v="COP"/>
    <n v="2000010270"/>
    <s v="11.10.2022"/>
    <n v="3076196703"/>
    <n v="1"/>
    <n v="40"/>
    <n v="3076196703"/>
    <s v="COP"/>
    <d v="2022-10-11T00:00:00"/>
    <n v="1"/>
    <n v="0"/>
    <n v="0"/>
    <x v="0"/>
  </r>
  <r>
    <x v="0"/>
    <x v="10"/>
    <m/>
    <x v="1"/>
    <s v="ZP"/>
    <s v="13.10.2022"/>
    <m/>
    <s v="COP"/>
    <n v="2000010320"/>
    <s v="13.10.2022"/>
    <n v="6704392583"/>
    <n v="1"/>
    <n v="40"/>
    <n v="6704392583"/>
    <s v="COP"/>
    <d v="2022-10-13T00:00:00"/>
    <n v="1"/>
    <n v="0"/>
    <n v="0"/>
    <x v="0"/>
  </r>
  <r>
    <x v="0"/>
    <x v="10"/>
    <m/>
    <x v="1"/>
    <s v="ZP"/>
    <s v="18.10.2022"/>
    <m/>
    <s v="COP"/>
    <n v="2000010382"/>
    <s v="18.10.2022"/>
    <n v="14305799742"/>
    <n v="1"/>
    <n v="40"/>
    <n v="14305799742"/>
    <s v="COP"/>
    <d v="2022-10-18T00:00:00"/>
    <n v="1"/>
    <n v="0"/>
    <n v="0"/>
    <x v="0"/>
  </r>
  <r>
    <x v="0"/>
    <x v="10"/>
    <m/>
    <x v="1"/>
    <s v="ZP"/>
    <s v="24.10.2022"/>
    <m/>
    <s v="COP"/>
    <n v="2000010580"/>
    <s v="24.10.2022"/>
    <n v="9481950685"/>
    <n v="1"/>
    <n v="40"/>
    <n v="9481950685"/>
    <s v="COP"/>
    <d v="2022-10-24T00:00:00"/>
    <n v="1"/>
    <n v="0"/>
    <n v="0"/>
    <x v="0"/>
  </r>
  <r>
    <x v="0"/>
    <x v="10"/>
    <m/>
    <x v="1"/>
    <s v="ZP"/>
    <s v="26.10.2022"/>
    <m/>
    <s v="COP"/>
    <n v="2000010782"/>
    <s v="26.10.2022"/>
    <n v="21699999998"/>
    <n v="1"/>
    <n v="40"/>
    <n v="21699999998"/>
    <s v="COP"/>
    <d v="2022-10-26T00:00:00"/>
    <n v="1"/>
    <n v="0"/>
    <n v="0"/>
    <x v="0"/>
  </r>
  <r>
    <x v="0"/>
    <x v="10"/>
    <m/>
    <x v="1"/>
    <s v="ZP"/>
    <s v="31.10.2022"/>
    <m/>
    <s v="USD"/>
    <n v="2000010800"/>
    <s v="31.10.2022"/>
    <n v="8822846.9000000004"/>
    <n v="4895.29"/>
    <n v="40"/>
    <n v="43190394216"/>
    <s v="COP"/>
    <d v="2022-10-31T00:00:00"/>
    <n v="4895.29"/>
    <n v="4819.42"/>
    <n v="669389394.30299902"/>
    <x v="2"/>
  </r>
  <r>
    <x v="0"/>
    <x v="10"/>
    <m/>
    <x v="1"/>
    <s v="ZP"/>
    <s v="31.10.2022"/>
    <m/>
    <s v="USD"/>
    <n v="2000010847"/>
    <s v="31.10.2022"/>
    <n v="500018.67"/>
    <n v="4819.42"/>
    <n v="40"/>
    <n v="2409799978"/>
    <s v="COP"/>
    <d v="2022-10-31T00:00:00"/>
    <n v="4819.42"/>
    <n v="4819.42"/>
    <n v="0"/>
    <x v="0"/>
  </r>
  <r>
    <x v="0"/>
    <x v="10"/>
    <m/>
    <x v="1"/>
    <s v="ZS"/>
    <s v="06.10.2022"/>
    <s v="*CML1110 0001000003054"/>
    <s v="COP"/>
    <n v="7900013476"/>
    <s v="06.10.2022"/>
    <n v="-9050659599"/>
    <n v="1"/>
    <n v="50"/>
    <n v="-9050659599"/>
    <s v="COP"/>
    <d v="2022-10-06T00:00:00"/>
    <n v="1"/>
    <n v="0"/>
    <n v="0"/>
    <x v="0"/>
  </r>
  <r>
    <x v="0"/>
    <x v="10"/>
    <m/>
    <x v="1"/>
    <s v="ZS"/>
    <s v="07.10.2022"/>
    <s v="*CML1110 0001000004151"/>
    <s v="USD"/>
    <n v="7900013520"/>
    <s v="07.10.2022"/>
    <n v="-735452.56"/>
    <n v="4627.6099999999997"/>
    <n v="50"/>
    <n v="-3403387621"/>
    <s v="COP"/>
    <d v="2022-10-07T00:00:00"/>
    <n v="4627.6099999999997"/>
    <n v="4627.6099999999997"/>
    <n v="0"/>
    <x v="0"/>
  </r>
  <r>
    <x v="0"/>
    <x v="10"/>
    <m/>
    <x v="1"/>
    <s v="ZS"/>
    <s v="07.10.2022"/>
    <s v="*CML1110 0001000004253"/>
    <s v="USD"/>
    <n v="7900013521"/>
    <s v="07.10.2022"/>
    <n v="-531000.62"/>
    <n v="4627.6099999999997"/>
    <n v="50"/>
    <n v="-2457263779"/>
    <s v="COP"/>
    <d v="2022-10-07T00:00:00"/>
    <n v="4627.6099999999997"/>
    <n v="4627.6099999999997"/>
    <n v="0"/>
    <x v="0"/>
  </r>
  <r>
    <x v="0"/>
    <x v="10"/>
    <m/>
    <x v="1"/>
    <s v="ZS"/>
    <s v="11.10.2022"/>
    <s v="*CML1110 0001000003057"/>
    <s v="COP"/>
    <n v="7900013560"/>
    <s v="11.10.2022"/>
    <n v="-2430359817"/>
    <n v="1"/>
    <n v="50"/>
    <n v="-2430359817"/>
    <s v="COP"/>
    <d v="2022-10-11T00:00:00"/>
    <n v="1"/>
    <n v="0"/>
    <n v="0"/>
    <x v="0"/>
  </r>
  <r>
    <x v="0"/>
    <x v="10"/>
    <m/>
    <x v="1"/>
    <s v="ZS"/>
    <s v="11.10.2022"/>
    <s v="*CML1110 0001000003055"/>
    <s v="COP"/>
    <n v="7900013568"/>
    <s v="11.10.2022"/>
    <n v="-1336697879"/>
    <n v="1"/>
    <n v="50"/>
    <n v="-1336697879"/>
    <s v="COP"/>
    <d v="2022-10-11T00:00:00"/>
    <n v="1"/>
    <n v="0"/>
    <n v="0"/>
    <x v="0"/>
  </r>
  <r>
    <x v="0"/>
    <x v="10"/>
    <m/>
    <x v="1"/>
    <s v="ZS"/>
    <s v="13.10.2022"/>
    <s v="*CML1110 0001000003052"/>
    <s v="COP"/>
    <n v="7900013600"/>
    <s v="13.10.2022"/>
    <n v="-2136012583"/>
    <n v="1"/>
    <n v="50"/>
    <n v="-2136012583"/>
    <s v="COP"/>
    <d v="2022-10-13T00:00:00"/>
    <n v="1"/>
    <n v="0"/>
    <n v="0"/>
    <x v="0"/>
  </r>
  <r>
    <x v="0"/>
    <x v="10"/>
    <m/>
    <x v="1"/>
    <s v="ZS"/>
    <s v="18.10.2022"/>
    <s v="*CML1110 0001000003050"/>
    <s v="COP"/>
    <n v="7900013618"/>
    <s v="18.10.2022"/>
    <n v="-14305799742"/>
    <n v="1"/>
    <n v="50"/>
    <n v="-14305799742"/>
    <s v="COP"/>
    <d v="2022-10-18T00:00:00"/>
    <n v="1"/>
    <n v="0"/>
    <n v="0"/>
    <x v="0"/>
  </r>
  <r>
    <x v="0"/>
    <x v="10"/>
    <m/>
    <x v="1"/>
    <s v="ZS"/>
    <s v="24.10.2022"/>
    <s v="*CML1110 0001000003550"/>
    <s v="COP"/>
    <n v="7900013678"/>
    <s v="24.10.2022"/>
    <n v="-9481950685"/>
    <n v="1"/>
    <n v="50"/>
    <n v="-9481950685"/>
    <s v="COP"/>
    <d v="2022-10-24T00:00:00"/>
    <n v="1"/>
    <n v="0"/>
    <n v="0"/>
    <x v="0"/>
  </r>
  <r>
    <x v="0"/>
    <x v="10"/>
    <m/>
    <x v="1"/>
    <s v="ZS"/>
    <s v="31.10.2022"/>
    <s v="*CML1110 0001000004400"/>
    <s v="USD"/>
    <n v="7900014643"/>
    <s v="31.10.2022"/>
    <n v="-203.67"/>
    <n v="4819.41867"/>
    <n v="50"/>
    <n v="-981571"/>
    <s v="COP"/>
    <d v="2022-10-31T00:00:00"/>
    <n v="4819.42"/>
    <n v="4819.42"/>
    <n v="0"/>
    <x v="0"/>
  </r>
  <r>
    <x v="1"/>
    <x v="3"/>
    <m/>
    <x v="2"/>
    <m/>
    <m/>
    <m/>
    <m/>
    <m/>
    <m/>
    <m/>
    <m/>
    <m/>
    <m/>
    <m/>
    <m/>
    <m/>
    <m/>
    <m/>
    <x v="0"/>
  </r>
  <r>
    <x v="0"/>
    <x v="11"/>
    <m/>
    <x v="0"/>
    <s v="ZI"/>
    <s v="15.11.2022"/>
    <s v="*FX1000+ Compra divisas 0100000004527"/>
    <s v="USD"/>
    <n v="7900014684"/>
    <s v="15.11.2022"/>
    <n v="-3000000"/>
    <n v="4827"/>
    <n v="50"/>
    <n v="-14481000000"/>
    <s v="COP"/>
    <d v="2022-11-15T00:00:00"/>
    <n v="4827"/>
    <n v="4806.07"/>
    <n v="62790000.000000872"/>
    <x v="2"/>
  </r>
  <r>
    <x v="0"/>
    <x v="11"/>
    <m/>
    <x v="0"/>
    <s v="ZI"/>
    <s v="15.11.2022"/>
    <s v="*FX2000- Venta divisas 0100000004527"/>
    <s v="COP"/>
    <n v="7900014685"/>
    <s v="15.11.2022"/>
    <n v="14481000000"/>
    <n v="1"/>
    <n v="40"/>
    <n v="14481000000"/>
    <s v="COP"/>
    <d v="2022-11-15T00:00:00"/>
    <n v="1"/>
    <n v="0"/>
    <n v="0"/>
    <x v="0"/>
  </r>
  <r>
    <x v="0"/>
    <x v="11"/>
    <m/>
    <x v="0"/>
    <s v="ZI"/>
    <s v="15.11.2022"/>
    <s v="*FX1000+ Compra divisas 0100000004528"/>
    <s v="USD"/>
    <n v="7900014692"/>
    <s v="15.11.2022"/>
    <n v="-3000000"/>
    <n v="4823"/>
    <n v="50"/>
    <n v="-14469000000"/>
    <s v="COP"/>
    <d v="2022-11-15T00:00:00"/>
    <n v="4823"/>
    <n v="4806.07"/>
    <n v="50790000.000000872"/>
    <x v="2"/>
  </r>
  <r>
    <x v="0"/>
    <x v="11"/>
    <m/>
    <x v="0"/>
    <s v="ZI"/>
    <s v="15.11.2022"/>
    <s v="*FX2000- Venta divisas 0100000004528"/>
    <s v="COP"/>
    <n v="7900014693"/>
    <s v="15.11.2022"/>
    <n v="14469000000"/>
    <n v="1"/>
    <n v="40"/>
    <n v="14469000000"/>
    <s v="COP"/>
    <d v="2022-11-15T00:00:00"/>
    <n v="1"/>
    <n v="0"/>
    <n v="0"/>
    <x v="0"/>
  </r>
  <r>
    <x v="0"/>
    <x v="11"/>
    <m/>
    <x v="0"/>
    <s v="ZI"/>
    <s v="15.11.2022"/>
    <s v="*FX1000+ Compra divisas 0100000004529"/>
    <s v="USD"/>
    <n v="7900014700"/>
    <s v="15.11.2022"/>
    <n v="-4000000"/>
    <n v="4826"/>
    <n v="50"/>
    <n v="-19304000000"/>
    <s v="COP"/>
    <d v="2022-11-15T00:00:00"/>
    <n v="4826"/>
    <n v="4806.07"/>
    <n v="79720000.000001162"/>
    <x v="2"/>
  </r>
  <r>
    <x v="0"/>
    <x v="11"/>
    <m/>
    <x v="0"/>
    <s v="ZI"/>
    <s v="15.11.2022"/>
    <s v="*FX2000- Venta divisas 0100000004529"/>
    <s v="COP"/>
    <n v="7900014701"/>
    <s v="15.11.2022"/>
    <n v="19304000000"/>
    <n v="1"/>
    <n v="40"/>
    <n v="19304000000"/>
    <s v="COP"/>
    <d v="2022-11-15T00:00:00"/>
    <n v="1"/>
    <n v="0"/>
    <n v="0"/>
    <x v="0"/>
  </r>
  <r>
    <x v="0"/>
    <x v="11"/>
    <m/>
    <x v="0"/>
    <s v="ZI"/>
    <s v="15.11.2022"/>
    <s v="*FX1000+ Compra divisas 0100000004530"/>
    <s v="USD"/>
    <n v="7900014708"/>
    <s v="15.11.2022"/>
    <n v="-2600000"/>
    <n v="4822.2"/>
    <n v="50"/>
    <n v="-12537720000"/>
    <s v="COP"/>
    <d v="2022-11-15T00:00:00"/>
    <n v="4822.2"/>
    <n v="4806.07"/>
    <n v="41938000.000000283"/>
    <x v="2"/>
  </r>
  <r>
    <x v="0"/>
    <x v="11"/>
    <m/>
    <x v="0"/>
    <s v="ZI"/>
    <s v="15.11.2022"/>
    <s v="*FX2000- Venta divisas 0100000004530"/>
    <s v="COP"/>
    <n v="7900014709"/>
    <s v="15.11.2022"/>
    <n v="12537720000"/>
    <n v="1"/>
    <n v="40"/>
    <n v="12537720000"/>
    <s v="COP"/>
    <d v="2022-11-15T00:00:00"/>
    <n v="1"/>
    <n v="0"/>
    <n v="0"/>
    <x v="0"/>
  </r>
  <r>
    <x v="0"/>
    <x v="11"/>
    <m/>
    <x v="0"/>
    <s v="ZI"/>
    <s v="15.11.2022"/>
    <s v="*FX1000+ Compra divisas 0100000004531"/>
    <s v="USD"/>
    <n v="7900014716"/>
    <s v="15.11.2022"/>
    <n v="-3000000"/>
    <n v="4825"/>
    <n v="50"/>
    <n v="-14475000000"/>
    <s v="COP"/>
    <d v="2022-11-15T00:00:00"/>
    <n v="4825"/>
    <n v="4806.07"/>
    <n v="56790000.000000872"/>
    <x v="2"/>
  </r>
  <r>
    <x v="0"/>
    <x v="11"/>
    <m/>
    <x v="0"/>
    <s v="ZI"/>
    <s v="15.11.2022"/>
    <s v="*FX2000- Venta divisas 0100000004531"/>
    <s v="COP"/>
    <n v="7900014717"/>
    <s v="15.11.2022"/>
    <n v="14475000000"/>
    <n v="1"/>
    <n v="40"/>
    <n v="14475000000"/>
    <s v="COP"/>
    <d v="2022-11-15T00:00:00"/>
    <n v="1"/>
    <n v="0"/>
    <n v="0"/>
    <x v="0"/>
  </r>
  <r>
    <x v="0"/>
    <x v="11"/>
    <m/>
    <x v="0"/>
    <s v="ZI"/>
    <s v="15.11.2022"/>
    <s v="*FX1000+ Compra divisas 0100000004532"/>
    <s v="USD"/>
    <n v="7900014867"/>
    <s v="15.11.2022"/>
    <n v="-32000000"/>
    <n v="4806.07"/>
    <n v="50"/>
    <n v="-153794240000"/>
    <s v="COP"/>
    <d v="2022-11-15T00:00:00"/>
    <n v="4806.07"/>
    <n v="4806.07"/>
    <n v="0"/>
    <x v="0"/>
  </r>
  <r>
    <x v="0"/>
    <x v="11"/>
    <m/>
    <x v="0"/>
    <s v="ZI"/>
    <s v="15.11.2022"/>
    <s v="*FX2000- Venta divisas 0100000004532"/>
    <s v="COP"/>
    <n v="7900014868"/>
    <s v="15.11.2022"/>
    <n v="153794240000"/>
    <n v="1"/>
    <n v="40"/>
    <n v="153794240000"/>
    <s v="COP"/>
    <d v="2022-11-15T00:00:00"/>
    <n v="1"/>
    <n v="0"/>
    <n v="0"/>
    <x v="0"/>
  </r>
  <r>
    <x v="0"/>
    <x v="11"/>
    <m/>
    <x v="0"/>
    <s v="ZI"/>
    <s v="22.11.2022"/>
    <s v="*FX1000+ Compra divisas 0100000004547"/>
    <s v="EURO"/>
    <n v="7900015889"/>
    <s v="22.11.2022"/>
    <n v="-9536"/>
    <n v="4951.3905199999999"/>
    <n v="50"/>
    <n v="-47216460"/>
    <s v="COP"/>
    <d v="2022-11-22T00:00:00"/>
    <n v="4951.3900000000003"/>
    <n v="0"/>
    <n v="0"/>
    <x v="0"/>
  </r>
  <r>
    <x v="0"/>
    <x v="11"/>
    <m/>
    <x v="0"/>
    <s v="ZI"/>
    <s v="22.11.2022"/>
    <s v="*FX2000- Venta divisas 0100000004547"/>
    <s v="USD"/>
    <n v="7900015890"/>
    <s v="22.11.2022"/>
    <n v="10056.67"/>
    <n v="4695.0392099999999"/>
    <n v="40"/>
    <n v="47216460"/>
    <s v="COP"/>
    <d v="2022-11-22T00:00:00"/>
    <n v="4695.04"/>
    <n v="4958.42"/>
    <n v="2648725.7446000013"/>
    <x v="2"/>
  </r>
  <r>
    <x v="0"/>
    <x v="11"/>
    <m/>
    <x v="0"/>
    <s v="ZI"/>
    <s v="28.11.2022"/>
    <s v="*FX1000+ Compra divisas 0100000004542"/>
    <s v="USD"/>
    <n v="7900015837"/>
    <s v="28.11.2022"/>
    <n v="-1000000"/>
    <n v="4837"/>
    <n v="50"/>
    <n v="-4837000000"/>
    <s v="COP"/>
    <d v="2022-11-28T00:00:00"/>
    <n v="4837"/>
    <n v="4881.41"/>
    <n v="-44409999.999999851"/>
    <x v="1"/>
  </r>
  <r>
    <x v="0"/>
    <x v="11"/>
    <m/>
    <x v="0"/>
    <s v="ZI"/>
    <s v="28.11.2022"/>
    <s v="*FX2000- Venta divisas 0100000004542"/>
    <s v="COP"/>
    <n v="7900015838"/>
    <s v="28.11.2022"/>
    <n v="4837000000"/>
    <n v="1"/>
    <n v="40"/>
    <n v="4837000000"/>
    <s v="COP"/>
    <d v="2022-11-28T00:00:00"/>
    <n v="1"/>
    <n v="0"/>
    <n v="0"/>
    <x v="0"/>
  </r>
  <r>
    <x v="0"/>
    <x v="11"/>
    <m/>
    <x v="0"/>
    <s v="ZI"/>
    <s v="29.11.2022"/>
    <s v="*FX1000+ Compra divisas 0100000004546"/>
    <s v="USD"/>
    <n v="7900015897"/>
    <s v="29.11.2022"/>
    <n v="-198016.7"/>
    <n v="4875.90996"/>
    <n v="50"/>
    <n v="-965511600"/>
    <s v="COP"/>
    <d v="2022-11-29T00:00:00"/>
    <n v="4875.91"/>
    <n v="4840.6000000000004"/>
    <n v="6991969.6769998996"/>
    <x v="2"/>
  </r>
  <r>
    <x v="0"/>
    <x v="11"/>
    <m/>
    <x v="0"/>
    <s v="ZI"/>
    <s v="29.11.2022"/>
    <s v="*FX2000- Venta divisas 0100000004546"/>
    <s v="COP"/>
    <n v="7900015898"/>
    <s v="29.11.2022"/>
    <n v="965511600"/>
    <n v="1"/>
    <n v="40"/>
    <n v="965511600"/>
    <s v="COP"/>
    <d v="2022-11-29T00:00:00"/>
    <n v="1"/>
    <n v="0"/>
    <n v="0"/>
    <x v="0"/>
  </r>
  <r>
    <x v="0"/>
    <x v="11"/>
    <m/>
    <x v="0"/>
    <s v="ZI"/>
    <s v="30.11.2022"/>
    <s v="*FX1000+ Compra divisas 0100000004545"/>
    <s v="COP"/>
    <n v="7900015387"/>
    <s v="30.11.2022"/>
    <n v="-234307680000"/>
    <n v="1"/>
    <n v="50"/>
    <n v="-234307680000"/>
    <s v="COP"/>
    <d v="2022-11-30T00:00:00"/>
    <n v="1"/>
    <n v="0"/>
    <n v="0"/>
    <x v="0"/>
  </r>
  <r>
    <x v="0"/>
    <x v="11"/>
    <m/>
    <x v="0"/>
    <s v="ZI"/>
    <s v="30.11.2022"/>
    <s v="*FX2000- Venta divisas 0100000004545"/>
    <s v="USD"/>
    <n v="7900015388"/>
    <s v="30.11.2022"/>
    <n v="48000000"/>
    <n v="4881.41"/>
    <n v="40"/>
    <n v="234307680000"/>
    <s v="COP"/>
    <d v="2022-11-30T00:00:00"/>
    <n v="4881.41"/>
    <n v="4809.51"/>
    <n v="-3451199999.9999824"/>
    <x v="1"/>
  </r>
  <r>
    <x v="0"/>
    <x v="11"/>
    <m/>
    <x v="1"/>
    <s v="MD"/>
    <s v="21.11.2022"/>
    <s v="LIQUIDACIÓN SWAP BBVA"/>
    <s v="COP"/>
    <n v="100067978"/>
    <s v="21.11.2022"/>
    <n v="-1049111111"/>
    <n v="1"/>
    <n v="50"/>
    <n v="-1049111111"/>
    <s v="COP"/>
    <d v="2022-11-21T00:00:00"/>
    <n v="1"/>
    <n v="0"/>
    <n v="0"/>
    <x v="0"/>
  </r>
  <r>
    <x v="0"/>
    <x v="11"/>
    <m/>
    <x v="1"/>
    <s v="MT"/>
    <s v="21.11.2022"/>
    <s v="CUMPLIMIENTO SWAP BBVA 21112022"/>
    <s v="COP"/>
    <n v="100068007"/>
    <s v="21.11.2022"/>
    <n v="1049111111"/>
    <n v="1"/>
    <n v="40"/>
    <n v="1049111111"/>
    <s v="COP"/>
    <d v="2022-11-21T00:00:00"/>
    <n v="1"/>
    <n v="0"/>
    <n v="0"/>
    <x v="0"/>
  </r>
  <r>
    <x v="0"/>
    <x v="11"/>
    <m/>
    <x v="1"/>
    <s v="TD"/>
    <s v="15.11.2022"/>
    <s v="*FX2001- Venta divisas 0400000000104"/>
    <s v="COP"/>
    <n v="7900014857"/>
    <s v="15.11.2022"/>
    <n v="-142407040000"/>
    <n v="1"/>
    <n v="50"/>
    <n v="-142407040000"/>
    <s v="COP"/>
    <d v="2022-11-15T00:00:00"/>
    <n v="1"/>
    <n v="0"/>
    <n v="0"/>
    <x v="0"/>
  </r>
  <r>
    <x v="0"/>
    <x v="11"/>
    <m/>
    <x v="1"/>
    <s v="ZD"/>
    <s v="15.11.2022"/>
    <s v="*CML1120 0001000003501"/>
    <s v="COP"/>
    <n v="7900014669"/>
    <s v="15.11.2022"/>
    <n v="-16800000000"/>
    <n v="1"/>
    <n v="50"/>
    <n v="-16800000000"/>
    <s v="COP"/>
    <d v="2022-11-15T00:00:00"/>
    <n v="1"/>
    <n v="0"/>
    <n v="0"/>
    <x v="0"/>
  </r>
  <r>
    <x v="0"/>
    <x v="11"/>
    <m/>
    <x v="1"/>
    <s v="ZI"/>
    <s v="15.11.2022"/>
    <s v="*FX2000- Venta divisas 0100000004527"/>
    <s v="COP"/>
    <n v="7900014685"/>
    <s v="15.11.2022"/>
    <n v="-14481000000"/>
    <n v="1"/>
    <n v="50"/>
    <n v="-14481000000"/>
    <s v="COP"/>
    <d v="2022-11-15T00:00:00"/>
    <n v="1"/>
    <n v="0"/>
    <n v="0"/>
    <x v="0"/>
  </r>
  <r>
    <x v="0"/>
    <x v="11"/>
    <m/>
    <x v="1"/>
    <s v="ZI"/>
    <s v="15.11.2022"/>
    <s v="*FX2000- Venta divisas 0100000004528"/>
    <s v="COP"/>
    <n v="7900014693"/>
    <s v="15.11.2022"/>
    <n v="-14469000000"/>
    <n v="1"/>
    <n v="50"/>
    <n v="-14469000000"/>
    <s v="COP"/>
    <d v="2022-11-15T00:00:00"/>
    <n v="1"/>
    <n v="0"/>
    <n v="0"/>
    <x v="0"/>
  </r>
  <r>
    <x v="0"/>
    <x v="11"/>
    <m/>
    <x v="1"/>
    <s v="ZI"/>
    <s v="15.11.2022"/>
    <s v="*FX2000- Venta divisas 0100000004529"/>
    <s v="COP"/>
    <n v="7900014701"/>
    <s v="15.11.2022"/>
    <n v="-19304000000"/>
    <n v="1"/>
    <n v="50"/>
    <n v="-19304000000"/>
    <s v="COP"/>
    <d v="2022-11-15T00:00:00"/>
    <n v="1"/>
    <n v="0"/>
    <n v="0"/>
    <x v="0"/>
  </r>
  <r>
    <x v="0"/>
    <x v="11"/>
    <m/>
    <x v="1"/>
    <s v="ZI"/>
    <s v="15.11.2022"/>
    <s v="*FX2000- Venta divisas 0100000004530"/>
    <s v="COP"/>
    <n v="7900014709"/>
    <s v="15.11.2022"/>
    <n v="-12537720000"/>
    <n v="1"/>
    <n v="50"/>
    <n v="-12537720000"/>
    <s v="COP"/>
    <d v="2022-11-15T00:00:00"/>
    <n v="1"/>
    <n v="0"/>
    <n v="0"/>
    <x v="0"/>
  </r>
  <r>
    <x v="0"/>
    <x v="11"/>
    <m/>
    <x v="1"/>
    <s v="ZI"/>
    <s v="15.11.2022"/>
    <s v="*FX2000- Venta divisas 0100000004531"/>
    <s v="COP"/>
    <n v="7900014717"/>
    <s v="15.11.2022"/>
    <n v="-14475000000"/>
    <n v="1"/>
    <n v="50"/>
    <n v="-14475000000"/>
    <s v="COP"/>
    <d v="2022-11-15T00:00:00"/>
    <n v="1"/>
    <n v="0"/>
    <n v="0"/>
    <x v="0"/>
  </r>
  <r>
    <x v="0"/>
    <x v="11"/>
    <m/>
    <x v="1"/>
    <s v="ZI"/>
    <s v="28.11.2022"/>
    <s v="*FX2000- Venta divisas 0100000004542"/>
    <s v="COP"/>
    <n v="7900015838"/>
    <s v="28.11.2022"/>
    <n v="-4837000000"/>
    <n v="1"/>
    <n v="50"/>
    <n v="-4837000000"/>
    <s v="COP"/>
    <d v="2022-11-28T00:00:00"/>
    <n v="1"/>
    <n v="0"/>
    <n v="0"/>
    <x v="0"/>
  </r>
  <r>
    <x v="0"/>
    <x v="11"/>
    <m/>
    <x v="1"/>
    <s v="ZI"/>
    <s v="30.11.2022"/>
    <s v="*FX2000- Venta divisas 0100000004545"/>
    <s v="USD"/>
    <n v="7900015388"/>
    <s v="30.11.2022"/>
    <n v="-48000000"/>
    <n v="4881.41"/>
    <n v="50"/>
    <n v="-234307680000"/>
    <s v="COP"/>
    <d v="2022-11-30T00:00:00"/>
    <n v="4881.41"/>
    <n v="4809.51"/>
    <n v="-3451199999.9999824"/>
    <x v="1"/>
  </r>
  <r>
    <x v="0"/>
    <x v="11"/>
    <m/>
    <x v="1"/>
    <s v="ZP"/>
    <s v="15.11.2022"/>
    <m/>
    <s v="COP"/>
    <n v="2000011450"/>
    <s v="15.11.2022"/>
    <n v="26810832000"/>
    <n v="1"/>
    <n v="40"/>
    <n v="26810832000"/>
    <s v="COP"/>
    <d v="2022-11-15T00:00:00"/>
    <n v="1"/>
    <n v="0"/>
    <n v="0"/>
    <x v="0"/>
  </r>
  <r>
    <x v="0"/>
    <x v="11"/>
    <m/>
    <x v="1"/>
    <s v="ZP"/>
    <s v="15.11.2022"/>
    <m/>
    <s v="COP"/>
    <n v="2000011491"/>
    <s v="15.11.2022"/>
    <n v="3588000000"/>
    <n v="1"/>
    <n v="40"/>
    <n v="3588000000"/>
    <s v="COP"/>
    <d v="2022-11-15T00:00:00"/>
    <n v="1"/>
    <n v="0"/>
    <n v="0"/>
    <x v="0"/>
  </r>
  <r>
    <x v="0"/>
    <x v="11"/>
    <m/>
    <x v="1"/>
    <s v="ZP"/>
    <s v="15.11.2022"/>
    <m/>
    <s v="COP"/>
    <n v="2000011502"/>
    <s v="15.11.2022"/>
    <n v="14481000000"/>
    <n v="1"/>
    <n v="40"/>
    <n v="14481000000"/>
    <s v="COP"/>
    <d v="2022-11-15T00:00:00"/>
    <n v="1"/>
    <n v="0"/>
    <n v="0"/>
    <x v="0"/>
  </r>
  <r>
    <x v="0"/>
    <x v="11"/>
    <m/>
    <x v="1"/>
    <s v="ZP"/>
    <s v="15.11.2022"/>
    <m/>
    <s v="COP"/>
    <n v="2000011503"/>
    <s v="15.11.2022"/>
    <n v="14469000000"/>
    <n v="1"/>
    <n v="40"/>
    <n v="14469000000"/>
    <s v="COP"/>
    <d v="2022-11-15T00:00:00"/>
    <n v="1"/>
    <n v="0"/>
    <n v="0"/>
    <x v="0"/>
  </r>
  <r>
    <x v="0"/>
    <x v="11"/>
    <m/>
    <x v="1"/>
    <s v="ZP"/>
    <s v="15.11.2022"/>
    <m/>
    <s v="COP"/>
    <n v="2000011504"/>
    <s v="15.11.2022"/>
    <n v="19304000000"/>
    <n v="1"/>
    <n v="40"/>
    <n v="19304000000"/>
    <s v="COP"/>
    <d v="2022-11-15T00:00:00"/>
    <n v="1"/>
    <n v="0"/>
    <n v="0"/>
    <x v="0"/>
  </r>
  <r>
    <x v="0"/>
    <x v="11"/>
    <m/>
    <x v="1"/>
    <s v="ZP"/>
    <s v="15.11.2022"/>
    <m/>
    <s v="COP"/>
    <n v="2000011505"/>
    <s v="15.11.2022"/>
    <n v="12537720000"/>
    <n v="1"/>
    <n v="40"/>
    <n v="12537720000"/>
    <s v="COP"/>
    <d v="2022-11-15T00:00:00"/>
    <n v="1"/>
    <n v="0"/>
    <n v="0"/>
    <x v="0"/>
  </r>
  <r>
    <x v="0"/>
    <x v="11"/>
    <m/>
    <x v="1"/>
    <s v="ZP"/>
    <s v="15.11.2022"/>
    <m/>
    <s v="COP"/>
    <n v="2000011506"/>
    <s v="15.11.2022"/>
    <n v="14475000000"/>
    <n v="1"/>
    <n v="40"/>
    <n v="14475000000"/>
    <s v="COP"/>
    <d v="2022-11-15T00:00:00"/>
    <n v="1"/>
    <n v="0"/>
    <n v="0"/>
    <x v="0"/>
  </r>
  <r>
    <x v="0"/>
    <x v="11"/>
    <m/>
    <x v="1"/>
    <s v="ZP"/>
    <s v="15.11.2022"/>
    <m/>
    <s v="COP"/>
    <n v="2000011829"/>
    <s v="15.11.2022"/>
    <n v="142407040000"/>
    <n v="1"/>
    <n v="40"/>
    <n v="142407040000"/>
    <s v="COP"/>
    <d v="2022-11-15T00:00:00"/>
    <n v="1"/>
    <n v="0"/>
    <n v="0"/>
    <x v="0"/>
  </r>
  <r>
    <x v="0"/>
    <x v="11"/>
    <m/>
    <x v="1"/>
    <s v="ZP"/>
    <s v="21.11.2022"/>
    <m/>
    <s v="COP"/>
    <n v="2000011571"/>
    <s v="21.11.2022"/>
    <n v="19005666669"/>
    <n v="1"/>
    <n v="40"/>
    <n v="19005666669"/>
    <s v="COP"/>
    <d v="2022-11-21T00:00:00"/>
    <n v="1"/>
    <n v="0"/>
    <n v="0"/>
    <x v="0"/>
  </r>
  <r>
    <x v="0"/>
    <x v="11"/>
    <m/>
    <x v="1"/>
    <s v="ZP"/>
    <s v="21.11.2022"/>
    <m/>
    <s v="COP"/>
    <n v="2000011572"/>
    <s v="21.11.2022"/>
    <n v="8662000000"/>
    <n v="1"/>
    <n v="40"/>
    <n v="8662000000"/>
    <s v="COP"/>
    <d v="2022-11-21T00:00:00"/>
    <n v="1"/>
    <n v="0"/>
    <n v="0"/>
    <x v="0"/>
  </r>
  <r>
    <x v="0"/>
    <x v="11"/>
    <m/>
    <x v="1"/>
    <s v="ZP"/>
    <s v="21.11.2022"/>
    <m/>
    <s v="COP"/>
    <n v="2000011575"/>
    <s v="21.11.2022"/>
    <n v="16324486890"/>
    <n v="1"/>
    <n v="40"/>
    <n v="16324486890"/>
    <s v="COP"/>
    <d v="2022-11-21T00:00:00"/>
    <n v="1"/>
    <n v="0"/>
    <n v="0"/>
    <x v="0"/>
  </r>
  <r>
    <x v="0"/>
    <x v="11"/>
    <m/>
    <x v="1"/>
    <s v="ZP"/>
    <s v="23.11.2022"/>
    <m/>
    <s v="COP"/>
    <n v="2000011639"/>
    <s v="23.11.2022"/>
    <n v="5967222222"/>
    <n v="1"/>
    <n v="40"/>
    <n v="5967222222"/>
    <s v="COP"/>
    <d v="2022-11-23T00:00:00"/>
    <n v="1"/>
    <n v="0"/>
    <n v="0"/>
    <x v="0"/>
  </r>
  <r>
    <x v="0"/>
    <x v="11"/>
    <m/>
    <x v="1"/>
    <s v="ZP"/>
    <s v="23.11.2022"/>
    <m/>
    <s v="COP"/>
    <n v="2000011640"/>
    <s v="23.11.2022"/>
    <n v="6872111111"/>
    <n v="1"/>
    <n v="40"/>
    <n v="6872111111"/>
    <s v="COP"/>
    <d v="2022-11-23T00:00:00"/>
    <n v="1"/>
    <n v="0"/>
    <n v="0"/>
    <x v="0"/>
  </r>
  <r>
    <x v="0"/>
    <x v="11"/>
    <m/>
    <x v="1"/>
    <s v="ZP"/>
    <s v="28.11.2022"/>
    <m/>
    <s v="COP"/>
    <n v="2000011785"/>
    <s v="28.11.2022"/>
    <n v="30310375000"/>
    <n v="1"/>
    <n v="40"/>
    <n v="30310375000"/>
    <s v="COP"/>
    <d v="2022-11-28T00:00:00"/>
    <n v="1"/>
    <n v="0"/>
    <n v="0"/>
    <x v="0"/>
  </r>
  <r>
    <x v="0"/>
    <x v="11"/>
    <m/>
    <x v="1"/>
    <s v="ZP"/>
    <s v="28.11.2022"/>
    <m/>
    <s v="COP"/>
    <n v="2000011830"/>
    <s v="28.11.2022"/>
    <n v="22576110831"/>
    <n v="1"/>
    <n v="40"/>
    <n v="22576110831"/>
    <s v="COP"/>
    <d v="2022-11-28T00:00:00"/>
    <n v="1"/>
    <n v="0"/>
    <n v="0"/>
    <x v="0"/>
  </r>
  <r>
    <x v="0"/>
    <x v="11"/>
    <m/>
    <x v="1"/>
    <s v="ZP"/>
    <s v="28.11.2022"/>
    <m/>
    <s v="COP"/>
    <n v="2000011910"/>
    <s v="28.11.2022"/>
    <n v="4837000000"/>
    <n v="1"/>
    <n v="40"/>
    <n v="4837000000"/>
    <s v="COP"/>
    <d v="2022-11-28T00:00:00"/>
    <n v="1"/>
    <n v="0"/>
    <n v="0"/>
    <x v="0"/>
  </r>
  <r>
    <x v="0"/>
    <x v="11"/>
    <m/>
    <x v="1"/>
    <s v="ZP"/>
    <s v="30.11.2022"/>
    <m/>
    <s v="USD"/>
    <n v="2000011859"/>
    <s v="30.11.2022"/>
    <n v="48000000"/>
    <n v="4881.41"/>
    <n v="40"/>
    <n v="234307680000"/>
    <s v="COP"/>
    <d v="2022-11-30T00:00:00"/>
    <n v="4881.41"/>
    <n v="4809.51"/>
    <n v="3451199999.9999824"/>
    <x v="2"/>
  </r>
  <r>
    <x v="0"/>
    <x v="11"/>
    <m/>
    <x v="1"/>
    <s v="ZS"/>
    <s v="15.11.2022"/>
    <s v="*CML1110 0001000003501"/>
    <s v="COP"/>
    <n v="7900014668"/>
    <s v="15.11.2022"/>
    <n v="-10010832000"/>
    <n v="1"/>
    <n v="50"/>
    <n v="-10010832000"/>
    <s v="COP"/>
    <d v="2022-11-15T00:00:00"/>
    <n v="1"/>
    <n v="0"/>
    <n v="0"/>
    <x v="0"/>
  </r>
  <r>
    <x v="0"/>
    <x v="11"/>
    <m/>
    <x v="1"/>
    <s v="ZS"/>
    <s v="15.11.2022"/>
    <s v="*CML1110 0001000004300"/>
    <s v="COP"/>
    <n v="7900014678"/>
    <s v="15.11.2022"/>
    <n v="-3588000000"/>
    <n v="1"/>
    <n v="50"/>
    <n v="-3588000000"/>
    <s v="COP"/>
    <d v="2022-11-15T00:00:00"/>
    <n v="1"/>
    <n v="0"/>
    <n v="0"/>
    <x v="0"/>
  </r>
  <r>
    <x v="0"/>
    <x v="11"/>
    <m/>
    <x v="1"/>
    <s v="ZS"/>
    <s v="21.11.2022"/>
    <s v="*CML1110 0001000004100"/>
    <s v="COP"/>
    <n v="7900014674"/>
    <s v="21.11.2022"/>
    <n v="-8662000000"/>
    <n v="1"/>
    <n v="50"/>
    <n v="-8662000000"/>
    <s v="COP"/>
    <d v="2022-11-21T00:00:00"/>
    <n v="1"/>
    <n v="0"/>
    <n v="0"/>
    <x v="0"/>
  </r>
  <r>
    <x v="0"/>
    <x v="11"/>
    <m/>
    <x v="1"/>
    <s v="ZS"/>
    <s v="21.11.2022"/>
    <s v="*CML1110 0001000004150"/>
    <s v="COP"/>
    <n v="7900014722"/>
    <s v="21.11.2022"/>
    <n v="-19005666669"/>
    <n v="1"/>
    <n v="50"/>
    <n v="-19005666669"/>
    <s v="COP"/>
    <d v="2022-11-21T00:00:00"/>
    <n v="1"/>
    <n v="0"/>
    <n v="0"/>
    <x v="0"/>
  </r>
  <r>
    <x v="0"/>
    <x v="11"/>
    <m/>
    <x v="1"/>
    <s v="ZS"/>
    <s v="21.11.2022"/>
    <s v="*CML1110 0001000003902"/>
    <s v="COP"/>
    <n v="7900014730"/>
    <s v="21.11.2022"/>
    <n v="-6041986320"/>
    <n v="1"/>
    <n v="50"/>
    <n v="-6041986320"/>
    <s v="COP"/>
    <d v="2022-11-21T00:00:00"/>
    <n v="1"/>
    <n v="0"/>
    <n v="0"/>
    <x v="0"/>
  </r>
  <r>
    <x v="0"/>
    <x v="11"/>
    <m/>
    <x v="1"/>
    <s v="ZS"/>
    <s v="21.11.2022"/>
    <s v="*CML1110 0001000003901"/>
    <s v="COP"/>
    <n v="7900014731"/>
    <s v="21.11.2022"/>
    <n v="-6466316770"/>
    <n v="1"/>
    <n v="50"/>
    <n v="-6466316770"/>
    <s v="COP"/>
    <d v="2022-11-21T00:00:00"/>
    <n v="1"/>
    <n v="0"/>
    <n v="0"/>
    <x v="0"/>
  </r>
  <r>
    <x v="0"/>
    <x v="11"/>
    <m/>
    <x v="1"/>
    <s v="ZS"/>
    <s v="21.11.2022"/>
    <s v="*CML1110 0001000003900"/>
    <s v="COP"/>
    <n v="7900014732"/>
    <s v="21.11.2022"/>
    <n v="-3816183800"/>
    <n v="1"/>
    <n v="50"/>
    <n v="-3816183800"/>
    <s v="COP"/>
    <d v="2022-11-21T00:00:00"/>
    <n v="1"/>
    <n v="0"/>
    <n v="0"/>
    <x v="0"/>
  </r>
  <r>
    <x v="0"/>
    <x v="11"/>
    <m/>
    <x v="1"/>
    <s v="ZS"/>
    <s v="23.11.2022"/>
    <s v="*CML1110 0001000004250"/>
    <s v="COP"/>
    <n v="7900014750"/>
    <s v="23.11.2022"/>
    <n v="-5967222222"/>
    <n v="1"/>
    <n v="50"/>
    <n v="-5967222222"/>
    <s v="COP"/>
    <d v="2022-11-23T00:00:00"/>
    <n v="1"/>
    <n v="0"/>
    <n v="0"/>
    <x v="0"/>
  </r>
  <r>
    <x v="0"/>
    <x v="11"/>
    <m/>
    <x v="1"/>
    <s v="ZS"/>
    <s v="23.11.2022"/>
    <s v="*CML1110 0001000004251"/>
    <s v="COP"/>
    <n v="7900014758"/>
    <s v="23.11.2022"/>
    <n v="-2983611111"/>
    <n v="1"/>
    <n v="50"/>
    <n v="-2983611111"/>
    <s v="COP"/>
    <d v="2022-11-23T00:00:00"/>
    <n v="1"/>
    <n v="0"/>
    <n v="0"/>
    <x v="0"/>
  </r>
  <r>
    <x v="0"/>
    <x v="11"/>
    <m/>
    <x v="1"/>
    <s v="ZS"/>
    <s v="23.11.2022"/>
    <s v="*CML1110 0001000004301"/>
    <s v="COP"/>
    <n v="7900014762"/>
    <s v="23.11.2022"/>
    <n v="-3888500000"/>
    <n v="1"/>
    <n v="50"/>
    <n v="-3888500000"/>
    <s v="COP"/>
    <d v="2022-11-23T00:00:00"/>
    <n v="1"/>
    <n v="0"/>
    <n v="0"/>
    <x v="0"/>
  </r>
  <r>
    <x v="0"/>
    <x v="11"/>
    <m/>
    <x v="1"/>
    <s v="ZS"/>
    <s v="28.11.2022"/>
    <s v="*CML1110 0001000003801"/>
    <s v="COP"/>
    <n v="7900014798"/>
    <s v="28.11.2022"/>
    <n v="-6946600000"/>
    <n v="1"/>
    <n v="50"/>
    <n v="-6946600000"/>
    <s v="COP"/>
    <d v="2022-11-28T00:00:00"/>
    <n v="1"/>
    <n v="0"/>
    <n v="0"/>
    <x v="0"/>
  </r>
  <r>
    <x v="0"/>
    <x v="11"/>
    <m/>
    <x v="1"/>
    <s v="ZS"/>
    <s v="28.11.2022"/>
    <s v="*CML1110 0001000003001"/>
    <s v="COP"/>
    <n v="7900014799"/>
    <s v="28.11.2022"/>
    <n v="-5081400000"/>
    <n v="1"/>
    <n v="50"/>
    <n v="-5081400000"/>
    <s v="COP"/>
    <d v="2022-11-28T00:00:00"/>
    <n v="1"/>
    <n v="0"/>
    <n v="0"/>
    <x v="0"/>
  </r>
  <r>
    <x v="0"/>
    <x v="11"/>
    <m/>
    <x v="1"/>
    <s v="ZS"/>
    <s v="28.11.2022"/>
    <s v="*CML1110 0001000003002"/>
    <s v="COP"/>
    <n v="7900014800"/>
    <s v="28.11.2022"/>
    <n v="-7866000000"/>
    <n v="1"/>
    <n v="50"/>
    <n v="-7866000000"/>
    <s v="COP"/>
    <d v="2022-11-28T00:00:00"/>
    <n v="1"/>
    <n v="0"/>
    <n v="0"/>
    <x v="0"/>
  </r>
  <r>
    <x v="0"/>
    <x v="11"/>
    <m/>
    <x v="1"/>
    <s v="ZS"/>
    <s v="28.11.2022"/>
    <s v="*CML1110 0001000003800"/>
    <s v="COP"/>
    <n v="7900014801"/>
    <s v="28.11.2022"/>
    <n v="-3856500000"/>
    <n v="1"/>
    <n v="50"/>
    <n v="-3856500000"/>
    <s v="COP"/>
    <d v="2022-11-28T00:00:00"/>
    <n v="1"/>
    <n v="0"/>
    <n v="0"/>
    <x v="0"/>
  </r>
  <r>
    <x v="0"/>
    <x v="11"/>
    <m/>
    <x v="1"/>
    <s v="ZS"/>
    <s v="28.11.2022"/>
    <s v="*CML1110 0001000003000"/>
    <s v="COP"/>
    <n v="7900014802"/>
    <s v="28.11.2022"/>
    <n v="-6559875000"/>
    <n v="1"/>
    <n v="50"/>
    <n v="-6559875000"/>
    <s v="COP"/>
    <d v="2022-11-28T00:00:00"/>
    <n v="1"/>
    <n v="0"/>
    <n v="0"/>
    <x v="0"/>
  </r>
  <r>
    <x v="0"/>
    <x v="11"/>
    <m/>
    <x v="1"/>
    <s v="ZS"/>
    <s v="28.11.2022"/>
    <s v="*CML1110 0001000003700"/>
    <s v="COP"/>
    <n v="7900014824"/>
    <s v="28.11.2022"/>
    <n v="-16097110831"/>
    <n v="1"/>
    <n v="50"/>
    <n v="-16097110831"/>
    <s v="COP"/>
    <d v="2022-11-28T00:00:00"/>
    <n v="1"/>
    <n v="0"/>
    <n v="0"/>
    <x v="0"/>
  </r>
  <r>
    <x v="0"/>
    <x v="11"/>
    <m/>
    <x v="1"/>
    <s v="ZS"/>
    <s v="28.11.2022"/>
    <s v="*CML1110 0001000004254"/>
    <s v="COP"/>
    <n v="7900014825"/>
    <s v="28.11.2022"/>
    <n v="-6479000000"/>
    <n v="1"/>
    <n v="50"/>
    <n v="-6479000000"/>
    <s v="COP"/>
    <d v="2022-11-28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0"/>
  </r>
  <r>
    <x v="0"/>
    <x v="12"/>
    <m/>
    <x v="0"/>
    <s v="ZI"/>
    <s v="01.12.2022"/>
    <s v="*FX1000+ Compra divisas 0100000004551"/>
    <s v="USD"/>
    <n v="7900016048"/>
    <s v="01.12.2022"/>
    <n v="-4825451"/>
    <n v="4815.59"/>
    <n v="50"/>
    <n v="-23237393581"/>
    <s v="COP"/>
    <d v="2022-12-01T00:00:00"/>
    <n v="4815.59"/>
    <n v="4815.59"/>
    <n v="0"/>
    <x v="0"/>
  </r>
  <r>
    <x v="0"/>
    <x v="12"/>
    <m/>
    <x v="0"/>
    <s v="ZI"/>
    <s v="01.12.2022"/>
    <s v="*FX2000- Venta divisas 0100000004551"/>
    <s v="COP"/>
    <n v="7900016049"/>
    <s v="01.12.2022"/>
    <n v="23237393581"/>
    <n v="1"/>
    <n v="40"/>
    <n v="23237393581"/>
    <s v="COP"/>
    <d v="2022-12-01T00:00:00"/>
    <n v="1"/>
    <n v="0"/>
    <n v="0"/>
    <x v="0"/>
  </r>
  <r>
    <x v="0"/>
    <x v="12"/>
    <m/>
    <x v="0"/>
    <s v="ZI"/>
    <s v="02.12.2022"/>
    <s v="*FX1000+ Compra divisas 0100000004549"/>
    <s v="USD"/>
    <n v="7900016067"/>
    <s v="02.12.2022"/>
    <n v="-12554585"/>
    <n v="4779.0600000000004"/>
    <n v="50"/>
    <n v="-59999114990"/>
    <s v="COP"/>
    <d v="2022-12-02T00:00:00"/>
    <n v="4779.0600000000004"/>
    <n v="4779.0600000000004"/>
    <n v="0"/>
    <x v="0"/>
  </r>
  <r>
    <x v="0"/>
    <x v="12"/>
    <m/>
    <x v="0"/>
    <s v="ZI"/>
    <s v="02.12.2022"/>
    <s v="*FX2000- Venta divisas 0100000004549"/>
    <s v="COP"/>
    <n v="7900016068"/>
    <s v="02.12.2022"/>
    <n v="59999114990"/>
    <n v="1"/>
    <n v="40"/>
    <n v="59999114990"/>
    <s v="COP"/>
    <d v="2022-12-02T00:00:00"/>
    <n v="1"/>
    <n v="0"/>
    <n v="0"/>
    <x v="0"/>
  </r>
  <r>
    <x v="0"/>
    <x v="12"/>
    <m/>
    <x v="0"/>
    <s v="ZI"/>
    <s v="02.12.2022"/>
    <s v="*FX1000+ Compra divisas 0100000004548"/>
    <s v="USD"/>
    <n v="7900016075"/>
    <s v="02.12.2022"/>
    <n v="-1002099.96"/>
    <n v="4762"/>
    <n v="50"/>
    <n v="-4772000010"/>
    <s v="COP"/>
    <d v="2022-12-02T00:00:00"/>
    <n v="4762"/>
    <n v="4779.0600000000004"/>
    <n v="-17095825.317600399"/>
    <x v="1"/>
  </r>
  <r>
    <x v="0"/>
    <x v="12"/>
    <m/>
    <x v="0"/>
    <s v="ZI"/>
    <s v="02.12.2022"/>
    <s v="*FX2000- Venta divisas 0100000004548"/>
    <s v="COP"/>
    <n v="7900016076"/>
    <s v="02.12.2022"/>
    <n v="4772000010"/>
    <n v="1"/>
    <n v="40"/>
    <n v="4772000010"/>
    <s v="COP"/>
    <d v="2022-12-02T00:00:00"/>
    <n v="1"/>
    <n v="0"/>
    <n v="0"/>
    <x v="0"/>
  </r>
  <r>
    <x v="0"/>
    <x v="12"/>
    <m/>
    <x v="0"/>
    <s v="ZI"/>
    <s v="05.12.2022"/>
    <s v="*FX1000+ Compra divisas 0100000004592"/>
    <s v="USD"/>
    <n v="7900016311"/>
    <s v="05.12.2022"/>
    <n v="-29415835"/>
    <n v="4815.5899200000003"/>
    <n v="50"/>
    <n v="-141654598518"/>
    <s v="COP"/>
    <d v="2022-12-05T00:00:00"/>
    <n v="4815.59"/>
    <n v="4767.1899999999996"/>
    <n v="1423726414.000016"/>
    <x v="2"/>
  </r>
  <r>
    <x v="0"/>
    <x v="12"/>
    <m/>
    <x v="0"/>
    <s v="ZI"/>
    <s v="05.12.2022"/>
    <s v="*FX2000- Venta divisas 0100000004592"/>
    <s v="COP"/>
    <n v="7900016312"/>
    <s v="05.12.2022"/>
    <n v="141654598518"/>
    <n v="1"/>
    <n v="40"/>
    <n v="141654598518"/>
    <s v="COP"/>
    <d v="2022-12-05T00:00:00"/>
    <n v="1"/>
    <n v="0"/>
    <n v="0"/>
    <x v="0"/>
  </r>
  <r>
    <x v="0"/>
    <x v="12"/>
    <m/>
    <x v="0"/>
    <s v="ZI"/>
    <s v="06.12.2022"/>
    <s v="*FX1000+ Compra divisas 0100000004550"/>
    <s v="COP"/>
    <n v="7900015953"/>
    <s v="06.12.2022"/>
    <n v="-4771782198"/>
    <n v="1"/>
    <n v="50"/>
    <n v="-4771782198"/>
    <s v="COP"/>
    <d v="2022-12-06T00:00:00"/>
    <n v="1"/>
    <n v="0"/>
    <n v="0"/>
    <x v="0"/>
  </r>
  <r>
    <x v="0"/>
    <x v="12"/>
    <m/>
    <x v="0"/>
    <s v="ZI"/>
    <s v="06.12.2022"/>
    <s v="*FX2000- Venta divisas 0100000004550"/>
    <s v="USD"/>
    <n v="7900015954"/>
    <s v="06.12.2022"/>
    <n v="1000963.3"/>
    <n v="4767.1899599999997"/>
    <n v="40"/>
    <n v="4771782198"/>
    <s v="COP"/>
    <d v="2022-12-06T00:00:00"/>
    <n v="4767.1899999999996"/>
    <n v="4812.37"/>
    <n v="45223521.894000292"/>
    <x v="2"/>
  </r>
  <r>
    <x v="0"/>
    <x v="12"/>
    <m/>
    <x v="0"/>
    <s v="ZI"/>
    <s v="07.12.2022"/>
    <s v="*FX1000+ Compra divisas 0100000004552"/>
    <s v="USD"/>
    <n v="7900016151"/>
    <s v="07.12.2022"/>
    <n v="-12039454.6"/>
    <n v="4825.8"/>
    <n v="50"/>
    <n v="-58100000009"/>
    <s v="COP"/>
    <d v="2022-12-07T00:00:00"/>
    <n v="4825.8"/>
    <n v="4818.32"/>
    <n v="90055120.408005685"/>
    <x v="2"/>
  </r>
  <r>
    <x v="0"/>
    <x v="12"/>
    <m/>
    <x v="0"/>
    <s v="ZI"/>
    <s v="07.12.2022"/>
    <s v="*FX2000- Venta divisas 0100000004552"/>
    <s v="COP"/>
    <n v="7900016152"/>
    <s v="07.12.2022"/>
    <n v="58100000009"/>
    <n v="1"/>
    <n v="40"/>
    <n v="58100000009"/>
    <s v="COP"/>
    <d v="2022-12-07T00:00:00"/>
    <n v="1"/>
    <n v="0"/>
    <n v="0"/>
    <x v="0"/>
  </r>
  <r>
    <x v="0"/>
    <x v="12"/>
    <m/>
    <x v="0"/>
    <s v="ZI"/>
    <s v="09.12.2022"/>
    <s v="*FX1000+ Compra divisas 0100000004556"/>
    <s v="EURO"/>
    <n v="7900016127"/>
    <s v="09.12.2022"/>
    <n v="-2500"/>
    <n v="5144.3083999999999"/>
    <n v="50"/>
    <n v="-12860771"/>
    <s v="COP"/>
    <d v="2022-12-09T00:00:00"/>
    <n v="5144.3100000000004"/>
    <n v="0"/>
    <n v="0"/>
    <x v="0"/>
  </r>
  <r>
    <x v="0"/>
    <x v="12"/>
    <m/>
    <x v="0"/>
    <s v="ZI"/>
    <s v="09.12.2022"/>
    <s v="*FX2000- Venta divisas 0100000004556"/>
    <s v="USD"/>
    <n v="7900016128"/>
    <s v="09.12.2022"/>
    <n v="2703.75"/>
    <n v="4756.6420699999999"/>
    <n v="40"/>
    <n v="12860771"/>
    <s v="COP"/>
    <d v="2022-12-09T00:00:00"/>
    <n v="4756.6400000000003"/>
    <n v="4825.83"/>
    <n v="187072.46249999892"/>
    <x v="2"/>
  </r>
  <r>
    <x v="0"/>
    <x v="12"/>
    <m/>
    <x v="0"/>
    <s v="ZI"/>
    <s v="09.12.2022"/>
    <s v="*FX1000+ Compra divisas 0100000004557"/>
    <s v="EURO"/>
    <n v="7900016135"/>
    <s v="09.12.2022"/>
    <n v="-1490"/>
    <n v="5144.30872"/>
    <n v="50"/>
    <n v="-7665020"/>
    <s v="COP"/>
    <d v="2022-12-09T00:00:00"/>
    <n v="5144.3100000000004"/>
    <n v="0"/>
    <n v="0"/>
    <x v="0"/>
  </r>
  <r>
    <x v="0"/>
    <x v="12"/>
    <m/>
    <x v="0"/>
    <s v="ZI"/>
    <s v="09.12.2022"/>
    <s v="*FX2000- Venta divisas 0100000004557"/>
    <s v="USD"/>
    <n v="7900016136"/>
    <s v="09.12.2022"/>
    <n v="1611.73"/>
    <n v="4755.7717499999999"/>
    <n v="40"/>
    <n v="7665020"/>
    <s v="COP"/>
    <d v="2022-12-09T00:00:00"/>
    <n v="4755.7700000000004"/>
    <n v="4825.83"/>
    <n v="112917.80379999918"/>
    <x v="2"/>
  </r>
  <r>
    <x v="0"/>
    <x v="12"/>
    <m/>
    <x v="0"/>
    <s v="ZI"/>
    <s v="09.12.2022"/>
    <s v="*FX1000+ Compra divisas 0100000004555"/>
    <s v="EURO"/>
    <n v="7900016143"/>
    <s v="09.12.2022"/>
    <n v="-1537.9"/>
    <n v="5144.3084699999999"/>
    <n v="50"/>
    <n v="-7911432"/>
    <s v="COP"/>
    <d v="2022-12-09T00:00:00"/>
    <n v="5144.3100000000004"/>
    <n v="0"/>
    <n v="0"/>
    <x v="0"/>
  </r>
  <r>
    <x v="0"/>
    <x v="12"/>
    <m/>
    <x v="0"/>
    <s v="ZI"/>
    <s v="09.12.2022"/>
    <s v="*FX2000- Venta divisas 0100000004555"/>
    <s v="USD"/>
    <n v="7900016144"/>
    <s v="09.12.2022"/>
    <n v="1665.24"/>
    <n v="4750.9259899999997"/>
    <n v="40"/>
    <n v="7911432"/>
    <s v="COP"/>
    <d v="2022-12-09T00:00:00"/>
    <n v="4750.93"/>
    <n v="4825.83"/>
    <n v="124726.4759999994"/>
    <x v="2"/>
  </r>
  <r>
    <x v="0"/>
    <x v="12"/>
    <m/>
    <x v="0"/>
    <s v="ZI"/>
    <s v="12.12.2022"/>
    <s v="*FX1000+ Compra divisas 0100000004553"/>
    <s v="COP"/>
    <n v="7900016013"/>
    <s v="12.12.2022"/>
    <n v="-20338268329"/>
    <n v="1"/>
    <n v="50"/>
    <n v="-20338268329"/>
    <s v="COP"/>
    <d v="2022-12-12T00:00:00"/>
    <n v="1"/>
    <n v="0"/>
    <n v="0"/>
    <x v="0"/>
  </r>
  <r>
    <x v="0"/>
    <x v="12"/>
    <m/>
    <x v="0"/>
    <s v="ZI"/>
    <s v="12.12.2022"/>
    <s v="*FX2000- Venta divisas 0100000004553"/>
    <s v="USD"/>
    <n v="7900016014"/>
    <s v="12.12.2022"/>
    <n v="4214460.17"/>
    <n v="4825.83"/>
    <n v="40"/>
    <n v="20338268329"/>
    <s v="COP"/>
    <d v="2022-12-12T00:00:00"/>
    <n v="4825.83"/>
    <n v="4815.99"/>
    <n v="-41470288.072800614"/>
    <x v="1"/>
  </r>
  <r>
    <x v="0"/>
    <x v="12"/>
    <m/>
    <x v="0"/>
    <s v="ZI"/>
    <s v="12.12.2022"/>
    <s v="*FX1000+ Compra divisas 0100000004554"/>
    <s v="COP"/>
    <n v="7900016021"/>
    <s v="12.12.2022"/>
    <n v="-37754474066"/>
    <n v="1"/>
    <n v="50"/>
    <n v="-37754474066"/>
    <s v="COP"/>
    <d v="2022-12-12T00:00:00"/>
    <n v="1"/>
    <n v="0"/>
    <n v="0"/>
    <x v="0"/>
  </r>
  <r>
    <x v="0"/>
    <x v="12"/>
    <m/>
    <x v="0"/>
    <s v="ZI"/>
    <s v="12.12.2022"/>
    <s v="*FX2000- Venta divisas 0100000004554"/>
    <s v="USD"/>
    <n v="7900016022"/>
    <s v="12.12.2022"/>
    <n v="7823415.6699999999"/>
    <n v="4825.83"/>
    <n v="40"/>
    <n v="37754474066"/>
    <s v="COP"/>
    <d v="2022-12-12T00:00:00"/>
    <n v="4825.83"/>
    <n v="4815.99"/>
    <n v="-76982410.192801133"/>
    <x v="1"/>
  </r>
  <r>
    <x v="0"/>
    <x v="12"/>
    <m/>
    <x v="0"/>
    <s v="ZI"/>
    <s v="16.12.2022"/>
    <s v="*FX1000+ Compra divisas 0100000004583"/>
    <s v="EURO"/>
    <n v="7900016159"/>
    <s v="16.12.2022"/>
    <n v="-7000.87"/>
    <n v="5088.3903"/>
    <n v="50"/>
    <n v="-35623159"/>
    <s v="COP"/>
    <d v="2022-12-16T00:00:00"/>
    <n v="5088.3900000000003"/>
    <n v="0"/>
    <n v="0"/>
    <x v="0"/>
  </r>
  <r>
    <x v="0"/>
    <x v="12"/>
    <m/>
    <x v="0"/>
    <s v="ZI"/>
    <s v="16.12.2022"/>
    <s v="*FX2000- Venta divisas 0100000004583"/>
    <s v="USD"/>
    <n v="7900016160"/>
    <s v="16.12.2022"/>
    <n v="7641.45"/>
    <n v="4661.8323700000001"/>
    <n v="40"/>
    <n v="35623159"/>
    <s v="COP"/>
    <d v="2022-12-16T00:00:00"/>
    <n v="4661.83"/>
    <n v="4797.0200000000004"/>
    <n v="1033047.6255000039"/>
    <x v="2"/>
  </r>
  <r>
    <x v="0"/>
    <x v="12"/>
    <m/>
    <x v="0"/>
    <s v="ZI"/>
    <s v="19.12.2022"/>
    <s v="*FX1000+ Compra divisas 0100000004590"/>
    <s v="COP"/>
    <n v="7900016291"/>
    <s v="19.12.2022"/>
    <n v="-1920992000"/>
    <n v="1"/>
    <n v="50"/>
    <n v="-1920992000"/>
    <s v="COP"/>
    <d v="2022-12-19T00:00:00"/>
    <n v="1"/>
    <n v="0"/>
    <n v="0"/>
    <x v="0"/>
  </r>
  <r>
    <x v="0"/>
    <x v="12"/>
    <m/>
    <x v="0"/>
    <s v="ZI"/>
    <s v="19.12.2022"/>
    <s v="*FX2000- Venta divisas 0100000004590"/>
    <s v="USD"/>
    <n v="7900016292"/>
    <s v="19.12.2022"/>
    <n v="400000"/>
    <n v="4802.4799999999996"/>
    <n v="40"/>
    <n v="1920992000"/>
    <s v="COP"/>
    <d v="2022-12-19T00:00:00"/>
    <n v="4802.4799999999996"/>
    <n v="4802.4799999999996"/>
    <n v="0"/>
    <x v="0"/>
  </r>
  <r>
    <x v="0"/>
    <x v="12"/>
    <m/>
    <x v="0"/>
    <s v="ZI"/>
    <s v="22.12.2022"/>
    <s v="*FX1000+ Compra divisas 0100000004584"/>
    <s v="EURO"/>
    <n v="7900016171"/>
    <s v="22.12.2022"/>
    <n v="-77219"/>
    <n v="5061.6474799999996"/>
    <n v="50"/>
    <n v="-390855357"/>
    <s v="COP"/>
    <d v="2022-12-22T00:00:00"/>
    <n v="5061.6499999999996"/>
    <n v="0"/>
    <n v="0"/>
    <x v="0"/>
  </r>
  <r>
    <x v="0"/>
    <x v="12"/>
    <m/>
    <x v="0"/>
    <s v="ZI"/>
    <s v="22.12.2022"/>
    <s v="*FX2000- Venta divisas 0100000004584"/>
    <s v="USD"/>
    <n v="7900016172"/>
    <s v="22.12.2022"/>
    <n v="83975.66"/>
    <n v="4654.3886300000004"/>
    <n v="40"/>
    <n v="390855357"/>
    <s v="COP"/>
    <d v="2022-12-22T00:00:00"/>
    <n v="4654.3900000000003"/>
    <n v="4761.6400000000003"/>
    <n v="9006389.5350000001"/>
    <x v="2"/>
  </r>
  <r>
    <x v="0"/>
    <x v="12"/>
    <m/>
    <x v="0"/>
    <s v="ZI"/>
    <s v="22.12.2022"/>
    <s v="*FX1000+ Compra divisas 0100000004585"/>
    <s v="COP"/>
    <n v="7900016179"/>
    <s v="22.12.2022"/>
    <n v="-553350000"/>
    <n v="1"/>
    <n v="50"/>
    <n v="-553350000"/>
    <s v="COP"/>
    <d v="2022-12-22T00:00:00"/>
    <n v="1"/>
    <n v="0"/>
    <n v="0"/>
    <x v="0"/>
  </r>
  <r>
    <x v="0"/>
    <x v="12"/>
    <m/>
    <x v="0"/>
    <s v="ZI"/>
    <s v="22.12.2022"/>
    <s v="*FX2000- Venta divisas 0100000004585"/>
    <s v="USD"/>
    <n v="7900016180"/>
    <s v="22.12.2022"/>
    <n v="116209.96"/>
    <n v="4761.64005"/>
    <n v="40"/>
    <n v="553350000"/>
    <s v="COP"/>
    <d v="2022-12-22T00:00:00"/>
    <n v="4761.6400000000003"/>
    <n v="4761.6400000000003"/>
    <n v="0"/>
    <x v="0"/>
  </r>
  <r>
    <x v="0"/>
    <x v="12"/>
    <m/>
    <x v="0"/>
    <s v="ZI"/>
    <s v="22.12.2022"/>
    <s v="*FX1000+ Compra divisas 0100000004586"/>
    <s v="COP"/>
    <n v="7900016187"/>
    <s v="22.12.2022"/>
    <n v="-553350000"/>
    <n v="1"/>
    <n v="50"/>
    <n v="-553350000"/>
    <s v="COP"/>
    <d v="2022-12-22T00:00:00"/>
    <n v="1"/>
    <n v="0"/>
    <n v="0"/>
    <x v="0"/>
  </r>
  <r>
    <x v="0"/>
    <x v="12"/>
    <m/>
    <x v="0"/>
    <s v="ZI"/>
    <s v="22.12.2022"/>
    <s v="*FX2000- Venta divisas 0100000004586"/>
    <s v="USD"/>
    <n v="7900016188"/>
    <s v="22.12.2022"/>
    <n v="116209.96"/>
    <n v="4761.64005"/>
    <n v="40"/>
    <n v="553350000"/>
    <s v="COP"/>
    <d v="2022-12-22T00:00:00"/>
    <n v="4761.6400000000003"/>
    <n v="4761.6400000000003"/>
    <n v="0"/>
    <x v="0"/>
  </r>
  <r>
    <x v="0"/>
    <x v="12"/>
    <m/>
    <x v="0"/>
    <s v="ZI"/>
    <s v="22.12.2022"/>
    <s v="*FX1000+ Compra divisas 0100000004599"/>
    <s v="COP"/>
    <n v="7900016552"/>
    <s v="22.12.2022"/>
    <n v="-73172122"/>
    <n v="1"/>
    <n v="50"/>
    <n v="-73172122"/>
    <s v="COP"/>
    <d v="2022-12-22T00:00:00"/>
    <n v="1"/>
    <n v="0"/>
    <n v="0"/>
    <x v="0"/>
  </r>
  <r>
    <x v="0"/>
    <x v="12"/>
    <m/>
    <x v="0"/>
    <s v="ZI"/>
    <s v="22.12.2022"/>
    <s v="*FX2000- Venta divisas 0100000004599"/>
    <s v="USD"/>
    <n v="7900016553"/>
    <s v="22.12.2022"/>
    <n v="15367"/>
    <n v="4761.6400100000001"/>
    <n v="40"/>
    <n v="73172122"/>
    <s v="COP"/>
    <d v="2022-12-22T00:00:00"/>
    <n v="4761.6400000000003"/>
    <n v="4761.6400000000003"/>
    <n v="0"/>
    <x v="0"/>
  </r>
  <r>
    <x v="0"/>
    <x v="12"/>
    <m/>
    <x v="0"/>
    <s v="ZI"/>
    <s v="23.12.2022"/>
    <s v="*FX1000+ Compra divisas 0100000004589"/>
    <s v="USD"/>
    <n v="7900016303"/>
    <s v="23.12.2022"/>
    <n v="-53000000"/>
    <n v="4761.6400000000003"/>
    <n v="50"/>
    <n v="-252366920000"/>
    <s v="COP"/>
    <d v="2022-12-23T00:00:00"/>
    <n v="4761.6400000000003"/>
    <n v="4760.6099999999997"/>
    <n v="54590000.000034705"/>
    <x v="2"/>
  </r>
  <r>
    <x v="0"/>
    <x v="12"/>
    <m/>
    <x v="0"/>
    <s v="ZI"/>
    <s v="23.12.2022"/>
    <s v="*FX2000- Venta divisas 0100000004589"/>
    <s v="COP"/>
    <n v="7900016304"/>
    <s v="23.12.2022"/>
    <n v="252366920000"/>
    <n v="1"/>
    <n v="40"/>
    <n v="252366920000"/>
    <s v="COP"/>
    <d v="2022-12-23T00:00:00"/>
    <n v="1"/>
    <n v="0"/>
    <n v="0"/>
    <x v="0"/>
  </r>
  <r>
    <x v="0"/>
    <x v="12"/>
    <m/>
    <x v="0"/>
    <s v="ZI"/>
    <s v="27.12.2022"/>
    <s v="*FX1000+ Compra divisas 0100000004588"/>
    <s v="COP"/>
    <n v="7900016223"/>
    <s v="27.12.2022"/>
    <n v="-418933679978"/>
    <n v="1"/>
    <n v="50"/>
    <n v="-418933679978"/>
    <s v="COP"/>
    <d v="2022-12-27T00:00:00"/>
    <n v="1"/>
    <n v="0"/>
    <n v="0"/>
    <x v="0"/>
  </r>
  <r>
    <x v="0"/>
    <x v="12"/>
    <m/>
    <x v="0"/>
    <s v="ZI"/>
    <s v="27.12.2022"/>
    <s v="*FX2000- Venta divisas 0100000004588"/>
    <s v="USD"/>
    <n v="7900016224"/>
    <s v="27.12.2022"/>
    <n v="88000000"/>
    <n v="4760.6099999999997"/>
    <n v="40"/>
    <n v="418933679978"/>
    <s v="COP"/>
    <d v="2022-12-27T00:00:00"/>
    <n v="4760.6099999999997"/>
    <n v="4745.04"/>
    <n v="-1370159999.9999745"/>
    <x v="1"/>
  </r>
  <r>
    <x v="0"/>
    <x v="12"/>
    <m/>
    <x v="0"/>
    <s v="ZI"/>
    <s v="28.12.2022"/>
    <s v="*FX1000+ Compra divisas 0100000004593"/>
    <s v="COP"/>
    <n v="7900016346"/>
    <s v="28.12.2022"/>
    <n v="-7658486223"/>
    <n v="1"/>
    <n v="50"/>
    <n v="-7658486223"/>
    <s v="COP"/>
    <d v="2022-12-28T00:00:00"/>
    <n v="1"/>
    <n v="0"/>
    <n v="0"/>
    <x v="0"/>
  </r>
  <r>
    <x v="0"/>
    <x v="12"/>
    <m/>
    <x v="0"/>
    <s v="ZI"/>
    <s v="28.12.2022"/>
    <s v="*FX2000- Venta divisas 0100000004593"/>
    <s v="USD"/>
    <n v="7900016347"/>
    <s v="28.12.2022"/>
    <n v="1608719.52"/>
    <n v="4760.6099899999999"/>
    <n v="40"/>
    <n v="7658486223"/>
    <s v="COP"/>
    <d v="2022-12-28T00:00:00"/>
    <n v="4760.6099999999997"/>
    <n v="4766.82"/>
    <n v="9990148.2192000579"/>
    <x v="2"/>
  </r>
  <r>
    <x v="0"/>
    <x v="12"/>
    <m/>
    <x v="0"/>
    <s v="ZI"/>
    <s v="28.12.2022"/>
    <s v="*FX1000+ Compra divisas 0100000004594"/>
    <s v="COP"/>
    <n v="7900016354"/>
    <s v="28.12.2022"/>
    <n v="-12572303799"/>
    <n v="1"/>
    <n v="50"/>
    <n v="-12572303799"/>
    <s v="COP"/>
    <d v="2022-12-28T00:00:00"/>
    <n v="1"/>
    <n v="0"/>
    <n v="0"/>
    <x v="0"/>
  </r>
  <r>
    <x v="0"/>
    <x v="12"/>
    <m/>
    <x v="0"/>
    <s v="ZI"/>
    <s v="28.12.2022"/>
    <s v="*FX2000- Venta divisas 0100000004594"/>
    <s v="USD"/>
    <n v="7900016355"/>
    <s v="28.12.2022"/>
    <n v="2640901.86"/>
    <n v="4760.6099999999997"/>
    <n v="40"/>
    <n v="12572303799"/>
    <s v="COP"/>
    <d v="2022-12-28T00:00:00"/>
    <n v="4760.6099999999997"/>
    <n v="4766.82"/>
    <n v="16400000.550600095"/>
    <x v="2"/>
  </r>
  <r>
    <x v="0"/>
    <x v="12"/>
    <m/>
    <x v="1"/>
    <s v="TD"/>
    <s v="01.12.2022"/>
    <s v="*FX2001- Venta divisas 0400000000109"/>
    <s v="COP"/>
    <n v="7900016038"/>
    <s v="01.12.2022"/>
    <n v="-21393154463"/>
    <n v="1"/>
    <n v="50"/>
    <n v="-21393154463"/>
    <s v="COP"/>
    <d v="2022-12-01T00:00:00"/>
    <n v="1"/>
    <n v="0"/>
    <n v="0"/>
    <x v="0"/>
  </r>
  <r>
    <x v="0"/>
    <x v="12"/>
    <m/>
    <x v="1"/>
    <s v="TD"/>
    <s v="02.12.2022"/>
    <s v="*FX2001- Venta divisas 0400000000105"/>
    <s v="COP"/>
    <n v="7900016057"/>
    <s v="02.12.2022"/>
    <n v="-56072291894"/>
    <n v="1"/>
    <n v="50"/>
    <n v="-56072291894"/>
    <s v="COP"/>
    <d v="2022-12-02T00:00:00"/>
    <n v="1"/>
    <n v="0"/>
    <n v="0"/>
    <x v="0"/>
  </r>
  <r>
    <x v="0"/>
    <x v="12"/>
    <m/>
    <x v="1"/>
    <s v="ZI"/>
    <s v="02.12.2022"/>
    <s v="*FX2000- Venta divisas 0100000004548"/>
    <s v="COP"/>
    <n v="7900016076"/>
    <s v="02.12.2022"/>
    <n v="-4772000010"/>
    <n v="1"/>
    <n v="50"/>
    <n v="-4772000010"/>
    <s v="COP"/>
    <d v="2022-12-02T00:00:00"/>
    <n v="1"/>
    <n v="0"/>
    <n v="0"/>
    <x v="0"/>
  </r>
  <r>
    <x v="0"/>
    <x v="12"/>
    <m/>
    <x v="1"/>
    <s v="ZI"/>
    <s v="06.12.2022"/>
    <s v="*FX2000- Venta divisas 0100000004550"/>
    <s v="USD"/>
    <n v="7900015954"/>
    <s v="06.12.2022"/>
    <n v="-1000963.3"/>
    <n v="4767.1899599999997"/>
    <n v="50"/>
    <n v="-4771782198"/>
    <s v="COP"/>
    <d v="2022-12-06T00:00:00"/>
    <n v="4767.1899999999996"/>
    <n v="4812.37"/>
    <n v="45223521.894000292"/>
    <x v="2"/>
  </r>
  <r>
    <x v="0"/>
    <x v="12"/>
    <m/>
    <x v="1"/>
    <s v="ZI"/>
    <s v="07.12.2022"/>
    <s v="*FX2000- Venta divisas 0100000004552"/>
    <s v="COP"/>
    <n v="7900016152"/>
    <s v="07.12.2022"/>
    <n v="-58100000009"/>
    <n v="1"/>
    <n v="50"/>
    <n v="-58100000009"/>
    <s v="COP"/>
    <d v="2022-12-07T00:00:00"/>
    <n v="1"/>
    <n v="0"/>
    <n v="0"/>
    <x v="0"/>
  </r>
  <r>
    <x v="0"/>
    <x v="12"/>
    <m/>
    <x v="1"/>
    <s v="ZI"/>
    <s v="12.12.2022"/>
    <s v="*FX2000- Venta divisas 0100000004553"/>
    <s v="USD"/>
    <n v="7900016014"/>
    <s v="12.12.2022"/>
    <n v="-4214460.17"/>
    <n v="4825.83"/>
    <n v="50"/>
    <n v="-20338268329"/>
    <s v="COP"/>
    <d v="2022-12-12T00:00:00"/>
    <n v="4825.83"/>
    <n v="4815.99"/>
    <n v="-41470288.072800614"/>
    <x v="1"/>
  </r>
  <r>
    <x v="0"/>
    <x v="12"/>
    <m/>
    <x v="1"/>
    <s v="ZI"/>
    <s v="12.12.2022"/>
    <s v="*FX2000- Venta divisas 0100000004554"/>
    <s v="USD"/>
    <n v="7900016022"/>
    <s v="12.12.2022"/>
    <n v="-7823415.6699999999"/>
    <n v="4825.83"/>
    <n v="50"/>
    <n v="-37754474066"/>
    <s v="COP"/>
    <d v="2022-12-12T00:00:00"/>
    <n v="4825.83"/>
    <n v="4815.99"/>
    <n v="-76982410.192801133"/>
    <x v="1"/>
  </r>
  <r>
    <x v="0"/>
    <x v="12"/>
    <m/>
    <x v="1"/>
    <s v="ZI"/>
    <s v="19.12.2022"/>
    <s v="*FX2000- Venta divisas 0100000004590"/>
    <s v="USD"/>
    <n v="7900016292"/>
    <s v="19.12.2022"/>
    <n v="-400000"/>
    <n v="4802.4799999999996"/>
    <n v="50"/>
    <n v="-1920992000"/>
    <s v="COP"/>
    <d v="2022-12-19T00:00:00"/>
    <n v="4802.4799999999996"/>
    <n v="4802.4799999999996"/>
    <n v="0"/>
    <x v="0"/>
  </r>
  <r>
    <x v="0"/>
    <x v="12"/>
    <m/>
    <x v="1"/>
    <s v="ZI"/>
    <s v="22.12.2022"/>
    <s v="*FX2000- Venta divisas 0100000004599"/>
    <s v="USD"/>
    <n v="7900016553"/>
    <s v="22.12.2022"/>
    <n v="-15367"/>
    <n v="4761.6400100000001"/>
    <n v="50"/>
    <n v="-73172122"/>
    <s v="COP"/>
    <d v="2022-12-22T00:00:00"/>
    <n v="4761.6400000000003"/>
    <n v="4761.6400000000003"/>
    <n v="0"/>
    <x v="0"/>
  </r>
  <r>
    <x v="0"/>
    <x v="12"/>
    <m/>
    <x v="1"/>
    <s v="ZI"/>
    <s v="27.12.2022"/>
    <s v="*FX2000- Venta divisas 0100000004588"/>
    <s v="USD"/>
    <n v="7900016224"/>
    <s v="27.12.2022"/>
    <n v="-88000000"/>
    <n v="4760.6099999999997"/>
    <n v="50"/>
    <n v="-418933679978"/>
    <s v="COP"/>
    <d v="2022-12-27T00:00:00"/>
    <n v="4760.6099999999997"/>
    <n v="4745.04"/>
    <n v="-1370159999.9999745"/>
    <x v="1"/>
  </r>
  <r>
    <x v="0"/>
    <x v="12"/>
    <m/>
    <x v="1"/>
    <s v="ZI"/>
    <s v="28.12.2022"/>
    <s v="*FX2000- Venta divisas 0100000004593"/>
    <s v="USD"/>
    <n v="7900016347"/>
    <s v="28.12.2022"/>
    <n v="-1608719.52"/>
    <n v="4760.6099899999999"/>
    <n v="50"/>
    <n v="-7658486223"/>
    <s v="COP"/>
    <d v="2022-12-28T00:00:00"/>
    <n v="4760.6099999999997"/>
    <n v="4766.82"/>
    <n v="9990148.2192000579"/>
    <x v="2"/>
  </r>
  <r>
    <x v="0"/>
    <x v="12"/>
    <m/>
    <x v="1"/>
    <s v="ZI"/>
    <s v="28.12.2022"/>
    <s v="*FX2000- Venta divisas 0100000004594"/>
    <s v="USD"/>
    <n v="7900016355"/>
    <s v="28.12.2022"/>
    <n v="-2640901.86"/>
    <n v="4760.6099999999997"/>
    <n v="50"/>
    <n v="-12572303799"/>
    <s v="COP"/>
    <d v="2022-12-28T00:00:00"/>
    <n v="4760.6099999999997"/>
    <n v="4766.82"/>
    <n v="16400000.550600095"/>
    <x v="2"/>
  </r>
  <r>
    <x v="0"/>
    <x v="12"/>
    <m/>
    <x v="1"/>
    <s v="ZP"/>
    <s v="01.12.2022"/>
    <m/>
    <s v="COP"/>
    <n v="2000012520"/>
    <s v="01.12.2022"/>
    <n v="21393154463"/>
    <n v="1"/>
    <n v="40"/>
    <n v="21393154463"/>
    <s v="COP"/>
    <d v="2022-12-01T00:00:00"/>
    <n v="1"/>
    <n v="0"/>
    <n v="0"/>
    <x v="0"/>
  </r>
  <r>
    <x v="0"/>
    <x v="12"/>
    <m/>
    <x v="1"/>
    <s v="ZP"/>
    <s v="02.12.2022"/>
    <m/>
    <s v="USD"/>
    <n v="2000012000"/>
    <s v="02.12.2022"/>
    <n v="8386.7999999999993"/>
    <n v="4779.0599499999998"/>
    <n v="40"/>
    <n v="40081020"/>
    <s v="COP"/>
    <d v="2022-12-02T00:00:00"/>
    <n v="4779.0600000000004"/>
    <n v="4779.0600000000004"/>
    <n v="0"/>
    <x v="0"/>
  </r>
  <r>
    <x v="0"/>
    <x v="12"/>
    <m/>
    <x v="1"/>
    <s v="ZP"/>
    <s v="02.12.2022"/>
    <m/>
    <s v="COP"/>
    <n v="2000012524"/>
    <s v="02.12.2022"/>
    <n v="56072291894"/>
    <n v="1"/>
    <n v="40"/>
    <n v="56072291894"/>
    <s v="COP"/>
    <d v="2022-12-02T00:00:00"/>
    <n v="1"/>
    <n v="0"/>
    <n v="0"/>
    <x v="0"/>
  </r>
  <r>
    <x v="0"/>
    <x v="12"/>
    <m/>
    <x v="1"/>
    <s v="ZP"/>
    <s v="02.12.2022"/>
    <m/>
    <s v="COP"/>
    <n v="2000012525"/>
    <s v="02.12.2022"/>
    <n v="4772000010"/>
    <n v="1"/>
    <n v="40"/>
    <n v="4772000010"/>
    <s v="COP"/>
    <d v="2022-12-02T00:00:00"/>
    <n v="1"/>
    <n v="0"/>
    <n v="0"/>
    <x v="0"/>
  </r>
  <r>
    <x v="0"/>
    <x v="12"/>
    <m/>
    <x v="1"/>
    <s v="ZP"/>
    <s v="05.12.2022"/>
    <m/>
    <s v="COP"/>
    <n v="2000012004"/>
    <s v="05.12.2022"/>
    <n v="12660219820"/>
    <n v="1"/>
    <n v="40"/>
    <n v="12660219820"/>
    <s v="COP"/>
    <d v="2022-12-05T00:00:00"/>
    <n v="1"/>
    <n v="0"/>
    <n v="0"/>
    <x v="0"/>
  </r>
  <r>
    <x v="0"/>
    <x v="12"/>
    <m/>
    <x v="1"/>
    <s v="ZP"/>
    <s v="06.12.2022"/>
    <m/>
    <s v="USD"/>
    <n v="2000012056"/>
    <s v="06.12.2022"/>
    <n v="1000963.3"/>
    <n v="4767.1899599999997"/>
    <n v="40"/>
    <n v="4771782198"/>
    <s v="COP"/>
    <d v="2022-12-06T00:00:00"/>
    <n v="4767.1899999999996"/>
    <n v="4812.37"/>
    <n v="-45223521.894000292"/>
    <x v="1"/>
  </r>
  <r>
    <x v="0"/>
    <x v="12"/>
    <m/>
    <x v="1"/>
    <s v="ZP"/>
    <s v="06.12.2022"/>
    <m/>
    <s v="COP"/>
    <n v="2000012057"/>
    <s v="06.12.2022"/>
    <n v="29155912436"/>
    <n v="1"/>
    <n v="40"/>
    <n v="29155912436"/>
    <s v="COP"/>
    <d v="2022-12-06T00:00:00"/>
    <n v="1"/>
    <n v="0"/>
    <n v="0"/>
    <x v="0"/>
  </r>
  <r>
    <x v="0"/>
    <x v="12"/>
    <m/>
    <x v="1"/>
    <s v="ZP"/>
    <s v="07.12.2022"/>
    <m/>
    <s v="COP"/>
    <n v="2000012721"/>
    <s v="07.12.2022"/>
    <n v="58100000009"/>
    <n v="1"/>
    <n v="40"/>
    <n v="58100000009"/>
    <s v="COP"/>
    <d v="2022-12-07T00:00:00"/>
    <n v="1"/>
    <n v="0"/>
    <n v="0"/>
    <x v="0"/>
  </r>
  <r>
    <x v="0"/>
    <x v="12"/>
    <m/>
    <x v="1"/>
    <s v="ZP"/>
    <s v="12.12.2022"/>
    <m/>
    <s v="COP"/>
    <n v="2000012410"/>
    <s v="12.12.2022"/>
    <n v="3005527778"/>
    <n v="1"/>
    <n v="40"/>
    <n v="3005527778"/>
    <s v="COP"/>
    <d v="2022-12-12T00:00:00"/>
    <n v="1"/>
    <n v="0"/>
    <n v="0"/>
    <x v="0"/>
  </r>
  <r>
    <x v="0"/>
    <x v="12"/>
    <m/>
    <x v="1"/>
    <s v="ZP"/>
    <s v="12.12.2022"/>
    <m/>
    <s v="USD"/>
    <n v="2000012432"/>
    <s v="12.12.2022"/>
    <n v="4214460.17"/>
    <n v="4825.83"/>
    <n v="40"/>
    <n v="20338268329"/>
    <s v="COP"/>
    <d v="2022-12-12T00:00:00"/>
    <n v="4825.83"/>
    <n v="4815.99"/>
    <n v="41470288.072800614"/>
    <x v="2"/>
  </r>
  <r>
    <x v="0"/>
    <x v="12"/>
    <m/>
    <x v="1"/>
    <s v="ZP"/>
    <s v="12.12.2022"/>
    <m/>
    <s v="USD"/>
    <n v="2000012433"/>
    <s v="12.12.2022"/>
    <n v="7823415.6699999999"/>
    <n v="4825.83"/>
    <n v="40"/>
    <n v="37754474066"/>
    <s v="COP"/>
    <d v="2022-12-12T00:00:00"/>
    <n v="4825.83"/>
    <n v="4815.99"/>
    <n v="76982410.192801133"/>
    <x v="2"/>
  </r>
  <r>
    <x v="0"/>
    <x v="12"/>
    <m/>
    <x v="1"/>
    <s v="ZP"/>
    <s v="13.12.2022"/>
    <m/>
    <s v="COP"/>
    <n v="2000012438"/>
    <s v="13.12.2022"/>
    <n v="7485692178"/>
    <n v="1"/>
    <n v="40"/>
    <n v="7485692178"/>
    <s v="COP"/>
    <d v="2022-12-13T00:00:00"/>
    <n v="1"/>
    <n v="0"/>
    <n v="0"/>
    <x v="0"/>
  </r>
  <r>
    <x v="0"/>
    <x v="12"/>
    <m/>
    <x v="1"/>
    <s v="ZP"/>
    <s v="21.12.2022"/>
    <m/>
    <s v="COP"/>
    <n v="2000012791"/>
    <s v="21.12.2022"/>
    <n v="31996084"/>
    <n v="1"/>
    <n v="40"/>
    <n v="31996084"/>
    <s v="COP"/>
    <d v="2022-12-21T00:00:00"/>
    <n v="1"/>
    <n v="0"/>
    <n v="0"/>
    <x v="0"/>
  </r>
  <r>
    <x v="0"/>
    <x v="12"/>
    <m/>
    <x v="1"/>
    <s v="ZP"/>
    <s v="22.12.2022"/>
    <m/>
    <s v="USD"/>
    <n v="2000013515"/>
    <s v="22.12.2022"/>
    <n v="15367"/>
    <n v="4761.6400100000001"/>
    <n v="40"/>
    <n v="73172122"/>
    <s v="COP"/>
    <d v="2022-12-22T00:00:00"/>
    <n v="4761.6400000000003"/>
    <n v="4761.6400000000003"/>
    <n v="0"/>
    <x v="0"/>
  </r>
  <r>
    <x v="0"/>
    <x v="12"/>
    <m/>
    <x v="1"/>
    <s v="ZP"/>
    <s v="26.12.2022"/>
    <m/>
    <s v="COP"/>
    <n v="2000012899"/>
    <s v="26.12.2022"/>
    <n v="3296727777"/>
    <n v="1"/>
    <n v="40"/>
    <n v="3296727777"/>
    <s v="COP"/>
    <d v="2022-12-26T00:00:00"/>
    <n v="1"/>
    <n v="0"/>
    <n v="0"/>
    <x v="0"/>
  </r>
  <r>
    <x v="0"/>
    <x v="12"/>
    <m/>
    <x v="1"/>
    <s v="ZP"/>
    <s v="27.12.2022"/>
    <m/>
    <s v="USD"/>
    <n v="2000012999"/>
    <s v="27.12.2022"/>
    <n v="88000000"/>
    <n v="4760.6099999999997"/>
    <n v="40"/>
    <n v="418933679978"/>
    <s v="COP"/>
    <d v="2022-12-27T00:00:00"/>
    <n v="4760.6099999999997"/>
    <n v="4745.04"/>
    <n v="1370159999.9999745"/>
    <x v="2"/>
  </r>
  <r>
    <x v="0"/>
    <x v="12"/>
    <m/>
    <x v="1"/>
    <s v="ZP"/>
    <s v="27.12.2022"/>
    <m/>
    <s v="USD"/>
    <n v="2000013053"/>
    <s v="27.12.2022"/>
    <n v="400000"/>
    <n v="4802.4799999999996"/>
    <n v="40"/>
    <n v="1920992000"/>
    <s v="COP"/>
    <d v="2022-12-27T00:00:00"/>
    <n v="4802.4799999999996"/>
    <n v="4745.04"/>
    <n v="22975999.99999984"/>
    <x v="2"/>
  </r>
  <r>
    <x v="0"/>
    <x v="12"/>
    <m/>
    <x v="1"/>
    <s v="ZP"/>
    <s v="28.12.2022"/>
    <m/>
    <s v="COP"/>
    <n v="2000013071"/>
    <s v="28.12.2022"/>
    <n v="4937848333"/>
    <n v="1"/>
    <n v="40"/>
    <n v="4937848333"/>
    <s v="COP"/>
    <d v="2022-12-28T00:00:00"/>
    <n v="1"/>
    <n v="0"/>
    <n v="0"/>
    <x v="0"/>
  </r>
  <r>
    <x v="0"/>
    <x v="12"/>
    <m/>
    <x v="1"/>
    <s v="ZP"/>
    <s v="28.12.2022"/>
    <m/>
    <s v="USD"/>
    <n v="2000013210"/>
    <s v="28.12.2022"/>
    <n v="4249621.38"/>
    <n v="4760.6099999999997"/>
    <n v="40"/>
    <n v="20230790022"/>
    <s v="COP"/>
    <d v="2022-12-28T00:00:00"/>
    <n v="4760.6099999999997"/>
    <n v="4766.82"/>
    <n v="-26390148.769800153"/>
    <x v="1"/>
  </r>
  <r>
    <x v="0"/>
    <x v="12"/>
    <m/>
    <x v="1"/>
    <s v="ZS"/>
    <s v="02.12.2022"/>
    <s v="*CMLZ017 0001000004400"/>
    <s v="USD"/>
    <n v="7900015911"/>
    <s v="02.12.2022"/>
    <n v="-8386.7999999999993"/>
    <n v="4779.0599499999998"/>
    <n v="50"/>
    <n v="-40081020"/>
    <s v="COP"/>
    <d v="2022-12-02T00:00:00"/>
    <n v="4779.0600000000004"/>
    <n v="4779.0600000000004"/>
    <n v="0"/>
    <x v="0"/>
  </r>
  <r>
    <x v="0"/>
    <x v="12"/>
    <m/>
    <x v="1"/>
    <s v="ZS"/>
    <s v="05.12.2022"/>
    <s v="*CML1110 0001000004101"/>
    <s v="COP"/>
    <n v="7900015941"/>
    <s v="05.12.2022"/>
    <n v="-3915112900"/>
    <n v="1"/>
    <n v="50"/>
    <n v="-3915112900"/>
    <s v="COP"/>
    <d v="2022-12-05T00:00:00"/>
    <n v="1"/>
    <n v="0"/>
    <n v="0"/>
    <x v="0"/>
  </r>
  <r>
    <x v="0"/>
    <x v="12"/>
    <m/>
    <x v="1"/>
    <s v="ZS"/>
    <s v="05.12.2022"/>
    <s v="*CML1110 0001000004102"/>
    <s v="COP"/>
    <n v="7900015942"/>
    <s v="05.12.2022"/>
    <n v="-8745106920"/>
    <n v="1"/>
    <n v="50"/>
    <n v="-8745106920"/>
    <s v="COP"/>
    <d v="2022-12-05T00:00:00"/>
    <n v="1"/>
    <n v="0"/>
    <n v="0"/>
    <x v="0"/>
  </r>
  <r>
    <x v="0"/>
    <x v="12"/>
    <m/>
    <x v="1"/>
    <s v="ZS"/>
    <s v="06.12.2022"/>
    <s v="*CML1110 0001000003453"/>
    <s v="COP"/>
    <n v="7900015965"/>
    <s v="06.12.2022"/>
    <n v="-7624759793"/>
    <n v="1"/>
    <n v="50"/>
    <n v="-7624759793"/>
    <s v="COP"/>
    <d v="2022-12-06T00:00:00"/>
    <n v="1"/>
    <n v="0"/>
    <n v="0"/>
    <x v="0"/>
  </r>
  <r>
    <x v="0"/>
    <x v="12"/>
    <m/>
    <x v="1"/>
    <s v="ZS"/>
    <s v="06.12.2022"/>
    <s v="*CML1110 0001000003450"/>
    <s v="COP"/>
    <n v="7900015966"/>
    <s v="06.12.2022"/>
    <n v="-2386905183"/>
    <n v="1"/>
    <n v="50"/>
    <n v="-2386905183"/>
    <s v="COP"/>
    <d v="2022-12-06T00:00:00"/>
    <n v="1"/>
    <n v="0"/>
    <n v="0"/>
    <x v="0"/>
  </r>
  <r>
    <x v="0"/>
    <x v="12"/>
    <m/>
    <x v="1"/>
    <s v="ZS"/>
    <s v="06.12.2022"/>
    <s v="*CML1110 0001000003451"/>
    <s v="COP"/>
    <n v="7900015967"/>
    <s v="06.12.2022"/>
    <n v="-6034589880"/>
    <n v="1"/>
    <n v="50"/>
    <n v="-6034589880"/>
    <s v="COP"/>
    <d v="2022-12-06T00:00:00"/>
    <n v="1"/>
    <n v="0"/>
    <n v="0"/>
    <x v="0"/>
  </r>
  <r>
    <x v="0"/>
    <x v="12"/>
    <m/>
    <x v="1"/>
    <s v="ZS"/>
    <s v="06.12.2022"/>
    <s v="*CML1110 0001000003452"/>
    <s v="COP"/>
    <n v="7900015968"/>
    <s v="06.12.2022"/>
    <n v="-13109657580"/>
    <n v="1"/>
    <n v="50"/>
    <n v="-13109657580"/>
    <s v="COP"/>
    <d v="2022-12-06T00:00:00"/>
    <n v="1"/>
    <n v="0"/>
    <n v="0"/>
    <x v="0"/>
  </r>
  <r>
    <x v="0"/>
    <x v="12"/>
    <m/>
    <x v="1"/>
    <s v="ZS"/>
    <s v="12.12.2022"/>
    <s v="*CML1110 0001000003650"/>
    <s v="COP"/>
    <n v="7900015987"/>
    <s v="12.12.2022"/>
    <n v="-3005527778"/>
    <n v="1"/>
    <n v="50"/>
    <n v="-3005527778"/>
    <s v="COP"/>
    <d v="2022-12-12T00:00:00"/>
    <n v="1"/>
    <n v="0"/>
    <n v="0"/>
    <x v="0"/>
  </r>
  <r>
    <x v="0"/>
    <x v="12"/>
    <m/>
    <x v="1"/>
    <s v="ZS"/>
    <s v="13.12.2022"/>
    <s v="*CML1110 0001000002401"/>
    <s v="COP"/>
    <n v="7900016029"/>
    <s v="13.12.2022"/>
    <n v="-3482107851"/>
    <n v="1"/>
    <n v="50"/>
    <n v="-3482107851"/>
    <s v="COP"/>
    <d v="2022-12-13T00:00:00"/>
    <n v="1"/>
    <n v="0"/>
    <n v="0"/>
    <x v="0"/>
  </r>
  <r>
    <x v="0"/>
    <x v="12"/>
    <m/>
    <x v="1"/>
    <s v="ZS"/>
    <s v="13.12.2022"/>
    <s v="*CML1110 0001000002400"/>
    <s v="COP"/>
    <n v="7900016030"/>
    <s v="13.12.2022"/>
    <n v="-4003584327"/>
    <n v="1"/>
    <n v="50"/>
    <n v="-4003584327"/>
    <s v="COP"/>
    <d v="2022-12-13T00:00:00"/>
    <n v="1"/>
    <n v="0"/>
    <n v="0"/>
    <x v="0"/>
  </r>
  <r>
    <x v="0"/>
    <x v="12"/>
    <m/>
    <x v="1"/>
    <s v="ZS"/>
    <s v="21.12.2022"/>
    <s v="*CMLZ017 0001000004200"/>
    <s v="COP"/>
    <n v="7900016165"/>
    <s v="21.12.2022"/>
    <n v="-31996084"/>
    <n v="1"/>
    <n v="50"/>
    <n v="-31996084"/>
    <s v="COP"/>
    <d v="2022-12-21T00:00:00"/>
    <n v="1"/>
    <n v="0"/>
    <n v="0"/>
    <x v="0"/>
  </r>
  <r>
    <x v="0"/>
    <x v="12"/>
    <m/>
    <x v="1"/>
    <s v="ZS"/>
    <s v="26.12.2022"/>
    <s v="*CML1110 0001000003651"/>
    <s v="COP"/>
    <n v="7900016121"/>
    <s v="26.12.2022"/>
    <n v="-3296727777"/>
    <n v="1"/>
    <n v="50"/>
    <n v="-3296727777"/>
    <s v="COP"/>
    <d v="2022-12-26T00:00:00"/>
    <n v="1"/>
    <n v="0"/>
    <n v="0"/>
    <x v="0"/>
  </r>
  <r>
    <x v="0"/>
    <x v="12"/>
    <m/>
    <x v="1"/>
    <s v="ZS"/>
    <s v="28.12.2022"/>
    <s v="*CML1110 0001000003950"/>
    <s v="COP"/>
    <n v="7900016117"/>
    <s v="28.12.2022"/>
    <n v="-4937848333"/>
    <n v="1"/>
    <n v="50"/>
    <n v="-4937848333"/>
    <s v="COP"/>
    <d v="2022-12-28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0"/>
  </r>
  <r>
    <x v="2"/>
    <x v="13"/>
    <m/>
    <x v="0"/>
    <s v="ZI"/>
    <s v="05.01.2023"/>
    <s v="*FX1000+ Compra divisas 0100000004601"/>
    <s v="USD"/>
    <n v="7900000657"/>
    <s v="05.01.2023"/>
    <n v="-3400000"/>
    <n v="4989.62"/>
    <n v="50"/>
    <n v="-16964708000"/>
    <s v="COP"/>
    <d v="2023-01-05T00:00:00"/>
    <n v="4989.62"/>
    <n v="4924"/>
    <n v="223108000"/>
    <x v="2"/>
  </r>
  <r>
    <x v="2"/>
    <x v="13"/>
    <m/>
    <x v="0"/>
    <s v="ZI"/>
    <s v="05.01.2023"/>
    <s v="*FX2000- Venta divisas 0100000004601"/>
    <s v="COP"/>
    <n v="7900000658"/>
    <s v="05.01.2023"/>
    <n v="16964708000"/>
    <n v="1"/>
    <n v="40"/>
    <n v="16964708000"/>
    <s v="COP"/>
    <d v="2023-01-05T00:00:00"/>
    <n v="1"/>
    <n v="0"/>
    <n v="0"/>
    <x v="0"/>
  </r>
  <r>
    <x v="2"/>
    <x v="13"/>
    <m/>
    <x v="0"/>
    <s v="ZI"/>
    <s v="10.01.2023"/>
    <s v="*FX1000+ Compra divisas 0100000004602"/>
    <s v="COP"/>
    <n v="7900000597"/>
    <s v="10.01.2023"/>
    <n v="-3933105888"/>
    <n v="1"/>
    <n v="50"/>
    <n v="-3933105888"/>
    <s v="COP"/>
    <d v="2023-01-10T00:00:00"/>
    <n v="1"/>
    <n v="0"/>
    <n v="0"/>
    <x v="0"/>
  </r>
  <r>
    <x v="2"/>
    <x v="13"/>
    <m/>
    <x v="0"/>
    <s v="ZI"/>
    <s v="10.01.2023"/>
    <s v="*FX2000- Venta divisas 0100000004602"/>
    <s v="USD"/>
    <n v="7900000598"/>
    <s v="10.01.2023"/>
    <n v="788263.92"/>
    <n v="4989.58"/>
    <n v="40"/>
    <n v="3933105888"/>
    <s v="COP"/>
    <d v="2023-01-10T00:00:00"/>
    <n v="4989.58"/>
    <n v="4885.66"/>
    <n v="-81916387"/>
    <x v="1"/>
  </r>
  <r>
    <x v="2"/>
    <x v="13"/>
    <m/>
    <x v="0"/>
    <s v="ZI"/>
    <s v="10.01.2023"/>
    <s v="*FX1000+ Compra divisas 0100000004603"/>
    <s v="COP"/>
    <n v="7900000605"/>
    <s v="10.01.2023"/>
    <n v="-3594191580"/>
    <n v="1"/>
    <n v="50"/>
    <n v="-3594191580"/>
    <s v="COP"/>
    <d v="2023-01-10T00:00:00"/>
    <n v="1"/>
    <n v="0"/>
    <n v="0"/>
    <x v="0"/>
  </r>
  <r>
    <x v="2"/>
    <x v="13"/>
    <m/>
    <x v="0"/>
    <s v="ZI"/>
    <s v="10.01.2023"/>
    <s v="*FX2000- Venta divisas 0100000004603"/>
    <s v="USD"/>
    <n v="7900000606"/>
    <s v="10.01.2023"/>
    <n v="720339.5"/>
    <n v="4989.5800200000003"/>
    <n v="40"/>
    <n v="3594191580"/>
    <s v="COP"/>
    <d v="2023-01-10T00:00:00"/>
    <n v="4989.58"/>
    <n v="4885.66"/>
    <n v="-74857681"/>
    <x v="1"/>
  </r>
  <r>
    <x v="2"/>
    <x v="13"/>
    <m/>
    <x v="0"/>
    <s v="ZI"/>
    <s v="12.01.2023"/>
    <s v="*FX1000+ Compra divisas 0100000004604"/>
    <s v="USD"/>
    <n v="7900000677"/>
    <s v="12.01.2023"/>
    <n v="-28000000"/>
    <n v="4700"/>
    <n v="50"/>
    <n v="-131600000000"/>
    <s v="COP"/>
    <d v="2023-01-12T00:00:00"/>
    <n v="4700"/>
    <n v="4748.54"/>
    <n v="-1359120000"/>
    <x v="1"/>
  </r>
  <r>
    <x v="2"/>
    <x v="13"/>
    <m/>
    <x v="0"/>
    <s v="ZI"/>
    <s v="12.01.2023"/>
    <s v="*FX2000- Venta divisas 0100000004604"/>
    <s v="COP"/>
    <n v="7900000678"/>
    <s v="12.01.2023"/>
    <n v="131600000000"/>
    <n v="1"/>
    <n v="40"/>
    <n v="131600000000"/>
    <s v="COP"/>
    <d v="2023-01-12T00:00:00"/>
    <n v="1"/>
    <n v="0"/>
    <n v="0"/>
    <x v="0"/>
  </r>
  <r>
    <x v="2"/>
    <x v="13"/>
    <m/>
    <x v="0"/>
    <s v="ZI"/>
    <s v="17.01.2023"/>
    <s v="*FX1000+ Compra divisas 0100000004606"/>
    <s v="USD"/>
    <n v="7900000757"/>
    <s v="17.01.2023"/>
    <n v="-2830000"/>
    <n v="4695"/>
    <n v="50"/>
    <n v="-13286850000"/>
    <s v="COP"/>
    <d v="2023-01-17T00:00:00"/>
    <n v="4695"/>
    <n v="4693.99"/>
    <n v="2858300"/>
    <x v="2"/>
  </r>
  <r>
    <x v="2"/>
    <x v="13"/>
    <m/>
    <x v="0"/>
    <s v="ZI"/>
    <s v="17.01.2023"/>
    <s v="*FX2000- Venta divisas 0100000004606"/>
    <s v="COP"/>
    <n v="7900000758"/>
    <s v="17.01.2023"/>
    <n v="13286850000"/>
    <n v="1"/>
    <n v="40"/>
    <n v="13286850000"/>
    <s v="COP"/>
    <d v="2023-01-17T00:00:00"/>
    <n v="1"/>
    <n v="0"/>
    <n v="0"/>
    <x v="0"/>
  </r>
  <r>
    <x v="2"/>
    <x v="13"/>
    <m/>
    <x v="0"/>
    <s v="ZI"/>
    <s v="17.01.2023"/>
    <s v="*FX1000+ Compra divisas 0100000004607"/>
    <s v="USD"/>
    <n v="7900000765"/>
    <s v="17.01.2023"/>
    <n v="-2500000"/>
    <n v="4690.2"/>
    <n v="50"/>
    <n v="-11725500000"/>
    <s v="COP"/>
    <d v="2023-01-17T00:00:00"/>
    <n v="4690.2"/>
    <n v="4693.99"/>
    <n v="-9475000"/>
    <x v="1"/>
  </r>
  <r>
    <x v="2"/>
    <x v="13"/>
    <m/>
    <x v="0"/>
    <s v="ZI"/>
    <s v="17.01.2023"/>
    <s v="*FX2000- Venta divisas 0100000004607"/>
    <s v="COP"/>
    <n v="7900000766"/>
    <s v="17.01.2023"/>
    <n v="11725500000"/>
    <n v="1"/>
    <n v="40"/>
    <n v="11725500000"/>
    <s v="COP"/>
    <d v="2023-01-17T00:00:00"/>
    <n v="1"/>
    <n v="0"/>
    <n v="0"/>
    <x v="0"/>
  </r>
  <r>
    <x v="2"/>
    <x v="13"/>
    <m/>
    <x v="0"/>
    <s v="ZI"/>
    <s v="31.01.2023"/>
    <s v="*FX1000+ Compra divisas 0100000004622"/>
    <s v="COP"/>
    <n v="7900001755"/>
    <s v="31.01.2023"/>
    <n v="-44680927073"/>
    <n v="1"/>
    <n v="50"/>
    <n v="-44680927073"/>
    <s v="COP"/>
    <d v="2023-01-31T00:00:00"/>
    <n v="1"/>
    <n v="0"/>
    <n v="0"/>
    <x v="0"/>
  </r>
  <r>
    <x v="2"/>
    <x v="13"/>
    <m/>
    <x v="0"/>
    <s v="ZI"/>
    <s v="31.01.2023"/>
    <s v="*FX2000- Venta divisas 0100000004622"/>
    <s v="USD"/>
    <n v="7900001756"/>
    <s v="31.01.2023"/>
    <n v="9859530.4399999995"/>
    <n v="4531.75"/>
    <n v="40"/>
    <n v="44680927073"/>
    <s v="COP"/>
    <d v="2023-01-31T00:00:00"/>
    <n v="4531.75"/>
    <n v="4632.2"/>
    <n v="990389833"/>
    <x v="3"/>
  </r>
  <r>
    <x v="2"/>
    <x v="13"/>
    <m/>
    <x v="0"/>
    <s v="ZI"/>
    <s v="31.01.2023"/>
    <s v="*FX1000+ Compra divisas 0100000004623"/>
    <s v="USD"/>
    <n v="7900001785"/>
    <s v="31.01.2023"/>
    <n v="-4800000"/>
    <n v="4638"/>
    <n v="50"/>
    <n v="-22262400000"/>
    <s v="COP"/>
    <d v="2023-01-31T00:00:00"/>
    <n v="4638"/>
    <n v="4632.2"/>
    <n v="27840000"/>
    <x v="2"/>
  </r>
  <r>
    <x v="2"/>
    <x v="13"/>
    <m/>
    <x v="0"/>
    <s v="ZI"/>
    <s v="31.01.2023"/>
    <s v="*FX2000- Venta divisas 0100000004623"/>
    <s v="COP"/>
    <n v="7900001786"/>
    <s v="31.01.2023"/>
    <n v="22262400000"/>
    <n v="1"/>
    <n v="40"/>
    <n v="22262400000"/>
    <s v="COP"/>
    <d v="2023-01-31T00:00:00"/>
    <n v="1"/>
    <n v="0"/>
    <n v="0"/>
    <x v="0"/>
  </r>
  <r>
    <x v="2"/>
    <x v="13"/>
    <m/>
    <x v="0"/>
    <s v="ZI"/>
    <s v="31.01.2023"/>
    <s v="*FX1000+ Compra divisas 0100000004622"/>
    <s v="COP"/>
    <n v="7900001794"/>
    <s v="31.01.2023"/>
    <n v="44680927073"/>
    <n v="1"/>
    <n v="40"/>
    <n v="44680927073"/>
    <s v="COP"/>
    <d v="2023-01-31T00:00:00"/>
    <n v="1"/>
    <n v="0"/>
    <n v="0"/>
    <x v="0"/>
  </r>
  <r>
    <x v="2"/>
    <x v="13"/>
    <m/>
    <x v="0"/>
    <s v="ZI"/>
    <s v="31.01.2023"/>
    <s v="*FX2000- Venta divisas 0100000004622"/>
    <s v="USD"/>
    <n v="7900001795"/>
    <s v="31.01.2023"/>
    <n v="-9859530.4399999995"/>
    <n v="4531.75"/>
    <n v="50"/>
    <n v="-44680927073"/>
    <s v="COP"/>
    <d v="2023-01-31T00:00:00"/>
    <n v="4531.75"/>
    <n v="4632.2"/>
    <n v="-990389833"/>
    <x v="3"/>
  </r>
  <r>
    <x v="2"/>
    <x v="13"/>
    <m/>
    <x v="0"/>
    <s v="ZI"/>
    <s v="31.01.2023"/>
    <s v="*FX1000+ Compra divisas 0100000004627"/>
    <s v="COP"/>
    <n v="7900001803"/>
    <s v="31.01.2023"/>
    <n v="-44680927073"/>
    <n v="1"/>
    <n v="50"/>
    <n v="-44680927073"/>
    <s v="COP"/>
    <d v="2023-01-31T00:00:00"/>
    <n v="1"/>
    <n v="0"/>
    <n v="0"/>
    <x v="0"/>
  </r>
  <r>
    <x v="2"/>
    <x v="13"/>
    <m/>
    <x v="0"/>
    <s v="ZI"/>
    <s v="31.01.2023"/>
    <s v="*FX2000- Venta divisas 0100000004627"/>
    <s v="USD"/>
    <n v="7900001804"/>
    <s v="31.01.2023"/>
    <n v="9859530.4399999995"/>
    <n v="4531.75"/>
    <n v="40"/>
    <n v="44680927073"/>
    <s v="COP"/>
    <d v="2023-01-31T00:00:00"/>
    <n v="4531.75"/>
    <n v="4632.2"/>
    <n v="990389833"/>
    <x v="2"/>
  </r>
  <r>
    <x v="2"/>
    <x v="13"/>
    <m/>
    <x v="1"/>
    <s v="MD"/>
    <s v="10.01.2023"/>
    <s v="LIQUIDACIÓN SWAP XCCY CITIBANK 2"/>
    <s v="COP"/>
    <n v="100000754"/>
    <s v="10.01.2023"/>
    <n v="-3594191580"/>
    <n v="1"/>
    <n v="50"/>
    <n v="-3594191580"/>
    <s v="COP"/>
    <d v="2023-01-10T00:00:00"/>
    <n v="1"/>
    <n v="0"/>
    <n v="0"/>
    <x v="0"/>
  </r>
  <r>
    <x v="2"/>
    <x v="13"/>
    <m/>
    <x v="1"/>
    <s v="MD"/>
    <s v="10.01.2023"/>
    <s v="LIQUIDACIÓN SWAP XCCY CITIBANK 1"/>
    <s v="COP"/>
    <n v="100000755"/>
    <s v="10.01.2023"/>
    <n v="-3933105888"/>
    <n v="1"/>
    <n v="50"/>
    <n v="-3933105888"/>
    <s v="COP"/>
    <d v="2023-01-10T00:00:00"/>
    <n v="1"/>
    <n v="0"/>
    <n v="0"/>
    <x v="0"/>
  </r>
  <r>
    <x v="2"/>
    <x v="13"/>
    <m/>
    <x v="1"/>
    <s v="MT"/>
    <s v="10.01.2023"/>
    <s v="COMPENSACION PAGO CITI 10012023"/>
    <s v="COP"/>
    <n v="100004224"/>
    <s v="10.01.2023"/>
    <n v="7527297468"/>
    <n v="1"/>
    <n v="40"/>
    <n v="7527297468"/>
    <s v="COP"/>
    <d v="2023-01-10T00:00:00"/>
    <n v="1"/>
    <n v="0"/>
    <n v="0"/>
    <x v="0"/>
  </r>
  <r>
    <x v="2"/>
    <x v="13"/>
    <m/>
    <x v="1"/>
    <s v="ZD"/>
    <s v="02.01.2023"/>
    <s v="*CML1120 0001000000016"/>
    <s v="COP"/>
    <n v="7900000513"/>
    <s v="02.01.2023"/>
    <n v="-829484525"/>
    <n v="1"/>
    <n v="50"/>
    <n v="-829484525"/>
    <s v="COP"/>
    <d v="2023-01-02T00:00:00"/>
    <n v="1"/>
    <n v="0"/>
    <n v="0"/>
    <x v="0"/>
  </r>
  <r>
    <x v="2"/>
    <x v="13"/>
    <m/>
    <x v="1"/>
    <s v="ZD"/>
    <s v="02.01.2023"/>
    <s v="*CML1120 0001000000015"/>
    <s v="COP"/>
    <n v="7900000516"/>
    <s v="02.01.2023"/>
    <n v="-3379824343"/>
    <n v="1"/>
    <n v="50"/>
    <n v="-3379824343"/>
    <s v="COP"/>
    <d v="2023-01-02T00:00:00"/>
    <n v="1"/>
    <n v="0"/>
    <n v="0"/>
    <x v="0"/>
  </r>
  <r>
    <x v="2"/>
    <x v="13"/>
    <m/>
    <x v="1"/>
    <s v="ZI"/>
    <s v="05.01.2023"/>
    <s v="*FX2000- Venta divisas 0100000004601"/>
    <s v="COP"/>
    <n v="7900000658"/>
    <s v="05.01.2023"/>
    <n v="-16964708000"/>
    <n v="1"/>
    <n v="50"/>
    <n v="-16964708000"/>
    <s v="COP"/>
    <d v="2023-01-05T00:00:00"/>
    <n v="1"/>
    <n v="0"/>
    <n v="0"/>
    <x v="0"/>
  </r>
  <r>
    <x v="2"/>
    <x v="13"/>
    <m/>
    <x v="1"/>
    <s v="ZI"/>
    <s v="10.01.2023"/>
    <s v="*FX2000- Venta divisas 0100000004602"/>
    <s v="USD"/>
    <n v="7900000598"/>
    <s v="10.01.2023"/>
    <n v="-788263.92"/>
    <n v="4989.58"/>
    <n v="50"/>
    <n v="-3933105888"/>
    <s v="COP"/>
    <d v="2023-01-10T00:00:00"/>
    <n v="4989.58"/>
    <n v="4885.66"/>
    <n v="-81916387"/>
    <x v="1"/>
  </r>
  <r>
    <x v="2"/>
    <x v="13"/>
    <m/>
    <x v="1"/>
    <s v="ZI"/>
    <s v="10.01.2023"/>
    <s v="*FX2000- Venta divisas 0100000004603"/>
    <s v="USD"/>
    <n v="7900000606"/>
    <s v="10.01.2023"/>
    <n v="-720339.5"/>
    <n v="4989.5800200000003"/>
    <n v="50"/>
    <n v="-3594191580"/>
    <s v="COP"/>
    <d v="2023-01-10T00:00:00"/>
    <n v="4989.58"/>
    <n v="4885.66"/>
    <n v="-74857681"/>
    <x v="1"/>
  </r>
  <r>
    <x v="2"/>
    <x v="13"/>
    <m/>
    <x v="1"/>
    <s v="ZI"/>
    <s v="12.01.2023"/>
    <s v="*FX2000- Venta divisas 0100000004604"/>
    <s v="COP"/>
    <n v="7900000678"/>
    <s v="12.01.2023"/>
    <n v="-131600000000"/>
    <n v="1"/>
    <n v="50"/>
    <n v="-131600000000"/>
    <s v="COP"/>
    <d v="2023-01-12T00:00:00"/>
    <n v="1"/>
    <n v="0"/>
    <n v="0"/>
    <x v="0"/>
  </r>
  <r>
    <x v="2"/>
    <x v="13"/>
    <m/>
    <x v="1"/>
    <s v="ZI"/>
    <s v="17.01.2023"/>
    <s v="*FX2000- Venta divisas 0100000004606"/>
    <s v="COP"/>
    <n v="7900000758"/>
    <s v="17.01.2023"/>
    <n v="-13286850000"/>
    <n v="1"/>
    <n v="50"/>
    <n v="-13286850000"/>
    <s v="COP"/>
    <d v="2023-01-17T00:00:00"/>
    <n v="1"/>
    <n v="0"/>
    <n v="0"/>
    <x v="0"/>
  </r>
  <r>
    <x v="2"/>
    <x v="13"/>
    <m/>
    <x v="1"/>
    <s v="ZI"/>
    <s v="17.01.2023"/>
    <s v="*FX2000- Venta divisas 0100000004607"/>
    <s v="COP"/>
    <n v="7900000766"/>
    <s v="17.01.2023"/>
    <n v="-11725500000"/>
    <n v="1"/>
    <n v="50"/>
    <n v="-11725500000"/>
    <s v="COP"/>
    <d v="2023-01-17T00:00:00"/>
    <n v="1"/>
    <n v="0"/>
    <n v="0"/>
    <x v="0"/>
  </r>
  <r>
    <x v="2"/>
    <x v="13"/>
    <m/>
    <x v="1"/>
    <s v="ZI"/>
    <s v="31.01.2023"/>
    <s v="*FX2000- Venta divisas 0100000004622"/>
    <s v="USD"/>
    <n v="7900001756"/>
    <s v="31.01.2023"/>
    <n v="-9859530.4399999995"/>
    <n v="4531.75"/>
    <n v="50"/>
    <n v="-44680927073"/>
    <s v="COP"/>
    <d v="2023-01-31T00:00:00"/>
    <n v="4531.75"/>
    <n v="4632.2"/>
    <n v="990389833"/>
    <x v="3"/>
  </r>
  <r>
    <x v="2"/>
    <x v="13"/>
    <m/>
    <x v="1"/>
    <s v="ZI"/>
    <s v="31.01.2023"/>
    <s v="*FX2000- Venta divisas 0100000004623"/>
    <s v="COP"/>
    <n v="7900001786"/>
    <s v="31.01.2023"/>
    <n v="-22262400000"/>
    <n v="1"/>
    <n v="50"/>
    <n v="-22262400000"/>
    <s v="COP"/>
    <d v="2023-01-31T00:00:00"/>
    <n v="1"/>
    <n v="0"/>
    <n v="0"/>
    <x v="0"/>
  </r>
  <r>
    <x v="2"/>
    <x v="13"/>
    <m/>
    <x v="1"/>
    <s v="ZI"/>
    <s v="31.01.2023"/>
    <s v="*FX2000- Venta divisas 0100000004622"/>
    <s v="USD"/>
    <n v="7900001795"/>
    <s v="31.01.2023"/>
    <n v="9859530.4399999995"/>
    <n v="4531.75"/>
    <n v="40"/>
    <n v="44680927073"/>
    <s v="COP"/>
    <d v="2023-01-31T00:00:00"/>
    <n v="4531.75"/>
    <n v="4632.2"/>
    <n v="-990389833"/>
    <x v="3"/>
  </r>
  <r>
    <x v="2"/>
    <x v="13"/>
    <m/>
    <x v="1"/>
    <s v="ZP"/>
    <s v="02.01.2023"/>
    <m/>
    <s v="COP"/>
    <n v="2000000019"/>
    <s v="02.01.2023"/>
    <n v="8997263052"/>
    <n v="1"/>
    <n v="40"/>
    <n v="8997263052"/>
    <s v="COP"/>
    <d v="2023-01-02T00:00:00"/>
    <n v="1"/>
    <n v="0"/>
    <n v="0"/>
    <x v="0"/>
  </r>
  <r>
    <x v="2"/>
    <x v="13"/>
    <m/>
    <x v="1"/>
    <s v="ZP"/>
    <s v="05.01.2023"/>
    <m/>
    <s v="COP"/>
    <n v="2000000490"/>
    <s v="05.01.2023"/>
    <n v="16964708000"/>
    <n v="1"/>
    <n v="40"/>
    <n v="16964708000"/>
    <s v="COP"/>
    <d v="2023-01-05T00:00:00"/>
    <n v="1"/>
    <n v="0"/>
    <n v="0"/>
    <x v="0"/>
  </r>
  <r>
    <x v="2"/>
    <x v="13"/>
    <m/>
    <x v="1"/>
    <s v="ZP"/>
    <s v="06.01.2023"/>
    <m/>
    <s v="COP"/>
    <n v="2000000334"/>
    <s v="06.01.2023"/>
    <n v="10370101152"/>
    <n v="1"/>
    <n v="40"/>
    <n v="10370101152"/>
    <s v="COP"/>
    <d v="2023-01-06T00:00:00"/>
    <n v="1"/>
    <n v="0"/>
    <n v="0"/>
    <x v="0"/>
  </r>
  <r>
    <x v="2"/>
    <x v="13"/>
    <m/>
    <x v="1"/>
    <s v="ZP"/>
    <s v="10.01.2023"/>
    <m/>
    <s v="USD"/>
    <n v="2000000356"/>
    <s v="10.01.2023"/>
    <n v="788263.92"/>
    <n v="4989.58"/>
    <n v="40"/>
    <n v="3933105888"/>
    <s v="COP"/>
    <d v="2023-01-10T00:00:00"/>
    <n v="4989.58"/>
    <n v="4885.66"/>
    <n v="81916387"/>
    <x v="2"/>
  </r>
  <r>
    <x v="2"/>
    <x v="13"/>
    <m/>
    <x v="1"/>
    <s v="ZP"/>
    <s v="10.01.2023"/>
    <m/>
    <s v="USD"/>
    <n v="2000000357"/>
    <s v="10.01.2023"/>
    <n v="720339.5"/>
    <n v="4989.5800200000003"/>
    <n v="40"/>
    <n v="3594191580"/>
    <s v="COP"/>
    <d v="2023-01-10T00:00:00"/>
    <n v="4989.58"/>
    <n v="4885.66"/>
    <n v="74857681"/>
    <x v="2"/>
  </r>
  <r>
    <x v="2"/>
    <x v="13"/>
    <m/>
    <x v="1"/>
    <s v="ZP"/>
    <s v="10.01.2023"/>
    <m/>
    <s v="USD"/>
    <n v="2000000358"/>
    <s v="10.01.2023"/>
    <n v="1820166.47"/>
    <n v="4885.66"/>
    <n v="40"/>
    <n v="8892714516"/>
    <s v="COP"/>
    <d v="2023-01-10T00:00:00"/>
    <n v="4885.66"/>
    <n v="4885.66"/>
    <n v="0"/>
    <x v="0"/>
  </r>
  <r>
    <x v="2"/>
    <x v="13"/>
    <m/>
    <x v="1"/>
    <s v="ZP"/>
    <s v="11.01.2023"/>
    <m/>
    <s v="COP"/>
    <n v="2000000399"/>
    <s v="11.01.2023"/>
    <n v="1517506566"/>
    <n v="1"/>
    <n v="40"/>
    <n v="1517506566"/>
    <s v="COP"/>
    <d v="2023-01-11T00:00:00"/>
    <n v="1"/>
    <n v="0"/>
    <n v="0"/>
    <x v="0"/>
  </r>
  <r>
    <x v="2"/>
    <x v="13"/>
    <m/>
    <x v="1"/>
    <s v="ZP"/>
    <s v="11.01.2023"/>
    <m/>
    <s v="COP"/>
    <n v="2000000400"/>
    <s v="11.01.2023"/>
    <n v="2759102839"/>
    <n v="1"/>
    <n v="40"/>
    <n v="2759102839"/>
    <s v="COP"/>
    <d v="2023-01-11T00:00:00"/>
    <n v="1"/>
    <n v="0"/>
    <n v="0"/>
    <x v="0"/>
  </r>
  <r>
    <x v="2"/>
    <x v="13"/>
    <m/>
    <x v="1"/>
    <s v="ZP"/>
    <s v="11.01.2023"/>
    <m/>
    <s v="COP"/>
    <n v="2000000401"/>
    <s v="11.01.2023"/>
    <n v="36635004"/>
    <n v="1"/>
    <n v="40"/>
    <n v="36635004"/>
    <s v="COP"/>
    <d v="2023-01-11T00:00:00"/>
    <n v="1"/>
    <n v="0"/>
    <n v="0"/>
    <x v="0"/>
  </r>
  <r>
    <x v="2"/>
    <x v="13"/>
    <m/>
    <x v="1"/>
    <s v="ZP"/>
    <s v="12.01.2023"/>
    <m/>
    <s v="COP"/>
    <n v="2000000491"/>
    <s v="12.01.2023"/>
    <n v="131600000000"/>
    <n v="1"/>
    <n v="40"/>
    <n v="131600000000"/>
    <s v="COP"/>
    <d v="2023-01-12T00:00:00"/>
    <n v="1"/>
    <n v="0"/>
    <n v="0"/>
    <x v="0"/>
  </r>
  <r>
    <x v="2"/>
    <x v="13"/>
    <m/>
    <x v="1"/>
    <s v="ZP"/>
    <s v="13.01.2023"/>
    <m/>
    <s v="COP"/>
    <n v="2000000417"/>
    <s v="13.01.2023"/>
    <n v="2324734983"/>
    <n v="1"/>
    <n v="40"/>
    <n v="2324734983"/>
    <s v="COP"/>
    <d v="2023-01-13T00:00:00"/>
    <n v="1"/>
    <n v="0"/>
    <n v="0"/>
    <x v="0"/>
  </r>
  <r>
    <x v="2"/>
    <x v="13"/>
    <m/>
    <x v="1"/>
    <s v="ZP"/>
    <s v="16.01.2023"/>
    <m/>
    <s v="COP"/>
    <n v="2000000448"/>
    <s v="16.01.2023"/>
    <n v="16508977070"/>
    <n v="1"/>
    <n v="40"/>
    <n v="16508977070"/>
    <s v="COP"/>
    <d v="2023-01-16T00:00:00"/>
    <n v="1"/>
    <n v="0"/>
    <n v="0"/>
    <x v="0"/>
  </r>
  <r>
    <x v="2"/>
    <x v="13"/>
    <m/>
    <x v="1"/>
    <s v="ZP"/>
    <s v="17.01.2023"/>
    <m/>
    <s v="COP"/>
    <n v="2000000619"/>
    <s v="17.01.2023"/>
    <n v="13286850000"/>
    <n v="1"/>
    <n v="40"/>
    <n v="13286850000"/>
    <s v="COP"/>
    <d v="2023-01-17T00:00:00"/>
    <n v="1"/>
    <n v="0"/>
    <n v="0"/>
    <x v="0"/>
  </r>
  <r>
    <x v="2"/>
    <x v="13"/>
    <m/>
    <x v="1"/>
    <s v="ZP"/>
    <s v="17.01.2023"/>
    <m/>
    <s v="COP"/>
    <n v="2000000620"/>
    <s v="17.01.2023"/>
    <n v="11725500000"/>
    <n v="1"/>
    <n v="40"/>
    <n v="11725500000"/>
    <s v="COP"/>
    <d v="2023-01-17T00:00:00"/>
    <n v="1"/>
    <n v="0"/>
    <n v="0"/>
    <x v="0"/>
  </r>
  <r>
    <x v="2"/>
    <x v="13"/>
    <m/>
    <x v="1"/>
    <s v="ZP"/>
    <s v="31.01.2023"/>
    <m/>
    <s v="USD"/>
    <n v="2000000806"/>
    <s v="31.01.2023"/>
    <n v="9859530.4399999995"/>
    <n v="4531.75"/>
    <n v="40"/>
    <n v="44680927073"/>
    <s v="COP"/>
    <d v="2023-01-31T00:00:00"/>
    <n v="4531.75"/>
    <n v="4632.2"/>
    <n v="-990389833"/>
    <x v="3"/>
  </r>
  <r>
    <x v="2"/>
    <x v="13"/>
    <m/>
    <x v="1"/>
    <s v="ZP"/>
    <s v="31.01.2023"/>
    <m/>
    <s v="COP"/>
    <n v="2000000834"/>
    <s v="31.01.2023"/>
    <n v="22262400000"/>
    <n v="1"/>
    <n v="40"/>
    <n v="22262400000"/>
    <s v="COP"/>
    <d v="2023-01-31T00:00:00"/>
    <n v="1"/>
    <n v="0"/>
    <n v="0"/>
    <x v="0"/>
  </r>
  <r>
    <x v="2"/>
    <x v="13"/>
    <m/>
    <x v="1"/>
    <s v="ZP"/>
    <s v="31.01.2023"/>
    <m/>
    <s v="USD"/>
    <n v="2000000860"/>
    <s v="31.01.2023"/>
    <n v="-9859530.4399999995"/>
    <n v="4531.75"/>
    <n v="50"/>
    <n v="-44680927073"/>
    <s v="COP"/>
    <d v="2023-01-31T00:00:00"/>
    <n v="4531.75"/>
    <n v="4632.2"/>
    <n v="990389833"/>
    <x v="3"/>
  </r>
  <r>
    <x v="2"/>
    <x v="13"/>
    <m/>
    <x v="1"/>
    <s v="ZS"/>
    <s v="02.01.2023"/>
    <s v="*CML1110 0001000000016"/>
    <s v="COP"/>
    <n v="7900000514"/>
    <s v="02.01.2023"/>
    <n v="-903649676"/>
    <n v="1"/>
    <n v="50"/>
    <n v="-903649676"/>
    <s v="COP"/>
    <d v="2023-01-02T00:00:00"/>
    <n v="1"/>
    <n v="0"/>
    <n v="0"/>
    <x v="0"/>
  </r>
  <r>
    <x v="2"/>
    <x v="13"/>
    <m/>
    <x v="1"/>
    <s v="ZS"/>
    <s v="02.01.2023"/>
    <s v="*CML1110 0001000000015"/>
    <s v="COP"/>
    <n v="7900000515"/>
    <s v="02.01.2023"/>
    <n v="-3884304508"/>
    <n v="1"/>
    <n v="50"/>
    <n v="-3884304508"/>
    <s v="COP"/>
    <d v="2023-01-02T00:00:00"/>
    <n v="1"/>
    <n v="0"/>
    <n v="0"/>
    <x v="0"/>
  </r>
  <r>
    <x v="2"/>
    <x v="13"/>
    <m/>
    <x v="1"/>
    <s v="ZS"/>
    <s v="06.01.2023"/>
    <s v="*CML1110 0001000003054"/>
    <s v="COP"/>
    <n v="7900000535"/>
    <s v="06.01.2023"/>
    <n v="-10370101152"/>
    <n v="1"/>
    <n v="50"/>
    <n v="-10370101152"/>
    <s v="COP"/>
    <d v="2023-01-06T00:00:00"/>
    <n v="1"/>
    <n v="0"/>
    <n v="0"/>
    <x v="0"/>
  </r>
  <r>
    <x v="2"/>
    <x v="13"/>
    <m/>
    <x v="1"/>
    <s v="ZS"/>
    <s v="10.01.2023"/>
    <s v="*CML1110 0001000004253"/>
    <s v="USD"/>
    <n v="7900000589"/>
    <s v="10.01.2023"/>
    <n v="-769623.88"/>
    <n v="4885.66"/>
    <n v="50"/>
    <n v="-3760120606"/>
    <s v="COP"/>
    <d v="2023-01-10T00:00:00"/>
    <n v="4885.66"/>
    <n v="4885.66"/>
    <n v="0"/>
    <x v="0"/>
  </r>
  <r>
    <x v="2"/>
    <x v="13"/>
    <m/>
    <x v="1"/>
    <s v="ZS"/>
    <s v="10.01.2023"/>
    <s v="*CML1110 0001000004151"/>
    <s v="USD"/>
    <n v="7900000590"/>
    <s v="10.01.2023"/>
    <n v="-1050542.5900000001"/>
    <n v="4885.66"/>
    <n v="50"/>
    <n v="-5132593910"/>
    <s v="COP"/>
    <d v="2023-01-10T00:00:00"/>
    <n v="4885.66"/>
    <n v="4885.66"/>
    <n v="0"/>
    <x v="0"/>
  </r>
  <r>
    <x v="2"/>
    <x v="13"/>
    <m/>
    <x v="1"/>
    <s v="ZS"/>
    <s v="11.01.2023"/>
    <s v="*CMLZ017 0001000004500"/>
    <s v="COP"/>
    <n v="7900000575"/>
    <s v="11.01.2023"/>
    <n v="-36635004"/>
    <n v="1"/>
    <n v="50"/>
    <n v="-36635004"/>
    <s v="COP"/>
    <d v="2023-01-11T00:00:00"/>
    <n v="1"/>
    <n v="0"/>
    <n v="0"/>
    <x v="0"/>
  </r>
  <r>
    <x v="2"/>
    <x v="13"/>
    <m/>
    <x v="1"/>
    <s v="ZS"/>
    <s v="11.01.2023"/>
    <s v="*CML1110 0001000003057"/>
    <s v="COP"/>
    <n v="7900000579"/>
    <s v="11.01.2023"/>
    <n v="-2759102839"/>
    <n v="1"/>
    <n v="50"/>
    <n v="-2759102839"/>
    <s v="COP"/>
    <d v="2023-01-11T00:00:00"/>
    <n v="1"/>
    <n v="0"/>
    <n v="0"/>
    <x v="0"/>
  </r>
  <r>
    <x v="2"/>
    <x v="13"/>
    <m/>
    <x v="1"/>
    <s v="ZS"/>
    <s v="11.01.2023"/>
    <s v="*CML1110 0001000003055"/>
    <s v="COP"/>
    <n v="7900000583"/>
    <s v="11.01.2023"/>
    <n v="-1517506566"/>
    <n v="1"/>
    <n v="50"/>
    <n v="-1517506566"/>
    <s v="COP"/>
    <d v="2023-01-11T00:00:00"/>
    <n v="1"/>
    <n v="0"/>
    <n v="0"/>
    <x v="0"/>
  </r>
  <r>
    <x v="2"/>
    <x v="13"/>
    <m/>
    <x v="1"/>
    <s v="ZS"/>
    <s v="13.01.2023"/>
    <s v="*CML1110 0001000003052"/>
    <s v="COP"/>
    <n v="7900000635"/>
    <s v="13.01.2023"/>
    <n v="-2324734983"/>
    <n v="1"/>
    <n v="50"/>
    <n v="-2324734983"/>
    <s v="COP"/>
    <d v="2023-01-13T00:00:00"/>
    <n v="1"/>
    <n v="0"/>
    <n v="0"/>
    <x v="0"/>
  </r>
  <r>
    <x v="2"/>
    <x v="13"/>
    <m/>
    <x v="1"/>
    <s v="ZS"/>
    <s v="16.01.2023"/>
    <s v="*CML1110 0001000003050"/>
    <s v="COP"/>
    <n v="7900000651"/>
    <s v="16.01.2023"/>
    <n v="-16508977070"/>
    <n v="1"/>
    <n v="50"/>
    <n v="-16508977070"/>
    <s v="COP"/>
    <d v="2023-01-16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4"/>
  </r>
  <r>
    <x v="2"/>
    <x v="14"/>
    <m/>
    <x v="0"/>
    <s v="ZI"/>
    <s v="27.02.2023"/>
    <s v="*FX1000+ Compra divisas 0100000004656"/>
    <s v="EURO"/>
    <n v="7900002139"/>
    <s v="27.02.2023"/>
    <n v="-7568"/>
    <n v="5111.5310499999996"/>
    <n v="50"/>
    <n v="-38684067"/>
    <s v="COP"/>
    <d v="2023-02-27T00:00:00"/>
    <n v="5111.53"/>
    <n v="0"/>
    <n v="0"/>
    <x v="0"/>
  </r>
  <r>
    <x v="2"/>
    <x v="14"/>
    <m/>
    <x v="0"/>
    <s v="ZI"/>
    <s v="27.02.2023"/>
    <s v="*FX2000- Venta divisas 0100000004656"/>
    <s v="USD"/>
    <n v="7900002140"/>
    <s v="27.02.2023"/>
    <n v="8207.5"/>
    <n v="4713.2582400000001"/>
    <n v="40"/>
    <n v="38684067"/>
    <s v="COP"/>
    <d v="2023-02-27T00:00:00"/>
    <n v="4713.26"/>
    <n v="4849.6499999999996"/>
    <n v="1119421"/>
    <x v="2"/>
  </r>
  <r>
    <x v="2"/>
    <x v="14"/>
    <m/>
    <x v="0"/>
    <s v="ZI"/>
    <s v="28.02.2023"/>
    <s v="*FX1000+ Compra divisas 0100000004657"/>
    <s v="COP"/>
    <n v="7900002183"/>
    <s v="28.02.2023"/>
    <n v="-38053335039"/>
    <n v="1"/>
    <n v="50"/>
    <n v="-38053335039"/>
    <s v="COP"/>
    <d v="2023-02-28T00:00:00"/>
    <n v="1"/>
    <n v="0"/>
    <n v="0"/>
    <x v="0"/>
  </r>
  <r>
    <x v="2"/>
    <x v="14"/>
    <m/>
    <x v="0"/>
    <s v="ZI"/>
    <s v="28.02.2023"/>
    <s v="*FX2000- Venta divisas 0100000004657"/>
    <s v="USD"/>
    <n v="7900002184"/>
    <s v="28.02.2023"/>
    <n v="7839744.3399999999"/>
    <n v="4853.8999999999996"/>
    <n v="40"/>
    <n v="38053335039"/>
    <s v="COP"/>
    <d v="2023-02-28T00:00:00"/>
    <n v="4853.8999999999996"/>
    <n v="4808.1400000000003"/>
    <n v="-358746701"/>
    <x v="1"/>
  </r>
  <r>
    <x v="2"/>
    <x v="14"/>
    <m/>
    <x v="0"/>
    <s v="ZI"/>
    <s v="28.02.2023"/>
    <s v="*FX1000+ Compra divisas 0100000004658"/>
    <s v="USD"/>
    <n v="7900003115"/>
    <s v="28.02.2023"/>
    <n v="-256730.18"/>
    <n v="4853.90002"/>
    <n v="50"/>
    <n v="-1246142625"/>
    <s v="COP"/>
    <d v="2023-02-28T00:00:00"/>
    <n v="4853.8999999999996"/>
    <n v="4808.1400000000003"/>
    <n v="11747973"/>
    <x v="2"/>
  </r>
  <r>
    <x v="2"/>
    <x v="14"/>
    <m/>
    <x v="0"/>
    <s v="ZI"/>
    <s v="28.02.2023"/>
    <s v="*FX2000- Venta divisas 0100000004658"/>
    <s v="COP"/>
    <n v="7900003116"/>
    <s v="28.02.2023"/>
    <n v="1246142625"/>
    <n v="1"/>
    <n v="40"/>
    <n v="1246142625"/>
    <s v="COP"/>
    <d v="2023-02-28T00:00:00"/>
    <n v="1"/>
    <n v="0"/>
    <n v="0"/>
    <x v="0"/>
  </r>
  <r>
    <x v="2"/>
    <x v="14"/>
    <m/>
    <x v="1"/>
    <s v="ZI"/>
    <s v="28.02.2023"/>
    <s v="*FX2000- Venta divisas 0100000004657"/>
    <s v="USD"/>
    <n v="7900002184"/>
    <s v="28.02.2023"/>
    <n v="-7839744.3399999999"/>
    <n v="4853.8999999999996"/>
    <n v="50"/>
    <n v="-38053335039"/>
    <s v="COP"/>
    <d v="2023-02-28T00:00:00"/>
    <n v="4853.8999999999996"/>
    <n v="4808.1400000000003"/>
    <n v="-358746701"/>
    <x v="1"/>
  </r>
  <r>
    <x v="2"/>
    <x v="14"/>
    <m/>
    <x v="1"/>
    <s v="ZP"/>
    <s v="13.02.2023"/>
    <m/>
    <s v="COP"/>
    <n v="2000001428"/>
    <s v="13.02.2023"/>
    <n v="4058222222"/>
    <n v="1"/>
    <n v="40"/>
    <n v="4058222222"/>
    <s v="COP"/>
    <d v="2023-02-13T00:00:00"/>
    <n v="1"/>
    <n v="0"/>
    <n v="0"/>
    <x v="0"/>
  </r>
  <r>
    <x v="2"/>
    <x v="14"/>
    <m/>
    <x v="1"/>
    <s v="ZP"/>
    <s v="17.02.2023"/>
    <m/>
    <s v="COP"/>
    <n v="2000001505"/>
    <s v="17.02.2023"/>
    <n v="8621524444"/>
    <n v="1"/>
    <n v="40"/>
    <n v="8621524444"/>
    <s v="COP"/>
    <d v="2023-02-17T00:00:00"/>
    <n v="1"/>
    <n v="0"/>
    <n v="0"/>
    <x v="0"/>
  </r>
  <r>
    <x v="2"/>
    <x v="14"/>
    <m/>
    <x v="1"/>
    <s v="ZP"/>
    <s v="20.02.2023"/>
    <m/>
    <s v="COP"/>
    <n v="2000001554"/>
    <s v="20.02.2023"/>
    <n v="21833133333"/>
    <n v="1"/>
    <n v="40"/>
    <n v="21833133333"/>
    <s v="COP"/>
    <d v="2023-02-20T00:00:00"/>
    <n v="1"/>
    <n v="0"/>
    <n v="0"/>
    <x v="0"/>
  </r>
  <r>
    <x v="2"/>
    <x v="14"/>
    <m/>
    <x v="1"/>
    <s v="ZP"/>
    <s v="20.02.2023"/>
    <m/>
    <s v="COP"/>
    <n v="2000001559"/>
    <s v="20.02.2023"/>
    <n v="18031124640"/>
    <n v="1"/>
    <n v="40"/>
    <n v="18031124640"/>
    <s v="COP"/>
    <d v="2023-02-20T00:00:00"/>
    <n v="1"/>
    <n v="0"/>
    <n v="0"/>
    <x v="0"/>
  </r>
  <r>
    <x v="2"/>
    <x v="14"/>
    <m/>
    <x v="1"/>
    <s v="ZP"/>
    <s v="27.02.2023"/>
    <m/>
    <s v="COP"/>
    <n v="2000001638"/>
    <s v="27.02.2023"/>
    <n v="33035300000"/>
    <n v="1"/>
    <n v="40"/>
    <n v="33035300000"/>
    <s v="COP"/>
    <d v="2023-02-27T00:00:00"/>
    <n v="1"/>
    <n v="0"/>
    <n v="0"/>
    <x v="0"/>
  </r>
  <r>
    <x v="2"/>
    <x v="14"/>
    <m/>
    <x v="1"/>
    <s v="ZP"/>
    <s v="27.02.2023"/>
    <m/>
    <s v="COP"/>
    <n v="2000001640"/>
    <s v="27.02.2023"/>
    <n v="17739175636"/>
    <n v="1"/>
    <n v="40"/>
    <n v="17739175636"/>
    <s v="COP"/>
    <d v="2023-02-27T00:00:00"/>
    <n v="1"/>
    <n v="0"/>
    <n v="0"/>
    <x v="0"/>
  </r>
  <r>
    <x v="2"/>
    <x v="14"/>
    <m/>
    <x v="1"/>
    <s v="ZP"/>
    <s v="28.02.2023"/>
    <m/>
    <s v="USD"/>
    <n v="2000001667"/>
    <s v="28.02.2023"/>
    <n v="7839744.3399999999"/>
    <n v="4853.8999999999996"/>
    <n v="40"/>
    <n v="38053335039"/>
    <s v="COP"/>
    <d v="2023-02-28T00:00:00"/>
    <n v="4853.8999999999996"/>
    <n v="4808.1400000000003"/>
    <n v="358746701"/>
    <x v="2"/>
  </r>
  <r>
    <x v="2"/>
    <x v="14"/>
    <m/>
    <x v="1"/>
    <s v="ZS"/>
    <s v="13.02.2023"/>
    <s v="*CML1110 0001000004300"/>
    <s v="COP"/>
    <n v="7900001813"/>
    <s v="13.02.2023"/>
    <n v="-4058222222"/>
    <n v="1"/>
    <n v="50"/>
    <n v="-4058222222"/>
    <s v="COP"/>
    <d v="2023-02-13T00:00:00"/>
    <n v="1"/>
    <n v="0"/>
    <n v="0"/>
    <x v="0"/>
  </r>
  <r>
    <x v="2"/>
    <x v="14"/>
    <m/>
    <x v="1"/>
    <s v="ZS"/>
    <s v="17.02.2023"/>
    <s v="*CML1110 0001000004302"/>
    <s v="COP"/>
    <n v="7900001853"/>
    <s v="17.02.2023"/>
    <n v="-8621524444"/>
    <n v="1"/>
    <n v="50"/>
    <n v="-8621524444"/>
    <s v="COP"/>
    <d v="2023-02-17T00:00:00"/>
    <n v="1"/>
    <n v="0"/>
    <n v="0"/>
    <x v="0"/>
  </r>
  <r>
    <x v="2"/>
    <x v="14"/>
    <m/>
    <x v="1"/>
    <s v="ZS"/>
    <s v="20.02.2023"/>
    <s v="*CML1110 0001000004150"/>
    <s v="COP"/>
    <n v="7900001893"/>
    <s v="20.02.2023"/>
    <n v="-21833133333"/>
    <n v="1"/>
    <n v="50"/>
    <n v="-21833133333"/>
    <s v="COP"/>
    <d v="2023-02-20T00:00:00"/>
    <n v="1"/>
    <n v="0"/>
    <n v="0"/>
    <x v="0"/>
  </r>
  <r>
    <x v="2"/>
    <x v="14"/>
    <m/>
    <x v="1"/>
    <s v="ZS"/>
    <s v="20.02.2023"/>
    <s v="*CML1110 0001000003900"/>
    <s v="COP"/>
    <n v="7900001901"/>
    <s v="20.02.2023"/>
    <n v="-3816183800"/>
    <n v="1"/>
    <n v="50"/>
    <n v="-3816183800"/>
    <s v="COP"/>
    <d v="2023-02-20T00:00:00"/>
    <n v="1"/>
    <n v="0"/>
    <n v="0"/>
    <x v="0"/>
  </r>
  <r>
    <x v="2"/>
    <x v="14"/>
    <m/>
    <x v="1"/>
    <s v="ZS"/>
    <s v="20.02.2023"/>
    <s v="*CML1110 0001000003902"/>
    <s v="COP"/>
    <n v="7900001902"/>
    <s v="20.02.2023"/>
    <n v="-6834726240"/>
    <n v="1"/>
    <n v="50"/>
    <n v="-6834726240"/>
    <s v="COP"/>
    <d v="2023-02-20T00:00:00"/>
    <n v="1"/>
    <n v="0"/>
    <n v="0"/>
    <x v="0"/>
  </r>
  <r>
    <x v="2"/>
    <x v="14"/>
    <m/>
    <x v="1"/>
    <s v="ZS"/>
    <s v="20.02.2023"/>
    <s v="*CML1110 0001000003901"/>
    <s v="COP"/>
    <n v="7900001903"/>
    <s v="20.02.2023"/>
    <n v="-7380214600"/>
    <n v="1"/>
    <n v="50"/>
    <n v="-7380214600"/>
    <s v="COP"/>
    <d v="2023-02-20T00:00:00"/>
    <n v="1"/>
    <n v="0"/>
    <n v="0"/>
    <x v="0"/>
  </r>
  <r>
    <x v="2"/>
    <x v="14"/>
    <m/>
    <x v="1"/>
    <s v="ZS"/>
    <s v="27.02.2023"/>
    <s v="*CML1110 0001000003700"/>
    <s v="COP"/>
    <n v="7900001981"/>
    <s v="27.02.2023"/>
    <n v="-17739175636"/>
    <n v="1"/>
    <n v="50"/>
    <n v="-17739175636"/>
    <s v="COP"/>
    <d v="2023-02-27T00:00:00"/>
    <n v="1"/>
    <n v="0"/>
    <n v="0"/>
    <x v="0"/>
  </r>
  <r>
    <x v="2"/>
    <x v="14"/>
    <m/>
    <x v="1"/>
    <s v="ZS"/>
    <s v="27.02.2023"/>
    <s v="*CML1110 0001000003801"/>
    <s v="COP"/>
    <n v="7900002089"/>
    <s v="27.02.2023"/>
    <n v="-7894400000"/>
    <n v="1"/>
    <n v="50"/>
    <n v="-7894400000"/>
    <s v="COP"/>
    <d v="2023-02-27T00:00:00"/>
    <n v="1"/>
    <n v="0"/>
    <n v="0"/>
    <x v="0"/>
  </r>
  <r>
    <x v="2"/>
    <x v="14"/>
    <m/>
    <x v="1"/>
    <s v="ZS"/>
    <s v="27.02.2023"/>
    <s v="*CML1110 0001000003800"/>
    <s v="COP"/>
    <n v="7900002090"/>
    <s v="27.02.2023"/>
    <n v="-3856500000"/>
    <n v="1"/>
    <n v="50"/>
    <n v="-3856500000"/>
    <s v="COP"/>
    <d v="2023-02-27T00:00:00"/>
    <n v="1"/>
    <n v="0"/>
    <n v="0"/>
    <x v="0"/>
  </r>
  <r>
    <x v="2"/>
    <x v="14"/>
    <m/>
    <x v="1"/>
    <s v="ZS"/>
    <s v="27.02.2023"/>
    <s v="*CML1110 0001000003002"/>
    <s v="COP"/>
    <n v="7900002091"/>
    <s v="27.02.2023"/>
    <n v="-8932275000"/>
    <n v="1"/>
    <n v="50"/>
    <n v="-8932275000"/>
    <s v="COP"/>
    <d v="2023-02-27T00:00:00"/>
    <n v="1"/>
    <n v="0"/>
    <n v="0"/>
    <x v="0"/>
  </r>
  <r>
    <x v="2"/>
    <x v="14"/>
    <m/>
    <x v="1"/>
    <s v="ZS"/>
    <s v="27.02.2023"/>
    <s v="*CML1110 0001000003000"/>
    <s v="COP"/>
    <n v="7900002092"/>
    <s v="27.02.2023"/>
    <n v="-6559875000"/>
    <n v="1"/>
    <n v="50"/>
    <n v="-6559875000"/>
    <s v="COP"/>
    <d v="2023-02-27T00:00:00"/>
    <n v="1"/>
    <n v="0"/>
    <n v="0"/>
    <x v="0"/>
  </r>
  <r>
    <x v="2"/>
    <x v="14"/>
    <m/>
    <x v="1"/>
    <s v="ZS"/>
    <s v="27.02.2023"/>
    <s v="*CML1110 0001000003001"/>
    <s v="COP"/>
    <n v="7900002093"/>
    <s v="27.02.2023"/>
    <n v="-5792250000"/>
    <n v="1"/>
    <n v="50"/>
    <n v="-5792250000"/>
    <s v="COP"/>
    <d v="2023-02-27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4"/>
  </r>
  <r>
    <x v="2"/>
    <x v="15"/>
    <m/>
    <x v="0"/>
    <s v="ZI"/>
    <s v="01.03.2023"/>
    <s v="*FX1000+ Compra divisas 0100000004659"/>
    <s v="USD"/>
    <n v="7900003131"/>
    <s v="01.03.2023"/>
    <n v="-2540000"/>
    <n v="4850.5"/>
    <n v="50"/>
    <n v="-12320270000"/>
    <s v="COP"/>
    <d v="2023-03-01T00:00:00"/>
    <n v="4850.5"/>
    <n v="4814.1099999999997"/>
    <n v="92430600"/>
    <x v="2"/>
  </r>
  <r>
    <x v="2"/>
    <x v="15"/>
    <m/>
    <x v="0"/>
    <s v="ZI"/>
    <s v="01.03.2023"/>
    <s v="*FX2000- Venta divisas 0100000004659"/>
    <s v="COP"/>
    <n v="7900003132"/>
    <s v="01.03.2023"/>
    <n v="12320270000"/>
    <n v="1"/>
    <n v="40"/>
    <n v="12320270000"/>
    <s v="COP"/>
    <d v="2023-03-01T00:00:00"/>
    <n v="1"/>
    <n v="0"/>
    <n v="0"/>
    <x v="0"/>
  </r>
  <r>
    <x v="2"/>
    <x v="15"/>
    <m/>
    <x v="0"/>
    <s v="ZI"/>
    <s v="02.03.2023"/>
    <s v="*FX1000+ Compra divisas 0100000004660"/>
    <s v="USD"/>
    <n v="7900003251"/>
    <s v="02.03.2023"/>
    <n v="-1100000"/>
    <n v="4856.04"/>
    <n v="50"/>
    <n v="-5341644000"/>
    <s v="COP"/>
    <d v="2023-03-02T00:00:00"/>
    <n v="4856.04"/>
    <n v="4848.78"/>
    <n v="7986000"/>
    <x v="2"/>
  </r>
  <r>
    <x v="2"/>
    <x v="15"/>
    <m/>
    <x v="0"/>
    <s v="ZI"/>
    <s v="02.03.2023"/>
    <s v="*FX2000- Venta divisas 0100000004660"/>
    <s v="COP"/>
    <n v="7900003252"/>
    <s v="02.03.2023"/>
    <n v="5341644000"/>
    <n v="1"/>
    <n v="40"/>
    <n v="5341644000"/>
    <s v="COP"/>
    <d v="2023-03-02T00:00:00"/>
    <n v="1"/>
    <n v="0"/>
    <n v="0"/>
    <x v="0"/>
  </r>
  <r>
    <x v="2"/>
    <x v="15"/>
    <m/>
    <x v="0"/>
    <s v="ZI"/>
    <s v="06.03.2023"/>
    <s v="*FX1000+ Compra divisas 0100000004661"/>
    <s v="COP"/>
    <n v="7900003167"/>
    <s v="06.03.2023"/>
    <n v="-5318412911"/>
    <n v="1"/>
    <n v="50"/>
    <n v="-5318412911"/>
    <s v="COP"/>
    <d v="2023-03-06T00:00:00"/>
    <n v="1"/>
    <n v="0"/>
    <n v="0"/>
    <x v="0"/>
  </r>
  <r>
    <x v="2"/>
    <x v="15"/>
    <m/>
    <x v="0"/>
    <s v="ZI"/>
    <s v="06.03.2023"/>
    <s v="*FX2000- Venta divisas 0100000004661"/>
    <s v="USD"/>
    <n v="7900003168"/>
    <s v="06.03.2023"/>
    <n v="1095263.3999999999"/>
    <n v="4855.8300300000001"/>
    <n v="40"/>
    <n v="5318412911"/>
    <s v="COP"/>
    <d v="2023-03-06T00:00:00"/>
    <n v="4855.83"/>
    <n v="4780.8900000000003"/>
    <n v="-82079039"/>
    <x v="1"/>
  </r>
  <r>
    <x v="2"/>
    <x v="15"/>
    <m/>
    <x v="0"/>
    <s v="ZI"/>
    <s v="06.03.2023"/>
    <s v="*FX1000+ Compra divisas 0100000004664"/>
    <s v="EURO"/>
    <n v="7900003191"/>
    <s v="06.03.2023"/>
    <n v="-25975.200000000001"/>
    <n v="5065.8310199999996"/>
    <n v="50"/>
    <n v="-131585974"/>
    <s v="COP"/>
    <d v="2023-03-06T00:00:00"/>
    <n v="5065.83"/>
    <n v="0"/>
    <n v="0"/>
    <x v="0"/>
  </r>
  <r>
    <x v="2"/>
    <x v="15"/>
    <m/>
    <x v="0"/>
    <s v="ZI"/>
    <s v="06.03.2023"/>
    <s v="*FX2000- Venta divisas 0100000004664"/>
    <s v="USD"/>
    <n v="7900003192"/>
    <s v="06.03.2023"/>
    <n v="28453.23"/>
    <n v="4624.6409999999996"/>
    <n v="40"/>
    <n v="131585974"/>
    <s v="COP"/>
    <d v="2023-03-06T00:00:00"/>
    <n v="4624.6400000000003"/>
    <n v="4780.8900000000003"/>
    <n v="4445817"/>
    <x v="2"/>
  </r>
  <r>
    <x v="2"/>
    <x v="15"/>
    <m/>
    <x v="0"/>
    <s v="ZI"/>
    <s v="06.03.2023"/>
    <s v="*FX1000+ Compra divisas 0100000004663"/>
    <s v="COP"/>
    <n v="7900003223"/>
    <s v="06.03.2023"/>
    <n v="-107652457280"/>
    <n v="1"/>
    <n v="50"/>
    <n v="-107652457280"/>
    <s v="COP"/>
    <d v="2023-03-06T00:00:00"/>
    <n v="1"/>
    <n v="0"/>
    <n v="0"/>
    <x v="0"/>
  </r>
  <r>
    <x v="2"/>
    <x v="15"/>
    <m/>
    <x v="0"/>
    <s v="ZI"/>
    <s v="06.03.2023"/>
    <s v="*FX2000- Venta divisas 0100000004663"/>
    <s v="USD"/>
    <n v="7900003224"/>
    <s v="06.03.2023"/>
    <n v="22807724"/>
    <n v="4720"/>
    <n v="40"/>
    <n v="107652457280"/>
    <s v="COP"/>
    <d v="2023-03-06T00:00:00"/>
    <n v="4720"/>
    <n v="4780.8900000000003"/>
    <n v="1388762314"/>
    <x v="2"/>
  </r>
  <r>
    <x v="2"/>
    <x v="15"/>
    <m/>
    <x v="0"/>
    <s v="ZI"/>
    <s v="06.03.2023"/>
    <s v="*FX1000+ Compra divisas 0100000004662"/>
    <s v="USD"/>
    <n v="7900003231"/>
    <s v="06.03.2023"/>
    <n v="-4000000"/>
    <n v="4721"/>
    <n v="50"/>
    <n v="-18884000000"/>
    <s v="COP"/>
    <d v="2023-03-06T00:00:00"/>
    <n v="4721"/>
    <n v="4780.8900000000003"/>
    <n v="-239560000"/>
    <x v="1"/>
  </r>
  <r>
    <x v="2"/>
    <x v="15"/>
    <m/>
    <x v="0"/>
    <s v="ZI"/>
    <s v="06.03.2023"/>
    <s v="*FX2000- Venta divisas 0100000004662"/>
    <s v="COP"/>
    <n v="7900003232"/>
    <s v="06.03.2023"/>
    <n v="18884000000"/>
    <n v="1"/>
    <n v="40"/>
    <n v="18884000000"/>
    <s v="COP"/>
    <d v="2023-03-06T00:00:00"/>
    <n v="1"/>
    <n v="0"/>
    <n v="0"/>
    <x v="0"/>
  </r>
  <r>
    <x v="2"/>
    <x v="15"/>
    <m/>
    <x v="0"/>
    <s v="ZI"/>
    <s v="15.03.2023"/>
    <s v="*FX1000+ Compra divisas 0100000004671"/>
    <s v="COP"/>
    <n v="7900003271"/>
    <s v="15.03.2023"/>
    <n v="-85729863"/>
    <n v="1"/>
    <n v="50"/>
    <n v="-85729863"/>
    <s v="COP"/>
    <d v="2023-03-15T00:00:00"/>
    <n v="1"/>
    <n v="0"/>
    <n v="0"/>
    <x v="0"/>
  </r>
  <r>
    <x v="2"/>
    <x v="15"/>
    <m/>
    <x v="0"/>
    <s v="ZI"/>
    <s v="15.03.2023"/>
    <s v="*FX2000- Venta divisas 0100000004671"/>
    <s v="USD"/>
    <n v="7900003272"/>
    <s v="15.03.2023"/>
    <n v="18101.63"/>
    <n v="4736.0300100000004"/>
    <n v="40"/>
    <n v="85729863"/>
    <s v="COP"/>
    <d v="2023-03-15T00:00:00"/>
    <n v="4736.03"/>
    <n v="4736.03"/>
    <n v="0"/>
    <x v="0"/>
  </r>
  <r>
    <x v="2"/>
    <x v="15"/>
    <m/>
    <x v="0"/>
    <s v="ZI"/>
    <s v="24.03.2023"/>
    <s v="*FX1000+ Compra divisas 0100000004678"/>
    <s v="USD"/>
    <n v="7900003321"/>
    <s v="24.03.2023"/>
    <n v="-6841145.1500000004"/>
    <n v="4741.75"/>
    <n v="50"/>
    <n v="-32439000015"/>
    <s v="COP"/>
    <d v="2023-03-24T00:00:00"/>
    <n v="4741.75"/>
    <n v="4755.12"/>
    <n v="-91466111"/>
    <x v="1"/>
  </r>
  <r>
    <x v="2"/>
    <x v="15"/>
    <m/>
    <x v="0"/>
    <s v="ZI"/>
    <s v="24.03.2023"/>
    <s v="*FX2000- Venta divisas 0100000004678"/>
    <s v="COP"/>
    <n v="7900003322"/>
    <s v="24.03.2023"/>
    <n v="32439000015"/>
    <n v="1"/>
    <n v="40"/>
    <n v="32439000015"/>
    <s v="COP"/>
    <d v="2023-03-24T00:00:00"/>
    <n v="1"/>
    <n v="0"/>
    <n v="0"/>
    <x v="0"/>
  </r>
  <r>
    <x v="2"/>
    <x v="15"/>
    <m/>
    <x v="0"/>
    <s v="ZI"/>
    <s v="28.03.2023"/>
    <s v="*FX1000+ Compra divisas 0100000004680"/>
    <s v="COP"/>
    <n v="7900003341"/>
    <s v="28.03.2023"/>
    <n v="-13611371902"/>
    <n v="1"/>
    <n v="50"/>
    <n v="-13611371902"/>
    <s v="COP"/>
    <d v="2023-03-28T00:00:00"/>
    <n v="1"/>
    <n v="0"/>
    <n v="0"/>
    <x v="0"/>
  </r>
  <r>
    <x v="2"/>
    <x v="15"/>
    <m/>
    <x v="0"/>
    <s v="ZI"/>
    <s v="28.03.2023"/>
    <s v="*FX2000- Venta divisas 0100000004680"/>
    <s v="USD"/>
    <n v="7900003342"/>
    <s v="28.03.2023"/>
    <n v="2870531.6"/>
    <n v="4741.7599899999996"/>
    <n v="40"/>
    <n v="13611371902"/>
    <s v="COP"/>
    <d v="2023-03-28T00:00:00"/>
    <n v="4741.76"/>
    <n v="4686.83"/>
    <n v="-157678301"/>
    <x v="1"/>
  </r>
  <r>
    <x v="2"/>
    <x v="15"/>
    <m/>
    <x v="0"/>
    <s v="ZI"/>
    <s v="28.03.2023"/>
    <s v="*FX1000+ Compra divisas 0100000004681"/>
    <s v="COP"/>
    <n v="7900003349"/>
    <s v="28.03.2023"/>
    <n v="-8291440125"/>
    <n v="1"/>
    <n v="50"/>
    <n v="-8291440125"/>
    <s v="COP"/>
    <d v="2023-03-28T00:00:00"/>
    <n v="1"/>
    <n v="0"/>
    <n v="0"/>
    <x v="0"/>
  </r>
  <r>
    <x v="2"/>
    <x v="15"/>
    <m/>
    <x v="0"/>
    <s v="ZI"/>
    <s v="28.03.2023"/>
    <s v="*FX2000- Venta divisas 0100000004681"/>
    <s v="USD"/>
    <n v="7900003350"/>
    <s v="28.03.2023"/>
    <n v="1748599.7"/>
    <n v="4741.76001"/>
    <n v="40"/>
    <n v="8291440125"/>
    <s v="COP"/>
    <d v="2023-03-28T00:00:00"/>
    <n v="4741.76"/>
    <n v="4686.83"/>
    <n v="-96050582"/>
    <x v="1"/>
  </r>
  <r>
    <x v="2"/>
    <x v="15"/>
    <m/>
    <x v="0"/>
    <s v="ZI"/>
    <s v="28.03.2023"/>
    <s v="*FX1000+ Compra divisas 0100000004682"/>
    <s v="COP"/>
    <n v="7900003357"/>
    <s v="28.03.2023"/>
    <n v="-10535617891"/>
    <n v="1"/>
    <n v="50"/>
    <n v="-10535617891"/>
    <s v="COP"/>
    <d v="2023-03-28T00:00:00"/>
    <n v="1"/>
    <n v="0"/>
    <n v="0"/>
    <x v="0"/>
  </r>
  <r>
    <x v="2"/>
    <x v="15"/>
    <m/>
    <x v="0"/>
    <s v="ZI"/>
    <s v="28.03.2023"/>
    <s v="*FX2000- Venta divisas 0100000004682"/>
    <s v="USD"/>
    <n v="7900003358"/>
    <s v="28.03.2023"/>
    <n v="2221879.19"/>
    <n v="4741.76001"/>
    <n v="40"/>
    <n v="10535617891"/>
    <s v="COP"/>
    <d v="2023-03-28T00:00:00"/>
    <n v="4741.76"/>
    <n v="4686.83"/>
    <n v="-122047824"/>
    <x v="1"/>
  </r>
  <r>
    <x v="2"/>
    <x v="15"/>
    <m/>
    <x v="0"/>
    <s v="ZI"/>
    <s v="29.03.2023"/>
    <s v="*FX1000+ Compra divisas 0100000004686"/>
    <s v="USD"/>
    <n v="7900003851"/>
    <s v="29.03.2023"/>
    <n v="-5850643"/>
    <n v="4658.79"/>
    <n v="50"/>
    <n v="-27256917102"/>
    <s v="COP"/>
    <d v="2023-03-29T00:00:00"/>
    <n v="4658.79"/>
    <n v="4658.79"/>
    <n v="0"/>
    <x v="0"/>
  </r>
  <r>
    <x v="2"/>
    <x v="15"/>
    <m/>
    <x v="0"/>
    <s v="ZI"/>
    <s v="29.03.2023"/>
    <s v="*FX2000- Venta divisas 0100000004686"/>
    <s v="COP"/>
    <n v="7900003852"/>
    <s v="29.03.2023"/>
    <n v="27256917102"/>
    <n v="1"/>
    <n v="40"/>
    <n v="27256917102"/>
    <s v="COP"/>
    <d v="2023-03-29T00:00:00"/>
    <n v="1"/>
    <n v="0"/>
    <n v="0"/>
    <x v="0"/>
  </r>
  <r>
    <x v="2"/>
    <x v="15"/>
    <m/>
    <x v="0"/>
    <s v="ZI"/>
    <s v="30.03.2023"/>
    <s v="*FX1000+ Compra divisas 0100000004688"/>
    <s v="EURO"/>
    <n v="7900004373"/>
    <s v="30.03.2023"/>
    <n v="-2120"/>
    <n v="5049.6698100000003"/>
    <n v="50"/>
    <n v="-10705300"/>
    <s v="COP"/>
    <d v="2023-03-30T00:00:00"/>
    <n v="5049.67"/>
    <n v="0"/>
    <n v="0"/>
    <x v="0"/>
  </r>
  <r>
    <x v="2"/>
    <x v="15"/>
    <m/>
    <x v="0"/>
    <s v="ZI"/>
    <s v="30.03.2023"/>
    <s v="*FX2000- Venta divisas 0100000004688"/>
    <s v="USD"/>
    <n v="7900004374"/>
    <s v="30.03.2023"/>
    <n v="2373.34"/>
    <n v="4510.6474399999997"/>
    <n v="40"/>
    <n v="10705300"/>
    <s v="COP"/>
    <d v="2023-03-30T00:00:00"/>
    <n v="4510.6499999999996"/>
    <n v="4627.63"/>
    <n v="277633"/>
    <x v="2"/>
  </r>
  <r>
    <x v="2"/>
    <x v="15"/>
    <m/>
    <x v="0"/>
    <s v="ZI"/>
    <s v="31.03.2023"/>
    <s v="*FX1000+ Compra divisas 0100000004687"/>
    <s v="COP"/>
    <n v="7900004365"/>
    <s v="31.03.2023"/>
    <n v="-42164139239"/>
    <n v="1"/>
    <n v="50"/>
    <n v="-42164139239"/>
    <s v="COP"/>
    <d v="2023-03-31T00:00:00"/>
    <n v="1"/>
    <n v="0"/>
    <n v="0"/>
    <x v="0"/>
  </r>
  <r>
    <x v="2"/>
    <x v="15"/>
    <m/>
    <x v="0"/>
    <s v="ZI"/>
    <s v="31.03.2023"/>
    <s v="*FX2000- Venta divisas 0100000004687"/>
    <s v="USD"/>
    <n v="7900004366"/>
    <s v="31.03.2023"/>
    <n v="9050448.5600000005"/>
    <n v="4658.79"/>
    <n v="40"/>
    <n v="42164139239"/>
    <s v="COP"/>
    <d v="2023-03-31T00:00:00"/>
    <n v="4658.79"/>
    <n v="4627.2700000000004"/>
    <n v="-285270139"/>
    <x v="1"/>
  </r>
  <r>
    <x v="2"/>
    <x v="15"/>
    <m/>
    <x v="1"/>
    <s v="TD"/>
    <s v="29.03.2023"/>
    <s v="*FX2001- Venta divisas 0400000000119"/>
    <s v="COP"/>
    <n v="7900003489"/>
    <s v="29.03.2023"/>
    <n v="-27752291045"/>
    <n v="1"/>
    <n v="50"/>
    <n v="-27752291045"/>
    <s v="COP"/>
    <d v="2023-03-29T00:00:00"/>
    <n v="1"/>
    <n v="0"/>
    <n v="0"/>
    <x v="0"/>
  </r>
  <r>
    <x v="2"/>
    <x v="15"/>
    <m/>
    <x v="1"/>
    <s v="ZD"/>
    <s v="02.03.2023"/>
    <s v="*CML1120 0001000001001"/>
    <s v="USD"/>
    <n v="7900003124"/>
    <s v="02.03.2023"/>
    <n v="-1715255.57"/>
    <n v="4814.1099999999997"/>
    <n v="50"/>
    <n v="-8257428992"/>
    <s v="COP"/>
    <d v="2023-03-02T00:00:00"/>
    <n v="4814.1099999999997"/>
    <n v="4848.78"/>
    <n v="59467911"/>
    <x v="2"/>
  </r>
  <r>
    <x v="2"/>
    <x v="15"/>
    <m/>
    <x v="1"/>
    <s v="ZD"/>
    <s v="23.03.2023"/>
    <s v="*CML1120 0001000003051"/>
    <s v="COP"/>
    <n v="7900003290"/>
    <s v="23.03.2023"/>
    <n v="-5903753585"/>
    <n v="1"/>
    <n v="50"/>
    <n v="-5903753585"/>
    <s v="COP"/>
    <d v="2023-03-23T00:00:00"/>
    <n v="1"/>
    <n v="0"/>
    <n v="0"/>
    <x v="0"/>
  </r>
  <r>
    <x v="2"/>
    <x v="15"/>
    <m/>
    <x v="1"/>
    <s v="ZI"/>
    <s v="01.03.2023"/>
    <s v="*FX2000- Venta divisas 0100000004659"/>
    <s v="COP"/>
    <n v="7900003132"/>
    <s v="01.03.2023"/>
    <n v="-12320270000"/>
    <n v="1"/>
    <n v="50"/>
    <n v="-12320270000"/>
    <s v="COP"/>
    <d v="2023-03-01T00:00:00"/>
    <n v="1"/>
    <n v="0"/>
    <n v="0"/>
    <x v="0"/>
  </r>
  <r>
    <x v="2"/>
    <x v="15"/>
    <m/>
    <x v="1"/>
    <s v="ZI"/>
    <s v="02.03.2023"/>
    <s v="*FX2000- Venta divisas 0100000004660"/>
    <s v="COP"/>
    <n v="7900003252"/>
    <s v="02.03.2023"/>
    <n v="-5341644000"/>
    <n v="1"/>
    <n v="50"/>
    <n v="-5341644000"/>
    <s v="COP"/>
    <d v="2023-03-02T00:00:00"/>
    <n v="1"/>
    <n v="0"/>
    <n v="0"/>
    <x v="0"/>
  </r>
  <r>
    <x v="2"/>
    <x v="15"/>
    <m/>
    <x v="1"/>
    <s v="ZI"/>
    <s v="06.03.2023"/>
    <s v="*FX2000- Venta divisas 0100000004661"/>
    <s v="USD"/>
    <n v="7900003168"/>
    <s v="06.03.2023"/>
    <n v="-1095263.3999999999"/>
    <n v="4855.8300300000001"/>
    <n v="50"/>
    <n v="-5318412911"/>
    <s v="COP"/>
    <d v="2023-03-06T00:00:00"/>
    <n v="4855.83"/>
    <n v="4780.8900000000003"/>
    <n v="-82079039"/>
    <x v="1"/>
  </r>
  <r>
    <x v="2"/>
    <x v="15"/>
    <m/>
    <x v="1"/>
    <s v="ZI"/>
    <s v="06.03.2023"/>
    <s v="*FX2000- Venta divisas 0100000004663"/>
    <s v="USD"/>
    <n v="7900003224"/>
    <s v="06.03.2023"/>
    <n v="-22807724"/>
    <n v="4720"/>
    <n v="50"/>
    <n v="-107652457280"/>
    <s v="COP"/>
    <d v="2023-03-06T00:00:00"/>
    <n v="4720"/>
    <n v="4780.8900000000003"/>
    <n v="1388762314"/>
    <x v="2"/>
  </r>
  <r>
    <x v="2"/>
    <x v="15"/>
    <m/>
    <x v="1"/>
    <s v="ZI"/>
    <s v="06.03.2023"/>
    <s v="*FX2000- Venta divisas 0100000004662"/>
    <s v="COP"/>
    <n v="7900003232"/>
    <s v="06.03.2023"/>
    <n v="-18884000000"/>
    <n v="1"/>
    <n v="50"/>
    <n v="-18884000000"/>
    <s v="COP"/>
    <d v="2023-03-06T00:00:00"/>
    <n v="1"/>
    <n v="0"/>
    <n v="0"/>
    <x v="0"/>
  </r>
  <r>
    <x v="2"/>
    <x v="15"/>
    <m/>
    <x v="1"/>
    <s v="ZI"/>
    <s v="15.03.2023"/>
    <s v="*FX2000- Venta divisas 0100000004671"/>
    <s v="USD"/>
    <n v="7900003272"/>
    <s v="15.03.2023"/>
    <n v="-18101.63"/>
    <n v="4736.0300100000004"/>
    <n v="50"/>
    <n v="-85729863"/>
    <s v="COP"/>
    <d v="2023-03-15T00:00:00"/>
    <n v="4736.03"/>
    <n v="4736.03"/>
    <n v="0"/>
    <x v="0"/>
  </r>
  <r>
    <x v="2"/>
    <x v="15"/>
    <m/>
    <x v="1"/>
    <s v="ZI"/>
    <s v="24.03.2023"/>
    <s v="*FX2000- Venta divisas 0100000004678"/>
    <s v="COP"/>
    <n v="7900003322"/>
    <s v="24.03.2023"/>
    <n v="-32439000015"/>
    <n v="1"/>
    <n v="50"/>
    <n v="-32439000015"/>
    <s v="COP"/>
    <d v="2023-03-24T00:00:00"/>
    <n v="1"/>
    <n v="0"/>
    <n v="0"/>
    <x v="0"/>
  </r>
  <r>
    <x v="2"/>
    <x v="15"/>
    <m/>
    <x v="1"/>
    <s v="ZI"/>
    <s v="28.03.2023"/>
    <s v="*FX2000- Venta divisas 0100000004680"/>
    <s v="USD"/>
    <n v="7900003342"/>
    <s v="28.03.2023"/>
    <n v="-2870531.6"/>
    <n v="4741.7599899999996"/>
    <n v="50"/>
    <n v="-13611371902"/>
    <s v="COP"/>
    <d v="2023-03-28T00:00:00"/>
    <n v="4741.76"/>
    <n v="4686.83"/>
    <n v="-157678301"/>
    <x v="1"/>
  </r>
  <r>
    <x v="2"/>
    <x v="15"/>
    <m/>
    <x v="1"/>
    <s v="ZI"/>
    <s v="28.03.2023"/>
    <s v="*FX2000- Venta divisas 0100000004681"/>
    <s v="USD"/>
    <n v="7900003350"/>
    <s v="28.03.2023"/>
    <n v="-1748599.7"/>
    <n v="4741.76001"/>
    <n v="50"/>
    <n v="-8291440125"/>
    <s v="COP"/>
    <d v="2023-03-28T00:00:00"/>
    <n v="4741.76"/>
    <n v="4686.83"/>
    <n v="-96050582"/>
    <x v="1"/>
  </r>
  <r>
    <x v="2"/>
    <x v="15"/>
    <m/>
    <x v="1"/>
    <s v="ZI"/>
    <s v="28.03.2023"/>
    <s v="*FX2000- Venta divisas 0100000004682"/>
    <s v="USD"/>
    <n v="7900003358"/>
    <s v="28.03.2023"/>
    <n v="-2221879.19"/>
    <n v="4741.76001"/>
    <n v="50"/>
    <n v="-10535617891"/>
    <s v="COP"/>
    <d v="2023-03-28T00:00:00"/>
    <n v="4741.76"/>
    <n v="4686.83"/>
    <n v="-122047824"/>
    <x v="1"/>
  </r>
  <r>
    <x v="2"/>
    <x v="15"/>
    <m/>
    <x v="1"/>
    <s v="ZI"/>
    <s v="31.03.2023"/>
    <s v="*FX2000- Venta divisas 0100000004687"/>
    <s v="USD"/>
    <n v="7900004366"/>
    <s v="31.03.2023"/>
    <n v="-9050448.5600000005"/>
    <n v="4658.79"/>
    <n v="50"/>
    <n v="-42164139239"/>
    <s v="COP"/>
    <d v="2023-03-31T00:00:00"/>
    <n v="4658.79"/>
    <n v="4627.2700000000004"/>
    <n v="-285270139"/>
    <x v="1"/>
  </r>
  <r>
    <x v="2"/>
    <x v="15"/>
    <m/>
    <x v="1"/>
    <s v="ZP"/>
    <s v="01.03.2023"/>
    <m/>
    <s v="COP"/>
    <n v="2000001766"/>
    <s v="01.03.2023"/>
    <n v="12320270000"/>
    <n v="1"/>
    <n v="40"/>
    <n v="12320270000"/>
    <s v="COP"/>
    <d v="2023-03-01T00:00:00"/>
    <n v="1"/>
    <n v="0"/>
    <n v="0"/>
    <x v="0"/>
  </r>
  <r>
    <x v="2"/>
    <x v="15"/>
    <m/>
    <x v="1"/>
    <s v="ZP"/>
    <s v="02.03.2023"/>
    <m/>
    <s v="USD"/>
    <n v="2000001743"/>
    <s v="02.03.2023"/>
    <n v="2538301.7599999998"/>
    <n v="4814.1099999999997"/>
    <n v="40"/>
    <n v="12219663886"/>
    <s v="COP"/>
    <d v="2023-03-02T00:00:00"/>
    <n v="4814.1099999999997"/>
    <n v="4848.78"/>
    <n v="-88002922"/>
    <x v="1"/>
  </r>
  <r>
    <x v="2"/>
    <x v="15"/>
    <m/>
    <x v="1"/>
    <s v="ZP"/>
    <s v="02.03.2023"/>
    <m/>
    <s v="COP"/>
    <n v="2000002251"/>
    <s v="02.03.2023"/>
    <n v="5341644000"/>
    <n v="1"/>
    <n v="40"/>
    <n v="5341644000"/>
    <s v="COP"/>
    <d v="2023-03-02T00:00:00"/>
    <n v="1"/>
    <n v="0"/>
    <n v="0"/>
    <x v="0"/>
  </r>
  <r>
    <x v="2"/>
    <x v="15"/>
    <m/>
    <x v="1"/>
    <s v="ZP"/>
    <s v="03.03.2023"/>
    <m/>
    <s v="COP"/>
    <n v="2000001794"/>
    <s v="03.03.2023"/>
    <n v="14169299210"/>
    <n v="1"/>
    <n v="40"/>
    <n v="14169299210"/>
    <s v="COP"/>
    <d v="2023-03-03T00:00:00"/>
    <n v="1"/>
    <n v="0"/>
    <n v="0"/>
    <x v="0"/>
  </r>
  <r>
    <x v="2"/>
    <x v="15"/>
    <m/>
    <x v="1"/>
    <s v="ZP"/>
    <s v="06.03.2023"/>
    <m/>
    <s v="COP"/>
    <n v="2000001825"/>
    <s v="06.03.2023"/>
    <n v="31094401753"/>
    <n v="1"/>
    <n v="40"/>
    <n v="31094401753"/>
    <s v="COP"/>
    <d v="2023-03-06T00:00:00"/>
    <n v="1"/>
    <n v="0"/>
    <n v="0"/>
    <x v="0"/>
  </r>
  <r>
    <x v="2"/>
    <x v="15"/>
    <m/>
    <x v="1"/>
    <s v="ZP"/>
    <s v="06.03.2023"/>
    <m/>
    <s v="USD"/>
    <n v="2000001854"/>
    <s v="06.03.2023"/>
    <n v="1095263.3999999999"/>
    <n v="4855.8300300000001"/>
    <n v="40"/>
    <n v="5318412911"/>
    <s v="COP"/>
    <d v="2023-03-06T00:00:00"/>
    <n v="4855.83"/>
    <n v="4780.8900000000003"/>
    <n v="82079039"/>
    <x v="2"/>
  </r>
  <r>
    <x v="2"/>
    <x v="15"/>
    <m/>
    <x v="1"/>
    <s v="ZP"/>
    <s v="06.03.2023"/>
    <m/>
    <s v="USD"/>
    <n v="2000002224"/>
    <s v="06.03.2023"/>
    <n v="22807724"/>
    <n v="4720"/>
    <n v="40"/>
    <n v="107652457280"/>
    <s v="COP"/>
    <d v="2023-03-06T00:00:00"/>
    <n v="4720"/>
    <n v="4780.8900000000003"/>
    <n v="-1388762314"/>
    <x v="1"/>
  </r>
  <r>
    <x v="2"/>
    <x v="15"/>
    <m/>
    <x v="1"/>
    <s v="ZP"/>
    <s v="06.03.2023"/>
    <m/>
    <s v="COP"/>
    <n v="2000002244"/>
    <s v="06.03.2023"/>
    <n v="18884000000"/>
    <n v="1"/>
    <n v="40"/>
    <n v="18884000000"/>
    <s v="COP"/>
    <d v="2023-03-06T00:00:00"/>
    <n v="1"/>
    <n v="0"/>
    <n v="0"/>
    <x v="0"/>
  </r>
  <r>
    <x v="2"/>
    <x v="15"/>
    <m/>
    <x v="1"/>
    <s v="ZP"/>
    <s v="13.03.2023"/>
    <m/>
    <s v="COP"/>
    <n v="2000002222"/>
    <s v="13.03.2023"/>
    <n v="3303750000"/>
    <n v="1"/>
    <n v="40"/>
    <n v="3303750000"/>
    <s v="COP"/>
    <d v="2023-03-13T00:00:00"/>
    <n v="1"/>
    <n v="0"/>
    <n v="0"/>
    <x v="0"/>
  </r>
  <r>
    <x v="2"/>
    <x v="15"/>
    <m/>
    <x v="1"/>
    <s v="ZP"/>
    <s v="13.03.2023"/>
    <m/>
    <s v="COP"/>
    <n v="2000002223"/>
    <s v="13.03.2023"/>
    <n v="7782842265"/>
    <n v="1"/>
    <n v="40"/>
    <n v="7782842265"/>
    <s v="COP"/>
    <d v="2023-03-13T00:00:00"/>
    <n v="1"/>
    <n v="0"/>
    <n v="0"/>
    <x v="0"/>
  </r>
  <r>
    <x v="2"/>
    <x v="15"/>
    <m/>
    <x v="1"/>
    <s v="ZP"/>
    <s v="15.03.2023"/>
    <m/>
    <s v="COP"/>
    <n v="2000002295"/>
    <s v="15.03.2023"/>
    <n v="37186524250"/>
    <n v="1"/>
    <n v="40"/>
    <n v="37186524250"/>
    <s v="COP"/>
    <d v="2023-03-15T00:00:00"/>
    <n v="1"/>
    <n v="0"/>
    <n v="0"/>
    <x v="0"/>
  </r>
  <r>
    <x v="2"/>
    <x v="15"/>
    <m/>
    <x v="1"/>
    <s v="ZP"/>
    <s v="15.03.2023"/>
    <m/>
    <s v="USD"/>
    <n v="2000002334"/>
    <s v="15.03.2023"/>
    <n v="18101.63"/>
    <n v="4736.0300100000004"/>
    <n v="40"/>
    <n v="85729863"/>
    <s v="COP"/>
    <d v="2023-03-15T00:00:00"/>
    <n v="4736.03"/>
    <n v="4736.03"/>
    <n v="0"/>
    <x v="0"/>
  </r>
  <r>
    <x v="2"/>
    <x v="15"/>
    <m/>
    <x v="1"/>
    <s v="ZP"/>
    <s v="23.03.2023"/>
    <m/>
    <s v="COP"/>
    <n v="2000002508"/>
    <s v="23.03.2023"/>
    <n v="7631870816"/>
    <n v="1"/>
    <n v="40"/>
    <n v="7631870816"/>
    <s v="COP"/>
    <d v="2023-03-23T00:00:00"/>
    <n v="1"/>
    <n v="0"/>
    <n v="0"/>
    <x v="0"/>
  </r>
  <r>
    <x v="2"/>
    <x v="15"/>
    <m/>
    <x v="1"/>
    <s v="ZP"/>
    <s v="24.03.2023"/>
    <m/>
    <s v="COP"/>
    <n v="2000002651"/>
    <s v="24.03.2023"/>
    <n v="32439000015"/>
    <n v="1"/>
    <n v="40"/>
    <n v="32439000015"/>
    <s v="COP"/>
    <d v="2023-03-24T00:00:00"/>
    <n v="1"/>
    <n v="0"/>
    <n v="0"/>
    <x v="0"/>
  </r>
  <r>
    <x v="2"/>
    <x v="15"/>
    <m/>
    <x v="1"/>
    <s v="ZP"/>
    <s v="27.03.2023"/>
    <m/>
    <s v="COP"/>
    <n v="2000002577"/>
    <s v="27.03.2023"/>
    <n v="3585000000"/>
    <n v="1"/>
    <n v="40"/>
    <n v="3585000000"/>
    <s v="COP"/>
    <d v="2023-03-27T00:00:00"/>
    <n v="1"/>
    <n v="0"/>
    <n v="0"/>
    <x v="0"/>
  </r>
  <r>
    <x v="2"/>
    <x v="15"/>
    <m/>
    <x v="1"/>
    <s v="ZP"/>
    <s v="28.03.2023"/>
    <m/>
    <s v="USD"/>
    <n v="2000002655"/>
    <s v="28.03.2023"/>
    <n v="6841010.4900000002"/>
    <n v="4741.76"/>
    <n v="40"/>
    <n v="32438429918"/>
    <s v="COP"/>
    <d v="2023-03-28T00:00:00"/>
    <n v="4741.76"/>
    <n v="4686.83"/>
    <n v="375776706"/>
    <x v="2"/>
  </r>
  <r>
    <x v="2"/>
    <x v="15"/>
    <m/>
    <x v="1"/>
    <s v="ZP"/>
    <s v="28.03.2023"/>
    <m/>
    <s v="USD"/>
    <n v="2000002676"/>
    <s v="28.03.2023"/>
    <n v="-6841010.4900000002"/>
    <n v="4741.76"/>
    <n v="50"/>
    <n v="-32438429918"/>
    <s v="COP"/>
    <d v="2023-03-28T00:00:00"/>
    <n v="4741.76"/>
    <n v="4686.83"/>
    <n v="-375776706"/>
    <x v="1"/>
  </r>
  <r>
    <x v="2"/>
    <x v="15"/>
    <m/>
    <x v="1"/>
    <s v="ZP"/>
    <s v="28.03.2023"/>
    <m/>
    <s v="USD"/>
    <n v="2000002677"/>
    <s v="28.03.2023"/>
    <n v="6841010.4900000002"/>
    <n v="4741.76"/>
    <n v="40"/>
    <n v="32438429918"/>
    <s v="COP"/>
    <d v="2023-03-28T00:00:00"/>
    <n v="4741.76"/>
    <n v="4686.83"/>
    <n v="375776706"/>
    <x v="2"/>
  </r>
  <r>
    <x v="2"/>
    <x v="15"/>
    <m/>
    <x v="1"/>
    <s v="ZP"/>
    <s v="29.03.2023"/>
    <m/>
    <s v="COP"/>
    <n v="2000002750"/>
    <s v="29.03.2023"/>
    <n v="27752291045"/>
    <n v="1"/>
    <n v="40"/>
    <n v="27752291045"/>
    <s v="COP"/>
    <d v="2023-03-29T00:00:00"/>
    <n v="1"/>
    <n v="0"/>
    <n v="0"/>
    <x v="0"/>
  </r>
  <r>
    <x v="2"/>
    <x v="15"/>
    <m/>
    <x v="1"/>
    <s v="ZP"/>
    <s v="31.03.2023"/>
    <m/>
    <s v="USD"/>
    <n v="2000002770"/>
    <s v="31.03.2023"/>
    <n v="9050448.5600000005"/>
    <n v="4658.79"/>
    <n v="40"/>
    <n v="42164139239"/>
    <s v="COP"/>
    <d v="2023-03-31T00:00:00"/>
    <n v="4658.79"/>
    <n v="4627.2700000000004"/>
    <n v="285270139"/>
    <x v="2"/>
  </r>
  <r>
    <x v="2"/>
    <x v="15"/>
    <m/>
    <x v="1"/>
    <s v="ZS"/>
    <s v="02.03.2023"/>
    <s v="*CML1110 0001000001001"/>
    <s v="USD"/>
    <n v="7900003123"/>
    <s v="02.03.2023"/>
    <n v="-823046.19"/>
    <n v="4814.1099999999997"/>
    <n v="50"/>
    <n v="-3962234894"/>
    <s v="COP"/>
    <d v="2023-03-02T00:00:00"/>
    <n v="4814.1099999999997"/>
    <n v="4848.78"/>
    <n v="28535011"/>
    <x v="2"/>
  </r>
  <r>
    <x v="2"/>
    <x v="15"/>
    <m/>
    <x v="1"/>
    <s v="ZS"/>
    <s v="03.03.2023"/>
    <s v="*CML1110 0001000004101"/>
    <s v="COP"/>
    <n v="7900003139"/>
    <s v="03.03.2023"/>
    <n v="-4391848070"/>
    <n v="1"/>
    <n v="50"/>
    <n v="-4391848070"/>
    <s v="COP"/>
    <d v="2023-03-03T00:00:00"/>
    <n v="1"/>
    <n v="0"/>
    <n v="0"/>
    <x v="0"/>
  </r>
  <r>
    <x v="2"/>
    <x v="15"/>
    <m/>
    <x v="1"/>
    <s v="ZS"/>
    <s v="03.03.2023"/>
    <s v="*CML1110 0001000004102"/>
    <s v="COP"/>
    <n v="7900003140"/>
    <s v="03.03.2023"/>
    <n v="-9777451140"/>
    <n v="1"/>
    <n v="50"/>
    <n v="-9777451140"/>
    <s v="COP"/>
    <d v="2023-03-03T00:00:00"/>
    <n v="1"/>
    <n v="0"/>
    <n v="0"/>
    <x v="0"/>
  </r>
  <r>
    <x v="2"/>
    <x v="15"/>
    <m/>
    <x v="1"/>
    <s v="ZS"/>
    <s v="06.03.2023"/>
    <s v="*CML1110 0001000003451"/>
    <s v="COP"/>
    <n v="7900003155"/>
    <s v="06.03.2023"/>
    <n v="-5968381320"/>
    <n v="1"/>
    <n v="50"/>
    <n v="-5968381320"/>
    <s v="COP"/>
    <d v="2023-03-06T00:00:00"/>
    <n v="1"/>
    <n v="0"/>
    <n v="0"/>
    <x v="0"/>
  </r>
  <r>
    <x v="2"/>
    <x v="15"/>
    <m/>
    <x v="1"/>
    <s v="ZS"/>
    <s v="06.03.2023"/>
    <s v="*CML1110 0001000003453"/>
    <s v="COP"/>
    <n v="7900003156"/>
    <s v="06.03.2023"/>
    <n v="-8360952261"/>
    <n v="1"/>
    <n v="50"/>
    <n v="-8360952261"/>
    <s v="COP"/>
    <d v="2023-03-06T00:00:00"/>
    <n v="1"/>
    <n v="0"/>
    <n v="0"/>
    <x v="0"/>
  </r>
  <r>
    <x v="2"/>
    <x v="15"/>
    <m/>
    <x v="1"/>
    <s v="ZS"/>
    <s v="06.03.2023"/>
    <s v="*CML1110 0001000003452"/>
    <s v="COP"/>
    <n v="7900003157"/>
    <s v="06.03.2023"/>
    <n v="-14404346820"/>
    <n v="1"/>
    <n v="50"/>
    <n v="-14404346820"/>
    <s v="COP"/>
    <d v="2023-03-06T00:00:00"/>
    <n v="1"/>
    <n v="0"/>
    <n v="0"/>
    <x v="0"/>
  </r>
  <r>
    <x v="2"/>
    <x v="15"/>
    <m/>
    <x v="1"/>
    <s v="ZS"/>
    <s v="06.03.2023"/>
    <s v="*CML1110 0001000003450"/>
    <s v="COP"/>
    <n v="7900003158"/>
    <s v="06.03.2023"/>
    <n v="-2360721352"/>
    <n v="1"/>
    <n v="50"/>
    <n v="-2360721352"/>
    <s v="COP"/>
    <d v="2023-03-06T00:00:00"/>
    <n v="1"/>
    <n v="0"/>
    <n v="0"/>
    <x v="0"/>
  </r>
  <r>
    <x v="2"/>
    <x v="15"/>
    <m/>
    <x v="1"/>
    <s v="ZS"/>
    <s v="13.03.2023"/>
    <s v="*CML1110 0001000003650"/>
    <s v="COP"/>
    <n v="7900003209"/>
    <s v="13.03.2023"/>
    <n v="-3303750000"/>
    <n v="1"/>
    <n v="50"/>
    <n v="-3303750000"/>
    <s v="COP"/>
    <d v="2023-03-13T00:00:00"/>
    <n v="1"/>
    <n v="0"/>
    <n v="0"/>
    <x v="0"/>
  </r>
  <r>
    <x v="2"/>
    <x v="15"/>
    <m/>
    <x v="1"/>
    <s v="ZS"/>
    <s v="13.03.2023"/>
    <s v="*CML1110 0001000002400"/>
    <s v="COP"/>
    <n v="7900003215"/>
    <s v="13.03.2023"/>
    <n v="-3959551161"/>
    <n v="1"/>
    <n v="50"/>
    <n v="-3959551161"/>
    <s v="COP"/>
    <d v="2023-03-13T00:00:00"/>
    <n v="1"/>
    <n v="0"/>
    <n v="0"/>
    <x v="0"/>
  </r>
  <r>
    <x v="2"/>
    <x v="15"/>
    <m/>
    <x v="1"/>
    <s v="ZS"/>
    <s v="13.03.2023"/>
    <s v="*CML1110 0001000002401"/>
    <s v="COP"/>
    <n v="7900003216"/>
    <s v="13.03.2023"/>
    <n v="-3823291104"/>
    <n v="1"/>
    <n v="50"/>
    <n v="-3823291104"/>
    <s v="COP"/>
    <d v="2023-03-13T00:00:00"/>
    <n v="1"/>
    <n v="0"/>
    <n v="0"/>
    <x v="0"/>
  </r>
  <r>
    <x v="2"/>
    <x v="15"/>
    <m/>
    <x v="1"/>
    <s v="ZS"/>
    <s v="15.03.2023"/>
    <s v="*CML1110 0001000000027"/>
    <s v="COP"/>
    <n v="7900003259"/>
    <s v="15.03.2023"/>
    <n v="-20181254250"/>
    <n v="1"/>
    <n v="50"/>
    <n v="-20181254250"/>
    <s v="COP"/>
    <d v="2023-03-15T00:00:00"/>
    <n v="1"/>
    <n v="0"/>
    <n v="0"/>
    <x v="0"/>
  </r>
  <r>
    <x v="2"/>
    <x v="15"/>
    <m/>
    <x v="1"/>
    <s v="ZS"/>
    <s v="15.03.2023"/>
    <s v="*CML1110 0001000000030"/>
    <s v="COP"/>
    <n v="7900003260"/>
    <s v="15.03.2023"/>
    <n v="-17005270000"/>
    <n v="1"/>
    <n v="50"/>
    <n v="-17005270000"/>
    <s v="COP"/>
    <d v="2023-03-15T00:00:00"/>
    <n v="1"/>
    <n v="0"/>
    <n v="0"/>
    <x v="0"/>
  </r>
  <r>
    <x v="2"/>
    <x v="15"/>
    <m/>
    <x v="1"/>
    <s v="ZS"/>
    <s v="23.03.2023"/>
    <s v="*CML1110 0001000003051"/>
    <s v="COP"/>
    <n v="7900003289"/>
    <s v="23.03.2023"/>
    <n v="-1728117231"/>
    <n v="1"/>
    <n v="50"/>
    <n v="-1728117231"/>
    <s v="COP"/>
    <d v="2023-03-23T00:00:00"/>
    <n v="1"/>
    <n v="0"/>
    <n v="0"/>
    <x v="0"/>
  </r>
  <r>
    <x v="2"/>
    <x v="15"/>
    <m/>
    <x v="1"/>
    <s v="ZS"/>
    <s v="27.03.2023"/>
    <s v="*CML1110 0001000003651"/>
    <s v="COP"/>
    <n v="7900003295"/>
    <s v="27.03.2023"/>
    <n v="-3585000000"/>
    <n v="1"/>
    <n v="50"/>
    <n v="-3585000000"/>
    <s v="COP"/>
    <d v="2023-03-27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4"/>
  </r>
  <r>
    <x v="2"/>
    <x v="16"/>
    <m/>
    <x v="0"/>
    <s v="ZI"/>
    <s v="04.04.2023"/>
    <s v="*FX1000+ Compra divisas 0100000004689"/>
    <s v="USD"/>
    <n v="7900005510"/>
    <s v="04.04.2023"/>
    <n v="-8600107"/>
    <n v="4603"/>
    <n v="50"/>
    <n v="-39586292521"/>
    <s v="COP"/>
    <d v="2023-04-04T00:00:00"/>
    <n v="4603"/>
    <n v="4603"/>
    <n v="0"/>
    <x v="0"/>
  </r>
  <r>
    <x v="2"/>
    <x v="16"/>
    <m/>
    <x v="0"/>
    <s v="ZI"/>
    <s v="04.04.2023"/>
    <s v="*FX2000- Venta divisas 0100000004689"/>
    <s v="COP"/>
    <n v="7900005511"/>
    <s v="04.04.2023"/>
    <n v="39586292521"/>
    <n v="1"/>
    <n v="40"/>
    <n v="39586292521"/>
    <s v="COP"/>
    <d v="2023-04-04T00:00:00"/>
    <n v="1"/>
    <n v="0"/>
    <n v="0"/>
    <x v="0"/>
  </r>
  <r>
    <x v="2"/>
    <x v="16"/>
    <m/>
    <x v="0"/>
    <s v="ZI"/>
    <s v="04.04.2023"/>
    <s v="*FX1000+ Compra divisas 0100000004692"/>
    <s v="USD"/>
    <n v="7900005518"/>
    <s v="04.04.2023"/>
    <n v="-3762000"/>
    <n v="4587.16"/>
    <n v="50"/>
    <n v="-17256895920"/>
    <s v="COP"/>
    <d v="2023-04-04T00:00:00"/>
    <n v="4587.16"/>
    <n v="4603"/>
    <n v="-59590080"/>
    <x v="1"/>
  </r>
  <r>
    <x v="2"/>
    <x v="16"/>
    <m/>
    <x v="0"/>
    <s v="ZI"/>
    <s v="04.04.2023"/>
    <s v="*FX2000- Venta divisas 0100000004692"/>
    <s v="COP"/>
    <n v="7900005519"/>
    <s v="04.04.2023"/>
    <n v="17256895920"/>
    <n v="1"/>
    <n v="40"/>
    <n v="17256895920"/>
    <s v="COP"/>
    <d v="2023-04-04T00:00:00"/>
    <n v="1"/>
    <n v="0"/>
    <n v="0"/>
    <x v="0"/>
  </r>
  <r>
    <x v="2"/>
    <x v="16"/>
    <m/>
    <x v="0"/>
    <s v="ZI"/>
    <s v="04.04.2023"/>
    <s v="*FX1000+ Compra divisas 0100000004693"/>
    <s v="EURO"/>
    <n v="7900005526"/>
    <s v="04.04.2023"/>
    <n v="-488.58"/>
    <n v="4901.1420900000003"/>
    <n v="50"/>
    <n v="-2394600"/>
    <s v="COP"/>
    <d v="2023-04-04T00:00:00"/>
    <n v="4901.1400000000003"/>
    <n v="0"/>
    <n v="0"/>
    <x v="0"/>
  </r>
  <r>
    <x v="2"/>
    <x v="16"/>
    <m/>
    <x v="0"/>
    <s v="ZI"/>
    <s v="04.04.2023"/>
    <s v="*FX2000- Venta divisas 0100000004693"/>
    <s v="USD"/>
    <n v="7900005527"/>
    <s v="04.04.2023"/>
    <n v="549.41"/>
    <n v="4358.4936600000001"/>
    <n v="40"/>
    <n v="2394600"/>
    <s v="COP"/>
    <d v="2023-04-04T00:00:00"/>
    <n v="4358.49"/>
    <n v="4603"/>
    <n v="134336"/>
    <x v="2"/>
  </r>
  <r>
    <x v="2"/>
    <x v="16"/>
    <m/>
    <x v="0"/>
    <s v="ZI"/>
    <s v="10.04.2023"/>
    <s v="*FX1000+ Compra divisas 0100000004690"/>
    <s v="COP"/>
    <n v="7900005356"/>
    <s v="10.04.2023"/>
    <n v="-4358575576"/>
    <n v="1"/>
    <n v="50"/>
    <n v="-4358575576"/>
    <s v="COP"/>
    <d v="2023-04-10T00:00:00"/>
    <n v="1"/>
    <n v="0"/>
    <n v="0"/>
    <x v="0"/>
  </r>
  <r>
    <x v="2"/>
    <x v="16"/>
    <m/>
    <x v="0"/>
    <s v="ZI"/>
    <s v="10.04.2023"/>
    <s v="*FX2000- Venta divisas 0100000004690"/>
    <s v="USD"/>
    <n v="7900005357"/>
    <s v="10.04.2023"/>
    <n v="950137.57"/>
    <n v="4587.3100000000004"/>
    <n v="40"/>
    <n v="4358575576"/>
    <s v="COP"/>
    <d v="2023-04-10T00:00:00"/>
    <n v="4587.3100000000004"/>
    <n v="4570.91"/>
    <n v="-15582256"/>
    <x v="1"/>
  </r>
  <r>
    <x v="2"/>
    <x v="16"/>
    <m/>
    <x v="0"/>
    <s v="ZI"/>
    <s v="10.04.2023"/>
    <s v="*FX1000+ Compra divisas 0100000004691"/>
    <s v="COP"/>
    <n v="7900005364"/>
    <s v="10.04.2023"/>
    <n v="-3923163800"/>
    <n v="1"/>
    <n v="50"/>
    <n v="-3923163800"/>
    <s v="COP"/>
    <d v="2023-04-10T00:00:00"/>
    <n v="1"/>
    <n v="0"/>
    <n v="0"/>
    <x v="0"/>
  </r>
  <r>
    <x v="2"/>
    <x v="16"/>
    <m/>
    <x v="0"/>
    <s v="ZI"/>
    <s v="10.04.2023"/>
    <s v="*FX2000- Venta divisas 0100000004691"/>
    <s v="USD"/>
    <n v="7900005365"/>
    <s v="10.04.2023"/>
    <n v="855220.99"/>
    <n v="4587.3100000000004"/>
    <n v="40"/>
    <n v="3923163800"/>
    <s v="COP"/>
    <d v="2023-04-10T00:00:00"/>
    <n v="4587.3100000000004"/>
    <n v="4570.91"/>
    <n v="-14025624"/>
    <x v="1"/>
  </r>
  <r>
    <x v="2"/>
    <x v="16"/>
    <m/>
    <x v="0"/>
    <s v="ZI"/>
    <s v="26.04.2023"/>
    <s v="*FX1000+ Compra divisas 0100000004703"/>
    <s v="USD"/>
    <n v="7900005606"/>
    <s v="26.04.2023"/>
    <n v="-23716111.969999999"/>
    <n v="4537"/>
    <n v="50"/>
    <n v="-107600000008"/>
    <s v="COP"/>
    <d v="2023-04-26T00:00:00"/>
    <n v="4537"/>
    <n v="4486.6000000000004"/>
    <n v="1195292043"/>
    <x v="2"/>
  </r>
  <r>
    <x v="2"/>
    <x v="16"/>
    <m/>
    <x v="0"/>
    <s v="ZI"/>
    <s v="26.04.2023"/>
    <s v="*FX2000- Venta divisas 0100000004703"/>
    <s v="COP"/>
    <n v="7900005607"/>
    <s v="26.04.2023"/>
    <n v="107600000008"/>
    <n v="1"/>
    <n v="40"/>
    <n v="107600000008"/>
    <s v="COP"/>
    <d v="2023-04-26T00:00:00"/>
    <n v="1"/>
    <n v="0"/>
    <n v="0"/>
    <x v="0"/>
  </r>
  <r>
    <x v="2"/>
    <x v="16"/>
    <m/>
    <x v="0"/>
    <s v="ZI"/>
    <s v="26.04.2023"/>
    <s v="*FX1000+ Compra divisas 0100000004704"/>
    <s v="USD"/>
    <n v="7900005614"/>
    <s v="26.04.2023"/>
    <n v="-7546853"/>
    <n v="4486.6000000000004"/>
    <n v="50"/>
    <n v="-33859710670"/>
    <s v="COP"/>
    <d v="2023-04-26T00:00:00"/>
    <n v="4486.6000000000004"/>
    <n v="4486.6000000000004"/>
    <n v="0"/>
    <x v="0"/>
  </r>
  <r>
    <x v="2"/>
    <x v="16"/>
    <m/>
    <x v="0"/>
    <s v="ZI"/>
    <s v="26.04.2023"/>
    <s v="*FX2000- Venta divisas 0100000004704"/>
    <s v="COP"/>
    <n v="7900005615"/>
    <s v="26.04.2023"/>
    <n v="33859710670"/>
    <n v="1"/>
    <n v="40"/>
    <n v="33859710670"/>
    <s v="COP"/>
    <d v="2023-04-26T00:00:00"/>
    <n v="1"/>
    <n v="0"/>
    <n v="0"/>
    <x v="0"/>
  </r>
  <r>
    <x v="2"/>
    <x v="16"/>
    <m/>
    <x v="0"/>
    <s v="ZI"/>
    <s v="28.04.2023"/>
    <s v="*FX1000+ Compra divisas 0100000004705"/>
    <s v="COP"/>
    <n v="7900005598"/>
    <s v="28.04.2023"/>
    <n v="-38053335039"/>
    <n v="1"/>
    <n v="50"/>
    <n v="-38053335039"/>
    <s v="COP"/>
    <d v="2023-04-28T00:00:00"/>
    <n v="1"/>
    <n v="0"/>
    <n v="0"/>
    <x v="0"/>
  </r>
  <r>
    <x v="2"/>
    <x v="16"/>
    <m/>
    <x v="0"/>
    <s v="ZI"/>
    <s v="28.04.2023"/>
    <s v="*FX2000- Venta divisas 0100000004705"/>
    <s v="USD"/>
    <n v="7900005599"/>
    <s v="28.04.2023"/>
    <n v="8481552.8499999996"/>
    <n v="4486.6000000000004"/>
    <n v="40"/>
    <n v="38053335039"/>
    <s v="COP"/>
    <d v="2023-04-28T00:00:00"/>
    <n v="4486.6000000000004"/>
    <n v="4654.1400000000003"/>
    <n v="1420999364"/>
    <x v="2"/>
  </r>
  <r>
    <x v="2"/>
    <x v="16"/>
    <m/>
    <x v="1"/>
    <s v="MD"/>
    <s v="10.04.2023"/>
    <s v="LIQUIDACIÓN SWAP XCCY CITIBANK 1"/>
    <s v="COP"/>
    <n v="100019778"/>
    <s v="10.04.2023"/>
    <n v="-4358575576"/>
    <n v="1"/>
    <n v="50"/>
    <n v="-4358575576"/>
    <s v="COP"/>
    <d v="2023-04-10T00:00:00"/>
    <n v="1"/>
    <n v="0"/>
    <n v="0"/>
    <x v="0"/>
  </r>
  <r>
    <x v="2"/>
    <x v="16"/>
    <m/>
    <x v="1"/>
    <s v="MD"/>
    <s v="10.04.2023"/>
    <s v="LIQUIDACIÓN SWAP XCCY CITIBANK 2"/>
    <s v="COP"/>
    <n v="100019779"/>
    <s v="10.04.2023"/>
    <n v="-3923163800"/>
    <n v="1"/>
    <n v="50"/>
    <n v="-3923163800"/>
    <s v="COP"/>
    <d v="2023-04-10T00:00:00"/>
    <n v="1"/>
    <n v="0"/>
    <n v="0"/>
    <x v="0"/>
  </r>
  <r>
    <x v="2"/>
    <x v="16"/>
    <m/>
    <x v="1"/>
    <s v="MT"/>
    <s v="10.04.2023"/>
    <s v="COMPENSACION SWAP XCCY CITIBANK"/>
    <s v="COP"/>
    <n v="100022061"/>
    <s v="10.04.2023"/>
    <n v="8281739376"/>
    <n v="1"/>
    <n v="40"/>
    <n v="8281739376"/>
    <s v="COP"/>
    <d v="2023-04-10T00:00:00"/>
    <n v="1"/>
    <n v="0"/>
    <n v="0"/>
    <x v="0"/>
  </r>
  <r>
    <x v="2"/>
    <x v="16"/>
    <m/>
    <x v="1"/>
    <s v="TD"/>
    <s v="04.04.2023"/>
    <s v="*FX2001- Venta divisas 0400000000111"/>
    <s v="COP"/>
    <n v="7900005500"/>
    <s v="04.04.2023"/>
    <n v="-40931951263"/>
    <n v="1"/>
    <n v="50"/>
    <n v="-40931951263"/>
    <s v="COP"/>
    <d v="2023-04-04T00:00:00"/>
    <n v="1"/>
    <n v="0"/>
    <n v="0"/>
    <x v="0"/>
  </r>
  <r>
    <x v="2"/>
    <x v="16"/>
    <m/>
    <x v="1"/>
    <s v="TD"/>
    <s v="26.04.2023"/>
    <s v="*FX2001- Venta divisas 0400000000120"/>
    <s v="COP"/>
    <n v="7900005623"/>
    <s v="26.04.2023"/>
    <n v="-36011393929"/>
    <n v="1"/>
    <n v="50"/>
    <n v="-36011393929"/>
    <s v="COP"/>
    <d v="2023-04-26T00:00:00"/>
    <n v="1"/>
    <n v="0"/>
    <n v="0"/>
    <x v="0"/>
  </r>
  <r>
    <x v="2"/>
    <x v="16"/>
    <m/>
    <x v="1"/>
    <s v="ZD"/>
    <s v="10.04.2023"/>
    <s v="*CML1120 0001000003054"/>
    <s v="COP"/>
    <n v="7900005341"/>
    <s v="10.04.2023"/>
    <n v="-11906812837"/>
    <n v="1"/>
    <n v="50"/>
    <n v="-11906812837"/>
    <s v="COP"/>
    <d v="2023-04-10T00:00:00"/>
    <n v="1"/>
    <n v="0"/>
    <n v="0"/>
    <x v="0"/>
  </r>
  <r>
    <x v="2"/>
    <x v="16"/>
    <m/>
    <x v="1"/>
    <s v="ZD"/>
    <s v="11.04.2023"/>
    <s v="*CML1120 0001000003057"/>
    <s v="COP"/>
    <n v="7900005317"/>
    <s v="11.04.2023"/>
    <n v="-3162725135"/>
    <n v="1"/>
    <n v="50"/>
    <n v="-3162725135"/>
    <s v="COP"/>
    <d v="2023-04-11T00:00:00"/>
    <n v="1"/>
    <n v="0"/>
    <n v="0"/>
    <x v="0"/>
  </r>
  <r>
    <x v="2"/>
    <x v="16"/>
    <m/>
    <x v="1"/>
    <s v="ZD"/>
    <s v="11.04.2023"/>
    <s v="*CML1120 0001000003055"/>
    <s v="COP"/>
    <n v="7900005325"/>
    <s v="11.04.2023"/>
    <n v="-1739498824"/>
    <n v="1"/>
    <n v="50"/>
    <n v="-1739498824"/>
    <s v="COP"/>
    <d v="2023-04-11T00:00:00"/>
    <n v="1"/>
    <n v="0"/>
    <n v="0"/>
    <x v="0"/>
  </r>
  <r>
    <x v="2"/>
    <x v="16"/>
    <m/>
    <x v="1"/>
    <s v="ZD"/>
    <s v="13.04.2023"/>
    <s v="*CML1120 0001000003052"/>
    <s v="COP"/>
    <n v="7900005333"/>
    <s v="13.04.2023"/>
    <n v="-4568380000"/>
    <n v="1"/>
    <n v="50"/>
    <n v="-4568380000"/>
    <s v="COP"/>
    <d v="2023-04-13T00:00:00"/>
    <n v="1"/>
    <n v="0"/>
    <n v="0"/>
    <x v="0"/>
  </r>
  <r>
    <x v="2"/>
    <x v="16"/>
    <m/>
    <x v="1"/>
    <s v="ZI"/>
    <s v="04.04.2023"/>
    <s v="*FX2000- Venta divisas 0100000004692"/>
    <s v="COP"/>
    <n v="7900005519"/>
    <s v="04.04.2023"/>
    <n v="-17256895920"/>
    <n v="1"/>
    <n v="50"/>
    <n v="-17256895920"/>
    <s v="COP"/>
    <d v="2023-04-04T00:00:00"/>
    <n v="1"/>
    <n v="0"/>
    <n v="0"/>
    <x v="0"/>
  </r>
  <r>
    <x v="2"/>
    <x v="16"/>
    <m/>
    <x v="1"/>
    <s v="ZI"/>
    <s v="10.04.2023"/>
    <s v="*FX2000- Venta divisas 0100000004690"/>
    <s v="USD"/>
    <n v="7900005357"/>
    <s v="10.04.2023"/>
    <n v="-950137.57"/>
    <n v="4587.3100000000004"/>
    <n v="50"/>
    <n v="-4358575576"/>
    <s v="COP"/>
    <d v="2023-04-10T00:00:00"/>
    <n v="4587.3100000000004"/>
    <n v="4570.91"/>
    <n v="-15582256"/>
    <x v="1"/>
  </r>
  <r>
    <x v="2"/>
    <x v="16"/>
    <m/>
    <x v="1"/>
    <s v="ZI"/>
    <s v="10.04.2023"/>
    <s v="*FX2000- Venta divisas 0100000004691"/>
    <s v="USD"/>
    <n v="7900005365"/>
    <s v="10.04.2023"/>
    <n v="-855220.99"/>
    <n v="4587.3100000000004"/>
    <n v="50"/>
    <n v="-3923163800"/>
    <s v="COP"/>
    <d v="2023-04-10T00:00:00"/>
    <n v="4587.3100000000004"/>
    <n v="4570.91"/>
    <n v="-14025624"/>
    <x v="1"/>
  </r>
  <r>
    <x v="2"/>
    <x v="16"/>
    <m/>
    <x v="1"/>
    <s v="ZI"/>
    <s v="26.04.2023"/>
    <s v="*FX2000- Venta divisas 0100000004703"/>
    <s v="COP"/>
    <n v="7900005607"/>
    <s v="26.04.2023"/>
    <n v="-107600000008"/>
    <n v="1"/>
    <n v="50"/>
    <n v="-107600000008"/>
    <s v="COP"/>
    <d v="2023-04-26T00:00:00"/>
    <n v="1"/>
    <n v="0"/>
    <n v="0"/>
    <x v="0"/>
  </r>
  <r>
    <x v="2"/>
    <x v="16"/>
    <m/>
    <x v="1"/>
    <s v="ZI"/>
    <s v="28.04.2023"/>
    <s v="*FX2000- Venta divisas 0100000004705"/>
    <s v="USD"/>
    <n v="7900005599"/>
    <s v="28.04.2023"/>
    <n v="-8481552.8499999996"/>
    <n v="4486.6000000000004"/>
    <n v="50"/>
    <n v="-38053335039"/>
    <s v="COP"/>
    <d v="2023-04-28T00:00:00"/>
    <n v="4486.6000000000004"/>
    <n v="4654.1400000000003"/>
    <n v="1420999364"/>
    <x v="2"/>
  </r>
  <r>
    <x v="2"/>
    <x v="16"/>
    <m/>
    <x v="1"/>
    <s v="ZP"/>
    <s v="04.04.2023"/>
    <m/>
    <s v="COP"/>
    <n v="2000003433"/>
    <s v="04.04.2023"/>
    <n v="40931951263"/>
    <n v="1"/>
    <n v="40"/>
    <n v="40931951263"/>
    <s v="COP"/>
    <d v="2023-04-04T00:00:00"/>
    <n v="1"/>
    <n v="0"/>
    <n v="0"/>
    <x v="0"/>
  </r>
  <r>
    <x v="2"/>
    <x v="16"/>
    <m/>
    <x v="1"/>
    <s v="ZP"/>
    <s v="04.04.2023"/>
    <m/>
    <s v="COP"/>
    <n v="2000003579"/>
    <s v="04.04.2023"/>
    <n v="17256895920"/>
    <n v="1"/>
    <n v="40"/>
    <n v="17256895920"/>
    <s v="COP"/>
    <d v="2023-04-04T00:00:00"/>
    <n v="1"/>
    <n v="0"/>
    <n v="0"/>
    <x v="0"/>
  </r>
  <r>
    <x v="2"/>
    <x v="16"/>
    <m/>
    <x v="1"/>
    <s v="ZP"/>
    <s v="10.04.2023"/>
    <m/>
    <s v="COP"/>
    <n v="2000002975"/>
    <s v="10.04.2023"/>
    <n v="23861305618"/>
    <n v="1"/>
    <n v="40"/>
    <n v="23861305618"/>
    <s v="COP"/>
    <d v="2023-04-10T00:00:00"/>
    <n v="1"/>
    <n v="0"/>
    <n v="0"/>
    <x v="0"/>
  </r>
  <r>
    <x v="2"/>
    <x v="16"/>
    <m/>
    <x v="1"/>
    <s v="ZP"/>
    <s v="10.04.2023"/>
    <m/>
    <s v="USD"/>
    <n v="2000003024"/>
    <s v="10.04.2023"/>
    <n v="2006114.48"/>
    <n v="4570.91"/>
    <n v="40"/>
    <n v="9169768738"/>
    <s v="COP"/>
    <d v="2023-04-10T00:00:00"/>
    <n v="4570.91"/>
    <n v="4570.91"/>
    <n v="0"/>
    <x v="0"/>
  </r>
  <r>
    <x v="2"/>
    <x v="16"/>
    <m/>
    <x v="1"/>
    <s v="ZP"/>
    <s v="10.04.2023"/>
    <m/>
    <s v="USD"/>
    <n v="2000003033"/>
    <s v="10.04.2023"/>
    <n v="1805358.56"/>
    <n v="4587.3100000000004"/>
    <n v="40"/>
    <n v="8281739376"/>
    <s v="COP"/>
    <d v="2023-04-10T00:00:00"/>
    <n v="4587.3100000000004"/>
    <n v="4570.91"/>
    <n v="29607880"/>
    <x v="2"/>
  </r>
  <r>
    <x v="2"/>
    <x v="16"/>
    <m/>
    <x v="1"/>
    <s v="ZP"/>
    <s v="11.04.2023"/>
    <m/>
    <s v="COP"/>
    <n v="2000003034"/>
    <s v="11.04.2023"/>
    <n v="6205021604"/>
    <n v="1"/>
    <n v="40"/>
    <n v="6205021604"/>
    <s v="COP"/>
    <d v="2023-04-11T00:00:00"/>
    <n v="1"/>
    <n v="0"/>
    <n v="0"/>
    <x v="0"/>
  </r>
  <r>
    <x v="2"/>
    <x v="16"/>
    <m/>
    <x v="1"/>
    <s v="ZP"/>
    <s v="11.04.2023"/>
    <m/>
    <s v="COP"/>
    <n v="2000003035"/>
    <s v="11.04.2023"/>
    <n v="3412761882"/>
    <n v="1"/>
    <n v="40"/>
    <n v="3412761882"/>
    <s v="COP"/>
    <d v="2023-04-11T00:00:00"/>
    <n v="1"/>
    <n v="0"/>
    <n v="0"/>
    <x v="0"/>
  </r>
  <r>
    <x v="2"/>
    <x v="16"/>
    <m/>
    <x v="1"/>
    <s v="ZP"/>
    <s v="13.04.2023"/>
    <m/>
    <s v="COP"/>
    <n v="2000003098"/>
    <s v="13.04.2023"/>
    <n v="7120277739"/>
    <n v="1"/>
    <n v="40"/>
    <n v="7120277739"/>
    <s v="COP"/>
    <d v="2023-04-13T00:00:00"/>
    <n v="1"/>
    <n v="0"/>
    <n v="0"/>
    <x v="0"/>
  </r>
  <r>
    <x v="2"/>
    <x v="16"/>
    <m/>
    <x v="1"/>
    <s v="ZP"/>
    <s v="17.04.2023"/>
    <m/>
    <s v="COP"/>
    <n v="2000003339"/>
    <s v="17.04.2023"/>
    <n v="19445972814"/>
    <n v="1"/>
    <n v="40"/>
    <n v="19445972814"/>
    <s v="COP"/>
    <d v="2023-04-17T00:00:00"/>
    <n v="1"/>
    <n v="0"/>
    <n v="0"/>
    <x v="0"/>
  </r>
  <r>
    <x v="2"/>
    <x v="16"/>
    <m/>
    <x v="1"/>
    <s v="ZP"/>
    <s v="24.04.2023"/>
    <m/>
    <s v="COP"/>
    <n v="2000003578"/>
    <s v="24.04.2023"/>
    <n v="14065358904"/>
    <n v="1"/>
    <n v="40"/>
    <n v="14065358904"/>
    <s v="COP"/>
    <d v="2023-04-24T00:00:00"/>
    <n v="1"/>
    <n v="0"/>
    <n v="0"/>
    <x v="0"/>
  </r>
  <r>
    <x v="2"/>
    <x v="16"/>
    <m/>
    <x v="1"/>
    <s v="ZP"/>
    <s v="26.04.2023"/>
    <m/>
    <s v="COP"/>
    <n v="2000003721"/>
    <s v="26.04.2023"/>
    <n v="107600000008"/>
    <n v="1"/>
    <n v="40"/>
    <n v="107600000008"/>
    <s v="COP"/>
    <d v="2023-04-26T00:00:00"/>
    <n v="1"/>
    <n v="0"/>
    <n v="0"/>
    <x v="0"/>
  </r>
  <r>
    <x v="2"/>
    <x v="16"/>
    <m/>
    <x v="1"/>
    <s v="ZP"/>
    <s v="26.04.2023"/>
    <m/>
    <s v="COP"/>
    <n v="2000003722"/>
    <s v="26.04.2023"/>
    <n v="36011393929"/>
    <n v="1"/>
    <n v="40"/>
    <n v="36011393929"/>
    <s v="COP"/>
    <d v="2023-04-26T00:00:00"/>
    <n v="1"/>
    <n v="0"/>
    <n v="0"/>
    <x v="0"/>
  </r>
  <r>
    <x v="2"/>
    <x v="16"/>
    <m/>
    <x v="1"/>
    <s v="ZP"/>
    <s v="28.04.2023"/>
    <m/>
    <s v="USD"/>
    <n v="2000003719"/>
    <s v="28.04.2023"/>
    <n v="8481552.8499999996"/>
    <n v="4486.6000000000004"/>
    <n v="40"/>
    <n v="38053335039"/>
    <s v="COP"/>
    <d v="2023-04-28T00:00:00"/>
    <n v="4486.6000000000004"/>
    <n v="4654.1400000000003"/>
    <n v="-1420999364"/>
    <x v="1"/>
  </r>
  <r>
    <x v="2"/>
    <x v="16"/>
    <m/>
    <x v="1"/>
    <s v="ZS"/>
    <s v="10.04.2023"/>
    <s v="*CML1110 0001000003054"/>
    <s v="COP"/>
    <n v="7900005340"/>
    <s v="10.04.2023"/>
    <n v="-11954492781"/>
    <n v="1"/>
    <n v="50"/>
    <n v="-11954492781"/>
    <s v="COP"/>
    <d v="2023-04-10T00:00:00"/>
    <n v="1"/>
    <n v="0"/>
    <n v="0"/>
    <x v="0"/>
  </r>
  <r>
    <x v="2"/>
    <x v="16"/>
    <m/>
    <x v="1"/>
    <s v="ZS"/>
    <s v="10.04.2023"/>
    <s v="*CML1110 0001000004151"/>
    <s v="USD"/>
    <n v="7900005348"/>
    <s v="10.04.2023"/>
    <n v="-1155313.23"/>
    <n v="4570.91"/>
    <n v="50"/>
    <n v="-5280832796"/>
    <s v="COP"/>
    <d v="2023-04-10T00:00:00"/>
    <n v="4570.91"/>
    <n v="4570.91"/>
    <n v="0"/>
    <x v="0"/>
  </r>
  <r>
    <x v="2"/>
    <x v="16"/>
    <m/>
    <x v="1"/>
    <s v="ZS"/>
    <s v="10.04.2023"/>
    <s v="*CML1110 0001000004253"/>
    <s v="USD"/>
    <n v="7900005349"/>
    <s v="10.04.2023"/>
    <n v="-850801.25"/>
    <n v="4570.91"/>
    <n v="50"/>
    <n v="-3888935942"/>
    <s v="COP"/>
    <d v="2023-04-10T00:00:00"/>
    <n v="4570.91"/>
    <n v="4570.91"/>
    <n v="0"/>
    <x v="0"/>
  </r>
  <r>
    <x v="2"/>
    <x v="16"/>
    <m/>
    <x v="1"/>
    <s v="ZS"/>
    <s v="11.04.2023"/>
    <s v="*CML1110 0001000003057"/>
    <s v="COP"/>
    <n v="7900005316"/>
    <s v="11.04.2023"/>
    <n v="-3042296469"/>
    <n v="1"/>
    <n v="50"/>
    <n v="-3042296469"/>
    <s v="COP"/>
    <d v="2023-04-11T00:00:00"/>
    <n v="1"/>
    <n v="0"/>
    <n v="0"/>
    <x v="0"/>
  </r>
  <r>
    <x v="2"/>
    <x v="16"/>
    <m/>
    <x v="1"/>
    <s v="ZS"/>
    <s v="11.04.2023"/>
    <s v="*CML1110 0001000003055"/>
    <s v="COP"/>
    <n v="7900005324"/>
    <s v="11.04.2023"/>
    <n v="-1673263058"/>
    <n v="1"/>
    <n v="50"/>
    <n v="-1673263058"/>
    <s v="COP"/>
    <d v="2023-04-11T00:00:00"/>
    <n v="1"/>
    <n v="0"/>
    <n v="0"/>
    <x v="0"/>
  </r>
  <r>
    <x v="2"/>
    <x v="16"/>
    <m/>
    <x v="1"/>
    <s v="ZS"/>
    <s v="13.04.2023"/>
    <s v="*CML1110 0001000003052"/>
    <s v="COP"/>
    <n v="7900005332"/>
    <s v="13.04.2023"/>
    <n v="-2551897739"/>
    <n v="1"/>
    <n v="50"/>
    <n v="-2551897739"/>
    <s v="COP"/>
    <d v="2023-04-13T00:00:00"/>
    <n v="1"/>
    <n v="0"/>
    <n v="0"/>
    <x v="0"/>
  </r>
  <r>
    <x v="2"/>
    <x v="16"/>
    <m/>
    <x v="1"/>
    <s v="ZS"/>
    <s v="17.04.2023"/>
    <s v="*CML1110 0001000003050"/>
    <s v="COP"/>
    <n v="7900005443"/>
    <s v="17.04.2023"/>
    <n v="-18005081927"/>
    <n v="1"/>
    <n v="50"/>
    <n v="-18005081927"/>
    <s v="COP"/>
    <d v="2023-04-17T00:00:00"/>
    <n v="1"/>
    <n v="0"/>
    <n v="0"/>
    <x v="0"/>
  </r>
  <r>
    <x v="2"/>
    <x v="16"/>
    <m/>
    <x v="1"/>
    <s v="ZS"/>
    <s v="17.04.2023"/>
    <s v="*CMLZ011 0001000003050"/>
    <s v="COP"/>
    <n v="7900005444"/>
    <s v="17.04.2023"/>
    <n v="-1440890887"/>
    <n v="1"/>
    <n v="50"/>
    <n v="-1440890887"/>
    <s v="COP"/>
    <d v="2023-04-17T00:00:00"/>
    <n v="1"/>
    <n v="0"/>
    <n v="0"/>
    <x v="0"/>
  </r>
  <r>
    <x v="2"/>
    <x v="16"/>
    <m/>
    <x v="1"/>
    <s v="ZS"/>
    <s v="24.04.2023"/>
    <s v="*CML1110 0001000003550"/>
    <s v="COP"/>
    <n v="7900005532"/>
    <s v="24.04.2023"/>
    <n v="-14065358904"/>
    <n v="1"/>
    <n v="50"/>
    <n v="-14065358904"/>
    <s v="COP"/>
    <d v="2023-04-24T00:00:00"/>
    <n v="1"/>
    <n v="0"/>
    <n v="0"/>
    <x v="0"/>
  </r>
  <r>
    <x v="1"/>
    <x v="3"/>
    <m/>
    <x v="2"/>
    <m/>
    <m/>
    <m/>
    <m/>
    <m/>
    <m/>
    <m/>
    <m/>
    <m/>
    <m/>
    <m/>
    <m/>
    <m/>
    <m/>
    <m/>
    <x v="4"/>
  </r>
  <r>
    <x v="1"/>
    <x v="3"/>
    <m/>
    <x v="2"/>
    <m/>
    <m/>
    <m/>
    <m/>
    <m/>
    <m/>
    <m/>
    <m/>
    <m/>
    <m/>
    <m/>
    <m/>
    <m/>
    <m/>
    <m/>
    <x v="4"/>
  </r>
  <r>
    <x v="1"/>
    <x v="3"/>
    <m/>
    <x v="2"/>
    <m/>
    <m/>
    <m/>
    <m/>
    <m/>
    <m/>
    <m/>
    <m/>
    <m/>
    <m/>
    <m/>
    <m/>
    <m/>
    <m/>
    <m/>
    <x v="4"/>
  </r>
  <r>
    <x v="1"/>
    <x v="3"/>
    <m/>
    <x v="2"/>
    <m/>
    <m/>
    <m/>
    <m/>
    <m/>
    <m/>
    <m/>
    <m/>
    <m/>
    <m/>
    <m/>
    <m/>
    <m/>
    <m/>
    <m/>
    <x v="4"/>
  </r>
  <r>
    <x v="1"/>
    <x v="3"/>
    <m/>
    <x v="2"/>
    <m/>
    <m/>
    <m/>
    <m/>
    <m/>
    <m/>
    <m/>
    <m/>
    <m/>
    <m/>
    <m/>
    <m/>
    <m/>
    <m/>
    <m/>
    <x v="4"/>
  </r>
  <r>
    <x v="1"/>
    <x v="3"/>
    <m/>
    <x v="2"/>
    <m/>
    <m/>
    <m/>
    <m/>
    <m/>
    <m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C8978-FF02-4112-81BB-696ACD873E2F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F10" firstHeaderRow="1" firstDataRow="2" firstDataCol="1" rowPageCount="2" colPageCount="1"/>
  <pivotFields count="20">
    <pivotField axis="axisPage" showAll="0">
      <items count="4">
        <item x="0"/>
        <item x="2"/>
        <item x="1"/>
        <item t="default"/>
      </items>
    </pivotField>
    <pivotField axis="axisCol" showAll="0">
      <items count="18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3"/>
        <item x="14"/>
        <item x="15"/>
        <item x="16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1"/>
        <item x="2"/>
        <item x="0"/>
        <item x="3"/>
        <item x="4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5">
    <i>
      <x v="12"/>
    </i>
    <i>
      <x v="14"/>
    </i>
    <i>
      <x v="15"/>
    </i>
    <i>
      <x v="16"/>
    </i>
    <i t="grand">
      <x/>
    </i>
  </colItems>
  <pageFields count="2">
    <pageField fld="0" item="1" hier="-1"/>
    <pageField fld="3" item="0" hier="-1"/>
  </pageFields>
  <dataFields count="1">
    <dataField name="Suma de Diferencia en Cambio" fld="18" baseField="0" baseItem="0" numFmtId="241"/>
  </dataFields>
  <formats count="2">
    <format dxfId="1">
      <pivotArea collapsedLevelsAreSubtotals="1" fieldPosition="0">
        <references count="2">
          <reference field="1" count="1" selected="0">
            <x v="12"/>
          </reference>
          <reference field="19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520" dT="2022-08-01T21:03:32.71" personId="{35C088AE-5AC8-45C0-B611-76C9EE10E088}" id="{97793100-A830-414E-BFFF-92F2CA2C509C}">
    <text>Anticipo 20/13525 de 2018 por USD $1.415 fue compensado en COP$ 4.522.765. Genera diferncia respecto a SAP saldo solo COP.</text>
  </threadedComment>
  <threadedComment ref="V2245" dT="2023-02-02T05:20:25.38" personId="{ED3EB066-9E2B-4FB9-8205-2AA583181518}" id="{E301506C-10F5-4952-BBBB-52A40EB26A6F}">
    <text>Documento 51/4170 fue compensado en pesos por Docmento 15/10285 por COP$ 1.156.931.328. No generó diferencia en cambio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70" dT="2023-04-03T15:18:05.18" personId="{ED3EB066-9E2B-4FB9-8205-2AA583181518}" id="{87708BC1-C294-4727-ADF9-E5FEA4EE79D5}">
    <text>Traer aquí los valores reclasificados al ORI desde la cuenta 4806011000 con documento MG</text>
  </threadedComment>
  <threadedComment ref="L72" dT="2023-05-03T04:11:31.02" personId="{ED3EB066-9E2B-4FB9-8205-2AA583181518}" id="{8768AEA4-1879-4A71-95BB-A3D18C9D83B0}">
    <text>Doc SAP 7000000251 $216.820 reaclasificacion diferencia en cambio por Nohemy Muñoz</text>
  </threadedComment>
  <threadedComment ref="L83" dT="2023-05-03T04:23:09.94" personId="{ED3EB066-9E2B-4FB9-8205-2AA583181518}" id="{8C37462F-E5A3-416A-9F51-E5B8D9BB2C88}">
    <text>1. Doc SAP 100025056 $778.084.440 BNP Paribas USD$ 6.684.000 Traslado al JPM
2. Doc SAP 100024991 $9.140 BNP Paribas USD$ 37,50 Comisiones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1598B-0F61-4B75-B817-5155F91F9145}">
  <sheetPr codeName="Hoja1"/>
  <dimension ref="A1:AI2392"/>
  <sheetViews>
    <sheetView zoomScale="80" zoomScaleNormal="80" workbookViewId="0">
      <pane xSplit="1" ySplit="4" topLeftCell="B2303" activePane="bottomRight" state="frozen"/>
      <selection pane="topRight" activeCell="B1" sqref="B1"/>
      <selection pane="bottomLeft" activeCell="A3" sqref="A3"/>
      <selection pane="bottomRight" activeCell="B2323" sqref="B2323:G2328"/>
    </sheetView>
  </sheetViews>
  <sheetFormatPr baseColWidth="10" defaultRowHeight="15" outlineLevelRow="1"/>
  <cols>
    <col min="1" max="1" width="14.140625" customWidth="1"/>
    <col min="7" max="7" width="11.42578125" style="1856"/>
    <col min="8" max="8" width="3" style="1857" customWidth="1"/>
    <col min="14" max="14" width="10.28515625" customWidth="1"/>
    <col min="15" max="15" width="3.42578125" style="1857" customWidth="1"/>
    <col min="21" max="21" width="5.140625" bestFit="1" customWidth="1"/>
    <col min="22" max="22" width="4.140625" style="1857" customWidth="1"/>
    <col min="23" max="23" width="8" customWidth="1"/>
    <col min="24" max="24" width="9.85546875" customWidth="1"/>
    <col min="25" max="25" width="8.85546875" customWidth="1"/>
  </cols>
  <sheetData>
    <row r="1" spans="1:22" s="1968" customFormat="1">
      <c r="A1" s="1968">
        <v>1</v>
      </c>
      <c r="B1" s="1968">
        <v>2</v>
      </c>
      <c r="C1" s="1968">
        <v>3</v>
      </c>
      <c r="D1" s="1968">
        <v>4</v>
      </c>
      <c r="E1" s="1968">
        <v>5</v>
      </c>
      <c r="F1" s="1968">
        <v>6</v>
      </c>
      <c r="G1" s="1968">
        <v>7</v>
      </c>
      <c r="H1" s="1968">
        <v>8</v>
      </c>
      <c r="I1" s="1968">
        <v>9</v>
      </c>
      <c r="J1" s="1968">
        <v>10</v>
      </c>
      <c r="K1" s="1968">
        <v>11</v>
      </c>
      <c r="L1" s="1968">
        <v>12</v>
      </c>
      <c r="M1" s="1968">
        <v>13</v>
      </c>
      <c r="N1" s="1968">
        <v>14</v>
      </c>
      <c r="O1" s="1968">
        <v>15</v>
      </c>
      <c r="P1" s="1968">
        <v>16</v>
      </c>
      <c r="Q1" s="1968">
        <v>17</v>
      </c>
      <c r="R1" s="1968">
        <v>18</v>
      </c>
      <c r="S1" s="1968">
        <v>19</v>
      </c>
      <c r="T1" s="1968">
        <v>20</v>
      </c>
      <c r="U1" s="1968">
        <v>21</v>
      </c>
      <c r="V1" s="1968">
        <v>22</v>
      </c>
    </row>
    <row r="2" spans="1:22">
      <c r="A2" t="s">
        <v>1220</v>
      </c>
      <c r="C2" s="1855" t="s">
        <v>1221</v>
      </c>
    </row>
    <row r="3" spans="1:22">
      <c r="B3" s="1858" t="s">
        <v>1222</v>
      </c>
      <c r="I3" s="1859" t="s">
        <v>1223</v>
      </c>
      <c r="P3" s="1722" t="s">
        <v>1224</v>
      </c>
    </row>
    <row r="4" spans="1:22">
      <c r="B4" t="s">
        <v>156</v>
      </c>
      <c r="C4" t="s">
        <v>206</v>
      </c>
      <c r="D4" t="s">
        <v>1225</v>
      </c>
      <c r="E4" t="s">
        <v>291</v>
      </c>
      <c r="F4" t="s">
        <v>1226</v>
      </c>
      <c r="G4" s="1856" t="s">
        <v>64</v>
      </c>
      <c r="I4" t="s">
        <v>156</v>
      </c>
      <c r="J4" t="s">
        <v>206</v>
      </c>
      <c r="K4" t="s">
        <v>1225</v>
      </c>
      <c r="L4" t="s">
        <v>291</v>
      </c>
      <c r="M4" t="s">
        <v>1226</v>
      </c>
      <c r="N4" t="s">
        <v>64</v>
      </c>
      <c r="P4" t="s">
        <v>156</v>
      </c>
      <c r="Q4" t="s">
        <v>206</v>
      </c>
      <c r="R4" t="s">
        <v>1225</v>
      </c>
      <c r="S4" t="s">
        <v>291</v>
      </c>
      <c r="T4" t="s">
        <v>1226</v>
      </c>
      <c r="U4" t="s">
        <v>64</v>
      </c>
    </row>
    <row r="5" spans="1:22" hidden="1" outlineLevel="1">
      <c r="A5" s="8">
        <v>42736</v>
      </c>
      <c r="B5" s="1860">
        <v>2237.5824899999998</v>
      </c>
      <c r="C5" s="1860">
        <v>2952.4376400000001</v>
      </c>
      <c r="D5" s="1860">
        <v>3164.9988699999999</v>
      </c>
      <c r="E5" s="1860">
        <v>3707.8273100000001</v>
      </c>
      <c r="F5">
        <v>25.727350000000001</v>
      </c>
      <c r="G5" s="1861">
        <v>3000.71</v>
      </c>
      <c r="I5">
        <v>0.74568000000000001</v>
      </c>
      <c r="J5">
        <v>0.98390999999999995</v>
      </c>
      <c r="K5">
        <v>1.0547500000000001</v>
      </c>
      <c r="L5">
        <v>1.2356499999999999</v>
      </c>
      <c r="M5">
        <v>8.5699999999999995E-3</v>
      </c>
      <c r="N5">
        <v>1</v>
      </c>
      <c r="P5">
        <v>1.3410500000000001</v>
      </c>
      <c r="Q5">
        <v>1.0163500000000001</v>
      </c>
      <c r="R5">
        <v>0.94808999999999999</v>
      </c>
      <c r="S5">
        <v>0.80928999999999995</v>
      </c>
      <c r="T5">
        <v>116.63500000000001</v>
      </c>
      <c r="U5">
        <v>1</v>
      </c>
    </row>
    <row r="6" spans="1:22" hidden="1" outlineLevel="1">
      <c r="A6" s="8">
        <v>42737</v>
      </c>
      <c r="B6" s="1860">
        <v>2237.5824899999998</v>
      </c>
      <c r="C6" s="1860">
        <v>2952.4376400000001</v>
      </c>
      <c r="D6" s="1860">
        <v>3164.9988699999999</v>
      </c>
      <c r="E6" s="1860">
        <v>3707.8273100000001</v>
      </c>
      <c r="F6">
        <v>25.727350000000001</v>
      </c>
      <c r="G6" s="1861">
        <v>3000.71</v>
      </c>
      <c r="I6">
        <v>0.74568000000000001</v>
      </c>
      <c r="J6">
        <v>0.98390999999999995</v>
      </c>
      <c r="K6">
        <v>1.0547500000000001</v>
      </c>
      <c r="L6">
        <v>1.2356499999999999</v>
      </c>
      <c r="M6">
        <v>8.5699999999999995E-3</v>
      </c>
      <c r="N6">
        <v>1</v>
      </c>
      <c r="P6">
        <v>1.3410500000000001</v>
      </c>
      <c r="Q6">
        <v>1.0163500000000001</v>
      </c>
      <c r="R6">
        <v>0.94808999999999999</v>
      </c>
      <c r="S6">
        <v>0.80928999999999995</v>
      </c>
      <c r="T6">
        <v>116.63500000000001</v>
      </c>
      <c r="U6">
        <v>1</v>
      </c>
    </row>
    <row r="7" spans="1:22" hidden="1" outlineLevel="1">
      <c r="A7" s="8">
        <v>42738</v>
      </c>
      <c r="B7" s="1860">
        <v>2237.2488400000002</v>
      </c>
      <c r="C7" s="1860">
        <v>2916.28359</v>
      </c>
      <c r="D7" s="1860">
        <v>3115.9372600000002</v>
      </c>
      <c r="E7" s="1860">
        <v>3673.1691099999998</v>
      </c>
      <c r="F7">
        <v>25.42436</v>
      </c>
      <c r="G7" s="1861">
        <v>3000.71</v>
      </c>
      <c r="I7">
        <v>0.74556999999999995</v>
      </c>
      <c r="J7">
        <v>0.97185999999999995</v>
      </c>
      <c r="K7">
        <v>1.0384</v>
      </c>
      <c r="L7">
        <v>1.2241</v>
      </c>
      <c r="M7">
        <v>8.4700000000000001E-3</v>
      </c>
      <c r="N7">
        <v>1</v>
      </c>
      <c r="P7">
        <v>1.3412500000000001</v>
      </c>
      <c r="Q7">
        <v>1.02895</v>
      </c>
      <c r="R7">
        <v>0.96301999999999999</v>
      </c>
      <c r="S7">
        <v>0.81693000000000005</v>
      </c>
      <c r="T7">
        <v>118.02500000000001</v>
      </c>
      <c r="U7">
        <v>1</v>
      </c>
    </row>
    <row r="8" spans="1:22" hidden="1" outlineLevel="1">
      <c r="A8" s="8">
        <v>42739</v>
      </c>
      <c r="B8" s="1860">
        <v>2242.5787999999998</v>
      </c>
      <c r="C8" s="1860">
        <v>2911.9023200000001</v>
      </c>
      <c r="D8" s="1860">
        <v>3122.8094000000001</v>
      </c>
      <c r="E8" s="1860">
        <v>3666.1075900000001</v>
      </c>
      <c r="F8">
        <v>25.4194</v>
      </c>
      <c r="G8" s="1861">
        <v>2981.06</v>
      </c>
      <c r="I8">
        <v>0.75227999999999995</v>
      </c>
      <c r="J8">
        <v>0.9768</v>
      </c>
      <c r="K8">
        <v>1.04755</v>
      </c>
      <c r="L8">
        <v>1.2298</v>
      </c>
      <c r="M8">
        <v>8.5299999999999994E-3</v>
      </c>
      <c r="N8">
        <v>1</v>
      </c>
      <c r="P8">
        <v>1.3292999999999999</v>
      </c>
      <c r="Q8">
        <v>1.0237499999999999</v>
      </c>
      <c r="R8">
        <v>0.95460999999999996</v>
      </c>
      <c r="S8">
        <v>0.81313999999999997</v>
      </c>
      <c r="T8">
        <v>117.27500000000001</v>
      </c>
      <c r="U8">
        <v>1</v>
      </c>
    </row>
    <row r="9" spans="1:22" hidden="1" outlineLevel="1">
      <c r="A9" s="8">
        <v>42740</v>
      </c>
      <c r="B9" s="1860">
        <v>2245.0391800000002</v>
      </c>
      <c r="C9" s="1860">
        <v>2935.7093399999999</v>
      </c>
      <c r="D9" s="1860">
        <v>3143.4298699999999</v>
      </c>
      <c r="E9" s="1860">
        <v>3682.6805800000002</v>
      </c>
      <c r="F9">
        <v>25.665220000000001</v>
      </c>
      <c r="G9" s="1861">
        <v>2965.36</v>
      </c>
      <c r="I9">
        <v>0.75709000000000004</v>
      </c>
      <c r="J9">
        <v>0.99</v>
      </c>
      <c r="K9">
        <v>1.0600499999999999</v>
      </c>
      <c r="L9">
        <v>1.2419</v>
      </c>
      <c r="M9">
        <v>8.6599999999999993E-3</v>
      </c>
      <c r="N9">
        <v>1</v>
      </c>
      <c r="P9">
        <v>1.3208500000000001</v>
      </c>
      <c r="Q9">
        <v>1.0101</v>
      </c>
      <c r="R9">
        <v>0.94335000000000002</v>
      </c>
      <c r="S9">
        <v>0.80522000000000005</v>
      </c>
      <c r="T9">
        <v>115.54</v>
      </c>
      <c r="U9">
        <v>1</v>
      </c>
    </row>
    <row r="10" spans="1:22" hidden="1" outlineLevel="1">
      <c r="A10" s="8">
        <v>42741</v>
      </c>
      <c r="B10" s="1860">
        <v>2226.7413700000002</v>
      </c>
      <c r="C10" s="1860">
        <v>2901.6179999999999</v>
      </c>
      <c r="D10" s="1860">
        <v>3110.9273699999999</v>
      </c>
      <c r="E10" s="1860">
        <v>3623.11645</v>
      </c>
      <c r="F10">
        <v>25.249659999999999</v>
      </c>
      <c r="G10" s="1861">
        <v>2941.08</v>
      </c>
      <c r="I10">
        <v>0.75712000000000002</v>
      </c>
      <c r="J10">
        <v>0.98658000000000001</v>
      </c>
      <c r="K10">
        <v>1.05775</v>
      </c>
      <c r="L10">
        <v>1.2319</v>
      </c>
      <c r="M10">
        <v>8.5900000000000004E-3</v>
      </c>
      <c r="N10">
        <v>1</v>
      </c>
      <c r="P10">
        <v>1.3208</v>
      </c>
      <c r="Q10">
        <v>1.0136000000000001</v>
      </c>
      <c r="R10">
        <v>0.94540000000000002</v>
      </c>
      <c r="S10">
        <v>0.81174999999999997</v>
      </c>
      <c r="T10">
        <v>116.48</v>
      </c>
      <c r="U10">
        <v>1</v>
      </c>
    </row>
    <row r="11" spans="1:22" hidden="1" outlineLevel="1">
      <c r="A11" s="8">
        <v>42742</v>
      </c>
      <c r="B11" s="1860">
        <v>2210.0318000000002</v>
      </c>
      <c r="C11" s="1860">
        <v>2879.8441200000002</v>
      </c>
      <c r="D11" s="1860">
        <v>3087.5828299999998</v>
      </c>
      <c r="E11" s="1860">
        <v>3595.9284200000002</v>
      </c>
      <c r="F11">
        <v>25.060179999999999</v>
      </c>
      <c r="G11" s="1861">
        <v>2919.01</v>
      </c>
      <c r="I11">
        <v>0.75712000000000002</v>
      </c>
      <c r="J11">
        <v>0.98658000000000001</v>
      </c>
      <c r="K11">
        <v>1.05775</v>
      </c>
      <c r="L11">
        <v>1.2319</v>
      </c>
      <c r="M11">
        <v>8.5900000000000004E-3</v>
      </c>
      <c r="N11">
        <v>1</v>
      </c>
      <c r="P11">
        <v>1.3208</v>
      </c>
      <c r="Q11">
        <v>1.0136000000000001</v>
      </c>
      <c r="R11">
        <v>0.94540000000000002</v>
      </c>
      <c r="S11">
        <v>0.81174999999999997</v>
      </c>
      <c r="T11">
        <v>116.48</v>
      </c>
      <c r="U11">
        <v>1</v>
      </c>
    </row>
    <row r="12" spans="1:22" hidden="1" outlineLevel="1">
      <c r="A12" s="8">
        <v>42743</v>
      </c>
      <c r="B12" s="1860">
        <v>2210.0318000000002</v>
      </c>
      <c r="C12" s="1860">
        <v>2879.8441200000002</v>
      </c>
      <c r="D12" s="1860">
        <v>3087.5828299999998</v>
      </c>
      <c r="E12" s="1860">
        <v>3595.9284200000002</v>
      </c>
      <c r="F12">
        <v>25.060179999999999</v>
      </c>
      <c r="G12" s="1861">
        <v>2919.01</v>
      </c>
      <c r="I12">
        <v>0.75712000000000002</v>
      </c>
      <c r="J12">
        <v>0.98658000000000001</v>
      </c>
      <c r="K12">
        <v>1.05775</v>
      </c>
      <c r="L12">
        <v>1.2319</v>
      </c>
      <c r="M12">
        <v>8.5900000000000004E-3</v>
      </c>
      <c r="N12">
        <v>1</v>
      </c>
      <c r="P12">
        <v>1.3208</v>
      </c>
      <c r="Q12">
        <v>1.0136000000000001</v>
      </c>
      <c r="R12">
        <v>0.94540000000000002</v>
      </c>
      <c r="S12">
        <v>0.81174999999999997</v>
      </c>
      <c r="T12">
        <v>116.48</v>
      </c>
      <c r="U12">
        <v>1</v>
      </c>
    </row>
    <row r="13" spans="1:22" hidden="1" outlineLevel="1">
      <c r="A13" s="8">
        <v>42744</v>
      </c>
      <c r="B13" s="1860">
        <v>2209.1118900000001</v>
      </c>
      <c r="C13" s="1860">
        <v>2871.34566</v>
      </c>
      <c r="D13" s="1860">
        <v>3081.1610099999998</v>
      </c>
      <c r="E13" s="1860">
        <v>3544.8457400000002</v>
      </c>
      <c r="F13">
        <v>25.063410000000001</v>
      </c>
      <c r="G13" s="1861">
        <v>2919.01</v>
      </c>
      <c r="I13">
        <v>0.75680000000000003</v>
      </c>
      <c r="J13">
        <v>0.98367000000000004</v>
      </c>
      <c r="K13">
        <v>1.05555</v>
      </c>
      <c r="L13">
        <v>1.2143999999999999</v>
      </c>
      <c r="M13">
        <v>8.5900000000000004E-3</v>
      </c>
      <c r="N13">
        <v>1</v>
      </c>
      <c r="P13">
        <v>1.32135</v>
      </c>
      <c r="Q13">
        <v>1.0165999999999999</v>
      </c>
      <c r="R13">
        <v>0.94737000000000005</v>
      </c>
      <c r="S13">
        <v>0.82345000000000002</v>
      </c>
      <c r="T13">
        <v>116.465</v>
      </c>
      <c r="U13">
        <v>1</v>
      </c>
    </row>
    <row r="14" spans="1:22" hidden="1" outlineLevel="1">
      <c r="A14" s="8">
        <v>42745</v>
      </c>
      <c r="B14" s="1860">
        <v>2210.8687399999999</v>
      </c>
      <c r="C14" s="1860">
        <v>2879.5600300000001</v>
      </c>
      <c r="D14" s="1860">
        <v>3091.8153900000002</v>
      </c>
      <c r="E14" s="1860">
        <v>3555.64608</v>
      </c>
      <c r="F14">
        <v>25.287040000000001</v>
      </c>
      <c r="G14" s="1861">
        <v>2919.01</v>
      </c>
      <c r="I14">
        <v>0.75739999999999996</v>
      </c>
      <c r="J14">
        <v>0.98648999999999998</v>
      </c>
      <c r="K14">
        <v>1.0591999999999999</v>
      </c>
      <c r="L14">
        <v>1.2181</v>
      </c>
      <c r="M14">
        <v>8.6599999999999993E-3</v>
      </c>
      <c r="N14">
        <v>1</v>
      </c>
      <c r="P14">
        <v>1.3203</v>
      </c>
      <c r="Q14">
        <v>1.0137</v>
      </c>
      <c r="R14">
        <v>0.94411</v>
      </c>
      <c r="S14">
        <v>0.82094999999999996</v>
      </c>
      <c r="T14">
        <v>115.435</v>
      </c>
      <c r="U14">
        <v>1</v>
      </c>
    </row>
    <row r="15" spans="1:22" hidden="1" outlineLevel="1">
      <c r="A15" s="8">
        <v>42746</v>
      </c>
      <c r="B15" s="1860">
        <v>2224.4343899999999</v>
      </c>
      <c r="C15" s="1860">
        <v>2881.5943699999998</v>
      </c>
      <c r="D15" s="1860">
        <v>3087.7887599999999</v>
      </c>
      <c r="E15" s="1860">
        <v>3558.9873600000001</v>
      </c>
      <c r="F15">
        <v>25.28265</v>
      </c>
      <c r="G15" s="1861">
        <v>2949.6</v>
      </c>
      <c r="I15">
        <v>0.75414999999999999</v>
      </c>
      <c r="J15">
        <v>0.97694000000000003</v>
      </c>
      <c r="K15">
        <v>1.0468500000000001</v>
      </c>
      <c r="L15">
        <v>1.2065999999999999</v>
      </c>
      <c r="M15">
        <v>8.5699999999999995E-3</v>
      </c>
      <c r="N15">
        <v>1</v>
      </c>
      <c r="P15">
        <v>1.3260000000000001</v>
      </c>
      <c r="Q15">
        <v>1.0236000000000001</v>
      </c>
      <c r="R15">
        <v>0.95525000000000004</v>
      </c>
      <c r="S15">
        <v>0.82877999999999996</v>
      </c>
      <c r="T15">
        <v>116.66500000000001</v>
      </c>
      <c r="U15">
        <v>1</v>
      </c>
    </row>
    <row r="16" spans="1:22" hidden="1" outlineLevel="1">
      <c r="A16" s="8">
        <v>42747</v>
      </c>
      <c r="B16" s="1860">
        <v>2268.3205200000002</v>
      </c>
      <c r="C16" s="1860">
        <v>2956.8495200000002</v>
      </c>
      <c r="D16" s="1860">
        <v>3175.59528</v>
      </c>
      <c r="E16" s="1860">
        <v>3642.2395200000001</v>
      </c>
      <c r="F16">
        <v>26.141639999999999</v>
      </c>
      <c r="G16" s="1861">
        <v>2980.8</v>
      </c>
      <c r="I16">
        <v>0.76097999999999999</v>
      </c>
      <c r="J16">
        <v>0.99197000000000002</v>
      </c>
      <c r="K16">
        <v>1.06535</v>
      </c>
      <c r="L16">
        <v>1.2219</v>
      </c>
      <c r="M16">
        <v>8.77E-3</v>
      </c>
      <c r="N16">
        <v>1</v>
      </c>
      <c r="P16">
        <v>1.3141</v>
      </c>
      <c r="Q16">
        <v>1.0081</v>
      </c>
      <c r="R16">
        <v>0.93866000000000005</v>
      </c>
      <c r="S16">
        <v>0.81840000000000002</v>
      </c>
      <c r="T16">
        <v>114.02500000000001</v>
      </c>
      <c r="U16">
        <v>1</v>
      </c>
    </row>
    <row r="17" spans="1:21" hidden="1" outlineLevel="1">
      <c r="A17" s="8">
        <v>42748</v>
      </c>
      <c r="B17" s="1860">
        <v>2232.8659600000001</v>
      </c>
      <c r="C17" s="1860">
        <v>2901.6091500000002</v>
      </c>
      <c r="D17" s="1860">
        <v>3113.3268800000001</v>
      </c>
      <c r="E17" s="1860">
        <v>3568.2388700000001</v>
      </c>
      <c r="F17">
        <v>25.476590000000002</v>
      </c>
      <c r="G17" s="1861">
        <v>2930.19</v>
      </c>
      <c r="I17">
        <v>0.76202000000000003</v>
      </c>
      <c r="J17">
        <v>0.99024999999999996</v>
      </c>
      <c r="K17">
        <v>1.0625</v>
      </c>
      <c r="L17">
        <v>1.2177500000000001</v>
      </c>
      <c r="M17">
        <v>8.6899999999999998E-3</v>
      </c>
      <c r="N17">
        <v>1</v>
      </c>
      <c r="P17">
        <v>1.3123</v>
      </c>
      <c r="Q17">
        <v>1.0098499999999999</v>
      </c>
      <c r="R17">
        <v>0.94118000000000002</v>
      </c>
      <c r="S17">
        <v>0.82118999999999998</v>
      </c>
      <c r="T17">
        <v>115.015</v>
      </c>
      <c r="U17">
        <v>1</v>
      </c>
    </row>
    <row r="18" spans="1:21" hidden="1" outlineLevel="1">
      <c r="A18" s="8">
        <v>42749</v>
      </c>
      <c r="B18" s="1860">
        <v>2237.2628199999999</v>
      </c>
      <c r="C18" s="1860">
        <v>2907.32287</v>
      </c>
      <c r="D18" s="1860">
        <v>3119.4575</v>
      </c>
      <c r="E18" s="1860">
        <v>3575.2652899999998</v>
      </c>
      <c r="F18">
        <v>25.526759999999999</v>
      </c>
      <c r="G18" s="1861">
        <v>2935.96</v>
      </c>
      <c r="I18">
        <v>0.76202000000000003</v>
      </c>
      <c r="J18">
        <v>0.99024999999999996</v>
      </c>
      <c r="K18">
        <v>1.0625</v>
      </c>
      <c r="L18">
        <v>1.2177500000000001</v>
      </c>
      <c r="M18">
        <v>8.6899999999999998E-3</v>
      </c>
      <c r="N18">
        <v>1</v>
      </c>
      <c r="P18">
        <v>1.3123</v>
      </c>
      <c r="Q18">
        <v>1.0098499999999999</v>
      </c>
      <c r="R18">
        <v>0.94118000000000002</v>
      </c>
      <c r="S18">
        <v>0.82118999999999998</v>
      </c>
      <c r="T18">
        <v>115.015</v>
      </c>
      <c r="U18">
        <v>1</v>
      </c>
    </row>
    <row r="19" spans="1:21" hidden="1" outlineLevel="1">
      <c r="A19" s="8">
        <v>42750</v>
      </c>
      <c r="B19" s="1860">
        <v>2237.2628199999999</v>
      </c>
      <c r="C19" s="1860">
        <v>2907.32287</v>
      </c>
      <c r="D19" s="1860">
        <v>3119.4575</v>
      </c>
      <c r="E19" s="1860">
        <v>3575.2652899999998</v>
      </c>
      <c r="F19">
        <v>25.526759999999999</v>
      </c>
      <c r="G19" s="1861">
        <v>2935.96</v>
      </c>
      <c r="I19">
        <v>0.76202000000000003</v>
      </c>
      <c r="J19">
        <v>0.99024999999999996</v>
      </c>
      <c r="K19">
        <v>1.0625</v>
      </c>
      <c r="L19">
        <v>1.2177500000000001</v>
      </c>
      <c r="M19">
        <v>8.6899999999999998E-3</v>
      </c>
      <c r="N19">
        <v>1</v>
      </c>
      <c r="P19">
        <v>1.3123</v>
      </c>
      <c r="Q19">
        <v>1.0098499999999999</v>
      </c>
      <c r="R19">
        <v>0.94118000000000002</v>
      </c>
      <c r="S19">
        <v>0.82118999999999998</v>
      </c>
      <c r="T19">
        <v>115.015</v>
      </c>
      <c r="U19">
        <v>1</v>
      </c>
    </row>
    <row r="20" spans="1:21" hidden="1" outlineLevel="1">
      <c r="A20" s="8">
        <v>42751</v>
      </c>
      <c r="B20" s="1860">
        <v>2232.3296799999998</v>
      </c>
      <c r="C20" s="1860">
        <v>2904.1594500000001</v>
      </c>
      <c r="D20" s="1860">
        <v>3113.5855799999999</v>
      </c>
      <c r="E20" s="1860">
        <v>3542.0889400000001</v>
      </c>
      <c r="F20">
        <v>25.728079999999999</v>
      </c>
      <c r="G20" s="1861">
        <v>2935.96</v>
      </c>
      <c r="I20">
        <v>0.76034000000000002</v>
      </c>
      <c r="J20">
        <v>0.98916999999999999</v>
      </c>
      <c r="K20">
        <v>1.0605</v>
      </c>
      <c r="L20">
        <v>1.20645</v>
      </c>
      <c r="M20">
        <v>8.7600000000000004E-3</v>
      </c>
      <c r="N20">
        <v>1</v>
      </c>
      <c r="P20">
        <v>1.3151999999999999</v>
      </c>
      <c r="Q20">
        <v>1.01095</v>
      </c>
      <c r="R20">
        <v>0.94294999999999995</v>
      </c>
      <c r="S20">
        <v>0.82887999999999995</v>
      </c>
      <c r="T20">
        <v>114.11499999999999</v>
      </c>
      <c r="U20">
        <v>1</v>
      </c>
    </row>
    <row r="21" spans="1:21" hidden="1" outlineLevel="1">
      <c r="A21" s="8">
        <v>42752</v>
      </c>
      <c r="B21" s="1860">
        <v>2247.6248799999998</v>
      </c>
      <c r="C21" s="1860">
        <v>2928.0542500000001</v>
      </c>
      <c r="D21" s="1860">
        <v>3139.5688300000002</v>
      </c>
      <c r="E21" s="1860">
        <v>3636.4800599999999</v>
      </c>
      <c r="F21">
        <v>25.9785</v>
      </c>
      <c r="G21" s="1861">
        <v>2935.96</v>
      </c>
      <c r="I21">
        <v>0.76554999999999995</v>
      </c>
      <c r="J21">
        <v>0.99731000000000003</v>
      </c>
      <c r="K21">
        <v>1.06935</v>
      </c>
      <c r="L21">
        <v>1.2385999999999999</v>
      </c>
      <c r="M21">
        <v>8.8500000000000002E-3</v>
      </c>
      <c r="N21">
        <v>1</v>
      </c>
      <c r="P21">
        <v>1.3062499999999999</v>
      </c>
      <c r="Q21">
        <v>1.0026999999999999</v>
      </c>
      <c r="R21">
        <v>0.93515000000000004</v>
      </c>
      <c r="S21">
        <v>0.80735999999999997</v>
      </c>
      <c r="T21">
        <v>113.015</v>
      </c>
      <c r="U21">
        <v>1</v>
      </c>
    </row>
    <row r="22" spans="1:21" hidden="1" outlineLevel="1">
      <c r="A22" s="8">
        <v>42753</v>
      </c>
      <c r="B22" s="1860">
        <v>2233.58662</v>
      </c>
      <c r="C22" s="1860">
        <v>2920.0978399999999</v>
      </c>
      <c r="D22" s="1860">
        <v>3127.6028000000001</v>
      </c>
      <c r="E22" s="1860">
        <v>3610.0436100000002</v>
      </c>
      <c r="F22">
        <v>25.820080000000001</v>
      </c>
      <c r="G22" s="1861">
        <v>2924.77</v>
      </c>
      <c r="I22">
        <v>0.76368000000000003</v>
      </c>
      <c r="J22">
        <v>0.99839999999999995</v>
      </c>
      <c r="K22">
        <v>1.06935</v>
      </c>
      <c r="L22">
        <v>1.2343</v>
      </c>
      <c r="M22">
        <v>8.8299999999999993E-3</v>
      </c>
      <c r="N22">
        <v>1</v>
      </c>
      <c r="P22">
        <v>1.30945</v>
      </c>
      <c r="Q22">
        <v>1.0016</v>
      </c>
      <c r="R22">
        <v>0.93515000000000004</v>
      </c>
      <c r="S22">
        <v>0.81018000000000001</v>
      </c>
      <c r="T22">
        <v>113.27500000000001</v>
      </c>
      <c r="U22">
        <v>1</v>
      </c>
    </row>
    <row r="23" spans="1:21" hidden="1" outlineLevel="1">
      <c r="A23" s="8">
        <v>42754</v>
      </c>
      <c r="B23" s="1860">
        <v>2201.9809399999999</v>
      </c>
      <c r="C23" s="1860">
        <v>2903.6560599999998</v>
      </c>
      <c r="D23" s="1860">
        <v>3114.0295700000001</v>
      </c>
      <c r="E23" s="1860">
        <v>3610.70723</v>
      </c>
      <c r="F23">
        <v>25.4528</v>
      </c>
      <c r="G23" s="1861">
        <v>2934.58</v>
      </c>
      <c r="I23">
        <v>0.75036000000000003</v>
      </c>
      <c r="J23">
        <v>0.98946000000000001</v>
      </c>
      <c r="K23">
        <v>1.06115</v>
      </c>
      <c r="L23">
        <v>1.2303999999999999</v>
      </c>
      <c r="M23">
        <v>8.6700000000000006E-3</v>
      </c>
      <c r="N23">
        <v>1</v>
      </c>
      <c r="P23">
        <v>1.3327</v>
      </c>
      <c r="Q23">
        <v>1.01065</v>
      </c>
      <c r="R23">
        <v>0.94237000000000004</v>
      </c>
      <c r="S23">
        <v>0.81274000000000002</v>
      </c>
      <c r="T23">
        <v>115.295</v>
      </c>
      <c r="U23">
        <v>1</v>
      </c>
    </row>
    <row r="24" spans="1:21" hidden="1" outlineLevel="1">
      <c r="A24" s="8">
        <v>42755</v>
      </c>
      <c r="B24" s="1860">
        <v>2203.9003899999998</v>
      </c>
      <c r="C24" s="1860">
        <v>2922.7494299999998</v>
      </c>
      <c r="D24" s="1860">
        <v>3137.5995800000001</v>
      </c>
      <c r="E24" s="1860">
        <v>3620.2055</v>
      </c>
      <c r="F24">
        <v>25.537700000000001</v>
      </c>
      <c r="G24" s="1861">
        <v>2938.24</v>
      </c>
      <c r="I24">
        <v>0.75007999999999997</v>
      </c>
      <c r="J24">
        <v>0.99473</v>
      </c>
      <c r="K24">
        <v>1.06785</v>
      </c>
      <c r="L24">
        <v>1.2321</v>
      </c>
      <c r="M24">
        <v>8.6899999999999998E-3</v>
      </c>
      <c r="N24">
        <v>1</v>
      </c>
      <c r="P24">
        <v>1.3331999999999999</v>
      </c>
      <c r="Q24">
        <v>1.0053000000000001</v>
      </c>
      <c r="R24">
        <v>0.93645999999999996</v>
      </c>
      <c r="S24">
        <v>0.81162000000000001</v>
      </c>
      <c r="T24">
        <v>115.05500000000001</v>
      </c>
      <c r="U24">
        <v>1</v>
      </c>
    </row>
    <row r="25" spans="1:21" hidden="1" outlineLevel="1">
      <c r="A25" s="8">
        <v>42756</v>
      </c>
      <c r="B25" s="1860">
        <v>2196.1521200000002</v>
      </c>
      <c r="C25" s="1860">
        <v>2912.4738900000002</v>
      </c>
      <c r="D25" s="1860">
        <v>3126.5686900000001</v>
      </c>
      <c r="E25" s="1860">
        <v>3607.4779100000001</v>
      </c>
      <c r="F25">
        <v>25.44792</v>
      </c>
      <c r="G25" s="1861">
        <v>2927.91</v>
      </c>
      <c r="I25">
        <v>0.75007999999999997</v>
      </c>
      <c r="J25">
        <v>0.99473</v>
      </c>
      <c r="K25">
        <v>1.06785</v>
      </c>
      <c r="L25">
        <v>1.2321</v>
      </c>
      <c r="M25">
        <v>8.6899999999999998E-3</v>
      </c>
      <c r="N25">
        <v>1</v>
      </c>
      <c r="P25">
        <v>1.3331999999999999</v>
      </c>
      <c r="Q25">
        <v>1.0053000000000001</v>
      </c>
      <c r="R25">
        <v>0.93645999999999996</v>
      </c>
      <c r="S25">
        <v>0.81162000000000001</v>
      </c>
      <c r="T25">
        <v>115.05500000000001</v>
      </c>
      <c r="U25">
        <v>1</v>
      </c>
    </row>
    <row r="26" spans="1:21" hidden="1" outlineLevel="1">
      <c r="A26" s="8">
        <v>42757</v>
      </c>
      <c r="B26" s="1860">
        <v>2196.1521200000002</v>
      </c>
      <c r="C26" s="1860">
        <v>2912.4738900000002</v>
      </c>
      <c r="D26" s="1860">
        <v>3126.5686900000001</v>
      </c>
      <c r="E26" s="1860">
        <v>3607.4779100000001</v>
      </c>
      <c r="F26">
        <v>25.44792</v>
      </c>
      <c r="G26" s="1861">
        <v>2927.91</v>
      </c>
      <c r="I26">
        <v>0.75007999999999997</v>
      </c>
      <c r="J26">
        <v>0.99473</v>
      </c>
      <c r="K26">
        <v>1.06785</v>
      </c>
      <c r="L26">
        <v>1.2321</v>
      </c>
      <c r="M26">
        <v>8.6899999999999998E-3</v>
      </c>
      <c r="N26">
        <v>1</v>
      </c>
      <c r="P26">
        <v>1.3331999999999999</v>
      </c>
      <c r="Q26">
        <v>1.0053000000000001</v>
      </c>
      <c r="R26">
        <v>0.93645999999999996</v>
      </c>
      <c r="S26">
        <v>0.81162000000000001</v>
      </c>
      <c r="T26">
        <v>115.05500000000001</v>
      </c>
      <c r="U26">
        <v>1</v>
      </c>
    </row>
    <row r="27" spans="1:21" hidden="1" outlineLevel="1">
      <c r="A27" s="8">
        <v>42758</v>
      </c>
      <c r="B27" s="1860">
        <v>2200.9396400000001</v>
      </c>
      <c r="C27" s="1860">
        <v>2931.7212399999999</v>
      </c>
      <c r="D27" s="1860">
        <v>3146.4784800000002</v>
      </c>
      <c r="E27" s="1860">
        <v>3657.2523799999999</v>
      </c>
      <c r="F27">
        <v>25.90727</v>
      </c>
      <c r="G27" s="1861">
        <v>2927.91</v>
      </c>
      <c r="I27">
        <v>0.75170999999999999</v>
      </c>
      <c r="J27">
        <v>1.0013000000000001</v>
      </c>
      <c r="K27">
        <v>1.0746500000000001</v>
      </c>
      <c r="L27">
        <v>1.2491000000000001</v>
      </c>
      <c r="M27">
        <v>8.8500000000000002E-3</v>
      </c>
      <c r="N27">
        <v>1</v>
      </c>
      <c r="P27">
        <v>1.3303</v>
      </c>
      <c r="Q27">
        <v>0.99870000000000003</v>
      </c>
      <c r="R27">
        <v>0.93054000000000003</v>
      </c>
      <c r="S27">
        <v>0.80057999999999996</v>
      </c>
      <c r="T27">
        <v>113.015</v>
      </c>
      <c r="U27">
        <v>1</v>
      </c>
    </row>
    <row r="28" spans="1:21" hidden="1" outlineLevel="1">
      <c r="A28" s="8">
        <v>42759</v>
      </c>
      <c r="B28" s="1860">
        <v>2209.9612499999998</v>
      </c>
      <c r="C28" s="1860">
        <v>2911.2957299999998</v>
      </c>
      <c r="D28" s="1860">
        <v>3128.1240200000002</v>
      </c>
      <c r="E28" s="1860">
        <v>3639.5890199999999</v>
      </c>
      <c r="F28">
        <v>25.669920000000001</v>
      </c>
      <c r="G28" s="1861">
        <v>2908.53</v>
      </c>
      <c r="I28">
        <v>0.75982000000000005</v>
      </c>
      <c r="J28">
        <v>1.00095</v>
      </c>
      <c r="K28">
        <v>1.0754999999999999</v>
      </c>
      <c r="L28">
        <v>1.25135</v>
      </c>
      <c r="M28">
        <v>8.8299999999999993E-3</v>
      </c>
      <c r="N28">
        <v>1</v>
      </c>
      <c r="P28">
        <v>1.3161</v>
      </c>
      <c r="Q28">
        <v>0.99904999999999999</v>
      </c>
      <c r="R28">
        <v>0.92979999999999996</v>
      </c>
      <c r="S28">
        <v>0.79913999999999996</v>
      </c>
      <c r="T28">
        <v>113.30500000000001</v>
      </c>
      <c r="U28">
        <v>1</v>
      </c>
    </row>
    <row r="29" spans="1:21" hidden="1" outlineLevel="1">
      <c r="A29" s="8">
        <v>42760</v>
      </c>
      <c r="B29" s="1860">
        <v>2240.05654</v>
      </c>
      <c r="C29" s="1860">
        <v>2934.65119</v>
      </c>
      <c r="D29" s="1860">
        <v>3149.5651400000002</v>
      </c>
      <c r="E29" s="1860">
        <v>3698.43741</v>
      </c>
      <c r="F29">
        <v>25.802</v>
      </c>
      <c r="G29" s="1861">
        <v>2932.01</v>
      </c>
      <c r="I29">
        <v>0.76400000000000001</v>
      </c>
      <c r="J29">
        <v>1.0008999999999999</v>
      </c>
      <c r="K29">
        <v>1.0742</v>
      </c>
      <c r="L29">
        <v>1.2614000000000001</v>
      </c>
      <c r="M29">
        <v>8.8000000000000005E-3</v>
      </c>
      <c r="N29">
        <v>1</v>
      </c>
      <c r="P29">
        <v>1.3089</v>
      </c>
      <c r="Q29">
        <v>0.99909999999999999</v>
      </c>
      <c r="R29">
        <v>0.93093000000000004</v>
      </c>
      <c r="S29">
        <v>0.79276999999999997</v>
      </c>
      <c r="T29">
        <v>113.63500000000001</v>
      </c>
      <c r="U29">
        <v>1</v>
      </c>
    </row>
    <row r="30" spans="1:21" hidden="1" outlineLevel="1">
      <c r="A30" s="8">
        <v>42761</v>
      </c>
      <c r="B30" s="1860">
        <v>2234.07357</v>
      </c>
      <c r="C30" s="1860">
        <v>2925.3359999999998</v>
      </c>
      <c r="D30" s="1860">
        <v>3123.2353800000001</v>
      </c>
      <c r="E30" s="1860">
        <v>3685.4675200000001</v>
      </c>
      <c r="F30">
        <v>25.513359999999999</v>
      </c>
      <c r="G30" s="1861">
        <v>2927.53</v>
      </c>
      <c r="I30">
        <v>0.76312999999999998</v>
      </c>
      <c r="J30">
        <v>0.99924999999999997</v>
      </c>
      <c r="K30">
        <v>1.0668500000000001</v>
      </c>
      <c r="L30">
        <v>1.2588999999999999</v>
      </c>
      <c r="M30">
        <v>8.7100000000000007E-3</v>
      </c>
      <c r="N30">
        <v>1</v>
      </c>
      <c r="P30">
        <v>1.3104</v>
      </c>
      <c r="Q30">
        <v>1.00075</v>
      </c>
      <c r="R30">
        <v>0.93733999999999995</v>
      </c>
      <c r="S30">
        <v>0.79434000000000005</v>
      </c>
      <c r="T30">
        <v>114.745</v>
      </c>
      <c r="U30">
        <v>1</v>
      </c>
    </row>
    <row r="31" spans="1:21" hidden="1" outlineLevel="1">
      <c r="A31" s="8">
        <v>42762</v>
      </c>
      <c r="B31" s="1860">
        <v>2237.5009500000001</v>
      </c>
      <c r="C31" s="1860">
        <v>2942.163</v>
      </c>
      <c r="D31" s="1860">
        <v>3143.9056</v>
      </c>
      <c r="E31" s="1860">
        <v>3685.2899299999999</v>
      </c>
      <c r="F31">
        <v>25.52449</v>
      </c>
      <c r="G31" s="1861">
        <v>2936.72</v>
      </c>
      <c r="I31">
        <v>0.76190000000000002</v>
      </c>
      <c r="J31">
        <v>1.0018499999999999</v>
      </c>
      <c r="K31">
        <v>1.0705499999999999</v>
      </c>
      <c r="L31">
        <v>1.2548999999999999</v>
      </c>
      <c r="M31">
        <v>8.6899999999999998E-3</v>
      </c>
      <c r="N31">
        <v>1</v>
      </c>
      <c r="P31">
        <v>1.3125</v>
      </c>
      <c r="Q31">
        <v>0.99814999999999998</v>
      </c>
      <c r="R31">
        <v>0.93410000000000004</v>
      </c>
      <c r="S31">
        <v>0.79688000000000003</v>
      </c>
      <c r="T31">
        <v>115.05500000000001</v>
      </c>
      <c r="U31">
        <v>1</v>
      </c>
    </row>
    <row r="32" spans="1:21" hidden="1" outlineLevel="1">
      <c r="A32" s="8">
        <v>42763</v>
      </c>
      <c r="B32" s="1860">
        <v>2232.5104799999999</v>
      </c>
      <c r="C32" s="1860">
        <v>2935.60086</v>
      </c>
      <c r="D32" s="1860">
        <v>3136.8934899999999</v>
      </c>
      <c r="E32" s="1860">
        <v>3677.07033</v>
      </c>
      <c r="F32">
        <v>25.467559999999999</v>
      </c>
      <c r="G32" s="1861">
        <v>2930.17</v>
      </c>
      <c r="I32">
        <v>0.76190000000000002</v>
      </c>
      <c r="J32">
        <v>1.0018499999999999</v>
      </c>
      <c r="K32">
        <v>1.0705499999999999</v>
      </c>
      <c r="L32">
        <v>1.2548999999999999</v>
      </c>
      <c r="M32">
        <v>8.6899999999999998E-3</v>
      </c>
      <c r="N32">
        <v>1</v>
      </c>
      <c r="P32">
        <v>1.3125</v>
      </c>
      <c r="Q32">
        <v>0.99814999999999998</v>
      </c>
      <c r="R32">
        <v>0.93410000000000004</v>
      </c>
      <c r="S32">
        <v>0.79688000000000003</v>
      </c>
      <c r="T32">
        <v>115.05500000000001</v>
      </c>
      <c r="U32">
        <v>1</v>
      </c>
    </row>
    <row r="33" spans="1:21" hidden="1" outlineLevel="1">
      <c r="A33" s="8">
        <v>42764</v>
      </c>
      <c r="B33" s="1860">
        <v>2232.5104799999999</v>
      </c>
      <c r="C33" s="1860">
        <v>2935.60086</v>
      </c>
      <c r="D33" s="1860">
        <v>3136.8934899999999</v>
      </c>
      <c r="E33" s="1860">
        <v>3677.07033</v>
      </c>
      <c r="F33">
        <v>25.467559999999999</v>
      </c>
      <c r="G33" s="1861">
        <v>2930.17</v>
      </c>
      <c r="I33">
        <v>0.76190000000000002</v>
      </c>
      <c r="J33">
        <v>1.0018499999999999</v>
      </c>
      <c r="K33">
        <v>1.0705499999999999</v>
      </c>
      <c r="L33">
        <v>1.2548999999999999</v>
      </c>
      <c r="M33">
        <v>8.6899999999999998E-3</v>
      </c>
      <c r="N33">
        <v>1</v>
      </c>
      <c r="P33">
        <v>1.3125</v>
      </c>
      <c r="Q33">
        <v>0.99814999999999998</v>
      </c>
      <c r="R33">
        <v>0.93410000000000004</v>
      </c>
      <c r="S33">
        <v>0.79688000000000003</v>
      </c>
      <c r="T33">
        <v>115.05500000000001</v>
      </c>
      <c r="U33">
        <v>1</v>
      </c>
    </row>
    <row r="34" spans="1:21" hidden="1" outlineLevel="1">
      <c r="A34" s="8">
        <v>42765</v>
      </c>
      <c r="B34" s="1860">
        <v>2238.0523199999998</v>
      </c>
      <c r="C34" s="1860">
        <v>2938.5448500000002</v>
      </c>
      <c r="D34" s="1860">
        <v>3132.6447499999999</v>
      </c>
      <c r="E34" s="1860">
        <v>3666.6682300000002</v>
      </c>
      <c r="F34">
        <v>25.740500000000001</v>
      </c>
      <c r="G34" s="1861">
        <v>2930.17</v>
      </c>
      <c r="I34">
        <v>0.76380000000000003</v>
      </c>
      <c r="J34">
        <v>1.0028600000000001</v>
      </c>
      <c r="K34">
        <v>1.0690999999999999</v>
      </c>
      <c r="L34">
        <v>1.25135</v>
      </c>
      <c r="M34">
        <v>8.7799999999999996E-3</v>
      </c>
      <c r="N34">
        <v>1</v>
      </c>
      <c r="P34">
        <v>1.30925</v>
      </c>
      <c r="Q34">
        <v>0.99714999999999998</v>
      </c>
      <c r="R34">
        <v>0.93537000000000003</v>
      </c>
      <c r="S34">
        <v>0.79913999999999996</v>
      </c>
      <c r="T34">
        <v>113.83499999999999</v>
      </c>
      <c r="U34">
        <v>1</v>
      </c>
    </row>
    <row r="35" spans="1:21" hidden="1" outlineLevel="1">
      <c r="A35" s="8">
        <v>42766</v>
      </c>
      <c r="B35" s="1860">
        <v>2252.47172</v>
      </c>
      <c r="C35" s="1860">
        <v>2976.5457099999999</v>
      </c>
      <c r="D35" s="1860">
        <v>3173.6484599999999</v>
      </c>
      <c r="E35" s="1860">
        <v>3694.61195</v>
      </c>
      <c r="F35">
        <v>26.08625</v>
      </c>
      <c r="G35" s="1861">
        <v>2936.66</v>
      </c>
      <c r="I35">
        <v>0.76702000000000004</v>
      </c>
      <c r="J35">
        <v>1.0135799999999999</v>
      </c>
      <c r="K35">
        <v>1.0807</v>
      </c>
      <c r="L35">
        <v>1.2581</v>
      </c>
      <c r="M35">
        <v>8.8800000000000007E-3</v>
      </c>
      <c r="N35">
        <v>1</v>
      </c>
      <c r="P35">
        <v>1.30375</v>
      </c>
      <c r="Q35">
        <v>0.98660000000000003</v>
      </c>
      <c r="R35">
        <v>0.92532999999999999</v>
      </c>
      <c r="S35">
        <v>0.79484999999999995</v>
      </c>
      <c r="T35">
        <v>112.575</v>
      </c>
      <c r="U35">
        <v>1</v>
      </c>
    </row>
    <row r="36" spans="1:21" hidden="1" outlineLevel="1">
      <c r="A36" s="8">
        <v>42767</v>
      </c>
      <c r="B36" s="1860">
        <v>2233.6977299999999</v>
      </c>
      <c r="C36" s="1860">
        <v>2944.4248499999999</v>
      </c>
      <c r="D36" s="1860">
        <v>3143.6722100000002</v>
      </c>
      <c r="E36" s="1860">
        <v>3695.18084</v>
      </c>
      <c r="F36">
        <v>25.74588</v>
      </c>
      <c r="G36" s="1861">
        <v>2921.9</v>
      </c>
      <c r="I36">
        <v>0.76446999999999998</v>
      </c>
      <c r="J36">
        <v>1.0077100000000001</v>
      </c>
      <c r="K36">
        <v>1.0759000000000001</v>
      </c>
      <c r="L36">
        <v>1.2646500000000001</v>
      </c>
      <c r="M36">
        <v>8.8100000000000001E-3</v>
      </c>
      <c r="N36">
        <v>1</v>
      </c>
      <c r="P36">
        <v>1.3081</v>
      </c>
      <c r="Q36">
        <v>0.99234999999999995</v>
      </c>
      <c r="R36">
        <v>0.92945</v>
      </c>
      <c r="S36">
        <v>0.79073000000000004</v>
      </c>
      <c r="T36">
        <v>113.49</v>
      </c>
      <c r="U36">
        <v>1</v>
      </c>
    </row>
    <row r="37" spans="1:21" hidden="1" outlineLevel="1">
      <c r="A37" s="8">
        <v>42768</v>
      </c>
      <c r="B37" s="1860">
        <v>2234.1800899999998</v>
      </c>
      <c r="C37" s="1860">
        <v>2938.3674500000002</v>
      </c>
      <c r="D37" s="1860">
        <v>3141.2118099999998</v>
      </c>
      <c r="E37" s="1860">
        <v>3642.7766999999999</v>
      </c>
      <c r="F37">
        <v>25.85528</v>
      </c>
      <c r="G37" s="1861">
        <v>2906.78</v>
      </c>
      <c r="I37">
        <v>0.76861000000000002</v>
      </c>
      <c r="J37">
        <v>1.0108699999999999</v>
      </c>
      <c r="K37">
        <v>1.0806500000000001</v>
      </c>
      <c r="L37">
        <v>1.2532000000000001</v>
      </c>
      <c r="M37">
        <v>8.8900000000000003E-3</v>
      </c>
      <c r="N37">
        <v>1</v>
      </c>
      <c r="P37">
        <v>1.30105</v>
      </c>
      <c r="Q37">
        <v>0.98924999999999996</v>
      </c>
      <c r="R37">
        <v>0.92537000000000003</v>
      </c>
      <c r="S37">
        <v>0.79796</v>
      </c>
      <c r="T37">
        <v>112.425</v>
      </c>
      <c r="U37">
        <v>1</v>
      </c>
    </row>
    <row r="38" spans="1:21" hidden="1" outlineLevel="1">
      <c r="A38" s="8">
        <v>42769</v>
      </c>
      <c r="B38" s="1860">
        <v>2217.41806</v>
      </c>
      <c r="C38" s="1860">
        <v>2907.6418699999999</v>
      </c>
      <c r="D38" s="1860">
        <v>3109.6055799999999</v>
      </c>
      <c r="E38" s="1860">
        <v>3604.91165</v>
      </c>
      <c r="F38">
        <v>25.645769999999999</v>
      </c>
      <c r="G38" s="1861">
        <v>2882.2</v>
      </c>
      <c r="I38">
        <v>0.76934999999999998</v>
      </c>
      <c r="J38">
        <v>1.0088299999999999</v>
      </c>
      <c r="K38">
        <v>1.0789</v>
      </c>
      <c r="L38">
        <v>1.25075</v>
      </c>
      <c r="M38">
        <v>8.8999999999999999E-3</v>
      </c>
      <c r="N38">
        <v>1</v>
      </c>
      <c r="P38">
        <v>1.2998000000000001</v>
      </c>
      <c r="Q38">
        <v>0.99124999999999996</v>
      </c>
      <c r="R38">
        <v>0.92686999999999997</v>
      </c>
      <c r="S38">
        <v>0.79952000000000001</v>
      </c>
      <c r="T38">
        <v>112.38500000000001</v>
      </c>
      <c r="U38">
        <v>1</v>
      </c>
    </row>
    <row r="39" spans="1:21" hidden="1" outlineLevel="1">
      <c r="A39" s="8">
        <v>42770</v>
      </c>
      <c r="B39" s="1860">
        <v>2197.10725</v>
      </c>
      <c r="C39" s="1860">
        <v>2881.0088300000002</v>
      </c>
      <c r="D39" s="1860">
        <v>3081.1226200000001</v>
      </c>
      <c r="E39" s="1860">
        <v>3571.89185</v>
      </c>
      <c r="F39">
        <v>25.41086</v>
      </c>
      <c r="G39" s="1861">
        <v>2855.8</v>
      </c>
      <c r="I39">
        <v>0.76934999999999998</v>
      </c>
      <c r="J39">
        <v>1.0088299999999999</v>
      </c>
      <c r="K39">
        <v>1.0789</v>
      </c>
      <c r="L39">
        <v>1.25075</v>
      </c>
      <c r="M39">
        <v>8.8999999999999999E-3</v>
      </c>
      <c r="N39">
        <v>1</v>
      </c>
      <c r="P39">
        <v>1.2998000000000001</v>
      </c>
      <c r="Q39">
        <v>0.99124999999999996</v>
      </c>
      <c r="R39">
        <v>0.92686999999999997</v>
      </c>
      <c r="S39">
        <v>0.79952000000000001</v>
      </c>
      <c r="T39">
        <v>112.38500000000001</v>
      </c>
      <c r="U39">
        <v>1</v>
      </c>
    </row>
    <row r="40" spans="1:21" hidden="1" outlineLevel="1">
      <c r="A40" s="8">
        <v>42771</v>
      </c>
      <c r="B40" s="1860">
        <v>2197.10725</v>
      </c>
      <c r="C40" s="1860">
        <v>2881.0088300000002</v>
      </c>
      <c r="D40" s="1860">
        <v>3081.1226200000001</v>
      </c>
      <c r="E40" s="1860">
        <v>3571.89185</v>
      </c>
      <c r="F40">
        <v>25.41086</v>
      </c>
      <c r="G40" s="1861">
        <v>2855.8</v>
      </c>
      <c r="I40">
        <v>0.76934999999999998</v>
      </c>
      <c r="J40">
        <v>1.0088299999999999</v>
      </c>
      <c r="K40">
        <v>1.0789</v>
      </c>
      <c r="L40">
        <v>1.25075</v>
      </c>
      <c r="M40">
        <v>8.8999999999999999E-3</v>
      </c>
      <c r="N40">
        <v>1</v>
      </c>
      <c r="P40">
        <v>1.2998000000000001</v>
      </c>
      <c r="Q40">
        <v>0.99124999999999996</v>
      </c>
      <c r="R40">
        <v>0.92686999999999997</v>
      </c>
      <c r="S40">
        <v>0.79952000000000001</v>
      </c>
      <c r="T40">
        <v>112.38500000000001</v>
      </c>
      <c r="U40">
        <v>1</v>
      </c>
    </row>
    <row r="41" spans="1:21" hidden="1" outlineLevel="1">
      <c r="A41" s="8">
        <v>42772</v>
      </c>
      <c r="B41" s="1860">
        <v>2176.5109400000001</v>
      </c>
      <c r="C41" s="1860">
        <v>2876.8006399999999</v>
      </c>
      <c r="D41" s="1860">
        <v>3067.1291999999999</v>
      </c>
      <c r="E41" s="1860">
        <v>3554.3286800000001</v>
      </c>
      <c r="F41">
        <v>25.417649999999998</v>
      </c>
      <c r="G41" s="1861">
        <v>2855.8</v>
      </c>
      <c r="I41">
        <v>0.76214000000000004</v>
      </c>
      <c r="J41">
        <v>1.00735</v>
      </c>
      <c r="K41">
        <v>1.0740000000000001</v>
      </c>
      <c r="L41">
        <v>1.2445999999999999</v>
      </c>
      <c r="M41">
        <v>8.8999999999999999E-3</v>
      </c>
      <c r="N41">
        <v>1</v>
      </c>
      <c r="P41">
        <v>1.3121</v>
      </c>
      <c r="Q41">
        <v>0.99270000000000003</v>
      </c>
      <c r="R41">
        <v>0.93110000000000004</v>
      </c>
      <c r="S41">
        <v>0.80347000000000002</v>
      </c>
      <c r="T41">
        <v>112.355</v>
      </c>
      <c r="U41">
        <v>1</v>
      </c>
    </row>
    <row r="42" spans="1:21" hidden="1" outlineLevel="1">
      <c r="A42" s="8">
        <v>42773</v>
      </c>
      <c r="B42" s="1860">
        <v>2169.3447900000001</v>
      </c>
      <c r="C42" s="1860">
        <v>2861.1428599999999</v>
      </c>
      <c r="D42" s="1860">
        <v>3050.20181</v>
      </c>
      <c r="E42" s="1860">
        <v>3547.65227</v>
      </c>
      <c r="F42">
        <v>25.429829999999999</v>
      </c>
      <c r="G42" s="1861">
        <v>2853.99</v>
      </c>
      <c r="I42">
        <v>0.76010999999999995</v>
      </c>
      <c r="J42">
        <v>1.00251</v>
      </c>
      <c r="K42">
        <v>1.0687500000000001</v>
      </c>
      <c r="L42">
        <v>1.24305</v>
      </c>
      <c r="M42">
        <v>8.9099999999999995E-3</v>
      </c>
      <c r="N42">
        <v>1</v>
      </c>
      <c r="P42">
        <v>1.3156000000000001</v>
      </c>
      <c r="Q42">
        <v>0.99750000000000005</v>
      </c>
      <c r="R42">
        <v>0.93567</v>
      </c>
      <c r="S42">
        <v>0.80447000000000002</v>
      </c>
      <c r="T42">
        <v>112.23</v>
      </c>
      <c r="U42">
        <v>1</v>
      </c>
    </row>
    <row r="43" spans="1:21" hidden="1" outlineLevel="1">
      <c r="A43" s="8">
        <v>42774</v>
      </c>
      <c r="B43" s="1860">
        <v>2181.8845799999999</v>
      </c>
      <c r="C43" s="1860">
        <v>2886.81297</v>
      </c>
      <c r="D43" s="1860">
        <v>3070.5106300000002</v>
      </c>
      <c r="E43" s="1860">
        <v>3595.02394</v>
      </c>
      <c r="F43">
        <v>25.651949999999999</v>
      </c>
      <c r="G43" s="1861">
        <v>2867.76</v>
      </c>
      <c r="I43">
        <v>0.76083000000000001</v>
      </c>
      <c r="J43">
        <v>1.00664</v>
      </c>
      <c r="K43">
        <v>1.0707</v>
      </c>
      <c r="L43">
        <v>1.2536</v>
      </c>
      <c r="M43">
        <v>8.94E-3</v>
      </c>
      <c r="N43">
        <v>1</v>
      </c>
      <c r="P43">
        <v>1.3143499999999999</v>
      </c>
      <c r="Q43">
        <v>0.99339999999999995</v>
      </c>
      <c r="R43">
        <v>0.93396999999999997</v>
      </c>
      <c r="S43">
        <v>0.79769999999999996</v>
      </c>
      <c r="T43">
        <v>111.795</v>
      </c>
      <c r="U43">
        <v>1</v>
      </c>
    </row>
    <row r="44" spans="1:21" hidden="1" outlineLevel="1">
      <c r="A44" s="8">
        <v>42775</v>
      </c>
      <c r="B44" s="1860">
        <v>2193.3122600000002</v>
      </c>
      <c r="C44" s="1860">
        <v>2877.3319999999999</v>
      </c>
      <c r="D44" s="1860">
        <v>3070.8321099999998</v>
      </c>
      <c r="E44" s="1860">
        <v>3606.5612299999998</v>
      </c>
      <c r="F44">
        <v>25.487850000000002</v>
      </c>
      <c r="G44" s="1861">
        <v>2879.49</v>
      </c>
      <c r="I44">
        <v>0.76170000000000004</v>
      </c>
      <c r="J44">
        <v>0.99924999999999997</v>
      </c>
      <c r="K44">
        <v>1.0664499999999999</v>
      </c>
      <c r="L44">
        <v>1.2524999999999999</v>
      </c>
      <c r="M44">
        <v>8.8500000000000002E-3</v>
      </c>
      <c r="N44">
        <v>1</v>
      </c>
      <c r="P44">
        <v>1.3128500000000001</v>
      </c>
      <c r="Q44">
        <v>1.00075</v>
      </c>
      <c r="R44">
        <v>0.93769000000000002</v>
      </c>
      <c r="S44">
        <v>0.7984</v>
      </c>
      <c r="T44">
        <v>112.97499999999999</v>
      </c>
      <c r="U44">
        <v>1</v>
      </c>
    </row>
    <row r="45" spans="1:21" hidden="1" outlineLevel="1">
      <c r="A45" s="8">
        <v>42776</v>
      </c>
      <c r="B45" s="1860">
        <v>2189.4757</v>
      </c>
      <c r="C45" s="1860">
        <v>2848.6715100000001</v>
      </c>
      <c r="D45" s="1860">
        <v>3041.1149799999998</v>
      </c>
      <c r="E45" s="1860">
        <v>3572.7053700000001</v>
      </c>
      <c r="F45">
        <v>25.202539999999999</v>
      </c>
      <c r="G45" s="1861">
        <v>2862.63</v>
      </c>
      <c r="I45">
        <v>0.76485000000000003</v>
      </c>
      <c r="J45">
        <v>0.99512</v>
      </c>
      <c r="K45">
        <v>1.0623499999999999</v>
      </c>
      <c r="L45">
        <v>1.2480500000000001</v>
      </c>
      <c r="M45">
        <v>8.8000000000000005E-3</v>
      </c>
      <c r="N45">
        <v>1</v>
      </c>
      <c r="P45">
        <v>1.30745</v>
      </c>
      <c r="Q45">
        <v>1.0048999999999999</v>
      </c>
      <c r="R45">
        <v>0.94130999999999998</v>
      </c>
      <c r="S45">
        <v>0.80125000000000002</v>
      </c>
      <c r="T45">
        <v>113.58499999999999</v>
      </c>
      <c r="U45">
        <v>1</v>
      </c>
    </row>
    <row r="46" spans="1:21" hidden="1" outlineLevel="1">
      <c r="A46" s="8">
        <v>42777</v>
      </c>
      <c r="B46" s="1860">
        <v>2181.33007</v>
      </c>
      <c r="C46" s="1860">
        <v>2838.0734400000001</v>
      </c>
      <c r="D46" s="1860">
        <v>3029.8009499999998</v>
      </c>
      <c r="E46" s="1860">
        <v>3559.4136400000002</v>
      </c>
      <c r="F46">
        <v>25.10877</v>
      </c>
      <c r="G46" s="1861">
        <v>2851.98</v>
      </c>
      <c r="I46">
        <v>0.76485000000000003</v>
      </c>
      <c r="J46">
        <v>0.99512</v>
      </c>
      <c r="K46">
        <v>1.0623499999999999</v>
      </c>
      <c r="L46">
        <v>1.2480500000000001</v>
      </c>
      <c r="M46">
        <v>8.8000000000000005E-3</v>
      </c>
      <c r="N46">
        <v>1</v>
      </c>
      <c r="P46">
        <v>1.30745</v>
      </c>
      <c r="Q46">
        <v>1.0048999999999999</v>
      </c>
      <c r="R46">
        <v>0.94130999999999998</v>
      </c>
      <c r="S46">
        <v>0.80125000000000002</v>
      </c>
      <c r="T46">
        <v>113.58499999999999</v>
      </c>
      <c r="U46">
        <v>1</v>
      </c>
    </row>
    <row r="47" spans="1:21" hidden="1" outlineLevel="1">
      <c r="A47" s="8">
        <v>42778</v>
      </c>
      <c r="B47" s="1860">
        <v>2181.33007</v>
      </c>
      <c r="C47" s="1860">
        <v>2838.0734400000001</v>
      </c>
      <c r="D47" s="1860">
        <v>3029.8009499999998</v>
      </c>
      <c r="E47" s="1860">
        <v>3559.4136400000002</v>
      </c>
      <c r="F47">
        <v>25.10877</v>
      </c>
      <c r="G47" s="1861">
        <v>2851.98</v>
      </c>
      <c r="I47">
        <v>0.76485000000000003</v>
      </c>
      <c r="J47">
        <v>0.99512</v>
      </c>
      <c r="K47">
        <v>1.0623499999999999</v>
      </c>
      <c r="L47">
        <v>1.2480500000000001</v>
      </c>
      <c r="M47">
        <v>8.8000000000000005E-3</v>
      </c>
      <c r="N47">
        <v>1</v>
      </c>
      <c r="P47">
        <v>1.30745</v>
      </c>
      <c r="Q47">
        <v>1.0048999999999999</v>
      </c>
      <c r="R47">
        <v>0.94130999999999998</v>
      </c>
      <c r="S47">
        <v>0.80125000000000002</v>
      </c>
      <c r="T47">
        <v>113.58499999999999</v>
      </c>
      <c r="U47">
        <v>1</v>
      </c>
    </row>
    <row r="48" spans="1:21" hidden="1" outlineLevel="1">
      <c r="A48" s="8">
        <v>42779</v>
      </c>
      <c r="B48" s="1860">
        <v>2179.6629600000001</v>
      </c>
      <c r="C48" s="1860">
        <v>2837.5087100000001</v>
      </c>
      <c r="D48" s="1860">
        <v>3024.6673900000001</v>
      </c>
      <c r="E48" s="1860">
        <v>3565.5454</v>
      </c>
      <c r="F48">
        <v>25.037130000000001</v>
      </c>
      <c r="G48" s="1861">
        <v>2851.98</v>
      </c>
      <c r="I48">
        <v>0.76426000000000005</v>
      </c>
      <c r="J48">
        <v>0.99492999999999998</v>
      </c>
      <c r="K48">
        <v>1.0605500000000001</v>
      </c>
      <c r="L48">
        <v>1.2502</v>
      </c>
      <c r="M48">
        <v>8.7799999999999996E-3</v>
      </c>
      <c r="N48">
        <v>1</v>
      </c>
      <c r="P48">
        <v>1.3084499999999999</v>
      </c>
      <c r="Q48">
        <v>1.0051000000000001</v>
      </c>
      <c r="R48">
        <v>0.94291000000000003</v>
      </c>
      <c r="S48">
        <v>0.79986999999999997</v>
      </c>
      <c r="T48">
        <v>113.91</v>
      </c>
      <c r="U48">
        <v>1</v>
      </c>
    </row>
    <row r="49" spans="1:21" hidden="1" outlineLevel="1">
      <c r="A49" s="8">
        <v>42780</v>
      </c>
      <c r="B49" s="1860">
        <v>2194.8400900000001</v>
      </c>
      <c r="C49" s="1860">
        <v>2852.35592</v>
      </c>
      <c r="D49" s="1860">
        <v>3037.6359400000001</v>
      </c>
      <c r="E49" s="1860">
        <v>3583.3982500000002</v>
      </c>
      <c r="F49">
        <v>25.129650000000002</v>
      </c>
      <c r="G49" s="1861">
        <v>2875.46</v>
      </c>
      <c r="I49">
        <v>0.76329999999999998</v>
      </c>
      <c r="J49">
        <v>0.99197000000000002</v>
      </c>
      <c r="K49">
        <v>1.0564</v>
      </c>
      <c r="L49">
        <v>1.2462</v>
      </c>
      <c r="M49">
        <v>8.7399999999999995E-3</v>
      </c>
      <c r="N49">
        <v>1</v>
      </c>
      <c r="P49">
        <v>1.3101</v>
      </c>
      <c r="Q49">
        <v>1.0081</v>
      </c>
      <c r="R49">
        <v>0.94660999999999995</v>
      </c>
      <c r="S49">
        <v>0.80244000000000004</v>
      </c>
      <c r="T49">
        <v>114.425</v>
      </c>
      <c r="U49">
        <v>1</v>
      </c>
    </row>
    <row r="50" spans="1:21" hidden="1" outlineLevel="1">
      <c r="A50" s="8">
        <v>42781</v>
      </c>
      <c r="B50" s="1860">
        <v>2191.29637</v>
      </c>
      <c r="C50" s="1860">
        <v>2843.7524800000001</v>
      </c>
      <c r="D50" s="1860">
        <v>3032.09915</v>
      </c>
      <c r="E50" s="1860">
        <v>3570.9287100000001</v>
      </c>
      <c r="F50">
        <v>25.0154</v>
      </c>
      <c r="G50" s="1861">
        <v>2867.64</v>
      </c>
      <c r="I50">
        <v>0.76415</v>
      </c>
      <c r="J50">
        <v>0.99167000000000005</v>
      </c>
      <c r="K50">
        <v>1.05735</v>
      </c>
      <c r="L50">
        <v>1.24525</v>
      </c>
      <c r="M50">
        <v>8.7200000000000003E-3</v>
      </c>
      <c r="N50">
        <v>1</v>
      </c>
      <c r="P50">
        <v>1.3086500000000001</v>
      </c>
      <c r="Q50">
        <v>1.0084</v>
      </c>
      <c r="R50">
        <v>0.94576000000000005</v>
      </c>
      <c r="S50">
        <v>0.80305000000000004</v>
      </c>
      <c r="T50">
        <v>114.63500000000001</v>
      </c>
      <c r="U50">
        <v>1</v>
      </c>
    </row>
    <row r="51" spans="1:21" hidden="1" outlineLevel="1">
      <c r="A51" s="8">
        <v>42782</v>
      </c>
      <c r="B51" s="1860">
        <v>2201.9140200000002</v>
      </c>
      <c r="C51" s="1860">
        <v>2879.9178900000002</v>
      </c>
      <c r="D51" s="1860">
        <v>3069.01161</v>
      </c>
      <c r="E51" s="1860">
        <v>3595.6127099999999</v>
      </c>
      <c r="F51">
        <v>25.38532</v>
      </c>
      <c r="G51" s="1861">
        <v>2876.03</v>
      </c>
      <c r="I51">
        <v>0.76561000000000001</v>
      </c>
      <c r="J51">
        <v>1.00135</v>
      </c>
      <c r="K51">
        <v>1.0670999999999999</v>
      </c>
      <c r="L51">
        <v>1.2502</v>
      </c>
      <c r="M51">
        <v>8.8299999999999993E-3</v>
      </c>
      <c r="N51">
        <v>1</v>
      </c>
      <c r="P51">
        <v>1.3061499999999999</v>
      </c>
      <c r="Q51">
        <v>0.99865000000000004</v>
      </c>
      <c r="R51">
        <v>0.93711999999999995</v>
      </c>
      <c r="S51">
        <v>0.79986999999999997</v>
      </c>
      <c r="T51">
        <v>113.295</v>
      </c>
      <c r="U51">
        <v>1</v>
      </c>
    </row>
    <row r="52" spans="1:21" hidden="1" outlineLevel="1">
      <c r="A52" s="8">
        <v>42783</v>
      </c>
      <c r="B52" s="1860">
        <v>2193.4174899999998</v>
      </c>
      <c r="C52" s="1860">
        <v>2872.6637000000001</v>
      </c>
      <c r="D52" s="1860">
        <v>3056.70406</v>
      </c>
      <c r="E52" s="1860">
        <v>3574.9015899999999</v>
      </c>
      <c r="F52">
        <v>25.487970000000001</v>
      </c>
      <c r="G52" s="1861">
        <v>2875.68</v>
      </c>
      <c r="I52">
        <v>0.76275000000000004</v>
      </c>
      <c r="J52">
        <v>0.99895</v>
      </c>
      <c r="K52">
        <v>1.0629500000000001</v>
      </c>
      <c r="L52">
        <v>1.24315</v>
      </c>
      <c r="M52">
        <v>8.8599999999999998E-3</v>
      </c>
      <c r="N52">
        <v>1</v>
      </c>
      <c r="P52">
        <v>1.31105</v>
      </c>
      <c r="Q52">
        <v>1.00105</v>
      </c>
      <c r="R52">
        <v>0.94077999999999995</v>
      </c>
      <c r="S52">
        <v>0.80440999999999996</v>
      </c>
      <c r="T52">
        <v>112.825</v>
      </c>
      <c r="U52">
        <v>1</v>
      </c>
    </row>
    <row r="53" spans="1:21" hidden="1" outlineLevel="1">
      <c r="A53" s="8">
        <v>42784</v>
      </c>
      <c r="B53" s="1860">
        <v>2214.1108300000001</v>
      </c>
      <c r="C53" s="1860">
        <v>2899.7652499999999</v>
      </c>
      <c r="D53" s="1860">
        <v>3085.54189</v>
      </c>
      <c r="E53" s="1860">
        <v>3608.6282500000002</v>
      </c>
      <c r="F53">
        <v>25.728429999999999</v>
      </c>
      <c r="G53" s="1861">
        <v>2902.81</v>
      </c>
      <c r="I53">
        <v>0.76275000000000004</v>
      </c>
      <c r="J53">
        <v>0.99895</v>
      </c>
      <c r="K53">
        <v>1.0629500000000001</v>
      </c>
      <c r="L53">
        <v>1.24315</v>
      </c>
      <c r="M53">
        <v>8.8599999999999998E-3</v>
      </c>
      <c r="N53">
        <v>1</v>
      </c>
      <c r="P53">
        <v>1.31105</v>
      </c>
      <c r="Q53">
        <v>1.00105</v>
      </c>
      <c r="R53">
        <v>0.94077999999999995</v>
      </c>
      <c r="S53">
        <v>0.80440999999999996</v>
      </c>
      <c r="T53">
        <v>112.825</v>
      </c>
      <c r="U53">
        <v>1</v>
      </c>
    </row>
    <row r="54" spans="1:21" hidden="1" outlineLevel="1">
      <c r="A54" s="8">
        <v>42785</v>
      </c>
      <c r="B54" s="1860">
        <v>2214.1108300000001</v>
      </c>
      <c r="C54" s="1860">
        <v>2899.7652499999999</v>
      </c>
      <c r="D54" s="1860">
        <v>3085.54189</v>
      </c>
      <c r="E54" s="1860">
        <v>3608.6282500000002</v>
      </c>
      <c r="F54">
        <v>25.728429999999999</v>
      </c>
      <c r="G54" s="1861">
        <v>2902.81</v>
      </c>
      <c r="I54">
        <v>0.76275000000000004</v>
      </c>
      <c r="J54">
        <v>0.99895</v>
      </c>
      <c r="K54">
        <v>1.0629500000000001</v>
      </c>
      <c r="L54">
        <v>1.24315</v>
      </c>
      <c r="M54">
        <v>8.8599999999999998E-3</v>
      </c>
      <c r="N54">
        <v>1</v>
      </c>
      <c r="P54">
        <v>1.31105</v>
      </c>
      <c r="Q54">
        <v>1.00105</v>
      </c>
      <c r="R54">
        <v>0.94077999999999995</v>
      </c>
      <c r="S54">
        <v>0.80440999999999996</v>
      </c>
      <c r="T54">
        <v>112.825</v>
      </c>
      <c r="U54">
        <v>1</v>
      </c>
    </row>
    <row r="55" spans="1:21" hidden="1" outlineLevel="1">
      <c r="A55" s="8">
        <v>42786</v>
      </c>
      <c r="B55" s="1860">
        <v>2216.9008699999999</v>
      </c>
      <c r="C55" s="1860">
        <v>2896.5823500000001</v>
      </c>
      <c r="D55" s="1860">
        <v>3083.0745000000002</v>
      </c>
      <c r="E55" s="1860">
        <v>3620.8200499999998</v>
      </c>
      <c r="F55">
        <v>25.66133</v>
      </c>
      <c r="G55" s="1861">
        <v>2902.81</v>
      </c>
      <c r="I55">
        <v>0.76371</v>
      </c>
      <c r="J55">
        <v>0.99785000000000001</v>
      </c>
      <c r="K55">
        <v>1.0621</v>
      </c>
      <c r="L55">
        <v>1.24735</v>
      </c>
      <c r="M55">
        <v>8.8400000000000006E-3</v>
      </c>
      <c r="N55">
        <v>1</v>
      </c>
      <c r="P55">
        <v>1.3093999999999999</v>
      </c>
      <c r="Q55">
        <v>1.0021500000000001</v>
      </c>
      <c r="R55">
        <v>0.94152999999999998</v>
      </c>
      <c r="S55">
        <v>0.80169999999999997</v>
      </c>
      <c r="T55">
        <v>113.12</v>
      </c>
      <c r="U55">
        <v>1</v>
      </c>
    </row>
    <row r="56" spans="1:21" hidden="1" outlineLevel="1">
      <c r="A56" s="8">
        <v>42787</v>
      </c>
      <c r="B56" s="1860">
        <v>2209.7286199999999</v>
      </c>
      <c r="C56" s="1860">
        <v>2875.2080000000001</v>
      </c>
      <c r="D56" s="1860">
        <v>3058.54576</v>
      </c>
      <c r="E56" s="1860">
        <v>3619.51379</v>
      </c>
      <c r="F56">
        <v>25.54166</v>
      </c>
      <c r="G56" s="1861">
        <v>2902.81</v>
      </c>
      <c r="I56">
        <v>0.76124000000000003</v>
      </c>
      <c r="J56">
        <v>0.99048999999999998</v>
      </c>
      <c r="K56">
        <v>1.05365</v>
      </c>
      <c r="L56">
        <v>1.2468999999999999</v>
      </c>
      <c r="M56">
        <v>8.8000000000000005E-3</v>
      </c>
      <c r="N56">
        <v>1</v>
      </c>
      <c r="P56">
        <v>1.31365</v>
      </c>
      <c r="Q56">
        <v>1.0096000000000001</v>
      </c>
      <c r="R56">
        <v>0.94908000000000003</v>
      </c>
      <c r="S56">
        <v>0.80198999999999998</v>
      </c>
      <c r="T56">
        <v>113.65</v>
      </c>
      <c r="U56">
        <v>1</v>
      </c>
    </row>
    <row r="57" spans="1:21" hidden="1" outlineLevel="1">
      <c r="A57" s="8">
        <v>42788</v>
      </c>
      <c r="B57" s="1860">
        <v>2200.0833699999998</v>
      </c>
      <c r="C57" s="1860">
        <v>2868.9696100000001</v>
      </c>
      <c r="D57" s="1860">
        <v>3060.4406600000002</v>
      </c>
      <c r="E57" s="1860">
        <v>3616.01361</v>
      </c>
      <c r="F57">
        <v>25.60247</v>
      </c>
      <c r="G57" s="1861">
        <v>2902.68</v>
      </c>
      <c r="I57">
        <v>0.75795000000000001</v>
      </c>
      <c r="J57">
        <v>0.98838999999999999</v>
      </c>
      <c r="K57">
        <v>1.0543499999999999</v>
      </c>
      <c r="L57">
        <v>1.2457499999999999</v>
      </c>
      <c r="M57">
        <v>8.8199999999999997E-3</v>
      </c>
      <c r="N57">
        <v>1</v>
      </c>
      <c r="P57">
        <v>1.31935</v>
      </c>
      <c r="Q57">
        <v>1.0117499999999999</v>
      </c>
      <c r="R57">
        <v>0.94845000000000002</v>
      </c>
      <c r="S57">
        <v>0.80273000000000005</v>
      </c>
      <c r="T57">
        <v>113.375</v>
      </c>
      <c r="U57">
        <v>1</v>
      </c>
    </row>
    <row r="58" spans="1:21" hidden="1" outlineLevel="1">
      <c r="A58" s="8">
        <v>42789</v>
      </c>
      <c r="B58" s="1860">
        <v>2209.9977100000001</v>
      </c>
      <c r="C58" s="1860">
        <v>2877.0072100000002</v>
      </c>
      <c r="D58" s="1860">
        <v>3064.9928399999999</v>
      </c>
      <c r="E58" s="1860">
        <v>3631.1158999999998</v>
      </c>
      <c r="F58">
        <v>25.697600000000001</v>
      </c>
      <c r="G58" s="1861">
        <v>2893.55</v>
      </c>
      <c r="I58">
        <v>0.76376999999999995</v>
      </c>
      <c r="J58">
        <v>0.99428000000000005</v>
      </c>
      <c r="K58">
        <v>1.05925</v>
      </c>
      <c r="L58">
        <v>1.2548999999999999</v>
      </c>
      <c r="M58">
        <v>8.8800000000000007E-3</v>
      </c>
      <c r="N58">
        <v>1</v>
      </c>
      <c r="P58">
        <v>1.3092999999999999</v>
      </c>
      <c r="Q58">
        <v>1.0057499999999999</v>
      </c>
      <c r="R58">
        <v>0.94406000000000001</v>
      </c>
      <c r="S58">
        <v>0.79688000000000003</v>
      </c>
      <c r="T58">
        <v>112.6</v>
      </c>
      <c r="U58">
        <v>1</v>
      </c>
    </row>
    <row r="59" spans="1:21" hidden="1" outlineLevel="1">
      <c r="A59" s="8">
        <v>42790</v>
      </c>
      <c r="B59" s="1860">
        <v>2192.5329299999999</v>
      </c>
      <c r="C59" s="1860">
        <v>2852.6995499999998</v>
      </c>
      <c r="D59" s="1860">
        <v>3035.0680200000002</v>
      </c>
      <c r="E59" s="1860">
        <v>3587.5773300000001</v>
      </c>
      <c r="F59">
        <v>25.561170000000001</v>
      </c>
      <c r="G59" s="1861">
        <v>2871.67</v>
      </c>
      <c r="I59">
        <v>0.76349999999999996</v>
      </c>
      <c r="J59">
        <v>0.99339</v>
      </c>
      <c r="K59">
        <v>1.0569</v>
      </c>
      <c r="L59">
        <v>1.2493000000000001</v>
      </c>
      <c r="M59">
        <v>8.8999999999999999E-3</v>
      </c>
      <c r="N59">
        <v>1</v>
      </c>
      <c r="P59">
        <v>1.30975</v>
      </c>
      <c r="Q59">
        <v>1.00665</v>
      </c>
      <c r="R59">
        <v>0.94616</v>
      </c>
      <c r="S59">
        <v>0.80044999999999999</v>
      </c>
      <c r="T59">
        <v>112.345</v>
      </c>
      <c r="U59">
        <v>1</v>
      </c>
    </row>
    <row r="60" spans="1:21" hidden="1" outlineLevel="1">
      <c r="A60" s="8">
        <v>42791</v>
      </c>
      <c r="B60" s="1860">
        <v>2203.8709699999999</v>
      </c>
      <c r="C60" s="1860">
        <v>2867.45145</v>
      </c>
      <c r="D60" s="1860">
        <v>3050.7629900000002</v>
      </c>
      <c r="E60" s="1860">
        <v>3606.1294400000002</v>
      </c>
      <c r="F60">
        <v>25.693359999999998</v>
      </c>
      <c r="G60" s="1861">
        <v>2886.52</v>
      </c>
      <c r="I60">
        <v>0.76349999999999996</v>
      </c>
      <c r="J60">
        <v>0.99339</v>
      </c>
      <c r="K60">
        <v>1.0569</v>
      </c>
      <c r="L60">
        <v>1.2493000000000001</v>
      </c>
      <c r="M60">
        <v>8.8999999999999999E-3</v>
      </c>
      <c r="N60">
        <v>1</v>
      </c>
      <c r="P60">
        <v>1.30975</v>
      </c>
      <c r="Q60">
        <v>1.00665</v>
      </c>
      <c r="R60">
        <v>0.94616</v>
      </c>
      <c r="S60">
        <v>0.80044999999999999</v>
      </c>
      <c r="T60">
        <v>112.345</v>
      </c>
      <c r="U60">
        <v>1</v>
      </c>
    </row>
    <row r="61" spans="1:21" hidden="1" outlineLevel="1">
      <c r="A61" s="8">
        <v>42792</v>
      </c>
      <c r="B61" s="1860">
        <v>2203.8709699999999</v>
      </c>
      <c r="C61" s="1860">
        <v>2867.45145</v>
      </c>
      <c r="D61" s="1860">
        <v>3050.7629900000002</v>
      </c>
      <c r="E61" s="1860">
        <v>3606.1294400000002</v>
      </c>
      <c r="F61">
        <v>25.693359999999998</v>
      </c>
      <c r="G61" s="1861">
        <v>2886.52</v>
      </c>
      <c r="I61">
        <v>0.76349999999999996</v>
      </c>
      <c r="J61">
        <v>0.99339</v>
      </c>
      <c r="K61">
        <v>1.0569</v>
      </c>
      <c r="L61">
        <v>1.2493000000000001</v>
      </c>
      <c r="M61">
        <v>8.8999999999999999E-3</v>
      </c>
      <c r="N61">
        <v>1</v>
      </c>
      <c r="P61">
        <v>1.30975</v>
      </c>
      <c r="Q61">
        <v>1.00665</v>
      </c>
      <c r="R61">
        <v>0.94616</v>
      </c>
      <c r="S61">
        <v>0.80044999999999999</v>
      </c>
      <c r="T61">
        <v>112.345</v>
      </c>
      <c r="U61">
        <v>1</v>
      </c>
    </row>
    <row r="62" spans="1:21" hidden="1" outlineLevel="1">
      <c r="A62" s="8">
        <v>42793</v>
      </c>
      <c r="B62" s="1860">
        <v>2203.3662800000002</v>
      </c>
      <c r="C62" s="1860">
        <v>2870.44551</v>
      </c>
      <c r="D62" s="1860">
        <v>3063.3193500000002</v>
      </c>
      <c r="E62" s="1860">
        <v>3599.05746</v>
      </c>
      <c r="F62">
        <v>25.748360000000002</v>
      </c>
      <c r="G62" s="1861">
        <v>2886.52</v>
      </c>
      <c r="I62">
        <v>0.76332999999999995</v>
      </c>
      <c r="J62">
        <v>0.99443000000000004</v>
      </c>
      <c r="K62">
        <v>1.06125</v>
      </c>
      <c r="L62">
        <v>1.24685</v>
      </c>
      <c r="M62">
        <v>8.9200000000000008E-3</v>
      </c>
      <c r="N62">
        <v>1</v>
      </c>
      <c r="P62">
        <v>1.3100499999999999</v>
      </c>
      <c r="Q62">
        <v>1.0056</v>
      </c>
      <c r="R62">
        <v>0.94228999999999996</v>
      </c>
      <c r="S62">
        <v>0.80201999999999996</v>
      </c>
      <c r="T62">
        <v>112.105</v>
      </c>
      <c r="U62">
        <v>1</v>
      </c>
    </row>
    <row r="63" spans="1:21" hidden="1" outlineLevel="1">
      <c r="A63" s="8">
        <v>42794</v>
      </c>
      <c r="B63" s="1860">
        <v>2186.77187</v>
      </c>
      <c r="C63" s="1860">
        <v>2892.0764899999999</v>
      </c>
      <c r="D63" s="1860">
        <v>3077.5765000000001</v>
      </c>
      <c r="E63" s="1860">
        <v>3604.1183900000001</v>
      </c>
      <c r="F63">
        <v>25.886130000000001</v>
      </c>
      <c r="G63" s="1861">
        <v>2896.27</v>
      </c>
      <c r="I63">
        <v>0.75502999999999998</v>
      </c>
      <c r="J63">
        <v>0.99855000000000005</v>
      </c>
      <c r="K63">
        <v>1.0626</v>
      </c>
      <c r="L63">
        <v>1.2444</v>
      </c>
      <c r="M63">
        <v>8.94E-3</v>
      </c>
      <c r="N63">
        <v>1</v>
      </c>
      <c r="P63">
        <v>1.3244499999999999</v>
      </c>
      <c r="Q63">
        <v>1.00145</v>
      </c>
      <c r="R63">
        <v>0.94108999999999998</v>
      </c>
      <c r="S63">
        <v>0.80359999999999998</v>
      </c>
      <c r="T63">
        <v>111.88500000000001</v>
      </c>
      <c r="U63">
        <v>1</v>
      </c>
    </row>
    <row r="64" spans="1:21" hidden="1" outlineLevel="1">
      <c r="A64" s="8">
        <v>42795</v>
      </c>
      <c r="B64" s="1860">
        <v>2186.31666</v>
      </c>
      <c r="C64" s="1860">
        <v>2893.4185699999998</v>
      </c>
      <c r="D64" s="1860">
        <v>3081.4758499999998</v>
      </c>
      <c r="E64" s="1860">
        <v>3595.2497699999999</v>
      </c>
      <c r="F64">
        <v>25.64387</v>
      </c>
      <c r="G64" s="1861">
        <v>2919.17</v>
      </c>
      <c r="I64">
        <v>0.74895</v>
      </c>
      <c r="J64">
        <v>0.99117999999999995</v>
      </c>
      <c r="K64">
        <v>1.0556000000000001</v>
      </c>
      <c r="L64">
        <v>1.2316</v>
      </c>
      <c r="M64">
        <v>8.7799999999999996E-3</v>
      </c>
      <c r="N64">
        <v>1</v>
      </c>
      <c r="P64">
        <v>1.3351999999999999</v>
      </c>
      <c r="Q64">
        <v>1.0088999999999999</v>
      </c>
      <c r="R64">
        <v>0.94733000000000001</v>
      </c>
      <c r="S64">
        <v>0.81194999999999995</v>
      </c>
      <c r="T64">
        <v>113.83499999999999</v>
      </c>
      <c r="U64">
        <v>1</v>
      </c>
    </row>
    <row r="65" spans="1:21" hidden="1" outlineLevel="1">
      <c r="A65" s="8">
        <v>42796</v>
      </c>
      <c r="B65" s="1860">
        <v>2195.1173899999999</v>
      </c>
      <c r="C65" s="1860">
        <v>2904.2390099999998</v>
      </c>
      <c r="D65" s="1860">
        <v>3090.3172399999999</v>
      </c>
      <c r="E65" s="1860">
        <v>3605.98173</v>
      </c>
      <c r="F65">
        <v>25.66215</v>
      </c>
      <c r="G65" s="1861">
        <v>2935.75</v>
      </c>
      <c r="I65">
        <v>0.74772000000000005</v>
      </c>
      <c r="J65">
        <v>0.98926999999999998</v>
      </c>
      <c r="K65">
        <v>1.0526500000000001</v>
      </c>
      <c r="L65">
        <v>1.2282999999999999</v>
      </c>
      <c r="M65">
        <v>8.7399999999999995E-3</v>
      </c>
      <c r="N65">
        <v>1</v>
      </c>
      <c r="P65">
        <v>1.3373999999999999</v>
      </c>
      <c r="Q65">
        <v>1.01085</v>
      </c>
      <c r="R65">
        <v>0.94998000000000005</v>
      </c>
      <c r="S65">
        <v>0.81413000000000002</v>
      </c>
      <c r="T65">
        <v>114.4</v>
      </c>
      <c r="U65">
        <v>1</v>
      </c>
    </row>
    <row r="66" spans="1:21" hidden="1" outlineLevel="1">
      <c r="A66" s="8">
        <v>42797</v>
      </c>
      <c r="B66" s="1860">
        <v>2207.1636199999998</v>
      </c>
      <c r="C66" s="1860">
        <v>2929.8535499999998</v>
      </c>
      <c r="D66" s="1860">
        <v>3127.46119</v>
      </c>
      <c r="E66" s="1860">
        <v>3630.3717499999998</v>
      </c>
      <c r="F66">
        <v>25.860610000000001</v>
      </c>
      <c r="G66" s="1861">
        <v>2960.91</v>
      </c>
      <c r="I66">
        <v>0.74543000000000004</v>
      </c>
      <c r="J66">
        <v>0.98951</v>
      </c>
      <c r="K66">
        <v>1.0562499999999999</v>
      </c>
      <c r="L66">
        <v>1.2261</v>
      </c>
      <c r="M66">
        <v>8.7299999999999999E-3</v>
      </c>
      <c r="N66">
        <v>1</v>
      </c>
      <c r="P66">
        <v>1.3414999999999999</v>
      </c>
      <c r="Q66">
        <v>1.0105999999999999</v>
      </c>
      <c r="R66">
        <v>0.94674999999999998</v>
      </c>
      <c r="S66">
        <v>0.81559000000000004</v>
      </c>
      <c r="T66">
        <v>114.495</v>
      </c>
      <c r="U66">
        <v>1</v>
      </c>
    </row>
    <row r="67" spans="1:21" hidden="1" outlineLevel="1">
      <c r="A67" s="8">
        <v>42798</v>
      </c>
      <c r="B67" s="1860">
        <v>2219.4782</v>
      </c>
      <c r="C67" s="1860">
        <v>2946.20028</v>
      </c>
      <c r="D67" s="1860">
        <v>3144.9104400000001</v>
      </c>
      <c r="E67" s="1860">
        <v>3650.6269200000002</v>
      </c>
      <c r="F67">
        <v>26.00489</v>
      </c>
      <c r="G67" s="1861">
        <v>2977.43</v>
      </c>
      <c r="I67">
        <v>0.74543000000000004</v>
      </c>
      <c r="J67">
        <v>0.98951</v>
      </c>
      <c r="K67">
        <v>1.0562499999999999</v>
      </c>
      <c r="L67">
        <v>1.2261</v>
      </c>
      <c r="M67">
        <v>8.7299999999999999E-3</v>
      </c>
      <c r="N67">
        <v>1</v>
      </c>
      <c r="P67">
        <v>1.3414999999999999</v>
      </c>
      <c r="Q67">
        <v>1.0105999999999999</v>
      </c>
      <c r="R67">
        <v>0.94674999999999998</v>
      </c>
      <c r="S67">
        <v>0.81559000000000004</v>
      </c>
      <c r="T67">
        <v>114.495</v>
      </c>
      <c r="U67">
        <v>1</v>
      </c>
    </row>
    <row r="68" spans="1:21" hidden="1" outlineLevel="1">
      <c r="A68" s="8">
        <v>42799</v>
      </c>
      <c r="B68" s="1860">
        <v>2219.4782</v>
      </c>
      <c r="C68" s="1860">
        <v>2946.20028</v>
      </c>
      <c r="D68" s="1860">
        <v>3144.9104400000001</v>
      </c>
      <c r="E68" s="1860">
        <v>3650.6269200000002</v>
      </c>
      <c r="F68">
        <v>26.00489</v>
      </c>
      <c r="G68" s="1861">
        <v>2977.43</v>
      </c>
      <c r="I68">
        <v>0.74543000000000004</v>
      </c>
      <c r="J68">
        <v>0.98951</v>
      </c>
      <c r="K68">
        <v>1.0562499999999999</v>
      </c>
      <c r="L68">
        <v>1.2261</v>
      </c>
      <c r="M68">
        <v>8.7299999999999999E-3</v>
      </c>
      <c r="N68">
        <v>1</v>
      </c>
      <c r="P68">
        <v>1.3414999999999999</v>
      </c>
      <c r="Q68">
        <v>1.0105999999999999</v>
      </c>
      <c r="R68">
        <v>0.94674999999999998</v>
      </c>
      <c r="S68">
        <v>0.81559000000000004</v>
      </c>
      <c r="T68">
        <v>114.495</v>
      </c>
      <c r="U68">
        <v>1</v>
      </c>
    </row>
    <row r="69" spans="1:21" hidden="1" outlineLevel="1">
      <c r="A69" s="8">
        <v>42800</v>
      </c>
      <c r="B69" s="1860">
        <v>2222.70912</v>
      </c>
      <c r="C69" s="1860">
        <v>2944.3065499999998</v>
      </c>
      <c r="D69" s="1860">
        <v>3155.4803099999999</v>
      </c>
      <c r="E69" s="1860">
        <v>3648.9893400000001</v>
      </c>
      <c r="F69">
        <v>26.169460000000001</v>
      </c>
      <c r="G69" s="1861">
        <v>2977.43</v>
      </c>
      <c r="I69">
        <v>0.74651999999999996</v>
      </c>
      <c r="J69">
        <v>0.98887999999999998</v>
      </c>
      <c r="K69">
        <v>1.0598000000000001</v>
      </c>
      <c r="L69">
        <v>1.2255499999999999</v>
      </c>
      <c r="M69">
        <v>8.7899999999999992E-3</v>
      </c>
      <c r="N69">
        <v>1</v>
      </c>
      <c r="P69">
        <v>1.33955</v>
      </c>
      <c r="Q69">
        <v>1.01125</v>
      </c>
      <c r="R69">
        <v>0.94357000000000002</v>
      </c>
      <c r="S69">
        <v>0.81596000000000002</v>
      </c>
      <c r="T69">
        <v>113.77500000000001</v>
      </c>
      <c r="U69">
        <v>1</v>
      </c>
    </row>
    <row r="70" spans="1:21" hidden="1" outlineLevel="1">
      <c r="A70" s="8">
        <v>42801</v>
      </c>
      <c r="B70" s="1860">
        <v>2212.77691</v>
      </c>
      <c r="C70" s="1860">
        <v>2927.2978400000002</v>
      </c>
      <c r="D70" s="1860">
        <v>3138.88519</v>
      </c>
      <c r="E70" s="1860">
        <v>3617.7057300000001</v>
      </c>
      <c r="F70">
        <v>26.023420000000002</v>
      </c>
      <c r="G70" s="1861">
        <v>2966.67</v>
      </c>
      <c r="I70">
        <v>0.74587999999999999</v>
      </c>
      <c r="J70">
        <v>0.98673</v>
      </c>
      <c r="K70">
        <v>1.0580499999999999</v>
      </c>
      <c r="L70">
        <v>1.2194499999999999</v>
      </c>
      <c r="M70">
        <v>8.77E-3</v>
      </c>
      <c r="N70">
        <v>1</v>
      </c>
      <c r="P70">
        <v>1.3407</v>
      </c>
      <c r="Q70">
        <v>1.01345</v>
      </c>
      <c r="R70">
        <v>0.94513000000000003</v>
      </c>
      <c r="S70">
        <v>0.82003999999999999</v>
      </c>
      <c r="T70">
        <v>114</v>
      </c>
      <c r="U70">
        <v>1</v>
      </c>
    </row>
    <row r="71" spans="1:21" hidden="1" outlineLevel="1">
      <c r="A71" s="8">
        <v>42802</v>
      </c>
      <c r="B71" s="1860">
        <v>2207.8585800000001</v>
      </c>
      <c r="C71" s="1860">
        <v>2929.6668599999998</v>
      </c>
      <c r="D71" s="1860">
        <v>3137.70766</v>
      </c>
      <c r="E71" s="1860">
        <v>3617.01361</v>
      </c>
      <c r="F71">
        <v>25.922820000000002</v>
      </c>
      <c r="G71" s="1861">
        <v>2972.44</v>
      </c>
      <c r="I71">
        <v>0.74278</v>
      </c>
      <c r="J71">
        <v>0.98560999999999999</v>
      </c>
      <c r="K71">
        <v>1.0556000000000001</v>
      </c>
      <c r="L71">
        <v>1.21685</v>
      </c>
      <c r="M71">
        <v>8.7200000000000003E-3</v>
      </c>
      <c r="N71">
        <v>1</v>
      </c>
      <c r="P71">
        <v>1.3463000000000001</v>
      </c>
      <c r="Q71">
        <v>1.0145999999999999</v>
      </c>
      <c r="R71">
        <v>0.94733000000000001</v>
      </c>
      <c r="S71">
        <v>0.82179000000000002</v>
      </c>
      <c r="T71">
        <v>114.66500000000001</v>
      </c>
      <c r="U71">
        <v>1</v>
      </c>
    </row>
    <row r="72" spans="1:21" hidden="1" outlineLevel="1">
      <c r="A72" s="8">
        <v>42803</v>
      </c>
      <c r="B72" s="1860">
        <v>2209.8886900000002</v>
      </c>
      <c r="C72" s="1860">
        <v>2945.1749599999998</v>
      </c>
      <c r="D72" s="1860">
        <v>3161.4758299999999</v>
      </c>
      <c r="E72" s="1860">
        <v>3630.4235899999999</v>
      </c>
      <c r="F72">
        <v>26.018899999999999</v>
      </c>
      <c r="G72" s="1861">
        <v>2987.88</v>
      </c>
      <c r="I72">
        <v>0.73962000000000006</v>
      </c>
      <c r="J72">
        <v>0.98570999999999998</v>
      </c>
      <c r="K72">
        <v>1.0581</v>
      </c>
      <c r="L72">
        <v>1.21505</v>
      </c>
      <c r="M72">
        <v>8.7100000000000007E-3</v>
      </c>
      <c r="N72">
        <v>1</v>
      </c>
      <c r="P72">
        <v>1.35205</v>
      </c>
      <c r="Q72">
        <v>1.0145</v>
      </c>
      <c r="R72">
        <v>0.94508999999999999</v>
      </c>
      <c r="S72">
        <v>0.82301000000000002</v>
      </c>
      <c r="T72">
        <v>114.83499999999999</v>
      </c>
      <c r="U72">
        <v>1</v>
      </c>
    </row>
    <row r="73" spans="1:21" hidden="1" outlineLevel="1">
      <c r="A73" s="8">
        <v>42804</v>
      </c>
      <c r="B73" s="1860">
        <v>2230.79151</v>
      </c>
      <c r="C73" s="1860">
        <v>2974.0942399999999</v>
      </c>
      <c r="D73" s="1860">
        <v>3201.67083</v>
      </c>
      <c r="E73" s="1860">
        <v>3655.4899799999998</v>
      </c>
      <c r="F73">
        <v>26.13571</v>
      </c>
      <c r="G73" s="1861">
        <v>3004.43</v>
      </c>
      <c r="I73">
        <v>0.74250000000000005</v>
      </c>
      <c r="J73">
        <v>0.9899</v>
      </c>
      <c r="K73">
        <v>1.06565</v>
      </c>
      <c r="L73">
        <v>1.2166999999999999</v>
      </c>
      <c r="M73">
        <v>8.6999999999999994E-3</v>
      </c>
      <c r="N73">
        <v>1</v>
      </c>
      <c r="P73">
        <v>1.3468</v>
      </c>
      <c r="Q73">
        <v>1.0102</v>
      </c>
      <c r="R73">
        <v>0.93838999999999995</v>
      </c>
      <c r="S73">
        <v>0.82189999999999996</v>
      </c>
      <c r="T73">
        <v>114.955</v>
      </c>
      <c r="U73">
        <v>1</v>
      </c>
    </row>
    <row r="74" spans="1:21" hidden="1" outlineLevel="1">
      <c r="A74" s="8">
        <v>42805</v>
      </c>
      <c r="B74" s="1860">
        <v>2213.2684899999999</v>
      </c>
      <c r="C74" s="1860">
        <v>2950.7325300000002</v>
      </c>
      <c r="D74" s="1860">
        <v>3176.5214900000001</v>
      </c>
      <c r="E74" s="1860">
        <v>3626.7758600000002</v>
      </c>
      <c r="F74">
        <v>25.930409999999998</v>
      </c>
      <c r="G74" s="1861">
        <v>2980.83</v>
      </c>
      <c r="I74">
        <v>0.74250000000000005</v>
      </c>
      <c r="J74">
        <v>0.9899</v>
      </c>
      <c r="K74">
        <v>1.06565</v>
      </c>
      <c r="L74">
        <v>1.2166999999999999</v>
      </c>
      <c r="M74">
        <v>8.6999999999999994E-3</v>
      </c>
      <c r="N74">
        <v>1</v>
      </c>
      <c r="P74">
        <v>1.3468</v>
      </c>
      <c r="Q74">
        <v>1.0102</v>
      </c>
      <c r="R74">
        <v>0.93838999999999995</v>
      </c>
      <c r="S74">
        <v>0.82189999999999996</v>
      </c>
      <c r="T74">
        <v>114.955</v>
      </c>
      <c r="U74">
        <v>1</v>
      </c>
    </row>
    <row r="75" spans="1:21" hidden="1" outlineLevel="1">
      <c r="A75" s="8">
        <v>42806</v>
      </c>
      <c r="B75" s="1860">
        <v>2213.2684899999999</v>
      </c>
      <c r="C75" s="1860">
        <v>2950.7325300000002</v>
      </c>
      <c r="D75" s="1860">
        <v>3176.5214900000001</v>
      </c>
      <c r="E75" s="1860">
        <v>3626.7758600000002</v>
      </c>
      <c r="F75">
        <v>25.930409999999998</v>
      </c>
      <c r="G75" s="1861">
        <v>2980.83</v>
      </c>
      <c r="I75">
        <v>0.74250000000000005</v>
      </c>
      <c r="J75">
        <v>0.9899</v>
      </c>
      <c r="K75">
        <v>1.06565</v>
      </c>
      <c r="L75">
        <v>1.2166999999999999</v>
      </c>
      <c r="M75">
        <v>8.6999999999999994E-3</v>
      </c>
      <c r="N75">
        <v>1</v>
      </c>
      <c r="P75">
        <v>1.3468</v>
      </c>
      <c r="Q75">
        <v>1.0102</v>
      </c>
      <c r="R75">
        <v>0.93838999999999995</v>
      </c>
      <c r="S75">
        <v>0.82189999999999996</v>
      </c>
      <c r="T75">
        <v>114.955</v>
      </c>
      <c r="U75">
        <v>1</v>
      </c>
    </row>
    <row r="76" spans="1:21" hidden="1" outlineLevel="1">
      <c r="A76" s="8">
        <v>42807</v>
      </c>
      <c r="B76" s="1860">
        <v>2215.98335</v>
      </c>
      <c r="C76" s="1860">
        <v>2960.5502299999998</v>
      </c>
      <c r="D76" s="1860">
        <v>3180.2475300000001</v>
      </c>
      <c r="E76" s="1860">
        <v>3646.5983799999999</v>
      </c>
      <c r="F76">
        <v>26.002790000000001</v>
      </c>
      <c r="G76" s="1861">
        <v>2980.83</v>
      </c>
      <c r="I76">
        <v>0.74341000000000002</v>
      </c>
      <c r="J76">
        <v>0.99319999999999997</v>
      </c>
      <c r="K76">
        <v>1.0669</v>
      </c>
      <c r="L76">
        <v>1.2233499999999999</v>
      </c>
      <c r="M76">
        <v>8.7200000000000003E-3</v>
      </c>
      <c r="N76">
        <v>1</v>
      </c>
      <c r="P76">
        <v>1.3451500000000001</v>
      </c>
      <c r="Q76">
        <v>1.00685</v>
      </c>
      <c r="R76">
        <v>0.93728999999999996</v>
      </c>
      <c r="S76">
        <v>0.81742999999999999</v>
      </c>
      <c r="T76">
        <v>114.63500000000001</v>
      </c>
      <c r="U76">
        <v>1</v>
      </c>
    </row>
    <row r="77" spans="1:21" hidden="1" outlineLevel="1">
      <c r="A77" s="8">
        <v>42808</v>
      </c>
      <c r="B77" s="1860">
        <v>2219.5290399999999</v>
      </c>
      <c r="C77" s="1860">
        <v>2964.9516199999998</v>
      </c>
      <c r="D77" s="1860">
        <v>3180.6514900000002</v>
      </c>
      <c r="E77" s="1860">
        <v>3635.7132200000001</v>
      </c>
      <c r="F77">
        <v>26.070409999999999</v>
      </c>
      <c r="G77" s="1861">
        <v>2987.93</v>
      </c>
      <c r="I77">
        <v>0.74282999999999999</v>
      </c>
      <c r="J77">
        <v>0.99231000000000003</v>
      </c>
      <c r="K77">
        <v>1.0645</v>
      </c>
      <c r="L77">
        <v>1.2168000000000001</v>
      </c>
      <c r="M77">
        <v>8.7299999999999999E-3</v>
      </c>
      <c r="N77">
        <v>1</v>
      </c>
      <c r="P77">
        <v>1.3462000000000001</v>
      </c>
      <c r="Q77">
        <v>1.0077499999999999</v>
      </c>
      <c r="R77">
        <v>0.93940999999999997</v>
      </c>
      <c r="S77">
        <v>0.82182999999999995</v>
      </c>
      <c r="T77">
        <v>114.61</v>
      </c>
      <c r="U77">
        <v>1</v>
      </c>
    </row>
    <row r="78" spans="1:21" hidden="1" outlineLevel="1">
      <c r="A78" s="8">
        <v>42809</v>
      </c>
      <c r="B78" s="1860">
        <v>2228.6298400000001</v>
      </c>
      <c r="C78" s="1860">
        <v>2973.6434899999999</v>
      </c>
      <c r="D78" s="1860">
        <v>3186.7368799999999</v>
      </c>
      <c r="E78" s="1860">
        <v>3663.8256099999999</v>
      </c>
      <c r="F78">
        <v>26.143370000000001</v>
      </c>
      <c r="G78" s="1861">
        <v>2997.73</v>
      </c>
      <c r="I78">
        <v>0.74343999999999999</v>
      </c>
      <c r="J78">
        <v>0.99197000000000002</v>
      </c>
      <c r="K78">
        <v>1.0630500000000001</v>
      </c>
      <c r="L78">
        <v>1.2222</v>
      </c>
      <c r="M78">
        <v>8.7200000000000003E-3</v>
      </c>
      <c r="N78">
        <v>1</v>
      </c>
      <c r="P78">
        <v>1.3451</v>
      </c>
      <c r="Q78">
        <v>1.0081</v>
      </c>
      <c r="R78">
        <v>0.94069000000000003</v>
      </c>
      <c r="S78">
        <v>0.81820000000000004</v>
      </c>
      <c r="T78">
        <v>114.66500000000001</v>
      </c>
      <c r="U78">
        <v>1</v>
      </c>
    </row>
    <row r="79" spans="1:21" hidden="1" outlineLevel="1">
      <c r="A79" s="8">
        <v>42810</v>
      </c>
      <c r="B79" s="1860">
        <v>2232.3595700000001</v>
      </c>
      <c r="C79" s="1860">
        <v>2986.3472000000002</v>
      </c>
      <c r="D79" s="1860">
        <v>3191.5427300000001</v>
      </c>
      <c r="E79" s="1860">
        <v>3676.96994</v>
      </c>
      <c r="F79">
        <v>26.302790000000002</v>
      </c>
      <c r="G79" s="1861">
        <v>2972.61</v>
      </c>
      <c r="I79">
        <v>0.75097999999999998</v>
      </c>
      <c r="J79">
        <v>1.0046200000000001</v>
      </c>
      <c r="K79">
        <v>1.07365</v>
      </c>
      <c r="L79">
        <v>1.23695</v>
      </c>
      <c r="M79">
        <v>8.8500000000000002E-3</v>
      </c>
      <c r="N79">
        <v>1</v>
      </c>
      <c r="P79">
        <v>1.3315999999999999</v>
      </c>
      <c r="Q79">
        <v>0.99539999999999995</v>
      </c>
      <c r="R79">
        <v>0.93140000000000001</v>
      </c>
      <c r="S79">
        <v>0.80844000000000005</v>
      </c>
      <c r="T79">
        <v>113.015</v>
      </c>
      <c r="U79">
        <v>1</v>
      </c>
    </row>
    <row r="80" spans="1:21" hidden="1" outlineLevel="1">
      <c r="A80" s="8">
        <v>42811</v>
      </c>
      <c r="B80" s="1860">
        <v>2187.1194599999999</v>
      </c>
      <c r="C80" s="1860">
        <v>2929.9664299999999</v>
      </c>
      <c r="D80" s="1860">
        <v>3140.7716300000002</v>
      </c>
      <c r="E80" s="1860">
        <v>3617.52331</v>
      </c>
      <c r="F80">
        <v>25.951540000000001</v>
      </c>
      <c r="G80" s="1861">
        <v>2923.96</v>
      </c>
      <c r="I80">
        <v>0.748</v>
      </c>
      <c r="J80">
        <v>1.0020500000000001</v>
      </c>
      <c r="K80">
        <v>1.0741499999999999</v>
      </c>
      <c r="L80">
        <v>1.2372000000000001</v>
      </c>
      <c r="M80">
        <v>8.8800000000000007E-3</v>
      </c>
      <c r="N80">
        <v>1</v>
      </c>
      <c r="P80">
        <v>1.3369</v>
      </c>
      <c r="Q80">
        <v>0.99795</v>
      </c>
      <c r="R80">
        <v>0.93096999999999996</v>
      </c>
      <c r="S80">
        <v>0.80828</v>
      </c>
      <c r="T80">
        <v>112.67</v>
      </c>
      <c r="U80">
        <v>1</v>
      </c>
    </row>
    <row r="81" spans="1:21" hidden="1" outlineLevel="1">
      <c r="A81" s="8">
        <v>42812</v>
      </c>
      <c r="B81" s="1860">
        <v>2178.5698299999999</v>
      </c>
      <c r="C81" s="1860">
        <v>2918.5129499999998</v>
      </c>
      <c r="D81" s="1860">
        <v>3128.4940999999999</v>
      </c>
      <c r="E81" s="1860">
        <v>3603.3821200000002</v>
      </c>
      <c r="F81">
        <v>25.850090000000002</v>
      </c>
      <c r="G81" s="1861">
        <v>2912.53</v>
      </c>
      <c r="I81">
        <v>0.748</v>
      </c>
      <c r="J81">
        <v>1.0020500000000001</v>
      </c>
      <c r="K81">
        <v>1.0741499999999999</v>
      </c>
      <c r="L81">
        <v>1.2372000000000001</v>
      </c>
      <c r="M81">
        <v>8.8800000000000007E-3</v>
      </c>
      <c r="N81">
        <v>1</v>
      </c>
      <c r="P81">
        <v>1.3369</v>
      </c>
      <c r="Q81">
        <v>0.99795</v>
      </c>
      <c r="R81">
        <v>0.93096999999999996</v>
      </c>
      <c r="S81">
        <v>0.80828</v>
      </c>
      <c r="T81">
        <v>112.67</v>
      </c>
      <c r="U81">
        <v>1</v>
      </c>
    </row>
    <row r="82" spans="1:21" hidden="1" outlineLevel="1">
      <c r="A82" s="8">
        <v>42813</v>
      </c>
      <c r="B82" s="1860">
        <v>2178.5698299999999</v>
      </c>
      <c r="C82" s="1860">
        <v>2918.5129499999998</v>
      </c>
      <c r="D82" s="1860">
        <v>3128.4940999999999</v>
      </c>
      <c r="E82" s="1860">
        <v>3603.3821200000002</v>
      </c>
      <c r="F82">
        <v>25.850090000000002</v>
      </c>
      <c r="G82" s="1861">
        <v>2912.53</v>
      </c>
      <c r="I82">
        <v>0.748</v>
      </c>
      <c r="J82">
        <v>1.0020500000000001</v>
      </c>
      <c r="K82">
        <v>1.0741499999999999</v>
      </c>
      <c r="L82">
        <v>1.2372000000000001</v>
      </c>
      <c r="M82">
        <v>8.8800000000000007E-3</v>
      </c>
      <c r="N82">
        <v>1</v>
      </c>
      <c r="P82">
        <v>1.3369</v>
      </c>
      <c r="Q82">
        <v>0.99795</v>
      </c>
      <c r="R82">
        <v>0.93096999999999996</v>
      </c>
      <c r="S82">
        <v>0.80828</v>
      </c>
      <c r="T82">
        <v>112.67</v>
      </c>
      <c r="U82">
        <v>1</v>
      </c>
    </row>
    <row r="83" spans="1:21" hidden="1" outlineLevel="1">
      <c r="A83" s="8">
        <v>42814</v>
      </c>
      <c r="B83" s="1860">
        <v>2180.44544</v>
      </c>
      <c r="C83" s="1860">
        <v>2922.3197700000001</v>
      </c>
      <c r="D83" s="1860">
        <v>3131.9891400000001</v>
      </c>
      <c r="E83" s="1860">
        <v>3601.0520900000001</v>
      </c>
      <c r="F83">
        <v>25.869610000000002</v>
      </c>
      <c r="G83" s="1861">
        <v>2912.53</v>
      </c>
      <c r="I83">
        <v>0.74863999999999997</v>
      </c>
      <c r="J83">
        <v>1.00336</v>
      </c>
      <c r="K83">
        <v>1.07535</v>
      </c>
      <c r="L83">
        <v>1.2363999999999999</v>
      </c>
      <c r="M83">
        <v>8.8800000000000007E-3</v>
      </c>
      <c r="N83">
        <v>1</v>
      </c>
      <c r="P83">
        <v>1.33575</v>
      </c>
      <c r="Q83">
        <v>0.99665000000000004</v>
      </c>
      <c r="R83">
        <v>0.92993000000000003</v>
      </c>
      <c r="S83">
        <v>0.80879999999999996</v>
      </c>
      <c r="T83">
        <v>112.58499999999999</v>
      </c>
      <c r="U83">
        <v>1</v>
      </c>
    </row>
    <row r="84" spans="1:21" hidden="1" outlineLevel="1">
      <c r="A84" s="8">
        <v>42815</v>
      </c>
      <c r="B84" s="1860">
        <v>2186.7482500000001</v>
      </c>
      <c r="C84" s="1860">
        <v>2931.7328499999999</v>
      </c>
      <c r="D84" s="1860">
        <v>3148.4449300000001</v>
      </c>
      <c r="E84" s="1860">
        <v>3634.6918099999998</v>
      </c>
      <c r="F84">
        <v>26.032620000000001</v>
      </c>
      <c r="G84" s="1861">
        <v>2912.53</v>
      </c>
      <c r="I84">
        <v>0.75080999999999998</v>
      </c>
      <c r="J84">
        <v>1.0065900000000001</v>
      </c>
      <c r="K84">
        <v>1.081</v>
      </c>
      <c r="L84">
        <v>1.2479499999999999</v>
      </c>
      <c r="M84">
        <v>8.94E-3</v>
      </c>
      <c r="N84">
        <v>1</v>
      </c>
      <c r="P84">
        <v>1.3319000000000001</v>
      </c>
      <c r="Q84">
        <v>0.99345000000000006</v>
      </c>
      <c r="R84">
        <v>0.92506999999999995</v>
      </c>
      <c r="S84">
        <v>0.80130999999999997</v>
      </c>
      <c r="T84">
        <v>111.88</v>
      </c>
      <c r="U84">
        <v>1</v>
      </c>
    </row>
    <row r="85" spans="1:21" hidden="1" outlineLevel="1">
      <c r="A85" s="8">
        <v>42816</v>
      </c>
      <c r="B85" s="1860">
        <v>2176.4216700000002</v>
      </c>
      <c r="C85" s="1860">
        <v>2934.80501</v>
      </c>
      <c r="D85" s="1860">
        <v>3137.69533</v>
      </c>
      <c r="E85" s="1860">
        <v>3623.8253300000001</v>
      </c>
      <c r="F85">
        <v>26.148800000000001</v>
      </c>
      <c r="G85" s="1861">
        <v>2904.87</v>
      </c>
      <c r="I85">
        <v>0.74922999999999995</v>
      </c>
      <c r="J85">
        <v>1.01031</v>
      </c>
      <c r="K85">
        <v>1.0801499999999999</v>
      </c>
      <c r="L85">
        <v>1.2475000000000001</v>
      </c>
      <c r="M85">
        <v>8.9999999999999993E-3</v>
      </c>
      <c r="N85">
        <v>1</v>
      </c>
      <c r="P85">
        <v>1.3347</v>
      </c>
      <c r="Q85">
        <v>0.98980000000000001</v>
      </c>
      <c r="R85">
        <v>0.92579999999999996</v>
      </c>
      <c r="S85">
        <v>0.80159999999999998</v>
      </c>
      <c r="T85">
        <v>111.09</v>
      </c>
      <c r="U85">
        <v>1</v>
      </c>
    </row>
    <row r="86" spans="1:21" hidden="1" outlineLevel="1">
      <c r="A86" s="8">
        <v>42817</v>
      </c>
      <c r="B86" s="1860">
        <v>2202.6700700000001</v>
      </c>
      <c r="C86" s="1860">
        <v>2959.16167</v>
      </c>
      <c r="D86" s="1860">
        <v>3167.9477299999999</v>
      </c>
      <c r="E86" s="1860">
        <v>3678.5138900000002</v>
      </c>
      <c r="F86">
        <v>26.424510000000001</v>
      </c>
      <c r="G86" s="1861">
        <v>2936.82</v>
      </c>
      <c r="I86">
        <v>0.75002000000000002</v>
      </c>
      <c r="J86">
        <v>1.0076099999999999</v>
      </c>
      <c r="K86">
        <v>1.0787</v>
      </c>
      <c r="L86">
        <v>1.2525500000000001</v>
      </c>
      <c r="M86">
        <v>8.9999999999999993E-3</v>
      </c>
      <c r="N86">
        <v>1</v>
      </c>
      <c r="P86">
        <v>1.3332999999999999</v>
      </c>
      <c r="Q86">
        <v>0.99245000000000005</v>
      </c>
      <c r="R86">
        <v>0.92703999999999998</v>
      </c>
      <c r="S86">
        <v>0.79837000000000002</v>
      </c>
      <c r="T86">
        <v>111.14</v>
      </c>
      <c r="U86">
        <v>1</v>
      </c>
    </row>
    <row r="87" spans="1:21" hidden="1" outlineLevel="1">
      <c r="A87" s="8">
        <v>42818</v>
      </c>
      <c r="B87" s="1860">
        <v>2184.3571200000001</v>
      </c>
      <c r="C87" s="1860">
        <v>2947.18523</v>
      </c>
      <c r="D87" s="1860">
        <v>3156.5566899999999</v>
      </c>
      <c r="E87" s="1860">
        <v>3648.7873100000002</v>
      </c>
      <c r="F87">
        <v>26.305720000000001</v>
      </c>
      <c r="G87" s="1861">
        <v>2921.25</v>
      </c>
      <c r="I87">
        <v>0.74775000000000003</v>
      </c>
      <c r="J87">
        <v>1.00888</v>
      </c>
      <c r="K87">
        <v>1.0805499999999999</v>
      </c>
      <c r="L87">
        <v>1.24905</v>
      </c>
      <c r="M87">
        <v>8.9999999999999993E-3</v>
      </c>
      <c r="N87">
        <v>1</v>
      </c>
      <c r="P87">
        <v>1.33735</v>
      </c>
      <c r="Q87">
        <v>0.99119999999999997</v>
      </c>
      <c r="R87">
        <v>0.92544999999999999</v>
      </c>
      <c r="S87">
        <v>0.80061000000000004</v>
      </c>
      <c r="T87">
        <v>111.05</v>
      </c>
      <c r="U87">
        <v>1</v>
      </c>
    </row>
    <row r="88" spans="1:21" hidden="1" outlineLevel="1">
      <c r="A88" s="8">
        <v>42819</v>
      </c>
      <c r="B88" s="1860">
        <v>2168.42263</v>
      </c>
      <c r="C88" s="1860">
        <v>2925.68604</v>
      </c>
      <c r="D88" s="1860">
        <v>3133.53017</v>
      </c>
      <c r="E88" s="1860">
        <v>3622.1700599999999</v>
      </c>
      <c r="F88">
        <v>26.11382</v>
      </c>
      <c r="G88" s="1861">
        <v>2899.94</v>
      </c>
      <c r="I88">
        <v>0.74775000000000003</v>
      </c>
      <c r="J88">
        <v>1.00888</v>
      </c>
      <c r="K88">
        <v>1.0805499999999999</v>
      </c>
      <c r="L88">
        <v>1.24905</v>
      </c>
      <c r="M88">
        <v>8.9999999999999993E-3</v>
      </c>
      <c r="N88">
        <v>1</v>
      </c>
      <c r="P88">
        <v>1.33735</v>
      </c>
      <c r="Q88">
        <v>0.99119999999999997</v>
      </c>
      <c r="R88">
        <v>0.92544999999999999</v>
      </c>
      <c r="S88">
        <v>0.80061000000000004</v>
      </c>
      <c r="T88">
        <v>111.05</v>
      </c>
      <c r="U88">
        <v>1</v>
      </c>
    </row>
    <row r="89" spans="1:21" hidden="1" outlineLevel="1">
      <c r="A89" s="8">
        <v>42820</v>
      </c>
      <c r="B89" s="1860">
        <v>2168.42263</v>
      </c>
      <c r="C89" s="1860">
        <v>2925.68604</v>
      </c>
      <c r="D89" s="1860">
        <v>3133.53017</v>
      </c>
      <c r="E89" s="1860">
        <v>3622.1700599999999</v>
      </c>
      <c r="F89">
        <v>26.11382</v>
      </c>
      <c r="G89" s="1861">
        <v>2899.94</v>
      </c>
      <c r="I89">
        <v>0.74775000000000003</v>
      </c>
      <c r="J89">
        <v>1.00888</v>
      </c>
      <c r="K89">
        <v>1.0805499999999999</v>
      </c>
      <c r="L89">
        <v>1.24905</v>
      </c>
      <c r="M89">
        <v>8.9999999999999993E-3</v>
      </c>
      <c r="N89">
        <v>1</v>
      </c>
      <c r="P89">
        <v>1.33735</v>
      </c>
      <c r="Q89">
        <v>0.99119999999999997</v>
      </c>
      <c r="R89">
        <v>0.92544999999999999</v>
      </c>
      <c r="S89">
        <v>0.80061000000000004</v>
      </c>
      <c r="T89">
        <v>111.05</v>
      </c>
      <c r="U89">
        <v>1</v>
      </c>
    </row>
    <row r="90" spans="1:21" hidden="1" outlineLevel="1">
      <c r="A90" s="8">
        <v>42821</v>
      </c>
      <c r="B90" s="1860">
        <v>2167.12626</v>
      </c>
      <c r="C90" s="1860">
        <v>2949.0415400000002</v>
      </c>
      <c r="D90" s="1860">
        <v>3156.4396900000002</v>
      </c>
      <c r="E90" s="1860">
        <v>3645.5145699999998</v>
      </c>
      <c r="F90">
        <v>26.260439999999999</v>
      </c>
      <c r="G90" s="1861">
        <v>2899.94</v>
      </c>
      <c r="I90">
        <v>0.74729999999999996</v>
      </c>
      <c r="J90">
        <v>1.0169299999999999</v>
      </c>
      <c r="K90">
        <v>1.0884499999999999</v>
      </c>
      <c r="L90">
        <v>1.2571000000000001</v>
      </c>
      <c r="M90">
        <v>9.0600000000000003E-3</v>
      </c>
      <c r="N90">
        <v>1</v>
      </c>
      <c r="P90">
        <v>1.33815</v>
      </c>
      <c r="Q90">
        <v>0.98334999999999995</v>
      </c>
      <c r="R90">
        <v>0.91874</v>
      </c>
      <c r="S90">
        <v>0.79547999999999996</v>
      </c>
      <c r="T90">
        <v>110.43</v>
      </c>
      <c r="U90">
        <v>1</v>
      </c>
    </row>
    <row r="91" spans="1:21" hidden="1" outlineLevel="1">
      <c r="A91" s="8">
        <v>42822</v>
      </c>
      <c r="B91" s="1860">
        <v>2177.1633499999998</v>
      </c>
      <c r="C91" s="1860">
        <v>2962.0577499999999</v>
      </c>
      <c r="D91" s="1860">
        <v>3166.2243899999999</v>
      </c>
      <c r="E91" s="1860">
        <v>3652.04718</v>
      </c>
      <c r="F91">
        <v>26.42492</v>
      </c>
      <c r="G91" s="1861">
        <v>2913.48</v>
      </c>
      <c r="I91">
        <v>0.74726999999999999</v>
      </c>
      <c r="J91">
        <v>1.01667</v>
      </c>
      <c r="K91">
        <v>1.0867500000000001</v>
      </c>
      <c r="L91">
        <v>1.2535000000000001</v>
      </c>
      <c r="M91">
        <v>9.0699999999999999E-3</v>
      </c>
      <c r="N91">
        <v>1</v>
      </c>
      <c r="P91">
        <v>1.3382000000000001</v>
      </c>
      <c r="Q91">
        <v>0.98360000000000003</v>
      </c>
      <c r="R91">
        <v>0.92017000000000004</v>
      </c>
      <c r="S91">
        <v>0.79776999999999998</v>
      </c>
      <c r="T91">
        <v>110.255</v>
      </c>
      <c r="U91">
        <v>1</v>
      </c>
    </row>
    <row r="92" spans="1:21" hidden="1" outlineLevel="1">
      <c r="A92" s="8">
        <v>42823</v>
      </c>
      <c r="B92" s="1860">
        <v>2176.13123</v>
      </c>
      <c r="C92" s="1860">
        <v>2920.6057900000001</v>
      </c>
      <c r="D92" s="1860">
        <v>3130.3892500000002</v>
      </c>
      <c r="E92" s="1860">
        <v>3614.5075900000002</v>
      </c>
      <c r="F92">
        <v>26.22587</v>
      </c>
      <c r="G92" s="1861">
        <v>2911.99</v>
      </c>
      <c r="I92">
        <v>0.74729999999999996</v>
      </c>
      <c r="J92">
        <v>1.0029600000000001</v>
      </c>
      <c r="K92">
        <v>1.075</v>
      </c>
      <c r="L92">
        <v>1.24125</v>
      </c>
      <c r="M92">
        <v>9.0100000000000006E-3</v>
      </c>
      <c r="N92">
        <v>1</v>
      </c>
      <c r="P92">
        <v>1.33815</v>
      </c>
      <c r="Q92">
        <v>0.99704999999999999</v>
      </c>
      <c r="R92">
        <v>0.93023</v>
      </c>
      <c r="S92">
        <v>0.80564000000000002</v>
      </c>
      <c r="T92">
        <v>111.035</v>
      </c>
      <c r="U92">
        <v>1</v>
      </c>
    </row>
    <row r="93" spans="1:21" hidden="1" outlineLevel="1">
      <c r="A93" s="8">
        <v>42824</v>
      </c>
      <c r="B93" s="1860">
        <v>2172.7505299999998</v>
      </c>
      <c r="C93" s="1860">
        <v>2899.1818499999999</v>
      </c>
      <c r="D93" s="1860">
        <v>3100.2894700000002</v>
      </c>
      <c r="E93" s="1860">
        <v>3607.8589900000002</v>
      </c>
      <c r="F93">
        <v>25.94923</v>
      </c>
      <c r="G93" s="1861">
        <v>2888.02</v>
      </c>
      <c r="I93">
        <v>0.75233000000000005</v>
      </c>
      <c r="J93">
        <v>1.00386</v>
      </c>
      <c r="K93">
        <v>1.0734999999999999</v>
      </c>
      <c r="L93">
        <v>1.24925</v>
      </c>
      <c r="M93">
        <v>8.9899999999999997E-3</v>
      </c>
      <c r="N93">
        <v>1</v>
      </c>
      <c r="P93">
        <v>1.3291999999999999</v>
      </c>
      <c r="Q93">
        <v>0.99614999999999998</v>
      </c>
      <c r="R93">
        <v>0.93152999999999997</v>
      </c>
      <c r="S93">
        <v>0.80047999999999997</v>
      </c>
      <c r="T93">
        <v>111.295</v>
      </c>
      <c r="U93">
        <v>1</v>
      </c>
    </row>
    <row r="94" spans="1:21" hidden="1" outlineLevel="1">
      <c r="A94" s="8">
        <v>42825</v>
      </c>
      <c r="B94" s="1860">
        <v>2159.6670800000002</v>
      </c>
      <c r="C94" s="1860">
        <v>2877.5063700000001</v>
      </c>
      <c r="D94" s="1860">
        <v>3080.5606899999998</v>
      </c>
      <c r="E94" s="1860">
        <v>3601.59611</v>
      </c>
      <c r="F94">
        <v>25.84798</v>
      </c>
      <c r="G94" s="1861">
        <v>2880.24</v>
      </c>
      <c r="I94">
        <v>0.74982000000000004</v>
      </c>
      <c r="J94">
        <v>0.99904999999999999</v>
      </c>
      <c r="K94">
        <v>1.06955</v>
      </c>
      <c r="L94">
        <v>1.2504500000000001</v>
      </c>
      <c r="M94">
        <v>8.9700000000000005E-3</v>
      </c>
      <c r="N94">
        <v>1</v>
      </c>
      <c r="P94">
        <v>1.33365</v>
      </c>
      <c r="Q94">
        <v>1.00095</v>
      </c>
      <c r="R94">
        <v>0.93496999999999997</v>
      </c>
      <c r="S94">
        <v>0.79971000000000003</v>
      </c>
      <c r="T94">
        <v>111.43</v>
      </c>
      <c r="U94">
        <v>1</v>
      </c>
    </row>
    <row r="95" spans="1:21" hidden="1" outlineLevel="1">
      <c r="A95" s="8">
        <v>42826</v>
      </c>
      <c r="B95" s="1860">
        <v>2163.66363</v>
      </c>
      <c r="C95" s="1860">
        <v>2882.83131</v>
      </c>
      <c r="D95" s="1860">
        <v>3086.2613900000001</v>
      </c>
      <c r="E95" s="1860">
        <v>3608.2610100000002</v>
      </c>
      <c r="F95">
        <v>25.895810000000001</v>
      </c>
      <c r="G95" s="1861">
        <v>2885.57</v>
      </c>
      <c r="I95">
        <v>0.74982000000000004</v>
      </c>
      <c r="J95">
        <v>0.99904999999999999</v>
      </c>
      <c r="K95">
        <v>1.06955</v>
      </c>
      <c r="L95">
        <v>1.2504500000000001</v>
      </c>
      <c r="M95">
        <v>8.9700000000000005E-3</v>
      </c>
      <c r="N95">
        <v>1</v>
      </c>
      <c r="P95">
        <v>1.33365</v>
      </c>
      <c r="Q95">
        <v>1.00095</v>
      </c>
      <c r="R95">
        <v>0.93496999999999997</v>
      </c>
      <c r="S95">
        <v>0.79971000000000003</v>
      </c>
      <c r="T95">
        <v>111.43</v>
      </c>
      <c r="U95">
        <v>1</v>
      </c>
    </row>
    <row r="96" spans="1:21" hidden="1" outlineLevel="1">
      <c r="A96" s="8">
        <v>42827</v>
      </c>
      <c r="B96" s="1860">
        <v>2163.66363</v>
      </c>
      <c r="C96" s="1860">
        <v>2882.83131</v>
      </c>
      <c r="D96" s="1860">
        <v>3086.2613900000001</v>
      </c>
      <c r="E96" s="1860">
        <v>3608.2610100000002</v>
      </c>
      <c r="F96">
        <v>25.895810000000001</v>
      </c>
      <c r="G96" s="1861">
        <v>2885.57</v>
      </c>
      <c r="I96">
        <v>0.74982000000000004</v>
      </c>
      <c r="J96">
        <v>0.99904999999999999</v>
      </c>
      <c r="K96">
        <v>1.06955</v>
      </c>
      <c r="L96">
        <v>1.2504500000000001</v>
      </c>
      <c r="M96">
        <v>8.9700000000000005E-3</v>
      </c>
      <c r="N96">
        <v>1</v>
      </c>
      <c r="P96">
        <v>1.33365</v>
      </c>
      <c r="Q96">
        <v>1.00095</v>
      </c>
      <c r="R96">
        <v>0.93496999999999997</v>
      </c>
      <c r="S96">
        <v>0.79971000000000003</v>
      </c>
      <c r="T96">
        <v>111.43</v>
      </c>
      <c r="U96">
        <v>1</v>
      </c>
    </row>
    <row r="97" spans="1:21" hidden="1" outlineLevel="1">
      <c r="A97" s="8">
        <v>42828</v>
      </c>
      <c r="B97" s="1860">
        <v>2155.0186699999999</v>
      </c>
      <c r="C97" s="1860">
        <v>2876.7957700000002</v>
      </c>
      <c r="D97" s="1860">
        <v>3073.8534399999999</v>
      </c>
      <c r="E97" s="1860">
        <v>3600.9027999999998</v>
      </c>
      <c r="F97">
        <v>25.998470000000001</v>
      </c>
      <c r="G97" s="1861">
        <v>2885.57</v>
      </c>
      <c r="I97">
        <v>0.74682999999999999</v>
      </c>
      <c r="J97">
        <v>0.99695999999999996</v>
      </c>
      <c r="K97">
        <v>1.06525</v>
      </c>
      <c r="L97">
        <v>1.2479</v>
      </c>
      <c r="M97">
        <v>9.0100000000000006E-3</v>
      </c>
      <c r="N97">
        <v>1</v>
      </c>
      <c r="P97">
        <v>1.339</v>
      </c>
      <c r="Q97">
        <v>1.00305</v>
      </c>
      <c r="R97">
        <v>0.93874999999999997</v>
      </c>
      <c r="S97">
        <v>0.80135000000000001</v>
      </c>
      <c r="T97">
        <v>110.99</v>
      </c>
      <c r="U97">
        <v>1</v>
      </c>
    </row>
    <row r="98" spans="1:21" hidden="1" outlineLevel="1">
      <c r="A98" s="8">
        <v>42829</v>
      </c>
      <c r="B98" s="1860">
        <v>2134.3582500000002</v>
      </c>
      <c r="C98" s="1860">
        <v>2862.4332300000001</v>
      </c>
      <c r="D98" s="1860">
        <v>3056.9434799999999</v>
      </c>
      <c r="E98" s="1860">
        <v>3568.2497499999999</v>
      </c>
      <c r="F98">
        <v>25.936309999999999</v>
      </c>
      <c r="G98" s="1861">
        <v>2866.87</v>
      </c>
      <c r="I98">
        <v>0.74448999999999999</v>
      </c>
      <c r="J98">
        <v>0.99844999999999995</v>
      </c>
      <c r="K98">
        <v>1.0663</v>
      </c>
      <c r="L98">
        <v>1.24465</v>
      </c>
      <c r="M98">
        <v>9.0500000000000008E-3</v>
      </c>
      <c r="N98">
        <v>1</v>
      </c>
      <c r="P98">
        <v>1.3431999999999999</v>
      </c>
      <c r="Q98">
        <v>1.0015499999999999</v>
      </c>
      <c r="R98">
        <v>0.93781999999999999</v>
      </c>
      <c r="S98">
        <v>0.80344000000000004</v>
      </c>
      <c r="T98">
        <v>110.535</v>
      </c>
      <c r="U98">
        <v>1</v>
      </c>
    </row>
    <row r="99" spans="1:21" hidden="1" outlineLevel="1">
      <c r="A99" s="8">
        <v>42830</v>
      </c>
      <c r="B99" s="1860">
        <v>2139.1284900000001</v>
      </c>
      <c r="C99" s="1860">
        <v>2857.8884499999999</v>
      </c>
      <c r="D99" s="1860">
        <v>3059.5559199999998</v>
      </c>
      <c r="E99" s="1860">
        <v>3580.0505600000001</v>
      </c>
      <c r="F99">
        <v>25.806719999999999</v>
      </c>
      <c r="G99" s="1861">
        <v>2869.32</v>
      </c>
      <c r="I99">
        <v>0.74551999999999996</v>
      </c>
      <c r="J99">
        <v>0.99602000000000002</v>
      </c>
      <c r="K99">
        <v>1.0663</v>
      </c>
      <c r="L99">
        <v>1.2477</v>
      </c>
      <c r="M99">
        <v>8.9899999999999997E-3</v>
      </c>
      <c r="N99">
        <v>1</v>
      </c>
      <c r="P99">
        <v>1.34135</v>
      </c>
      <c r="Q99">
        <v>1.004</v>
      </c>
      <c r="R99">
        <v>0.93781999999999999</v>
      </c>
      <c r="S99">
        <v>0.80147000000000002</v>
      </c>
      <c r="T99">
        <v>111.185</v>
      </c>
      <c r="U99">
        <v>1</v>
      </c>
    </row>
    <row r="100" spans="1:21" hidden="1" outlineLevel="1">
      <c r="A100" s="8">
        <v>42831</v>
      </c>
      <c r="B100" s="1860">
        <v>2130.5871400000001</v>
      </c>
      <c r="C100" s="1860">
        <v>2846.1232</v>
      </c>
      <c r="D100" s="1860">
        <v>3045.5404899999999</v>
      </c>
      <c r="E100" s="1860">
        <v>3571.06232</v>
      </c>
      <c r="F100">
        <v>25.77129</v>
      </c>
      <c r="G100" s="1861">
        <v>2857.65</v>
      </c>
      <c r="I100">
        <v>0.74556999999999995</v>
      </c>
      <c r="J100">
        <v>0.99597000000000002</v>
      </c>
      <c r="K100">
        <v>1.06575</v>
      </c>
      <c r="L100">
        <v>1.2496499999999999</v>
      </c>
      <c r="M100">
        <v>9.0200000000000002E-3</v>
      </c>
      <c r="N100">
        <v>1</v>
      </c>
      <c r="P100">
        <v>1.3412500000000001</v>
      </c>
      <c r="Q100">
        <v>1.0040500000000001</v>
      </c>
      <c r="R100">
        <v>0.93830999999999998</v>
      </c>
      <c r="S100">
        <v>0.80022000000000004</v>
      </c>
      <c r="T100">
        <v>110.88500000000001</v>
      </c>
      <c r="U100">
        <v>1</v>
      </c>
    </row>
    <row r="101" spans="1:21" hidden="1" outlineLevel="1">
      <c r="A101" s="8">
        <v>42832</v>
      </c>
      <c r="B101" s="1860">
        <v>2130.6101100000001</v>
      </c>
      <c r="C101" s="1860">
        <v>2833.9706999999999</v>
      </c>
      <c r="D101" s="1860">
        <v>3029.13627</v>
      </c>
      <c r="E101" s="1860">
        <v>3535.5615200000002</v>
      </c>
      <c r="F101">
        <v>25.76511</v>
      </c>
      <c r="G101" s="1861">
        <v>2853.1</v>
      </c>
      <c r="I101">
        <v>0.74677000000000004</v>
      </c>
      <c r="J101">
        <v>0.99329999999999996</v>
      </c>
      <c r="K101">
        <v>1.0617000000000001</v>
      </c>
      <c r="L101">
        <v>1.2392000000000001</v>
      </c>
      <c r="M101">
        <v>9.0299999999999998E-3</v>
      </c>
      <c r="N101">
        <v>1</v>
      </c>
      <c r="P101">
        <v>1.3391</v>
      </c>
      <c r="Q101">
        <v>1.00675</v>
      </c>
      <c r="R101">
        <v>0.94189000000000001</v>
      </c>
      <c r="S101">
        <v>0.80696999999999997</v>
      </c>
      <c r="T101">
        <v>110.735</v>
      </c>
      <c r="U101">
        <v>1</v>
      </c>
    </row>
    <row r="102" spans="1:21" hidden="1" outlineLevel="1">
      <c r="A102" s="8">
        <v>42833</v>
      </c>
      <c r="B102" s="1860">
        <v>2134.2692900000002</v>
      </c>
      <c r="C102" s="1860">
        <v>2838.8378400000001</v>
      </c>
      <c r="D102" s="1860">
        <v>3034.3386</v>
      </c>
      <c r="E102" s="1860">
        <v>3541.6336000000001</v>
      </c>
      <c r="F102">
        <v>25.809360000000002</v>
      </c>
      <c r="G102" s="1861">
        <v>2858</v>
      </c>
      <c r="I102">
        <v>0.74677000000000004</v>
      </c>
      <c r="J102">
        <v>0.99329999999999996</v>
      </c>
      <c r="K102">
        <v>1.0617000000000001</v>
      </c>
      <c r="L102">
        <v>1.2392000000000001</v>
      </c>
      <c r="M102">
        <v>9.0299999999999998E-3</v>
      </c>
      <c r="N102">
        <v>1</v>
      </c>
      <c r="P102">
        <v>1.3391</v>
      </c>
      <c r="Q102">
        <v>1.00675</v>
      </c>
      <c r="R102">
        <v>0.94189000000000001</v>
      </c>
      <c r="S102">
        <v>0.80696999999999997</v>
      </c>
      <c r="T102">
        <v>110.735</v>
      </c>
      <c r="U102">
        <v>1</v>
      </c>
    </row>
    <row r="103" spans="1:21" hidden="1" outlineLevel="1">
      <c r="A103" s="8">
        <v>42834</v>
      </c>
      <c r="B103" s="1860">
        <v>2134.2692900000002</v>
      </c>
      <c r="C103" s="1860">
        <v>2838.8378400000001</v>
      </c>
      <c r="D103" s="1860">
        <v>3034.3386</v>
      </c>
      <c r="E103" s="1860">
        <v>3541.6336000000001</v>
      </c>
      <c r="F103">
        <v>25.809360000000002</v>
      </c>
      <c r="G103" s="1861">
        <v>2858</v>
      </c>
      <c r="I103">
        <v>0.74677000000000004</v>
      </c>
      <c r="J103">
        <v>0.99329999999999996</v>
      </c>
      <c r="K103">
        <v>1.0617000000000001</v>
      </c>
      <c r="L103">
        <v>1.2392000000000001</v>
      </c>
      <c r="M103">
        <v>9.0299999999999998E-3</v>
      </c>
      <c r="N103">
        <v>1</v>
      </c>
      <c r="P103">
        <v>1.3391</v>
      </c>
      <c r="Q103">
        <v>1.00675</v>
      </c>
      <c r="R103">
        <v>0.94189000000000001</v>
      </c>
      <c r="S103">
        <v>0.80696999999999997</v>
      </c>
      <c r="T103">
        <v>110.735</v>
      </c>
      <c r="U103">
        <v>1</v>
      </c>
    </row>
    <row r="104" spans="1:21" hidden="1" outlineLevel="1">
      <c r="A104" s="8">
        <v>42835</v>
      </c>
      <c r="B104" s="1860">
        <v>2138.9013599999998</v>
      </c>
      <c r="C104" s="1860">
        <v>2835.1768299999999</v>
      </c>
      <c r="D104" s="1860">
        <v>3029.1941999999999</v>
      </c>
      <c r="E104" s="1860">
        <v>3551.6365999999998</v>
      </c>
      <c r="F104">
        <v>25.716470000000001</v>
      </c>
      <c r="G104" s="1861">
        <v>2858</v>
      </c>
      <c r="I104">
        <v>0.74839</v>
      </c>
      <c r="J104">
        <v>0.99200999999999995</v>
      </c>
      <c r="K104">
        <v>1.0599000000000001</v>
      </c>
      <c r="L104">
        <v>1.2426999999999999</v>
      </c>
      <c r="M104">
        <v>8.9999999999999993E-3</v>
      </c>
      <c r="N104">
        <v>1</v>
      </c>
      <c r="P104">
        <v>1.3362000000000001</v>
      </c>
      <c r="Q104">
        <v>1.0080499999999999</v>
      </c>
      <c r="R104">
        <v>0.94349000000000005</v>
      </c>
      <c r="S104">
        <v>0.80469999999999997</v>
      </c>
      <c r="T104">
        <v>111.13500000000001</v>
      </c>
      <c r="U104">
        <v>1</v>
      </c>
    </row>
    <row r="105" spans="1:21" hidden="1" outlineLevel="1">
      <c r="A105" s="8">
        <v>42836</v>
      </c>
      <c r="B105" s="1860">
        <v>2148.22613</v>
      </c>
      <c r="C105" s="1860">
        <v>2849.60493</v>
      </c>
      <c r="D105" s="1860">
        <v>3047.3291199999999</v>
      </c>
      <c r="E105" s="1860">
        <v>3580.3285900000001</v>
      </c>
      <c r="F105">
        <v>26.134910000000001</v>
      </c>
      <c r="G105" s="1861">
        <v>2867.13</v>
      </c>
      <c r="I105">
        <v>0.74926000000000004</v>
      </c>
      <c r="J105">
        <v>0.99389000000000005</v>
      </c>
      <c r="K105">
        <v>1.0628500000000001</v>
      </c>
      <c r="L105">
        <v>1.24875</v>
      </c>
      <c r="M105">
        <v>9.1199999999999996E-3</v>
      </c>
      <c r="N105">
        <v>1</v>
      </c>
      <c r="P105">
        <v>1.3346499999999999</v>
      </c>
      <c r="Q105">
        <v>1.0061500000000001</v>
      </c>
      <c r="R105">
        <v>0.94086999999999998</v>
      </c>
      <c r="S105">
        <v>0.80079999999999996</v>
      </c>
      <c r="T105">
        <v>109.705</v>
      </c>
      <c r="U105">
        <v>1</v>
      </c>
    </row>
    <row r="106" spans="1:21" hidden="1" outlineLevel="1">
      <c r="A106" s="8">
        <v>42837</v>
      </c>
      <c r="B106" s="1860">
        <v>2162.0440199999998</v>
      </c>
      <c r="C106" s="1860">
        <v>2854.6124</v>
      </c>
      <c r="D106" s="1860">
        <v>3046.4531999999999</v>
      </c>
      <c r="E106" s="1860">
        <v>3588.7620299999999</v>
      </c>
      <c r="F106">
        <v>26.193670000000001</v>
      </c>
      <c r="G106" s="1861">
        <v>2868.6</v>
      </c>
      <c r="I106">
        <v>0.75368999999999997</v>
      </c>
      <c r="J106">
        <v>0.99512</v>
      </c>
      <c r="K106">
        <v>1.0620000000000001</v>
      </c>
      <c r="L106">
        <v>1.25105</v>
      </c>
      <c r="M106">
        <v>9.1299999999999992E-3</v>
      </c>
      <c r="N106">
        <v>1</v>
      </c>
      <c r="P106">
        <v>1.3268</v>
      </c>
      <c r="Q106">
        <v>1.0048999999999999</v>
      </c>
      <c r="R106">
        <v>0.94162000000000001</v>
      </c>
      <c r="S106">
        <v>0.79932999999999998</v>
      </c>
      <c r="T106">
        <v>109.515</v>
      </c>
      <c r="U106">
        <v>1</v>
      </c>
    </row>
    <row r="107" spans="1:21" hidden="1" outlineLevel="1">
      <c r="A107" s="8">
        <v>42838</v>
      </c>
      <c r="B107" s="1860">
        <v>2165.5107400000002</v>
      </c>
      <c r="C107" s="1860">
        <v>2858.8276300000002</v>
      </c>
      <c r="D107" s="1860">
        <v>3052.2280000000001</v>
      </c>
      <c r="E107" s="1860">
        <v>3595.8580900000002</v>
      </c>
      <c r="F107">
        <v>26.296970000000002</v>
      </c>
      <c r="G107" s="1861">
        <v>2872.55</v>
      </c>
      <c r="I107">
        <v>0.75385999999999997</v>
      </c>
      <c r="J107">
        <v>0.99521999999999999</v>
      </c>
      <c r="K107">
        <v>1.0625500000000001</v>
      </c>
      <c r="L107">
        <v>1.2518</v>
      </c>
      <c r="M107">
        <v>9.1500000000000001E-3</v>
      </c>
      <c r="N107">
        <v>1</v>
      </c>
      <c r="P107">
        <v>1.3265</v>
      </c>
      <c r="Q107">
        <v>1.0047999999999999</v>
      </c>
      <c r="R107">
        <v>0.94113000000000002</v>
      </c>
      <c r="S107">
        <v>0.79884999999999995</v>
      </c>
      <c r="T107">
        <v>109.235</v>
      </c>
      <c r="U107">
        <v>1</v>
      </c>
    </row>
    <row r="108" spans="1:21" hidden="1" outlineLevel="1">
      <c r="A108" s="8">
        <v>42839</v>
      </c>
      <c r="B108" s="1860">
        <v>2165.5107400000002</v>
      </c>
      <c r="C108" s="1860">
        <v>2858.8276300000002</v>
      </c>
      <c r="D108" s="1860">
        <v>3052.2280000000001</v>
      </c>
      <c r="E108" s="1860">
        <v>3595.8580900000002</v>
      </c>
      <c r="F108">
        <v>26.296970000000002</v>
      </c>
      <c r="G108" s="1861">
        <v>2872.55</v>
      </c>
      <c r="I108">
        <v>0.75385999999999997</v>
      </c>
      <c r="J108">
        <v>0.99521999999999999</v>
      </c>
      <c r="K108">
        <v>1.0625500000000001</v>
      </c>
      <c r="L108">
        <v>1.2518</v>
      </c>
      <c r="M108">
        <v>9.1500000000000001E-3</v>
      </c>
      <c r="N108">
        <v>1</v>
      </c>
      <c r="P108">
        <v>1.3265</v>
      </c>
      <c r="Q108">
        <v>1.0047999999999999</v>
      </c>
      <c r="R108">
        <v>0.94113000000000002</v>
      </c>
      <c r="S108">
        <v>0.79884999999999995</v>
      </c>
      <c r="T108">
        <v>109.235</v>
      </c>
      <c r="U108">
        <v>1</v>
      </c>
    </row>
    <row r="109" spans="1:21" hidden="1" outlineLevel="1">
      <c r="A109" s="8">
        <v>42840</v>
      </c>
      <c r="B109" s="1860">
        <v>2165.5107400000002</v>
      </c>
      <c r="C109" s="1860">
        <v>2858.8276300000002</v>
      </c>
      <c r="D109" s="1860">
        <v>3052.2280000000001</v>
      </c>
      <c r="E109" s="1860">
        <v>3595.8580900000002</v>
      </c>
      <c r="F109">
        <v>26.296970000000002</v>
      </c>
      <c r="G109" s="1861">
        <v>2872.55</v>
      </c>
      <c r="I109">
        <v>0.75385999999999997</v>
      </c>
      <c r="J109">
        <v>0.99521999999999999</v>
      </c>
      <c r="K109">
        <v>1.0625500000000001</v>
      </c>
      <c r="L109">
        <v>1.2518</v>
      </c>
      <c r="M109">
        <v>9.1500000000000001E-3</v>
      </c>
      <c r="N109">
        <v>1</v>
      </c>
      <c r="P109">
        <v>1.3265</v>
      </c>
      <c r="Q109">
        <v>1.0047999999999999</v>
      </c>
      <c r="R109">
        <v>0.94113000000000002</v>
      </c>
      <c r="S109">
        <v>0.79884999999999995</v>
      </c>
      <c r="T109">
        <v>109.235</v>
      </c>
      <c r="U109">
        <v>1</v>
      </c>
    </row>
    <row r="110" spans="1:21" hidden="1" outlineLevel="1">
      <c r="A110" s="8">
        <v>42841</v>
      </c>
      <c r="B110" s="1860">
        <v>2165.5107400000002</v>
      </c>
      <c r="C110" s="1860">
        <v>2858.8276300000002</v>
      </c>
      <c r="D110" s="1860">
        <v>3052.2280000000001</v>
      </c>
      <c r="E110" s="1860">
        <v>3595.8580900000002</v>
      </c>
      <c r="F110">
        <v>26.296970000000002</v>
      </c>
      <c r="G110" s="1861">
        <v>2872.55</v>
      </c>
      <c r="I110">
        <v>0.75385999999999997</v>
      </c>
      <c r="J110">
        <v>0.99521999999999999</v>
      </c>
      <c r="K110">
        <v>1.0625500000000001</v>
      </c>
      <c r="L110">
        <v>1.2518</v>
      </c>
      <c r="M110">
        <v>9.1500000000000001E-3</v>
      </c>
      <c r="N110">
        <v>1</v>
      </c>
      <c r="P110">
        <v>1.3265</v>
      </c>
      <c r="Q110">
        <v>1.0047999999999999</v>
      </c>
      <c r="R110">
        <v>0.94113000000000002</v>
      </c>
      <c r="S110">
        <v>0.79884999999999995</v>
      </c>
      <c r="T110">
        <v>109.235</v>
      </c>
      <c r="U110">
        <v>1</v>
      </c>
    </row>
    <row r="111" spans="1:21" hidden="1" outlineLevel="1">
      <c r="A111" s="8">
        <v>42842</v>
      </c>
      <c r="B111" s="1860">
        <v>2164.6948000000002</v>
      </c>
      <c r="C111" s="1860">
        <v>2867.8181</v>
      </c>
      <c r="D111" s="1860">
        <v>3063.2873199999999</v>
      </c>
      <c r="E111" s="1860">
        <v>3617.6894699999998</v>
      </c>
      <c r="F111">
        <v>26.505649999999999</v>
      </c>
      <c r="G111" s="1861">
        <v>2872.55</v>
      </c>
      <c r="I111">
        <v>0.75358000000000003</v>
      </c>
      <c r="J111">
        <v>0.99834999999999996</v>
      </c>
      <c r="K111">
        <v>1.0664</v>
      </c>
      <c r="L111">
        <v>1.2594000000000001</v>
      </c>
      <c r="M111">
        <v>9.2300000000000004E-3</v>
      </c>
      <c r="N111">
        <v>1</v>
      </c>
      <c r="P111">
        <v>1.327</v>
      </c>
      <c r="Q111">
        <v>1.0016499999999999</v>
      </c>
      <c r="R111">
        <v>0.93772999999999995</v>
      </c>
      <c r="S111">
        <v>0.79403000000000001</v>
      </c>
      <c r="T111">
        <v>108.375</v>
      </c>
      <c r="U111">
        <v>1</v>
      </c>
    </row>
    <row r="112" spans="1:21" hidden="1" outlineLevel="1">
      <c r="A112" s="8">
        <v>42843</v>
      </c>
      <c r="B112" s="1860">
        <v>2135.3752899999999</v>
      </c>
      <c r="C112" s="1860">
        <v>2858.7493100000002</v>
      </c>
      <c r="D112" s="1860">
        <v>3054.3040700000001</v>
      </c>
      <c r="E112" s="1860">
        <v>3643.9816000000001</v>
      </c>
      <c r="F112">
        <v>26.26877</v>
      </c>
      <c r="G112" s="1861">
        <v>2854.89</v>
      </c>
      <c r="I112">
        <v>0.74797000000000002</v>
      </c>
      <c r="J112">
        <v>1.00135</v>
      </c>
      <c r="K112">
        <v>1.06985</v>
      </c>
      <c r="L112">
        <v>1.2764</v>
      </c>
      <c r="M112">
        <v>9.1999999999999998E-3</v>
      </c>
      <c r="N112">
        <v>1</v>
      </c>
      <c r="P112">
        <v>1.3369500000000001</v>
      </c>
      <c r="Q112">
        <v>0.99865000000000004</v>
      </c>
      <c r="R112">
        <v>0.93471000000000004</v>
      </c>
      <c r="S112">
        <v>0.78344999999999998</v>
      </c>
      <c r="T112">
        <v>108.68</v>
      </c>
      <c r="U112">
        <v>1</v>
      </c>
    </row>
    <row r="113" spans="1:21" hidden="1" outlineLevel="1">
      <c r="A113" s="8">
        <v>42844</v>
      </c>
      <c r="B113" s="1860">
        <v>2111.2970999999998</v>
      </c>
      <c r="C113" s="1860">
        <v>2843.44472</v>
      </c>
      <c r="D113" s="1860">
        <v>3040.6679600000002</v>
      </c>
      <c r="E113" s="1860">
        <v>3635.4917999999998</v>
      </c>
      <c r="F113">
        <v>26.039359999999999</v>
      </c>
      <c r="G113" s="1862">
        <v>2837.9</v>
      </c>
      <c r="I113">
        <v>0.74395999999999995</v>
      </c>
      <c r="J113">
        <v>1.0019499999999999</v>
      </c>
      <c r="K113">
        <v>1.07145</v>
      </c>
      <c r="L113">
        <v>1.28105</v>
      </c>
      <c r="M113">
        <v>9.1800000000000007E-3</v>
      </c>
      <c r="N113">
        <v>1</v>
      </c>
      <c r="P113">
        <v>1.34415</v>
      </c>
      <c r="Q113">
        <v>0.99804999999999999</v>
      </c>
      <c r="R113">
        <v>0.93330999999999997</v>
      </c>
      <c r="S113">
        <v>0.78061000000000003</v>
      </c>
      <c r="T113">
        <v>108.985</v>
      </c>
      <c r="U113">
        <v>1</v>
      </c>
    </row>
    <row r="114" spans="1:21" hidden="1" outlineLevel="1">
      <c r="A114" s="8">
        <v>42845</v>
      </c>
      <c r="B114" s="1860">
        <v>2116.45982</v>
      </c>
      <c r="C114" s="1860">
        <v>2870.6899199999998</v>
      </c>
      <c r="D114" s="1860">
        <v>3075.4291899999998</v>
      </c>
      <c r="E114" s="1860">
        <v>3668.1487900000002</v>
      </c>
      <c r="F114">
        <v>26.161840000000002</v>
      </c>
      <c r="G114" s="1861">
        <v>2856.48</v>
      </c>
      <c r="I114">
        <v>0.74092999999999998</v>
      </c>
      <c r="J114">
        <v>1.0049699999999999</v>
      </c>
      <c r="K114">
        <v>1.0766500000000001</v>
      </c>
      <c r="L114">
        <v>1.2841499999999999</v>
      </c>
      <c r="M114">
        <v>9.1599999999999997E-3</v>
      </c>
      <c r="N114">
        <v>1</v>
      </c>
      <c r="P114">
        <v>1.34965</v>
      </c>
      <c r="Q114">
        <v>0.99504999999999999</v>
      </c>
      <c r="R114">
        <v>0.92881000000000002</v>
      </c>
      <c r="S114">
        <v>0.77873000000000003</v>
      </c>
      <c r="T114">
        <v>109.185</v>
      </c>
      <c r="U114">
        <v>1</v>
      </c>
    </row>
    <row r="115" spans="1:21" hidden="1" outlineLevel="1">
      <c r="A115" s="8">
        <v>42846</v>
      </c>
      <c r="B115" s="1860">
        <v>2118.59717</v>
      </c>
      <c r="C115" s="1860">
        <v>2866.97372</v>
      </c>
      <c r="D115" s="1860">
        <v>3060.3912300000002</v>
      </c>
      <c r="E115" s="1860">
        <v>3658.5533999999998</v>
      </c>
      <c r="F115">
        <v>26.247959999999999</v>
      </c>
      <c r="G115" s="1861">
        <v>2863.39</v>
      </c>
      <c r="I115">
        <v>0.73989000000000005</v>
      </c>
      <c r="J115">
        <v>1.00125</v>
      </c>
      <c r="K115">
        <v>1.0688</v>
      </c>
      <c r="L115">
        <v>1.2777000000000001</v>
      </c>
      <c r="M115">
        <v>9.1699999999999993E-3</v>
      </c>
      <c r="N115">
        <v>1</v>
      </c>
      <c r="P115">
        <v>1.35155</v>
      </c>
      <c r="Q115">
        <v>0.99875000000000003</v>
      </c>
      <c r="R115">
        <v>0.93562999999999996</v>
      </c>
      <c r="S115">
        <v>0.78266000000000002</v>
      </c>
      <c r="T115">
        <v>109.09</v>
      </c>
      <c r="U115">
        <v>1</v>
      </c>
    </row>
    <row r="116" spans="1:21" hidden="1" outlineLevel="1">
      <c r="A116" s="8">
        <v>42847</v>
      </c>
      <c r="B116" s="1860">
        <v>2122.6665699999999</v>
      </c>
      <c r="C116" s="1860">
        <v>2872.4805999999999</v>
      </c>
      <c r="D116" s="1860">
        <v>3066.2696299999998</v>
      </c>
      <c r="E116" s="1860">
        <v>3665.5807500000001</v>
      </c>
      <c r="F116">
        <v>26.298380000000002</v>
      </c>
      <c r="G116" s="1861">
        <v>2868.89</v>
      </c>
      <c r="I116">
        <v>0.73989000000000005</v>
      </c>
      <c r="J116">
        <v>1.00125</v>
      </c>
      <c r="K116">
        <v>1.0688</v>
      </c>
      <c r="L116">
        <v>1.2777000000000001</v>
      </c>
      <c r="M116">
        <v>9.1699999999999993E-3</v>
      </c>
      <c r="N116">
        <v>1</v>
      </c>
      <c r="P116">
        <v>1.35155</v>
      </c>
      <c r="Q116">
        <v>0.99875000000000003</v>
      </c>
      <c r="R116">
        <v>0.93562999999999996</v>
      </c>
      <c r="S116">
        <v>0.78266000000000002</v>
      </c>
      <c r="T116">
        <v>109.09</v>
      </c>
      <c r="U116">
        <v>1</v>
      </c>
    </row>
    <row r="117" spans="1:21" hidden="1" outlineLevel="1">
      <c r="A117" s="8">
        <v>42848</v>
      </c>
      <c r="B117" s="1860">
        <v>2122.6665699999999</v>
      </c>
      <c r="C117" s="1860">
        <v>2872.4805999999999</v>
      </c>
      <c r="D117" s="1860">
        <v>3066.2696299999998</v>
      </c>
      <c r="E117" s="1860">
        <v>3665.5807500000001</v>
      </c>
      <c r="F117">
        <v>26.298380000000002</v>
      </c>
      <c r="G117" s="1861">
        <v>2868.89</v>
      </c>
      <c r="I117">
        <v>0.73989000000000005</v>
      </c>
      <c r="J117">
        <v>1.00125</v>
      </c>
      <c r="K117">
        <v>1.0688</v>
      </c>
      <c r="L117">
        <v>1.2777000000000001</v>
      </c>
      <c r="M117">
        <v>9.1699999999999993E-3</v>
      </c>
      <c r="N117">
        <v>1</v>
      </c>
      <c r="P117">
        <v>1.35155</v>
      </c>
      <c r="Q117">
        <v>0.99875000000000003</v>
      </c>
      <c r="R117">
        <v>0.93562999999999996</v>
      </c>
      <c r="S117">
        <v>0.78266000000000002</v>
      </c>
      <c r="T117">
        <v>109.09</v>
      </c>
      <c r="U117">
        <v>1</v>
      </c>
    </row>
    <row r="118" spans="1:21" hidden="1" outlineLevel="1">
      <c r="A118" s="8">
        <v>42849</v>
      </c>
      <c r="B118" s="1860">
        <v>2126.6001999999999</v>
      </c>
      <c r="C118" s="1860">
        <v>2881.7136300000002</v>
      </c>
      <c r="D118" s="1860">
        <v>3116.1883200000002</v>
      </c>
      <c r="E118" s="1860">
        <v>3665.4373099999998</v>
      </c>
      <c r="F118">
        <v>26.103359999999999</v>
      </c>
      <c r="G118" s="1861">
        <v>2868.89</v>
      </c>
      <c r="I118">
        <v>0.74126000000000003</v>
      </c>
      <c r="J118">
        <v>1.00447</v>
      </c>
      <c r="K118">
        <v>1.0862000000000001</v>
      </c>
      <c r="L118">
        <v>1.27765</v>
      </c>
      <c r="M118">
        <v>9.1000000000000004E-3</v>
      </c>
      <c r="N118">
        <v>1</v>
      </c>
      <c r="P118">
        <v>1.3490500000000001</v>
      </c>
      <c r="Q118">
        <v>0.99555000000000005</v>
      </c>
      <c r="R118">
        <v>0.92064000000000001</v>
      </c>
      <c r="S118">
        <v>0.78269</v>
      </c>
      <c r="T118">
        <v>109.905</v>
      </c>
      <c r="U118">
        <v>1</v>
      </c>
    </row>
    <row r="119" spans="1:21" hidden="1" outlineLevel="1">
      <c r="A119" s="8">
        <v>42850</v>
      </c>
      <c r="B119" s="1860">
        <v>2111.4394900000002</v>
      </c>
      <c r="C119" s="1860">
        <v>2891.3520600000002</v>
      </c>
      <c r="D119" s="1860">
        <v>3137.92535</v>
      </c>
      <c r="E119" s="1860">
        <v>3683.45795</v>
      </c>
      <c r="F119">
        <v>25.901700000000002</v>
      </c>
      <c r="G119" s="1861">
        <v>2871.98</v>
      </c>
      <c r="I119">
        <v>0.73519000000000001</v>
      </c>
      <c r="J119">
        <v>1.00675</v>
      </c>
      <c r="K119">
        <v>1.0926</v>
      </c>
      <c r="L119">
        <v>1.2825500000000001</v>
      </c>
      <c r="M119">
        <v>9.0200000000000002E-3</v>
      </c>
      <c r="N119">
        <v>1</v>
      </c>
      <c r="P119">
        <v>1.3602000000000001</v>
      </c>
      <c r="Q119">
        <v>0.99329999999999996</v>
      </c>
      <c r="R119">
        <v>0.91525000000000001</v>
      </c>
      <c r="S119">
        <v>0.77969999999999995</v>
      </c>
      <c r="T119">
        <v>110.88</v>
      </c>
      <c r="U119">
        <v>1</v>
      </c>
    </row>
    <row r="120" spans="1:21" hidden="1" outlineLevel="1">
      <c r="A120" s="8">
        <v>42851</v>
      </c>
      <c r="B120" s="1860">
        <v>2138.39572</v>
      </c>
      <c r="C120" s="1860">
        <v>2914.7237700000001</v>
      </c>
      <c r="D120" s="1860">
        <v>3153.2387399999998</v>
      </c>
      <c r="E120" s="1860">
        <v>3726.9765699999998</v>
      </c>
      <c r="F120">
        <v>25.976700000000001</v>
      </c>
      <c r="G120" s="1861">
        <v>2899.13</v>
      </c>
      <c r="I120">
        <v>0.73760000000000003</v>
      </c>
      <c r="J120">
        <v>1.0053799999999999</v>
      </c>
      <c r="K120">
        <v>1.08765</v>
      </c>
      <c r="L120">
        <v>1.28555</v>
      </c>
      <c r="M120">
        <v>8.9599999999999992E-3</v>
      </c>
      <c r="N120">
        <v>1</v>
      </c>
      <c r="P120">
        <v>1.35575</v>
      </c>
      <c r="Q120">
        <v>0.99465000000000003</v>
      </c>
      <c r="R120">
        <v>0.91940999999999995</v>
      </c>
      <c r="S120">
        <v>0.77788000000000002</v>
      </c>
      <c r="T120">
        <v>111.605</v>
      </c>
      <c r="U120">
        <v>1</v>
      </c>
    </row>
    <row r="121" spans="1:21" hidden="1" outlineLevel="1">
      <c r="A121" s="8">
        <v>42852</v>
      </c>
      <c r="B121" s="1860">
        <v>2145.4205700000002</v>
      </c>
      <c r="C121" s="1860">
        <v>2943.81943</v>
      </c>
      <c r="D121" s="1860">
        <v>3181.7872699999998</v>
      </c>
      <c r="E121" s="1860">
        <v>3776.0390699999998</v>
      </c>
      <c r="F121">
        <v>26.33512</v>
      </c>
      <c r="G121" s="1861">
        <v>2928.07</v>
      </c>
      <c r="I121">
        <v>0.73270999999999997</v>
      </c>
      <c r="J121">
        <v>1.0053799999999999</v>
      </c>
      <c r="K121">
        <v>1.0866499999999999</v>
      </c>
      <c r="L121">
        <v>1.2896000000000001</v>
      </c>
      <c r="M121">
        <v>8.9899999999999997E-3</v>
      </c>
      <c r="N121">
        <v>1</v>
      </c>
      <c r="P121">
        <v>1.3648</v>
      </c>
      <c r="Q121">
        <v>0.99465000000000003</v>
      </c>
      <c r="R121">
        <v>0.92025999999999997</v>
      </c>
      <c r="S121">
        <v>0.77542999999999995</v>
      </c>
      <c r="T121">
        <v>111.185</v>
      </c>
      <c r="U121">
        <v>1</v>
      </c>
    </row>
    <row r="122" spans="1:21" hidden="1" outlineLevel="1">
      <c r="A122" s="8">
        <v>42853</v>
      </c>
      <c r="B122" s="1860">
        <v>2153.37527</v>
      </c>
      <c r="C122" s="1860">
        <v>2957.76784</v>
      </c>
      <c r="D122" s="1860">
        <v>3206.2063699999999</v>
      </c>
      <c r="E122" s="1860">
        <v>3809.2010599999999</v>
      </c>
      <c r="F122">
        <v>26.41347</v>
      </c>
      <c r="G122" s="1861">
        <v>2944.31</v>
      </c>
      <c r="I122">
        <v>0.73136999999999996</v>
      </c>
      <c r="J122">
        <v>1.00457</v>
      </c>
      <c r="K122">
        <v>1.0889500000000001</v>
      </c>
      <c r="L122">
        <v>1.29375</v>
      </c>
      <c r="M122">
        <v>8.9700000000000005E-3</v>
      </c>
      <c r="N122">
        <v>1</v>
      </c>
      <c r="P122">
        <v>1.3673</v>
      </c>
      <c r="Q122">
        <v>0.99544999999999995</v>
      </c>
      <c r="R122">
        <v>0.91832000000000003</v>
      </c>
      <c r="S122">
        <v>0.77295000000000003</v>
      </c>
      <c r="T122">
        <v>111.47</v>
      </c>
      <c r="U122">
        <v>1</v>
      </c>
    </row>
    <row r="123" spans="1:21" hidden="1" outlineLevel="1">
      <c r="A123" s="8">
        <v>42854</v>
      </c>
      <c r="B123" s="1860">
        <v>2155.9643099999998</v>
      </c>
      <c r="C123" s="1860">
        <v>2961.32402</v>
      </c>
      <c r="D123" s="1860">
        <v>3210.0612599999999</v>
      </c>
      <c r="E123" s="1860">
        <v>3813.7809400000001</v>
      </c>
      <c r="F123">
        <v>26.445229999999999</v>
      </c>
      <c r="G123" s="1861">
        <v>2947.85</v>
      </c>
      <c r="I123">
        <v>0.73136999999999996</v>
      </c>
      <c r="J123">
        <v>1.00457</v>
      </c>
      <c r="K123">
        <v>1.0889500000000001</v>
      </c>
      <c r="L123">
        <v>1.29375</v>
      </c>
      <c r="M123">
        <v>8.9700000000000005E-3</v>
      </c>
      <c r="N123">
        <v>1</v>
      </c>
      <c r="P123">
        <v>1.3673</v>
      </c>
      <c r="Q123">
        <v>0.99544999999999995</v>
      </c>
      <c r="R123">
        <v>0.91832000000000003</v>
      </c>
      <c r="S123">
        <v>0.77295000000000003</v>
      </c>
      <c r="T123">
        <v>111.47</v>
      </c>
      <c r="U123">
        <v>1</v>
      </c>
    </row>
    <row r="124" spans="1:21" hidden="1" outlineLevel="1">
      <c r="A124" s="8">
        <v>42855</v>
      </c>
      <c r="B124" s="1860">
        <v>2155.9643099999998</v>
      </c>
      <c r="C124" s="1860">
        <v>2961.32402</v>
      </c>
      <c r="D124" s="1860">
        <v>3210.0612599999999</v>
      </c>
      <c r="E124" s="1860">
        <v>3813.7809400000001</v>
      </c>
      <c r="F124">
        <v>26.445229999999999</v>
      </c>
      <c r="G124" s="1861">
        <v>2947.85</v>
      </c>
      <c r="I124">
        <v>0.73136999999999996</v>
      </c>
      <c r="J124">
        <v>1.00457</v>
      </c>
      <c r="K124">
        <v>1.0889500000000001</v>
      </c>
      <c r="L124">
        <v>1.29375</v>
      </c>
      <c r="M124">
        <v>8.9700000000000005E-3</v>
      </c>
      <c r="N124">
        <v>1</v>
      </c>
      <c r="P124">
        <v>1.3673</v>
      </c>
      <c r="Q124">
        <v>0.99544999999999995</v>
      </c>
      <c r="R124">
        <v>0.91832000000000003</v>
      </c>
      <c r="S124">
        <v>0.77295000000000003</v>
      </c>
      <c r="T124">
        <v>111.47</v>
      </c>
      <c r="U124">
        <v>1</v>
      </c>
    </row>
    <row r="125" spans="1:21" hidden="1" outlineLevel="1">
      <c r="A125" s="8">
        <v>42856</v>
      </c>
      <c r="B125" s="1860">
        <v>2158.41113</v>
      </c>
      <c r="C125" s="1860">
        <v>2965.7930500000002</v>
      </c>
      <c r="D125" s="1860">
        <v>3218.3152399999999</v>
      </c>
      <c r="E125" s="1860">
        <v>3811.1278699999998</v>
      </c>
      <c r="F125">
        <v>26.409690000000001</v>
      </c>
      <c r="G125" s="1861">
        <v>2947.85</v>
      </c>
      <c r="I125">
        <v>0.73219999999999996</v>
      </c>
      <c r="J125">
        <v>1.0060899999999999</v>
      </c>
      <c r="K125">
        <v>1.09175</v>
      </c>
      <c r="L125">
        <v>1.2928500000000001</v>
      </c>
      <c r="M125">
        <v>8.9599999999999992E-3</v>
      </c>
      <c r="N125">
        <v>1</v>
      </c>
      <c r="P125">
        <v>1.36575</v>
      </c>
      <c r="Q125">
        <v>0.99395</v>
      </c>
      <c r="R125">
        <v>0.91596</v>
      </c>
      <c r="S125">
        <v>0.77347999999999995</v>
      </c>
      <c r="T125">
        <v>111.62</v>
      </c>
      <c r="U125">
        <v>1</v>
      </c>
    </row>
    <row r="126" spans="1:21" hidden="1" outlineLevel="1">
      <c r="A126" s="8">
        <v>42857</v>
      </c>
      <c r="B126" s="1860">
        <v>2146.7793000000001</v>
      </c>
      <c r="C126" s="1860">
        <v>2965.9422500000001</v>
      </c>
      <c r="D126" s="1860">
        <v>3213.5986800000001</v>
      </c>
      <c r="E126" s="1860">
        <v>3809.9487300000001</v>
      </c>
      <c r="F126">
        <v>26.289570000000001</v>
      </c>
      <c r="G126" s="1861">
        <v>2947.85</v>
      </c>
      <c r="I126">
        <v>0.72824999999999995</v>
      </c>
      <c r="J126">
        <v>1.00614</v>
      </c>
      <c r="K126">
        <v>1.09015</v>
      </c>
      <c r="L126">
        <v>1.2924500000000001</v>
      </c>
      <c r="M126">
        <v>8.9200000000000008E-3</v>
      </c>
      <c r="N126">
        <v>1</v>
      </c>
      <c r="P126">
        <v>1.3731500000000001</v>
      </c>
      <c r="Q126">
        <v>0.99390000000000001</v>
      </c>
      <c r="R126">
        <v>0.9173</v>
      </c>
      <c r="S126">
        <v>0.77371999999999996</v>
      </c>
      <c r="T126">
        <v>112.13</v>
      </c>
      <c r="U126">
        <v>1</v>
      </c>
    </row>
    <row r="127" spans="1:21" hidden="1" outlineLevel="1">
      <c r="A127" s="8">
        <v>42858</v>
      </c>
      <c r="B127" s="1860">
        <v>2148.8455199999999</v>
      </c>
      <c r="C127" s="1860">
        <v>2971.6807899999999</v>
      </c>
      <c r="D127" s="1860">
        <v>3212.9841200000001</v>
      </c>
      <c r="E127" s="1860">
        <v>3799.1445899999999</v>
      </c>
      <c r="F127">
        <v>26.220949999999998</v>
      </c>
      <c r="G127" s="1861">
        <v>2945.53</v>
      </c>
      <c r="I127">
        <v>0.72953000000000001</v>
      </c>
      <c r="J127">
        <v>1.00888</v>
      </c>
      <c r="K127">
        <v>1.0908</v>
      </c>
      <c r="L127">
        <v>1.2898000000000001</v>
      </c>
      <c r="M127">
        <v>8.8999999999999999E-3</v>
      </c>
      <c r="N127">
        <v>1</v>
      </c>
      <c r="P127">
        <v>1.3707499999999999</v>
      </c>
      <c r="Q127">
        <v>0.99119999999999997</v>
      </c>
      <c r="R127">
        <v>0.91676000000000002</v>
      </c>
      <c r="S127">
        <v>0.77531000000000005</v>
      </c>
      <c r="T127">
        <v>112.33499999999999</v>
      </c>
      <c r="U127">
        <v>1</v>
      </c>
    </row>
    <row r="128" spans="1:21" hidden="1" outlineLevel="1">
      <c r="A128" s="8">
        <v>42859</v>
      </c>
      <c r="B128" s="1860">
        <v>2135.6145900000001</v>
      </c>
      <c r="C128" s="1860">
        <v>2957.37788</v>
      </c>
      <c r="D128" s="1860">
        <v>3207.3640799999998</v>
      </c>
      <c r="E128" s="1860">
        <v>3784.4610600000001</v>
      </c>
      <c r="F128">
        <v>25.996269999999999</v>
      </c>
      <c r="G128" s="1861">
        <v>2930.17</v>
      </c>
      <c r="I128">
        <v>0.72884000000000004</v>
      </c>
      <c r="J128">
        <v>1.00929</v>
      </c>
      <c r="K128">
        <v>1.0946</v>
      </c>
      <c r="L128">
        <v>1.29155</v>
      </c>
      <c r="M128">
        <v>8.8699999999999994E-3</v>
      </c>
      <c r="N128">
        <v>1</v>
      </c>
      <c r="P128">
        <v>1.37205</v>
      </c>
      <c r="Q128">
        <v>0.99080000000000001</v>
      </c>
      <c r="R128">
        <v>0.91357999999999995</v>
      </c>
      <c r="S128">
        <v>0.77425999999999995</v>
      </c>
      <c r="T128">
        <v>112.715</v>
      </c>
      <c r="U128">
        <v>1</v>
      </c>
    </row>
    <row r="129" spans="1:21" hidden="1" outlineLevel="1">
      <c r="A129" s="8">
        <v>42860</v>
      </c>
      <c r="B129" s="1860">
        <v>2167.20102</v>
      </c>
      <c r="C129" s="1860">
        <v>3003.0258600000002</v>
      </c>
      <c r="D129" s="1860">
        <v>3260.4747000000002</v>
      </c>
      <c r="E129" s="1860">
        <v>3845.80224</v>
      </c>
      <c r="F129">
        <v>26.34563</v>
      </c>
      <c r="G129" s="1861">
        <v>2967.44</v>
      </c>
      <c r="I129">
        <v>0.73033000000000003</v>
      </c>
      <c r="J129">
        <v>1.0119899999999999</v>
      </c>
      <c r="K129">
        <v>1.0987499999999999</v>
      </c>
      <c r="L129">
        <v>1.296</v>
      </c>
      <c r="M129">
        <v>8.8800000000000007E-3</v>
      </c>
      <c r="N129">
        <v>1</v>
      </c>
      <c r="P129">
        <v>1.3692500000000001</v>
      </c>
      <c r="Q129">
        <v>0.98814999999999997</v>
      </c>
      <c r="R129">
        <v>0.91012999999999999</v>
      </c>
      <c r="S129">
        <v>0.77159999999999995</v>
      </c>
      <c r="T129">
        <v>112.63500000000001</v>
      </c>
      <c r="U129">
        <v>1</v>
      </c>
    </row>
    <row r="130" spans="1:21" hidden="1" outlineLevel="1">
      <c r="A130" s="8">
        <v>42861</v>
      </c>
      <c r="B130" s="1860">
        <v>2163.0673700000002</v>
      </c>
      <c r="C130" s="1860">
        <v>2997.2979799999998</v>
      </c>
      <c r="D130" s="1860">
        <v>3254.25578</v>
      </c>
      <c r="E130" s="1860">
        <v>3838.4668799999999</v>
      </c>
      <c r="F130">
        <v>26.295380000000002</v>
      </c>
      <c r="G130" s="1861">
        <v>2961.78</v>
      </c>
      <c r="I130">
        <v>0.73033000000000003</v>
      </c>
      <c r="J130">
        <v>1.0119899999999999</v>
      </c>
      <c r="K130">
        <v>1.0987499999999999</v>
      </c>
      <c r="L130">
        <v>1.296</v>
      </c>
      <c r="M130">
        <v>8.8800000000000007E-3</v>
      </c>
      <c r="N130">
        <v>1</v>
      </c>
      <c r="P130">
        <v>1.3692500000000001</v>
      </c>
      <c r="Q130">
        <v>0.98814999999999997</v>
      </c>
      <c r="R130">
        <v>0.91012999999999999</v>
      </c>
      <c r="S130">
        <v>0.77159999999999995</v>
      </c>
      <c r="T130">
        <v>112.63500000000001</v>
      </c>
      <c r="U130">
        <v>1</v>
      </c>
    </row>
    <row r="131" spans="1:21" hidden="1" outlineLevel="1">
      <c r="A131" s="8">
        <v>42862</v>
      </c>
      <c r="B131" s="1860">
        <v>2163.0673700000002</v>
      </c>
      <c r="C131" s="1860">
        <v>2997.2979799999998</v>
      </c>
      <c r="D131" s="1860">
        <v>3254.25578</v>
      </c>
      <c r="E131" s="1860">
        <v>3838.4668799999999</v>
      </c>
      <c r="F131">
        <v>26.295380000000002</v>
      </c>
      <c r="G131" s="1861">
        <v>2961.78</v>
      </c>
      <c r="I131">
        <v>0.73033000000000003</v>
      </c>
      <c r="J131">
        <v>1.0119899999999999</v>
      </c>
      <c r="K131">
        <v>1.0987499999999999</v>
      </c>
      <c r="L131">
        <v>1.296</v>
      </c>
      <c r="M131">
        <v>8.8800000000000007E-3</v>
      </c>
      <c r="N131">
        <v>1</v>
      </c>
      <c r="P131">
        <v>1.3692500000000001</v>
      </c>
      <c r="Q131">
        <v>0.98814999999999997</v>
      </c>
      <c r="R131">
        <v>0.91012999999999999</v>
      </c>
      <c r="S131">
        <v>0.77159999999999995</v>
      </c>
      <c r="T131">
        <v>112.63500000000001</v>
      </c>
      <c r="U131">
        <v>1</v>
      </c>
    </row>
    <row r="132" spans="1:21" hidden="1" outlineLevel="1">
      <c r="A132" s="8">
        <v>42863</v>
      </c>
      <c r="B132" s="1860">
        <v>2160.85799</v>
      </c>
      <c r="C132" s="1860">
        <v>2969.5007000000001</v>
      </c>
      <c r="D132" s="1860">
        <v>3237.8179</v>
      </c>
      <c r="E132" s="1860">
        <v>3832.8395</v>
      </c>
      <c r="F132">
        <v>26.2639</v>
      </c>
      <c r="G132" s="1861">
        <v>2961.78</v>
      </c>
      <c r="I132">
        <v>0.72958000000000001</v>
      </c>
      <c r="J132">
        <v>1.00261</v>
      </c>
      <c r="K132">
        <v>1.0931999999999999</v>
      </c>
      <c r="L132">
        <v>1.2941</v>
      </c>
      <c r="M132">
        <v>8.8699999999999994E-3</v>
      </c>
      <c r="N132">
        <v>1</v>
      </c>
      <c r="P132">
        <v>1.3706499999999999</v>
      </c>
      <c r="Q132">
        <v>0.99739999999999995</v>
      </c>
      <c r="R132">
        <v>0.91474999999999995</v>
      </c>
      <c r="S132">
        <v>0.77273999999999998</v>
      </c>
      <c r="T132">
        <v>112.77</v>
      </c>
      <c r="U132">
        <v>1</v>
      </c>
    </row>
    <row r="133" spans="1:21" hidden="1" outlineLevel="1">
      <c r="A133" s="8">
        <v>42864</v>
      </c>
      <c r="B133" s="1860">
        <v>2159.4920999999999</v>
      </c>
      <c r="C133" s="1860">
        <v>2943.5122099999999</v>
      </c>
      <c r="D133" s="1860">
        <v>3222.9300699999999</v>
      </c>
      <c r="E133" s="1860">
        <v>3832.2417</v>
      </c>
      <c r="F133">
        <v>25.936810000000001</v>
      </c>
      <c r="G133" s="1861">
        <v>2959.26</v>
      </c>
      <c r="I133">
        <v>0.72974000000000006</v>
      </c>
      <c r="J133">
        <v>0.99468000000000001</v>
      </c>
      <c r="K133">
        <v>1.0891</v>
      </c>
      <c r="L133">
        <v>1.2949999999999999</v>
      </c>
      <c r="M133">
        <v>8.7600000000000004E-3</v>
      </c>
      <c r="N133">
        <v>1</v>
      </c>
      <c r="P133">
        <v>1.37035</v>
      </c>
      <c r="Q133">
        <v>1.00535</v>
      </c>
      <c r="R133">
        <v>0.91818999999999995</v>
      </c>
      <c r="S133">
        <v>0.7722</v>
      </c>
      <c r="T133">
        <v>114.095</v>
      </c>
      <c r="U133">
        <v>1</v>
      </c>
    </row>
    <row r="134" spans="1:21" hidden="1" outlineLevel="1">
      <c r="A134" s="8">
        <v>42865</v>
      </c>
      <c r="B134" s="1860">
        <v>2172.8471</v>
      </c>
      <c r="C134" s="1860">
        <v>2942.5228099999999</v>
      </c>
      <c r="D134" s="1860">
        <v>3225.0931599999999</v>
      </c>
      <c r="E134" s="1860">
        <v>3842.2790799999998</v>
      </c>
      <c r="F134">
        <v>26.021570000000001</v>
      </c>
      <c r="G134" s="1861">
        <v>2967.24</v>
      </c>
      <c r="I134">
        <v>0.73228000000000004</v>
      </c>
      <c r="J134">
        <v>0.99167000000000005</v>
      </c>
      <c r="K134">
        <v>1.0869</v>
      </c>
      <c r="L134">
        <v>1.2948999999999999</v>
      </c>
      <c r="M134">
        <v>8.77E-3</v>
      </c>
      <c r="N134">
        <v>1</v>
      </c>
      <c r="P134">
        <v>1.3655999999999999</v>
      </c>
      <c r="Q134">
        <v>1.0084</v>
      </c>
      <c r="R134">
        <v>0.92005000000000003</v>
      </c>
      <c r="S134">
        <v>0.77225999999999995</v>
      </c>
      <c r="T134">
        <v>114.03</v>
      </c>
      <c r="U134">
        <v>1</v>
      </c>
    </row>
    <row r="135" spans="1:21" hidden="1" outlineLevel="1">
      <c r="A135" s="8">
        <v>42866</v>
      </c>
      <c r="B135" s="1860">
        <v>2155.4849100000001</v>
      </c>
      <c r="C135" s="1860">
        <v>2928.9935</v>
      </c>
      <c r="D135" s="1860">
        <v>3205.35358</v>
      </c>
      <c r="E135" s="1860">
        <v>3797.8780000000002</v>
      </c>
      <c r="F135">
        <v>25.938610000000001</v>
      </c>
      <c r="G135" s="1861">
        <v>2949.35</v>
      </c>
      <c r="I135">
        <v>0.73082999999999998</v>
      </c>
      <c r="J135">
        <v>0.99309999999999998</v>
      </c>
      <c r="K135">
        <v>1.0868</v>
      </c>
      <c r="L135">
        <v>1.2877000000000001</v>
      </c>
      <c r="M135">
        <v>8.7899999999999992E-3</v>
      </c>
      <c r="N135">
        <v>1</v>
      </c>
      <c r="P135">
        <v>1.3683000000000001</v>
      </c>
      <c r="Q135">
        <v>1.00695</v>
      </c>
      <c r="R135">
        <v>0.92013</v>
      </c>
      <c r="S135">
        <v>0.77658000000000005</v>
      </c>
      <c r="T135">
        <v>113.705</v>
      </c>
      <c r="U135">
        <v>1</v>
      </c>
    </row>
    <row r="136" spans="1:21" hidden="1" outlineLevel="1">
      <c r="A136" s="8">
        <v>42867</v>
      </c>
      <c r="B136" s="1860">
        <v>2138.1139800000001</v>
      </c>
      <c r="C136" s="1860">
        <v>2926.0197499999999</v>
      </c>
      <c r="D136" s="1860">
        <v>3204.72082</v>
      </c>
      <c r="E136" s="1860">
        <v>3781.96958</v>
      </c>
      <c r="F136">
        <v>25.91001</v>
      </c>
      <c r="G136" s="1861">
        <v>2933.92</v>
      </c>
      <c r="I136">
        <v>0.72875999999999996</v>
      </c>
      <c r="J136">
        <v>0.99731000000000003</v>
      </c>
      <c r="K136">
        <v>1.0923</v>
      </c>
      <c r="L136">
        <v>1.28905</v>
      </c>
      <c r="M136">
        <v>8.8299999999999993E-3</v>
      </c>
      <c r="N136">
        <v>1</v>
      </c>
      <c r="P136">
        <v>1.3722000000000001</v>
      </c>
      <c r="Q136">
        <v>1.0026999999999999</v>
      </c>
      <c r="R136">
        <v>0.91549999999999998</v>
      </c>
      <c r="S136">
        <v>0.77576999999999996</v>
      </c>
      <c r="T136">
        <v>113.235</v>
      </c>
      <c r="U136">
        <v>1</v>
      </c>
    </row>
    <row r="137" spans="1:21" hidden="1" outlineLevel="1">
      <c r="A137" s="8">
        <v>42868</v>
      </c>
      <c r="B137" s="1860">
        <v>2127.0150100000001</v>
      </c>
      <c r="C137" s="1860">
        <v>2910.8307599999998</v>
      </c>
      <c r="D137" s="1860">
        <v>3188.08509</v>
      </c>
      <c r="E137" s="1860">
        <v>3762.33734</v>
      </c>
      <c r="F137">
        <v>25.775510000000001</v>
      </c>
      <c r="G137" s="1861">
        <v>2918.69</v>
      </c>
      <c r="I137">
        <v>0.72875999999999996</v>
      </c>
      <c r="J137">
        <v>0.99731000000000003</v>
      </c>
      <c r="K137">
        <v>1.0923</v>
      </c>
      <c r="L137">
        <v>1.28905</v>
      </c>
      <c r="M137">
        <v>8.8299999999999993E-3</v>
      </c>
      <c r="N137">
        <v>1</v>
      </c>
      <c r="P137">
        <v>1.3722000000000001</v>
      </c>
      <c r="Q137">
        <v>1.0026999999999999</v>
      </c>
      <c r="R137">
        <v>0.91549999999999998</v>
      </c>
      <c r="S137">
        <v>0.77576999999999996</v>
      </c>
      <c r="T137">
        <v>113.235</v>
      </c>
      <c r="U137">
        <v>1</v>
      </c>
    </row>
    <row r="138" spans="1:21" hidden="1" outlineLevel="1">
      <c r="A138" s="8">
        <v>42869</v>
      </c>
      <c r="B138" s="1860">
        <v>2127.0150100000001</v>
      </c>
      <c r="C138" s="1860">
        <v>2910.8307599999998</v>
      </c>
      <c r="D138" s="1860">
        <v>3188.08509</v>
      </c>
      <c r="E138" s="1860">
        <v>3762.33734</v>
      </c>
      <c r="F138">
        <v>25.775510000000001</v>
      </c>
      <c r="G138" s="1861">
        <v>2918.69</v>
      </c>
      <c r="I138">
        <v>0.72875999999999996</v>
      </c>
      <c r="J138">
        <v>0.99731000000000003</v>
      </c>
      <c r="K138">
        <v>1.0923</v>
      </c>
      <c r="L138">
        <v>1.28905</v>
      </c>
      <c r="M138">
        <v>8.8299999999999993E-3</v>
      </c>
      <c r="N138">
        <v>1</v>
      </c>
      <c r="P138">
        <v>1.3722000000000001</v>
      </c>
      <c r="Q138">
        <v>1.0026999999999999</v>
      </c>
      <c r="R138">
        <v>0.91549999999999998</v>
      </c>
      <c r="S138">
        <v>0.77576999999999996</v>
      </c>
      <c r="T138">
        <v>113.235</v>
      </c>
      <c r="U138">
        <v>1</v>
      </c>
    </row>
    <row r="139" spans="1:21" hidden="1" outlineLevel="1">
      <c r="A139" s="8">
        <v>42870</v>
      </c>
      <c r="B139" s="1860">
        <v>2137.2949600000002</v>
      </c>
      <c r="C139" s="1860">
        <v>2928.5004800000002</v>
      </c>
      <c r="D139" s="1860">
        <v>3204.2838200000001</v>
      </c>
      <c r="E139" s="1860">
        <v>3770.2178100000001</v>
      </c>
      <c r="F139">
        <v>25.689299999999999</v>
      </c>
      <c r="G139" s="1861">
        <v>2918.69</v>
      </c>
      <c r="I139">
        <v>0.73228000000000004</v>
      </c>
      <c r="J139">
        <v>1.00336</v>
      </c>
      <c r="K139">
        <v>1.09785</v>
      </c>
      <c r="L139">
        <v>1.29175</v>
      </c>
      <c r="M139">
        <v>8.8000000000000005E-3</v>
      </c>
      <c r="N139">
        <v>1</v>
      </c>
      <c r="P139">
        <v>1.3655999999999999</v>
      </c>
      <c r="Q139">
        <v>0.99665000000000004</v>
      </c>
      <c r="R139">
        <v>0.91086999999999996</v>
      </c>
      <c r="S139">
        <v>0.77414000000000005</v>
      </c>
      <c r="T139">
        <v>113.61499999999999</v>
      </c>
      <c r="U139">
        <v>1</v>
      </c>
    </row>
    <row r="140" spans="1:21" hidden="1" outlineLevel="1">
      <c r="A140" s="8">
        <v>42871</v>
      </c>
      <c r="B140" s="1860">
        <v>2119.55755</v>
      </c>
      <c r="C140" s="1860">
        <v>2921.2621600000002</v>
      </c>
      <c r="D140" s="1860">
        <v>3196.3373099999999</v>
      </c>
      <c r="E140" s="1860">
        <v>3725.5274599999998</v>
      </c>
      <c r="F140">
        <v>25.519839999999999</v>
      </c>
      <c r="G140" s="1861">
        <v>2883.87</v>
      </c>
      <c r="I140">
        <v>0.73497000000000001</v>
      </c>
      <c r="J140">
        <v>1.0129699999999999</v>
      </c>
      <c r="K140">
        <v>1.1083499999999999</v>
      </c>
      <c r="L140">
        <v>1.2918499999999999</v>
      </c>
      <c r="M140">
        <v>8.8500000000000002E-3</v>
      </c>
      <c r="N140">
        <v>1</v>
      </c>
      <c r="P140">
        <v>1.3606</v>
      </c>
      <c r="Q140">
        <v>0.98719999999999997</v>
      </c>
      <c r="R140">
        <v>0.90224000000000004</v>
      </c>
      <c r="S140">
        <v>0.77407999999999999</v>
      </c>
      <c r="T140">
        <v>113.005</v>
      </c>
      <c r="U140">
        <v>1</v>
      </c>
    </row>
    <row r="141" spans="1:21" hidden="1" outlineLevel="1">
      <c r="A141" s="8">
        <v>42872</v>
      </c>
      <c r="B141" s="1860">
        <v>2112.8948</v>
      </c>
      <c r="C141" s="1860">
        <v>2934.8518899999999</v>
      </c>
      <c r="D141" s="1860">
        <v>3202.6346699999999</v>
      </c>
      <c r="E141" s="1860">
        <v>3727.2846500000001</v>
      </c>
      <c r="F141">
        <v>25.813929999999999</v>
      </c>
      <c r="G141" s="1861">
        <v>2873.22</v>
      </c>
      <c r="I141">
        <v>0.73538000000000003</v>
      </c>
      <c r="J141">
        <v>1.02145</v>
      </c>
      <c r="K141">
        <v>1.1146499999999999</v>
      </c>
      <c r="L141">
        <v>1.29725</v>
      </c>
      <c r="M141">
        <v>8.9800000000000001E-3</v>
      </c>
      <c r="N141">
        <v>1</v>
      </c>
      <c r="P141">
        <v>1.35985</v>
      </c>
      <c r="Q141">
        <v>0.97899999999999998</v>
      </c>
      <c r="R141">
        <v>0.89714000000000005</v>
      </c>
      <c r="S141">
        <v>0.77085999999999999</v>
      </c>
      <c r="T141">
        <v>111.30500000000001</v>
      </c>
      <c r="U141">
        <v>1</v>
      </c>
    </row>
    <row r="142" spans="1:21" hidden="1" outlineLevel="1">
      <c r="A142" s="8">
        <v>42873</v>
      </c>
      <c r="B142" s="1860">
        <v>2129.06549</v>
      </c>
      <c r="C142" s="1860">
        <v>2957.1260699999998</v>
      </c>
      <c r="D142" s="1860">
        <v>3219.3415100000002</v>
      </c>
      <c r="E142" s="1860">
        <v>3760.9859900000001</v>
      </c>
      <c r="F142">
        <v>26.04203</v>
      </c>
      <c r="G142" s="1861">
        <v>2893.4</v>
      </c>
      <c r="I142">
        <v>0.73584000000000005</v>
      </c>
      <c r="J142">
        <v>1.0220199999999999</v>
      </c>
      <c r="K142">
        <v>1.1126499999999999</v>
      </c>
      <c r="L142">
        <v>1.2998499999999999</v>
      </c>
      <c r="M142">
        <v>8.9999999999999993E-3</v>
      </c>
      <c r="N142">
        <v>1</v>
      </c>
      <c r="P142">
        <v>1.359</v>
      </c>
      <c r="Q142">
        <v>0.97845000000000004</v>
      </c>
      <c r="R142">
        <v>0.89876</v>
      </c>
      <c r="S142">
        <v>0.76932</v>
      </c>
      <c r="T142">
        <v>111.105</v>
      </c>
      <c r="U142">
        <v>1</v>
      </c>
    </row>
    <row r="143" spans="1:21" hidden="1" outlineLevel="1">
      <c r="A143" s="8">
        <v>42874</v>
      </c>
      <c r="B143" s="1860">
        <v>2164.8344299999999</v>
      </c>
      <c r="C143" s="1860">
        <v>3008.88661</v>
      </c>
      <c r="D143" s="1860">
        <v>3282.55312</v>
      </c>
      <c r="E143" s="1860">
        <v>3818.99179</v>
      </c>
      <c r="F143">
        <v>26.287970000000001</v>
      </c>
      <c r="G143" s="1861">
        <v>2932.16</v>
      </c>
      <c r="I143">
        <v>0.73831000000000002</v>
      </c>
      <c r="J143">
        <v>1.02617</v>
      </c>
      <c r="K143">
        <v>1.1194999999999999</v>
      </c>
      <c r="L143">
        <v>1.3024500000000001</v>
      </c>
      <c r="M143">
        <v>8.9700000000000005E-3</v>
      </c>
      <c r="N143">
        <v>1</v>
      </c>
      <c r="P143">
        <v>1.3544499999999999</v>
      </c>
      <c r="Q143">
        <v>0.97450000000000003</v>
      </c>
      <c r="R143">
        <v>0.89326000000000005</v>
      </c>
      <c r="S143">
        <v>0.76778000000000002</v>
      </c>
      <c r="T143">
        <v>111.54</v>
      </c>
      <c r="U143">
        <v>1</v>
      </c>
    </row>
    <row r="144" spans="1:21" hidden="1" outlineLevel="1">
      <c r="A144" s="8">
        <v>42875</v>
      </c>
      <c r="B144" s="1860">
        <v>2133.30134</v>
      </c>
      <c r="C144" s="1860">
        <v>2965.0590000000002</v>
      </c>
      <c r="D144" s="1860">
        <v>3234.7392799999998</v>
      </c>
      <c r="E144" s="1860">
        <v>3763.3641499999999</v>
      </c>
      <c r="F144">
        <v>25.905059999999999</v>
      </c>
      <c r="G144" s="1861">
        <v>2889.45</v>
      </c>
      <c r="I144">
        <v>0.73831000000000002</v>
      </c>
      <c r="J144">
        <v>1.02617</v>
      </c>
      <c r="K144">
        <v>1.1194999999999999</v>
      </c>
      <c r="L144">
        <v>1.3024500000000001</v>
      </c>
      <c r="M144">
        <v>8.9700000000000005E-3</v>
      </c>
      <c r="N144">
        <v>1</v>
      </c>
      <c r="P144">
        <v>1.3544499999999999</v>
      </c>
      <c r="Q144">
        <v>0.97450000000000003</v>
      </c>
      <c r="R144">
        <v>0.89326000000000005</v>
      </c>
      <c r="S144">
        <v>0.76778000000000002</v>
      </c>
      <c r="T144">
        <v>111.54</v>
      </c>
      <c r="U144">
        <v>1</v>
      </c>
    </row>
    <row r="145" spans="1:21" hidden="1" outlineLevel="1">
      <c r="A145" s="8">
        <v>42876</v>
      </c>
      <c r="B145" s="1860">
        <v>2133.30134</v>
      </c>
      <c r="C145" s="1860">
        <v>2965.0590000000002</v>
      </c>
      <c r="D145" s="1860">
        <v>3234.7392799999998</v>
      </c>
      <c r="E145" s="1860">
        <v>3763.3641499999999</v>
      </c>
      <c r="F145">
        <v>25.905059999999999</v>
      </c>
      <c r="G145" s="1861">
        <v>2889.45</v>
      </c>
      <c r="I145">
        <v>0.73831000000000002</v>
      </c>
      <c r="J145">
        <v>1.02617</v>
      </c>
      <c r="K145">
        <v>1.1194999999999999</v>
      </c>
      <c r="L145">
        <v>1.3024500000000001</v>
      </c>
      <c r="M145">
        <v>8.9700000000000005E-3</v>
      </c>
      <c r="N145">
        <v>1</v>
      </c>
      <c r="P145">
        <v>1.3544499999999999</v>
      </c>
      <c r="Q145">
        <v>0.97450000000000003</v>
      </c>
      <c r="R145">
        <v>0.89326000000000005</v>
      </c>
      <c r="S145">
        <v>0.76778000000000002</v>
      </c>
      <c r="T145">
        <v>111.54</v>
      </c>
      <c r="U145">
        <v>1</v>
      </c>
    </row>
    <row r="146" spans="1:21" hidden="1" outlineLevel="1">
      <c r="A146" s="8">
        <v>42877</v>
      </c>
      <c r="B146" s="1860">
        <v>2142.3169600000001</v>
      </c>
      <c r="C146" s="1860">
        <v>2970.5459000000001</v>
      </c>
      <c r="D146" s="1860">
        <v>3250.1978300000001</v>
      </c>
      <c r="E146" s="1860">
        <v>3760.7636499999999</v>
      </c>
      <c r="F146">
        <v>26.022880000000001</v>
      </c>
      <c r="G146" s="1861">
        <v>2889.45</v>
      </c>
      <c r="I146">
        <v>0.74143000000000003</v>
      </c>
      <c r="J146">
        <v>1.02807</v>
      </c>
      <c r="K146">
        <v>1.1248499999999999</v>
      </c>
      <c r="L146">
        <v>1.30155</v>
      </c>
      <c r="M146">
        <v>9.0100000000000006E-3</v>
      </c>
      <c r="N146">
        <v>1</v>
      </c>
      <c r="P146">
        <v>1.3487499999999999</v>
      </c>
      <c r="Q146">
        <v>0.97270000000000001</v>
      </c>
      <c r="R146">
        <v>0.88900999999999997</v>
      </c>
      <c r="S146">
        <v>0.76831000000000005</v>
      </c>
      <c r="T146">
        <v>111.035</v>
      </c>
      <c r="U146">
        <v>1</v>
      </c>
    </row>
    <row r="147" spans="1:21" hidden="1" outlineLevel="1">
      <c r="A147" s="8">
        <v>42878</v>
      </c>
      <c r="B147" s="1860">
        <v>2147.0780199999999</v>
      </c>
      <c r="C147" s="1860">
        <v>2979.7447499999998</v>
      </c>
      <c r="D147" s="1860">
        <v>3251.0749999999998</v>
      </c>
      <c r="E147" s="1860">
        <v>3757.8657600000001</v>
      </c>
      <c r="F147">
        <v>26.05986</v>
      </c>
      <c r="G147" s="1861">
        <v>2895.12</v>
      </c>
      <c r="I147">
        <v>0.74161999999999995</v>
      </c>
      <c r="J147">
        <v>1.0292300000000001</v>
      </c>
      <c r="K147">
        <v>1.1229499999999999</v>
      </c>
      <c r="L147">
        <v>1.298</v>
      </c>
      <c r="M147">
        <v>8.9999999999999993E-3</v>
      </c>
      <c r="N147">
        <v>1</v>
      </c>
      <c r="P147">
        <v>1.3484</v>
      </c>
      <c r="Q147">
        <v>0.97160000000000002</v>
      </c>
      <c r="R147">
        <v>0.89051000000000002</v>
      </c>
      <c r="S147">
        <v>0.77041999999999999</v>
      </c>
      <c r="T147">
        <v>111.095</v>
      </c>
      <c r="U147">
        <v>1</v>
      </c>
    </row>
    <row r="148" spans="1:21" hidden="1" outlineLevel="1">
      <c r="A148" s="8">
        <v>42879</v>
      </c>
      <c r="B148" s="1860">
        <v>2160.8465999999999</v>
      </c>
      <c r="C148" s="1860">
        <v>2973.90191</v>
      </c>
      <c r="D148" s="1860">
        <v>3248.5158200000001</v>
      </c>
      <c r="E148" s="1860">
        <v>3761.17949</v>
      </c>
      <c r="F148">
        <v>25.93055</v>
      </c>
      <c r="G148" s="1861">
        <v>2904.61</v>
      </c>
      <c r="I148">
        <v>0.74394000000000005</v>
      </c>
      <c r="J148">
        <v>1.02386</v>
      </c>
      <c r="K148">
        <v>1.1184000000000001</v>
      </c>
      <c r="L148">
        <v>1.2948999999999999</v>
      </c>
      <c r="M148">
        <v>8.9300000000000004E-3</v>
      </c>
      <c r="N148">
        <v>1</v>
      </c>
      <c r="P148">
        <v>1.3442000000000001</v>
      </c>
      <c r="Q148">
        <v>0.97670000000000001</v>
      </c>
      <c r="R148">
        <v>0.89412999999999998</v>
      </c>
      <c r="S148">
        <v>0.77225999999999995</v>
      </c>
      <c r="T148">
        <v>112.015</v>
      </c>
      <c r="U148">
        <v>1</v>
      </c>
    </row>
    <row r="149" spans="1:21" hidden="1" outlineLevel="1">
      <c r="A149" s="8">
        <v>42880</v>
      </c>
      <c r="B149" s="1860">
        <v>2161.7545300000002</v>
      </c>
      <c r="C149" s="1860">
        <v>2988.3665900000001</v>
      </c>
      <c r="D149" s="1860">
        <v>3257.7016800000001</v>
      </c>
      <c r="E149" s="1860">
        <v>3760.8979100000001</v>
      </c>
      <c r="F149">
        <v>25.97139</v>
      </c>
      <c r="G149" s="1861">
        <v>2905.29</v>
      </c>
      <c r="I149">
        <v>0.74407999999999996</v>
      </c>
      <c r="J149">
        <v>1.0285899999999999</v>
      </c>
      <c r="K149">
        <v>1.1213</v>
      </c>
      <c r="L149">
        <v>1.2945</v>
      </c>
      <c r="M149">
        <v>8.94E-3</v>
      </c>
      <c r="N149">
        <v>1</v>
      </c>
      <c r="P149">
        <v>1.34395</v>
      </c>
      <c r="Q149">
        <v>0.97219999999999995</v>
      </c>
      <c r="R149">
        <v>0.89181999999999995</v>
      </c>
      <c r="S149">
        <v>0.77249999999999996</v>
      </c>
      <c r="T149">
        <v>111.86499999999999</v>
      </c>
      <c r="U149">
        <v>1</v>
      </c>
    </row>
    <row r="150" spans="1:21" hidden="1" outlineLevel="1">
      <c r="A150" s="8">
        <v>42881</v>
      </c>
      <c r="B150" s="1860">
        <v>2164.3202299999998</v>
      </c>
      <c r="C150" s="1860">
        <v>2988.46351</v>
      </c>
      <c r="D150" s="1860">
        <v>3256.4005400000001</v>
      </c>
      <c r="E150" s="1860">
        <v>3724.1587199999999</v>
      </c>
      <c r="F150">
        <v>26.173400000000001</v>
      </c>
      <c r="G150" s="1861">
        <v>2911.66</v>
      </c>
      <c r="I150">
        <v>0.74333000000000005</v>
      </c>
      <c r="J150">
        <v>1.0263800000000001</v>
      </c>
      <c r="K150">
        <v>1.1184000000000001</v>
      </c>
      <c r="L150">
        <v>1.27905</v>
      </c>
      <c r="M150">
        <v>8.9899999999999997E-3</v>
      </c>
      <c r="N150">
        <v>1</v>
      </c>
      <c r="P150">
        <v>1.3452999999999999</v>
      </c>
      <c r="Q150">
        <v>0.97430000000000005</v>
      </c>
      <c r="R150">
        <v>0.89412999999999998</v>
      </c>
      <c r="S150">
        <v>0.78183000000000002</v>
      </c>
      <c r="T150">
        <v>111.245</v>
      </c>
      <c r="U150">
        <v>1</v>
      </c>
    </row>
    <row r="151" spans="1:21" hidden="1" outlineLevel="1">
      <c r="A151" s="8">
        <v>42882</v>
      </c>
      <c r="B151" s="1860">
        <v>2165.6656499999999</v>
      </c>
      <c r="C151" s="1860">
        <v>2990.3212600000002</v>
      </c>
      <c r="D151" s="1860">
        <v>3258.4248499999999</v>
      </c>
      <c r="E151" s="1860">
        <v>3726.4738000000002</v>
      </c>
      <c r="F151">
        <v>26.18967</v>
      </c>
      <c r="G151" s="1861">
        <v>2913.47</v>
      </c>
      <c r="I151">
        <v>0.74333000000000005</v>
      </c>
      <c r="J151">
        <v>1.0263800000000001</v>
      </c>
      <c r="K151">
        <v>1.1184000000000001</v>
      </c>
      <c r="L151">
        <v>1.27905</v>
      </c>
      <c r="M151">
        <v>8.9899999999999997E-3</v>
      </c>
      <c r="N151">
        <v>1</v>
      </c>
      <c r="P151">
        <v>1.3452999999999999</v>
      </c>
      <c r="Q151">
        <v>0.97430000000000005</v>
      </c>
      <c r="R151">
        <v>0.89412999999999998</v>
      </c>
      <c r="S151">
        <v>0.78183000000000002</v>
      </c>
      <c r="T151">
        <v>111.245</v>
      </c>
      <c r="U151">
        <v>1</v>
      </c>
    </row>
    <row r="152" spans="1:21" hidden="1" outlineLevel="1">
      <c r="A152" s="8">
        <v>42883</v>
      </c>
      <c r="B152" s="1860">
        <v>2165.6656499999999</v>
      </c>
      <c r="C152" s="1860">
        <v>2990.3212600000002</v>
      </c>
      <c r="D152" s="1860">
        <v>3258.4248499999999</v>
      </c>
      <c r="E152" s="1860">
        <v>3726.4738000000002</v>
      </c>
      <c r="F152">
        <v>26.18967</v>
      </c>
      <c r="G152" s="1861">
        <v>2913.47</v>
      </c>
      <c r="I152">
        <v>0.74333000000000005</v>
      </c>
      <c r="J152">
        <v>1.0263800000000001</v>
      </c>
      <c r="K152">
        <v>1.1184000000000001</v>
      </c>
      <c r="L152">
        <v>1.27905</v>
      </c>
      <c r="M152">
        <v>8.9899999999999997E-3</v>
      </c>
      <c r="N152">
        <v>1</v>
      </c>
      <c r="P152">
        <v>1.3452999999999999</v>
      </c>
      <c r="Q152">
        <v>0.97430000000000005</v>
      </c>
      <c r="R152">
        <v>0.89412999999999998</v>
      </c>
      <c r="S152">
        <v>0.78183000000000002</v>
      </c>
      <c r="T152">
        <v>111.245</v>
      </c>
      <c r="U152">
        <v>1</v>
      </c>
    </row>
    <row r="153" spans="1:21" hidden="1" outlineLevel="1">
      <c r="A153" s="8">
        <v>42884</v>
      </c>
      <c r="B153" s="1860">
        <v>2165.6656499999999</v>
      </c>
      <c r="C153" s="1860">
        <v>2990.3212600000002</v>
      </c>
      <c r="D153" s="1860">
        <v>3258.4248499999999</v>
      </c>
      <c r="E153" s="1860">
        <v>3726.4738000000002</v>
      </c>
      <c r="F153">
        <v>26.18967</v>
      </c>
      <c r="G153" s="1861">
        <v>2913.47</v>
      </c>
      <c r="I153">
        <v>0.74333000000000005</v>
      </c>
      <c r="J153">
        <v>1.0263800000000001</v>
      </c>
      <c r="K153">
        <v>1.1184000000000001</v>
      </c>
      <c r="L153">
        <v>1.27905</v>
      </c>
      <c r="M153">
        <v>8.9899999999999997E-3</v>
      </c>
      <c r="N153">
        <v>1</v>
      </c>
      <c r="P153">
        <v>1.3452999999999999</v>
      </c>
      <c r="Q153">
        <v>0.97430000000000005</v>
      </c>
      <c r="R153">
        <v>0.89412999999999998</v>
      </c>
      <c r="S153">
        <v>0.78183000000000002</v>
      </c>
      <c r="T153">
        <v>111.245</v>
      </c>
      <c r="U153">
        <v>1</v>
      </c>
    </row>
    <row r="154" spans="1:21" hidden="1" outlineLevel="1">
      <c r="A154" s="8">
        <v>42885</v>
      </c>
      <c r="B154" s="1860">
        <v>2163.4946</v>
      </c>
      <c r="C154" s="1860">
        <v>2987.2552000000001</v>
      </c>
      <c r="D154" s="1860">
        <v>3256.5310899999999</v>
      </c>
      <c r="E154" s="1860">
        <v>3747.01377</v>
      </c>
      <c r="F154">
        <v>26.252210000000002</v>
      </c>
      <c r="G154" s="1861">
        <v>2913.47</v>
      </c>
      <c r="I154">
        <v>0.74258000000000002</v>
      </c>
      <c r="J154">
        <v>1.0253300000000001</v>
      </c>
      <c r="K154">
        <v>1.11775</v>
      </c>
      <c r="L154">
        <v>1.2861</v>
      </c>
      <c r="M154">
        <v>9.0100000000000006E-3</v>
      </c>
      <c r="N154">
        <v>1</v>
      </c>
      <c r="P154">
        <v>1.3466499999999999</v>
      </c>
      <c r="Q154">
        <v>0.97529999999999994</v>
      </c>
      <c r="R154">
        <v>0.89464999999999995</v>
      </c>
      <c r="S154">
        <v>0.77754000000000001</v>
      </c>
      <c r="T154">
        <v>110.98</v>
      </c>
      <c r="U154">
        <v>1</v>
      </c>
    </row>
    <row r="155" spans="1:21" hidden="1" outlineLevel="1">
      <c r="A155" s="8">
        <v>42886</v>
      </c>
      <c r="B155" s="1860">
        <v>2162.1529599999999</v>
      </c>
      <c r="C155" s="1860">
        <v>3018.36598</v>
      </c>
      <c r="D155" s="1860">
        <v>3284.0122900000001</v>
      </c>
      <c r="E155" s="1860">
        <v>3770.1161999999999</v>
      </c>
      <c r="F155">
        <v>26.408829999999998</v>
      </c>
      <c r="G155" s="1861">
        <v>2920.42</v>
      </c>
      <c r="I155">
        <v>0.74036000000000002</v>
      </c>
      <c r="J155">
        <v>1.0335399999999999</v>
      </c>
      <c r="K155">
        <v>1.1245000000000001</v>
      </c>
      <c r="L155">
        <v>1.29095</v>
      </c>
      <c r="M155">
        <v>9.0399999999999994E-3</v>
      </c>
      <c r="N155">
        <v>1</v>
      </c>
      <c r="P155">
        <v>1.3507</v>
      </c>
      <c r="Q155">
        <v>0.96755000000000002</v>
      </c>
      <c r="R155">
        <v>0.88927999999999996</v>
      </c>
      <c r="S155">
        <v>0.77461999999999998</v>
      </c>
      <c r="T155">
        <v>110.58499999999999</v>
      </c>
      <c r="U155">
        <v>1</v>
      </c>
    </row>
    <row r="156" spans="1:21" hidden="1" outlineLevel="1">
      <c r="A156" s="8">
        <v>42887</v>
      </c>
      <c r="B156" s="1860">
        <v>2166.2711399999998</v>
      </c>
      <c r="C156" s="1860">
        <v>3013.04864</v>
      </c>
      <c r="D156" s="1860">
        <v>3278.9685500000001</v>
      </c>
      <c r="E156" s="1860">
        <v>3768.3820999999998</v>
      </c>
      <c r="F156">
        <v>26.256180000000001</v>
      </c>
      <c r="G156" s="1861">
        <v>2921</v>
      </c>
      <c r="I156">
        <v>0.74161999999999995</v>
      </c>
      <c r="J156">
        <v>1.0315099999999999</v>
      </c>
      <c r="K156">
        <v>1.1225499999999999</v>
      </c>
      <c r="L156">
        <v>1.2901</v>
      </c>
      <c r="M156">
        <v>8.9899999999999997E-3</v>
      </c>
      <c r="N156">
        <v>1</v>
      </c>
      <c r="P156">
        <v>1.3484</v>
      </c>
      <c r="Q156">
        <v>0.96945000000000003</v>
      </c>
      <c r="R156">
        <v>0.89083000000000001</v>
      </c>
      <c r="S156">
        <v>0.77512999999999999</v>
      </c>
      <c r="T156">
        <v>111.25</v>
      </c>
      <c r="U156">
        <v>1</v>
      </c>
    </row>
    <row r="157" spans="1:21" hidden="1" outlineLevel="1">
      <c r="A157" s="8">
        <v>42888</v>
      </c>
      <c r="B157" s="1860">
        <v>2142.6045100000001</v>
      </c>
      <c r="C157" s="1860">
        <v>3004.3367699999999</v>
      </c>
      <c r="D157" s="1860">
        <v>3264.9355799999998</v>
      </c>
      <c r="E157" s="1860">
        <v>3730.4241699999998</v>
      </c>
      <c r="F157">
        <v>26.217559999999999</v>
      </c>
      <c r="G157" s="1861">
        <v>2895.73</v>
      </c>
      <c r="I157">
        <v>0.73992000000000002</v>
      </c>
      <c r="J157">
        <v>1.0375099999999999</v>
      </c>
      <c r="K157">
        <v>1.1274999999999999</v>
      </c>
      <c r="L157">
        <v>1.2882499999999999</v>
      </c>
      <c r="M157">
        <v>9.0500000000000008E-3</v>
      </c>
      <c r="N157">
        <v>1</v>
      </c>
      <c r="P157">
        <v>1.3514999999999999</v>
      </c>
      <c r="Q157">
        <v>0.96384999999999998</v>
      </c>
      <c r="R157">
        <v>0.88692000000000004</v>
      </c>
      <c r="S157">
        <v>0.77625</v>
      </c>
      <c r="T157">
        <v>110.45</v>
      </c>
      <c r="U157">
        <v>1</v>
      </c>
    </row>
    <row r="158" spans="1:21" hidden="1" outlineLevel="1">
      <c r="A158" s="8">
        <v>42889</v>
      </c>
      <c r="B158" s="1860">
        <v>2141.8571999999999</v>
      </c>
      <c r="C158" s="1860">
        <v>3003.2888899999998</v>
      </c>
      <c r="D158" s="1860">
        <v>3263.7968000000001</v>
      </c>
      <c r="E158" s="1860">
        <v>3729.1230399999999</v>
      </c>
      <c r="F158">
        <v>26.20842</v>
      </c>
      <c r="G158" s="1861">
        <v>2894.72</v>
      </c>
      <c r="I158">
        <v>0.73992000000000002</v>
      </c>
      <c r="J158">
        <v>1.0375099999999999</v>
      </c>
      <c r="K158">
        <v>1.1274999999999999</v>
      </c>
      <c r="L158">
        <v>1.2882499999999999</v>
      </c>
      <c r="M158">
        <v>9.0500000000000008E-3</v>
      </c>
      <c r="N158">
        <v>1</v>
      </c>
      <c r="P158">
        <v>1.3514999999999999</v>
      </c>
      <c r="Q158">
        <v>0.96384999999999998</v>
      </c>
      <c r="R158">
        <v>0.88692000000000004</v>
      </c>
      <c r="S158">
        <v>0.77625</v>
      </c>
      <c r="T158">
        <v>110.45</v>
      </c>
      <c r="U158">
        <v>1</v>
      </c>
    </row>
    <row r="159" spans="1:21" hidden="1" outlineLevel="1">
      <c r="A159" s="8">
        <v>42890</v>
      </c>
      <c r="B159" s="1860">
        <v>2141.8571999999999</v>
      </c>
      <c r="C159" s="1860">
        <v>3003.2888899999998</v>
      </c>
      <c r="D159" s="1860">
        <v>3263.7968000000001</v>
      </c>
      <c r="E159" s="1860">
        <v>3729.1230399999999</v>
      </c>
      <c r="F159">
        <v>26.20842</v>
      </c>
      <c r="G159" s="1861">
        <v>2894.72</v>
      </c>
      <c r="I159">
        <v>0.73992000000000002</v>
      </c>
      <c r="J159">
        <v>1.0375099999999999</v>
      </c>
      <c r="K159">
        <v>1.1274999999999999</v>
      </c>
      <c r="L159">
        <v>1.2882499999999999</v>
      </c>
      <c r="M159">
        <v>9.0500000000000008E-3</v>
      </c>
      <c r="N159">
        <v>1</v>
      </c>
      <c r="P159">
        <v>1.3514999999999999</v>
      </c>
      <c r="Q159">
        <v>0.96384999999999998</v>
      </c>
      <c r="R159">
        <v>0.88692000000000004</v>
      </c>
      <c r="S159">
        <v>0.77625</v>
      </c>
      <c r="T159">
        <v>110.45</v>
      </c>
      <c r="U159">
        <v>1</v>
      </c>
    </row>
    <row r="160" spans="1:21" hidden="1" outlineLevel="1">
      <c r="A160" s="8">
        <v>42891</v>
      </c>
      <c r="B160" s="1860">
        <v>2145.5879599999998</v>
      </c>
      <c r="C160" s="1860">
        <v>3000.9537599999999</v>
      </c>
      <c r="D160" s="1860">
        <v>3257.28368</v>
      </c>
      <c r="E160" s="1860">
        <v>3743.5966400000002</v>
      </c>
      <c r="F160">
        <v>26.209610000000001</v>
      </c>
      <c r="G160" s="1861">
        <v>2894.72</v>
      </c>
      <c r="I160">
        <v>0.74121000000000004</v>
      </c>
      <c r="J160">
        <v>1.0367</v>
      </c>
      <c r="K160">
        <v>1.1252500000000001</v>
      </c>
      <c r="L160">
        <v>1.29325</v>
      </c>
      <c r="M160">
        <v>9.0500000000000008E-3</v>
      </c>
      <c r="N160">
        <v>1</v>
      </c>
      <c r="P160">
        <v>1.3491500000000001</v>
      </c>
      <c r="Q160">
        <v>0.96460000000000001</v>
      </c>
      <c r="R160">
        <v>0.88868999999999998</v>
      </c>
      <c r="S160">
        <v>0.77324999999999999</v>
      </c>
      <c r="T160">
        <v>110.44499999999999</v>
      </c>
      <c r="U160">
        <v>1</v>
      </c>
    </row>
    <row r="161" spans="1:21" hidden="1" outlineLevel="1">
      <c r="A161" s="8">
        <v>42892</v>
      </c>
      <c r="B161" s="1860">
        <v>2150.4102800000001</v>
      </c>
      <c r="C161" s="1860">
        <v>3005.2407600000001</v>
      </c>
      <c r="D161" s="1860">
        <v>3262.3198200000002</v>
      </c>
      <c r="E161" s="1860">
        <v>3733.7642000000001</v>
      </c>
      <c r="F161">
        <v>26.471499999999999</v>
      </c>
      <c r="G161" s="1861">
        <v>2895.85</v>
      </c>
      <c r="I161">
        <v>0.74258000000000002</v>
      </c>
      <c r="J161">
        <v>1.0377799999999999</v>
      </c>
      <c r="K161">
        <v>1.1265499999999999</v>
      </c>
      <c r="L161">
        <v>1.28935</v>
      </c>
      <c r="M161">
        <v>9.1400000000000006E-3</v>
      </c>
      <c r="N161">
        <v>1</v>
      </c>
      <c r="P161">
        <v>1.3466499999999999</v>
      </c>
      <c r="Q161">
        <v>0.96360000000000001</v>
      </c>
      <c r="R161">
        <v>0.88766999999999996</v>
      </c>
      <c r="S161">
        <v>0.77558000000000005</v>
      </c>
      <c r="T161">
        <v>109.395</v>
      </c>
      <c r="U161">
        <v>1</v>
      </c>
    </row>
    <row r="162" spans="1:21" hidden="1" outlineLevel="1">
      <c r="A162" s="8">
        <v>42893</v>
      </c>
      <c r="B162" s="1860">
        <v>2143.7641199999998</v>
      </c>
      <c r="C162" s="1860">
        <v>3002.6044099999999</v>
      </c>
      <c r="D162" s="1860">
        <v>3259.0972000000002</v>
      </c>
      <c r="E162" s="1860">
        <v>3750.1682700000001</v>
      </c>
      <c r="F162">
        <v>26.464490000000001</v>
      </c>
      <c r="G162" s="1861">
        <v>2893.76</v>
      </c>
      <c r="I162">
        <v>0.74082000000000003</v>
      </c>
      <c r="J162">
        <v>1.0376099999999999</v>
      </c>
      <c r="K162">
        <v>1.12625</v>
      </c>
      <c r="L162">
        <v>1.2959499999999999</v>
      </c>
      <c r="M162">
        <v>9.1500000000000001E-3</v>
      </c>
      <c r="N162">
        <v>1</v>
      </c>
      <c r="P162">
        <v>1.34985</v>
      </c>
      <c r="Q162">
        <v>0.96375</v>
      </c>
      <c r="R162">
        <v>0.88790000000000002</v>
      </c>
      <c r="S162">
        <v>0.77163000000000004</v>
      </c>
      <c r="T162">
        <v>109.345</v>
      </c>
      <c r="U162">
        <v>1</v>
      </c>
    </row>
    <row r="163" spans="1:21" hidden="1" outlineLevel="1">
      <c r="A163" s="8">
        <v>42894</v>
      </c>
      <c r="B163" s="1860">
        <v>2152.9289800000001</v>
      </c>
      <c r="C163" s="1860">
        <v>3005.8419100000001</v>
      </c>
      <c r="D163" s="1860">
        <v>3262.34762</v>
      </c>
      <c r="E163" s="1860">
        <v>3764.1130800000001</v>
      </c>
      <c r="F163">
        <v>26.394590000000001</v>
      </c>
      <c r="G163" s="1861">
        <v>2907.1</v>
      </c>
      <c r="I163">
        <v>0.74058000000000002</v>
      </c>
      <c r="J163">
        <v>1.0339700000000001</v>
      </c>
      <c r="K163">
        <v>1.1222000000000001</v>
      </c>
      <c r="L163">
        <v>1.2948</v>
      </c>
      <c r="M163">
        <v>9.0799999999999995E-3</v>
      </c>
      <c r="N163">
        <v>1</v>
      </c>
      <c r="P163">
        <v>1.3503000000000001</v>
      </c>
      <c r="Q163">
        <v>0.96714999999999995</v>
      </c>
      <c r="R163">
        <v>0.89110999999999996</v>
      </c>
      <c r="S163">
        <v>0.77232000000000001</v>
      </c>
      <c r="T163">
        <v>110.14</v>
      </c>
      <c r="U163">
        <v>1</v>
      </c>
    </row>
    <row r="164" spans="1:21" hidden="1" outlineLevel="1">
      <c r="A164" s="8">
        <v>42895</v>
      </c>
      <c r="B164" s="1860">
        <v>2174.0218199999999</v>
      </c>
      <c r="C164" s="1860">
        <v>3009.3481099999999</v>
      </c>
      <c r="D164" s="1860">
        <v>3265.5266900000001</v>
      </c>
      <c r="E164" s="1860">
        <v>3720.28865</v>
      </c>
      <c r="F164">
        <v>26.379549999999998</v>
      </c>
      <c r="G164" s="1861">
        <v>2919.82</v>
      </c>
      <c r="I164">
        <v>0.74456999999999995</v>
      </c>
      <c r="J164">
        <v>1.0306599999999999</v>
      </c>
      <c r="K164">
        <v>1.1184000000000001</v>
      </c>
      <c r="L164">
        <v>1.2741499999999999</v>
      </c>
      <c r="M164">
        <v>9.0299999999999998E-3</v>
      </c>
      <c r="N164">
        <v>1</v>
      </c>
      <c r="P164">
        <v>1.3430500000000001</v>
      </c>
      <c r="Q164">
        <v>0.97024999999999995</v>
      </c>
      <c r="R164">
        <v>0.89412999999999998</v>
      </c>
      <c r="S164">
        <v>0.78483999999999998</v>
      </c>
      <c r="T164">
        <v>110.685</v>
      </c>
      <c r="U164">
        <v>1</v>
      </c>
    </row>
    <row r="165" spans="1:21" hidden="1" outlineLevel="1">
      <c r="A165" s="8">
        <v>42896</v>
      </c>
      <c r="B165" s="1860">
        <v>2173.84312</v>
      </c>
      <c r="C165" s="1860">
        <v>3009.1007500000001</v>
      </c>
      <c r="D165" s="1860">
        <v>3265.2582699999998</v>
      </c>
      <c r="E165" s="1860">
        <v>3719.9828600000001</v>
      </c>
      <c r="F165">
        <v>26.377379999999999</v>
      </c>
      <c r="G165" s="1861">
        <v>2919.58</v>
      </c>
      <c r="I165">
        <v>0.74456999999999995</v>
      </c>
      <c r="J165">
        <v>1.0306599999999999</v>
      </c>
      <c r="K165">
        <v>1.1184000000000001</v>
      </c>
      <c r="L165">
        <v>1.2741499999999999</v>
      </c>
      <c r="M165">
        <v>9.0299999999999998E-3</v>
      </c>
      <c r="N165">
        <v>1</v>
      </c>
      <c r="P165">
        <v>1.3430500000000001</v>
      </c>
      <c r="Q165">
        <v>0.97024999999999995</v>
      </c>
      <c r="R165">
        <v>0.89412999999999998</v>
      </c>
      <c r="S165">
        <v>0.78483999999999998</v>
      </c>
      <c r="T165">
        <v>110.685</v>
      </c>
      <c r="U165">
        <v>1</v>
      </c>
    </row>
    <row r="166" spans="1:21" hidden="1" outlineLevel="1">
      <c r="A166" s="8">
        <v>42897</v>
      </c>
      <c r="B166" s="1860">
        <v>2173.84312</v>
      </c>
      <c r="C166" s="1860">
        <v>3009.1007500000001</v>
      </c>
      <c r="D166" s="1860">
        <v>3265.2582699999998</v>
      </c>
      <c r="E166" s="1860">
        <v>3719.9828600000001</v>
      </c>
      <c r="F166">
        <v>26.377379999999999</v>
      </c>
      <c r="G166" s="1861">
        <v>2919.58</v>
      </c>
      <c r="I166">
        <v>0.74456999999999995</v>
      </c>
      <c r="J166">
        <v>1.0306599999999999</v>
      </c>
      <c r="K166">
        <v>1.1184000000000001</v>
      </c>
      <c r="L166">
        <v>1.2741499999999999</v>
      </c>
      <c r="M166">
        <v>9.0299999999999998E-3</v>
      </c>
      <c r="N166">
        <v>1</v>
      </c>
      <c r="P166">
        <v>1.3430500000000001</v>
      </c>
      <c r="Q166">
        <v>0.97024999999999995</v>
      </c>
      <c r="R166">
        <v>0.89412999999999998</v>
      </c>
      <c r="S166">
        <v>0.78483999999999998</v>
      </c>
      <c r="T166">
        <v>110.685</v>
      </c>
      <c r="U166">
        <v>1</v>
      </c>
    </row>
    <row r="167" spans="1:21" hidden="1" outlineLevel="1">
      <c r="A167" s="8">
        <v>42898</v>
      </c>
      <c r="B167" s="1860">
        <v>2172.1449299999999</v>
      </c>
      <c r="C167" s="1860">
        <v>3012.5161199999998</v>
      </c>
      <c r="D167" s="1860">
        <v>3270.51352</v>
      </c>
      <c r="E167" s="1860">
        <v>3700.1297100000002</v>
      </c>
      <c r="F167">
        <v>26.586349999999999</v>
      </c>
      <c r="G167" s="1861">
        <v>2919.58</v>
      </c>
      <c r="I167">
        <v>0.74399000000000004</v>
      </c>
      <c r="J167">
        <v>1.03183</v>
      </c>
      <c r="K167">
        <v>1.1202000000000001</v>
      </c>
      <c r="L167">
        <v>1.26735</v>
      </c>
      <c r="M167">
        <v>9.11E-3</v>
      </c>
      <c r="N167">
        <v>1</v>
      </c>
      <c r="P167">
        <v>1.3441000000000001</v>
      </c>
      <c r="Q167">
        <v>0.96914999999999996</v>
      </c>
      <c r="R167">
        <v>0.89270000000000005</v>
      </c>
      <c r="S167">
        <v>0.78905000000000003</v>
      </c>
      <c r="T167">
        <v>109.815</v>
      </c>
      <c r="U167">
        <v>1</v>
      </c>
    </row>
    <row r="168" spans="1:21" hidden="1" outlineLevel="1">
      <c r="A168" s="8">
        <v>42899</v>
      </c>
      <c r="B168" s="1860">
        <v>2215.1472800000001</v>
      </c>
      <c r="C168" s="1860">
        <v>3025.2517400000002</v>
      </c>
      <c r="D168" s="1860">
        <v>3282.6079800000002</v>
      </c>
      <c r="E168" s="1860">
        <v>3729.0180599999999</v>
      </c>
      <c r="F168">
        <v>26.641200000000001</v>
      </c>
      <c r="G168" s="1861">
        <v>2929.2</v>
      </c>
      <c r="I168">
        <v>0.75622999999999996</v>
      </c>
      <c r="J168">
        <v>1.0327900000000001</v>
      </c>
      <c r="K168">
        <v>1.1206499999999999</v>
      </c>
      <c r="L168">
        <v>1.27305</v>
      </c>
      <c r="M168">
        <v>9.1000000000000004E-3</v>
      </c>
      <c r="N168">
        <v>1</v>
      </c>
      <c r="P168">
        <v>1.3223499999999999</v>
      </c>
      <c r="Q168">
        <v>0.96825000000000006</v>
      </c>
      <c r="R168">
        <v>0.89234000000000002</v>
      </c>
      <c r="S168">
        <v>0.78552</v>
      </c>
      <c r="T168">
        <v>109.95</v>
      </c>
      <c r="U168">
        <v>1</v>
      </c>
    </row>
    <row r="169" spans="1:21" hidden="1" outlineLevel="1">
      <c r="A169" s="8">
        <v>42900</v>
      </c>
      <c r="B169" s="1860">
        <v>2220.63823</v>
      </c>
      <c r="C169" s="1860">
        <v>3035.1096899999998</v>
      </c>
      <c r="D169" s="1860">
        <v>3308.13067</v>
      </c>
      <c r="E169" s="1860">
        <v>3750.5933300000002</v>
      </c>
      <c r="F169">
        <v>26.918089999999999</v>
      </c>
      <c r="G169" s="1861">
        <v>2933.13</v>
      </c>
      <c r="I169">
        <v>0.75709000000000004</v>
      </c>
      <c r="J169">
        <v>1.03477</v>
      </c>
      <c r="K169">
        <v>1.12785</v>
      </c>
      <c r="L169">
        <v>1.2786999999999999</v>
      </c>
      <c r="M169">
        <v>9.1800000000000007E-3</v>
      </c>
      <c r="N169">
        <v>1</v>
      </c>
      <c r="P169">
        <v>1.3208500000000001</v>
      </c>
      <c r="Q169">
        <v>0.96640000000000004</v>
      </c>
      <c r="R169">
        <v>0.88663999999999998</v>
      </c>
      <c r="S169">
        <v>0.78203999999999996</v>
      </c>
      <c r="T169">
        <v>108.965</v>
      </c>
      <c r="U169">
        <v>1</v>
      </c>
    </row>
    <row r="170" spans="1:21" hidden="1" outlineLevel="1">
      <c r="A170" s="8">
        <v>42901</v>
      </c>
      <c r="B170" s="1860">
        <v>2199.2255100000002</v>
      </c>
      <c r="C170" s="1860">
        <v>3000.20516</v>
      </c>
      <c r="D170" s="1860">
        <v>3261.0962500000001</v>
      </c>
      <c r="E170" s="1860">
        <v>3732.4197100000001</v>
      </c>
      <c r="F170">
        <v>26.447980000000001</v>
      </c>
      <c r="G170" s="1861">
        <v>2924.75</v>
      </c>
      <c r="I170">
        <v>0.75194000000000005</v>
      </c>
      <c r="J170">
        <v>1.0258</v>
      </c>
      <c r="K170">
        <v>1.115</v>
      </c>
      <c r="L170">
        <v>1.2761499999999999</v>
      </c>
      <c r="M170">
        <v>9.0399999999999994E-3</v>
      </c>
      <c r="N170">
        <v>1</v>
      </c>
      <c r="P170">
        <v>1.3299000000000001</v>
      </c>
      <c r="Q170">
        <v>0.97484999999999999</v>
      </c>
      <c r="R170">
        <v>0.89685999999999999</v>
      </c>
      <c r="S170">
        <v>0.78361000000000003</v>
      </c>
      <c r="T170">
        <v>110.58499999999999</v>
      </c>
      <c r="U170">
        <v>1</v>
      </c>
    </row>
    <row r="171" spans="1:21" hidden="1" outlineLevel="1">
      <c r="A171" s="8">
        <v>42902</v>
      </c>
      <c r="B171" s="1860">
        <v>2230.8209299999999</v>
      </c>
      <c r="C171" s="1860">
        <v>3035.6405100000002</v>
      </c>
      <c r="D171" s="1860">
        <v>3307.8465299999998</v>
      </c>
      <c r="E171" s="1860">
        <v>3781.64086</v>
      </c>
      <c r="F171">
        <v>26.688020000000002</v>
      </c>
      <c r="G171" s="1861">
        <v>2953.83</v>
      </c>
      <c r="I171">
        <v>0.75522999999999996</v>
      </c>
      <c r="J171">
        <v>1.0277000000000001</v>
      </c>
      <c r="K171">
        <v>1.11985</v>
      </c>
      <c r="L171">
        <v>1.2802500000000001</v>
      </c>
      <c r="M171">
        <v>9.0399999999999994E-3</v>
      </c>
      <c r="N171">
        <v>1</v>
      </c>
      <c r="P171">
        <v>1.3241000000000001</v>
      </c>
      <c r="Q171">
        <v>0.97304999999999997</v>
      </c>
      <c r="R171">
        <v>0.89298</v>
      </c>
      <c r="S171">
        <v>0.78110000000000002</v>
      </c>
      <c r="T171">
        <v>110.68</v>
      </c>
      <c r="U171">
        <v>1</v>
      </c>
    </row>
    <row r="172" spans="1:21" hidden="1" outlineLevel="1">
      <c r="A172" s="8">
        <v>42903</v>
      </c>
      <c r="B172" s="1860">
        <v>2236.7494900000002</v>
      </c>
      <c r="C172" s="1860">
        <v>3043.70793</v>
      </c>
      <c r="D172" s="1860">
        <v>3316.63735</v>
      </c>
      <c r="E172" s="1860">
        <v>3791.6908199999998</v>
      </c>
      <c r="F172">
        <v>26.758939999999999</v>
      </c>
      <c r="G172" s="1861">
        <v>2961.68</v>
      </c>
      <c r="I172">
        <v>0.75522999999999996</v>
      </c>
      <c r="J172">
        <v>1.0277000000000001</v>
      </c>
      <c r="K172">
        <v>1.11985</v>
      </c>
      <c r="L172">
        <v>1.2802500000000001</v>
      </c>
      <c r="M172">
        <v>9.0399999999999994E-3</v>
      </c>
      <c r="N172">
        <v>1</v>
      </c>
      <c r="P172">
        <v>1.3241000000000001</v>
      </c>
      <c r="Q172">
        <v>0.97304999999999997</v>
      </c>
      <c r="R172">
        <v>0.89298</v>
      </c>
      <c r="S172">
        <v>0.78110000000000002</v>
      </c>
      <c r="T172">
        <v>110.68</v>
      </c>
      <c r="U172">
        <v>1</v>
      </c>
    </row>
    <row r="173" spans="1:21" hidden="1" outlineLevel="1">
      <c r="A173" s="8">
        <v>42904</v>
      </c>
      <c r="B173" s="1860">
        <v>2236.7494900000002</v>
      </c>
      <c r="C173" s="1860">
        <v>3043.70793</v>
      </c>
      <c r="D173" s="1860">
        <v>3316.63735</v>
      </c>
      <c r="E173" s="1860">
        <v>3791.6908199999998</v>
      </c>
      <c r="F173">
        <v>26.758939999999999</v>
      </c>
      <c r="G173" s="1861">
        <v>2961.68</v>
      </c>
      <c r="I173">
        <v>0.75522999999999996</v>
      </c>
      <c r="J173">
        <v>1.0277000000000001</v>
      </c>
      <c r="K173">
        <v>1.11985</v>
      </c>
      <c r="L173">
        <v>1.2802500000000001</v>
      </c>
      <c r="M173">
        <v>9.0399999999999994E-3</v>
      </c>
      <c r="N173">
        <v>1</v>
      </c>
      <c r="P173">
        <v>1.3241000000000001</v>
      </c>
      <c r="Q173">
        <v>0.97304999999999997</v>
      </c>
      <c r="R173">
        <v>0.89298</v>
      </c>
      <c r="S173">
        <v>0.78110000000000002</v>
      </c>
      <c r="T173">
        <v>110.68</v>
      </c>
      <c r="U173">
        <v>1</v>
      </c>
    </row>
    <row r="174" spans="1:21" hidden="1" outlineLevel="1">
      <c r="A174" s="8">
        <v>42905</v>
      </c>
      <c r="B174" s="1860">
        <v>2243.10221</v>
      </c>
      <c r="C174" s="1860">
        <v>3041.0514400000002</v>
      </c>
      <c r="D174" s="1860">
        <v>3307.6042200000002</v>
      </c>
      <c r="E174" s="1860">
        <v>3778.06709</v>
      </c>
      <c r="F174">
        <v>26.615860000000001</v>
      </c>
      <c r="G174" s="1861">
        <v>2961.68</v>
      </c>
      <c r="I174">
        <v>0.75736999999999999</v>
      </c>
      <c r="J174">
        <v>1.0267999999999999</v>
      </c>
      <c r="K174">
        <v>1.1168</v>
      </c>
      <c r="L174">
        <v>1.27565</v>
      </c>
      <c r="M174">
        <v>8.9899999999999997E-3</v>
      </c>
      <c r="N174">
        <v>1</v>
      </c>
      <c r="P174">
        <v>1.3203499999999999</v>
      </c>
      <c r="Q174">
        <v>0.97389999999999999</v>
      </c>
      <c r="R174">
        <v>0.89541999999999999</v>
      </c>
      <c r="S174">
        <v>0.78391</v>
      </c>
      <c r="T174">
        <v>111.27500000000001</v>
      </c>
      <c r="U174">
        <v>1</v>
      </c>
    </row>
    <row r="175" spans="1:21" hidden="1" outlineLevel="1">
      <c r="A175" s="8">
        <v>42906</v>
      </c>
      <c r="B175" s="1860">
        <v>2230.6846399999999</v>
      </c>
      <c r="C175" s="1860">
        <v>3034.8191400000001</v>
      </c>
      <c r="D175" s="1860">
        <v>3295.3132500000002</v>
      </c>
      <c r="E175" s="1860">
        <v>3736.7516599999999</v>
      </c>
      <c r="F175">
        <v>26.51934</v>
      </c>
      <c r="G175" s="1861">
        <v>2961.68</v>
      </c>
      <c r="I175">
        <v>0.75317999999999996</v>
      </c>
      <c r="J175">
        <v>1.0246999999999999</v>
      </c>
      <c r="K175">
        <v>1.1126499999999999</v>
      </c>
      <c r="L175">
        <v>1.2617</v>
      </c>
      <c r="M175">
        <v>8.9499999999999996E-3</v>
      </c>
      <c r="N175">
        <v>1</v>
      </c>
      <c r="P175">
        <v>1.3277000000000001</v>
      </c>
      <c r="Q175">
        <v>0.97589999999999999</v>
      </c>
      <c r="R175">
        <v>0.89876</v>
      </c>
      <c r="S175">
        <v>0.79257999999999995</v>
      </c>
      <c r="T175">
        <v>111.68</v>
      </c>
      <c r="U175">
        <v>1</v>
      </c>
    </row>
    <row r="176" spans="1:21" hidden="1" outlineLevel="1">
      <c r="A176" s="8">
        <v>42907</v>
      </c>
      <c r="B176" s="1860">
        <v>2279.8991599999999</v>
      </c>
      <c r="C176" s="1860">
        <v>3108.0071800000001</v>
      </c>
      <c r="D176" s="1860">
        <v>3375.80528</v>
      </c>
      <c r="E176" s="1860">
        <v>3836.74827</v>
      </c>
      <c r="F176">
        <v>27.15484</v>
      </c>
      <c r="G176" s="1861">
        <v>3029.53</v>
      </c>
      <c r="I176">
        <v>0.75256000000000001</v>
      </c>
      <c r="J176">
        <v>1.0259</v>
      </c>
      <c r="K176">
        <v>1.1143000000000001</v>
      </c>
      <c r="L176">
        <v>1.2664500000000001</v>
      </c>
      <c r="M176">
        <v>8.9599999999999992E-3</v>
      </c>
      <c r="N176">
        <v>1</v>
      </c>
      <c r="P176">
        <v>1.3288</v>
      </c>
      <c r="Q176">
        <v>0.97475000000000001</v>
      </c>
      <c r="R176">
        <v>0.89742</v>
      </c>
      <c r="S176">
        <v>0.78961000000000003</v>
      </c>
      <c r="T176">
        <v>111.565</v>
      </c>
      <c r="U176">
        <v>1</v>
      </c>
    </row>
    <row r="177" spans="1:21" hidden="1" outlineLevel="1">
      <c r="A177" s="8">
        <v>42908</v>
      </c>
      <c r="B177" s="1860">
        <v>2308.8379799999998</v>
      </c>
      <c r="C177" s="1860">
        <v>3141.0645399999999</v>
      </c>
      <c r="D177" s="1860">
        <v>3407.3889300000001</v>
      </c>
      <c r="E177" s="1860">
        <v>3866.54279</v>
      </c>
      <c r="F177">
        <v>27.428599999999999</v>
      </c>
      <c r="G177" s="1861">
        <v>3053.9</v>
      </c>
      <c r="I177">
        <v>0.75602999999999998</v>
      </c>
      <c r="J177">
        <v>1.02854</v>
      </c>
      <c r="K177">
        <v>1.11575</v>
      </c>
      <c r="L177">
        <v>1.2661</v>
      </c>
      <c r="M177">
        <v>8.9800000000000001E-3</v>
      </c>
      <c r="N177">
        <v>1</v>
      </c>
      <c r="P177">
        <v>1.3227</v>
      </c>
      <c r="Q177">
        <v>0.97224999999999995</v>
      </c>
      <c r="R177">
        <v>0.89625999999999995</v>
      </c>
      <c r="S177">
        <v>0.78983000000000003</v>
      </c>
      <c r="T177">
        <v>111.34</v>
      </c>
      <c r="U177">
        <v>1</v>
      </c>
    </row>
    <row r="178" spans="1:21" hidden="1" outlineLevel="1">
      <c r="A178" s="8">
        <v>42909</v>
      </c>
      <c r="B178" s="1860">
        <v>2289.8099299999999</v>
      </c>
      <c r="C178" s="1860">
        <v>3133.59827</v>
      </c>
      <c r="D178" s="1860">
        <v>3400.1296000000002</v>
      </c>
      <c r="E178" s="1860">
        <v>3867.04025</v>
      </c>
      <c r="F178">
        <v>27.280999999999999</v>
      </c>
      <c r="G178" s="1861">
        <v>3035.83</v>
      </c>
      <c r="I178">
        <v>0.75426000000000004</v>
      </c>
      <c r="J178">
        <v>1.0322</v>
      </c>
      <c r="K178">
        <v>1.1200000000000001</v>
      </c>
      <c r="L178">
        <v>1.2738</v>
      </c>
      <c r="M178">
        <v>8.9899999999999997E-3</v>
      </c>
      <c r="N178">
        <v>1</v>
      </c>
      <c r="P178">
        <v>1.3258000000000001</v>
      </c>
      <c r="Q178">
        <v>0.96879999999999999</v>
      </c>
      <c r="R178">
        <v>0.89285999999999999</v>
      </c>
      <c r="S178">
        <v>0.78505000000000003</v>
      </c>
      <c r="T178">
        <v>111.28</v>
      </c>
      <c r="U178">
        <v>1</v>
      </c>
    </row>
    <row r="179" spans="1:21" hidden="1" outlineLevel="1">
      <c r="A179" s="8">
        <v>42910</v>
      </c>
      <c r="B179" s="1860">
        <v>2270.8402500000002</v>
      </c>
      <c r="C179" s="1860">
        <v>3107.63832</v>
      </c>
      <c r="D179" s="1860">
        <v>3371.9616000000001</v>
      </c>
      <c r="E179" s="1860">
        <v>3835.0041799999999</v>
      </c>
      <c r="F179">
        <v>27.055</v>
      </c>
      <c r="G179" s="1861">
        <v>3010.68</v>
      </c>
      <c r="I179">
        <v>0.75426000000000004</v>
      </c>
      <c r="J179">
        <v>1.0322</v>
      </c>
      <c r="K179">
        <v>1.1200000000000001</v>
      </c>
      <c r="L179">
        <v>1.2738</v>
      </c>
      <c r="M179">
        <v>8.9899999999999997E-3</v>
      </c>
      <c r="N179">
        <v>1</v>
      </c>
      <c r="P179">
        <v>1.3258000000000001</v>
      </c>
      <c r="Q179">
        <v>0.96879999999999999</v>
      </c>
      <c r="R179">
        <v>0.89285999999999999</v>
      </c>
      <c r="S179">
        <v>0.78505000000000003</v>
      </c>
      <c r="T179">
        <v>111.28</v>
      </c>
      <c r="U179">
        <v>1</v>
      </c>
    </row>
    <row r="180" spans="1:21" hidden="1" outlineLevel="1">
      <c r="A180" s="8">
        <v>42911</v>
      </c>
      <c r="B180" s="1860">
        <v>2270.8402500000002</v>
      </c>
      <c r="C180" s="1860">
        <v>3107.63832</v>
      </c>
      <c r="D180" s="1860">
        <v>3371.9616000000001</v>
      </c>
      <c r="E180" s="1860">
        <v>3835.0041799999999</v>
      </c>
      <c r="F180">
        <v>27.055</v>
      </c>
      <c r="G180" s="1861">
        <v>3010.68</v>
      </c>
      <c r="I180">
        <v>0.75426000000000004</v>
      </c>
      <c r="J180">
        <v>1.0322</v>
      </c>
      <c r="K180">
        <v>1.1200000000000001</v>
      </c>
      <c r="L180">
        <v>1.2738</v>
      </c>
      <c r="M180">
        <v>8.9899999999999997E-3</v>
      </c>
      <c r="N180">
        <v>1</v>
      </c>
      <c r="P180">
        <v>1.3258000000000001</v>
      </c>
      <c r="Q180">
        <v>0.96879999999999999</v>
      </c>
      <c r="R180">
        <v>0.89285999999999999</v>
      </c>
      <c r="S180">
        <v>0.78505000000000003</v>
      </c>
      <c r="T180">
        <v>111.28</v>
      </c>
      <c r="U180">
        <v>1</v>
      </c>
    </row>
    <row r="181" spans="1:21" hidden="1" outlineLevel="1">
      <c r="A181" s="8">
        <v>42912</v>
      </c>
      <c r="B181" s="1860">
        <v>2273.92749</v>
      </c>
      <c r="C181" s="1860">
        <v>3102.5144300000002</v>
      </c>
      <c r="D181" s="1860">
        <v>3372.5637400000001</v>
      </c>
      <c r="E181" s="1860">
        <v>3835.3052499999999</v>
      </c>
      <c r="F181">
        <v>27.01979</v>
      </c>
      <c r="G181" s="1861">
        <v>3010.68</v>
      </c>
      <c r="I181">
        <v>0.75529000000000002</v>
      </c>
      <c r="J181">
        <v>1.0305</v>
      </c>
      <c r="K181">
        <v>1.1202000000000001</v>
      </c>
      <c r="L181">
        <v>1.2739</v>
      </c>
      <c r="M181">
        <v>8.9700000000000005E-3</v>
      </c>
      <c r="N181">
        <v>1</v>
      </c>
      <c r="P181">
        <v>1.3240000000000001</v>
      </c>
      <c r="Q181">
        <v>0.97040000000000004</v>
      </c>
      <c r="R181">
        <v>0.89270000000000005</v>
      </c>
      <c r="S181">
        <v>0.78498999999999997</v>
      </c>
      <c r="T181">
        <v>111.425</v>
      </c>
      <c r="U181">
        <v>1</v>
      </c>
    </row>
    <row r="182" spans="1:21" hidden="1" outlineLevel="1">
      <c r="A182" s="8">
        <v>42913</v>
      </c>
      <c r="B182" s="1860">
        <v>2283.32638</v>
      </c>
      <c r="C182" s="1860">
        <v>3120.0373100000002</v>
      </c>
      <c r="D182" s="1860">
        <v>3398.00398</v>
      </c>
      <c r="E182" s="1860">
        <v>3846.74584</v>
      </c>
      <c r="F182">
        <v>26.82957</v>
      </c>
      <c r="G182" s="1861">
        <v>3010.68</v>
      </c>
      <c r="I182">
        <v>0.75841000000000003</v>
      </c>
      <c r="J182">
        <v>1.0363199999999999</v>
      </c>
      <c r="K182">
        <v>1.1286499999999999</v>
      </c>
      <c r="L182">
        <v>1.2777000000000001</v>
      </c>
      <c r="M182">
        <v>8.9099999999999995E-3</v>
      </c>
      <c r="N182">
        <v>1</v>
      </c>
      <c r="P182">
        <v>1.3185500000000001</v>
      </c>
      <c r="Q182">
        <v>0.96494999999999997</v>
      </c>
      <c r="R182">
        <v>0.88600999999999996</v>
      </c>
      <c r="S182">
        <v>0.78266000000000002</v>
      </c>
      <c r="T182">
        <v>112.215</v>
      </c>
      <c r="U182">
        <v>1</v>
      </c>
    </row>
    <row r="183" spans="1:21" hidden="1" outlineLevel="1">
      <c r="A183" s="8">
        <v>42914</v>
      </c>
      <c r="B183" s="1860">
        <v>2315.5606600000001</v>
      </c>
      <c r="C183" s="1860">
        <v>3150.6769399999998</v>
      </c>
      <c r="D183" s="1860">
        <v>3437.6256600000002</v>
      </c>
      <c r="E183" s="1860">
        <v>3914.2585300000001</v>
      </c>
      <c r="F183">
        <v>26.978909999999999</v>
      </c>
      <c r="G183" s="1861">
        <v>3025.28</v>
      </c>
      <c r="I183">
        <v>0.76539999999999997</v>
      </c>
      <c r="J183">
        <v>1.04145</v>
      </c>
      <c r="K183">
        <v>1.1363000000000001</v>
      </c>
      <c r="L183">
        <v>1.2938499999999999</v>
      </c>
      <c r="M183">
        <v>8.9200000000000008E-3</v>
      </c>
      <c r="N183">
        <v>1</v>
      </c>
      <c r="P183">
        <v>1.3065</v>
      </c>
      <c r="Q183">
        <v>0.96020000000000005</v>
      </c>
      <c r="R183">
        <v>0.88005</v>
      </c>
      <c r="S183">
        <v>0.77288999999999997</v>
      </c>
      <c r="T183">
        <v>112.13500000000001</v>
      </c>
      <c r="U183">
        <v>1</v>
      </c>
    </row>
    <row r="184" spans="1:21" hidden="1" outlineLevel="1">
      <c r="A184" s="8">
        <v>42915</v>
      </c>
      <c r="B184" s="1860">
        <v>2327.8466400000002</v>
      </c>
      <c r="C184" s="1860">
        <v>3159.9937300000001</v>
      </c>
      <c r="D184" s="1860">
        <v>3454.96225</v>
      </c>
      <c r="E184" s="1860">
        <v>3929.8249099999998</v>
      </c>
      <c r="F184">
        <v>26.855319999999999</v>
      </c>
      <c r="G184" s="1861">
        <v>3023.64</v>
      </c>
      <c r="I184">
        <v>0.76988000000000001</v>
      </c>
      <c r="J184">
        <v>1.0450999999999999</v>
      </c>
      <c r="K184">
        <v>1.1426499999999999</v>
      </c>
      <c r="L184">
        <v>1.2997000000000001</v>
      </c>
      <c r="M184">
        <v>8.8800000000000007E-3</v>
      </c>
      <c r="N184">
        <v>1</v>
      </c>
      <c r="P184">
        <v>1.2988999999999999</v>
      </c>
      <c r="Q184">
        <v>0.95684999999999998</v>
      </c>
      <c r="R184">
        <v>0.87516000000000005</v>
      </c>
      <c r="S184">
        <v>0.76941000000000004</v>
      </c>
      <c r="T184">
        <v>112.59</v>
      </c>
      <c r="U184">
        <v>1</v>
      </c>
    </row>
    <row r="185" spans="1:21" hidden="1" outlineLevel="1">
      <c r="A185" s="8">
        <v>42916</v>
      </c>
      <c r="B185" s="1860">
        <v>2339.46254</v>
      </c>
      <c r="C185" s="1860">
        <v>3172.62048</v>
      </c>
      <c r="D185" s="1860">
        <v>3465.2874400000001</v>
      </c>
      <c r="E185" s="1860">
        <v>3946.54783</v>
      </c>
      <c r="F185">
        <v>27.040410000000001</v>
      </c>
      <c r="G185" s="1861">
        <v>3038.26</v>
      </c>
      <c r="I185">
        <v>0.77</v>
      </c>
      <c r="J185">
        <v>1.0442199999999999</v>
      </c>
      <c r="K185">
        <v>1.14055</v>
      </c>
      <c r="L185">
        <v>1.29895</v>
      </c>
      <c r="M185">
        <v>8.8999999999999999E-3</v>
      </c>
      <c r="N185">
        <v>1</v>
      </c>
      <c r="P185">
        <v>1.2987</v>
      </c>
      <c r="Q185">
        <v>0.95765</v>
      </c>
      <c r="R185">
        <v>0.87677000000000005</v>
      </c>
      <c r="S185">
        <v>0.76985000000000003</v>
      </c>
      <c r="T185">
        <v>112.36</v>
      </c>
      <c r="U185">
        <v>1</v>
      </c>
    </row>
    <row r="186" spans="1:21" hidden="1" outlineLevel="1">
      <c r="A186" s="8">
        <v>42917</v>
      </c>
      <c r="B186" s="1860">
        <v>2348.8334500000001</v>
      </c>
      <c r="C186" s="1860">
        <v>3185.3286699999999</v>
      </c>
      <c r="D186" s="1860">
        <v>3479.1679399999998</v>
      </c>
      <c r="E186" s="1860">
        <v>3962.3560499999999</v>
      </c>
      <c r="F186">
        <v>27.148720000000001</v>
      </c>
      <c r="G186" s="1861">
        <v>3050.43</v>
      </c>
      <c r="I186">
        <v>0.77</v>
      </c>
      <c r="J186">
        <v>1.0442199999999999</v>
      </c>
      <c r="K186">
        <v>1.14055</v>
      </c>
      <c r="L186">
        <v>1.29895</v>
      </c>
      <c r="M186">
        <v>8.8999999999999999E-3</v>
      </c>
      <c r="N186">
        <v>1</v>
      </c>
      <c r="P186">
        <v>1.2987</v>
      </c>
      <c r="Q186">
        <v>0.95765</v>
      </c>
      <c r="R186">
        <v>0.87677000000000005</v>
      </c>
      <c r="S186">
        <v>0.76985000000000003</v>
      </c>
      <c r="T186">
        <v>112.36</v>
      </c>
      <c r="U186">
        <v>1</v>
      </c>
    </row>
    <row r="187" spans="1:21" hidden="1" outlineLevel="1">
      <c r="A187" s="8">
        <v>42918</v>
      </c>
      <c r="B187" s="1860">
        <v>2348.8334500000001</v>
      </c>
      <c r="C187" s="1860">
        <v>3185.3286699999999</v>
      </c>
      <c r="D187" s="1860">
        <v>3479.1679399999998</v>
      </c>
      <c r="E187" s="1860">
        <v>3962.3560499999999</v>
      </c>
      <c r="F187">
        <v>27.148720000000001</v>
      </c>
      <c r="G187" s="1861">
        <v>3050.43</v>
      </c>
      <c r="I187">
        <v>0.77</v>
      </c>
      <c r="J187">
        <v>1.0442199999999999</v>
      </c>
      <c r="K187">
        <v>1.14055</v>
      </c>
      <c r="L187">
        <v>1.29895</v>
      </c>
      <c r="M187">
        <v>8.8999999999999999E-3</v>
      </c>
      <c r="N187">
        <v>1</v>
      </c>
      <c r="P187">
        <v>1.2987</v>
      </c>
      <c r="Q187">
        <v>0.95765</v>
      </c>
      <c r="R187">
        <v>0.87677000000000005</v>
      </c>
      <c r="S187">
        <v>0.76985000000000003</v>
      </c>
      <c r="T187">
        <v>112.36</v>
      </c>
      <c r="U187">
        <v>1</v>
      </c>
    </row>
    <row r="188" spans="1:21" hidden="1" outlineLevel="1">
      <c r="A188" s="8">
        <v>42919</v>
      </c>
      <c r="B188" s="1860">
        <v>2347.2068300000001</v>
      </c>
      <c r="C188" s="1860">
        <v>3167.3035</v>
      </c>
      <c r="D188" s="1860">
        <v>3467.7288199999998</v>
      </c>
      <c r="E188" s="1860">
        <v>3946.3412899999998</v>
      </c>
      <c r="F188">
        <v>26.92229</v>
      </c>
      <c r="G188" s="1861">
        <v>3050.43</v>
      </c>
      <c r="I188">
        <v>0.76946999999999999</v>
      </c>
      <c r="J188">
        <v>1.0383100000000001</v>
      </c>
      <c r="K188">
        <v>1.1368</v>
      </c>
      <c r="L188">
        <v>1.2937000000000001</v>
      </c>
      <c r="M188">
        <v>8.8299999999999993E-3</v>
      </c>
      <c r="N188">
        <v>1</v>
      </c>
      <c r="P188">
        <v>1.2996000000000001</v>
      </c>
      <c r="Q188">
        <v>0.96309999999999996</v>
      </c>
      <c r="R188">
        <v>0.87966</v>
      </c>
      <c r="S188">
        <v>0.77298</v>
      </c>
      <c r="T188">
        <v>113.30500000000001</v>
      </c>
      <c r="U188">
        <v>1</v>
      </c>
    </row>
    <row r="189" spans="1:21" hidden="1" outlineLevel="1">
      <c r="A189" s="8">
        <v>42920</v>
      </c>
      <c r="B189" s="1860">
        <v>2361.3794699999999</v>
      </c>
      <c r="C189" s="1860">
        <v>3160.9035800000001</v>
      </c>
      <c r="D189" s="1860">
        <v>3462.6956100000002</v>
      </c>
      <c r="E189" s="1860">
        <v>3943.2908600000001</v>
      </c>
      <c r="F189">
        <v>26.961549999999999</v>
      </c>
      <c r="G189" s="1861">
        <v>3050.43</v>
      </c>
      <c r="I189">
        <v>0.77410999999999996</v>
      </c>
      <c r="J189">
        <v>1.0362199999999999</v>
      </c>
      <c r="K189">
        <v>1.1351500000000001</v>
      </c>
      <c r="L189">
        <v>1.2927</v>
      </c>
      <c r="M189">
        <v>8.8400000000000006E-3</v>
      </c>
      <c r="N189">
        <v>1</v>
      </c>
      <c r="P189">
        <v>1.2918000000000001</v>
      </c>
      <c r="Q189">
        <v>0.96504999999999996</v>
      </c>
      <c r="R189">
        <v>0.88093999999999995</v>
      </c>
      <c r="S189">
        <v>0.77356999999999998</v>
      </c>
      <c r="T189">
        <v>113.14</v>
      </c>
      <c r="U189">
        <v>1</v>
      </c>
    </row>
    <row r="190" spans="1:21" hidden="1" outlineLevel="1">
      <c r="A190" s="8">
        <v>42921</v>
      </c>
      <c r="B190" s="1860">
        <v>2346.2139000000002</v>
      </c>
      <c r="C190" s="1860">
        <v>3157.7950300000002</v>
      </c>
      <c r="D190" s="1860">
        <v>3455.8321500000002</v>
      </c>
      <c r="E190" s="1860">
        <v>3942.5282499999998</v>
      </c>
      <c r="F190">
        <v>26.92942</v>
      </c>
      <c r="G190" s="1861">
        <v>3050.43</v>
      </c>
      <c r="I190">
        <v>0.76914000000000005</v>
      </c>
      <c r="J190">
        <v>1.0351999999999999</v>
      </c>
      <c r="K190">
        <v>1.1329</v>
      </c>
      <c r="L190">
        <v>1.2924500000000001</v>
      </c>
      <c r="M190">
        <v>8.8299999999999993E-3</v>
      </c>
      <c r="N190">
        <v>1</v>
      </c>
      <c r="P190">
        <v>1.3001499999999999</v>
      </c>
      <c r="Q190">
        <v>0.96599999999999997</v>
      </c>
      <c r="R190">
        <v>0.88268999999999997</v>
      </c>
      <c r="S190">
        <v>0.77371999999999996</v>
      </c>
      <c r="T190">
        <v>113.27500000000001</v>
      </c>
      <c r="U190">
        <v>1</v>
      </c>
    </row>
    <row r="191" spans="1:21" hidden="1" outlineLevel="1">
      <c r="A191" s="8">
        <v>42922</v>
      </c>
      <c r="B191" s="1860">
        <v>2373.1286700000001</v>
      </c>
      <c r="C191" s="1860">
        <v>3187.0086700000002</v>
      </c>
      <c r="D191" s="1860">
        <v>3500.26811</v>
      </c>
      <c r="E191" s="1860">
        <v>3973.8040099999998</v>
      </c>
      <c r="F191">
        <v>27.116679999999999</v>
      </c>
      <c r="G191" s="1861">
        <v>3068.93</v>
      </c>
      <c r="I191">
        <v>0.77327999999999997</v>
      </c>
      <c r="J191">
        <v>1.0384800000000001</v>
      </c>
      <c r="K191">
        <v>1.14055</v>
      </c>
      <c r="L191">
        <v>1.2948500000000001</v>
      </c>
      <c r="M191">
        <v>8.8400000000000006E-3</v>
      </c>
      <c r="N191">
        <v>1</v>
      </c>
      <c r="P191">
        <v>1.2931999999999999</v>
      </c>
      <c r="Q191">
        <v>0.96294999999999997</v>
      </c>
      <c r="R191">
        <v>0.87677000000000005</v>
      </c>
      <c r="S191">
        <v>0.77229000000000003</v>
      </c>
      <c r="T191">
        <v>113.175</v>
      </c>
      <c r="U191">
        <v>1</v>
      </c>
    </row>
    <row r="192" spans="1:21" hidden="1" outlineLevel="1">
      <c r="A192" s="8">
        <v>42923</v>
      </c>
      <c r="B192" s="1860">
        <v>2392.6069600000001</v>
      </c>
      <c r="C192" s="1860">
        <v>3197.7086599999998</v>
      </c>
      <c r="D192" s="1860">
        <v>3513.2008300000002</v>
      </c>
      <c r="E192" s="1860">
        <v>3972.74514</v>
      </c>
      <c r="F192">
        <v>27.05667</v>
      </c>
      <c r="G192" s="1861">
        <v>3084.19</v>
      </c>
      <c r="I192">
        <v>0.77576999999999996</v>
      </c>
      <c r="J192">
        <v>1.03681</v>
      </c>
      <c r="K192">
        <v>1.1391</v>
      </c>
      <c r="L192">
        <v>1.2881</v>
      </c>
      <c r="M192">
        <v>8.77E-3</v>
      </c>
      <c r="N192">
        <v>1</v>
      </c>
      <c r="P192">
        <v>1.28905</v>
      </c>
      <c r="Q192">
        <v>0.96450000000000002</v>
      </c>
      <c r="R192">
        <v>0.87788999999999995</v>
      </c>
      <c r="S192">
        <v>0.77634000000000003</v>
      </c>
      <c r="T192">
        <v>113.99</v>
      </c>
      <c r="U192">
        <v>1</v>
      </c>
    </row>
    <row r="193" spans="1:21" hidden="1" outlineLevel="1">
      <c r="A193" s="8">
        <v>42924</v>
      </c>
      <c r="B193" s="1860">
        <v>2399.16993</v>
      </c>
      <c r="C193" s="1860">
        <v>3206.4800399999999</v>
      </c>
      <c r="D193" s="1860">
        <v>3522.8376199999998</v>
      </c>
      <c r="E193" s="1860">
        <v>3983.6424699999998</v>
      </c>
      <c r="F193">
        <v>27.130890000000001</v>
      </c>
      <c r="G193" s="1863">
        <v>3092.65</v>
      </c>
      <c r="I193">
        <v>0.77576999999999996</v>
      </c>
      <c r="J193">
        <v>1.03681</v>
      </c>
      <c r="K193">
        <v>1.1391</v>
      </c>
      <c r="L193">
        <v>1.2881</v>
      </c>
      <c r="M193">
        <v>8.77E-3</v>
      </c>
      <c r="N193">
        <v>1</v>
      </c>
      <c r="P193">
        <v>1.28905</v>
      </c>
      <c r="Q193">
        <v>0.96450000000000002</v>
      </c>
      <c r="R193">
        <v>0.87788999999999995</v>
      </c>
      <c r="S193">
        <v>0.77634000000000003</v>
      </c>
      <c r="T193">
        <v>113.99</v>
      </c>
      <c r="U193">
        <v>1</v>
      </c>
    </row>
    <row r="194" spans="1:21" hidden="1" outlineLevel="1">
      <c r="A194" s="8">
        <v>42925</v>
      </c>
      <c r="B194" s="1860">
        <v>2399.16993</v>
      </c>
      <c r="C194" s="1860">
        <v>3206.4800399999999</v>
      </c>
      <c r="D194" s="1860">
        <v>3522.8376199999998</v>
      </c>
      <c r="E194" s="1860">
        <v>3983.6424699999998</v>
      </c>
      <c r="F194">
        <v>27.130890000000001</v>
      </c>
      <c r="G194" s="1863">
        <v>3092.65</v>
      </c>
      <c r="I194">
        <v>0.77576999999999996</v>
      </c>
      <c r="J194">
        <v>1.03681</v>
      </c>
      <c r="K194">
        <v>1.1391</v>
      </c>
      <c r="L194">
        <v>1.2881</v>
      </c>
      <c r="M194">
        <v>8.77E-3</v>
      </c>
      <c r="N194">
        <v>1</v>
      </c>
      <c r="P194">
        <v>1.28905</v>
      </c>
      <c r="Q194">
        <v>0.96450000000000002</v>
      </c>
      <c r="R194">
        <v>0.87788999999999995</v>
      </c>
      <c r="S194">
        <v>0.77634000000000003</v>
      </c>
      <c r="T194">
        <v>113.99</v>
      </c>
      <c r="U194">
        <v>1</v>
      </c>
    </row>
    <row r="195" spans="1:21" hidden="1" outlineLevel="1">
      <c r="A195" s="8">
        <v>42926</v>
      </c>
      <c r="B195" s="1860">
        <v>2401.7784299999998</v>
      </c>
      <c r="C195" s="1860">
        <v>3198.8518800000002</v>
      </c>
      <c r="D195" s="1860">
        <v>3522.0644499999999</v>
      </c>
      <c r="E195" s="1860">
        <v>3978.0756999999999</v>
      </c>
      <c r="F195">
        <v>27.082180000000001</v>
      </c>
      <c r="G195" s="1863">
        <v>3092.65</v>
      </c>
      <c r="I195">
        <v>0.77661000000000002</v>
      </c>
      <c r="J195">
        <v>1.03434</v>
      </c>
      <c r="K195">
        <v>1.1388499999999999</v>
      </c>
      <c r="L195">
        <v>1.2863</v>
      </c>
      <c r="M195">
        <v>8.7600000000000004E-3</v>
      </c>
      <c r="N195">
        <v>1</v>
      </c>
      <c r="P195">
        <v>1.28765</v>
      </c>
      <c r="Q195">
        <v>0.96679999999999999</v>
      </c>
      <c r="R195">
        <v>0.87807999999999997</v>
      </c>
      <c r="S195">
        <v>0.77742</v>
      </c>
      <c r="T195">
        <v>114.19499999999999</v>
      </c>
      <c r="U195">
        <v>1</v>
      </c>
    </row>
    <row r="196" spans="1:21" hidden="1" outlineLevel="1">
      <c r="A196" s="8">
        <v>42927</v>
      </c>
      <c r="B196" s="1860">
        <v>2373.8188300000002</v>
      </c>
      <c r="C196" s="1860">
        <v>3167.42049</v>
      </c>
      <c r="D196" s="1860">
        <v>3502.5841300000002</v>
      </c>
      <c r="E196" s="1860">
        <v>3939.0651899999998</v>
      </c>
      <c r="F196">
        <v>26.793589999999998</v>
      </c>
      <c r="G196" s="1861">
        <v>3067.33</v>
      </c>
      <c r="I196">
        <v>0.77390000000000003</v>
      </c>
      <c r="J196">
        <v>1.0326299999999999</v>
      </c>
      <c r="K196">
        <v>1.1418999999999999</v>
      </c>
      <c r="L196">
        <v>1.2842</v>
      </c>
      <c r="M196">
        <v>8.7399999999999995E-3</v>
      </c>
      <c r="N196">
        <v>1</v>
      </c>
      <c r="P196">
        <v>1.2921499999999999</v>
      </c>
      <c r="Q196">
        <v>0.96840000000000004</v>
      </c>
      <c r="R196">
        <v>0.87573000000000001</v>
      </c>
      <c r="S196">
        <v>0.77868999999999999</v>
      </c>
      <c r="T196">
        <v>114.48</v>
      </c>
      <c r="U196">
        <v>1</v>
      </c>
    </row>
    <row r="197" spans="1:21" hidden="1" outlineLevel="1">
      <c r="A197" s="8">
        <v>42928</v>
      </c>
      <c r="B197" s="1860">
        <v>2392.36528</v>
      </c>
      <c r="C197" s="1860">
        <v>3181.7974399999998</v>
      </c>
      <c r="D197" s="1860">
        <v>3503.19427</v>
      </c>
      <c r="E197" s="1860">
        <v>3953.8438099999998</v>
      </c>
      <c r="F197">
        <v>27.133649999999999</v>
      </c>
      <c r="G197" s="1861">
        <v>3067.73</v>
      </c>
      <c r="I197">
        <v>0.77985000000000004</v>
      </c>
      <c r="J197">
        <v>1.03718</v>
      </c>
      <c r="K197">
        <v>1.14195</v>
      </c>
      <c r="L197">
        <v>1.2888500000000001</v>
      </c>
      <c r="M197">
        <v>8.8400000000000006E-3</v>
      </c>
      <c r="N197">
        <v>1</v>
      </c>
      <c r="P197">
        <v>1.2823</v>
      </c>
      <c r="Q197">
        <v>0.96414999999999995</v>
      </c>
      <c r="R197">
        <v>0.87570000000000003</v>
      </c>
      <c r="S197">
        <v>0.77588999999999997</v>
      </c>
      <c r="T197">
        <v>113.06</v>
      </c>
      <c r="U197">
        <v>1</v>
      </c>
    </row>
    <row r="198" spans="1:21" hidden="1" outlineLevel="1">
      <c r="A198" s="8">
        <v>42929</v>
      </c>
      <c r="B198" s="1860">
        <v>2394.6181299999998</v>
      </c>
      <c r="C198" s="1860">
        <v>3154.18001</v>
      </c>
      <c r="D198" s="1860">
        <v>3480.84292</v>
      </c>
      <c r="E198" s="1860">
        <v>3947.6922100000002</v>
      </c>
      <c r="F198">
        <v>26.915040000000001</v>
      </c>
      <c r="G198" s="1861">
        <v>3052.3</v>
      </c>
      <c r="I198">
        <v>0.78452999999999995</v>
      </c>
      <c r="J198">
        <v>1.03338</v>
      </c>
      <c r="K198">
        <v>1.1404000000000001</v>
      </c>
      <c r="L198">
        <v>1.29335</v>
      </c>
      <c r="M198">
        <v>8.8199999999999997E-3</v>
      </c>
      <c r="N198">
        <v>1</v>
      </c>
      <c r="P198">
        <v>1.2746500000000001</v>
      </c>
      <c r="Q198">
        <v>0.9677</v>
      </c>
      <c r="R198">
        <v>0.87688999999999995</v>
      </c>
      <c r="S198">
        <v>0.77319000000000004</v>
      </c>
      <c r="T198">
        <v>113.405</v>
      </c>
      <c r="U198">
        <v>1</v>
      </c>
    </row>
    <row r="199" spans="1:21" hidden="1" outlineLevel="1">
      <c r="A199" s="8">
        <v>42930</v>
      </c>
      <c r="B199" s="1860">
        <v>2402.2099400000002</v>
      </c>
      <c r="C199" s="1860">
        <v>3152.8461200000002</v>
      </c>
      <c r="D199" s="1860">
        <v>3484.1610999999998</v>
      </c>
      <c r="E199" s="1860">
        <v>3982.39842</v>
      </c>
      <c r="F199">
        <v>27.0242</v>
      </c>
      <c r="G199" s="1861">
        <v>3043.6</v>
      </c>
      <c r="I199">
        <v>0.78927000000000003</v>
      </c>
      <c r="J199">
        <v>1.03589</v>
      </c>
      <c r="K199">
        <v>1.1447499999999999</v>
      </c>
      <c r="L199">
        <v>1.3084499999999999</v>
      </c>
      <c r="M199">
        <v>8.8800000000000007E-3</v>
      </c>
      <c r="N199">
        <v>1</v>
      </c>
      <c r="P199">
        <v>1.2669999999999999</v>
      </c>
      <c r="Q199">
        <v>0.96535000000000004</v>
      </c>
      <c r="R199">
        <v>0.87355000000000005</v>
      </c>
      <c r="S199">
        <v>0.76426000000000005</v>
      </c>
      <c r="T199">
        <v>112.625</v>
      </c>
      <c r="U199">
        <v>1</v>
      </c>
    </row>
    <row r="200" spans="1:21" hidden="1" outlineLevel="1">
      <c r="A200" s="8">
        <v>42931</v>
      </c>
      <c r="B200" s="1860">
        <v>2383.2359900000001</v>
      </c>
      <c r="C200" s="1860">
        <v>3127.9432299999999</v>
      </c>
      <c r="D200" s="1860">
        <v>3456.64131</v>
      </c>
      <c r="E200" s="1860">
        <v>3950.94328</v>
      </c>
      <c r="F200">
        <v>26.810739999999999</v>
      </c>
      <c r="G200" s="1861">
        <v>3019.56</v>
      </c>
      <c r="I200">
        <v>0.78927000000000003</v>
      </c>
      <c r="J200">
        <v>1.03589</v>
      </c>
      <c r="K200">
        <v>1.1447499999999999</v>
      </c>
      <c r="L200">
        <v>1.3084499999999999</v>
      </c>
      <c r="M200">
        <v>8.8800000000000007E-3</v>
      </c>
      <c r="N200">
        <v>1</v>
      </c>
      <c r="P200">
        <v>1.2669999999999999</v>
      </c>
      <c r="Q200">
        <v>0.96535000000000004</v>
      </c>
      <c r="R200">
        <v>0.87355000000000005</v>
      </c>
      <c r="S200">
        <v>0.76426000000000005</v>
      </c>
      <c r="T200">
        <v>112.625</v>
      </c>
      <c r="U200">
        <v>1</v>
      </c>
    </row>
    <row r="201" spans="1:21" hidden="1" outlineLevel="1">
      <c r="A201" s="8">
        <v>42932</v>
      </c>
      <c r="B201" s="1860">
        <v>2383.2359900000001</v>
      </c>
      <c r="C201" s="1860">
        <v>3127.9432299999999</v>
      </c>
      <c r="D201" s="1860">
        <v>3456.64131</v>
      </c>
      <c r="E201" s="1860">
        <v>3950.94328</v>
      </c>
      <c r="F201">
        <v>26.810739999999999</v>
      </c>
      <c r="G201" s="1861">
        <v>3019.56</v>
      </c>
      <c r="I201">
        <v>0.78927000000000003</v>
      </c>
      <c r="J201">
        <v>1.03589</v>
      </c>
      <c r="K201">
        <v>1.1447499999999999</v>
      </c>
      <c r="L201">
        <v>1.3084499999999999</v>
      </c>
      <c r="M201">
        <v>8.8800000000000007E-3</v>
      </c>
      <c r="N201">
        <v>1</v>
      </c>
      <c r="P201">
        <v>1.2669999999999999</v>
      </c>
      <c r="Q201">
        <v>0.96535000000000004</v>
      </c>
      <c r="R201">
        <v>0.87355000000000005</v>
      </c>
      <c r="S201">
        <v>0.76426000000000005</v>
      </c>
      <c r="T201">
        <v>112.625</v>
      </c>
      <c r="U201">
        <v>1</v>
      </c>
    </row>
    <row r="202" spans="1:21" hidden="1" outlineLevel="1">
      <c r="A202" s="8">
        <v>42933</v>
      </c>
      <c r="B202" s="1860">
        <v>2387.47579</v>
      </c>
      <c r="C202" s="1860">
        <v>3135.5763200000001</v>
      </c>
      <c r="D202" s="1860">
        <v>3463.7372799999998</v>
      </c>
      <c r="E202" s="1860">
        <v>3946.1119899999999</v>
      </c>
      <c r="F202">
        <v>26.767959999999999</v>
      </c>
      <c r="G202" s="1861">
        <v>3019.56</v>
      </c>
      <c r="I202">
        <v>0.79066999999999998</v>
      </c>
      <c r="J202">
        <v>1.0384199999999999</v>
      </c>
      <c r="K202">
        <v>1.1471</v>
      </c>
      <c r="L202">
        <v>1.3068500000000001</v>
      </c>
      <c r="M202">
        <v>8.8599999999999998E-3</v>
      </c>
      <c r="N202">
        <v>1</v>
      </c>
      <c r="P202">
        <v>1.26475</v>
      </c>
      <c r="Q202">
        <v>0.96299999999999997</v>
      </c>
      <c r="R202">
        <v>0.87175999999999998</v>
      </c>
      <c r="S202">
        <v>0.76519999999999999</v>
      </c>
      <c r="T202">
        <v>112.80500000000001</v>
      </c>
      <c r="U202">
        <v>1</v>
      </c>
    </row>
    <row r="203" spans="1:21" hidden="1" outlineLevel="1">
      <c r="A203" s="8">
        <v>42934</v>
      </c>
      <c r="B203" s="1860">
        <v>2399.5249399999998</v>
      </c>
      <c r="C203" s="1860">
        <v>3180.0629600000002</v>
      </c>
      <c r="D203" s="1860">
        <v>3509.8893899999998</v>
      </c>
      <c r="E203" s="1860">
        <v>3945.5381400000001</v>
      </c>
      <c r="F203">
        <v>27.1037</v>
      </c>
      <c r="G203" s="1861">
        <v>3030.6</v>
      </c>
      <c r="I203">
        <v>0.79176999999999997</v>
      </c>
      <c r="J203">
        <v>1.04932</v>
      </c>
      <c r="K203">
        <v>1.15815</v>
      </c>
      <c r="L203">
        <v>1.3019000000000001</v>
      </c>
      <c r="M203">
        <v>8.94E-3</v>
      </c>
      <c r="N203">
        <v>1</v>
      </c>
      <c r="P203">
        <v>1.2629999999999999</v>
      </c>
      <c r="Q203">
        <v>0.95299999999999996</v>
      </c>
      <c r="R203">
        <v>0.86345000000000005</v>
      </c>
      <c r="S203">
        <v>0.76810999999999996</v>
      </c>
      <c r="T203">
        <v>111.815</v>
      </c>
      <c r="U203">
        <v>1</v>
      </c>
    </row>
    <row r="204" spans="1:21" hidden="1" outlineLevel="1">
      <c r="A204" s="8">
        <v>42935</v>
      </c>
      <c r="B204" s="1860">
        <v>2392.33059</v>
      </c>
      <c r="C204" s="1860">
        <v>3157.39509</v>
      </c>
      <c r="D204" s="1860">
        <v>3470.8235300000001</v>
      </c>
      <c r="E204" s="1860">
        <v>3929.7430300000001</v>
      </c>
      <c r="F204">
        <v>26.976369999999999</v>
      </c>
      <c r="G204" s="1861">
        <v>3013.26</v>
      </c>
      <c r="I204">
        <v>0.79393000000000002</v>
      </c>
      <c r="J204">
        <v>1.04783</v>
      </c>
      <c r="K204">
        <v>1.15185</v>
      </c>
      <c r="L204">
        <v>1.3041499999999999</v>
      </c>
      <c r="M204">
        <v>8.9499999999999996E-3</v>
      </c>
      <c r="N204">
        <v>1</v>
      </c>
      <c r="P204">
        <v>1.2595499999999999</v>
      </c>
      <c r="Q204">
        <v>0.95435000000000003</v>
      </c>
      <c r="R204">
        <v>0.86817</v>
      </c>
      <c r="S204">
        <v>0.76678000000000002</v>
      </c>
      <c r="T204">
        <v>111.7</v>
      </c>
      <c r="U204">
        <v>1</v>
      </c>
    </row>
    <row r="205" spans="1:21" hidden="1" outlineLevel="1">
      <c r="A205" s="8">
        <v>42936</v>
      </c>
      <c r="B205" s="1860">
        <v>2398.2152799999999</v>
      </c>
      <c r="C205" s="1860">
        <v>3163.9249500000001</v>
      </c>
      <c r="D205" s="1860">
        <v>3501.8339999999998</v>
      </c>
      <c r="E205" s="1860">
        <v>3908.4850000000001</v>
      </c>
      <c r="F205">
        <v>26.929099999999998</v>
      </c>
      <c r="G205" s="1861">
        <v>3010</v>
      </c>
      <c r="I205">
        <v>0.79674999999999996</v>
      </c>
      <c r="J205">
        <v>1.05114</v>
      </c>
      <c r="K205">
        <v>1.1634</v>
      </c>
      <c r="L205">
        <v>1.2985</v>
      </c>
      <c r="M205">
        <v>8.9499999999999996E-3</v>
      </c>
      <c r="N205">
        <v>1</v>
      </c>
      <c r="P205">
        <v>1.2551000000000001</v>
      </c>
      <c r="Q205">
        <v>0.95135000000000003</v>
      </c>
      <c r="R205">
        <v>0.85955000000000004</v>
      </c>
      <c r="S205">
        <v>0.77012000000000003</v>
      </c>
      <c r="T205">
        <v>111.77500000000001</v>
      </c>
      <c r="U205">
        <v>1</v>
      </c>
    </row>
    <row r="206" spans="1:21" hidden="1" outlineLevel="1">
      <c r="A206" s="8">
        <v>42937</v>
      </c>
      <c r="B206" s="1860">
        <v>2403.0017600000001</v>
      </c>
      <c r="C206" s="1860">
        <v>3176.9486499999998</v>
      </c>
      <c r="D206" s="1860">
        <v>3508.7570000000001</v>
      </c>
      <c r="E206" s="1860">
        <v>3909.8395</v>
      </c>
      <c r="F206">
        <v>27.08661</v>
      </c>
      <c r="G206" s="1861">
        <v>3010</v>
      </c>
      <c r="I206">
        <v>0.79834000000000005</v>
      </c>
      <c r="J206">
        <v>1.0554600000000001</v>
      </c>
      <c r="K206">
        <v>1.1657</v>
      </c>
      <c r="L206">
        <v>1.29895</v>
      </c>
      <c r="M206">
        <v>8.9999999999999993E-3</v>
      </c>
      <c r="N206">
        <v>1</v>
      </c>
      <c r="P206">
        <v>1.2525999999999999</v>
      </c>
      <c r="Q206">
        <v>0.94745000000000001</v>
      </c>
      <c r="R206">
        <v>0.85785</v>
      </c>
      <c r="S206">
        <v>0.76985000000000003</v>
      </c>
      <c r="T206">
        <v>111.125</v>
      </c>
      <c r="U206">
        <v>1</v>
      </c>
    </row>
    <row r="207" spans="1:21" hidden="1" outlineLevel="1">
      <c r="A207" s="8">
        <v>42938</v>
      </c>
      <c r="B207" s="1860">
        <v>2403.6164800000001</v>
      </c>
      <c r="C207" s="1860">
        <v>3177.76136</v>
      </c>
      <c r="D207" s="1860">
        <v>3509.6545900000001</v>
      </c>
      <c r="E207" s="1860">
        <v>3910.8396899999998</v>
      </c>
      <c r="F207">
        <v>27.093540000000001</v>
      </c>
      <c r="G207" s="1861">
        <v>3010.77</v>
      </c>
      <c r="I207">
        <v>0.79834000000000005</v>
      </c>
      <c r="J207">
        <v>1.0554600000000001</v>
      </c>
      <c r="K207">
        <v>1.1657</v>
      </c>
      <c r="L207">
        <v>1.29895</v>
      </c>
      <c r="M207">
        <v>8.9999999999999993E-3</v>
      </c>
      <c r="N207">
        <v>1</v>
      </c>
      <c r="P207">
        <v>1.2525999999999999</v>
      </c>
      <c r="Q207">
        <v>0.94745000000000001</v>
      </c>
      <c r="R207">
        <v>0.85785</v>
      </c>
      <c r="S207">
        <v>0.76985000000000003</v>
      </c>
      <c r="T207">
        <v>111.125</v>
      </c>
      <c r="U207">
        <v>1</v>
      </c>
    </row>
    <row r="208" spans="1:21" hidden="1" outlineLevel="1">
      <c r="A208" s="8">
        <v>42939</v>
      </c>
      <c r="B208" s="1860">
        <v>2403.6164800000001</v>
      </c>
      <c r="C208" s="1860">
        <v>3177.76136</v>
      </c>
      <c r="D208" s="1860">
        <v>3509.6545900000001</v>
      </c>
      <c r="E208" s="1860">
        <v>3910.8396899999998</v>
      </c>
      <c r="F208">
        <v>27.093540000000001</v>
      </c>
      <c r="G208" s="1861">
        <v>3010.77</v>
      </c>
      <c r="I208">
        <v>0.79834000000000005</v>
      </c>
      <c r="J208">
        <v>1.0554600000000001</v>
      </c>
      <c r="K208">
        <v>1.1657</v>
      </c>
      <c r="L208">
        <v>1.29895</v>
      </c>
      <c r="M208">
        <v>8.9999999999999993E-3</v>
      </c>
      <c r="N208">
        <v>1</v>
      </c>
      <c r="P208">
        <v>1.2525999999999999</v>
      </c>
      <c r="Q208">
        <v>0.94745000000000001</v>
      </c>
      <c r="R208">
        <v>0.85785</v>
      </c>
      <c r="S208">
        <v>0.76985000000000003</v>
      </c>
      <c r="T208">
        <v>111.125</v>
      </c>
      <c r="U208">
        <v>1</v>
      </c>
    </row>
    <row r="209" spans="1:23" hidden="1" outlineLevel="1">
      <c r="A209" s="8">
        <v>42940</v>
      </c>
      <c r="B209" s="1860">
        <v>2407.5566800000001</v>
      </c>
      <c r="C209" s="1860">
        <v>3182.6321400000002</v>
      </c>
      <c r="D209" s="1860">
        <v>3505.5900499999998</v>
      </c>
      <c r="E209" s="1860">
        <v>3928.1516200000001</v>
      </c>
      <c r="F209">
        <v>27.099640000000001</v>
      </c>
      <c r="G209" s="1861">
        <v>3010.77</v>
      </c>
      <c r="I209">
        <v>0.79964999999999997</v>
      </c>
      <c r="J209">
        <v>1.05708</v>
      </c>
      <c r="K209">
        <v>1.16435</v>
      </c>
      <c r="L209">
        <v>1.3047</v>
      </c>
      <c r="M209">
        <v>8.9999999999999993E-3</v>
      </c>
      <c r="N209">
        <v>1</v>
      </c>
      <c r="P209">
        <v>1.2505500000000001</v>
      </c>
      <c r="Q209">
        <v>0.94599999999999995</v>
      </c>
      <c r="R209">
        <v>0.85885</v>
      </c>
      <c r="S209">
        <v>0.76646000000000003</v>
      </c>
      <c r="T209">
        <v>111.1</v>
      </c>
      <c r="U209">
        <v>1</v>
      </c>
    </row>
    <row r="210" spans="1:23" hidden="1" outlineLevel="1">
      <c r="A210" s="8">
        <v>42941</v>
      </c>
      <c r="B210" s="1860">
        <v>2413.0481599999998</v>
      </c>
      <c r="C210" s="1860">
        <v>3186.6680700000002</v>
      </c>
      <c r="D210" s="1860">
        <v>3526.2039500000001</v>
      </c>
      <c r="E210" s="1860">
        <v>3945.4358000000002</v>
      </c>
      <c r="F210">
        <v>27.092600000000001</v>
      </c>
      <c r="G210" s="1861">
        <v>3023.67</v>
      </c>
      <c r="I210">
        <v>0.79805000000000004</v>
      </c>
      <c r="J210">
        <v>1.0539099999999999</v>
      </c>
      <c r="K210">
        <v>1.1661999999999999</v>
      </c>
      <c r="L210">
        <v>1.3048500000000001</v>
      </c>
      <c r="M210">
        <v>8.9599999999999992E-3</v>
      </c>
      <c r="N210">
        <v>1</v>
      </c>
      <c r="P210">
        <v>1.25305</v>
      </c>
      <c r="Q210">
        <v>0.94884999999999997</v>
      </c>
      <c r="R210">
        <v>0.85748999999999997</v>
      </c>
      <c r="S210">
        <v>0.76637</v>
      </c>
      <c r="T210">
        <v>111.605</v>
      </c>
      <c r="U210">
        <v>1</v>
      </c>
    </row>
    <row r="211" spans="1:23" hidden="1" outlineLevel="1">
      <c r="A211" s="8">
        <v>42942</v>
      </c>
      <c r="B211" s="1860">
        <v>2414.5757699999999</v>
      </c>
      <c r="C211" s="1860">
        <v>3156.2728099999999</v>
      </c>
      <c r="D211" s="1860">
        <v>3520.02898</v>
      </c>
      <c r="E211" s="1860">
        <v>3951.3123500000002</v>
      </c>
      <c r="F211">
        <v>27.026389999999999</v>
      </c>
      <c r="G211" s="1861">
        <v>3026.55</v>
      </c>
      <c r="I211">
        <v>0.79779999999999995</v>
      </c>
      <c r="J211">
        <v>1.0428599999999999</v>
      </c>
      <c r="K211">
        <v>1.1630499999999999</v>
      </c>
      <c r="L211">
        <v>1.30555</v>
      </c>
      <c r="M211">
        <v>8.9300000000000004E-3</v>
      </c>
      <c r="N211">
        <v>1</v>
      </c>
      <c r="P211">
        <v>1.25345</v>
      </c>
      <c r="Q211">
        <v>0.95889999999999997</v>
      </c>
      <c r="R211">
        <v>0.85980999999999996</v>
      </c>
      <c r="S211">
        <v>0.76595999999999997</v>
      </c>
      <c r="T211">
        <v>111.985</v>
      </c>
      <c r="U211">
        <v>1</v>
      </c>
      <c r="W211">
        <f>F211*T211</f>
        <v>3026.5502841499997</v>
      </c>
    </row>
    <row r="212" spans="1:23" hidden="1" outlineLevel="1">
      <c r="A212" s="8">
        <v>42943</v>
      </c>
      <c r="B212" s="1860">
        <v>2419.0407700000001</v>
      </c>
      <c r="C212" s="1860">
        <v>3141.8397</v>
      </c>
      <c r="D212" s="1860">
        <v>3530.38825</v>
      </c>
      <c r="E212" s="1860">
        <v>3959.8088699999998</v>
      </c>
      <c r="F212">
        <v>27.114239999999999</v>
      </c>
      <c r="G212" s="1861">
        <v>3026.22</v>
      </c>
      <c r="I212">
        <v>0.79935999999999996</v>
      </c>
      <c r="J212">
        <v>1.0382100000000001</v>
      </c>
      <c r="K212">
        <v>1.1666000000000001</v>
      </c>
      <c r="L212">
        <v>1.3085</v>
      </c>
      <c r="M212">
        <v>8.9599999999999992E-3</v>
      </c>
      <c r="N212">
        <v>1</v>
      </c>
      <c r="P212">
        <v>1.2509999999999999</v>
      </c>
      <c r="Q212">
        <v>0.96319999999999995</v>
      </c>
      <c r="R212">
        <v>0.85719000000000001</v>
      </c>
      <c r="S212">
        <v>0.76422999999999996</v>
      </c>
      <c r="T212">
        <v>111.61</v>
      </c>
      <c r="U212">
        <v>1</v>
      </c>
    </row>
    <row r="213" spans="1:23" hidden="1" outlineLevel="1">
      <c r="A213" s="8">
        <v>42944</v>
      </c>
      <c r="B213" s="1860">
        <v>2417.04765</v>
      </c>
      <c r="C213" s="1860">
        <v>3099.9690300000002</v>
      </c>
      <c r="D213" s="1860">
        <v>3527.5536200000001</v>
      </c>
      <c r="E213" s="1860">
        <v>3939.55699</v>
      </c>
      <c r="F213">
        <v>27.064489999999999</v>
      </c>
      <c r="G213" s="1861">
        <v>3002.94</v>
      </c>
      <c r="I213">
        <v>0.80488999999999999</v>
      </c>
      <c r="J213">
        <v>1.0323100000000001</v>
      </c>
      <c r="K213">
        <v>1.1747000000000001</v>
      </c>
      <c r="L213">
        <v>1.3119000000000001</v>
      </c>
      <c r="M213">
        <v>9.0100000000000006E-3</v>
      </c>
      <c r="N213">
        <v>1</v>
      </c>
      <c r="P213">
        <v>1.2423999999999999</v>
      </c>
      <c r="Q213">
        <v>0.96870000000000001</v>
      </c>
      <c r="R213">
        <v>0.85128000000000004</v>
      </c>
      <c r="S213">
        <v>0.76224999999999998</v>
      </c>
      <c r="T213">
        <v>110.955</v>
      </c>
      <c r="U213">
        <v>1</v>
      </c>
    </row>
    <row r="214" spans="1:23" hidden="1" outlineLevel="1">
      <c r="A214" s="8">
        <v>42945</v>
      </c>
      <c r="B214" s="1860">
        <v>2410.8419199999998</v>
      </c>
      <c r="C214" s="1860">
        <v>3092.0099100000002</v>
      </c>
      <c r="D214" s="1860">
        <v>3518.4966800000002</v>
      </c>
      <c r="E214" s="1860">
        <v>3929.4422399999999</v>
      </c>
      <c r="F214">
        <v>26.995000000000001</v>
      </c>
      <c r="G214" s="1861">
        <v>2995.23</v>
      </c>
      <c r="I214">
        <v>0.80488999999999999</v>
      </c>
      <c r="J214">
        <v>1.0323100000000001</v>
      </c>
      <c r="K214">
        <v>1.1747000000000001</v>
      </c>
      <c r="L214">
        <v>1.3119000000000001</v>
      </c>
      <c r="M214">
        <v>9.0100000000000006E-3</v>
      </c>
      <c r="N214">
        <v>1</v>
      </c>
      <c r="P214">
        <v>1.2423999999999999</v>
      </c>
      <c r="Q214">
        <v>0.96870000000000001</v>
      </c>
      <c r="R214">
        <v>0.85128000000000004</v>
      </c>
      <c r="S214">
        <v>0.76224999999999998</v>
      </c>
      <c r="T214">
        <v>110.955</v>
      </c>
      <c r="U214">
        <v>1</v>
      </c>
    </row>
    <row r="215" spans="1:23" hidden="1" outlineLevel="1">
      <c r="A215" s="8">
        <v>42946</v>
      </c>
      <c r="B215" s="1860">
        <v>2410.8419199999998</v>
      </c>
      <c r="C215" s="1860">
        <v>3092.0099100000002</v>
      </c>
      <c r="D215" s="1860">
        <v>3518.4966800000002</v>
      </c>
      <c r="E215" s="1860">
        <v>3929.4422399999999</v>
      </c>
      <c r="F215">
        <v>26.995000000000001</v>
      </c>
      <c r="G215" s="1861">
        <v>2995.23</v>
      </c>
      <c r="I215">
        <v>0.80488999999999999</v>
      </c>
      <c r="J215">
        <v>1.0323100000000001</v>
      </c>
      <c r="K215">
        <v>1.1747000000000001</v>
      </c>
      <c r="L215">
        <v>1.3119000000000001</v>
      </c>
      <c r="M215">
        <v>9.0100000000000006E-3</v>
      </c>
      <c r="N215">
        <v>1</v>
      </c>
      <c r="P215">
        <v>1.2423999999999999</v>
      </c>
      <c r="Q215">
        <v>0.96870000000000001</v>
      </c>
      <c r="R215">
        <v>0.85128000000000004</v>
      </c>
      <c r="S215">
        <v>0.76224999999999998</v>
      </c>
      <c r="T215">
        <v>110.955</v>
      </c>
      <c r="U215">
        <v>1</v>
      </c>
    </row>
    <row r="216" spans="1:23" hidden="1" outlineLevel="1">
      <c r="A216" s="8">
        <v>42947</v>
      </c>
      <c r="B216" s="1860">
        <v>2395.1301400000002</v>
      </c>
      <c r="C216" s="1860">
        <v>3104.3478300000002</v>
      </c>
      <c r="D216" s="1860">
        <v>3531.37617</v>
      </c>
      <c r="E216" s="1860">
        <v>3948.7614699999999</v>
      </c>
      <c r="F216">
        <v>27.107379999999999</v>
      </c>
      <c r="G216" s="1861">
        <v>2995.23</v>
      </c>
      <c r="I216">
        <v>0.79964999999999997</v>
      </c>
      <c r="J216">
        <v>1.03643</v>
      </c>
      <c r="K216">
        <v>1.179</v>
      </c>
      <c r="L216">
        <v>1.3183499999999999</v>
      </c>
      <c r="M216">
        <v>9.0500000000000008E-3</v>
      </c>
      <c r="N216">
        <v>1</v>
      </c>
      <c r="P216">
        <v>1.2505500000000001</v>
      </c>
      <c r="Q216">
        <v>0.96484999999999999</v>
      </c>
      <c r="R216">
        <v>0.84818000000000005</v>
      </c>
      <c r="S216">
        <v>0.75851999999999997</v>
      </c>
      <c r="T216">
        <v>110.495</v>
      </c>
      <c r="U216">
        <v>1</v>
      </c>
    </row>
    <row r="217" spans="1:23" hidden="1" outlineLevel="1">
      <c r="A217" s="8">
        <v>42948</v>
      </c>
      <c r="B217" s="1860">
        <v>2400.6647200000002</v>
      </c>
      <c r="C217" s="1860">
        <v>3104.0592299999998</v>
      </c>
      <c r="D217" s="1860">
        <v>3540.1537899999998</v>
      </c>
      <c r="E217" s="1860">
        <v>3966.2612100000001</v>
      </c>
      <c r="F217">
        <v>27.21247</v>
      </c>
      <c r="G217" s="1861">
        <v>2997.59</v>
      </c>
      <c r="I217">
        <v>0.80086000000000002</v>
      </c>
      <c r="J217">
        <v>1.03552</v>
      </c>
      <c r="K217">
        <v>1.181</v>
      </c>
      <c r="L217">
        <v>1.32315</v>
      </c>
      <c r="M217">
        <v>9.0799999999999995E-3</v>
      </c>
      <c r="N217">
        <v>1</v>
      </c>
      <c r="P217">
        <v>1.24865</v>
      </c>
      <c r="Q217">
        <v>0.9657</v>
      </c>
      <c r="R217">
        <v>0.84674000000000005</v>
      </c>
      <c r="S217">
        <v>0.75577000000000005</v>
      </c>
      <c r="T217">
        <v>110.155</v>
      </c>
      <c r="U217">
        <v>1</v>
      </c>
    </row>
    <row r="218" spans="1:23" hidden="1" outlineLevel="1">
      <c r="A218" s="8">
        <v>42949</v>
      </c>
      <c r="B218" s="1860">
        <v>2364.0505699999999</v>
      </c>
      <c r="C218" s="1860">
        <v>3073.53458</v>
      </c>
      <c r="D218" s="1860">
        <v>3525.12167</v>
      </c>
      <c r="E218" s="1860">
        <v>3931.53487</v>
      </c>
      <c r="F218">
        <v>26.93206</v>
      </c>
      <c r="G218" s="1861">
        <v>2973.03</v>
      </c>
      <c r="I218">
        <v>0.79517000000000004</v>
      </c>
      <c r="J218">
        <v>1.0338099999999999</v>
      </c>
      <c r="K218">
        <v>1.1857</v>
      </c>
      <c r="L218">
        <v>1.3224</v>
      </c>
      <c r="M218">
        <v>9.0600000000000003E-3</v>
      </c>
      <c r="N218">
        <v>1</v>
      </c>
      <c r="P218">
        <v>1.2576000000000001</v>
      </c>
      <c r="Q218">
        <v>0.96730000000000005</v>
      </c>
      <c r="R218">
        <v>0.84338000000000002</v>
      </c>
      <c r="S218">
        <v>0.75619999999999998</v>
      </c>
      <c r="T218">
        <v>110.39</v>
      </c>
      <c r="U218">
        <v>1</v>
      </c>
    </row>
    <row r="219" spans="1:23" hidden="1" outlineLevel="1">
      <c r="A219" s="8">
        <v>42950</v>
      </c>
      <c r="B219" s="1860">
        <v>2360.9620100000002</v>
      </c>
      <c r="C219" s="1860">
        <v>3061.8745199999998</v>
      </c>
      <c r="D219" s="1860">
        <v>3521.7196100000001</v>
      </c>
      <c r="E219" s="1860">
        <v>3896.1561700000002</v>
      </c>
      <c r="F219">
        <v>26.93554</v>
      </c>
      <c r="G219" s="1861">
        <v>2964.66</v>
      </c>
      <c r="I219">
        <v>0.79637000000000002</v>
      </c>
      <c r="J219">
        <v>1.0327900000000001</v>
      </c>
      <c r="K219">
        <v>1.1879</v>
      </c>
      <c r="L219">
        <v>1.3142</v>
      </c>
      <c r="M219">
        <v>9.0900000000000009E-3</v>
      </c>
      <c r="N219">
        <v>1</v>
      </c>
      <c r="P219">
        <v>1.2557</v>
      </c>
      <c r="Q219">
        <v>0.96825000000000006</v>
      </c>
      <c r="R219">
        <v>0.84182000000000001</v>
      </c>
      <c r="S219">
        <v>0.76092000000000004</v>
      </c>
      <c r="T219">
        <v>110.065</v>
      </c>
      <c r="U219">
        <v>1</v>
      </c>
    </row>
    <row r="220" spans="1:23" hidden="1" outlineLevel="1">
      <c r="A220" s="8">
        <v>42951</v>
      </c>
      <c r="B220" s="1860">
        <v>2335.3278300000002</v>
      </c>
      <c r="C220" s="1860">
        <v>3036.6822499999998</v>
      </c>
      <c r="D220" s="1860">
        <v>3472.0276800000001</v>
      </c>
      <c r="E220" s="1860">
        <v>3852.12925</v>
      </c>
      <c r="F220">
        <v>26.64508</v>
      </c>
      <c r="G220" s="1861">
        <v>2954.54</v>
      </c>
      <c r="I220">
        <v>0.79042000000000001</v>
      </c>
      <c r="J220">
        <v>1.0278</v>
      </c>
      <c r="K220">
        <v>1.1751499999999999</v>
      </c>
      <c r="L220">
        <v>1.3038000000000001</v>
      </c>
      <c r="M220">
        <v>9.0200000000000002E-3</v>
      </c>
      <c r="N220">
        <v>1</v>
      </c>
      <c r="P220">
        <v>1.26515</v>
      </c>
      <c r="Q220">
        <v>0.97294999999999998</v>
      </c>
      <c r="R220">
        <v>0.85096000000000005</v>
      </c>
      <c r="S220">
        <v>0.76698999999999995</v>
      </c>
      <c r="T220">
        <v>110.88500000000001</v>
      </c>
      <c r="U220">
        <v>1</v>
      </c>
    </row>
    <row r="221" spans="1:23" hidden="1" outlineLevel="1">
      <c r="A221" s="8">
        <v>42952</v>
      </c>
      <c r="B221" s="1860">
        <v>2351.0176700000002</v>
      </c>
      <c r="C221" s="1860">
        <v>3057.0841300000002</v>
      </c>
      <c r="D221" s="1860">
        <v>3495.3544099999999</v>
      </c>
      <c r="E221" s="1860">
        <v>3878.0096800000001</v>
      </c>
      <c r="F221">
        <v>26.824100000000001</v>
      </c>
      <c r="G221" s="1861">
        <v>2974.39</v>
      </c>
      <c r="I221">
        <v>0.79042000000000001</v>
      </c>
      <c r="J221">
        <v>1.0278</v>
      </c>
      <c r="K221">
        <v>1.1751499999999999</v>
      </c>
      <c r="L221">
        <v>1.3038000000000001</v>
      </c>
      <c r="M221">
        <v>9.0200000000000002E-3</v>
      </c>
      <c r="N221">
        <v>1</v>
      </c>
      <c r="P221">
        <v>1.26515</v>
      </c>
      <c r="Q221">
        <v>0.97294999999999998</v>
      </c>
      <c r="R221">
        <v>0.85096000000000005</v>
      </c>
      <c r="S221">
        <v>0.76698999999999995</v>
      </c>
      <c r="T221">
        <v>110.88500000000001</v>
      </c>
      <c r="U221">
        <v>1</v>
      </c>
    </row>
    <row r="222" spans="1:23" hidden="1" outlineLevel="1">
      <c r="A222" s="8">
        <v>42953</v>
      </c>
      <c r="B222" s="1860">
        <v>2351.0176700000002</v>
      </c>
      <c r="C222" s="1860">
        <v>3057.0841300000002</v>
      </c>
      <c r="D222" s="1860">
        <v>3495.3544099999999</v>
      </c>
      <c r="E222" s="1860">
        <v>3878.0096800000001</v>
      </c>
      <c r="F222">
        <v>26.824100000000001</v>
      </c>
      <c r="G222" s="1861">
        <v>2974.39</v>
      </c>
      <c r="I222">
        <v>0.79042000000000001</v>
      </c>
      <c r="J222">
        <v>1.0278</v>
      </c>
      <c r="K222">
        <v>1.1751499999999999</v>
      </c>
      <c r="L222">
        <v>1.3038000000000001</v>
      </c>
      <c r="M222">
        <v>9.0200000000000002E-3</v>
      </c>
      <c r="N222">
        <v>1</v>
      </c>
      <c r="P222">
        <v>1.26515</v>
      </c>
      <c r="Q222">
        <v>0.97294999999999998</v>
      </c>
      <c r="R222">
        <v>0.85096000000000005</v>
      </c>
      <c r="S222">
        <v>0.76698999999999995</v>
      </c>
      <c r="T222">
        <v>110.88500000000001</v>
      </c>
      <c r="U222">
        <v>1</v>
      </c>
    </row>
    <row r="223" spans="1:23" hidden="1" outlineLevel="1">
      <c r="A223" s="8">
        <v>42954</v>
      </c>
      <c r="B223" s="1860">
        <v>2344.5315900000001</v>
      </c>
      <c r="C223" s="1860">
        <v>3058.8132500000002</v>
      </c>
      <c r="D223" s="1860">
        <v>3508.4417199999998</v>
      </c>
      <c r="E223" s="1860">
        <v>3873.5481</v>
      </c>
      <c r="F223">
        <v>26.838619999999999</v>
      </c>
      <c r="G223" s="1861">
        <v>2974.39</v>
      </c>
      <c r="I223">
        <v>0.78824000000000005</v>
      </c>
      <c r="J223">
        <v>1.0283800000000001</v>
      </c>
      <c r="K223">
        <v>1.1795500000000001</v>
      </c>
      <c r="L223">
        <v>1.3023</v>
      </c>
      <c r="M223">
        <v>9.0200000000000002E-3</v>
      </c>
      <c r="N223">
        <v>1</v>
      </c>
      <c r="P223">
        <v>1.2686500000000001</v>
      </c>
      <c r="Q223">
        <v>0.97240000000000004</v>
      </c>
      <c r="R223">
        <v>0.84777999999999998</v>
      </c>
      <c r="S223">
        <v>0.76787000000000005</v>
      </c>
      <c r="T223">
        <v>110.825</v>
      </c>
      <c r="U223">
        <v>1</v>
      </c>
    </row>
    <row r="224" spans="1:23" hidden="1" outlineLevel="1">
      <c r="A224" s="8">
        <v>42955</v>
      </c>
      <c r="B224" s="1860">
        <v>2345.0861399999999</v>
      </c>
      <c r="C224" s="1860">
        <v>3046.9063700000002</v>
      </c>
      <c r="D224" s="1860">
        <v>3491.0415400000002</v>
      </c>
      <c r="E224" s="1860">
        <v>3854.5120000000002</v>
      </c>
      <c r="F224">
        <v>26.849519999999998</v>
      </c>
      <c r="G224" s="1861">
        <v>2974.39</v>
      </c>
      <c r="I224">
        <v>0.78842999999999996</v>
      </c>
      <c r="J224">
        <v>1.0243800000000001</v>
      </c>
      <c r="K224">
        <v>1.1737</v>
      </c>
      <c r="L224">
        <v>1.2959000000000001</v>
      </c>
      <c r="M224">
        <v>9.0299999999999998E-3</v>
      </c>
      <c r="N224">
        <v>1</v>
      </c>
      <c r="P224">
        <v>1.2683500000000001</v>
      </c>
      <c r="Q224">
        <v>0.97619999999999996</v>
      </c>
      <c r="R224">
        <v>0.85201000000000005</v>
      </c>
      <c r="S224">
        <v>0.77166000000000001</v>
      </c>
      <c r="T224">
        <v>110.78</v>
      </c>
      <c r="U224">
        <v>1</v>
      </c>
    </row>
    <row r="225" spans="1:21" hidden="1" outlineLevel="1">
      <c r="A225" s="8">
        <v>42956</v>
      </c>
      <c r="B225" s="1860">
        <v>2356.1133</v>
      </c>
      <c r="C225" s="1860">
        <v>3100.3416499999998</v>
      </c>
      <c r="D225" s="1860">
        <v>3516.2828</v>
      </c>
      <c r="E225" s="1860">
        <v>3890.3108400000001</v>
      </c>
      <c r="F225">
        <v>27.220109999999998</v>
      </c>
      <c r="G225" s="1861">
        <v>2994.62</v>
      </c>
      <c r="I225">
        <v>0.78678000000000003</v>
      </c>
      <c r="J225">
        <v>1.0353000000000001</v>
      </c>
      <c r="K225">
        <v>1.1741999999999999</v>
      </c>
      <c r="L225">
        <v>1.2990999999999999</v>
      </c>
      <c r="M225">
        <v>9.0900000000000009E-3</v>
      </c>
      <c r="N225">
        <v>1</v>
      </c>
      <c r="P225">
        <v>1.2709999999999999</v>
      </c>
      <c r="Q225">
        <v>0.96589999999999998</v>
      </c>
      <c r="R225">
        <v>0.85163999999999995</v>
      </c>
      <c r="S225">
        <v>0.76976</v>
      </c>
      <c r="T225">
        <v>110.015</v>
      </c>
      <c r="U225">
        <v>1</v>
      </c>
    </row>
    <row r="226" spans="1:21" hidden="1" outlineLevel="1">
      <c r="A226" s="8">
        <v>42957</v>
      </c>
      <c r="B226" s="1860">
        <v>2370.0432900000001</v>
      </c>
      <c r="C226" s="1860">
        <v>3123.7512299999999</v>
      </c>
      <c r="D226" s="1860">
        <v>3537.93894</v>
      </c>
      <c r="E226" s="1860">
        <v>3911.16975</v>
      </c>
      <c r="F226">
        <v>27.53294</v>
      </c>
      <c r="G226" s="1861">
        <v>3011.14</v>
      </c>
      <c r="I226">
        <v>0.78708999999999996</v>
      </c>
      <c r="J226">
        <v>1.0374000000000001</v>
      </c>
      <c r="K226">
        <v>1.1749499999999999</v>
      </c>
      <c r="L226">
        <v>1.2988999999999999</v>
      </c>
      <c r="M226">
        <v>9.1400000000000006E-3</v>
      </c>
      <c r="N226">
        <v>1</v>
      </c>
      <c r="P226">
        <v>1.2705</v>
      </c>
      <c r="Q226">
        <v>0.96394999999999997</v>
      </c>
      <c r="R226">
        <v>0.85109999999999997</v>
      </c>
      <c r="S226">
        <v>0.76988000000000001</v>
      </c>
      <c r="T226">
        <v>109.36499999999999</v>
      </c>
      <c r="U226">
        <v>1</v>
      </c>
    </row>
    <row r="227" spans="1:21" hidden="1" outlineLevel="1">
      <c r="A227" s="8">
        <v>42958</v>
      </c>
      <c r="B227" s="1860">
        <v>2361.0311799999999</v>
      </c>
      <c r="C227" s="1860">
        <v>3110.7244900000001</v>
      </c>
      <c r="D227" s="1860">
        <v>3531.3773799999999</v>
      </c>
      <c r="E227" s="1860">
        <v>3886.4168500000001</v>
      </c>
      <c r="F227">
        <v>27.43919</v>
      </c>
      <c r="G227" s="1861">
        <v>2994.85</v>
      </c>
      <c r="I227">
        <v>0.78835999999999995</v>
      </c>
      <c r="J227">
        <v>1.0386899999999999</v>
      </c>
      <c r="K227">
        <v>1.1791499999999999</v>
      </c>
      <c r="L227">
        <v>1.2977000000000001</v>
      </c>
      <c r="M227">
        <v>9.1599999999999997E-3</v>
      </c>
      <c r="N227">
        <v>1</v>
      </c>
      <c r="P227">
        <v>1.2684500000000001</v>
      </c>
      <c r="Q227">
        <v>0.96274999999999999</v>
      </c>
      <c r="R227">
        <v>0.84806999999999999</v>
      </c>
      <c r="S227">
        <v>0.77059</v>
      </c>
      <c r="T227">
        <v>109.145</v>
      </c>
      <c r="U227">
        <v>1</v>
      </c>
    </row>
    <row r="228" spans="1:21" hidden="1" outlineLevel="1">
      <c r="A228" s="8">
        <v>42959</v>
      </c>
      <c r="B228" s="1860">
        <v>2353.2579099999998</v>
      </c>
      <c r="C228" s="1860">
        <v>3100.48299</v>
      </c>
      <c r="D228" s="1860">
        <v>3519.7509599999998</v>
      </c>
      <c r="E228" s="1860">
        <v>3873.6215200000001</v>
      </c>
      <c r="F228">
        <v>27.348849999999999</v>
      </c>
      <c r="G228" s="1861">
        <v>2984.99</v>
      </c>
      <c r="I228">
        <v>0.78835999999999995</v>
      </c>
      <c r="J228">
        <v>1.0386899999999999</v>
      </c>
      <c r="K228">
        <v>1.1791499999999999</v>
      </c>
      <c r="L228">
        <v>1.2977000000000001</v>
      </c>
      <c r="M228">
        <v>9.1599999999999997E-3</v>
      </c>
      <c r="N228">
        <v>1</v>
      </c>
      <c r="P228">
        <v>1.2684500000000001</v>
      </c>
      <c r="Q228">
        <v>0.96274999999999999</v>
      </c>
      <c r="R228">
        <v>0.84806999999999999</v>
      </c>
      <c r="S228">
        <v>0.77059</v>
      </c>
      <c r="T228">
        <v>109.145</v>
      </c>
      <c r="U228">
        <v>1</v>
      </c>
    </row>
    <row r="229" spans="1:21" hidden="1" outlineLevel="1">
      <c r="A229" s="8">
        <v>42960</v>
      </c>
      <c r="B229" s="1860">
        <v>2353.2579099999998</v>
      </c>
      <c r="C229" s="1860">
        <v>3100.48299</v>
      </c>
      <c r="D229" s="1860">
        <v>3519.7509599999998</v>
      </c>
      <c r="E229" s="1860">
        <v>3873.6215200000001</v>
      </c>
      <c r="F229">
        <v>27.348849999999999</v>
      </c>
      <c r="G229" s="1861">
        <v>2984.99</v>
      </c>
      <c r="I229">
        <v>0.78835999999999995</v>
      </c>
      <c r="J229">
        <v>1.0386899999999999</v>
      </c>
      <c r="K229">
        <v>1.1791499999999999</v>
      </c>
      <c r="L229">
        <v>1.2977000000000001</v>
      </c>
      <c r="M229">
        <v>9.1599999999999997E-3</v>
      </c>
      <c r="N229">
        <v>1</v>
      </c>
      <c r="P229">
        <v>1.2684500000000001</v>
      </c>
      <c r="Q229">
        <v>0.96274999999999999</v>
      </c>
      <c r="R229">
        <v>0.84806999999999999</v>
      </c>
      <c r="S229">
        <v>0.77059</v>
      </c>
      <c r="T229">
        <v>109.145</v>
      </c>
      <c r="U229">
        <v>1</v>
      </c>
    </row>
    <row r="230" spans="1:21" hidden="1" outlineLevel="1">
      <c r="A230" s="8">
        <v>42961</v>
      </c>
      <c r="B230" s="1860">
        <v>2353.35068</v>
      </c>
      <c r="C230" s="1860">
        <v>3076.8334799999998</v>
      </c>
      <c r="D230" s="1860">
        <v>3517.3629700000001</v>
      </c>
      <c r="E230" s="1860">
        <v>3876.1587599999998</v>
      </c>
      <c r="F230">
        <v>27.26765</v>
      </c>
      <c r="G230" s="1861">
        <v>2984.99</v>
      </c>
      <c r="I230">
        <v>0.78839000000000004</v>
      </c>
      <c r="J230">
        <v>1.03077</v>
      </c>
      <c r="K230">
        <v>1.17835</v>
      </c>
      <c r="L230">
        <v>1.2985500000000001</v>
      </c>
      <c r="M230">
        <v>9.1299999999999992E-3</v>
      </c>
      <c r="N230">
        <v>1</v>
      </c>
      <c r="P230">
        <v>1.2684</v>
      </c>
      <c r="Q230">
        <v>0.97014999999999996</v>
      </c>
      <c r="R230">
        <v>0.84863999999999995</v>
      </c>
      <c r="S230">
        <v>0.77009000000000005</v>
      </c>
      <c r="T230">
        <v>109.47</v>
      </c>
      <c r="U230">
        <v>1</v>
      </c>
    </row>
    <row r="231" spans="1:21" hidden="1" outlineLevel="1">
      <c r="A231" s="8">
        <v>42962</v>
      </c>
      <c r="B231" s="1860">
        <v>2325.3301999999999</v>
      </c>
      <c r="C231" s="1860">
        <v>3049.3292900000001</v>
      </c>
      <c r="D231" s="1860">
        <v>3476.3398999999999</v>
      </c>
      <c r="E231" s="1860">
        <v>3813.0421900000001</v>
      </c>
      <c r="F231">
        <v>26.833159999999999</v>
      </c>
      <c r="G231" s="1861">
        <v>2966.54</v>
      </c>
      <c r="I231">
        <v>0.78385000000000005</v>
      </c>
      <c r="J231">
        <v>1.0279100000000001</v>
      </c>
      <c r="K231">
        <v>1.1718500000000001</v>
      </c>
      <c r="L231">
        <v>1.28535</v>
      </c>
      <c r="M231">
        <v>9.0500000000000008E-3</v>
      </c>
      <c r="N231">
        <v>1</v>
      </c>
      <c r="P231">
        <v>1.2757499999999999</v>
      </c>
      <c r="Q231">
        <v>0.97284999999999999</v>
      </c>
      <c r="R231">
        <v>0.85335000000000005</v>
      </c>
      <c r="S231">
        <v>0.77800000000000002</v>
      </c>
      <c r="T231">
        <v>110.55500000000001</v>
      </c>
      <c r="U231">
        <v>1</v>
      </c>
    </row>
    <row r="232" spans="1:21" hidden="1" outlineLevel="1">
      <c r="A232" s="8">
        <v>42963</v>
      </c>
      <c r="B232" s="1860">
        <v>2341.8224799999998</v>
      </c>
      <c r="C232" s="1860">
        <v>3050.0358900000001</v>
      </c>
      <c r="D232" s="1860">
        <v>3481.5888799999998</v>
      </c>
      <c r="E232" s="1860">
        <v>3828.8851100000002</v>
      </c>
      <c r="F232">
        <v>26.847470000000001</v>
      </c>
      <c r="G232" s="1861">
        <v>2974.7</v>
      </c>
      <c r="I232">
        <v>0.78725000000000001</v>
      </c>
      <c r="J232">
        <v>1.0253300000000001</v>
      </c>
      <c r="K232">
        <v>1.1704000000000001</v>
      </c>
      <c r="L232">
        <v>1.28715</v>
      </c>
      <c r="M232">
        <v>9.0299999999999998E-3</v>
      </c>
      <c r="N232">
        <v>1</v>
      </c>
      <c r="P232">
        <v>1.2702500000000001</v>
      </c>
      <c r="Q232">
        <v>0.97529999999999994</v>
      </c>
      <c r="R232">
        <v>0.85441</v>
      </c>
      <c r="S232">
        <v>0.77690999999999999</v>
      </c>
      <c r="T232">
        <v>110.8</v>
      </c>
      <c r="U232">
        <v>1</v>
      </c>
    </row>
    <row r="233" spans="1:21" hidden="1" outlineLevel="1">
      <c r="A233" s="8">
        <v>42964</v>
      </c>
      <c r="B233" s="1860">
        <v>2345.98569</v>
      </c>
      <c r="C233" s="1860">
        <v>3077.65389</v>
      </c>
      <c r="D233" s="1860">
        <v>3484.3755099999998</v>
      </c>
      <c r="E233" s="1860">
        <v>3824.2820200000001</v>
      </c>
      <c r="F233">
        <v>26.994039999999998</v>
      </c>
      <c r="G233" s="1861">
        <v>2967.32</v>
      </c>
      <c r="I233">
        <v>0.79061000000000003</v>
      </c>
      <c r="J233">
        <v>1.03718</v>
      </c>
      <c r="K233">
        <v>1.17425</v>
      </c>
      <c r="L233">
        <v>1.2887999999999999</v>
      </c>
      <c r="M233">
        <v>9.1000000000000004E-3</v>
      </c>
      <c r="N233">
        <v>1</v>
      </c>
      <c r="P233">
        <v>1.26485</v>
      </c>
      <c r="Q233">
        <v>0.96414999999999995</v>
      </c>
      <c r="R233">
        <v>0.85160999999999998</v>
      </c>
      <c r="S233">
        <v>0.77592000000000005</v>
      </c>
      <c r="T233">
        <v>109.925</v>
      </c>
      <c r="U233">
        <v>1</v>
      </c>
    </row>
    <row r="234" spans="1:21" hidden="1" outlineLevel="1">
      <c r="A234" s="8">
        <v>42965</v>
      </c>
      <c r="B234" s="1860">
        <v>2365.1031699999999</v>
      </c>
      <c r="C234" s="1860">
        <v>3098.7106199999998</v>
      </c>
      <c r="D234" s="1860">
        <v>3501.6842499999998</v>
      </c>
      <c r="E234" s="1860">
        <v>3831.57357</v>
      </c>
      <c r="F234">
        <v>27.388719999999999</v>
      </c>
      <c r="G234" s="1861">
        <v>2980.03</v>
      </c>
      <c r="I234">
        <v>0.79364999999999997</v>
      </c>
      <c r="J234">
        <v>1.03983</v>
      </c>
      <c r="K234">
        <v>1.1750499999999999</v>
      </c>
      <c r="L234">
        <v>1.2857499999999999</v>
      </c>
      <c r="M234">
        <v>9.1900000000000003E-3</v>
      </c>
      <c r="N234">
        <v>1</v>
      </c>
      <c r="P234">
        <v>1.26</v>
      </c>
      <c r="Q234">
        <v>0.9617</v>
      </c>
      <c r="R234">
        <v>0.85102999999999995</v>
      </c>
      <c r="S234">
        <v>0.77776000000000001</v>
      </c>
      <c r="T234">
        <v>108.80500000000001</v>
      </c>
      <c r="U234">
        <v>1</v>
      </c>
    </row>
    <row r="235" spans="1:21" hidden="1" outlineLevel="1">
      <c r="A235" s="8">
        <v>42966</v>
      </c>
      <c r="B235" s="1860">
        <v>2376.5</v>
      </c>
      <c r="C235" s="1860">
        <v>3113.6425100000001</v>
      </c>
      <c r="D235" s="1860">
        <v>3518.5579699999998</v>
      </c>
      <c r="E235" s="1860">
        <v>3850.03694</v>
      </c>
      <c r="F235">
        <v>27.520700000000001</v>
      </c>
      <c r="G235" s="1861">
        <v>2994.39</v>
      </c>
      <c r="I235">
        <v>0.79364999999999997</v>
      </c>
      <c r="J235">
        <v>1.03983</v>
      </c>
      <c r="K235">
        <v>1.1750499999999999</v>
      </c>
      <c r="L235">
        <v>1.2857499999999999</v>
      </c>
      <c r="M235">
        <v>9.1900000000000003E-3</v>
      </c>
      <c r="N235">
        <v>1</v>
      </c>
      <c r="P235">
        <v>1.26</v>
      </c>
      <c r="Q235">
        <v>0.9617</v>
      </c>
      <c r="R235">
        <v>0.85102999999999995</v>
      </c>
      <c r="S235">
        <v>0.77776000000000001</v>
      </c>
      <c r="T235">
        <v>108.80500000000001</v>
      </c>
      <c r="U235">
        <v>1</v>
      </c>
    </row>
    <row r="236" spans="1:21" hidden="1" outlineLevel="1">
      <c r="A236" s="8">
        <v>42967</v>
      </c>
      <c r="B236" s="1860">
        <v>2376.5</v>
      </c>
      <c r="C236" s="1860">
        <v>3113.6425100000001</v>
      </c>
      <c r="D236" s="1860">
        <v>3518.5579699999998</v>
      </c>
      <c r="E236" s="1860">
        <v>3850.03694</v>
      </c>
      <c r="F236">
        <v>27.520700000000001</v>
      </c>
      <c r="G236" s="1861">
        <v>2994.39</v>
      </c>
      <c r="I236">
        <v>0.79364999999999997</v>
      </c>
      <c r="J236">
        <v>1.03983</v>
      </c>
      <c r="K236">
        <v>1.1750499999999999</v>
      </c>
      <c r="L236">
        <v>1.2857499999999999</v>
      </c>
      <c r="M236">
        <v>9.1900000000000003E-3</v>
      </c>
      <c r="N236">
        <v>1</v>
      </c>
      <c r="P236">
        <v>1.26</v>
      </c>
      <c r="Q236">
        <v>0.9617</v>
      </c>
      <c r="R236">
        <v>0.85102999999999995</v>
      </c>
      <c r="S236">
        <v>0.77776000000000001</v>
      </c>
      <c r="T236">
        <v>108.80500000000001</v>
      </c>
      <c r="U236">
        <v>1</v>
      </c>
    </row>
    <row r="237" spans="1:21" hidden="1" outlineLevel="1">
      <c r="A237" s="8">
        <v>42968</v>
      </c>
      <c r="B237" s="1860">
        <v>2379.61616</v>
      </c>
      <c r="C237" s="1860">
        <v>3118.0194700000002</v>
      </c>
      <c r="D237" s="1860">
        <v>3538.6203799999998</v>
      </c>
      <c r="E237" s="1860">
        <v>3864.5597299999999</v>
      </c>
      <c r="F237">
        <v>27.533349999999999</v>
      </c>
      <c r="G237" s="1861">
        <v>2994.39</v>
      </c>
      <c r="I237">
        <v>0.79469000000000001</v>
      </c>
      <c r="J237">
        <v>1.04129</v>
      </c>
      <c r="K237">
        <v>1.1817500000000001</v>
      </c>
      <c r="L237">
        <v>1.2906</v>
      </c>
      <c r="M237">
        <v>9.1900000000000003E-3</v>
      </c>
      <c r="N237">
        <v>1</v>
      </c>
      <c r="P237">
        <v>1.2583500000000001</v>
      </c>
      <c r="Q237">
        <v>0.96035000000000004</v>
      </c>
      <c r="R237">
        <v>0.84619999999999995</v>
      </c>
      <c r="S237">
        <v>0.77483000000000002</v>
      </c>
      <c r="T237">
        <v>108.755</v>
      </c>
      <c r="U237">
        <v>1</v>
      </c>
    </row>
    <row r="238" spans="1:21" hidden="1" outlineLevel="1">
      <c r="A238" s="8">
        <v>42969</v>
      </c>
      <c r="B238" s="1860">
        <v>2387.4900299999999</v>
      </c>
      <c r="C238" s="1860">
        <v>3093.6977000000002</v>
      </c>
      <c r="D238" s="1860">
        <v>3522.7501200000002</v>
      </c>
      <c r="E238" s="1860">
        <v>3843.1498499999998</v>
      </c>
      <c r="F238">
        <v>27.359770000000001</v>
      </c>
      <c r="G238" s="1861">
        <v>2994.39</v>
      </c>
      <c r="I238">
        <v>0.79732000000000003</v>
      </c>
      <c r="J238">
        <v>1.0331600000000001</v>
      </c>
      <c r="K238">
        <v>1.17645</v>
      </c>
      <c r="L238">
        <v>1.28345</v>
      </c>
      <c r="M238">
        <v>9.1400000000000006E-3</v>
      </c>
      <c r="N238">
        <v>1</v>
      </c>
      <c r="P238">
        <v>1.2542</v>
      </c>
      <c r="Q238">
        <v>0.96789999999999998</v>
      </c>
      <c r="R238">
        <v>0.85001000000000004</v>
      </c>
      <c r="S238">
        <v>0.77915000000000001</v>
      </c>
      <c r="T238">
        <v>109.44499999999999</v>
      </c>
      <c r="U238">
        <v>1</v>
      </c>
    </row>
    <row r="239" spans="1:21" hidden="1" outlineLevel="1">
      <c r="A239" s="8">
        <v>42970</v>
      </c>
      <c r="B239" s="1860">
        <v>2377.2922600000002</v>
      </c>
      <c r="C239" s="1860">
        <v>3095.4814000000001</v>
      </c>
      <c r="D239" s="1860">
        <v>3528.9396499999998</v>
      </c>
      <c r="E239" s="1860">
        <v>3821.6489900000001</v>
      </c>
      <c r="F239">
        <v>27.392060000000001</v>
      </c>
      <c r="G239" s="1861">
        <v>2986.83</v>
      </c>
      <c r="I239">
        <v>0.79591999999999996</v>
      </c>
      <c r="J239">
        <v>1.0363800000000001</v>
      </c>
      <c r="K239">
        <v>1.1815</v>
      </c>
      <c r="L239">
        <v>1.2795000000000001</v>
      </c>
      <c r="M239">
        <v>9.1699999999999993E-3</v>
      </c>
      <c r="N239">
        <v>1</v>
      </c>
      <c r="P239">
        <v>1.2564</v>
      </c>
      <c r="Q239">
        <v>0.96489999999999998</v>
      </c>
      <c r="R239">
        <v>0.84638000000000002</v>
      </c>
      <c r="S239">
        <v>0.78156000000000003</v>
      </c>
      <c r="T239">
        <v>109.04</v>
      </c>
      <c r="U239">
        <v>1</v>
      </c>
    </row>
    <row r="240" spans="1:21" hidden="1" outlineLevel="1">
      <c r="A240" s="8">
        <v>42971</v>
      </c>
      <c r="B240" s="1860">
        <v>2385.2106199999998</v>
      </c>
      <c r="C240" s="1860">
        <v>3096.6564699999999</v>
      </c>
      <c r="D240" s="1860">
        <v>3526.0118400000001</v>
      </c>
      <c r="E240" s="1860">
        <v>3822.75837</v>
      </c>
      <c r="F240">
        <v>27.311109999999999</v>
      </c>
      <c r="G240" s="1861">
        <v>2986.88</v>
      </c>
      <c r="I240">
        <v>0.79856000000000005</v>
      </c>
      <c r="J240">
        <v>1.0367500000000001</v>
      </c>
      <c r="K240">
        <v>1.1805000000000001</v>
      </c>
      <c r="L240">
        <v>1.2798499999999999</v>
      </c>
      <c r="M240">
        <v>9.1400000000000006E-3</v>
      </c>
      <c r="N240">
        <v>1</v>
      </c>
      <c r="P240">
        <v>1.2522500000000001</v>
      </c>
      <c r="Q240">
        <v>0.96455000000000002</v>
      </c>
      <c r="R240">
        <v>0.84709999999999996</v>
      </c>
      <c r="S240">
        <v>0.78134000000000003</v>
      </c>
      <c r="T240">
        <v>109.36499999999999</v>
      </c>
      <c r="U240">
        <v>1</v>
      </c>
    </row>
    <row r="241" spans="1:21" hidden="1" outlineLevel="1">
      <c r="A241" s="8">
        <v>42972</v>
      </c>
      <c r="B241" s="1860">
        <v>2379.1453299999998</v>
      </c>
      <c r="C241" s="1860">
        <v>3102.1860499999998</v>
      </c>
      <c r="D241" s="1860">
        <v>3529.5218599999998</v>
      </c>
      <c r="E241" s="1860">
        <v>3828.7522899999999</v>
      </c>
      <c r="F241">
        <v>27.211390000000002</v>
      </c>
      <c r="G241" s="1861">
        <v>2972.98</v>
      </c>
      <c r="I241">
        <v>0.80025999999999997</v>
      </c>
      <c r="J241">
        <v>1.0434600000000001</v>
      </c>
      <c r="K241">
        <v>1.1872</v>
      </c>
      <c r="L241">
        <v>1.2878499999999999</v>
      </c>
      <c r="M241">
        <v>9.1500000000000001E-3</v>
      </c>
      <c r="N241">
        <v>1</v>
      </c>
      <c r="P241">
        <v>1.2496</v>
      </c>
      <c r="Q241">
        <v>0.95835000000000004</v>
      </c>
      <c r="R241">
        <v>0.84231999999999996</v>
      </c>
      <c r="S241">
        <v>0.77649000000000001</v>
      </c>
      <c r="T241">
        <v>109.255</v>
      </c>
      <c r="U241">
        <v>1</v>
      </c>
    </row>
    <row r="242" spans="1:21" hidden="1" outlineLevel="1">
      <c r="A242" s="8">
        <v>42973</v>
      </c>
      <c r="B242" s="1860">
        <v>2347.9193300000002</v>
      </c>
      <c r="C242" s="1860">
        <v>3061.4702400000001</v>
      </c>
      <c r="D242" s="1860">
        <v>3483.19731</v>
      </c>
      <c r="E242" s="1860">
        <v>3778.5003900000002</v>
      </c>
      <c r="F242">
        <v>26.854240000000001</v>
      </c>
      <c r="G242" s="1861">
        <v>2933.96</v>
      </c>
      <c r="I242">
        <v>0.80025999999999997</v>
      </c>
      <c r="J242">
        <v>1.0434600000000001</v>
      </c>
      <c r="K242">
        <v>1.1872</v>
      </c>
      <c r="L242">
        <v>1.2878499999999999</v>
      </c>
      <c r="M242">
        <v>9.1500000000000001E-3</v>
      </c>
      <c r="N242">
        <v>1</v>
      </c>
      <c r="P242">
        <v>1.2496</v>
      </c>
      <c r="Q242">
        <v>0.95835000000000004</v>
      </c>
      <c r="R242">
        <v>0.84231999999999996</v>
      </c>
      <c r="S242">
        <v>0.77649000000000001</v>
      </c>
      <c r="T242">
        <v>109.255</v>
      </c>
      <c r="U242">
        <v>1</v>
      </c>
    </row>
    <row r="243" spans="1:21" hidden="1" outlineLevel="1">
      <c r="A243" s="8">
        <v>42974</v>
      </c>
      <c r="B243" s="1860">
        <v>2347.9193300000002</v>
      </c>
      <c r="C243" s="1860">
        <v>3061.4702400000001</v>
      </c>
      <c r="D243" s="1860">
        <v>3483.19731</v>
      </c>
      <c r="E243" s="1860">
        <v>3778.5003900000002</v>
      </c>
      <c r="F243">
        <v>26.854240000000001</v>
      </c>
      <c r="G243" s="1861">
        <v>2933.96</v>
      </c>
      <c r="I243">
        <v>0.80025999999999997</v>
      </c>
      <c r="J243">
        <v>1.0434600000000001</v>
      </c>
      <c r="K243">
        <v>1.1872</v>
      </c>
      <c r="L243">
        <v>1.2878499999999999</v>
      </c>
      <c r="M243">
        <v>9.1500000000000001E-3</v>
      </c>
      <c r="N243">
        <v>1</v>
      </c>
      <c r="P243">
        <v>1.2496</v>
      </c>
      <c r="Q243">
        <v>0.95835000000000004</v>
      </c>
      <c r="R243">
        <v>0.84231999999999996</v>
      </c>
      <c r="S243">
        <v>0.77649000000000001</v>
      </c>
      <c r="T243">
        <v>109.255</v>
      </c>
      <c r="U243">
        <v>1</v>
      </c>
    </row>
    <row r="244" spans="1:21" hidden="1" outlineLevel="1">
      <c r="A244" s="8">
        <v>42975</v>
      </c>
      <c r="B244" s="1860">
        <v>2351.87174</v>
      </c>
      <c r="C244" s="1860">
        <v>3072.0485800000001</v>
      </c>
      <c r="D244" s="1860">
        <v>3507.6958800000002</v>
      </c>
      <c r="E244" s="1860">
        <v>3793.3168799999999</v>
      </c>
      <c r="F244">
        <v>26.865310000000001</v>
      </c>
      <c r="G244" s="1861">
        <v>2933.96</v>
      </c>
      <c r="I244">
        <v>0.80159999999999998</v>
      </c>
      <c r="J244">
        <v>1.0470699999999999</v>
      </c>
      <c r="K244">
        <v>1.1955499999999999</v>
      </c>
      <c r="L244">
        <v>1.2928999999999999</v>
      </c>
      <c r="M244">
        <v>9.1599999999999997E-3</v>
      </c>
      <c r="N244">
        <v>1</v>
      </c>
      <c r="P244">
        <v>1.2475000000000001</v>
      </c>
      <c r="Q244">
        <v>0.95504999999999995</v>
      </c>
      <c r="R244">
        <v>0.83643999999999996</v>
      </c>
      <c r="S244">
        <v>0.77346000000000004</v>
      </c>
      <c r="T244">
        <v>109.21</v>
      </c>
      <c r="U244">
        <v>1</v>
      </c>
    </row>
    <row r="245" spans="1:21" hidden="1" outlineLevel="1">
      <c r="A245" s="8">
        <v>42976</v>
      </c>
      <c r="B245" s="1860">
        <v>2346.44542</v>
      </c>
      <c r="C245" s="1860">
        <v>3097.7935000000002</v>
      </c>
      <c r="D245" s="1860">
        <v>3528.7049999999999</v>
      </c>
      <c r="E245" s="1860">
        <v>3799.5344300000002</v>
      </c>
      <c r="F245">
        <v>26.98143</v>
      </c>
      <c r="G245" s="1861">
        <v>2934.23</v>
      </c>
      <c r="I245">
        <v>0.79967999999999995</v>
      </c>
      <c r="J245">
        <v>1.0557399999999999</v>
      </c>
      <c r="K245">
        <v>1.2025999999999999</v>
      </c>
      <c r="L245">
        <v>1.2948999999999999</v>
      </c>
      <c r="M245">
        <v>9.1999999999999998E-3</v>
      </c>
      <c r="N245">
        <v>1</v>
      </c>
      <c r="P245">
        <v>1.2504999999999999</v>
      </c>
      <c r="Q245">
        <v>0.94720000000000004</v>
      </c>
      <c r="R245">
        <v>0.83152999999999999</v>
      </c>
      <c r="S245">
        <v>0.77225999999999995</v>
      </c>
      <c r="T245">
        <v>108.75</v>
      </c>
      <c r="U245">
        <v>1</v>
      </c>
    </row>
    <row r="246" spans="1:21" hidden="1" outlineLevel="1">
      <c r="A246" s="8">
        <v>42977</v>
      </c>
      <c r="B246" s="1860">
        <v>2330.8363100000001</v>
      </c>
      <c r="C246" s="1860">
        <v>3065.2593200000001</v>
      </c>
      <c r="D246" s="1860">
        <v>3503.57404</v>
      </c>
      <c r="E246" s="1860">
        <v>3799.3732500000001</v>
      </c>
      <c r="F246">
        <v>26.677099999999999</v>
      </c>
      <c r="G246" s="1861">
        <v>2940.35</v>
      </c>
      <c r="I246">
        <v>0.79271000000000003</v>
      </c>
      <c r="J246">
        <v>1.0424800000000001</v>
      </c>
      <c r="K246">
        <v>1.1915500000000001</v>
      </c>
      <c r="L246">
        <v>1.2921499999999999</v>
      </c>
      <c r="M246">
        <v>9.0699999999999999E-3</v>
      </c>
      <c r="N246">
        <v>1</v>
      </c>
      <c r="P246">
        <v>1.2615000000000001</v>
      </c>
      <c r="Q246">
        <v>0.95925000000000005</v>
      </c>
      <c r="R246">
        <v>0.83923999999999999</v>
      </c>
      <c r="S246">
        <v>0.77390000000000003</v>
      </c>
      <c r="T246">
        <v>110.22</v>
      </c>
      <c r="U246">
        <v>1</v>
      </c>
    </row>
    <row r="247" spans="1:21" hidden="1" outlineLevel="1">
      <c r="A247" s="8">
        <v>42978</v>
      </c>
      <c r="B247" s="1860">
        <v>2342.6440699999998</v>
      </c>
      <c r="C247" s="1860">
        <v>3056.28512</v>
      </c>
      <c r="D247" s="1860">
        <v>3491.9063000000001</v>
      </c>
      <c r="E247" s="1860">
        <v>3784.5873200000001</v>
      </c>
      <c r="F247">
        <v>26.686260000000001</v>
      </c>
      <c r="G247" s="1861">
        <v>2937.09</v>
      </c>
      <c r="I247">
        <v>0.79761000000000004</v>
      </c>
      <c r="J247">
        <v>1.0405800000000001</v>
      </c>
      <c r="K247">
        <v>1.1889000000000001</v>
      </c>
      <c r="L247">
        <v>1.2885500000000001</v>
      </c>
      <c r="M247">
        <v>9.0900000000000009E-3</v>
      </c>
      <c r="N247">
        <v>1</v>
      </c>
      <c r="P247">
        <v>1.2537499999999999</v>
      </c>
      <c r="Q247">
        <v>0.96099999999999997</v>
      </c>
      <c r="R247">
        <v>0.84111000000000002</v>
      </c>
      <c r="S247">
        <v>0.77607000000000004</v>
      </c>
      <c r="T247">
        <v>110.06</v>
      </c>
      <c r="U247">
        <v>1</v>
      </c>
    </row>
    <row r="248" spans="1:21" hidden="1" outlineLevel="1">
      <c r="A248" s="8">
        <v>42979</v>
      </c>
      <c r="B248" s="1860">
        <v>2381.2366200000001</v>
      </c>
      <c r="C248" s="1860">
        <v>3062.4733799999999</v>
      </c>
      <c r="D248" s="1860">
        <v>3502.03611</v>
      </c>
      <c r="E248" s="1860">
        <v>3824.7045600000001</v>
      </c>
      <c r="F248">
        <v>26.75339</v>
      </c>
      <c r="G248" s="1861">
        <v>2948.09</v>
      </c>
      <c r="I248">
        <v>0.80771999999999999</v>
      </c>
      <c r="J248">
        <v>1.0387999999999999</v>
      </c>
      <c r="K248">
        <v>1.1879</v>
      </c>
      <c r="L248">
        <v>1.29735</v>
      </c>
      <c r="M248">
        <v>9.0699999999999999E-3</v>
      </c>
      <c r="N248">
        <v>1</v>
      </c>
      <c r="P248">
        <v>1.2380500000000001</v>
      </c>
      <c r="Q248">
        <v>0.96265000000000001</v>
      </c>
      <c r="R248">
        <v>0.84182000000000001</v>
      </c>
      <c r="S248">
        <v>0.77080000000000004</v>
      </c>
      <c r="T248">
        <v>110.19499999999999</v>
      </c>
      <c r="U248">
        <v>1</v>
      </c>
    </row>
    <row r="249" spans="1:21" hidden="1" outlineLevel="1">
      <c r="A249" s="8">
        <v>42980</v>
      </c>
      <c r="B249" s="1860">
        <v>2371.52781</v>
      </c>
      <c r="C249" s="1860">
        <v>3049.98702</v>
      </c>
      <c r="D249" s="1860">
        <v>3487.7575499999998</v>
      </c>
      <c r="E249" s="1860">
        <v>3809.1104099999998</v>
      </c>
      <c r="F249">
        <v>26.644310000000001</v>
      </c>
      <c r="G249" s="1861">
        <v>2936.07</v>
      </c>
      <c r="I249">
        <v>0.80771999999999999</v>
      </c>
      <c r="J249">
        <v>1.0387999999999999</v>
      </c>
      <c r="K249">
        <v>1.1879</v>
      </c>
      <c r="L249">
        <v>1.29735</v>
      </c>
      <c r="M249">
        <v>9.0699999999999999E-3</v>
      </c>
      <c r="N249">
        <v>1</v>
      </c>
      <c r="P249">
        <v>1.2380500000000001</v>
      </c>
      <c r="Q249">
        <v>0.96265000000000001</v>
      </c>
      <c r="R249">
        <v>0.84182000000000001</v>
      </c>
      <c r="S249">
        <v>0.77080000000000004</v>
      </c>
      <c r="T249">
        <v>110.19499999999999</v>
      </c>
      <c r="U249">
        <v>1</v>
      </c>
    </row>
    <row r="250" spans="1:21" hidden="1" outlineLevel="1">
      <c r="A250" s="8">
        <v>42981</v>
      </c>
      <c r="B250" s="1860">
        <v>2371.52781</v>
      </c>
      <c r="C250" s="1860">
        <v>3049.98702</v>
      </c>
      <c r="D250" s="1860">
        <v>3487.7575499999998</v>
      </c>
      <c r="E250" s="1860">
        <v>3809.1104099999998</v>
      </c>
      <c r="F250">
        <v>26.644310000000001</v>
      </c>
      <c r="G250" s="1861">
        <v>2936.07</v>
      </c>
      <c r="I250">
        <v>0.80771999999999999</v>
      </c>
      <c r="J250">
        <v>1.0387999999999999</v>
      </c>
      <c r="K250">
        <v>1.1879</v>
      </c>
      <c r="L250">
        <v>1.29735</v>
      </c>
      <c r="M250">
        <v>9.0699999999999999E-3</v>
      </c>
      <c r="N250">
        <v>1</v>
      </c>
      <c r="P250">
        <v>1.2380500000000001</v>
      </c>
      <c r="Q250">
        <v>0.96265000000000001</v>
      </c>
      <c r="R250">
        <v>0.84182000000000001</v>
      </c>
      <c r="S250">
        <v>0.77080000000000004</v>
      </c>
      <c r="T250">
        <v>110.19499999999999</v>
      </c>
      <c r="U250">
        <v>1</v>
      </c>
    </row>
    <row r="251" spans="1:21" hidden="1" outlineLevel="1">
      <c r="A251" s="8">
        <v>42982</v>
      </c>
      <c r="B251" s="1860">
        <v>2364.8423299999999</v>
      </c>
      <c r="C251" s="1860">
        <v>3070.8817100000001</v>
      </c>
      <c r="D251" s="1860">
        <v>3497.4465799999998</v>
      </c>
      <c r="E251" s="1860">
        <v>3804.1190999999999</v>
      </c>
      <c r="F251">
        <v>26.807300000000001</v>
      </c>
      <c r="G251" s="1861">
        <v>2936.07</v>
      </c>
      <c r="I251">
        <v>0.80544000000000004</v>
      </c>
      <c r="J251">
        <v>1.04592</v>
      </c>
      <c r="K251">
        <v>1.1912</v>
      </c>
      <c r="L251">
        <v>1.29565</v>
      </c>
      <c r="M251">
        <v>9.1299999999999992E-3</v>
      </c>
      <c r="N251">
        <v>1</v>
      </c>
      <c r="P251">
        <v>1.2415499999999999</v>
      </c>
      <c r="Q251">
        <v>0.95609999999999995</v>
      </c>
      <c r="R251">
        <v>0.83948999999999996</v>
      </c>
      <c r="S251">
        <v>0.77181</v>
      </c>
      <c r="T251">
        <v>109.52500000000001</v>
      </c>
      <c r="U251">
        <v>1</v>
      </c>
    </row>
    <row r="252" spans="1:21" hidden="1" outlineLevel="1">
      <c r="A252" s="8">
        <v>42983</v>
      </c>
      <c r="B252" s="1860">
        <v>2378.7328900000002</v>
      </c>
      <c r="C252" s="1860">
        <v>3071.36357</v>
      </c>
      <c r="D252" s="1860">
        <v>3500.5294600000002</v>
      </c>
      <c r="E252" s="1860">
        <v>3825.1120000000001</v>
      </c>
      <c r="F252">
        <v>26.972300000000001</v>
      </c>
      <c r="G252" s="1861">
        <v>2936.07</v>
      </c>
      <c r="I252">
        <v>0.81018000000000001</v>
      </c>
      <c r="J252">
        <v>1.0460799999999999</v>
      </c>
      <c r="K252">
        <v>1.19225</v>
      </c>
      <c r="L252">
        <v>1.3028</v>
      </c>
      <c r="M252">
        <v>9.1900000000000003E-3</v>
      </c>
      <c r="N252">
        <v>1</v>
      </c>
      <c r="P252">
        <v>1.2343</v>
      </c>
      <c r="Q252">
        <v>0.95594999999999997</v>
      </c>
      <c r="R252">
        <v>0.83875</v>
      </c>
      <c r="S252">
        <v>0.76758000000000004</v>
      </c>
      <c r="T252">
        <v>108.855</v>
      </c>
      <c r="U252">
        <v>1</v>
      </c>
    </row>
    <row r="253" spans="1:21" hidden="1" outlineLevel="1">
      <c r="A253" s="8">
        <v>42984</v>
      </c>
      <c r="B253" s="1860">
        <v>2389.6436199999998</v>
      </c>
      <c r="C253" s="1860">
        <v>3065.25819</v>
      </c>
      <c r="D253" s="1860">
        <v>3490.0623599999999</v>
      </c>
      <c r="E253" s="1860">
        <v>3821.0014299999998</v>
      </c>
      <c r="F253">
        <v>26.864139999999999</v>
      </c>
      <c r="G253" s="1861">
        <v>2923.49</v>
      </c>
      <c r="I253">
        <v>0.81738999999999995</v>
      </c>
      <c r="J253">
        <v>1.0484899999999999</v>
      </c>
      <c r="K253">
        <v>1.1938</v>
      </c>
      <c r="L253">
        <v>1.3069999999999999</v>
      </c>
      <c r="M253">
        <v>9.1900000000000003E-3</v>
      </c>
      <c r="N253">
        <v>1</v>
      </c>
      <c r="P253">
        <v>1.2234</v>
      </c>
      <c r="Q253">
        <v>0.95374999999999999</v>
      </c>
      <c r="R253">
        <v>0.83765999999999996</v>
      </c>
      <c r="S253">
        <v>0.76510999999999996</v>
      </c>
      <c r="T253">
        <v>108.825</v>
      </c>
      <c r="U253">
        <v>1</v>
      </c>
    </row>
    <row r="254" spans="1:21" hidden="1" outlineLevel="1">
      <c r="A254" s="8">
        <v>42985</v>
      </c>
      <c r="B254" s="1860">
        <v>2403.0784399999998</v>
      </c>
      <c r="C254" s="1860">
        <v>3064.44841</v>
      </c>
      <c r="D254" s="1860">
        <v>3505.5896299999999</v>
      </c>
      <c r="E254" s="1860">
        <v>3827.4645</v>
      </c>
      <c r="F254">
        <v>26.921479999999999</v>
      </c>
      <c r="G254" s="1861">
        <v>2919.5</v>
      </c>
      <c r="I254">
        <v>0.82311000000000001</v>
      </c>
      <c r="J254">
        <v>1.04965</v>
      </c>
      <c r="K254">
        <v>1.20075</v>
      </c>
      <c r="L254">
        <v>1.3109999999999999</v>
      </c>
      <c r="M254">
        <v>9.2200000000000008E-3</v>
      </c>
      <c r="N254">
        <v>1</v>
      </c>
      <c r="P254">
        <v>1.2149000000000001</v>
      </c>
      <c r="Q254">
        <v>0.95269999999999999</v>
      </c>
      <c r="R254">
        <v>0.83281000000000005</v>
      </c>
      <c r="S254">
        <v>0.76278000000000001</v>
      </c>
      <c r="T254">
        <v>108.44499999999999</v>
      </c>
      <c r="U254">
        <v>1</v>
      </c>
    </row>
    <row r="255" spans="1:21" hidden="1" outlineLevel="1">
      <c r="A255" s="8">
        <v>42986</v>
      </c>
      <c r="B255" s="1860">
        <v>2392.9888099999998</v>
      </c>
      <c r="C255" s="1860">
        <v>3068.2775000000001</v>
      </c>
      <c r="D255" s="1860">
        <v>3495.51332</v>
      </c>
      <c r="E255" s="1860">
        <v>3833.85446</v>
      </c>
      <c r="F255">
        <v>26.949259999999999</v>
      </c>
      <c r="G255" s="1861">
        <v>2907.96</v>
      </c>
      <c r="I255">
        <v>0.82291000000000003</v>
      </c>
      <c r="J255">
        <v>1.0551299999999999</v>
      </c>
      <c r="K255">
        <v>1.2020500000000001</v>
      </c>
      <c r="L255">
        <v>1.3184</v>
      </c>
      <c r="M255">
        <v>9.2700000000000005E-3</v>
      </c>
      <c r="N255">
        <v>1</v>
      </c>
      <c r="P255">
        <v>1.2152000000000001</v>
      </c>
      <c r="Q255">
        <v>0.94774999999999998</v>
      </c>
      <c r="R255">
        <v>0.83191000000000004</v>
      </c>
      <c r="S255">
        <v>0.75849999999999995</v>
      </c>
      <c r="T255">
        <v>107.905</v>
      </c>
      <c r="U255">
        <v>1</v>
      </c>
    </row>
    <row r="256" spans="1:21" hidden="1" outlineLevel="1">
      <c r="A256" s="8">
        <v>42987</v>
      </c>
      <c r="B256" s="1860">
        <v>2393.9680699999999</v>
      </c>
      <c r="C256" s="1860">
        <v>3069.5331000000001</v>
      </c>
      <c r="D256" s="1860">
        <v>3496.9437600000001</v>
      </c>
      <c r="E256" s="1860">
        <v>3835.4233599999998</v>
      </c>
      <c r="F256">
        <v>26.960290000000001</v>
      </c>
      <c r="G256" s="1861">
        <v>2909.15</v>
      </c>
      <c r="I256">
        <v>0.82291000000000003</v>
      </c>
      <c r="J256">
        <v>1.0551299999999999</v>
      </c>
      <c r="K256">
        <v>1.2020500000000001</v>
      </c>
      <c r="L256">
        <v>1.3184</v>
      </c>
      <c r="M256">
        <v>9.2700000000000005E-3</v>
      </c>
      <c r="N256">
        <v>1</v>
      </c>
      <c r="P256">
        <v>1.2152000000000001</v>
      </c>
      <c r="Q256">
        <v>0.94774999999999998</v>
      </c>
      <c r="R256">
        <v>0.83191000000000004</v>
      </c>
      <c r="S256">
        <v>0.75849999999999995</v>
      </c>
      <c r="T256">
        <v>107.905</v>
      </c>
      <c r="U256">
        <v>1</v>
      </c>
    </row>
    <row r="257" spans="1:21" hidden="1" outlineLevel="1">
      <c r="A257" s="8">
        <v>42988</v>
      </c>
      <c r="B257" s="1860">
        <v>2393.9680699999999</v>
      </c>
      <c r="C257" s="1860">
        <v>3069.5331000000001</v>
      </c>
      <c r="D257" s="1860">
        <v>3496.9437600000001</v>
      </c>
      <c r="E257" s="1860">
        <v>3835.4233599999998</v>
      </c>
      <c r="F257">
        <v>26.960290000000001</v>
      </c>
      <c r="G257" s="1861">
        <v>2909.15</v>
      </c>
      <c r="I257">
        <v>0.82291000000000003</v>
      </c>
      <c r="J257">
        <v>1.0551299999999999</v>
      </c>
      <c r="K257">
        <v>1.2020500000000001</v>
      </c>
      <c r="L257">
        <v>1.3184</v>
      </c>
      <c r="M257">
        <v>9.2700000000000005E-3</v>
      </c>
      <c r="N257">
        <v>1</v>
      </c>
      <c r="P257">
        <v>1.2152000000000001</v>
      </c>
      <c r="Q257">
        <v>0.94774999999999998</v>
      </c>
      <c r="R257">
        <v>0.83191000000000004</v>
      </c>
      <c r="S257">
        <v>0.75849999999999995</v>
      </c>
      <c r="T257">
        <v>107.905</v>
      </c>
      <c r="U257">
        <v>1</v>
      </c>
    </row>
    <row r="258" spans="1:21" hidden="1" outlineLevel="1">
      <c r="A258" s="8">
        <v>42989</v>
      </c>
      <c r="B258" s="1860">
        <v>2396.72928</v>
      </c>
      <c r="C258" s="1860">
        <v>3055.6693500000001</v>
      </c>
      <c r="D258" s="1860">
        <v>3486.1799000000001</v>
      </c>
      <c r="E258" s="1860">
        <v>3835.7142800000001</v>
      </c>
      <c r="F258">
        <v>26.71518</v>
      </c>
      <c r="G258" s="1861">
        <v>2909.15</v>
      </c>
      <c r="I258">
        <v>0.82386000000000004</v>
      </c>
      <c r="J258">
        <v>1.05037</v>
      </c>
      <c r="K258">
        <v>1.19835</v>
      </c>
      <c r="L258">
        <v>1.3185</v>
      </c>
      <c r="M258">
        <v>9.1800000000000007E-3</v>
      </c>
      <c r="N258">
        <v>1</v>
      </c>
      <c r="P258">
        <v>1.2138</v>
      </c>
      <c r="Q258">
        <v>0.95204999999999995</v>
      </c>
      <c r="R258">
        <v>0.83448</v>
      </c>
      <c r="S258">
        <v>0.75844</v>
      </c>
      <c r="T258">
        <v>108.895</v>
      </c>
      <c r="U258">
        <v>1</v>
      </c>
    </row>
    <row r="259" spans="1:21" hidden="1" outlineLevel="1">
      <c r="A259" s="8">
        <v>42990</v>
      </c>
      <c r="B259" s="1860">
        <v>2401.36699</v>
      </c>
      <c r="C259" s="1860">
        <v>3038.7120300000001</v>
      </c>
      <c r="D259" s="1860">
        <v>3485.7601399999999</v>
      </c>
      <c r="E259" s="1860">
        <v>3868.7898700000001</v>
      </c>
      <c r="F259">
        <v>26.5305</v>
      </c>
      <c r="G259" s="1861">
        <v>2916.1</v>
      </c>
      <c r="I259">
        <v>0.82349000000000006</v>
      </c>
      <c r="J259">
        <v>1.0420499999999999</v>
      </c>
      <c r="K259">
        <v>1.1953499999999999</v>
      </c>
      <c r="L259">
        <v>1.3267</v>
      </c>
      <c r="M259">
        <v>9.1000000000000004E-3</v>
      </c>
      <c r="N259">
        <v>1</v>
      </c>
      <c r="P259">
        <v>1.21435</v>
      </c>
      <c r="Q259">
        <v>0.95965</v>
      </c>
      <c r="R259">
        <v>0.83657999999999999</v>
      </c>
      <c r="S259">
        <v>0.75375000000000003</v>
      </c>
      <c r="T259">
        <v>109.91500000000001</v>
      </c>
      <c r="U259">
        <v>1</v>
      </c>
    </row>
    <row r="260" spans="1:21" hidden="1" outlineLevel="1">
      <c r="A260" s="8">
        <v>42991</v>
      </c>
      <c r="B260" s="1860">
        <v>2397.3017300000001</v>
      </c>
      <c r="C260" s="1860">
        <v>3034.5497</v>
      </c>
      <c r="D260" s="1860">
        <v>3483.2287000000001</v>
      </c>
      <c r="E260" s="1860">
        <v>3867.16869</v>
      </c>
      <c r="F260">
        <v>26.43243</v>
      </c>
      <c r="G260" s="1861">
        <v>2923.03</v>
      </c>
      <c r="I260">
        <v>0.82013999999999998</v>
      </c>
      <c r="J260">
        <v>1.0381499999999999</v>
      </c>
      <c r="K260">
        <v>1.1916500000000001</v>
      </c>
      <c r="L260">
        <v>1.323</v>
      </c>
      <c r="M260">
        <v>9.0399999999999994E-3</v>
      </c>
      <c r="N260">
        <v>1</v>
      </c>
      <c r="P260">
        <v>1.2193000000000001</v>
      </c>
      <c r="Q260">
        <v>0.96325000000000005</v>
      </c>
      <c r="R260">
        <v>0.83916999999999997</v>
      </c>
      <c r="S260">
        <v>0.75585999999999998</v>
      </c>
      <c r="T260">
        <v>110.58499999999999</v>
      </c>
      <c r="U260">
        <v>1</v>
      </c>
    </row>
    <row r="261" spans="1:21" hidden="1" outlineLevel="1">
      <c r="A261" s="8">
        <v>42992</v>
      </c>
      <c r="B261" s="1860">
        <v>2386.3194600000002</v>
      </c>
      <c r="C261" s="1860">
        <v>3009.2775499999998</v>
      </c>
      <c r="D261" s="1860">
        <v>3454.32762</v>
      </c>
      <c r="E261" s="1860">
        <v>3884.2091999999998</v>
      </c>
      <c r="F261">
        <v>26.293620000000001</v>
      </c>
      <c r="G261" s="1861">
        <v>2909.52</v>
      </c>
      <c r="I261">
        <v>0.82018000000000002</v>
      </c>
      <c r="J261">
        <v>1.0342899999999999</v>
      </c>
      <c r="K261">
        <v>1.1872499999999999</v>
      </c>
      <c r="L261">
        <v>1.335</v>
      </c>
      <c r="M261">
        <v>9.0399999999999994E-3</v>
      </c>
      <c r="N261">
        <v>1</v>
      </c>
      <c r="P261">
        <v>1.2192499999999999</v>
      </c>
      <c r="Q261">
        <v>0.96684999999999999</v>
      </c>
      <c r="R261">
        <v>0.84228000000000003</v>
      </c>
      <c r="S261">
        <v>0.74905999999999995</v>
      </c>
      <c r="T261">
        <v>110.655</v>
      </c>
      <c r="U261">
        <v>1</v>
      </c>
    </row>
    <row r="262" spans="1:21" hidden="1" outlineLevel="1">
      <c r="A262" s="8">
        <v>42993</v>
      </c>
      <c r="B262" s="1860">
        <v>2386.9399199999998</v>
      </c>
      <c r="C262" s="1860">
        <v>3026.1168400000001</v>
      </c>
      <c r="D262" s="1860">
        <v>3476.5691700000002</v>
      </c>
      <c r="E262" s="1860">
        <v>3950.53451</v>
      </c>
      <c r="F262">
        <v>26.16939</v>
      </c>
      <c r="G262" s="1861">
        <v>2905.98</v>
      </c>
      <c r="I262">
        <v>0.82138999999999995</v>
      </c>
      <c r="J262">
        <v>1.0413399999999999</v>
      </c>
      <c r="K262">
        <v>1.19635</v>
      </c>
      <c r="L262">
        <v>1.35945</v>
      </c>
      <c r="M262">
        <v>9.0100000000000006E-3</v>
      </c>
      <c r="N262">
        <v>1</v>
      </c>
      <c r="P262">
        <v>1.2174499999999999</v>
      </c>
      <c r="Q262">
        <v>0.96030000000000004</v>
      </c>
      <c r="R262">
        <v>0.83587999999999996</v>
      </c>
      <c r="S262">
        <v>0.73558999999999997</v>
      </c>
      <c r="T262">
        <v>111.045</v>
      </c>
      <c r="U262">
        <v>1</v>
      </c>
    </row>
    <row r="263" spans="1:21" hidden="1" outlineLevel="1">
      <c r="A263" s="8">
        <v>42994</v>
      </c>
      <c r="B263" s="1860">
        <v>2380.2456000000002</v>
      </c>
      <c r="C263" s="1860">
        <v>3017.6299100000001</v>
      </c>
      <c r="D263" s="1860">
        <v>3466.8189200000002</v>
      </c>
      <c r="E263" s="1860">
        <v>3939.4549900000002</v>
      </c>
      <c r="F263">
        <v>26.096</v>
      </c>
      <c r="G263" s="1861">
        <v>2897.83</v>
      </c>
      <c r="I263">
        <v>0.82138999999999995</v>
      </c>
      <c r="J263">
        <v>1.0413399999999999</v>
      </c>
      <c r="K263">
        <v>1.19635</v>
      </c>
      <c r="L263">
        <v>1.35945</v>
      </c>
      <c r="M263">
        <v>9.0100000000000006E-3</v>
      </c>
      <c r="N263">
        <v>1</v>
      </c>
      <c r="P263">
        <v>1.2174499999999999</v>
      </c>
      <c r="Q263">
        <v>0.96030000000000004</v>
      </c>
      <c r="R263">
        <v>0.83587999999999996</v>
      </c>
      <c r="S263">
        <v>0.73558999999999997</v>
      </c>
      <c r="T263">
        <v>111.045</v>
      </c>
      <c r="U263">
        <v>1</v>
      </c>
    </row>
    <row r="264" spans="1:21" hidden="1" outlineLevel="1">
      <c r="A264" s="8">
        <v>42995</v>
      </c>
      <c r="B264" s="1860">
        <v>2380.2456000000002</v>
      </c>
      <c r="C264" s="1860">
        <v>3017.6299100000001</v>
      </c>
      <c r="D264" s="1860">
        <v>3466.8189200000002</v>
      </c>
      <c r="E264" s="1860">
        <v>3939.4549900000002</v>
      </c>
      <c r="F264">
        <v>26.096</v>
      </c>
      <c r="G264" s="1861">
        <v>2897.83</v>
      </c>
      <c r="I264">
        <v>0.82138999999999995</v>
      </c>
      <c r="J264">
        <v>1.0413399999999999</v>
      </c>
      <c r="K264">
        <v>1.19635</v>
      </c>
      <c r="L264">
        <v>1.35945</v>
      </c>
      <c r="M264">
        <v>9.0100000000000006E-3</v>
      </c>
      <c r="N264">
        <v>1</v>
      </c>
      <c r="P264">
        <v>1.2174499999999999</v>
      </c>
      <c r="Q264">
        <v>0.96030000000000004</v>
      </c>
      <c r="R264">
        <v>0.83587999999999996</v>
      </c>
      <c r="S264">
        <v>0.73558999999999997</v>
      </c>
      <c r="T264">
        <v>111.045</v>
      </c>
      <c r="U264">
        <v>1</v>
      </c>
    </row>
    <row r="265" spans="1:21" hidden="1" outlineLevel="1">
      <c r="A265" s="8">
        <v>42996</v>
      </c>
      <c r="B265" s="1860">
        <v>2372.2565599999998</v>
      </c>
      <c r="C265" s="1860">
        <v>3017.78703</v>
      </c>
      <c r="D265" s="1860">
        <v>3464.2108699999999</v>
      </c>
      <c r="E265" s="1860">
        <v>3921.6333399999999</v>
      </c>
      <c r="F265">
        <v>25.973199999999999</v>
      </c>
      <c r="G265" s="1861">
        <v>2897.83</v>
      </c>
      <c r="I265">
        <v>0.81862999999999997</v>
      </c>
      <c r="J265">
        <v>1.0414000000000001</v>
      </c>
      <c r="K265">
        <v>1.1954499999999999</v>
      </c>
      <c r="L265">
        <v>1.3532999999999999</v>
      </c>
      <c r="M265">
        <v>8.9599999999999992E-3</v>
      </c>
      <c r="N265">
        <v>1</v>
      </c>
      <c r="P265">
        <v>1.2215499999999999</v>
      </c>
      <c r="Q265">
        <v>0.96025000000000005</v>
      </c>
      <c r="R265">
        <v>0.83650999999999998</v>
      </c>
      <c r="S265">
        <v>0.73892999999999998</v>
      </c>
      <c r="T265">
        <v>111.57</v>
      </c>
      <c r="U265">
        <v>1</v>
      </c>
    </row>
    <row r="266" spans="1:21" hidden="1" outlineLevel="1">
      <c r="A266" s="8">
        <v>42997</v>
      </c>
      <c r="B266" s="1860">
        <v>2364.95768</v>
      </c>
      <c r="C266" s="1860">
        <v>3018.4990899999998</v>
      </c>
      <c r="D266" s="1860">
        <v>3481.1692699999999</v>
      </c>
      <c r="E266" s="1860">
        <v>3929.7196399999998</v>
      </c>
      <c r="F266">
        <v>26.067990000000002</v>
      </c>
      <c r="G266" s="1861">
        <v>2906.06</v>
      </c>
      <c r="I266">
        <v>0.81379999999999997</v>
      </c>
      <c r="J266">
        <v>1.0386899999999999</v>
      </c>
      <c r="K266">
        <v>1.1979</v>
      </c>
      <c r="L266">
        <v>1.35225</v>
      </c>
      <c r="M266">
        <v>8.9700000000000005E-3</v>
      </c>
      <c r="N266">
        <v>1</v>
      </c>
      <c r="P266">
        <v>1.2287999999999999</v>
      </c>
      <c r="Q266">
        <v>0.96274999999999999</v>
      </c>
      <c r="R266">
        <v>0.83479000000000003</v>
      </c>
      <c r="S266">
        <v>0.73951</v>
      </c>
      <c r="T266">
        <v>111.48</v>
      </c>
      <c r="U266">
        <v>1</v>
      </c>
    </row>
    <row r="267" spans="1:21" hidden="1" outlineLevel="1">
      <c r="A267" s="8">
        <v>42998</v>
      </c>
      <c r="B267" s="1860">
        <v>2370.8117400000001</v>
      </c>
      <c r="C267" s="1860">
        <v>3019.8055800000002</v>
      </c>
      <c r="D267" s="1860">
        <v>3484.3581600000002</v>
      </c>
      <c r="E267" s="1860">
        <v>3939.9446699999999</v>
      </c>
      <c r="F267">
        <v>26.07244</v>
      </c>
      <c r="G267" s="1861">
        <v>2904.6</v>
      </c>
      <c r="I267">
        <v>0.81623000000000001</v>
      </c>
      <c r="J267">
        <v>1.03966</v>
      </c>
      <c r="K267">
        <v>1.1996</v>
      </c>
      <c r="L267">
        <v>1.3564499999999999</v>
      </c>
      <c r="M267">
        <v>8.9800000000000001E-3</v>
      </c>
      <c r="N267">
        <v>1</v>
      </c>
      <c r="P267">
        <v>1.22515</v>
      </c>
      <c r="Q267">
        <v>0.96184999999999998</v>
      </c>
      <c r="R267">
        <v>0.83360999999999996</v>
      </c>
      <c r="S267">
        <v>0.73721999999999999</v>
      </c>
      <c r="T267">
        <v>111.405</v>
      </c>
      <c r="U267">
        <v>1</v>
      </c>
    </row>
    <row r="268" spans="1:21" hidden="1" outlineLevel="1">
      <c r="A268" s="8">
        <v>42999</v>
      </c>
      <c r="B268" s="1860">
        <v>2343.9844400000002</v>
      </c>
      <c r="C268" s="1860">
        <v>2973.46351</v>
      </c>
      <c r="D268" s="1860">
        <v>3449.3938600000001</v>
      </c>
      <c r="E268" s="1860">
        <v>3918.6676499999999</v>
      </c>
      <c r="F268">
        <v>25.734310000000001</v>
      </c>
      <c r="G268" s="1861">
        <v>2893.18</v>
      </c>
      <c r="I268">
        <v>0.81018000000000001</v>
      </c>
      <c r="J268">
        <v>1.0277499999999999</v>
      </c>
      <c r="K268">
        <v>1.19225</v>
      </c>
      <c r="L268">
        <v>1.3544499999999999</v>
      </c>
      <c r="M268">
        <v>8.8900000000000003E-3</v>
      </c>
      <c r="N268">
        <v>1</v>
      </c>
      <c r="P268">
        <v>1.2343</v>
      </c>
      <c r="Q268">
        <v>0.97299999999999998</v>
      </c>
      <c r="R268">
        <v>0.83875</v>
      </c>
      <c r="S268">
        <v>0.73831000000000002</v>
      </c>
      <c r="T268">
        <v>112.425</v>
      </c>
      <c r="U268">
        <v>1</v>
      </c>
    </row>
    <row r="269" spans="1:21" hidden="1" outlineLevel="1">
      <c r="A269" s="8">
        <v>43000</v>
      </c>
      <c r="B269" s="1860">
        <v>2368.6880200000001</v>
      </c>
      <c r="C269" s="1860">
        <v>3007.4930300000001</v>
      </c>
      <c r="D269" s="1860">
        <v>3487.7187199999998</v>
      </c>
      <c r="E269" s="1860">
        <v>3942.1507900000001</v>
      </c>
      <c r="F269">
        <v>26.032609999999998</v>
      </c>
      <c r="G269" s="1861">
        <v>2913.96</v>
      </c>
      <c r="I269">
        <v>0.81288000000000005</v>
      </c>
      <c r="J269">
        <v>1.0321</v>
      </c>
      <c r="K269">
        <v>1.1969000000000001</v>
      </c>
      <c r="L269">
        <v>1.3528500000000001</v>
      </c>
      <c r="M269">
        <v>8.9300000000000004E-3</v>
      </c>
      <c r="N269">
        <v>1</v>
      </c>
      <c r="P269">
        <v>1.2302</v>
      </c>
      <c r="Q269">
        <v>0.96889999999999998</v>
      </c>
      <c r="R269">
        <v>0.83548999999999995</v>
      </c>
      <c r="S269">
        <v>0.73917999999999995</v>
      </c>
      <c r="T269">
        <v>111.935</v>
      </c>
      <c r="U269">
        <v>1</v>
      </c>
    </row>
    <row r="270" spans="1:21" hidden="1" outlineLevel="1">
      <c r="A270" s="8">
        <v>43001</v>
      </c>
      <c r="B270" s="1860">
        <v>2357.9336699999999</v>
      </c>
      <c r="C270" s="1860">
        <v>2993.8383699999999</v>
      </c>
      <c r="D270" s="1860">
        <v>3471.8837400000002</v>
      </c>
      <c r="E270" s="1860">
        <v>3924.2525799999999</v>
      </c>
      <c r="F270">
        <v>25.91441</v>
      </c>
      <c r="G270" s="1861">
        <v>2900.73</v>
      </c>
      <c r="I270">
        <v>0.81288000000000005</v>
      </c>
      <c r="J270">
        <v>1.0321</v>
      </c>
      <c r="K270">
        <v>1.1969000000000001</v>
      </c>
      <c r="L270">
        <v>1.3528500000000001</v>
      </c>
      <c r="M270">
        <v>8.9300000000000004E-3</v>
      </c>
      <c r="N270">
        <v>1</v>
      </c>
      <c r="P270">
        <v>1.2302</v>
      </c>
      <c r="Q270">
        <v>0.96889999999999998</v>
      </c>
      <c r="R270">
        <v>0.83548999999999995</v>
      </c>
      <c r="S270">
        <v>0.73917999999999995</v>
      </c>
      <c r="T270">
        <v>111.935</v>
      </c>
      <c r="U270">
        <v>1</v>
      </c>
    </row>
    <row r="271" spans="1:21" hidden="1" outlineLevel="1">
      <c r="A271" s="8">
        <v>43002</v>
      </c>
      <c r="B271" s="1860">
        <v>2357.9336699999999</v>
      </c>
      <c r="C271" s="1860">
        <v>2993.8383699999999</v>
      </c>
      <c r="D271" s="1860">
        <v>3471.8837400000002</v>
      </c>
      <c r="E271" s="1860">
        <v>3924.2525799999999</v>
      </c>
      <c r="F271">
        <v>25.91441</v>
      </c>
      <c r="G271" s="1861">
        <v>2900.73</v>
      </c>
      <c r="I271">
        <v>0.81288000000000005</v>
      </c>
      <c r="J271">
        <v>1.0321</v>
      </c>
      <c r="K271">
        <v>1.1969000000000001</v>
      </c>
      <c r="L271">
        <v>1.3528500000000001</v>
      </c>
      <c r="M271">
        <v>8.9300000000000004E-3</v>
      </c>
      <c r="N271">
        <v>1</v>
      </c>
      <c r="P271">
        <v>1.2302</v>
      </c>
      <c r="Q271">
        <v>0.96889999999999998</v>
      </c>
      <c r="R271">
        <v>0.83548999999999995</v>
      </c>
      <c r="S271">
        <v>0.73917999999999995</v>
      </c>
      <c r="T271">
        <v>111.935</v>
      </c>
      <c r="U271">
        <v>1</v>
      </c>
    </row>
    <row r="272" spans="1:21" hidden="1" outlineLevel="1">
      <c r="A272" s="8">
        <v>43003</v>
      </c>
      <c r="B272" s="1860">
        <v>2350.1012700000001</v>
      </c>
      <c r="C272" s="1860">
        <v>2993.3749499999999</v>
      </c>
      <c r="D272" s="1860">
        <v>3442.7314000000001</v>
      </c>
      <c r="E272" s="1860">
        <v>3912.2145500000001</v>
      </c>
      <c r="F272">
        <v>25.948029999999999</v>
      </c>
      <c r="G272" s="1861">
        <v>2900.73</v>
      </c>
      <c r="I272">
        <v>0.81018000000000001</v>
      </c>
      <c r="J272">
        <v>1.0319400000000001</v>
      </c>
      <c r="K272">
        <v>1.18685</v>
      </c>
      <c r="L272">
        <v>1.3487</v>
      </c>
      <c r="M272">
        <v>8.9499999999999996E-3</v>
      </c>
      <c r="N272">
        <v>1</v>
      </c>
      <c r="P272">
        <v>1.2343</v>
      </c>
      <c r="Q272">
        <v>0.96904999999999997</v>
      </c>
      <c r="R272">
        <v>0.84257000000000004</v>
      </c>
      <c r="S272">
        <v>0.74145000000000005</v>
      </c>
      <c r="T272">
        <v>111.79</v>
      </c>
      <c r="U272">
        <v>1</v>
      </c>
    </row>
    <row r="273" spans="1:21" hidden="1" outlineLevel="1">
      <c r="A273" s="8">
        <v>43004</v>
      </c>
      <c r="B273" s="1860">
        <v>2360.6182899999999</v>
      </c>
      <c r="C273" s="1860">
        <v>3012.8463999999999</v>
      </c>
      <c r="D273" s="1860">
        <v>3441.1952900000001</v>
      </c>
      <c r="E273" s="1860">
        <v>3924.1880299999998</v>
      </c>
      <c r="F273">
        <v>26.05059</v>
      </c>
      <c r="G273" s="1861">
        <v>2924.57</v>
      </c>
      <c r="I273">
        <v>0.80717000000000005</v>
      </c>
      <c r="J273">
        <v>1.0301800000000001</v>
      </c>
      <c r="K273">
        <v>1.17665</v>
      </c>
      <c r="L273">
        <v>1.3418000000000001</v>
      </c>
      <c r="M273">
        <v>8.9099999999999995E-3</v>
      </c>
      <c r="N273">
        <v>1</v>
      </c>
      <c r="P273">
        <v>1.2388999999999999</v>
      </c>
      <c r="Q273">
        <v>0.97070000000000001</v>
      </c>
      <c r="R273">
        <v>0.84987000000000001</v>
      </c>
      <c r="S273">
        <v>0.74526999999999999</v>
      </c>
      <c r="T273">
        <v>112.265</v>
      </c>
      <c r="U273">
        <v>1</v>
      </c>
    </row>
    <row r="274" spans="1:21" hidden="1" outlineLevel="1">
      <c r="A274" s="8">
        <v>43005</v>
      </c>
      <c r="B274" s="1860">
        <v>2369.5827899999999</v>
      </c>
      <c r="C274" s="1860">
        <v>3006.7713100000001</v>
      </c>
      <c r="D274" s="1860">
        <v>3438.1507099999999</v>
      </c>
      <c r="E274" s="1860">
        <v>3922.8884899999998</v>
      </c>
      <c r="F274">
        <v>26.017130000000002</v>
      </c>
      <c r="G274" s="1861">
        <v>2930.7</v>
      </c>
      <c r="I274">
        <v>0.80854000000000004</v>
      </c>
      <c r="J274">
        <v>1.02596</v>
      </c>
      <c r="K274">
        <v>1.1731499999999999</v>
      </c>
      <c r="L274">
        <v>1.3385499999999999</v>
      </c>
      <c r="M274">
        <v>8.8800000000000007E-3</v>
      </c>
      <c r="N274">
        <v>1</v>
      </c>
      <c r="P274">
        <v>1.2367999999999999</v>
      </c>
      <c r="Q274">
        <v>0.97470000000000001</v>
      </c>
      <c r="R274">
        <v>0.85241</v>
      </c>
      <c r="S274">
        <v>0.74707999999999997</v>
      </c>
      <c r="T274">
        <v>112.645</v>
      </c>
      <c r="U274">
        <v>1</v>
      </c>
    </row>
    <row r="275" spans="1:21" hidden="1" outlineLevel="1">
      <c r="A275" s="8">
        <v>43006</v>
      </c>
      <c r="B275" s="1860">
        <v>2359.0389500000001</v>
      </c>
      <c r="C275" s="1860">
        <v>3027.0832300000002</v>
      </c>
      <c r="D275" s="1860">
        <v>3465.7148400000001</v>
      </c>
      <c r="E275" s="1860">
        <v>3953.7173699999998</v>
      </c>
      <c r="F275">
        <v>26.08934</v>
      </c>
      <c r="G275" s="1861">
        <v>2940.66</v>
      </c>
      <c r="I275">
        <v>0.80220999999999998</v>
      </c>
      <c r="J275">
        <v>1.02939</v>
      </c>
      <c r="K275">
        <v>1.17855</v>
      </c>
      <c r="L275">
        <v>1.3445</v>
      </c>
      <c r="M275">
        <v>8.8699999999999994E-3</v>
      </c>
      <c r="N275">
        <v>1</v>
      </c>
      <c r="P275">
        <v>1.24655</v>
      </c>
      <c r="Q275">
        <v>0.97145000000000004</v>
      </c>
      <c r="R275">
        <v>0.84850000000000003</v>
      </c>
      <c r="S275">
        <v>0.74377000000000004</v>
      </c>
      <c r="T275">
        <v>112.715</v>
      </c>
      <c r="U275">
        <v>1</v>
      </c>
    </row>
    <row r="276" spans="1:21" hidden="1" outlineLevel="1">
      <c r="A276" s="8">
        <v>43007</v>
      </c>
      <c r="B276" s="1860">
        <v>2351.6331500000001</v>
      </c>
      <c r="C276" s="1860">
        <v>3039.5514699999999</v>
      </c>
      <c r="D276" s="1860">
        <v>3476.9329499999999</v>
      </c>
      <c r="E276" s="1860">
        <v>3945.8865700000001</v>
      </c>
      <c r="F276">
        <v>26.127749999999999</v>
      </c>
      <c r="G276" s="1861">
        <v>2941.07</v>
      </c>
      <c r="I276">
        <v>0.79957999999999996</v>
      </c>
      <c r="J276">
        <v>1.03348</v>
      </c>
      <c r="K276">
        <v>1.1821999999999999</v>
      </c>
      <c r="L276">
        <v>1.34165</v>
      </c>
      <c r="M276">
        <v>8.8800000000000007E-3</v>
      </c>
      <c r="N276">
        <v>1</v>
      </c>
      <c r="P276">
        <v>1.25065</v>
      </c>
      <c r="Q276">
        <v>0.96760000000000002</v>
      </c>
      <c r="R276">
        <v>0.84587999999999997</v>
      </c>
      <c r="S276">
        <v>0.74534999999999996</v>
      </c>
      <c r="T276">
        <v>112.565</v>
      </c>
      <c r="U276">
        <v>1</v>
      </c>
    </row>
    <row r="277" spans="1:21" hidden="1" outlineLevel="1">
      <c r="A277" s="8">
        <v>43008</v>
      </c>
      <c r="B277" s="1860">
        <v>2348.1149799999998</v>
      </c>
      <c r="C277" s="1860">
        <v>3035.0041299999998</v>
      </c>
      <c r="D277" s="1860">
        <v>3471.7312700000002</v>
      </c>
      <c r="E277" s="1860">
        <v>3939.9833100000001</v>
      </c>
      <c r="F277">
        <v>26.088660000000001</v>
      </c>
      <c r="G277" s="1861">
        <v>2936.67</v>
      </c>
      <c r="I277">
        <v>0.79957999999999996</v>
      </c>
      <c r="J277">
        <v>1.03348</v>
      </c>
      <c r="K277">
        <v>1.1821999999999999</v>
      </c>
      <c r="L277">
        <v>1.34165</v>
      </c>
      <c r="M277">
        <v>8.8800000000000007E-3</v>
      </c>
      <c r="N277">
        <v>1</v>
      </c>
      <c r="P277">
        <v>1.25065</v>
      </c>
      <c r="Q277">
        <v>0.96760000000000002</v>
      </c>
      <c r="R277">
        <v>0.84587999999999997</v>
      </c>
      <c r="S277">
        <v>0.74534999999999996</v>
      </c>
      <c r="T277">
        <v>112.565</v>
      </c>
      <c r="U277">
        <v>1</v>
      </c>
    </row>
    <row r="278" spans="1:21" hidden="1" outlineLevel="1">
      <c r="A278" s="8">
        <v>43009</v>
      </c>
      <c r="B278" s="1860">
        <v>2348.1149799999998</v>
      </c>
      <c r="C278" s="1860">
        <v>3035.0041299999998</v>
      </c>
      <c r="D278" s="1860">
        <v>3471.7312700000002</v>
      </c>
      <c r="E278" s="1860">
        <v>3939.9833100000001</v>
      </c>
      <c r="F278">
        <v>26.088660000000001</v>
      </c>
      <c r="G278" s="1861">
        <v>2936.67</v>
      </c>
      <c r="I278">
        <v>0.79957999999999996</v>
      </c>
      <c r="J278">
        <v>1.03348</v>
      </c>
      <c r="K278">
        <v>1.1821999999999999</v>
      </c>
      <c r="L278">
        <v>1.34165</v>
      </c>
      <c r="M278">
        <v>8.8800000000000007E-3</v>
      </c>
      <c r="N278">
        <v>1</v>
      </c>
      <c r="P278">
        <v>1.25065</v>
      </c>
      <c r="Q278">
        <v>0.96760000000000002</v>
      </c>
      <c r="R278">
        <v>0.84587999999999997</v>
      </c>
      <c r="S278">
        <v>0.74534999999999996</v>
      </c>
      <c r="T278">
        <v>112.565</v>
      </c>
      <c r="U278">
        <v>1</v>
      </c>
    </row>
    <row r="279" spans="1:21" hidden="1" outlineLevel="1">
      <c r="A279" s="8">
        <v>43010</v>
      </c>
      <c r="B279" s="1860">
        <v>2349.4299799999999</v>
      </c>
      <c r="C279" s="1860">
        <v>3016.7651099999998</v>
      </c>
      <c r="D279" s="1860">
        <v>3446.4759100000001</v>
      </c>
      <c r="E279" s="1860">
        <v>3898.1357600000001</v>
      </c>
      <c r="F279">
        <v>26.055099999999999</v>
      </c>
      <c r="G279" s="1861">
        <v>2936.67</v>
      </c>
      <c r="I279">
        <v>0.80003000000000002</v>
      </c>
      <c r="J279">
        <v>1.0272699999999999</v>
      </c>
      <c r="K279">
        <v>1.1736</v>
      </c>
      <c r="L279">
        <v>1.3273999999999999</v>
      </c>
      <c r="M279">
        <v>8.8699999999999994E-3</v>
      </c>
      <c r="N279">
        <v>1</v>
      </c>
      <c r="P279">
        <v>1.2499499999999999</v>
      </c>
      <c r="Q279">
        <v>0.97345000000000004</v>
      </c>
      <c r="R279">
        <v>0.85207999999999995</v>
      </c>
      <c r="S279">
        <v>0.75334999999999996</v>
      </c>
      <c r="T279">
        <v>112.71</v>
      </c>
      <c r="U279">
        <v>1</v>
      </c>
    </row>
    <row r="280" spans="1:21" hidden="1" outlineLevel="1">
      <c r="A280" s="8">
        <v>43011</v>
      </c>
      <c r="B280" s="1860">
        <v>2358.1434399999998</v>
      </c>
      <c r="C280" s="1860">
        <v>3028.68145</v>
      </c>
      <c r="D280" s="1860">
        <v>3466.7899499999999</v>
      </c>
      <c r="E280" s="1860">
        <v>3906.6825199999998</v>
      </c>
      <c r="F280">
        <v>26.15466</v>
      </c>
      <c r="G280" s="1861">
        <v>2949.33</v>
      </c>
      <c r="I280">
        <v>0.79954999999999998</v>
      </c>
      <c r="J280">
        <v>1.0268999999999999</v>
      </c>
      <c r="K280">
        <v>1.1754500000000001</v>
      </c>
      <c r="L280">
        <v>1.3246</v>
      </c>
      <c r="M280">
        <v>8.8699999999999994E-3</v>
      </c>
      <c r="N280">
        <v>1</v>
      </c>
      <c r="P280">
        <v>1.2506999999999999</v>
      </c>
      <c r="Q280">
        <v>0.9738</v>
      </c>
      <c r="R280">
        <v>0.85074000000000005</v>
      </c>
      <c r="S280">
        <v>0.75494000000000006</v>
      </c>
      <c r="T280">
        <v>112.765</v>
      </c>
      <c r="U280">
        <v>1</v>
      </c>
    </row>
    <row r="281" spans="1:21" hidden="1" outlineLevel="1">
      <c r="A281" s="8">
        <v>43012</v>
      </c>
      <c r="B281" s="1860">
        <v>2367.8784700000001</v>
      </c>
      <c r="C281" s="1860">
        <v>3032.0365400000001</v>
      </c>
      <c r="D281" s="1860">
        <v>3474.12363</v>
      </c>
      <c r="E281" s="1860">
        <v>3922.9550599999998</v>
      </c>
      <c r="F281">
        <v>26.203679999999999</v>
      </c>
      <c r="G281" s="1861">
        <v>2953.81</v>
      </c>
      <c r="I281">
        <v>0.80164000000000002</v>
      </c>
      <c r="J281">
        <v>1.0264800000000001</v>
      </c>
      <c r="K281">
        <v>1.17615</v>
      </c>
      <c r="L281">
        <v>1.3281000000000001</v>
      </c>
      <c r="M281">
        <v>8.8699999999999994E-3</v>
      </c>
      <c r="N281">
        <v>1</v>
      </c>
      <c r="P281">
        <v>1.2474499999999999</v>
      </c>
      <c r="Q281">
        <v>0.97419999999999995</v>
      </c>
      <c r="R281">
        <v>0.85023000000000004</v>
      </c>
      <c r="S281">
        <v>0.75295999999999996</v>
      </c>
      <c r="T281">
        <v>112.72499999999999</v>
      </c>
      <c r="U281">
        <v>1</v>
      </c>
    </row>
    <row r="282" spans="1:21" hidden="1" outlineLevel="1">
      <c r="A282" s="8">
        <v>43013</v>
      </c>
      <c r="B282" s="1860">
        <v>2351.3929899999998</v>
      </c>
      <c r="C282" s="1860">
        <v>3012.1587100000002</v>
      </c>
      <c r="D282" s="1860">
        <v>3450.61141</v>
      </c>
      <c r="E282" s="1860">
        <v>3870.3579800000002</v>
      </c>
      <c r="F282">
        <v>26.149319999999999</v>
      </c>
      <c r="G282" s="1861">
        <v>2945.59</v>
      </c>
      <c r="I282">
        <v>0.79827999999999999</v>
      </c>
      <c r="J282">
        <v>1.0226</v>
      </c>
      <c r="K282">
        <v>1.1714500000000001</v>
      </c>
      <c r="L282">
        <v>1.31395</v>
      </c>
      <c r="M282">
        <v>8.8800000000000007E-3</v>
      </c>
      <c r="N282">
        <v>1</v>
      </c>
      <c r="P282">
        <v>1.2526999999999999</v>
      </c>
      <c r="Q282">
        <v>0.97789999999999999</v>
      </c>
      <c r="R282">
        <v>0.85363999999999995</v>
      </c>
      <c r="S282">
        <v>0.76105999999999996</v>
      </c>
      <c r="T282">
        <v>112.645</v>
      </c>
      <c r="U282">
        <v>1</v>
      </c>
    </row>
    <row r="283" spans="1:21" hidden="1" outlineLevel="1">
      <c r="A283" s="8">
        <v>43014</v>
      </c>
      <c r="B283" s="1860">
        <v>2334.1733800000002</v>
      </c>
      <c r="C283" s="1860">
        <v>2992.5055000000002</v>
      </c>
      <c r="D283" s="1860">
        <v>3433.8915699999998</v>
      </c>
      <c r="E283" s="1860">
        <v>3821.6952200000001</v>
      </c>
      <c r="F283">
        <v>25.94584</v>
      </c>
      <c r="G283" s="1861">
        <v>2926.82</v>
      </c>
      <c r="I283">
        <v>0.79751000000000005</v>
      </c>
      <c r="J283">
        <v>1.02244</v>
      </c>
      <c r="K283">
        <v>1.1732499999999999</v>
      </c>
      <c r="L283">
        <v>1.30575</v>
      </c>
      <c r="M283">
        <v>8.8599999999999998E-3</v>
      </c>
      <c r="N283">
        <v>1</v>
      </c>
      <c r="P283">
        <v>1.2539</v>
      </c>
      <c r="Q283">
        <v>0.97804999999999997</v>
      </c>
      <c r="R283">
        <v>0.85233000000000003</v>
      </c>
      <c r="S283">
        <v>0.76583999999999997</v>
      </c>
      <c r="T283">
        <v>112.80500000000001</v>
      </c>
      <c r="U283">
        <v>1</v>
      </c>
    </row>
    <row r="284" spans="1:21" hidden="1" outlineLevel="1">
      <c r="A284" s="8">
        <v>43015</v>
      </c>
      <c r="B284" s="1860">
        <v>2346.4311299999999</v>
      </c>
      <c r="C284" s="1860">
        <v>3008.2204400000001</v>
      </c>
      <c r="D284" s="1860">
        <v>3451.9244199999998</v>
      </c>
      <c r="E284" s="1860">
        <v>3841.7645900000002</v>
      </c>
      <c r="F284">
        <v>26.082090000000001</v>
      </c>
      <c r="G284" s="1861">
        <v>2942.19</v>
      </c>
      <c r="I284">
        <v>0.79751000000000005</v>
      </c>
      <c r="J284">
        <v>1.02244</v>
      </c>
      <c r="K284">
        <v>1.1732499999999999</v>
      </c>
      <c r="L284">
        <v>1.30575</v>
      </c>
      <c r="M284">
        <v>8.8599999999999998E-3</v>
      </c>
      <c r="N284">
        <v>1</v>
      </c>
      <c r="P284">
        <v>1.2539</v>
      </c>
      <c r="Q284">
        <v>0.97804999999999997</v>
      </c>
      <c r="R284">
        <v>0.85233000000000003</v>
      </c>
      <c r="S284">
        <v>0.76583999999999997</v>
      </c>
      <c r="T284">
        <v>112.80500000000001</v>
      </c>
      <c r="U284">
        <v>1</v>
      </c>
    </row>
    <row r="285" spans="1:21" hidden="1" outlineLevel="1">
      <c r="A285" s="8">
        <v>43016</v>
      </c>
      <c r="B285" s="1860">
        <v>2346.4311299999999</v>
      </c>
      <c r="C285" s="1860">
        <v>3008.2204400000001</v>
      </c>
      <c r="D285" s="1860">
        <v>3451.9244199999998</v>
      </c>
      <c r="E285" s="1860">
        <v>3841.7645900000002</v>
      </c>
      <c r="F285">
        <v>26.082090000000001</v>
      </c>
      <c r="G285" s="1861">
        <v>2942.19</v>
      </c>
      <c r="I285">
        <v>0.79751000000000005</v>
      </c>
      <c r="J285">
        <v>1.02244</v>
      </c>
      <c r="K285">
        <v>1.1732499999999999</v>
      </c>
      <c r="L285">
        <v>1.30575</v>
      </c>
      <c r="M285">
        <v>8.8599999999999998E-3</v>
      </c>
      <c r="N285">
        <v>1</v>
      </c>
      <c r="P285">
        <v>1.2539</v>
      </c>
      <c r="Q285">
        <v>0.97804999999999997</v>
      </c>
      <c r="R285">
        <v>0.85233000000000003</v>
      </c>
      <c r="S285">
        <v>0.76583999999999997</v>
      </c>
      <c r="T285">
        <v>112.80500000000001</v>
      </c>
      <c r="U285">
        <v>1</v>
      </c>
    </row>
    <row r="286" spans="1:21" hidden="1" outlineLevel="1">
      <c r="A286" s="8">
        <v>43017</v>
      </c>
      <c r="B286" s="1860">
        <v>2344.0943299999999</v>
      </c>
      <c r="C286" s="1860">
        <v>3003.4605999999999</v>
      </c>
      <c r="D286" s="1860">
        <v>3453.3955099999998</v>
      </c>
      <c r="E286" s="1860">
        <v>3863.8310200000001</v>
      </c>
      <c r="F286">
        <v>26.11102</v>
      </c>
      <c r="G286" s="1861">
        <v>2942.19</v>
      </c>
      <c r="I286">
        <v>0.79671999999999998</v>
      </c>
      <c r="J286">
        <v>1.0208200000000001</v>
      </c>
      <c r="K286">
        <v>1.1737500000000001</v>
      </c>
      <c r="L286">
        <v>1.31325</v>
      </c>
      <c r="M286">
        <v>8.8699999999999994E-3</v>
      </c>
      <c r="N286">
        <v>1</v>
      </c>
      <c r="P286">
        <v>1.25515</v>
      </c>
      <c r="Q286">
        <v>0.97960000000000003</v>
      </c>
      <c r="R286">
        <v>0.85197000000000001</v>
      </c>
      <c r="S286">
        <v>0.76146999999999998</v>
      </c>
      <c r="T286">
        <v>112.68</v>
      </c>
      <c r="U286">
        <v>1</v>
      </c>
    </row>
    <row r="287" spans="1:21" hidden="1" outlineLevel="1">
      <c r="A287" s="8">
        <v>43018</v>
      </c>
      <c r="B287" s="1860">
        <v>2354.78811</v>
      </c>
      <c r="C287" s="1860">
        <v>3020.1088100000002</v>
      </c>
      <c r="D287" s="1860">
        <v>3476.6388099999999</v>
      </c>
      <c r="E287" s="1860">
        <v>3889.1338500000002</v>
      </c>
      <c r="F287">
        <v>26.26369</v>
      </c>
      <c r="G287" s="1861">
        <v>2942.19</v>
      </c>
      <c r="I287">
        <v>0.80035000000000001</v>
      </c>
      <c r="J287">
        <v>1.0264800000000001</v>
      </c>
      <c r="K287">
        <v>1.1816500000000001</v>
      </c>
      <c r="L287">
        <v>1.32185</v>
      </c>
      <c r="M287">
        <v>8.9300000000000004E-3</v>
      </c>
      <c r="N287">
        <v>1</v>
      </c>
      <c r="P287">
        <v>1.2494499999999999</v>
      </c>
      <c r="Q287">
        <v>0.97419999999999995</v>
      </c>
      <c r="R287">
        <v>0.84626999999999997</v>
      </c>
      <c r="S287">
        <v>0.75651999999999997</v>
      </c>
      <c r="T287">
        <v>112.02500000000001</v>
      </c>
      <c r="U287">
        <v>1</v>
      </c>
    </row>
    <row r="288" spans="1:21" hidden="1" outlineLevel="1">
      <c r="A288" s="8">
        <v>43019</v>
      </c>
      <c r="B288" s="1860">
        <v>2354.7281400000002</v>
      </c>
      <c r="C288" s="1860">
        <v>3030.2400899999998</v>
      </c>
      <c r="D288" s="1860">
        <v>3490.3505100000002</v>
      </c>
      <c r="E288" s="1860">
        <v>3886.87743</v>
      </c>
      <c r="F288">
        <v>26.249759999999998</v>
      </c>
      <c r="G288" s="1861">
        <v>2947.06</v>
      </c>
      <c r="I288">
        <v>0.79901</v>
      </c>
      <c r="J288">
        <v>1.0282199999999999</v>
      </c>
      <c r="K288">
        <v>1.18435</v>
      </c>
      <c r="L288">
        <v>1.3189</v>
      </c>
      <c r="M288">
        <v>8.9099999999999995E-3</v>
      </c>
      <c r="N288">
        <v>1</v>
      </c>
      <c r="P288">
        <v>1.2515499999999999</v>
      </c>
      <c r="Q288">
        <v>0.97255000000000003</v>
      </c>
      <c r="R288">
        <v>0.84433999999999998</v>
      </c>
      <c r="S288">
        <v>0.75821000000000005</v>
      </c>
      <c r="T288">
        <v>112.27</v>
      </c>
      <c r="U288">
        <v>1</v>
      </c>
    </row>
    <row r="289" spans="1:21" hidden="1" outlineLevel="1">
      <c r="A289" s="8">
        <v>43020</v>
      </c>
      <c r="B289" s="1860">
        <v>2367.7514999999999</v>
      </c>
      <c r="C289" s="1860">
        <v>3025.9386399999999</v>
      </c>
      <c r="D289" s="1860">
        <v>3499.0359400000002</v>
      </c>
      <c r="E289" s="1860">
        <v>3888.9335799999999</v>
      </c>
      <c r="F289">
        <v>26.302489999999999</v>
      </c>
      <c r="G289" s="1861">
        <v>2953.77</v>
      </c>
      <c r="I289">
        <v>0.80159999999999998</v>
      </c>
      <c r="J289">
        <v>1.02443</v>
      </c>
      <c r="K289">
        <v>1.1846000000000001</v>
      </c>
      <c r="L289">
        <v>1.3166</v>
      </c>
      <c r="M289">
        <v>8.8999999999999999E-3</v>
      </c>
      <c r="N289">
        <v>1</v>
      </c>
      <c r="P289">
        <v>1.2475000000000001</v>
      </c>
      <c r="Q289">
        <v>0.97614999999999996</v>
      </c>
      <c r="R289">
        <v>0.84416999999999998</v>
      </c>
      <c r="S289">
        <v>0.75953000000000004</v>
      </c>
      <c r="T289">
        <v>112.3</v>
      </c>
      <c r="U289">
        <v>1</v>
      </c>
    </row>
    <row r="290" spans="1:21" hidden="1" outlineLevel="1">
      <c r="A290" s="8">
        <v>43021</v>
      </c>
      <c r="B290" s="1860">
        <v>2363.43896</v>
      </c>
      <c r="C290" s="1860">
        <v>3027.1859599999998</v>
      </c>
      <c r="D290" s="1860">
        <v>3491.1055999999999</v>
      </c>
      <c r="E290" s="1860">
        <v>3924.5625399999999</v>
      </c>
      <c r="F290">
        <v>26.352989999999998</v>
      </c>
      <c r="G290" s="1861">
        <v>2949.69</v>
      </c>
      <c r="I290">
        <v>0.80125000000000002</v>
      </c>
      <c r="J290">
        <v>1.02627</v>
      </c>
      <c r="K290">
        <v>1.1835500000000001</v>
      </c>
      <c r="L290">
        <v>1.3305</v>
      </c>
      <c r="M290">
        <v>8.9300000000000004E-3</v>
      </c>
      <c r="N290">
        <v>1</v>
      </c>
      <c r="P290">
        <v>1.2480500000000001</v>
      </c>
      <c r="Q290">
        <v>0.97440000000000004</v>
      </c>
      <c r="R290">
        <v>0.84492</v>
      </c>
      <c r="S290">
        <v>0.75160000000000005</v>
      </c>
      <c r="T290">
        <v>111.93</v>
      </c>
      <c r="U290">
        <v>1</v>
      </c>
    </row>
    <row r="291" spans="1:21" hidden="1" outlineLevel="1">
      <c r="A291" s="8">
        <v>43022</v>
      </c>
      <c r="B291" s="1860">
        <v>2349.30492</v>
      </c>
      <c r="C291" s="1860">
        <v>3009.0825100000002</v>
      </c>
      <c r="D291" s="1860">
        <v>3470.2277800000002</v>
      </c>
      <c r="E291" s="1860">
        <v>3901.0925299999999</v>
      </c>
      <c r="F291">
        <v>26.19539</v>
      </c>
      <c r="G291" s="1861">
        <v>2932.05</v>
      </c>
      <c r="I291">
        <v>0.80125000000000002</v>
      </c>
      <c r="J291">
        <v>1.02627</v>
      </c>
      <c r="K291">
        <v>1.1835500000000001</v>
      </c>
      <c r="L291">
        <v>1.3305</v>
      </c>
      <c r="M291">
        <v>8.9300000000000004E-3</v>
      </c>
      <c r="N291">
        <v>1</v>
      </c>
      <c r="P291">
        <v>1.2480500000000001</v>
      </c>
      <c r="Q291">
        <v>0.97440000000000004</v>
      </c>
      <c r="R291">
        <v>0.84492</v>
      </c>
      <c r="S291">
        <v>0.75160000000000005</v>
      </c>
      <c r="T291">
        <v>111.93</v>
      </c>
      <c r="U291">
        <v>1</v>
      </c>
    </row>
    <row r="292" spans="1:21" hidden="1" outlineLevel="1">
      <c r="A292" s="8">
        <v>43023</v>
      </c>
      <c r="B292" s="1860">
        <v>2349.30492</v>
      </c>
      <c r="C292" s="1860">
        <v>3009.0825100000002</v>
      </c>
      <c r="D292" s="1860">
        <v>3470.2277800000002</v>
      </c>
      <c r="E292" s="1860">
        <v>3901.0925299999999</v>
      </c>
      <c r="F292">
        <v>26.19539</v>
      </c>
      <c r="G292" s="1861">
        <v>2932.05</v>
      </c>
      <c r="I292">
        <v>0.80125000000000002</v>
      </c>
      <c r="J292">
        <v>1.02627</v>
      </c>
      <c r="K292">
        <v>1.1835500000000001</v>
      </c>
      <c r="L292">
        <v>1.3305</v>
      </c>
      <c r="M292">
        <v>8.9300000000000004E-3</v>
      </c>
      <c r="N292">
        <v>1</v>
      </c>
      <c r="P292">
        <v>1.2480500000000001</v>
      </c>
      <c r="Q292">
        <v>0.97440000000000004</v>
      </c>
      <c r="R292">
        <v>0.84492</v>
      </c>
      <c r="S292">
        <v>0.75160000000000005</v>
      </c>
      <c r="T292">
        <v>111.93</v>
      </c>
      <c r="U292">
        <v>1</v>
      </c>
    </row>
    <row r="293" spans="1:21" hidden="1" outlineLevel="1">
      <c r="A293" s="8">
        <v>43024</v>
      </c>
      <c r="B293" s="1860">
        <v>2338.2511300000001</v>
      </c>
      <c r="C293" s="1860">
        <v>3006.7681899999998</v>
      </c>
      <c r="D293" s="1860">
        <v>3459.08599</v>
      </c>
      <c r="E293" s="1860">
        <v>3893.3225900000002</v>
      </c>
      <c r="F293">
        <v>26.250499999999999</v>
      </c>
      <c r="G293" s="1861">
        <v>2932.05</v>
      </c>
      <c r="I293">
        <v>0.79747999999999997</v>
      </c>
      <c r="J293">
        <v>1.0254799999999999</v>
      </c>
      <c r="K293">
        <v>1.1797500000000001</v>
      </c>
      <c r="L293">
        <v>1.32785</v>
      </c>
      <c r="M293">
        <v>8.9499999999999996E-3</v>
      </c>
      <c r="N293">
        <v>1</v>
      </c>
      <c r="P293">
        <v>1.2539499999999999</v>
      </c>
      <c r="Q293">
        <v>0.97514999999999996</v>
      </c>
      <c r="R293">
        <v>0.84763999999999995</v>
      </c>
      <c r="S293">
        <v>0.75309999999999999</v>
      </c>
      <c r="T293">
        <v>111.69499999999999</v>
      </c>
      <c r="U293">
        <v>1</v>
      </c>
    </row>
    <row r="294" spans="1:21" hidden="1" outlineLevel="1">
      <c r="A294" s="8">
        <v>43025</v>
      </c>
      <c r="B294" s="1860">
        <v>2331.8355299999998</v>
      </c>
      <c r="C294" s="1860">
        <v>2991.7351199999998</v>
      </c>
      <c r="D294" s="1860">
        <v>3445.7451599999999</v>
      </c>
      <c r="E294" s="1860">
        <v>3861.0700400000001</v>
      </c>
      <c r="F294">
        <v>26.100950000000001</v>
      </c>
      <c r="G294" s="1861">
        <v>2932.05</v>
      </c>
      <c r="I294">
        <v>0.79529000000000005</v>
      </c>
      <c r="J294">
        <v>1.0203599999999999</v>
      </c>
      <c r="K294">
        <v>1.1752</v>
      </c>
      <c r="L294">
        <v>1.3168500000000001</v>
      </c>
      <c r="M294">
        <v>8.8999999999999999E-3</v>
      </c>
      <c r="N294">
        <v>1</v>
      </c>
      <c r="P294">
        <v>1.2574000000000001</v>
      </c>
      <c r="Q294">
        <v>0.98004999999999998</v>
      </c>
      <c r="R294">
        <v>0.85092000000000001</v>
      </c>
      <c r="S294">
        <v>0.75939000000000001</v>
      </c>
      <c r="T294">
        <v>112.33499999999999</v>
      </c>
      <c r="U294">
        <v>1</v>
      </c>
    </row>
    <row r="295" spans="1:21" hidden="1" outlineLevel="1">
      <c r="A295" s="8">
        <v>43026</v>
      </c>
      <c r="B295" s="1860">
        <v>2359.5688399999999</v>
      </c>
      <c r="C295" s="1860">
        <v>2999.0017800000001</v>
      </c>
      <c r="D295" s="1860">
        <v>3467.3195700000001</v>
      </c>
      <c r="E295" s="1860">
        <v>3877.6035900000002</v>
      </c>
      <c r="F295">
        <v>26.060099999999998</v>
      </c>
      <c r="G295" s="1861">
        <v>2944.27</v>
      </c>
      <c r="I295">
        <v>0.80140999999999996</v>
      </c>
      <c r="J295">
        <v>1.0185900000000001</v>
      </c>
      <c r="K295">
        <v>1.1776500000000001</v>
      </c>
      <c r="L295">
        <v>1.3169999999999999</v>
      </c>
      <c r="M295">
        <v>8.8500000000000002E-3</v>
      </c>
      <c r="N295">
        <v>1</v>
      </c>
      <c r="P295">
        <v>1.2478</v>
      </c>
      <c r="Q295">
        <v>0.98175000000000001</v>
      </c>
      <c r="R295">
        <v>0.84914999999999996</v>
      </c>
      <c r="S295">
        <v>0.75929999999999997</v>
      </c>
      <c r="T295">
        <v>112.98</v>
      </c>
      <c r="U295">
        <v>1</v>
      </c>
    </row>
    <row r="296" spans="1:21" hidden="1" outlineLevel="1">
      <c r="A296" s="8">
        <v>43027</v>
      </c>
      <c r="B296" s="1860">
        <v>2355.9728700000001</v>
      </c>
      <c r="C296" s="1860">
        <v>3012.7873599999998</v>
      </c>
      <c r="D296" s="1860">
        <v>3479.78458</v>
      </c>
      <c r="E296" s="1860">
        <v>3876.2454600000001</v>
      </c>
      <c r="F296">
        <v>26.093599999999999</v>
      </c>
      <c r="G296" s="1861">
        <v>2935.66</v>
      </c>
      <c r="I296">
        <v>0.80254000000000003</v>
      </c>
      <c r="J296">
        <v>1.02627</v>
      </c>
      <c r="K296">
        <v>1.1853499999999999</v>
      </c>
      <c r="L296">
        <v>1.3204</v>
      </c>
      <c r="M296">
        <v>8.8900000000000003E-3</v>
      </c>
      <c r="N296">
        <v>1</v>
      </c>
      <c r="P296">
        <v>1.2460500000000001</v>
      </c>
      <c r="Q296">
        <v>0.97440000000000004</v>
      </c>
      <c r="R296">
        <v>0.84362999999999999</v>
      </c>
      <c r="S296">
        <v>0.75734999999999997</v>
      </c>
      <c r="T296">
        <v>112.505</v>
      </c>
      <c r="U296">
        <v>1</v>
      </c>
    </row>
    <row r="297" spans="1:21" hidden="1" outlineLevel="1">
      <c r="A297" s="8">
        <v>43028</v>
      </c>
      <c r="B297" s="1860">
        <v>2318.24818</v>
      </c>
      <c r="C297" s="1860">
        <v>2970.9405200000001</v>
      </c>
      <c r="D297" s="1860">
        <v>3444.0671000000002</v>
      </c>
      <c r="E297" s="1860">
        <v>3853.7202900000002</v>
      </c>
      <c r="F297">
        <v>25.759679999999999</v>
      </c>
      <c r="G297" s="1861">
        <v>2921.92</v>
      </c>
      <c r="I297">
        <v>0.79339999999999999</v>
      </c>
      <c r="J297">
        <v>1.01678</v>
      </c>
      <c r="K297">
        <v>1.1787000000000001</v>
      </c>
      <c r="L297">
        <v>1.3189</v>
      </c>
      <c r="M297">
        <v>8.8199999999999997E-3</v>
      </c>
      <c r="N297">
        <v>1</v>
      </c>
      <c r="P297">
        <v>1.2604</v>
      </c>
      <c r="Q297">
        <v>0.98350000000000004</v>
      </c>
      <c r="R297">
        <v>0.84838999999999998</v>
      </c>
      <c r="S297">
        <v>0.75821000000000005</v>
      </c>
      <c r="T297">
        <v>113.43</v>
      </c>
      <c r="U297">
        <v>1</v>
      </c>
    </row>
    <row r="298" spans="1:21" hidden="1" outlineLevel="1">
      <c r="A298" s="8">
        <v>43029</v>
      </c>
      <c r="B298" s="1860">
        <v>2329.9428800000001</v>
      </c>
      <c r="C298" s="1860">
        <v>2985.9278100000001</v>
      </c>
      <c r="D298" s="1860">
        <v>3461.4411399999999</v>
      </c>
      <c r="E298" s="1860">
        <v>3873.1608700000002</v>
      </c>
      <c r="F298">
        <v>25.889620000000001</v>
      </c>
      <c r="G298" s="1861">
        <v>2936.66</v>
      </c>
      <c r="I298">
        <v>0.79339999999999999</v>
      </c>
      <c r="J298">
        <v>1.01678</v>
      </c>
      <c r="K298">
        <v>1.1787000000000001</v>
      </c>
      <c r="L298">
        <v>1.3189</v>
      </c>
      <c r="M298">
        <v>8.8199999999999997E-3</v>
      </c>
      <c r="N298">
        <v>1</v>
      </c>
      <c r="P298">
        <v>1.2604</v>
      </c>
      <c r="Q298">
        <v>0.98350000000000004</v>
      </c>
      <c r="R298">
        <v>0.84838999999999998</v>
      </c>
      <c r="S298">
        <v>0.75821000000000005</v>
      </c>
      <c r="T298">
        <v>113.43</v>
      </c>
      <c r="U298">
        <v>1</v>
      </c>
    </row>
    <row r="299" spans="1:21" hidden="1" outlineLevel="1">
      <c r="A299" s="8">
        <v>43030</v>
      </c>
      <c r="B299" s="1860">
        <v>2329.9428800000001</v>
      </c>
      <c r="C299" s="1860">
        <v>2985.9278100000001</v>
      </c>
      <c r="D299" s="1860">
        <v>3461.4411399999999</v>
      </c>
      <c r="E299" s="1860">
        <v>3873.1608700000002</v>
      </c>
      <c r="F299">
        <v>25.889620000000001</v>
      </c>
      <c r="G299" s="1861">
        <v>2936.66</v>
      </c>
      <c r="I299">
        <v>0.79339999999999999</v>
      </c>
      <c r="J299">
        <v>1.01678</v>
      </c>
      <c r="K299">
        <v>1.1787000000000001</v>
      </c>
      <c r="L299">
        <v>1.3189</v>
      </c>
      <c r="M299">
        <v>8.8199999999999997E-3</v>
      </c>
      <c r="N299">
        <v>1</v>
      </c>
      <c r="P299">
        <v>1.2604</v>
      </c>
      <c r="Q299">
        <v>0.98350000000000004</v>
      </c>
      <c r="R299">
        <v>0.84838999999999998</v>
      </c>
      <c r="S299">
        <v>0.75821000000000005</v>
      </c>
      <c r="T299">
        <v>113.43</v>
      </c>
      <c r="U299">
        <v>1</v>
      </c>
    </row>
    <row r="300" spans="1:21" hidden="1" outlineLevel="1">
      <c r="A300" s="8">
        <v>43031</v>
      </c>
      <c r="B300" s="1860">
        <v>2322.3883000000001</v>
      </c>
      <c r="C300" s="1860">
        <v>2978.81016</v>
      </c>
      <c r="D300" s="1860">
        <v>3448.9603400000001</v>
      </c>
      <c r="E300" s="1860">
        <v>3872.27988</v>
      </c>
      <c r="F300">
        <v>25.827010000000001</v>
      </c>
      <c r="G300" s="1861">
        <v>2936.66</v>
      </c>
      <c r="I300">
        <v>0.79083000000000003</v>
      </c>
      <c r="J300">
        <v>1.0143500000000001</v>
      </c>
      <c r="K300">
        <v>1.17445</v>
      </c>
      <c r="L300">
        <v>1.3186</v>
      </c>
      <c r="M300">
        <v>8.7899999999999992E-3</v>
      </c>
      <c r="N300">
        <v>1</v>
      </c>
      <c r="P300">
        <v>1.2645</v>
      </c>
      <c r="Q300">
        <v>0.98585</v>
      </c>
      <c r="R300">
        <v>0.85145999999999999</v>
      </c>
      <c r="S300">
        <v>0.75838000000000005</v>
      </c>
      <c r="T300">
        <v>113.705</v>
      </c>
      <c r="U300">
        <v>1</v>
      </c>
    </row>
    <row r="301" spans="1:21" hidden="1" outlineLevel="1">
      <c r="A301" s="8">
        <v>43032</v>
      </c>
      <c r="B301" s="1860">
        <v>2326.14426</v>
      </c>
      <c r="C301" s="1860">
        <v>2978.06628</v>
      </c>
      <c r="D301" s="1860">
        <v>3466.7782099999999</v>
      </c>
      <c r="E301" s="1860">
        <v>3866.7797399999999</v>
      </c>
      <c r="F301">
        <v>25.86487</v>
      </c>
      <c r="G301" s="1861">
        <v>2947.69</v>
      </c>
      <c r="I301">
        <v>0.78913999999999995</v>
      </c>
      <c r="J301">
        <v>1.01031</v>
      </c>
      <c r="K301">
        <v>1.1760999999999999</v>
      </c>
      <c r="L301">
        <v>1.3118000000000001</v>
      </c>
      <c r="M301">
        <v>8.77E-3</v>
      </c>
      <c r="N301">
        <v>1</v>
      </c>
      <c r="P301">
        <v>1.2672000000000001</v>
      </c>
      <c r="Q301">
        <v>0.98980000000000001</v>
      </c>
      <c r="R301">
        <v>0.85026999999999997</v>
      </c>
      <c r="S301">
        <v>0.76231000000000004</v>
      </c>
      <c r="T301">
        <v>113.965</v>
      </c>
      <c r="U301">
        <v>1</v>
      </c>
    </row>
    <row r="302" spans="1:21" hidden="1" outlineLevel="1">
      <c r="A302" s="8">
        <v>43033</v>
      </c>
      <c r="B302" s="1860">
        <v>2323.82591</v>
      </c>
      <c r="C302" s="1860">
        <v>3001.2221599999998</v>
      </c>
      <c r="D302" s="1860">
        <v>3509.3247299999998</v>
      </c>
      <c r="E302" s="1860">
        <v>3937.4976999999999</v>
      </c>
      <c r="F302">
        <v>26.140229999999999</v>
      </c>
      <c r="G302" s="1861">
        <v>2971.36</v>
      </c>
      <c r="I302">
        <v>0.78207000000000004</v>
      </c>
      <c r="J302">
        <v>1.0100499999999999</v>
      </c>
      <c r="K302">
        <v>1.1810499999999999</v>
      </c>
      <c r="L302">
        <v>1.3251500000000001</v>
      </c>
      <c r="M302">
        <v>8.8000000000000005E-3</v>
      </c>
      <c r="N302">
        <v>1</v>
      </c>
      <c r="P302">
        <v>1.2786500000000001</v>
      </c>
      <c r="Q302">
        <v>0.99004999999999999</v>
      </c>
      <c r="R302">
        <v>0.84670000000000001</v>
      </c>
      <c r="S302">
        <v>0.75463000000000002</v>
      </c>
      <c r="T302">
        <v>113.67</v>
      </c>
      <c r="U302">
        <v>1</v>
      </c>
    </row>
    <row r="303" spans="1:21" hidden="1" outlineLevel="1">
      <c r="A303" s="8">
        <v>43034</v>
      </c>
      <c r="B303" s="1860">
        <v>2330.6357899999998</v>
      </c>
      <c r="C303" s="1860">
        <v>2999.8896100000002</v>
      </c>
      <c r="D303" s="1860">
        <v>3498.6325900000002</v>
      </c>
      <c r="E303" s="1860">
        <v>3936.5782199999999</v>
      </c>
      <c r="F303">
        <v>26.231919999999999</v>
      </c>
      <c r="G303" s="1861">
        <v>2989.39</v>
      </c>
      <c r="I303">
        <v>0.77964</v>
      </c>
      <c r="J303">
        <v>1.0035099999999999</v>
      </c>
      <c r="K303">
        <v>1.17035</v>
      </c>
      <c r="L303">
        <v>1.3168500000000001</v>
      </c>
      <c r="M303">
        <v>8.7799999999999996E-3</v>
      </c>
      <c r="N303">
        <v>1</v>
      </c>
      <c r="P303">
        <v>1.2826500000000001</v>
      </c>
      <c r="Q303">
        <v>0.99650000000000005</v>
      </c>
      <c r="R303">
        <v>0.85445000000000004</v>
      </c>
      <c r="S303">
        <v>0.75939000000000001</v>
      </c>
      <c r="T303">
        <v>113.96</v>
      </c>
      <c r="U303">
        <v>1</v>
      </c>
    </row>
    <row r="304" spans="1:21" hidden="1" outlineLevel="1">
      <c r="A304" s="8">
        <v>43035</v>
      </c>
      <c r="B304" s="1860">
        <v>2334.48423</v>
      </c>
      <c r="C304" s="1860">
        <v>3010.6063600000002</v>
      </c>
      <c r="D304" s="1860">
        <v>3484.9425999999999</v>
      </c>
      <c r="E304" s="1860">
        <v>3945.1385599999999</v>
      </c>
      <c r="F304">
        <v>26.431239999999999</v>
      </c>
      <c r="G304" s="1861">
        <v>3008.8</v>
      </c>
      <c r="I304">
        <v>0.77588999999999997</v>
      </c>
      <c r="J304">
        <v>1.0005999999999999</v>
      </c>
      <c r="K304">
        <v>1.15825</v>
      </c>
      <c r="L304">
        <v>1.3111999999999999</v>
      </c>
      <c r="M304">
        <v>8.7799999999999996E-3</v>
      </c>
      <c r="N304">
        <v>1</v>
      </c>
      <c r="P304">
        <v>1.2888500000000001</v>
      </c>
      <c r="Q304">
        <v>0.99939999999999996</v>
      </c>
      <c r="R304">
        <v>0.86336999999999997</v>
      </c>
      <c r="S304">
        <v>0.76266</v>
      </c>
      <c r="T304">
        <v>113.83499999999999</v>
      </c>
      <c r="U304">
        <v>1</v>
      </c>
    </row>
    <row r="305" spans="1:21" hidden="1" outlineLevel="1">
      <c r="A305" s="8">
        <v>43036</v>
      </c>
      <c r="B305" s="1860">
        <v>2335.29891</v>
      </c>
      <c r="C305" s="1860">
        <v>3011.65699</v>
      </c>
      <c r="D305" s="1860">
        <v>3486.1587599999998</v>
      </c>
      <c r="E305" s="1860">
        <v>3946.51532</v>
      </c>
      <c r="F305">
        <v>26.440460000000002</v>
      </c>
      <c r="G305" s="1861">
        <v>3009.85</v>
      </c>
      <c r="I305">
        <v>0.77588999999999997</v>
      </c>
      <c r="J305">
        <v>1.0005999999999999</v>
      </c>
      <c r="K305">
        <v>1.15825</v>
      </c>
      <c r="L305">
        <v>1.3111999999999999</v>
      </c>
      <c r="M305">
        <v>8.7799999999999996E-3</v>
      </c>
      <c r="N305">
        <v>1</v>
      </c>
      <c r="P305">
        <v>1.2888500000000001</v>
      </c>
      <c r="Q305">
        <v>0.99939999999999996</v>
      </c>
      <c r="R305">
        <v>0.86336999999999997</v>
      </c>
      <c r="S305">
        <v>0.76266</v>
      </c>
      <c r="T305">
        <v>113.83499999999999</v>
      </c>
      <c r="U305">
        <v>1</v>
      </c>
    </row>
    <row r="306" spans="1:21" hidden="1" outlineLevel="1">
      <c r="A306" s="8">
        <v>43037</v>
      </c>
      <c r="B306" s="1860">
        <v>2335.29891</v>
      </c>
      <c r="C306" s="1860">
        <v>3011.65699</v>
      </c>
      <c r="D306" s="1860">
        <v>3486.1587599999998</v>
      </c>
      <c r="E306" s="1860">
        <v>3946.51532</v>
      </c>
      <c r="F306">
        <v>26.440460000000002</v>
      </c>
      <c r="G306" s="1861">
        <v>3009.85</v>
      </c>
      <c r="I306">
        <v>0.77588999999999997</v>
      </c>
      <c r="J306">
        <v>1.0005999999999999</v>
      </c>
      <c r="K306">
        <v>1.15825</v>
      </c>
      <c r="L306">
        <v>1.3111999999999999</v>
      </c>
      <c r="M306">
        <v>8.7799999999999996E-3</v>
      </c>
      <c r="N306">
        <v>1</v>
      </c>
      <c r="P306">
        <v>1.2888500000000001</v>
      </c>
      <c r="Q306">
        <v>0.99939999999999996</v>
      </c>
      <c r="R306">
        <v>0.86336999999999997</v>
      </c>
      <c r="S306">
        <v>0.76266</v>
      </c>
      <c r="T306">
        <v>113.83499999999999</v>
      </c>
      <c r="U306">
        <v>1</v>
      </c>
    </row>
    <row r="307" spans="1:21" hidden="1" outlineLevel="1">
      <c r="A307" s="8">
        <v>43038</v>
      </c>
      <c r="B307" s="1860">
        <v>2345.1244700000002</v>
      </c>
      <c r="C307" s="1860">
        <v>3019.0581299999999</v>
      </c>
      <c r="D307" s="1860">
        <v>3499.70309</v>
      </c>
      <c r="E307" s="1860">
        <v>3971.3465799999999</v>
      </c>
      <c r="F307">
        <v>26.580559999999998</v>
      </c>
      <c r="G307" s="1861">
        <v>3009.85</v>
      </c>
      <c r="I307">
        <v>0.77915000000000001</v>
      </c>
      <c r="J307">
        <v>1.0030600000000001</v>
      </c>
      <c r="K307">
        <v>1.16275</v>
      </c>
      <c r="L307">
        <v>1.31945</v>
      </c>
      <c r="M307">
        <v>8.8299999999999993E-3</v>
      </c>
      <c r="N307">
        <v>1</v>
      </c>
      <c r="P307">
        <v>1.28345</v>
      </c>
      <c r="Q307">
        <v>0.99695</v>
      </c>
      <c r="R307">
        <v>0.86002999999999996</v>
      </c>
      <c r="S307">
        <v>0.75788999999999995</v>
      </c>
      <c r="T307">
        <v>113.235</v>
      </c>
      <c r="U307">
        <v>1</v>
      </c>
    </row>
    <row r="308" spans="1:21" hidden="1" outlineLevel="1">
      <c r="A308" s="8">
        <v>43039</v>
      </c>
      <c r="B308" s="1860">
        <v>2336.07944</v>
      </c>
      <c r="C308" s="1860">
        <v>3021.10754</v>
      </c>
      <c r="D308" s="1860">
        <v>3508.1770299999998</v>
      </c>
      <c r="E308" s="1860">
        <v>3999.0417499999999</v>
      </c>
      <c r="F308">
        <v>26.50216</v>
      </c>
      <c r="G308" s="1861">
        <v>3011.44</v>
      </c>
      <c r="I308">
        <v>0.77573999999999999</v>
      </c>
      <c r="J308">
        <v>1.0032099999999999</v>
      </c>
      <c r="K308">
        <v>1.1649499999999999</v>
      </c>
      <c r="L308">
        <v>1.32795</v>
      </c>
      <c r="M308">
        <v>8.8000000000000005E-3</v>
      </c>
      <c r="N308">
        <v>1</v>
      </c>
      <c r="P308">
        <v>1.2890999999999999</v>
      </c>
      <c r="Q308">
        <v>0.99680000000000002</v>
      </c>
      <c r="R308">
        <v>0.85841000000000001</v>
      </c>
      <c r="S308">
        <v>0.75304000000000004</v>
      </c>
      <c r="T308">
        <v>113.63</v>
      </c>
      <c r="U308">
        <v>1</v>
      </c>
    </row>
    <row r="309" spans="1:21" hidden="1" outlineLevel="1">
      <c r="A309" s="8">
        <v>43040</v>
      </c>
      <c r="B309" s="1860">
        <v>2357.5146399999999</v>
      </c>
      <c r="C309" s="1860">
        <v>3035.2441800000001</v>
      </c>
      <c r="D309" s="1860">
        <v>3530.4750600000002</v>
      </c>
      <c r="E309" s="1860">
        <v>4028.7502599999998</v>
      </c>
      <c r="F309">
        <v>26.647870000000001</v>
      </c>
      <c r="G309" s="1861">
        <v>3039.19</v>
      </c>
      <c r="I309">
        <v>0.77569999999999995</v>
      </c>
      <c r="J309">
        <v>0.99870000000000003</v>
      </c>
      <c r="K309">
        <v>1.1616500000000001</v>
      </c>
      <c r="L309">
        <v>1.3255999999999999</v>
      </c>
      <c r="M309">
        <v>8.77E-3</v>
      </c>
      <c r="N309">
        <v>1</v>
      </c>
      <c r="P309">
        <v>1.28915</v>
      </c>
      <c r="Q309">
        <v>1.0013000000000001</v>
      </c>
      <c r="R309">
        <v>0.86084000000000005</v>
      </c>
      <c r="S309">
        <v>0.75438000000000005</v>
      </c>
      <c r="T309">
        <v>114.05</v>
      </c>
      <c r="U309">
        <v>1</v>
      </c>
    </row>
    <row r="310" spans="1:21" hidden="1" outlineLevel="1">
      <c r="A310" s="8">
        <v>43041</v>
      </c>
      <c r="B310" s="1860">
        <v>2372.2996400000002</v>
      </c>
      <c r="C310" s="1860">
        <v>3045.8700899999999</v>
      </c>
      <c r="D310" s="1860">
        <v>3547.0630200000001</v>
      </c>
      <c r="E310" s="1860">
        <v>3970.4863500000001</v>
      </c>
      <c r="F310">
        <v>26.69032</v>
      </c>
      <c r="G310" s="1861">
        <v>3038.56</v>
      </c>
      <c r="I310">
        <v>0.78073000000000004</v>
      </c>
      <c r="J310">
        <v>1.00241</v>
      </c>
      <c r="K310">
        <v>1.1673500000000001</v>
      </c>
      <c r="L310">
        <v>1.3067</v>
      </c>
      <c r="M310">
        <v>8.7799999999999996E-3</v>
      </c>
      <c r="N310">
        <v>1</v>
      </c>
      <c r="P310">
        <v>1.28085</v>
      </c>
      <c r="Q310">
        <v>0.99760000000000004</v>
      </c>
      <c r="R310">
        <v>0.85663999999999996</v>
      </c>
      <c r="S310">
        <v>0.76529000000000003</v>
      </c>
      <c r="T310">
        <v>113.845</v>
      </c>
      <c r="U310">
        <v>1</v>
      </c>
    </row>
    <row r="311" spans="1:21" hidden="1" outlineLevel="1">
      <c r="A311" s="8">
        <v>43042</v>
      </c>
      <c r="B311" s="1860">
        <v>2391.6529599999999</v>
      </c>
      <c r="C311" s="1860">
        <v>3053.6165999999998</v>
      </c>
      <c r="D311" s="1860">
        <v>3548.4259699999998</v>
      </c>
      <c r="E311" s="1860">
        <v>3991.3110700000002</v>
      </c>
      <c r="F311">
        <v>26.73301</v>
      </c>
      <c r="G311" s="1861">
        <v>3054.38</v>
      </c>
      <c r="I311">
        <v>0.78302000000000005</v>
      </c>
      <c r="J311">
        <v>0.99975000000000003</v>
      </c>
      <c r="K311">
        <v>1.1617500000000001</v>
      </c>
      <c r="L311">
        <v>1.3067500000000001</v>
      </c>
      <c r="M311">
        <v>8.7500000000000008E-3</v>
      </c>
      <c r="N311">
        <v>1</v>
      </c>
      <c r="P311">
        <v>1.2770999999999999</v>
      </c>
      <c r="Q311">
        <v>1.0002500000000001</v>
      </c>
      <c r="R311">
        <v>0.86077000000000004</v>
      </c>
      <c r="S311">
        <v>0.76526000000000005</v>
      </c>
      <c r="T311">
        <v>114.255</v>
      </c>
      <c r="U311">
        <v>1</v>
      </c>
    </row>
    <row r="312" spans="1:21" hidden="1" outlineLevel="1">
      <c r="A312" s="8">
        <v>43043</v>
      </c>
      <c r="B312" s="1860">
        <v>2392.5847600000002</v>
      </c>
      <c r="C312" s="1860">
        <v>3054.8063000000002</v>
      </c>
      <c r="D312" s="1860">
        <v>3549.80845</v>
      </c>
      <c r="E312" s="1860">
        <v>3992.8661000000002</v>
      </c>
      <c r="F312">
        <v>26.74342</v>
      </c>
      <c r="G312" s="1861">
        <v>3055.57</v>
      </c>
      <c r="I312">
        <v>0.78302000000000005</v>
      </c>
      <c r="J312">
        <v>0.99975000000000003</v>
      </c>
      <c r="K312">
        <v>1.1617500000000001</v>
      </c>
      <c r="L312">
        <v>1.3067500000000001</v>
      </c>
      <c r="M312">
        <v>8.7500000000000008E-3</v>
      </c>
      <c r="N312">
        <v>1</v>
      </c>
      <c r="P312">
        <v>1.2770999999999999</v>
      </c>
      <c r="Q312">
        <v>1.0002500000000001</v>
      </c>
      <c r="R312">
        <v>0.86077000000000004</v>
      </c>
      <c r="S312">
        <v>0.76526000000000005</v>
      </c>
      <c r="T312">
        <v>114.255</v>
      </c>
      <c r="U312">
        <v>1</v>
      </c>
    </row>
    <row r="313" spans="1:21" hidden="1" outlineLevel="1">
      <c r="A313" s="8">
        <v>43044</v>
      </c>
      <c r="B313" s="1860">
        <v>2392.5847600000002</v>
      </c>
      <c r="C313" s="1860">
        <v>3054.8063000000002</v>
      </c>
      <c r="D313" s="1860">
        <v>3549.80845</v>
      </c>
      <c r="E313" s="1860">
        <v>3992.8661000000002</v>
      </c>
      <c r="F313">
        <v>26.74342</v>
      </c>
      <c r="G313" s="1861">
        <v>3055.57</v>
      </c>
      <c r="I313">
        <v>0.78302000000000005</v>
      </c>
      <c r="J313">
        <v>0.99975000000000003</v>
      </c>
      <c r="K313">
        <v>1.1617500000000001</v>
      </c>
      <c r="L313">
        <v>1.3067500000000001</v>
      </c>
      <c r="M313">
        <v>8.7500000000000008E-3</v>
      </c>
      <c r="N313">
        <v>1</v>
      </c>
      <c r="P313">
        <v>1.2770999999999999</v>
      </c>
      <c r="Q313">
        <v>1.0002500000000001</v>
      </c>
      <c r="R313">
        <v>0.86077000000000004</v>
      </c>
      <c r="S313">
        <v>0.76526000000000005</v>
      </c>
      <c r="T313">
        <v>114.255</v>
      </c>
      <c r="U313">
        <v>1</v>
      </c>
    </row>
    <row r="314" spans="1:21" hidden="1" outlineLevel="1">
      <c r="A314" s="8">
        <v>43045</v>
      </c>
      <c r="B314" s="1860">
        <v>2393.4281099999998</v>
      </c>
      <c r="C314" s="1860">
        <v>3053.8903599999999</v>
      </c>
      <c r="D314" s="1860">
        <v>3540.1833999999999</v>
      </c>
      <c r="E314" s="1860">
        <v>4009.5189500000001</v>
      </c>
      <c r="F314">
        <v>26.77272</v>
      </c>
      <c r="G314" s="1861">
        <v>3055.57</v>
      </c>
      <c r="I314">
        <v>0.7833</v>
      </c>
      <c r="J314">
        <v>0.99944999999999995</v>
      </c>
      <c r="K314">
        <v>1.1586000000000001</v>
      </c>
      <c r="L314">
        <v>1.3122</v>
      </c>
      <c r="M314">
        <v>8.7600000000000004E-3</v>
      </c>
      <c r="N314">
        <v>1</v>
      </c>
      <c r="P314">
        <v>1.2766500000000001</v>
      </c>
      <c r="Q314">
        <v>1.0005500000000001</v>
      </c>
      <c r="R314">
        <v>0.86311000000000004</v>
      </c>
      <c r="S314">
        <v>0.76207999999999998</v>
      </c>
      <c r="T314">
        <v>114.13</v>
      </c>
      <c r="U314">
        <v>1</v>
      </c>
    </row>
    <row r="315" spans="1:21" hidden="1" outlineLevel="1">
      <c r="A315" s="8">
        <v>43046</v>
      </c>
      <c r="B315" s="1860">
        <v>2387.53712</v>
      </c>
      <c r="C315" s="1860">
        <v>3058.78172</v>
      </c>
      <c r="D315" s="1860">
        <v>3537.2806099999998</v>
      </c>
      <c r="E315" s="1860">
        <v>4014.8661999999999</v>
      </c>
      <c r="F315">
        <v>26.792670000000001</v>
      </c>
      <c r="G315" s="1861">
        <v>3055.57</v>
      </c>
      <c r="I315">
        <v>0.78137000000000001</v>
      </c>
      <c r="J315">
        <v>1.00105</v>
      </c>
      <c r="K315">
        <v>1.1576500000000001</v>
      </c>
      <c r="L315">
        <v>1.31395</v>
      </c>
      <c r="M315">
        <v>8.77E-3</v>
      </c>
      <c r="N315">
        <v>1</v>
      </c>
      <c r="P315">
        <v>1.2798</v>
      </c>
      <c r="Q315">
        <v>0.99895</v>
      </c>
      <c r="R315">
        <v>0.86382000000000003</v>
      </c>
      <c r="S315">
        <v>0.76105999999999996</v>
      </c>
      <c r="T315">
        <v>114.045</v>
      </c>
      <c r="U315">
        <v>1</v>
      </c>
    </row>
    <row r="316" spans="1:21" hidden="1" outlineLevel="1">
      <c r="A316" s="8">
        <v>43047</v>
      </c>
      <c r="B316" s="1860">
        <v>2375.9340699999998</v>
      </c>
      <c r="C316" s="1860">
        <v>3026.94</v>
      </c>
      <c r="D316" s="1860">
        <v>3506.8613399999999</v>
      </c>
      <c r="E316" s="1860">
        <v>3965.4427500000002</v>
      </c>
      <c r="F316">
        <v>26.638559999999998</v>
      </c>
      <c r="G316" s="1861">
        <v>3026.94</v>
      </c>
      <c r="I316">
        <v>0.78493000000000002</v>
      </c>
      <c r="J316">
        <v>1</v>
      </c>
      <c r="K316">
        <v>1.15855</v>
      </c>
      <c r="L316">
        <v>1.3100499999999999</v>
      </c>
      <c r="M316">
        <v>8.8000000000000005E-3</v>
      </c>
      <c r="N316">
        <v>1</v>
      </c>
      <c r="P316">
        <v>1.274</v>
      </c>
      <c r="Q316">
        <v>1</v>
      </c>
      <c r="R316">
        <v>0.86314999999999997</v>
      </c>
      <c r="S316">
        <v>0.76332999999999995</v>
      </c>
      <c r="T316">
        <v>113.63</v>
      </c>
      <c r="U316">
        <v>1</v>
      </c>
    </row>
    <row r="317" spans="1:21" hidden="1" outlineLevel="1">
      <c r="A317" s="8">
        <v>43048</v>
      </c>
      <c r="B317" s="1860">
        <v>2376.4854099999998</v>
      </c>
      <c r="C317" s="1860">
        <v>3023.0703699999999</v>
      </c>
      <c r="D317" s="1860">
        <v>3508.1692499999999</v>
      </c>
      <c r="E317" s="1860">
        <v>3958.7238000000002</v>
      </c>
      <c r="F317">
        <v>26.547440000000002</v>
      </c>
      <c r="G317" s="1861">
        <v>3017.78</v>
      </c>
      <c r="I317">
        <v>0.78749000000000002</v>
      </c>
      <c r="J317">
        <v>1.0017499999999999</v>
      </c>
      <c r="K317">
        <v>1.1625000000000001</v>
      </c>
      <c r="L317">
        <v>1.3118000000000001</v>
      </c>
      <c r="M317">
        <v>8.8000000000000005E-3</v>
      </c>
      <c r="N317">
        <v>1</v>
      </c>
      <c r="P317">
        <v>1.2698499999999999</v>
      </c>
      <c r="Q317">
        <v>0.99824999999999997</v>
      </c>
      <c r="R317">
        <v>0.86021999999999998</v>
      </c>
      <c r="S317">
        <v>0.76231000000000004</v>
      </c>
      <c r="T317">
        <v>113.675</v>
      </c>
      <c r="U317">
        <v>1</v>
      </c>
    </row>
    <row r="318" spans="1:21" hidden="1" outlineLevel="1">
      <c r="A318" s="8">
        <v>43049</v>
      </c>
      <c r="B318" s="1860">
        <v>2379.2962000000002</v>
      </c>
      <c r="C318" s="1860">
        <v>3031.5874100000001</v>
      </c>
      <c r="D318" s="1860">
        <v>3516.8501999999999</v>
      </c>
      <c r="E318" s="1860">
        <v>3986.66822</v>
      </c>
      <c r="F318">
        <v>26.617709999999999</v>
      </c>
      <c r="G318" s="1861">
        <v>3015.52</v>
      </c>
      <c r="I318">
        <v>0.78902000000000005</v>
      </c>
      <c r="J318">
        <v>1.0053300000000001</v>
      </c>
      <c r="K318">
        <v>1.16625</v>
      </c>
      <c r="L318">
        <v>1.3220499999999999</v>
      </c>
      <c r="M318">
        <v>8.8299999999999993E-3</v>
      </c>
      <c r="N318">
        <v>1</v>
      </c>
      <c r="P318">
        <v>1.2674000000000001</v>
      </c>
      <c r="Q318">
        <v>0.99470000000000003</v>
      </c>
      <c r="R318">
        <v>0.85745000000000005</v>
      </c>
      <c r="S318">
        <v>0.75639999999999996</v>
      </c>
      <c r="T318">
        <v>113.29</v>
      </c>
      <c r="U318">
        <v>1</v>
      </c>
    </row>
    <row r="319" spans="1:21" hidden="1" outlineLevel="1">
      <c r="A319" s="8">
        <v>43050</v>
      </c>
      <c r="B319" s="1860">
        <v>2370.9010600000001</v>
      </c>
      <c r="C319" s="1860">
        <v>3020.8907199999999</v>
      </c>
      <c r="D319" s="1860">
        <v>3504.4413</v>
      </c>
      <c r="E319" s="1860">
        <v>3972.6016</v>
      </c>
      <c r="F319">
        <v>26.523790000000002</v>
      </c>
      <c r="G319" s="1861">
        <v>3004.88</v>
      </c>
      <c r="I319">
        <v>0.78902000000000005</v>
      </c>
      <c r="J319">
        <v>1.0053300000000001</v>
      </c>
      <c r="K319">
        <v>1.16625</v>
      </c>
      <c r="L319">
        <v>1.3220499999999999</v>
      </c>
      <c r="M319">
        <v>8.8299999999999993E-3</v>
      </c>
      <c r="N319">
        <v>1</v>
      </c>
      <c r="P319">
        <v>1.2674000000000001</v>
      </c>
      <c r="Q319">
        <v>0.99470000000000003</v>
      </c>
      <c r="R319">
        <v>0.85745000000000005</v>
      </c>
      <c r="S319">
        <v>0.75639999999999996</v>
      </c>
      <c r="T319">
        <v>113.29</v>
      </c>
      <c r="U319">
        <v>1</v>
      </c>
    </row>
    <row r="320" spans="1:21" hidden="1" outlineLevel="1">
      <c r="A320" s="8">
        <v>43051</v>
      </c>
      <c r="B320" s="1860">
        <v>2370.9010600000001</v>
      </c>
      <c r="C320" s="1860">
        <v>3020.8907199999999</v>
      </c>
      <c r="D320" s="1860">
        <v>3504.4413</v>
      </c>
      <c r="E320" s="1860">
        <v>3972.6016</v>
      </c>
      <c r="F320">
        <v>26.523790000000002</v>
      </c>
      <c r="G320" s="1861">
        <v>3004.88</v>
      </c>
      <c r="I320">
        <v>0.78902000000000005</v>
      </c>
      <c r="J320">
        <v>1.0053300000000001</v>
      </c>
      <c r="K320">
        <v>1.16625</v>
      </c>
      <c r="L320">
        <v>1.3220499999999999</v>
      </c>
      <c r="M320">
        <v>8.8299999999999993E-3</v>
      </c>
      <c r="N320">
        <v>1</v>
      </c>
      <c r="P320">
        <v>1.2674000000000001</v>
      </c>
      <c r="Q320">
        <v>0.99470000000000003</v>
      </c>
      <c r="R320">
        <v>0.85745000000000005</v>
      </c>
      <c r="S320">
        <v>0.75639999999999996</v>
      </c>
      <c r="T320">
        <v>113.29</v>
      </c>
      <c r="U320">
        <v>1</v>
      </c>
    </row>
    <row r="321" spans="1:21" hidden="1" outlineLevel="1">
      <c r="A321" s="8">
        <v>43052</v>
      </c>
      <c r="B321" s="1860">
        <v>2361.9556699999998</v>
      </c>
      <c r="C321" s="1860">
        <v>3018.46308</v>
      </c>
      <c r="D321" s="1860">
        <v>3505.0422800000001</v>
      </c>
      <c r="E321" s="1860">
        <v>3939.6981700000001</v>
      </c>
      <c r="F321">
        <v>26.474710000000002</v>
      </c>
      <c r="G321" s="1861">
        <v>3004.88</v>
      </c>
      <c r="I321">
        <v>0.78603999999999996</v>
      </c>
      <c r="J321">
        <v>1.0045200000000001</v>
      </c>
      <c r="K321">
        <v>1.16645</v>
      </c>
      <c r="L321">
        <v>1.3110999999999999</v>
      </c>
      <c r="M321">
        <v>8.8100000000000001E-3</v>
      </c>
      <c r="N321">
        <v>1</v>
      </c>
      <c r="P321">
        <v>1.2722</v>
      </c>
      <c r="Q321">
        <v>0.99550000000000005</v>
      </c>
      <c r="R321">
        <v>0.85729999999999995</v>
      </c>
      <c r="S321">
        <v>0.76271999999999995</v>
      </c>
      <c r="T321">
        <v>113.5</v>
      </c>
      <c r="U321">
        <v>1</v>
      </c>
    </row>
    <row r="322" spans="1:21" hidden="1" outlineLevel="1">
      <c r="A322" s="8">
        <v>43053</v>
      </c>
      <c r="B322" s="1860">
        <v>2354.0914299999999</v>
      </c>
      <c r="C322" s="1860">
        <v>3029.8764799999999</v>
      </c>
      <c r="D322" s="1860">
        <v>3532.0862000000002</v>
      </c>
      <c r="E322" s="1860">
        <v>3941.6513399999999</v>
      </c>
      <c r="F322">
        <v>26.485209999999999</v>
      </c>
      <c r="G322" s="1861">
        <v>3004.88</v>
      </c>
      <c r="I322">
        <v>0.78342000000000001</v>
      </c>
      <c r="J322">
        <v>1.0083200000000001</v>
      </c>
      <c r="K322">
        <v>1.1754500000000001</v>
      </c>
      <c r="L322">
        <v>1.31175</v>
      </c>
      <c r="M322">
        <v>8.8100000000000001E-3</v>
      </c>
      <c r="N322">
        <v>1</v>
      </c>
      <c r="P322">
        <v>1.2764500000000001</v>
      </c>
      <c r="Q322">
        <v>0.99175000000000002</v>
      </c>
      <c r="R322">
        <v>0.85074000000000005</v>
      </c>
      <c r="S322">
        <v>0.76234000000000002</v>
      </c>
      <c r="T322">
        <v>113.455</v>
      </c>
      <c r="U322">
        <v>1</v>
      </c>
    </row>
    <row r="323" spans="1:21" hidden="1" outlineLevel="1">
      <c r="A323" s="8">
        <v>43054</v>
      </c>
      <c r="B323" s="1860">
        <v>2361.4090000000001</v>
      </c>
      <c r="C323" s="1860">
        <v>3048.0953800000002</v>
      </c>
      <c r="D323" s="1860">
        <v>3560.00767</v>
      </c>
      <c r="E323" s="1860">
        <v>3970.7313800000002</v>
      </c>
      <c r="F323">
        <v>26.677569999999999</v>
      </c>
      <c r="G323" s="1861">
        <v>3016.7</v>
      </c>
      <c r="I323">
        <v>0.78278000000000003</v>
      </c>
      <c r="J323">
        <v>1.01041</v>
      </c>
      <c r="K323">
        <v>1.1800999999999999</v>
      </c>
      <c r="L323">
        <v>1.3162499999999999</v>
      </c>
      <c r="M323">
        <v>8.8400000000000006E-3</v>
      </c>
      <c r="N323">
        <v>1</v>
      </c>
      <c r="P323">
        <v>1.2775000000000001</v>
      </c>
      <c r="Q323">
        <v>0.98970000000000002</v>
      </c>
      <c r="R323">
        <v>0.84738999999999998</v>
      </c>
      <c r="S323">
        <v>0.75973000000000002</v>
      </c>
      <c r="T323">
        <v>113.08</v>
      </c>
      <c r="U323">
        <v>1</v>
      </c>
    </row>
    <row r="324" spans="1:21" hidden="1" outlineLevel="1">
      <c r="A324" s="8">
        <v>43055</v>
      </c>
      <c r="B324" s="1860">
        <v>2374.3708499999998</v>
      </c>
      <c r="C324" s="1860">
        <v>3044.4299000000001</v>
      </c>
      <c r="D324" s="1860">
        <v>3559.8627299999998</v>
      </c>
      <c r="E324" s="1860">
        <v>3989.8584700000001</v>
      </c>
      <c r="F324">
        <v>26.806260000000002</v>
      </c>
      <c r="G324" s="1861">
        <v>3023.88</v>
      </c>
      <c r="I324">
        <v>0.78520999999999996</v>
      </c>
      <c r="J324">
        <v>1.0067999999999999</v>
      </c>
      <c r="K324">
        <v>1.1772499999999999</v>
      </c>
      <c r="L324">
        <v>1.31945</v>
      </c>
      <c r="M324">
        <v>8.8599999999999998E-3</v>
      </c>
      <c r="N324">
        <v>1</v>
      </c>
      <c r="P324">
        <v>1.27355</v>
      </c>
      <c r="Q324">
        <v>0.99324999999999997</v>
      </c>
      <c r="R324">
        <v>0.84943999999999997</v>
      </c>
      <c r="S324">
        <v>0.75788999999999995</v>
      </c>
      <c r="T324">
        <v>112.80500000000001</v>
      </c>
      <c r="U324">
        <v>1</v>
      </c>
    </row>
    <row r="325" spans="1:21" hidden="1" outlineLevel="1">
      <c r="A325" s="8">
        <v>43056</v>
      </c>
      <c r="B325" s="1860">
        <v>2353.8791799999999</v>
      </c>
      <c r="C325" s="1860">
        <v>3043.3321599999999</v>
      </c>
      <c r="D325" s="1860">
        <v>3553.2037799999998</v>
      </c>
      <c r="E325" s="1860">
        <v>3981.5967500000002</v>
      </c>
      <c r="F325">
        <v>26.869119999999999</v>
      </c>
      <c r="G325" s="1861">
        <v>3015.79</v>
      </c>
      <c r="I325">
        <v>0.78051999999999999</v>
      </c>
      <c r="J325">
        <v>1.0091300000000001</v>
      </c>
      <c r="K325">
        <v>1.1781999999999999</v>
      </c>
      <c r="L325">
        <v>1.3202499999999999</v>
      </c>
      <c r="M325">
        <v>8.9099999999999995E-3</v>
      </c>
      <c r="N325">
        <v>1</v>
      </c>
      <c r="P325">
        <v>1.2811999999999999</v>
      </c>
      <c r="Q325">
        <v>0.99095</v>
      </c>
      <c r="R325">
        <v>0.84875</v>
      </c>
      <c r="S325">
        <v>0.75743000000000005</v>
      </c>
      <c r="T325">
        <v>112.24</v>
      </c>
      <c r="U325">
        <v>1</v>
      </c>
    </row>
    <row r="326" spans="1:21" hidden="1" outlineLevel="1">
      <c r="A326" s="8">
        <v>43057</v>
      </c>
      <c r="B326" s="1860">
        <v>2344.0446499999998</v>
      </c>
      <c r="C326" s="1860">
        <v>3030.61708</v>
      </c>
      <c r="D326" s="1860">
        <v>3538.3584599999999</v>
      </c>
      <c r="E326" s="1860">
        <v>3964.9616000000001</v>
      </c>
      <c r="F326">
        <v>26.75686</v>
      </c>
      <c r="G326" s="1861">
        <v>3003.19</v>
      </c>
      <c r="I326">
        <v>0.78051999999999999</v>
      </c>
      <c r="J326">
        <v>1.0091300000000001</v>
      </c>
      <c r="K326">
        <v>1.1781999999999999</v>
      </c>
      <c r="L326">
        <v>1.3202499999999999</v>
      </c>
      <c r="M326">
        <v>8.9099999999999995E-3</v>
      </c>
      <c r="N326">
        <v>1</v>
      </c>
      <c r="P326">
        <v>1.2811999999999999</v>
      </c>
      <c r="Q326">
        <v>0.99095</v>
      </c>
      <c r="R326">
        <v>0.84875</v>
      </c>
      <c r="S326">
        <v>0.75743000000000005</v>
      </c>
      <c r="T326">
        <v>112.24</v>
      </c>
      <c r="U326">
        <v>1</v>
      </c>
    </row>
    <row r="327" spans="1:21" hidden="1" outlineLevel="1">
      <c r="A327" s="8">
        <v>43058</v>
      </c>
      <c r="B327" s="1860">
        <v>2344.0446499999998</v>
      </c>
      <c r="C327" s="1860">
        <v>3030.61708</v>
      </c>
      <c r="D327" s="1860">
        <v>3538.3584599999999</v>
      </c>
      <c r="E327" s="1860">
        <v>3964.9616000000001</v>
      </c>
      <c r="F327">
        <v>26.75686</v>
      </c>
      <c r="G327" s="1861">
        <v>3003.19</v>
      </c>
      <c r="I327">
        <v>0.78051999999999999</v>
      </c>
      <c r="J327">
        <v>1.0091300000000001</v>
      </c>
      <c r="K327">
        <v>1.1781999999999999</v>
      </c>
      <c r="L327">
        <v>1.3202499999999999</v>
      </c>
      <c r="M327">
        <v>8.9099999999999995E-3</v>
      </c>
      <c r="N327">
        <v>1</v>
      </c>
      <c r="P327">
        <v>1.2811999999999999</v>
      </c>
      <c r="Q327">
        <v>0.99095</v>
      </c>
      <c r="R327">
        <v>0.84875</v>
      </c>
      <c r="S327">
        <v>0.75743000000000005</v>
      </c>
      <c r="T327">
        <v>112.24</v>
      </c>
      <c r="U327">
        <v>1</v>
      </c>
    </row>
    <row r="328" spans="1:21" hidden="1" outlineLevel="1">
      <c r="A328" s="8">
        <v>43059</v>
      </c>
      <c r="B328" s="1860">
        <v>2346.3338399999998</v>
      </c>
      <c r="C328" s="1860">
        <v>3030.3112900000001</v>
      </c>
      <c r="D328" s="1860">
        <v>3528.2977700000001</v>
      </c>
      <c r="E328" s="1860">
        <v>3983.1309000000001</v>
      </c>
      <c r="F328">
        <v>26.717580000000002</v>
      </c>
      <c r="G328" s="1861">
        <v>3003.19</v>
      </c>
      <c r="I328">
        <v>0.78127999999999997</v>
      </c>
      <c r="J328">
        <v>1.0090300000000001</v>
      </c>
      <c r="K328">
        <v>1.1748499999999999</v>
      </c>
      <c r="L328">
        <v>1.3263</v>
      </c>
      <c r="M328">
        <v>8.8999999999999999E-3</v>
      </c>
      <c r="N328">
        <v>1</v>
      </c>
      <c r="P328">
        <v>1.2799499999999999</v>
      </c>
      <c r="Q328">
        <v>0.99104999999999999</v>
      </c>
      <c r="R328">
        <v>0.85116999999999998</v>
      </c>
      <c r="S328">
        <v>0.75397999999999998</v>
      </c>
      <c r="T328">
        <v>112.405</v>
      </c>
      <c r="U328">
        <v>1</v>
      </c>
    </row>
    <row r="329" spans="1:21" hidden="1" outlineLevel="1">
      <c r="A329" s="8">
        <v>43060</v>
      </c>
      <c r="B329" s="1860">
        <v>2359.4139300000002</v>
      </c>
      <c r="C329" s="1860">
        <v>3034.5341899999999</v>
      </c>
      <c r="D329" s="1860">
        <v>3530.9232699999998</v>
      </c>
      <c r="E329" s="1860">
        <v>3983.6752299999998</v>
      </c>
      <c r="F329">
        <v>26.777999999999999</v>
      </c>
      <c r="G329" s="1861">
        <v>3011.32</v>
      </c>
      <c r="I329">
        <v>0.78351000000000004</v>
      </c>
      <c r="J329">
        <v>1.0077100000000001</v>
      </c>
      <c r="K329">
        <v>1.17255</v>
      </c>
      <c r="L329">
        <v>1.3229</v>
      </c>
      <c r="M329">
        <v>8.8900000000000003E-3</v>
      </c>
      <c r="N329">
        <v>1</v>
      </c>
      <c r="P329">
        <v>1.2763</v>
      </c>
      <c r="Q329">
        <v>0.99234999999999995</v>
      </c>
      <c r="R329">
        <v>0.85284000000000004</v>
      </c>
      <c r="S329">
        <v>0.75592000000000004</v>
      </c>
      <c r="T329">
        <v>112.455</v>
      </c>
      <c r="U329">
        <v>1</v>
      </c>
    </row>
    <row r="330" spans="1:21" hidden="1" outlineLevel="1">
      <c r="A330" s="8">
        <v>43061</v>
      </c>
      <c r="B330" s="1860">
        <v>2358.2193900000002</v>
      </c>
      <c r="C330" s="1860">
        <v>3052.0390499999999</v>
      </c>
      <c r="D330" s="1860">
        <v>3537.2111599999998</v>
      </c>
      <c r="E330" s="1860">
        <v>3986.4713299999999</v>
      </c>
      <c r="F330">
        <v>26.886489999999998</v>
      </c>
      <c r="G330" s="1861">
        <v>3001.07</v>
      </c>
      <c r="I330">
        <v>0.78578999999999999</v>
      </c>
      <c r="J330">
        <v>1.01698</v>
      </c>
      <c r="K330">
        <v>1.17865</v>
      </c>
      <c r="L330">
        <v>1.3283499999999999</v>
      </c>
      <c r="M330">
        <v>8.9599999999999992E-3</v>
      </c>
      <c r="N330">
        <v>1</v>
      </c>
      <c r="P330">
        <v>1.2726</v>
      </c>
      <c r="Q330">
        <v>0.98329999999999995</v>
      </c>
      <c r="R330">
        <v>0.84843000000000002</v>
      </c>
      <c r="S330">
        <v>0.75280999999999998</v>
      </c>
      <c r="T330">
        <v>111.62</v>
      </c>
      <c r="U330">
        <v>1</v>
      </c>
    </row>
    <row r="331" spans="1:21" hidden="1" outlineLevel="1">
      <c r="A331" s="8">
        <v>43062</v>
      </c>
      <c r="B331" s="1860">
        <v>2345.09789</v>
      </c>
      <c r="C331" s="1860">
        <v>3037.8672900000001</v>
      </c>
      <c r="D331" s="1860">
        <v>3532.2979999999998</v>
      </c>
      <c r="E331" s="1860">
        <v>3965.9869399999998</v>
      </c>
      <c r="F331">
        <v>26.812259999999998</v>
      </c>
      <c r="G331" s="1861">
        <v>2982.73</v>
      </c>
      <c r="I331">
        <v>0.78622999999999998</v>
      </c>
      <c r="J331">
        <v>1.0184899999999999</v>
      </c>
      <c r="K331">
        <v>1.18425</v>
      </c>
      <c r="L331">
        <v>1.32965</v>
      </c>
      <c r="M331">
        <v>8.9899999999999997E-3</v>
      </c>
      <c r="N331">
        <v>1</v>
      </c>
      <c r="P331">
        <v>1.2719</v>
      </c>
      <c r="Q331">
        <v>0.98185</v>
      </c>
      <c r="R331">
        <v>0.84441999999999995</v>
      </c>
      <c r="S331">
        <v>0.75207999999999997</v>
      </c>
      <c r="T331">
        <v>111.245</v>
      </c>
      <c r="U331">
        <v>1</v>
      </c>
    </row>
    <row r="332" spans="1:21" hidden="1" outlineLevel="1">
      <c r="A332" s="8">
        <v>43063</v>
      </c>
      <c r="B332" s="1860">
        <v>2348.97622</v>
      </c>
      <c r="C332" s="1860">
        <v>3047.0221700000002</v>
      </c>
      <c r="D332" s="1860">
        <v>3560.4848000000002</v>
      </c>
      <c r="E332" s="1860">
        <v>3983.4359199999999</v>
      </c>
      <c r="F332">
        <v>26.75094</v>
      </c>
      <c r="G332" s="1861">
        <v>2982.73</v>
      </c>
      <c r="I332">
        <v>0.78752999999999995</v>
      </c>
      <c r="J332">
        <v>1.02155</v>
      </c>
      <c r="K332">
        <v>1.1937</v>
      </c>
      <c r="L332">
        <v>1.3354999999999999</v>
      </c>
      <c r="M332">
        <v>8.9700000000000005E-3</v>
      </c>
      <c r="N332">
        <v>1</v>
      </c>
      <c r="P332">
        <v>1.2698</v>
      </c>
      <c r="Q332">
        <v>0.97889999999999999</v>
      </c>
      <c r="R332">
        <v>0.83772999999999997</v>
      </c>
      <c r="S332">
        <v>0.74878</v>
      </c>
      <c r="T332">
        <v>111.5</v>
      </c>
      <c r="U332">
        <v>1</v>
      </c>
    </row>
    <row r="333" spans="1:21" hidden="1" outlineLevel="1">
      <c r="A333" s="8">
        <v>43064</v>
      </c>
      <c r="B333" s="1860">
        <v>2343.9832999999999</v>
      </c>
      <c r="C333" s="1860">
        <v>3040.5455099999999</v>
      </c>
      <c r="D333" s="1860">
        <v>3552.9167400000001</v>
      </c>
      <c r="E333" s="1860">
        <v>3974.9688500000002</v>
      </c>
      <c r="F333">
        <v>26.69408</v>
      </c>
      <c r="G333" s="1861">
        <v>2976.39</v>
      </c>
      <c r="I333">
        <v>0.78752999999999995</v>
      </c>
      <c r="J333">
        <v>1.02155</v>
      </c>
      <c r="K333">
        <v>1.1937</v>
      </c>
      <c r="L333">
        <v>1.3354999999999999</v>
      </c>
      <c r="M333">
        <v>8.9700000000000005E-3</v>
      </c>
      <c r="N333">
        <v>1</v>
      </c>
      <c r="P333">
        <v>1.2698</v>
      </c>
      <c r="Q333">
        <v>0.97889999999999999</v>
      </c>
      <c r="R333">
        <v>0.83772999999999997</v>
      </c>
      <c r="S333">
        <v>0.74878</v>
      </c>
      <c r="T333">
        <v>111.5</v>
      </c>
      <c r="U333">
        <v>1</v>
      </c>
    </row>
    <row r="334" spans="1:21" hidden="1" outlineLevel="1">
      <c r="A334" s="8">
        <v>43065</v>
      </c>
      <c r="B334" s="1860">
        <v>2343.9832999999999</v>
      </c>
      <c r="C334" s="1860">
        <v>3040.5455099999999</v>
      </c>
      <c r="D334" s="1860">
        <v>3552.9167400000001</v>
      </c>
      <c r="E334" s="1860">
        <v>3974.9688500000002</v>
      </c>
      <c r="F334">
        <v>26.69408</v>
      </c>
      <c r="G334" s="1861">
        <v>2976.39</v>
      </c>
      <c r="I334">
        <v>0.78752999999999995</v>
      </c>
      <c r="J334">
        <v>1.02155</v>
      </c>
      <c r="K334">
        <v>1.1937</v>
      </c>
      <c r="L334">
        <v>1.3354999999999999</v>
      </c>
      <c r="M334">
        <v>8.9700000000000005E-3</v>
      </c>
      <c r="N334">
        <v>1</v>
      </c>
      <c r="P334">
        <v>1.2698</v>
      </c>
      <c r="Q334">
        <v>0.97889999999999999</v>
      </c>
      <c r="R334">
        <v>0.83772999999999997</v>
      </c>
      <c r="S334">
        <v>0.74878</v>
      </c>
      <c r="T334">
        <v>111.5</v>
      </c>
      <c r="U334">
        <v>1</v>
      </c>
    </row>
    <row r="335" spans="1:21" hidden="1" outlineLevel="1">
      <c r="A335" s="8">
        <v>43066</v>
      </c>
      <c r="B335" s="1860">
        <v>2339.28557</v>
      </c>
      <c r="C335" s="1860">
        <v>3034.3460100000002</v>
      </c>
      <c r="D335" s="1860">
        <v>3547.4104200000002</v>
      </c>
      <c r="E335" s="1860">
        <v>3970.2066199999999</v>
      </c>
      <c r="F335">
        <v>26.805869999999999</v>
      </c>
      <c r="G335" s="1861">
        <v>2976.39</v>
      </c>
      <c r="I335">
        <v>0.78595000000000004</v>
      </c>
      <c r="J335">
        <v>1.0194700000000001</v>
      </c>
      <c r="K335">
        <v>1.1918500000000001</v>
      </c>
      <c r="L335">
        <v>1.3339000000000001</v>
      </c>
      <c r="M335">
        <v>9.0100000000000006E-3</v>
      </c>
      <c r="N335">
        <v>1</v>
      </c>
      <c r="P335">
        <v>1.2723500000000001</v>
      </c>
      <c r="Q335">
        <v>0.98089999999999999</v>
      </c>
      <c r="R335">
        <v>0.83903000000000005</v>
      </c>
      <c r="S335">
        <v>0.74968000000000001</v>
      </c>
      <c r="T335">
        <v>111.035</v>
      </c>
      <c r="U335">
        <v>1</v>
      </c>
    </row>
    <row r="336" spans="1:21" hidden="1" outlineLevel="1">
      <c r="A336" s="8">
        <v>43067</v>
      </c>
      <c r="B336" s="1860">
        <v>2331.01026</v>
      </c>
      <c r="C336" s="1860">
        <v>3034.7896799999999</v>
      </c>
      <c r="D336" s="1860">
        <v>3544.6323699999998</v>
      </c>
      <c r="E336" s="1860">
        <v>3951.58932</v>
      </c>
      <c r="F336">
        <v>26.832319999999999</v>
      </c>
      <c r="G336" s="1861">
        <v>2986.84</v>
      </c>
      <c r="I336">
        <v>0.78042999999999996</v>
      </c>
      <c r="J336">
        <v>1.0160499999999999</v>
      </c>
      <c r="K336">
        <v>1.18675</v>
      </c>
      <c r="L336">
        <v>1.323</v>
      </c>
      <c r="M336">
        <v>8.9800000000000001E-3</v>
      </c>
      <c r="N336">
        <v>1</v>
      </c>
      <c r="P336">
        <v>1.28135</v>
      </c>
      <c r="Q336">
        <v>0.98419999999999996</v>
      </c>
      <c r="R336">
        <v>0.84263999999999994</v>
      </c>
      <c r="S336">
        <v>0.75585999999999998</v>
      </c>
      <c r="T336">
        <v>111.315</v>
      </c>
      <c r="U336">
        <v>1</v>
      </c>
    </row>
    <row r="337" spans="1:21" hidden="1" outlineLevel="1">
      <c r="A337" s="8">
        <v>43068</v>
      </c>
      <c r="B337" s="1860">
        <v>2337.78746</v>
      </c>
      <c r="C337" s="1860">
        <v>3052.16419</v>
      </c>
      <c r="D337" s="1860">
        <v>3559.8191000000002</v>
      </c>
      <c r="E337" s="1860">
        <v>4028.1333399999999</v>
      </c>
      <c r="F337">
        <v>26.84366</v>
      </c>
      <c r="G337" s="1861">
        <v>3003.94</v>
      </c>
      <c r="I337">
        <v>0.77824000000000004</v>
      </c>
      <c r="J337">
        <v>1.0160499999999999</v>
      </c>
      <c r="K337">
        <v>1.1850499999999999</v>
      </c>
      <c r="L337">
        <v>1.3409500000000001</v>
      </c>
      <c r="M337">
        <v>8.94E-3</v>
      </c>
      <c r="N337">
        <v>1</v>
      </c>
      <c r="P337">
        <v>1.28495</v>
      </c>
      <c r="Q337">
        <v>0.98419999999999996</v>
      </c>
      <c r="R337">
        <v>0.84384999999999999</v>
      </c>
      <c r="S337">
        <v>0.74573999999999996</v>
      </c>
      <c r="T337">
        <v>111.905</v>
      </c>
      <c r="U337">
        <v>1</v>
      </c>
    </row>
    <row r="338" spans="1:21" hidden="1" outlineLevel="1">
      <c r="A338" s="8">
        <v>43069</v>
      </c>
      <c r="B338" s="1860">
        <v>2333.3773200000001</v>
      </c>
      <c r="C338" s="1860">
        <v>3061.3473199999999</v>
      </c>
      <c r="D338" s="1860">
        <v>3584.3114099999998</v>
      </c>
      <c r="E338" s="1860">
        <v>4069.19373</v>
      </c>
      <c r="F338">
        <v>26.862870000000001</v>
      </c>
      <c r="G338" s="1861">
        <v>3006.09</v>
      </c>
      <c r="I338">
        <v>0.77622000000000002</v>
      </c>
      <c r="J338">
        <v>1.0183800000000001</v>
      </c>
      <c r="K338">
        <v>1.19235</v>
      </c>
      <c r="L338">
        <v>1.35365</v>
      </c>
      <c r="M338">
        <v>8.94E-3</v>
      </c>
      <c r="N338">
        <v>1</v>
      </c>
      <c r="P338">
        <v>1.2883</v>
      </c>
      <c r="Q338">
        <v>0.98194999999999999</v>
      </c>
      <c r="R338">
        <v>0.83867999999999998</v>
      </c>
      <c r="S338">
        <v>0.73873999999999995</v>
      </c>
      <c r="T338">
        <v>111.905</v>
      </c>
      <c r="U338">
        <v>1</v>
      </c>
    </row>
    <row r="339" spans="1:21" hidden="1" outlineLevel="1">
      <c r="A339" s="8">
        <v>43070</v>
      </c>
      <c r="B339" s="1860">
        <v>2360.8262</v>
      </c>
      <c r="C339" s="1860">
        <v>3054.4530800000002</v>
      </c>
      <c r="D339" s="1860">
        <v>3567.1173699999999</v>
      </c>
      <c r="E339" s="1860">
        <v>4055.29826</v>
      </c>
      <c r="F339">
        <v>26.650469999999999</v>
      </c>
      <c r="G339" s="1861">
        <v>3006.04</v>
      </c>
      <c r="I339">
        <v>0.78535999999999995</v>
      </c>
      <c r="J339">
        <v>1.0161100000000001</v>
      </c>
      <c r="K339">
        <v>1.18665</v>
      </c>
      <c r="L339">
        <v>1.3490500000000001</v>
      </c>
      <c r="M339">
        <v>8.8699999999999994E-3</v>
      </c>
      <c r="N339">
        <v>1</v>
      </c>
      <c r="P339">
        <v>1.2733000000000001</v>
      </c>
      <c r="Q339">
        <v>0.98414999999999997</v>
      </c>
      <c r="R339">
        <v>0.84270999999999996</v>
      </c>
      <c r="S339">
        <v>0.74126000000000003</v>
      </c>
      <c r="T339">
        <v>112.795</v>
      </c>
      <c r="U339">
        <v>1</v>
      </c>
    </row>
    <row r="340" spans="1:21" hidden="1" outlineLevel="1">
      <c r="A340" s="8">
        <v>43071</v>
      </c>
      <c r="B340" s="1860">
        <v>2360.6062999999999</v>
      </c>
      <c r="C340" s="1860">
        <v>3054.1685699999998</v>
      </c>
      <c r="D340" s="1860">
        <v>3566.7851000000001</v>
      </c>
      <c r="E340" s="1860">
        <v>4054.9205299999999</v>
      </c>
      <c r="F340">
        <v>26.64799</v>
      </c>
      <c r="G340" s="1861">
        <v>3005.76</v>
      </c>
      <c r="I340">
        <v>0.78535999999999995</v>
      </c>
      <c r="J340">
        <v>1.0161100000000001</v>
      </c>
      <c r="K340">
        <v>1.18665</v>
      </c>
      <c r="L340">
        <v>1.3490500000000001</v>
      </c>
      <c r="M340">
        <v>8.8699999999999994E-3</v>
      </c>
      <c r="N340">
        <v>1</v>
      </c>
      <c r="P340">
        <v>1.2733000000000001</v>
      </c>
      <c r="Q340">
        <v>0.98414999999999997</v>
      </c>
      <c r="R340">
        <v>0.84270999999999996</v>
      </c>
      <c r="S340">
        <v>0.74126000000000003</v>
      </c>
      <c r="T340">
        <v>112.795</v>
      </c>
      <c r="U340">
        <v>1</v>
      </c>
    </row>
    <row r="341" spans="1:21" hidden="1" outlineLevel="1">
      <c r="A341" s="8">
        <v>43072</v>
      </c>
      <c r="B341" s="1860">
        <v>2360.6062999999999</v>
      </c>
      <c r="C341" s="1860">
        <v>3054.1685699999998</v>
      </c>
      <c r="D341" s="1860">
        <v>3566.7851000000001</v>
      </c>
      <c r="E341" s="1860">
        <v>4054.9205299999999</v>
      </c>
      <c r="F341">
        <v>26.64799</v>
      </c>
      <c r="G341" s="1861">
        <v>3005.76</v>
      </c>
      <c r="I341">
        <v>0.78535999999999995</v>
      </c>
      <c r="J341">
        <v>1.0161100000000001</v>
      </c>
      <c r="K341">
        <v>1.18665</v>
      </c>
      <c r="L341">
        <v>1.3490500000000001</v>
      </c>
      <c r="M341">
        <v>8.8699999999999994E-3</v>
      </c>
      <c r="N341">
        <v>1</v>
      </c>
      <c r="P341">
        <v>1.2733000000000001</v>
      </c>
      <c r="Q341">
        <v>0.98414999999999997</v>
      </c>
      <c r="R341">
        <v>0.84270999999999996</v>
      </c>
      <c r="S341">
        <v>0.74126000000000003</v>
      </c>
      <c r="T341">
        <v>112.795</v>
      </c>
      <c r="U341">
        <v>1</v>
      </c>
    </row>
    <row r="342" spans="1:21" hidden="1" outlineLevel="1">
      <c r="A342" s="8">
        <v>43073</v>
      </c>
      <c r="B342" s="1860">
        <v>2364.8780499999998</v>
      </c>
      <c r="C342" s="1860">
        <v>3052.15272</v>
      </c>
      <c r="D342" s="1860">
        <v>3561.8256000000001</v>
      </c>
      <c r="E342" s="1860">
        <v>4051.1633299999999</v>
      </c>
      <c r="F342">
        <v>26.66572</v>
      </c>
      <c r="G342" s="1861">
        <v>3005.76</v>
      </c>
      <c r="I342">
        <v>0.78678000000000003</v>
      </c>
      <c r="J342">
        <v>1.0154300000000001</v>
      </c>
      <c r="K342">
        <v>1.1850000000000001</v>
      </c>
      <c r="L342">
        <v>1.3478000000000001</v>
      </c>
      <c r="M342">
        <v>8.8699999999999994E-3</v>
      </c>
      <c r="N342">
        <v>1</v>
      </c>
      <c r="P342">
        <v>1.2709999999999999</v>
      </c>
      <c r="Q342">
        <v>0.98480000000000001</v>
      </c>
      <c r="R342">
        <v>0.84387999999999996</v>
      </c>
      <c r="S342">
        <v>0.74195</v>
      </c>
      <c r="T342">
        <v>112.72</v>
      </c>
      <c r="U342">
        <v>1</v>
      </c>
    </row>
    <row r="343" spans="1:21" hidden="1" outlineLevel="1">
      <c r="A343" s="8">
        <v>43074</v>
      </c>
      <c r="B343" s="1860">
        <v>2360.14507</v>
      </c>
      <c r="C343" s="1860">
        <v>3031.6892800000001</v>
      </c>
      <c r="D343" s="1860">
        <v>3541.7476900000001</v>
      </c>
      <c r="E343" s="1860">
        <v>4028.3394899999998</v>
      </c>
      <c r="F343">
        <v>26.538029999999999</v>
      </c>
      <c r="G343" s="1861">
        <v>2993.49</v>
      </c>
      <c r="I343">
        <v>0.78842999999999996</v>
      </c>
      <c r="J343">
        <v>1.0127600000000001</v>
      </c>
      <c r="K343">
        <v>1.1831499999999999</v>
      </c>
      <c r="L343">
        <v>1.3456999999999999</v>
      </c>
      <c r="M343">
        <v>8.8699999999999994E-3</v>
      </c>
      <c r="N343">
        <v>1</v>
      </c>
      <c r="P343">
        <v>1.2683500000000001</v>
      </c>
      <c r="Q343">
        <v>0.98740000000000006</v>
      </c>
      <c r="R343">
        <v>0.84519999999999995</v>
      </c>
      <c r="S343">
        <v>0.74311000000000005</v>
      </c>
      <c r="T343">
        <v>112.8</v>
      </c>
      <c r="U343">
        <v>1</v>
      </c>
    </row>
    <row r="344" spans="1:21" hidden="1" outlineLevel="1">
      <c r="A344" s="8">
        <v>43075</v>
      </c>
      <c r="B344" s="1860">
        <v>2347.2740100000001</v>
      </c>
      <c r="C344" s="1860">
        <v>3027.40958</v>
      </c>
      <c r="D344" s="1860">
        <v>3532.6092199999998</v>
      </c>
      <c r="E344" s="1860">
        <v>4010.7055799999998</v>
      </c>
      <c r="F344">
        <v>26.693960000000001</v>
      </c>
      <c r="G344" s="1861">
        <v>2996.53</v>
      </c>
      <c r="I344">
        <v>0.78332999999999997</v>
      </c>
      <c r="J344">
        <v>1.01031</v>
      </c>
      <c r="K344">
        <v>1.1789000000000001</v>
      </c>
      <c r="L344">
        <v>1.3384499999999999</v>
      </c>
      <c r="M344">
        <v>8.9099999999999995E-3</v>
      </c>
      <c r="N344">
        <v>1</v>
      </c>
      <c r="P344">
        <v>1.2766</v>
      </c>
      <c r="Q344">
        <v>0.98980000000000001</v>
      </c>
      <c r="R344">
        <v>0.84824999999999995</v>
      </c>
      <c r="S344">
        <v>0.74712999999999996</v>
      </c>
      <c r="T344">
        <v>112.255</v>
      </c>
      <c r="U344">
        <v>1</v>
      </c>
    </row>
    <row r="345" spans="1:21" hidden="1" outlineLevel="1">
      <c r="A345" s="8">
        <v>43076</v>
      </c>
      <c r="B345" s="1860">
        <v>2341.9548300000001</v>
      </c>
      <c r="C345" s="1860">
        <v>3028.1154000000001</v>
      </c>
      <c r="D345" s="1860">
        <v>3545.3355299999998</v>
      </c>
      <c r="E345" s="1860">
        <v>4034.7361700000001</v>
      </c>
      <c r="F345">
        <v>26.67379</v>
      </c>
      <c r="G345" s="1861">
        <v>3007.07</v>
      </c>
      <c r="I345">
        <v>0.77881999999999996</v>
      </c>
      <c r="J345">
        <v>1.0069999999999999</v>
      </c>
      <c r="K345">
        <v>1.179</v>
      </c>
      <c r="L345">
        <v>1.34175</v>
      </c>
      <c r="M345">
        <v>8.8699999999999994E-3</v>
      </c>
      <c r="N345">
        <v>1</v>
      </c>
      <c r="P345">
        <v>1.284</v>
      </c>
      <c r="Q345">
        <v>0.99304999999999999</v>
      </c>
      <c r="R345">
        <v>0.84818000000000005</v>
      </c>
      <c r="S345">
        <v>0.74529999999999996</v>
      </c>
      <c r="T345">
        <v>112.735</v>
      </c>
      <c r="U345">
        <v>1</v>
      </c>
    </row>
    <row r="346" spans="1:21" hidden="1" outlineLevel="1">
      <c r="A346" s="8">
        <v>43077</v>
      </c>
      <c r="B346" s="1860">
        <v>2345.03188</v>
      </c>
      <c r="C346" s="1860">
        <v>3033.1657300000002</v>
      </c>
      <c r="D346" s="1860">
        <v>3544.4639299999999</v>
      </c>
      <c r="E346" s="1860">
        <v>4034.4423700000002</v>
      </c>
      <c r="F346">
        <v>26.566079999999999</v>
      </c>
      <c r="G346" s="1861">
        <v>3016.18</v>
      </c>
      <c r="I346">
        <v>0.77747999999999995</v>
      </c>
      <c r="J346">
        <v>1.00563</v>
      </c>
      <c r="K346">
        <v>1.1751499999999999</v>
      </c>
      <c r="L346">
        <v>1.3375999999999999</v>
      </c>
      <c r="M346">
        <v>8.8100000000000001E-3</v>
      </c>
      <c r="N346">
        <v>1</v>
      </c>
      <c r="P346">
        <v>1.2862</v>
      </c>
      <c r="Q346">
        <v>0.99439999999999995</v>
      </c>
      <c r="R346">
        <v>0.85096000000000005</v>
      </c>
      <c r="S346">
        <v>0.74761</v>
      </c>
      <c r="T346">
        <v>113.535</v>
      </c>
      <c r="U346">
        <v>1</v>
      </c>
    </row>
    <row r="347" spans="1:21" hidden="1" outlineLevel="1">
      <c r="A347" s="8">
        <v>43078</v>
      </c>
      <c r="B347" s="1860">
        <v>2345.03188</v>
      </c>
      <c r="C347" s="1860">
        <v>3033.1657300000002</v>
      </c>
      <c r="D347" s="1860">
        <v>3544.4639299999999</v>
      </c>
      <c r="E347" s="1860">
        <v>4034.4423700000002</v>
      </c>
      <c r="F347">
        <v>26.566079999999999</v>
      </c>
      <c r="G347" s="1861">
        <v>3016.18</v>
      </c>
      <c r="I347">
        <v>0.77747999999999995</v>
      </c>
      <c r="J347">
        <v>1.00563</v>
      </c>
      <c r="K347">
        <v>1.1751499999999999</v>
      </c>
      <c r="L347">
        <v>1.3375999999999999</v>
      </c>
      <c r="M347">
        <v>8.8100000000000001E-3</v>
      </c>
      <c r="N347">
        <v>1</v>
      </c>
      <c r="P347">
        <v>1.2862</v>
      </c>
      <c r="Q347">
        <v>0.99439999999999995</v>
      </c>
      <c r="R347">
        <v>0.85096000000000005</v>
      </c>
      <c r="S347">
        <v>0.74761</v>
      </c>
      <c r="T347">
        <v>113.535</v>
      </c>
      <c r="U347">
        <v>1</v>
      </c>
    </row>
    <row r="348" spans="1:21" hidden="1" outlineLevel="1">
      <c r="A348" s="8">
        <v>43079</v>
      </c>
      <c r="B348" s="1860">
        <v>2345.03188</v>
      </c>
      <c r="C348" s="1860">
        <v>3033.1657300000002</v>
      </c>
      <c r="D348" s="1860">
        <v>3544.4639299999999</v>
      </c>
      <c r="E348" s="1860">
        <v>4034.4423700000002</v>
      </c>
      <c r="F348">
        <v>26.566079999999999</v>
      </c>
      <c r="G348" s="1861">
        <v>3016.18</v>
      </c>
      <c r="I348">
        <v>0.77747999999999995</v>
      </c>
      <c r="J348">
        <v>1.00563</v>
      </c>
      <c r="K348">
        <v>1.1751499999999999</v>
      </c>
      <c r="L348">
        <v>1.3375999999999999</v>
      </c>
      <c r="M348">
        <v>8.8100000000000001E-3</v>
      </c>
      <c r="N348">
        <v>1</v>
      </c>
      <c r="P348">
        <v>1.2862</v>
      </c>
      <c r="Q348">
        <v>0.99439999999999995</v>
      </c>
      <c r="R348">
        <v>0.85096000000000005</v>
      </c>
      <c r="S348">
        <v>0.74761</v>
      </c>
      <c r="T348">
        <v>113.535</v>
      </c>
      <c r="U348">
        <v>1</v>
      </c>
    </row>
    <row r="349" spans="1:21" hidden="1" outlineLevel="1">
      <c r="A349" s="8">
        <v>43080</v>
      </c>
      <c r="B349" s="1860">
        <v>2346.8565199999998</v>
      </c>
      <c r="C349" s="1860">
        <v>3044.9548199999999</v>
      </c>
      <c r="D349" s="1860">
        <v>3557.7351199999998</v>
      </c>
      <c r="E349" s="1860">
        <v>4029.31486</v>
      </c>
      <c r="F349">
        <v>26.605920000000001</v>
      </c>
      <c r="G349" s="1861">
        <v>3016.18</v>
      </c>
      <c r="I349">
        <v>0.77808999999999995</v>
      </c>
      <c r="J349">
        <v>1.0095400000000001</v>
      </c>
      <c r="K349">
        <v>1.1795500000000001</v>
      </c>
      <c r="L349">
        <v>1.3359000000000001</v>
      </c>
      <c r="M349">
        <v>8.8199999999999997E-3</v>
      </c>
      <c r="N349">
        <v>1</v>
      </c>
      <c r="P349">
        <v>1.2851999999999999</v>
      </c>
      <c r="Q349">
        <v>0.99055000000000004</v>
      </c>
      <c r="R349">
        <v>0.84777999999999998</v>
      </c>
      <c r="S349">
        <v>0.74856</v>
      </c>
      <c r="T349">
        <v>113.36499999999999</v>
      </c>
      <c r="U349">
        <v>1</v>
      </c>
    </row>
    <row r="350" spans="1:21" hidden="1" outlineLevel="1">
      <c r="A350" s="8">
        <v>43081</v>
      </c>
      <c r="B350" s="1860">
        <v>2340.5995200000002</v>
      </c>
      <c r="C350" s="1860">
        <v>3036.6127700000002</v>
      </c>
      <c r="D350" s="1860">
        <v>3535.2595700000002</v>
      </c>
      <c r="E350" s="1860">
        <v>4015.0867800000001</v>
      </c>
      <c r="F350">
        <v>26.509429999999998</v>
      </c>
      <c r="G350" s="1861">
        <v>3013.99</v>
      </c>
      <c r="I350">
        <v>0.77658000000000005</v>
      </c>
      <c r="J350">
        <v>1.0075099999999999</v>
      </c>
      <c r="K350">
        <v>1.1729499999999999</v>
      </c>
      <c r="L350">
        <v>1.3321499999999999</v>
      </c>
      <c r="M350">
        <v>8.8000000000000005E-3</v>
      </c>
      <c r="N350">
        <v>1</v>
      </c>
      <c r="P350">
        <v>1.2877000000000001</v>
      </c>
      <c r="Q350">
        <v>0.99255000000000004</v>
      </c>
      <c r="R350">
        <v>0.85255000000000003</v>
      </c>
      <c r="S350">
        <v>0.75066999999999995</v>
      </c>
      <c r="T350">
        <v>113.69499999999999</v>
      </c>
      <c r="U350">
        <v>1</v>
      </c>
    </row>
    <row r="351" spans="1:21" hidden="1" outlineLevel="1">
      <c r="A351" s="8">
        <v>43082</v>
      </c>
      <c r="B351" s="1860">
        <v>2357.0483899999999</v>
      </c>
      <c r="C351" s="1860">
        <v>3062.9833699999999</v>
      </c>
      <c r="D351" s="1860">
        <v>3562.22856</v>
      </c>
      <c r="E351" s="1860">
        <v>4048.20046</v>
      </c>
      <c r="F351">
        <v>26.801269999999999</v>
      </c>
      <c r="G351" s="1861">
        <v>3029.75</v>
      </c>
      <c r="I351">
        <v>0.77797000000000005</v>
      </c>
      <c r="J351">
        <v>1.0109699999999999</v>
      </c>
      <c r="K351">
        <v>1.1757500000000001</v>
      </c>
      <c r="L351">
        <v>1.3361499999999999</v>
      </c>
      <c r="M351">
        <v>8.8500000000000002E-3</v>
      </c>
      <c r="N351">
        <v>1</v>
      </c>
      <c r="P351">
        <v>1.2854000000000001</v>
      </c>
      <c r="Q351">
        <v>0.98914999999999997</v>
      </c>
      <c r="R351">
        <v>0.85052000000000005</v>
      </c>
      <c r="S351">
        <v>0.74841999999999997</v>
      </c>
      <c r="T351">
        <v>113.045</v>
      </c>
      <c r="U351">
        <v>1</v>
      </c>
    </row>
    <row r="352" spans="1:21" hidden="1" outlineLevel="1">
      <c r="A352" s="8">
        <v>43083</v>
      </c>
      <c r="B352" s="1860">
        <v>2348.0844099999999</v>
      </c>
      <c r="C352" s="1860">
        <v>3045.5610499999998</v>
      </c>
      <c r="D352" s="1860">
        <v>3550.7960499999999</v>
      </c>
      <c r="E352" s="1860">
        <v>4047.8863799999999</v>
      </c>
      <c r="F352">
        <v>26.773900000000001</v>
      </c>
      <c r="G352" s="1861">
        <v>3015.41</v>
      </c>
      <c r="I352">
        <v>0.77868999999999999</v>
      </c>
      <c r="J352">
        <v>1.01</v>
      </c>
      <c r="K352">
        <v>1.1775500000000001</v>
      </c>
      <c r="L352">
        <v>1.3424</v>
      </c>
      <c r="M352">
        <v>8.8800000000000007E-3</v>
      </c>
      <c r="N352">
        <v>1</v>
      </c>
      <c r="P352">
        <v>1.2842</v>
      </c>
      <c r="Q352">
        <v>0.99009999999999998</v>
      </c>
      <c r="R352">
        <v>0.84921999999999997</v>
      </c>
      <c r="S352">
        <v>0.74492999999999998</v>
      </c>
      <c r="T352">
        <v>112.625</v>
      </c>
      <c r="U352">
        <v>1</v>
      </c>
    </row>
    <row r="353" spans="1:21" hidden="1" outlineLevel="1">
      <c r="A353" s="8">
        <v>43084</v>
      </c>
      <c r="B353" s="1860">
        <v>2338.2738199999999</v>
      </c>
      <c r="C353" s="1860">
        <v>3023.71326</v>
      </c>
      <c r="D353" s="1860">
        <v>3528.5558099999998</v>
      </c>
      <c r="E353" s="1860">
        <v>3993.8615199999999</v>
      </c>
      <c r="F353">
        <v>26.62172</v>
      </c>
      <c r="G353" s="1861">
        <v>2999.07</v>
      </c>
      <c r="I353">
        <v>0.77966999999999997</v>
      </c>
      <c r="J353">
        <v>1.0082199999999999</v>
      </c>
      <c r="K353">
        <v>1.17655</v>
      </c>
      <c r="L353">
        <v>1.3317000000000001</v>
      </c>
      <c r="M353">
        <v>8.8800000000000007E-3</v>
      </c>
      <c r="N353">
        <v>1</v>
      </c>
      <c r="P353">
        <v>1.2826</v>
      </c>
      <c r="Q353">
        <v>0.99185000000000001</v>
      </c>
      <c r="R353">
        <v>0.84994000000000003</v>
      </c>
      <c r="S353">
        <v>0.75092000000000003</v>
      </c>
      <c r="T353">
        <v>112.655</v>
      </c>
      <c r="U353">
        <v>1</v>
      </c>
    </row>
    <row r="354" spans="1:21" hidden="1" outlineLevel="1">
      <c r="A354" s="8">
        <v>43085</v>
      </c>
      <c r="B354" s="1860">
        <v>2336.3558400000002</v>
      </c>
      <c r="C354" s="1860">
        <v>3021.2330499999998</v>
      </c>
      <c r="D354" s="1860">
        <v>3525.6615000000002</v>
      </c>
      <c r="E354" s="1860">
        <v>3990.58554</v>
      </c>
      <c r="F354">
        <v>26.599879999999999</v>
      </c>
      <c r="G354" s="1861">
        <v>2996.61</v>
      </c>
      <c r="I354">
        <v>0.77966999999999997</v>
      </c>
      <c r="J354">
        <v>1.0082199999999999</v>
      </c>
      <c r="K354">
        <v>1.17655</v>
      </c>
      <c r="L354">
        <v>1.3317000000000001</v>
      </c>
      <c r="M354">
        <v>8.8800000000000007E-3</v>
      </c>
      <c r="N354">
        <v>1</v>
      </c>
      <c r="P354">
        <v>1.2826</v>
      </c>
      <c r="Q354">
        <v>0.99185000000000001</v>
      </c>
      <c r="R354">
        <v>0.84994000000000003</v>
      </c>
      <c r="S354">
        <v>0.75092000000000003</v>
      </c>
      <c r="T354">
        <v>112.655</v>
      </c>
      <c r="U354">
        <v>1</v>
      </c>
    </row>
    <row r="355" spans="1:21" hidden="1" outlineLevel="1">
      <c r="A355" s="8">
        <v>43086</v>
      </c>
      <c r="B355" s="1860">
        <v>2336.3558400000002</v>
      </c>
      <c r="C355" s="1860">
        <v>3021.2330499999998</v>
      </c>
      <c r="D355" s="1860">
        <v>3525.6615000000002</v>
      </c>
      <c r="E355" s="1860">
        <v>3990.58554</v>
      </c>
      <c r="F355">
        <v>26.599879999999999</v>
      </c>
      <c r="G355" s="1861">
        <v>2996.61</v>
      </c>
      <c r="I355">
        <v>0.77966999999999997</v>
      </c>
      <c r="J355">
        <v>1.0082199999999999</v>
      </c>
      <c r="K355">
        <v>1.17655</v>
      </c>
      <c r="L355">
        <v>1.3317000000000001</v>
      </c>
      <c r="M355">
        <v>8.8800000000000007E-3</v>
      </c>
      <c r="N355">
        <v>1</v>
      </c>
      <c r="P355">
        <v>1.2826</v>
      </c>
      <c r="Q355">
        <v>0.99185000000000001</v>
      </c>
      <c r="R355">
        <v>0.84994000000000003</v>
      </c>
      <c r="S355">
        <v>0.75092000000000003</v>
      </c>
      <c r="T355">
        <v>112.655</v>
      </c>
      <c r="U355">
        <v>1</v>
      </c>
    </row>
    <row r="356" spans="1:21" hidden="1" outlineLevel="1">
      <c r="A356" s="8">
        <v>43087</v>
      </c>
      <c r="B356" s="1860">
        <v>2331.2665299999999</v>
      </c>
      <c r="C356" s="1860">
        <v>3040.5458899999999</v>
      </c>
      <c r="D356" s="1860">
        <v>3539.7455599999998</v>
      </c>
      <c r="E356" s="1860">
        <v>4015.0079099999998</v>
      </c>
      <c r="F356">
        <v>26.666160000000001</v>
      </c>
      <c r="G356" s="1861">
        <v>2996.61</v>
      </c>
      <c r="I356">
        <v>0.77797000000000005</v>
      </c>
      <c r="J356">
        <v>1.0146599999999999</v>
      </c>
      <c r="K356">
        <v>1.1812499999999999</v>
      </c>
      <c r="L356">
        <v>1.33985</v>
      </c>
      <c r="M356">
        <v>8.8999999999999999E-3</v>
      </c>
      <c r="N356">
        <v>1</v>
      </c>
      <c r="P356">
        <v>1.2854000000000001</v>
      </c>
      <c r="Q356">
        <v>0.98555000000000004</v>
      </c>
      <c r="R356">
        <v>0.84655999999999998</v>
      </c>
      <c r="S356">
        <v>0.74634999999999996</v>
      </c>
      <c r="T356">
        <v>112.375</v>
      </c>
      <c r="U356">
        <v>1</v>
      </c>
    </row>
    <row r="357" spans="1:21" hidden="1" outlineLevel="1">
      <c r="A357" s="8">
        <v>43088</v>
      </c>
      <c r="B357" s="1860">
        <v>2307.1954700000001</v>
      </c>
      <c r="C357" s="1860">
        <v>3013.4082699999999</v>
      </c>
      <c r="D357" s="1860">
        <v>3514.3205699999999</v>
      </c>
      <c r="E357" s="1860">
        <v>3972.4126500000002</v>
      </c>
      <c r="F357">
        <v>26.334990000000001</v>
      </c>
      <c r="G357" s="1861">
        <v>2975.59</v>
      </c>
      <c r="I357">
        <v>0.77537</v>
      </c>
      <c r="J357">
        <v>1.01271</v>
      </c>
      <c r="K357">
        <v>1.1810499999999999</v>
      </c>
      <c r="L357">
        <v>1.335</v>
      </c>
      <c r="M357">
        <v>8.8500000000000002E-3</v>
      </c>
      <c r="N357">
        <v>1</v>
      </c>
      <c r="P357">
        <v>1.2897000000000001</v>
      </c>
      <c r="Q357">
        <v>0.98745000000000005</v>
      </c>
      <c r="R357">
        <v>0.84670000000000001</v>
      </c>
      <c r="S357">
        <v>0.74905999999999995</v>
      </c>
      <c r="T357">
        <v>112.99</v>
      </c>
      <c r="U357">
        <v>1</v>
      </c>
    </row>
    <row r="358" spans="1:21" hidden="1" outlineLevel="1">
      <c r="A358" s="8">
        <v>43089</v>
      </c>
      <c r="B358" s="1860">
        <v>2312.3395300000002</v>
      </c>
      <c r="C358" s="1860">
        <v>3018.3821699999999</v>
      </c>
      <c r="D358" s="1860">
        <v>3531.5384100000001</v>
      </c>
      <c r="E358" s="1860">
        <v>3984.33023</v>
      </c>
      <c r="F358">
        <v>26.230530000000002</v>
      </c>
      <c r="G358" s="1861">
        <v>2972.05</v>
      </c>
      <c r="I358">
        <v>0.77803</v>
      </c>
      <c r="J358">
        <v>1.01559</v>
      </c>
      <c r="K358">
        <v>1.18825</v>
      </c>
      <c r="L358">
        <v>1.3406</v>
      </c>
      <c r="M358">
        <v>8.8299999999999993E-3</v>
      </c>
      <c r="N358">
        <v>1</v>
      </c>
      <c r="P358">
        <v>1.2853000000000001</v>
      </c>
      <c r="Q358">
        <v>0.98465000000000003</v>
      </c>
      <c r="R358">
        <v>0.84157000000000004</v>
      </c>
      <c r="S358">
        <v>0.74592999999999998</v>
      </c>
      <c r="T358">
        <v>113.30500000000001</v>
      </c>
      <c r="U358">
        <v>1</v>
      </c>
    </row>
    <row r="359" spans="1:21" hidden="1" outlineLevel="1">
      <c r="A359" s="8">
        <v>43090</v>
      </c>
      <c r="B359" s="1860">
        <v>2329.8401399999998</v>
      </c>
      <c r="C359" s="1860">
        <v>2998.3015700000001</v>
      </c>
      <c r="D359" s="1860">
        <v>3517.4032200000001</v>
      </c>
      <c r="E359" s="1860">
        <v>3960.4892599999998</v>
      </c>
      <c r="F359">
        <v>26.13128</v>
      </c>
      <c r="G359" s="1861">
        <v>2965.77</v>
      </c>
      <c r="I359">
        <v>0.78557999999999995</v>
      </c>
      <c r="J359">
        <v>1.0109699999999999</v>
      </c>
      <c r="K359">
        <v>1.1859999999999999</v>
      </c>
      <c r="L359">
        <v>1.3353999999999999</v>
      </c>
      <c r="M359">
        <v>8.8100000000000001E-3</v>
      </c>
      <c r="N359">
        <v>1</v>
      </c>
      <c r="P359">
        <v>1.27295</v>
      </c>
      <c r="Q359">
        <v>0.98914999999999997</v>
      </c>
      <c r="R359">
        <v>0.84316999999999998</v>
      </c>
      <c r="S359">
        <v>0.74883999999999995</v>
      </c>
      <c r="T359">
        <v>113.495</v>
      </c>
      <c r="U359">
        <v>1</v>
      </c>
    </row>
    <row r="360" spans="1:21" hidden="1" outlineLevel="1">
      <c r="A360" s="8">
        <v>43091</v>
      </c>
      <c r="B360" s="1860">
        <v>2323.1921000000002</v>
      </c>
      <c r="C360" s="1860">
        <v>2994.1200199999998</v>
      </c>
      <c r="D360" s="1860">
        <v>3507.1005700000001</v>
      </c>
      <c r="E360" s="1860">
        <v>3961.1210299999998</v>
      </c>
      <c r="F360">
        <v>26.137319999999999</v>
      </c>
      <c r="G360" s="1861">
        <v>2963.58</v>
      </c>
      <c r="I360">
        <v>0.78391</v>
      </c>
      <c r="J360">
        <v>1.01031</v>
      </c>
      <c r="K360">
        <v>1.1834</v>
      </c>
      <c r="L360">
        <v>1.3366</v>
      </c>
      <c r="M360">
        <v>8.8199999999999997E-3</v>
      </c>
      <c r="N360">
        <v>1</v>
      </c>
      <c r="P360">
        <v>1.27565</v>
      </c>
      <c r="Q360">
        <v>0.98980000000000001</v>
      </c>
      <c r="R360">
        <v>0.84501999999999999</v>
      </c>
      <c r="S360">
        <v>0.74817</v>
      </c>
      <c r="T360">
        <v>113.38500000000001</v>
      </c>
      <c r="U360">
        <v>1</v>
      </c>
    </row>
    <row r="361" spans="1:21" hidden="1" outlineLevel="1">
      <c r="A361" s="8">
        <v>43092</v>
      </c>
      <c r="B361" s="1860">
        <v>2322.0632599999999</v>
      </c>
      <c r="C361" s="1860">
        <v>2992.66518</v>
      </c>
      <c r="D361" s="1860">
        <v>3505.3964799999999</v>
      </c>
      <c r="E361" s="1860">
        <v>3959.19632</v>
      </c>
      <c r="F361">
        <v>26.12462</v>
      </c>
      <c r="G361" s="1861">
        <v>2962.14</v>
      </c>
      <c r="I361">
        <v>0.78391</v>
      </c>
      <c r="J361">
        <v>1.01031</v>
      </c>
      <c r="K361">
        <v>1.1834</v>
      </c>
      <c r="L361">
        <v>1.3366</v>
      </c>
      <c r="M361">
        <v>8.8199999999999997E-3</v>
      </c>
      <c r="N361">
        <v>1</v>
      </c>
      <c r="P361">
        <v>1.27565</v>
      </c>
      <c r="Q361">
        <v>0.98980000000000001</v>
      </c>
      <c r="R361">
        <v>0.84501999999999999</v>
      </c>
      <c r="S361">
        <v>0.74817</v>
      </c>
      <c r="T361">
        <v>113.38500000000001</v>
      </c>
      <c r="U361">
        <v>1</v>
      </c>
    </row>
    <row r="362" spans="1:21" hidden="1" outlineLevel="1">
      <c r="A362" s="8">
        <v>43093</v>
      </c>
      <c r="B362" s="1860">
        <v>2322.0632599999999</v>
      </c>
      <c r="C362" s="1860">
        <v>2992.66518</v>
      </c>
      <c r="D362" s="1860">
        <v>3505.3964799999999</v>
      </c>
      <c r="E362" s="1860">
        <v>3959.19632</v>
      </c>
      <c r="F362">
        <v>26.12462</v>
      </c>
      <c r="G362" s="1861">
        <v>2962.14</v>
      </c>
      <c r="I362">
        <v>0.78391</v>
      </c>
      <c r="J362">
        <v>1.01031</v>
      </c>
      <c r="K362">
        <v>1.1834</v>
      </c>
      <c r="L362">
        <v>1.3366</v>
      </c>
      <c r="M362">
        <v>8.8199999999999997E-3</v>
      </c>
      <c r="N362">
        <v>1</v>
      </c>
      <c r="P362">
        <v>1.27565</v>
      </c>
      <c r="Q362">
        <v>0.98980000000000001</v>
      </c>
      <c r="R362">
        <v>0.84501999999999999</v>
      </c>
      <c r="S362">
        <v>0.74817</v>
      </c>
      <c r="T362">
        <v>113.38500000000001</v>
      </c>
      <c r="U362">
        <v>1</v>
      </c>
    </row>
    <row r="363" spans="1:21" hidden="1" outlineLevel="1">
      <c r="A363" s="8">
        <v>43094</v>
      </c>
      <c r="B363" s="1860">
        <v>2322.0632599999999</v>
      </c>
      <c r="C363" s="1860">
        <v>2992.66518</v>
      </c>
      <c r="D363" s="1860">
        <v>3505.3964799999999</v>
      </c>
      <c r="E363" s="1860">
        <v>3959.19632</v>
      </c>
      <c r="F363">
        <v>26.12462</v>
      </c>
      <c r="G363" s="1861">
        <v>2962.14</v>
      </c>
      <c r="I363">
        <v>0.78391</v>
      </c>
      <c r="J363">
        <v>1.01031</v>
      </c>
      <c r="K363">
        <v>1.1834</v>
      </c>
      <c r="L363">
        <v>1.3366</v>
      </c>
      <c r="M363">
        <v>8.8199999999999997E-3</v>
      </c>
      <c r="N363">
        <v>1</v>
      </c>
      <c r="P363">
        <v>1.27565</v>
      </c>
      <c r="Q363">
        <v>0.98980000000000001</v>
      </c>
      <c r="R363">
        <v>0.84501999999999999</v>
      </c>
      <c r="S363">
        <v>0.74817</v>
      </c>
      <c r="T363">
        <v>113.38500000000001</v>
      </c>
      <c r="U363">
        <v>1</v>
      </c>
    </row>
    <row r="364" spans="1:21" hidden="1" outlineLevel="1">
      <c r="A364" s="8">
        <v>43095</v>
      </c>
      <c r="B364" s="1860">
        <v>2331.2923000000001</v>
      </c>
      <c r="C364" s="1860">
        <v>2993.2700100000002</v>
      </c>
      <c r="D364" s="1860">
        <v>3514.5791100000001</v>
      </c>
      <c r="E364" s="1860">
        <v>3959.0482200000001</v>
      </c>
      <c r="F364">
        <v>26.159230000000001</v>
      </c>
      <c r="G364" s="1861">
        <v>2962.14</v>
      </c>
      <c r="I364">
        <v>0.78703000000000001</v>
      </c>
      <c r="J364">
        <v>1.01051</v>
      </c>
      <c r="K364">
        <v>1.1865000000000001</v>
      </c>
      <c r="L364">
        <v>1.3365499999999999</v>
      </c>
      <c r="M364">
        <v>8.8299999999999993E-3</v>
      </c>
      <c r="N364">
        <v>1</v>
      </c>
      <c r="P364">
        <v>1.2706</v>
      </c>
      <c r="Q364">
        <v>0.98960000000000004</v>
      </c>
      <c r="R364">
        <v>0.84282000000000001</v>
      </c>
      <c r="S364">
        <v>0.74819000000000002</v>
      </c>
      <c r="T364">
        <v>113.235</v>
      </c>
      <c r="U364">
        <v>1</v>
      </c>
    </row>
    <row r="365" spans="1:21" hidden="1" outlineLevel="1">
      <c r="A365" s="8">
        <v>43096</v>
      </c>
      <c r="B365" s="1860">
        <v>2339.1187599999998</v>
      </c>
      <c r="C365" s="1860">
        <v>2997.3287500000001</v>
      </c>
      <c r="D365" s="1860">
        <v>3523.1639300000002</v>
      </c>
      <c r="E365" s="1860">
        <v>3969.2802900000002</v>
      </c>
      <c r="F365">
        <v>26.14528</v>
      </c>
      <c r="G365" s="1861">
        <v>2962.26</v>
      </c>
      <c r="I365">
        <v>0.78964000000000001</v>
      </c>
      <c r="J365">
        <v>1.0118400000000001</v>
      </c>
      <c r="K365">
        <v>1.1893499999999999</v>
      </c>
      <c r="L365">
        <v>1.33995</v>
      </c>
      <c r="M365">
        <v>8.8299999999999993E-3</v>
      </c>
      <c r="N365">
        <v>1</v>
      </c>
      <c r="P365">
        <v>1.2664</v>
      </c>
      <c r="Q365">
        <v>0.98829999999999996</v>
      </c>
      <c r="R365">
        <v>0.84079999999999999</v>
      </c>
      <c r="S365">
        <v>0.74629999999999996</v>
      </c>
      <c r="T365">
        <v>113.3</v>
      </c>
      <c r="U365">
        <v>1</v>
      </c>
    </row>
    <row r="366" spans="1:21" hidden="1" outlineLevel="1">
      <c r="A366" s="8">
        <v>43097</v>
      </c>
      <c r="B366" s="1860">
        <v>2360.0285899999999</v>
      </c>
      <c r="C366" s="1860">
        <v>3035.3728299999998</v>
      </c>
      <c r="D366" s="1860">
        <v>3547.5318900000002</v>
      </c>
      <c r="E366" s="1860">
        <v>3993.4249799999998</v>
      </c>
      <c r="F366">
        <v>26.3279</v>
      </c>
      <c r="G366" s="1861">
        <v>2971.63</v>
      </c>
      <c r="I366">
        <v>0.79418999999999995</v>
      </c>
      <c r="J366">
        <v>1.02145</v>
      </c>
      <c r="K366">
        <v>1.1938</v>
      </c>
      <c r="L366">
        <v>1.34385</v>
      </c>
      <c r="M366">
        <v>8.8599999999999998E-3</v>
      </c>
      <c r="N366">
        <v>1</v>
      </c>
      <c r="P366">
        <v>1.25915</v>
      </c>
      <c r="Q366">
        <v>0.97899999999999998</v>
      </c>
      <c r="R366">
        <v>0.83765999999999996</v>
      </c>
      <c r="S366">
        <v>0.74412999999999996</v>
      </c>
      <c r="T366">
        <v>112.87</v>
      </c>
      <c r="U366">
        <v>1</v>
      </c>
    </row>
    <row r="367" spans="1:21" hidden="1" outlineLevel="1">
      <c r="A367" s="8">
        <v>43098</v>
      </c>
      <c r="B367" s="1860">
        <v>2381.5794700000001</v>
      </c>
      <c r="C367" s="1860">
        <v>3062.0831199999998</v>
      </c>
      <c r="D367" s="1860">
        <v>3583.1871999999998</v>
      </c>
      <c r="E367" s="1860">
        <v>4036.6060000000002</v>
      </c>
      <c r="F367">
        <v>26.489129999999999</v>
      </c>
      <c r="G367" s="1861">
        <v>2984</v>
      </c>
      <c r="I367">
        <v>0.79812000000000005</v>
      </c>
      <c r="J367">
        <v>1.02617</v>
      </c>
      <c r="K367">
        <v>1.2008000000000001</v>
      </c>
      <c r="L367">
        <v>1.3527499999999999</v>
      </c>
      <c r="M367">
        <v>8.8800000000000007E-3</v>
      </c>
      <c r="N367">
        <v>1</v>
      </c>
      <c r="P367">
        <v>1.25295</v>
      </c>
      <c r="Q367">
        <v>0.97450000000000003</v>
      </c>
      <c r="R367">
        <v>0.83277999999999996</v>
      </c>
      <c r="S367">
        <v>0.73923000000000005</v>
      </c>
      <c r="T367">
        <v>112.65</v>
      </c>
      <c r="U367">
        <v>1</v>
      </c>
    </row>
    <row r="368" spans="1:21" hidden="1" outlineLevel="1">
      <c r="A368" s="8">
        <v>43099</v>
      </c>
      <c r="B368" s="1860">
        <v>2381.5794700000001</v>
      </c>
      <c r="C368" s="1860">
        <v>3062.0831199999998</v>
      </c>
      <c r="D368" s="1860">
        <v>3583.1871999999998</v>
      </c>
      <c r="E368" s="1860">
        <v>4036.6060000000002</v>
      </c>
      <c r="F368">
        <v>26.489129999999999</v>
      </c>
      <c r="G368" s="1861">
        <v>2984</v>
      </c>
      <c r="I368">
        <v>0.79812000000000005</v>
      </c>
      <c r="J368">
        <v>1.02617</v>
      </c>
      <c r="K368">
        <v>1.2008000000000001</v>
      </c>
      <c r="L368">
        <v>1.3527499999999999</v>
      </c>
      <c r="M368">
        <v>8.8800000000000007E-3</v>
      </c>
      <c r="N368">
        <v>1</v>
      </c>
      <c r="P368">
        <v>1.25295</v>
      </c>
      <c r="Q368">
        <v>0.97450000000000003</v>
      </c>
      <c r="R368">
        <v>0.83277999999999996</v>
      </c>
      <c r="S368">
        <v>0.73923000000000005</v>
      </c>
      <c r="T368">
        <v>112.65</v>
      </c>
      <c r="U368">
        <v>1</v>
      </c>
    </row>
    <row r="369" spans="1:35" s="4" customFormat="1" ht="15.75" collapsed="1" thickBot="1">
      <c r="A369" s="1864">
        <v>43100</v>
      </c>
      <c r="B369" s="1865">
        <v>2381.5794700000001</v>
      </c>
      <c r="C369" s="1865">
        <v>3062.0831199999998</v>
      </c>
      <c r="D369" s="1865">
        <v>3583.1871999999998</v>
      </c>
      <c r="E369" s="1865">
        <v>4036.6060000000002</v>
      </c>
      <c r="F369" s="1866">
        <v>26.489129999999999</v>
      </c>
      <c r="G369" s="1865">
        <v>2984</v>
      </c>
      <c r="H369" s="1867"/>
      <c r="I369" s="1866">
        <v>0.79812000000000005</v>
      </c>
      <c r="J369" s="1866">
        <v>1.02617</v>
      </c>
      <c r="K369" s="1866">
        <v>1.2008000000000001</v>
      </c>
      <c r="L369" s="1866">
        <v>1.3527499999999999</v>
      </c>
      <c r="M369" s="1866">
        <v>8.8800000000000007E-3</v>
      </c>
      <c r="N369" s="1866">
        <v>1</v>
      </c>
      <c r="O369" s="1867"/>
      <c r="P369" s="1866">
        <v>1.25295</v>
      </c>
      <c r="Q369" s="1866">
        <v>0.97450000000000003</v>
      </c>
      <c r="R369" s="1866">
        <v>0.83277999999999996</v>
      </c>
      <c r="S369" s="1866">
        <v>0.73923000000000005</v>
      </c>
      <c r="T369" s="1866">
        <v>112.65</v>
      </c>
      <c r="U369" s="1866">
        <v>1</v>
      </c>
      <c r="V369" s="1867"/>
    </row>
    <row r="370" spans="1:35" ht="15.75" thickTop="1">
      <c r="A370" s="8"/>
      <c r="B370" s="1860"/>
      <c r="C370" s="1860"/>
      <c r="D370" s="1860"/>
      <c r="E370" s="1860"/>
      <c r="G370" s="1861"/>
    </row>
    <row r="371" spans="1:35" s="1857" customFormat="1" hidden="1" outlineLevel="1">
      <c r="A371" s="8">
        <v>43101</v>
      </c>
      <c r="B371" s="1860">
        <v>2381.5794700000001</v>
      </c>
      <c r="C371" s="1860">
        <v>3062.0831199999998</v>
      </c>
      <c r="D371" s="1860">
        <v>3583.1871999999998</v>
      </c>
      <c r="E371" s="1860">
        <v>4036.6060000000002</v>
      </c>
      <c r="F371">
        <v>26.489129999999999</v>
      </c>
      <c r="G371" s="1861">
        <v>2984</v>
      </c>
      <c r="I371">
        <v>0.79812000000000005</v>
      </c>
      <c r="J371">
        <v>1.02617</v>
      </c>
      <c r="K371">
        <v>1.2008000000000001</v>
      </c>
      <c r="L371">
        <v>1.3527499999999999</v>
      </c>
      <c r="M371">
        <v>8.8800000000000007E-3</v>
      </c>
      <c r="N371">
        <v>1</v>
      </c>
      <c r="P371">
        <v>1.25295</v>
      </c>
      <c r="Q371">
        <v>0.97450000000000003</v>
      </c>
      <c r="R371">
        <v>0.83277999999999996</v>
      </c>
      <c r="S371">
        <v>0.73923000000000005</v>
      </c>
      <c r="T371">
        <v>112.65</v>
      </c>
      <c r="U371">
        <v>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</row>
    <row r="372" spans="1:35" s="1857" customFormat="1" hidden="1" outlineLevel="1">
      <c r="A372" s="8">
        <v>43102</v>
      </c>
      <c r="B372" s="1860">
        <v>2386.2455</v>
      </c>
      <c r="C372" s="1860">
        <v>3069.3272999999999</v>
      </c>
      <c r="D372" s="1860">
        <v>3594.2280000000001</v>
      </c>
      <c r="E372" s="1860">
        <v>4052.1228000000001</v>
      </c>
      <c r="F372">
        <v>26.608409999999999</v>
      </c>
      <c r="G372" s="1861">
        <v>2984</v>
      </c>
      <c r="I372">
        <v>0.79967999999999995</v>
      </c>
      <c r="J372">
        <v>1.0285899999999999</v>
      </c>
      <c r="K372">
        <v>1.2044999999999999</v>
      </c>
      <c r="L372">
        <v>1.35795</v>
      </c>
      <c r="M372">
        <v>8.9200000000000008E-3</v>
      </c>
      <c r="N372">
        <v>1</v>
      </c>
      <c r="P372">
        <v>1.2504999999999999</v>
      </c>
      <c r="Q372">
        <v>0.97219999999999995</v>
      </c>
      <c r="R372">
        <v>0.83021999999999996</v>
      </c>
      <c r="S372">
        <v>0.73640000000000005</v>
      </c>
      <c r="T372">
        <v>112.145</v>
      </c>
      <c r="U372">
        <v>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</row>
    <row r="373" spans="1:35" s="1857" customFormat="1" hidden="1" outlineLevel="1">
      <c r="A373" s="8">
        <v>43103</v>
      </c>
      <c r="B373" s="1860">
        <v>2345.9955300000001</v>
      </c>
      <c r="C373" s="1860">
        <v>3010.0199600000001</v>
      </c>
      <c r="D373" s="1860">
        <v>3536.0392099999999</v>
      </c>
      <c r="E373" s="1860">
        <v>3974.09222</v>
      </c>
      <c r="F373">
        <v>26.16611</v>
      </c>
      <c r="G373" s="1861">
        <v>2940.94</v>
      </c>
      <c r="I373">
        <v>0.79769999999999996</v>
      </c>
      <c r="J373">
        <v>1.02349</v>
      </c>
      <c r="K373">
        <v>1.20235</v>
      </c>
      <c r="L373">
        <v>1.3512999999999999</v>
      </c>
      <c r="M373">
        <v>8.8999999999999999E-3</v>
      </c>
      <c r="N373">
        <v>1</v>
      </c>
      <c r="P373">
        <v>1.2536</v>
      </c>
      <c r="Q373">
        <v>0.97704999999999997</v>
      </c>
      <c r="R373">
        <v>0.83169999999999999</v>
      </c>
      <c r="S373">
        <v>0.74002999999999997</v>
      </c>
      <c r="T373">
        <v>112.395</v>
      </c>
      <c r="U373">
        <v>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</row>
    <row r="374" spans="1:35" s="1857" customFormat="1" hidden="1" outlineLevel="1">
      <c r="A374" s="8">
        <v>43104</v>
      </c>
      <c r="B374" s="1860">
        <v>2321.9286299999999</v>
      </c>
      <c r="C374" s="1860">
        <v>2984.0266700000002</v>
      </c>
      <c r="D374" s="1860">
        <v>3512.37653</v>
      </c>
      <c r="E374" s="1860">
        <v>3941.6977000000002</v>
      </c>
      <c r="F374">
        <v>25.791889999999999</v>
      </c>
      <c r="G374" s="1861">
        <v>2908.68</v>
      </c>
      <c r="I374">
        <v>0.79827999999999999</v>
      </c>
      <c r="J374">
        <v>1.0259</v>
      </c>
      <c r="K374">
        <v>1.2075499999999999</v>
      </c>
      <c r="L374">
        <v>1.3551500000000001</v>
      </c>
      <c r="M374">
        <v>8.8699999999999994E-3</v>
      </c>
      <c r="N374">
        <v>1</v>
      </c>
      <c r="P374">
        <v>1.2526999999999999</v>
      </c>
      <c r="Q374">
        <v>0.97475000000000001</v>
      </c>
      <c r="R374">
        <v>0.82811999999999997</v>
      </c>
      <c r="S374">
        <v>0.73792999999999997</v>
      </c>
      <c r="T374">
        <v>112.77500000000001</v>
      </c>
      <c r="U374">
        <v>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</row>
    <row r="375" spans="1:35" s="1857" customFormat="1" hidden="1" outlineLevel="1">
      <c r="A375" s="8">
        <v>43105</v>
      </c>
      <c r="B375" s="1860">
        <v>2328.0706700000001</v>
      </c>
      <c r="C375" s="1860">
        <v>2958.69175</v>
      </c>
      <c r="D375" s="1860">
        <v>3473.4450200000001</v>
      </c>
      <c r="E375" s="1860">
        <v>3913.9562900000001</v>
      </c>
      <c r="F375">
        <v>25.48583</v>
      </c>
      <c r="G375" s="1861">
        <v>2885.76</v>
      </c>
      <c r="I375">
        <v>0.80674000000000001</v>
      </c>
      <c r="J375">
        <v>1.0252699999999999</v>
      </c>
      <c r="K375">
        <v>1.2036500000000001</v>
      </c>
      <c r="L375">
        <v>1.3563000000000001</v>
      </c>
      <c r="M375">
        <v>8.8299999999999993E-3</v>
      </c>
      <c r="N375">
        <v>1</v>
      </c>
      <c r="P375">
        <v>1.2395499999999999</v>
      </c>
      <c r="Q375">
        <v>0.97535000000000005</v>
      </c>
      <c r="R375">
        <v>0.83081000000000005</v>
      </c>
      <c r="S375">
        <v>0.73729999999999996</v>
      </c>
      <c r="T375">
        <v>113.23</v>
      </c>
      <c r="U375">
        <v>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</row>
    <row r="376" spans="1:35" s="1857" customFormat="1" hidden="1" outlineLevel="1">
      <c r="A376" s="8">
        <v>43106</v>
      </c>
      <c r="B376" s="1860">
        <v>2338.2033799999999</v>
      </c>
      <c r="C376" s="1860">
        <v>2971.56918</v>
      </c>
      <c r="D376" s="1860">
        <v>3488.5628700000002</v>
      </c>
      <c r="E376" s="1860">
        <v>3930.9914199999998</v>
      </c>
      <c r="F376">
        <v>25.59675</v>
      </c>
      <c r="G376" s="1861">
        <v>2898.32</v>
      </c>
      <c r="I376">
        <v>0.80674000000000001</v>
      </c>
      <c r="J376">
        <v>1.0252699999999999</v>
      </c>
      <c r="K376">
        <v>1.2036500000000001</v>
      </c>
      <c r="L376">
        <v>1.3563000000000001</v>
      </c>
      <c r="M376">
        <v>8.8299999999999993E-3</v>
      </c>
      <c r="N376">
        <v>1</v>
      </c>
      <c r="P376">
        <v>1.2395499999999999</v>
      </c>
      <c r="Q376">
        <v>0.97535000000000005</v>
      </c>
      <c r="R376">
        <v>0.83081000000000005</v>
      </c>
      <c r="S376">
        <v>0.73729999999999996</v>
      </c>
      <c r="T376">
        <v>113.23</v>
      </c>
      <c r="U376">
        <v>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</row>
    <row r="377" spans="1:35" s="1857" customFormat="1" hidden="1" outlineLevel="1">
      <c r="A377" s="8">
        <v>43107</v>
      </c>
      <c r="B377" s="1860">
        <v>2338.2033799999999</v>
      </c>
      <c r="C377" s="1860">
        <v>2971.56918</v>
      </c>
      <c r="D377" s="1860">
        <v>3488.5628700000002</v>
      </c>
      <c r="E377" s="1860">
        <v>3930.9914199999998</v>
      </c>
      <c r="F377">
        <v>25.59675</v>
      </c>
      <c r="G377" s="1861">
        <v>2898.32</v>
      </c>
      <c r="I377">
        <v>0.80674000000000001</v>
      </c>
      <c r="J377">
        <v>1.0252699999999999</v>
      </c>
      <c r="K377">
        <v>1.2036500000000001</v>
      </c>
      <c r="L377">
        <v>1.3563000000000001</v>
      </c>
      <c r="M377">
        <v>8.8299999999999993E-3</v>
      </c>
      <c r="N377">
        <v>1</v>
      </c>
      <c r="P377">
        <v>1.2395499999999999</v>
      </c>
      <c r="Q377">
        <v>0.97535000000000005</v>
      </c>
      <c r="R377">
        <v>0.83081000000000005</v>
      </c>
      <c r="S377">
        <v>0.73729999999999996</v>
      </c>
      <c r="T377">
        <v>113.23</v>
      </c>
      <c r="U377">
        <v>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</row>
    <row r="378" spans="1:35" s="1857" customFormat="1" hidden="1" outlineLevel="1">
      <c r="A378" s="8">
        <v>43108</v>
      </c>
      <c r="B378" s="1860">
        <v>2333.8728500000002</v>
      </c>
      <c r="C378" s="1860">
        <v>2968.5256300000001</v>
      </c>
      <c r="D378" s="1860">
        <v>3471.1729500000001</v>
      </c>
      <c r="E378" s="1860">
        <v>3935.7736399999999</v>
      </c>
      <c r="F378">
        <v>25.653390000000002</v>
      </c>
      <c r="G378" s="1861">
        <v>2898.32</v>
      </c>
      <c r="I378">
        <v>0.80525000000000002</v>
      </c>
      <c r="J378">
        <v>1.0242199999999999</v>
      </c>
      <c r="K378">
        <v>1.1976500000000001</v>
      </c>
      <c r="L378">
        <v>1.35795</v>
      </c>
      <c r="M378">
        <v>8.8500000000000002E-3</v>
      </c>
      <c r="N378">
        <v>1</v>
      </c>
      <c r="P378">
        <v>1.2418499999999999</v>
      </c>
      <c r="Q378">
        <v>0.97635000000000005</v>
      </c>
      <c r="R378">
        <v>0.83496999999999999</v>
      </c>
      <c r="S378">
        <v>0.73640000000000005</v>
      </c>
      <c r="T378">
        <v>112.98</v>
      </c>
      <c r="U378">
        <v>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</row>
    <row r="379" spans="1:35" s="1857" customFormat="1" hidden="1" outlineLevel="1">
      <c r="A379" s="8">
        <v>43109</v>
      </c>
      <c r="B379" s="1860">
        <v>2326.0995200000002</v>
      </c>
      <c r="C379" s="1860">
        <v>2948.8935200000001</v>
      </c>
      <c r="D379" s="1860">
        <v>3457.6957600000001</v>
      </c>
      <c r="E379" s="1860">
        <v>3919.3981399999998</v>
      </c>
      <c r="F379">
        <v>25.778880000000001</v>
      </c>
      <c r="G379" s="1861">
        <v>2898.32</v>
      </c>
      <c r="I379">
        <v>0.80257000000000001</v>
      </c>
      <c r="J379">
        <v>1.01745</v>
      </c>
      <c r="K379">
        <v>1.1930000000000001</v>
      </c>
      <c r="L379">
        <v>1.3523000000000001</v>
      </c>
      <c r="M379">
        <v>8.8900000000000003E-3</v>
      </c>
      <c r="N379">
        <v>1</v>
      </c>
      <c r="P379">
        <v>1.246</v>
      </c>
      <c r="Q379">
        <v>0.98285</v>
      </c>
      <c r="R379">
        <v>0.83821999999999997</v>
      </c>
      <c r="S379">
        <v>0.73948000000000003</v>
      </c>
      <c r="T379">
        <v>112.43</v>
      </c>
      <c r="U379">
        <v>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</row>
    <row r="380" spans="1:35" s="1857" customFormat="1" hidden="1" outlineLevel="1">
      <c r="A380" s="8">
        <v>43110</v>
      </c>
      <c r="B380" s="1860">
        <v>2334.8582000000001</v>
      </c>
      <c r="C380" s="1860">
        <v>2983.7420000000002</v>
      </c>
      <c r="D380" s="1860">
        <v>3491.8524200000002</v>
      </c>
      <c r="E380" s="1860">
        <v>3943.5797699999998</v>
      </c>
      <c r="F380">
        <v>26.171880000000002</v>
      </c>
      <c r="G380" s="1861">
        <v>2914.37</v>
      </c>
      <c r="I380">
        <v>0.80115000000000003</v>
      </c>
      <c r="J380">
        <v>1.0238</v>
      </c>
      <c r="K380">
        <v>1.19815</v>
      </c>
      <c r="L380">
        <v>1.3531500000000001</v>
      </c>
      <c r="M380">
        <v>8.9800000000000001E-3</v>
      </c>
      <c r="N380">
        <v>1</v>
      </c>
      <c r="P380">
        <v>1.2482</v>
      </c>
      <c r="Q380">
        <v>0.97675000000000001</v>
      </c>
      <c r="R380">
        <v>0.83462000000000003</v>
      </c>
      <c r="S380">
        <v>0.73902000000000001</v>
      </c>
      <c r="T380">
        <v>111.355</v>
      </c>
      <c r="U380">
        <v>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</row>
    <row r="381" spans="1:35" s="1857" customFormat="1" hidden="1" outlineLevel="1">
      <c r="A381" s="8">
        <v>43111</v>
      </c>
      <c r="B381" s="1860">
        <v>2309.71524</v>
      </c>
      <c r="C381" s="1860">
        <v>2970.0907699999998</v>
      </c>
      <c r="D381" s="1860">
        <v>3488.1481699999999</v>
      </c>
      <c r="E381" s="1860">
        <v>3919.1716299999998</v>
      </c>
      <c r="F381">
        <v>25.992460000000001</v>
      </c>
      <c r="G381" s="1861">
        <v>2895.69</v>
      </c>
      <c r="I381">
        <v>0.79764000000000002</v>
      </c>
      <c r="J381">
        <v>1.02569</v>
      </c>
      <c r="K381">
        <v>1.2045999999999999</v>
      </c>
      <c r="L381">
        <v>1.35345</v>
      </c>
      <c r="M381">
        <v>8.9800000000000001E-3</v>
      </c>
      <c r="N381">
        <v>1</v>
      </c>
      <c r="P381">
        <v>1.2537</v>
      </c>
      <c r="Q381">
        <v>0.97494999999999998</v>
      </c>
      <c r="R381">
        <v>0.83015000000000005</v>
      </c>
      <c r="S381">
        <v>0.73885000000000001</v>
      </c>
      <c r="T381">
        <v>111.405</v>
      </c>
      <c r="U381">
        <v>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</row>
    <row r="382" spans="1:35" s="1857" customFormat="1" hidden="1" outlineLevel="1">
      <c r="A382" s="8">
        <v>43112</v>
      </c>
      <c r="B382" s="1860">
        <v>2290.9824899999999</v>
      </c>
      <c r="C382" s="1860">
        <v>2950.4684400000001</v>
      </c>
      <c r="D382" s="1860">
        <v>3480.9318199999998</v>
      </c>
      <c r="E382" s="1860">
        <v>3922.55006</v>
      </c>
      <c r="F382">
        <v>25.744869999999999</v>
      </c>
      <c r="G382" s="1861">
        <v>2865.79</v>
      </c>
      <c r="I382">
        <v>0.79942000000000002</v>
      </c>
      <c r="J382">
        <v>1.02955</v>
      </c>
      <c r="K382">
        <v>1.21465</v>
      </c>
      <c r="L382">
        <v>1.3687499999999999</v>
      </c>
      <c r="M382">
        <v>8.9800000000000001E-3</v>
      </c>
      <c r="N382">
        <v>1</v>
      </c>
      <c r="P382">
        <v>1.2508999999999999</v>
      </c>
      <c r="Q382">
        <v>0.97130000000000005</v>
      </c>
      <c r="R382">
        <v>0.82328000000000001</v>
      </c>
      <c r="S382">
        <v>0.73058999999999996</v>
      </c>
      <c r="T382">
        <v>111.315</v>
      </c>
      <c r="U382">
        <v>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</row>
    <row r="383" spans="1:35" s="1857" customFormat="1" hidden="1" outlineLevel="1">
      <c r="A383" s="8">
        <v>43113</v>
      </c>
      <c r="B383" s="1860">
        <v>2283.04421</v>
      </c>
      <c r="C383" s="1860">
        <v>2940.24503</v>
      </c>
      <c r="D383" s="1860">
        <v>3468.8703500000001</v>
      </c>
      <c r="E383" s="1860">
        <v>3908.95838</v>
      </c>
      <c r="F383">
        <v>25.655660000000001</v>
      </c>
      <c r="G383" s="1861">
        <v>2855.86</v>
      </c>
      <c r="I383">
        <v>0.79942000000000002</v>
      </c>
      <c r="J383">
        <v>1.02955</v>
      </c>
      <c r="K383">
        <v>1.21465</v>
      </c>
      <c r="L383">
        <v>1.3687499999999999</v>
      </c>
      <c r="M383">
        <v>8.9800000000000001E-3</v>
      </c>
      <c r="N383">
        <v>1</v>
      </c>
      <c r="P383">
        <v>1.2508999999999999</v>
      </c>
      <c r="Q383">
        <v>0.97130000000000005</v>
      </c>
      <c r="R383">
        <v>0.82328000000000001</v>
      </c>
      <c r="S383">
        <v>0.73058999999999996</v>
      </c>
      <c r="T383">
        <v>111.315</v>
      </c>
      <c r="U383">
        <v>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</row>
    <row r="384" spans="1:35" s="1857" customFormat="1" hidden="1" outlineLevel="1">
      <c r="A384" s="8">
        <v>43114</v>
      </c>
      <c r="B384" s="1860">
        <v>2283.04421</v>
      </c>
      <c r="C384" s="1860">
        <v>2940.24503</v>
      </c>
      <c r="D384" s="1860">
        <v>3468.8703500000001</v>
      </c>
      <c r="E384" s="1860">
        <v>3908.95838</v>
      </c>
      <c r="F384">
        <v>25.655660000000001</v>
      </c>
      <c r="G384" s="1861">
        <v>2855.86</v>
      </c>
      <c r="I384">
        <v>0.79942000000000002</v>
      </c>
      <c r="J384">
        <v>1.02955</v>
      </c>
      <c r="K384">
        <v>1.21465</v>
      </c>
      <c r="L384">
        <v>1.3687499999999999</v>
      </c>
      <c r="M384">
        <v>8.9800000000000001E-3</v>
      </c>
      <c r="N384">
        <v>1</v>
      </c>
      <c r="P384">
        <v>1.2508999999999999</v>
      </c>
      <c r="Q384">
        <v>0.97130000000000005</v>
      </c>
      <c r="R384">
        <v>0.82328000000000001</v>
      </c>
      <c r="S384">
        <v>0.73058999999999996</v>
      </c>
      <c r="T384">
        <v>111.315</v>
      </c>
      <c r="U384">
        <v>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</row>
    <row r="385" spans="1:35" s="1857" customFormat="1" hidden="1" outlineLevel="1">
      <c r="A385" s="8">
        <v>43115</v>
      </c>
      <c r="B385" s="1860">
        <v>2301.6279800000002</v>
      </c>
      <c r="C385" s="1860">
        <v>2964.5092599999998</v>
      </c>
      <c r="D385" s="1860">
        <v>3504.9969799999999</v>
      </c>
      <c r="E385" s="1860">
        <v>3941.8007699999998</v>
      </c>
      <c r="F385">
        <v>25.842549999999999</v>
      </c>
      <c r="G385" s="1861">
        <v>2855.86</v>
      </c>
      <c r="I385">
        <v>0.80593000000000004</v>
      </c>
      <c r="J385">
        <v>1.0380400000000001</v>
      </c>
      <c r="K385">
        <v>1.2273000000000001</v>
      </c>
      <c r="L385">
        <v>1.38025</v>
      </c>
      <c r="M385">
        <v>9.0500000000000008E-3</v>
      </c>
      <c r="N385">
        <v>1</v>
      </c>
      <c r="P385">
        <v>1.2407999999999999</v>
      </c>
      <c r="Q385">
        <v>0.96335000000000004</v>
      </c>
      <c r="R385">
        <v>0.81479999999999997</v>
      </c>
      <c r="S385">
        <v>0.72450999999999999</v>
      </c>
      <c r="T385">
        <v>110.51</v>
      </c>
      <c r="U385">
        <v>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</row>
    <row r="386" spans="1:35" s="1857" customFormat="1" hidden="1" outlineLevel="1">
      <c r="A386" s="8">
        <v>43116</v>
      </c>
      <c r="B386" s="1860">
        <v>2301.5352400000002</v>
      </c>
      <c r="C386" s="1860">
        <v>2967.8981600000002</v>
      </c>
      <c r="D386" s="1860">
        <v>3492.8595700000001</v>
      </c>
      <c r="E386" s="1860">
        <v>3933.66156</v>
      </c>
      <c r="F386">
        <v>25.801690000000001</v>
      </c>
      <c r="G386" s="1861">
        <v>2855.86</v>
      </c>
      <c r="I386">
        <v>0.80589999999999995</v>
      </c>
      <c r="J386">
        <v>1.0392300000000001</v>
      </c>
      <c r="K386">
        <v>1.22305</v>
      </c>
      <c r="L386">
        <v>1.3774</v>
      </c>
      <c r="M386">
        <v>9.0299999999999998E-3</v>
      </c>
      <c r="N386">
        <v>1</v>
      </c>
      <c r="P386">
        <v>1.24085</v>
      </c>
      <c r="Q386">
        <v>0.96225000000000005</v>
      </c>
      <c r="R386">
        <v>0.81762999999999997</v>
      </c>
      <c r="S386">
        <v>0.72601000000000004</v>
      </c>
      <c r="T386">
        <v>110.685</v>
      </c>
      <c r="U386">
        <v>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</row>
    <row r="387" spans="1:35" hidden="1" outlineLevel="1">
      <c r="A387" s="8">
        <v>43117</v>
      </c>
      <c r="B387" s="1860">
        <v>2301.9744799999999</v>
      </c>
      <c r="C387" s="1860">
        <v>2984.8883799999999</v>
      </c>
      <c r="D387" s="1860">
        <v>3511.1857300000001</v>
      </c>
      <c r="E387" s="1860">
        <v>3967.6327000000001</v>
      </c>
      <c r="F387">
        <v>25.902280000000001</v>
      </c>
      <c r="G387" s="1861">
        <v>2868.03</v>
      </c>
      <c r="I387">
        <v>0.80262999999999995</v>
      </c>
      <c r="J387">
        <v>1.0407500000000001</v>
      </c>
      <c r="K387">
        <v>1.2242500000000001</v>
      </c>
      <c r="L387">
        <v>1.3834</v>
      </c>
      <c r="M387">
        <v>9.0299999999999998E-3</v>
      </c>
      <c r="N387">
        <v>1</v>
      </c>
      <c r="P387">
        <v>1.2459</v>
      </c>
      <c r="Q387">
        <v>0.96084999999999998</v>
      </c>
      <c r="R387">
        <v>0.81682999999999995</v>
      </c>
      <c r="S387">
        <v>0.72285999999999995</v>
      </c>
      <c r="T387">
        <v>110.72499999999999</v>
      </c>
      <c r="U387">
        <v>1</v>
      </c>
    </row>
    <row r="388" spans="1:35" hidden="1" outlineLevel="1">
      <c r="A388" s="8">
        <v>43118</v>
      </c>
      <c r="B388" s="1860">
        <v>2286.7581</v>
      </c>
      <c r="C388" s="1860">
        <v>2972.0942399999999</v>
      </c>
      <c r="D388" s="1860">
        <v>3489.6405599999998</v>
      </c>
      <c r="E388" s="1860">
        <v>3958.7940100000001</v>
      </c>
      <c r="F388">
        <v>25.696269999999998</v>
      </c>
      <c r="G388" s="1861">
        <v>2851.13</v>
      </c>
      <c r="I388">
        <v>0.80205000000000004</v>
      </c>
      <c r="J388">
        <v>1.04243</v>
      </c>
      <c r="K388">
        <v>1.2239500000000001</v>
      </c>
      <c r="L388">
        <v>1.3885000000000001</v>
      </c>
      <c r="M388">
        <v>9.0100000000000006E-3</v>
      </c>
      <c r="N388">
        <v>1</v>
      </c>
      <c r="P388">
        <v>1.2467999999999999</v>
      </c>
      <c r="Q388">
        <v>0.95930000000000004</v>
      </c>
      <c r="R388">
        <v>0.81703000000000003</v>
      </c>
      <c r="S388">
        <v>0.72019999999999995</v>
      </c>
      <c r="T388">
        <v>110.955</v>
      </c>
      <c r="U388">
        <v>1</v>
      </c>
    </row>
    <row r="389" spans="1:35" hidden="1" outlineLevel="1">
      <c r="A389" s="8">
        <v>43119</v>
      </c>
      <c r="B389" s="1860">
        <v>2278.1369199999999</v>
      </c>
      <c r="C389" s="1860">
        <v>2949.82843</v>
      </c>
      <c r="D389" s="1860">
        <v>3467.9072799999999</v>
      </c>
      <c r="E389" s="1860">
        <v>3928.0443500000001</v>
      </c>
      <c r="F389">
        <v>25.64152</v>
      </c>
      <c r="G389" s="1861">
        <v>2836.85</v>
      </c>
      <c r="I389">
        <v>0.80305000000000004</v>
      </c>
      <c r="J389">
        <v>1.03983</v>
      </c>
      <c r="K389">
        <v>1.22245</v>
      </c>
      <c r="L389">
        <v>1.3846499999999999</v>
      </c>
      <c r="M389">
        <v>9.0399999999999994E-3</v>
      </c>
      <c r="N389">
        <v>1</v>
      </c>
      <c r="P389">
        <v>1.24525</v>
      </c>
      <c r="Q389">
        <v>0.9617</v>
      </c>
      <c r="R389">
        <v>0.81803000000000003</v>
      </c>
      <c r="S389">
        <v>0.72219999999999995</v>
      </c>
      <c r="T389">
        <v>110.63500000000001</v>
      </c>
      <c r="U389">
        <v>1</v>
      </c>
    </row>
    <row r="390" spans="1:35" hidden="1" outlineLevel="1">
      <c r="A390" s="8">
        <v>43120</v>
      </c>
      <c r="B390" s="1860">
        <v>2290.10239</v>
      </c>
      <c r="C390" s="1860">
        <v>2965.3218299999999</v>
      </c>
      <c r="D390" s="1860">
        <v>3486.1217900000001</v>
      </c>
      <c r="E390" s="1860">
        <v>3948.6756399999999</v>
      </c>
      <c r="F390">
        <v>25.776199999999999</v>
      </c>
      <c r="G390" s="1861">
        <v>2851.75</v>
      </c>
      <c r="I390">
        <v>0.80305000000000004</v>
      </c>
      <c r="J390">
        <v>1.03983</v>
      </c>
      <c r="K390">
        <v>1.22245</v>
      </c>
      <c r="L390">
        <v>1.3846499999999999</v>
      </c>
      <c r="M390">
        <v>9.0399999999999994E-3</v>
      </c>
      <c r="N390">
        <v>1</v>
      </c>
      <c r="P390">
        <v>1.24525</v>
      </c>
      <c r="Q390">
        <v>0.9617</v>
      </c>
      <c r="R390">
        <v>0.81803000000000003</v>
      </c>
      <c r="S390">
        <v>0.72219999999999995</v>
      </c>
      <c r="T390">
        <v>110.63500000000001</v>
      </c>
      <c r="U390">
        <v>1</v>
      </c>
    </row>
    <row r="391" spans="1:35" hidden="1" outlineLevel="1">
      <c r="A391" s="8">
        <v>43121</v>
      </c>
      <c r="B391" s="1860">
        <v>2290.10239</v>
      </c>
      <c r="C391" s="1860">
        <v>2965.3218299999999</v>
      </c>
      <c r="D391" s="1860">
        <v>3486.1217900000001</v>
      </c>
      <c r="E391" s="1860">
        <v>3948.6756399999999</v>
      </c>
      <c r="F391">
        <v>25.776199999999999</v>
      </c>
      <c r="G391" s="1861">
        <v>2851.75</v>
      </c>
      <c r="I391">
        <v>0.80305000000000004</v>
      </c>
      <c r="J391">
        <v>1.03983</v>
      </c>
      <c r="K391">
        <v>1.22245</v>
      </c>
      <c r="L391">
        <v>1.3846499999999999</v>
      </c>
      <c r="M391">
        <v>9.0399999999999994E-3</v>
      </c>
      <c r="N391">
        <v>1</v>
      </c>
      <c r="P391">
        <v>1.24525</v>
      </c>
      <c r="Q391">
        <v>0.9617</v>
      </c>
      <c r="R391">
        <v>0.81803000000000003</v>
      </c>
      <c r="S391">
        <v>0.72219999999999995</v>
      </c>
      <c r="T391">
        <v>110.63500000000001</v>
      </c>
      <c r="U391">
        <v>1</v>
      </c>
    </row>
    <row r="392" spans="1:35" hidden="1" outlineLevel="1">
      <c r="A392" s="8">
        <v>43122</v>
      </c>
      <c r="B392" s="1860">
        <v>2290.9302699999998</v>
      </c>
      <c r="C392" s="1860">
        <v>2968.56295</v>
      </c>
      <c r="D392" s="1860">
        <v>3493.8215100000002</v>
      </c>
      <c r="E392" s="1860">
        <v>3982.8966399999999</v>
      </c>
      <c r="F392">
        <v>25.738980000000002</v>
      </c>
      <c r="G392" s="1861">
        <v>2851.75</v>
      </c>
      <c r="I392">
        <v>0.80334000000000005</v>
      </c>
      <c r="J392">
        <v>1.0409600000000001</v>
      </c>
      <c r="K392">
        <v>1.22515</v>
      </c>
      <c r="L392">
        <v>1.3966499999999999</v>
      </c>
      <c r="M392">
        <v>9.0299999999999998E-3</v>
      </c>
      <c r="N392">
        <v>1</v>
      </c>
      <c r="P392">
        <v>1.2447999999999999</v>
      </c>
      <c r="Q392">
        <v>0.96065</v>
      </c>
      <c r="R392">
        <v>0.81623000000000001</v>
      </c>
      <c r="S392">
        <v>0.71599999999999997</v>
      </c>
      <c r="T392">
        <v>110.795</v>
      </c>
      <c r="U392">
        <v>1</v>
      </c>
    </row>
    <row r="393" spans="1:35" hidden="1" outlineLevel="1">
      <c r="A393" s="8">
        <v>43123</v>
      </c>
      <c r="B393" s="1860">
        <v>2295.2955400000001</v>
      </c>
      <c r="C393" s="1860">
        <v>2980.5764399999998</v>
      </c>
      <c r="D393" s="1860">
        <v>3508.66806</v>
      </c>
      <c r="E393" s="1860">
        <v>4001.0175599999998</v>
      </c>
      <c r="F393">
        <v>25.866150000000001</v>
      </c>
      <c r="G393" s="1861">
        <v>2854.2</v>
      </c>
      <c r="I393">
        <v>0.80418000000000001</v>
      </c>
      <c r="J393">
        <v>1.0442800000000001</v>
      </c>
      <c r="K393">
        <v>1.2293000000000001</v>
      </c>
      <c r="L393">
        <v>1.4017999999999999</v>
      </c>
      <c r="M393">
        <v>9.0600000000000003E-3</v>
      </c>
      <c r="N393">
        <v>1</v>
      </c>
      <c r="P393">
        <v>1.2435</v>
      </c>
      <c r="Q393">
        <v>0.95760000000000001</v>
      </c>
      <c r="R393">
        <v>0.81347000000000003</v>
      </c>
      <c r="S393">
        <v>0.71336999999999995</v>
      </c>
      <c r="T393">
        <v>110.345</v>
      </c>
      <c r="U393">
        <v>1</v>
      </c>
    </row>
    <row r="394" spans="1:35" hidden="1" outlineLevel="1">
      <c r="A394" s="8">
        <v>43124</v>
      </c>
      <c r="B394" s="1860">
        <v>2315.0435299999999</v>
      </c>
      <c r="C394" s="1860">
        <v>3022.3091599999998</v>
      </c>
      <c r="D394" s="1860">
        <v>3539.3946999999998</v>
      </c>
      <c r="E394" s="1860">
        <v>4065.64455</v>
      </c>
      <c r="F394">
        <v>26.181539999999998</v>
      </c>
      <c r="G394" s="1861">
        <v>2858.5</v>
      </c>
      <c r="I394">
        <v>0.80988000000000004</v>
      </c>
      <c r="J394">
        <v>1.05731</v>
      </c>
      <c r="K394">
        <v>1.2382</v>
      </c>
      <c r="L394">
        <v>1.4222999999999999</v>
      </c>
      <c r="M394">
        <v>9.1599999999999997E-3</v>
      </c>
      <c r="N394">
        <v>1</v>
      </c>
      <c r="P394">
        <v>1.23475</v>
      </c>
      <c r="Q394">
        <v>0.94579999999999997</v>
      </c>
      <c r="R394">
        <v>0.80762</v>
      </c>
      <c r="S394">
        <v>0.70308999999999999</v>
      </c>
      <c r="T394">
        <v>109.18</v>
      </c>
      <c r="U394">
        <v>1</v>
      </c>
    </row>
    <row r="395" spans="1:35" hidden="1" outlineLevel="1">
      <c r="A395" s="8">
        <v>43125</v>
      </c>
      <c r="B395" s="1860">
        <v>2295.2597999999998</v>
      </c>
      <c r="C395" s="1860">
        <v>3027.2941900000001</v>
      </c>
      <c r="D395" s="1860">
        <v>3526.50866</v>
      </c>
      <c r="E395" s="1860">
        <v>4034.0630299999998</v>
      </c>
      <c r="F395">
        <v>25.94903</v>
      </c>
      <c r="G395" s="1861">
        <v>2820.53</v>
      </c>
      <c r="I395">
        <v>0.81376999999999999</v>
      </c>
      <c r="J395">
        <v>1.07331</v>
      </c>
      <c r="K395">
        <v>1.2503</v>
      </c>
      <c r="L395">
        <v>1.43025</v>
      </c>
      <c r="M395">
        <v>9.1999999999999998E-3</v>
      </c>
      <c r="N395">
        <v>1</v>
      </c>
      <c r="P395">
        <v>1.22885</v>
      </c>
      <c r="Q395">
        <v>0.93169999999999997</v>
      </c>
      <c r="R395">
        <v>0.79981000000000002</v>
      </c>
      <c r="S395">
        <v>0.69918000000000002</v>
      </c>
      <c r="T395">
        <v>108.69499999999999</v>
      </c>
      <c r="U395">
        <v>1</v>
      </c>
    </row>
    <row r="396" spans="1:35" hidden="1" outlineLevel="1">
      <c r="A396" s="8">
        <v>43126</v>
      </c>
      <c r="B396" s="1860">
        <v>2257.9344500000002</v>
      </c>
      <c r="C396" s="1860">
        <v>2976.1321699999999</v>
      </c>
      <c r="D396" s="1860">
        <v>3460.4046899999998</v>
      </c>
      <c r="E396" s="1860">
        <v>3947.3132799999998</v>
      </c>
      <c r="F396">
        <v>25.630890000000001</v>
      </c>
      <c r="G396" s="1861">
        <v>2783.13</v>
      </c>
      <c r="I396">
        <v>0.81128999999999996</v>
      </c>
      <c r="J396">
        <v>1.06935</v>
      </c>
      <c r="K396">
        <v>1.24335</v>
      </c>
      <c r="L396">
        <v>1.4182999999999999</v>
      </c>
      <c r="M396">
        <v>9.2099999999999994E-3</v>
      </c>
      <c r="N396">
        <v>1</v>
      </c>
      <c r="P396">
        <v>1.2325999999999999</v>
      </c>
      <c r="Q396">
        <v>0.93515000000000004</v>
      </c>
      <c r="R396">
        <v>0.80427999999999999</v>
      </c>
      <c r="S396">
        <v>0.70506999999999997</v>
      </c>
      <c r="T396">
        <v>108.58499999999999</v>
      </c>
      <c r="U396">
        <v>1</v>
      </c>
    </row>
    <row r="397" spans="1:35" hidden="1" outlineLevel="1">
      <c r="A397" s="8">
        <v>43127</v>
      </c>
      <c r="B397" s="1860">
        <v>2275.7747899999999</v>
      </c>
      <c r="C397" s="1860">
        <v>2999.6471200000001</v>
      </c>
      <c r="D397" s="1860">
        <v>3487.74595</v>
      </c>
      <c r="E397" s="1860">
        <v>3978.5016999999998</v>
      </c>
      <c r="F397">
        <v>25.833400000000001</v>
      </c>
      <c r="G397" s="1861">
        <v>2805.12</v>
      </c>
      <c r="I397">
        <v>0.81128999999999996</v>
      </c>
      <c r="J397">
        <v>1.06935</v>
      </c>
      <c r="K397">
        <v>1.24335</v>
      </c>
      <c r="L397">
        <v>1.4182999999999999</v>
      </c>
      <c r="M397">
        <v>9.2099999999999994E-3</v>
      </c>
      <c r="N397">
        <v>1</v>
      </c>
      <c r="P397">
        <v>1.2325999999999999</v>
      </c>
      <c r="Q397">
        <v>0.93515000000000004</v>
      </c>
      <c r="R397">
        <v>0.80427999999999999</v>
      </c>
      <c r="S397">
        <v>0.70506999999999997</v>
      </c>
      <c r="T397">
        <v>108.58499999999999</v>
      </c>
      <c r="U397">
        <v>1</v>
      </c>
    </row>
    <row r="398" spans="1:35" hidden="1" outlineLevel="1">
      <c r="A398" s="8">
        <v>43128</v>
      </c>
      <c r="B398" s="1860">
        <v>2275.7747899999999</v>
      </c>
      <c r="C398" s="1860">
        <v>2999.6471200000001</v>
      </c>
      <c r="D398" s="1860">
        <v>3487.74595</v>
      </c>
      <c r="E398" s="1860">
        <v>3978.5016999999998</v>
      </c>
      <c r="F398">
        <v>25.833400000000001</v>
      </c>
      <c r="G398" s="1861">
        <v>2805.12</v>
      </c>
      <c r="I398">
        <v>0.81128999999999996</v>
      </c>
      <c r="J398">
        <v>1.06935</v>
      </c>
      <c r="K398">
        <v>1.24335</v>
      </c>
      <c r="L398">
        <v>1.4182999999999999</v>
      </c>
      <c r="M398">
        <v>9.2099999999999994E-3</v>
      </c>
      <c r="N398">
        <v>1</v>
      </c>
      <c r="P398">
        <v>1.2325999999999999</v>
      </c>
      <c r="Q398">
        <v>0.93515000000000004</v>
      </c>
      <c r="R398">
        <v>0.80427999999999999</v>
      </c>
      <c r="S398">
        <v>0.70506999999999997</v>
      </c>
      <c r="T398">
        <v>108.58499999999999</v>
      </c>
      <c r="U398">
        <v>1</v>
      </c>
    </row>
    <row r="399" spans="1:35" hidden="1" outlineLevel="1">
      <c r="A399" s="8">
        <v>43129</v>
      </c>
      <c r="B399" s="1860">
        <v>2274.6675300000002</v>
      </c>
      <c r="C399" s="1860">
        <v>2995.80285</v>
      </c>
      <c r="D399" s="1860">
        <v>3466.14653</v>
      </c>
      <c r="E399" s="1860">
        <v>3944.9805099999999</v>
      </c>
      <c r="F399">
        <v>25.727959999999999</v>
      </c>
      <c r="G399" s="1861">
        <v>2805.12</v>
      </c>
      <c r="I399">
        <v>0.81089999999999995</v>
      </c>
      <c r="J399">
        <v>1.0679799999999999</v>
      </c>
      <c r="K399">
        <v>1.2356499999999999</v>
      </c>
      <c r="L399">
        <v>1.40635</v>
      </c>
      <c r="M399">
        <v>9.1699999999999993E-3</v>
      </c>
      <c r="N399">
        <v>1</v>
      </c>
      <c r="P399">
        <v>1.2332000000000001</v>
      </c>
      <c r="Q399">
        <v>0.93635000000000002</v>
      </c>
      <c r="R399">
        <v>0.80928999999999995</v>
      </c>
      <c r="S399">
        <v>0.71106000000000003</v>
      </c>
      <c r="T399">
        <v>109.03</v>
      </c>
      <c r="U399">
        <v>1</v>
      </c>
    </row>
    <row r="400" spans="1:35" hidden="1" outlineLevel="1">
      <c r="A400" s="8">
        <v>43130</v>
      </c>
      <c r="B400" s="1860">
        <v>2306.1453000000001</v>
      </c>
      <c r="C400" s="1860">
        <v>3041.4272700000001</v>
      </c>
      <c r="D400" s="1860">
        <v>3528.1798699999999</v>
      </c>
      <c r="E400" s="1860">
        <v>4012.9972400000001</v>
      </c>
      <c r="F400">
        <v>26.125080000000001</v>
      </c>
      <c r="G400" s="1861">
        <v>2842.67</v>
      </c>
      <c r="I400">
        <v>0.81125999999999998</v>
      </c>
      <c r="J400">
        <v>1.06992</v>
      </c>
      <c r="K400">
        <v>1.24115</v>
      </c>
      <c r="L400">
        <v>1.4117</v>
      </c>
      <c r="M400">
        <v>9.1900000000000003E-3</v>
      </c>
      <c r="N400">
        <v>1</v>
      </c>
      <c r="P400">
        <v>1.23265</v>
      </c>
      <c r="Q400">
        <v>0.93464999999999998</v>
      </c>
      <c r="R400">
        <v>0.80569999999999997</v>
      </c>
      <c r="S400">
        <v>0.70837000000000006</v>
      </c>
      <c r="T400">
        <v>108.81</v>
      </c>
      <c r="U400">
        <v>1</v>
      </c>
    </row>
    <row r="401" spans="1:35" ht="15.75" hidden="1" outlineLevel="1" thickBot="1">
      <c r="A401" s="1868">
        <v>43131</v>
      </c>
      <c r="B401" s="1869">
        <v>2318.2459100000001</v>
      </c>
      <c r="C401" s="1869">
        <v>3059.53098</v>
      </c>
      <c r="D401" s="1869">
        <v>3543.0874100000001</v>
      </c>
      <c r="E401" s="1869">
        <v>4044.50929</v>
      </c>
      <c r="F401" s="1870">
        <v>26.055980000000002</v>
      </c>
      <c r="G401" s="1871">
        <v>2844.14</v>
      </c>
      <c r="H401" s="1872"/>
      <c r="I401" s="1870">
        <v>0.81510000000000005</v>
      </c>
      <c r="J401" s="1870">
        <v>1.0757300000000001</v>
      </c>
      <c r="K401" s="1870">
        <v>1.2457499999999999</v>
      </c>
      <c r="L401" s="1870">
        <v>1.42205</v>
      </c>
      <c r="M401" s="1870">
        <v>9.1599999999999997E-3</v>
      </c>
      <c r="N401" s="1870">
        <v>1</v>
      </c>
      <c r="O401" s="1872"/>
      <c r="P401" s="1870">
        <v>9.1599999999999997E-3</v>
      </c>
      <c r="Q401" s="1870">
        <v>0.92959999999999998</v>
      </c>
      <c r="R401" s="1870">
        <v>0.80273000000000005</v>
      </c>
      <c r="S401" s="1870">
        <v>0.70321</v>
      </c>
      <c r="T401" s="1870">
        <v>109.155</v>
      </c>
      <c r="U401" s="1870">
        <v>1</v>
      </c>
      <c r="V401" s="1872"/>
    </row>
    <row r="402" spans="1:35" hidden="1" outlineLevel="1">
      <c r="A402" s="8">
        <v>43132</v>
      </c>
      <c r="B402" s="1860">
        <v>2308.2966900000001</v>
      </c>
      <c r="C402" s="1860">
        <v>3054.5170499999999</v>
      </c>
      <c r="D402" s="1860">
        <v>3535.4490999999998</v>
      </c>
      <c r="E402" s="1860">
        <v>4036.1189300000001</v>
      </c>
      <c r="F402">
        <v>25.918089999999999</v>
      </c>
      <c r="G402" s="1861">
        <v>2835.05</v>
      </c>
      <c r="I402">
        <v>0.81420000000000003</v>
      </c>
      <c r="J402">
        <v>1.07741</v>
      </c>
      <c r="K402">
        <v>1.24705</v>
      </c>
      <c r="L402">
        <v>1.4236500000000001</v>
      </c>
      <c r="M402">
        <v>9.1400000000000006E-3</v>
      </c>
      <c r="N402">
        <v>1</v>
      </c>
      <c r="P402">
        <v>1.2282</v>
      </c>
      <c r="Q402">
        <v>0.92815000000000003</v>
      </c>
      <c r="R402">
        <v>0.80188999999999999</v>
      </c>
      <c r="S402">
        <v>0.70242000000000004</v>
      </c>
      <c r="T402">
        <v>109.38500000000001</v>
      </c>
      <c r="U402">
        <v>1</v>
      </c>
    </row>
    <row r="403" spans="1:35" s="1857" customFormat="1" hidden="1" outlineLevel="1">
      <c r="A403" s="8">
        <v>43133</v>
      </c>
      <c r="B403" s="1860">
        <v>2265.0875599999999</v>
      </c>
      <c r="C403" s="1860">
        <v>3011.4485</v>
      </c>
      <c r="D403" s="1860">
        <v>3490.6554799999999</v>
      </c>
      <c r="E403" s="1860">
        <v>3964.1407100000001</v>
      </c>
      <c r="F403">
        <v>25.426189999999998</v>
      </c>
      <c r="G403" s="1861">
        <v>2806.67</v>
      </c>
      <c r="I403">
        <v>0.80703999999999998</v>
      </c>
      <c r="J403">
        <v>1.0729599999999999</v>
      </c>
      <c r="K403">
        <v>1.2437</v>
      </c>
      <c r="L403">
        <v>1.4124000000000001</v>
      </c>
      <c r="M403">
        <v>9.0600000000000003E-3</v>
      </c>
      <c r="N403">
        <v>1</v>
      </c>
      <c r="P403">
        <v>1.2391000000000001</v>
      </c>
      <c r="Q403">
        <v>0.93200000000000005</v>
      </c>
      <c r="R403">
        <v>0.80405000000000004</v>
      </c>
      <c r="S403">
        <v>0.70801000000000003</v>
      </c>
      <c r="T403">
        <v>110.38500000000001</v>
      </c>
      <c r="U403">
        <v>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</row>
    <row r="404" spans="1:35" s="1857" customFormat="1" hidden="1" outlineLevel="1">
      <c r="A404" s="8">
        <v>43134</v>
      </c>
      <c r="B404" s="1860">
        <v>2285.6347300000002</v>
      </c>
      <c r="C404" s="1860">
        <v>3038.7660900000001</v>
      </c>
      <c r="D404" s="1860">
        <v>3522.32008</v>
      </c>
      <c r="E404" s="1860">
        <v>4000.10041</v>
      </c>
      <c r="F404">
        <v>25.656839999999999</v>
      </c>
      <c r="G404" s="1861">
        <v>2832.13</v>
      </c>
      <c r="I404">
        <v>0.80703999999999998</v>
      </c>
      <c r="J404">
        <v>1.0729599999999999</v>
      </c>
      <c r="K404">
        <v>1.2437</v>
      </c>
      <c r="L404">
        <v>1.4124000000000001</v>
      </c>
      <c r="M404">
        <v>9.0600000000000003E-3</v>
      </c>
      <c r="N404">
        <v>1</v>
      </c>
      <c r="P404">
        <v>1.2391000000000001</v>
      </c>
      <c r="Q404">
        <v>0.93200000000000005</v>
      </c>
      <c r="R404">
        <v>0.80405000000000004</v>
      </c>
      <c r="S404">
        <v>0.70801000000000003</v>
      </c>
      <c r="T404">
        <v>110.38500000000001</v>
      </c>
      <c r="U404">
        <v>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</row>
    <row r="405" spans="1:35" s="1857" customFormat="1" hidden="1" outlineLevel="1">
      <c r="A405" s="8">
        <v>43135</v>
      </c>
      <c r="B405" s="1860">
        <v>2285.6347300000002</v>
      </c>
      <c r="C405" s="1860">
        <v>3038.7660900000001</v>
      </c>
      <c r="D405" s="1860">
        <v>3522.32008</v>
      </c>
      <c r="E405" s="1860">
        <v>4000.10041</v>
      </c>
      <c r="F405">
        <v>25.656839999999999</v>
      </c>
      <c r="G405" s="1861">
        <v>2832.13</v>
      </c>
      <c r="I405">
        <v>0.80703999999999998</v>
      </c>
      <c r="J405">
        <v>1.0729599999999999</v>
      </c>
      <c r="K405">
        <v>1.2437</v>
      </c>
      <c r="L405">
        <v>1.4124000000000001</v>
      </c>
      <c r="M405">
        <v>9.0600000000000003E-3</v>
      </c>
      <c r="N405">
        <v>1</v>
      </c>
      <c r="P405">
        <v>1.2391000000000001</v>
      </c>
      <c r="Q405">
        <v>0.93200000000000005</v>
      </c>
      <c r="R405">
        <v>0.80405000000000004</v>
      </c>
      <c r="S405">
        <v>0.70801000000000003</v>
      </c>
      <c r="T405">
        <v>110.38500000000001</v>
      </c>
      <c r="U405">
        <v>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</row>
    <row r="406" spans="1:35" s="1857" customFormat="1" hidden="1" outlineLevel="1">
      <c r="A406" s="8">
        <v>43136</v>
      </c>
      <c r="B406" s="1860">
        <v>2271.1547700000001</v>
      </c>
      <c r="C406" s="1860">
        <v>3022.7119899999998</v>
      </c>
      <c r="D406" s="1860">
        <v>3517.5054599999999</v>
      </c>
      <c r="E406" s="1860">
        <v>3970.3630499999999</v>
      </c>
      <c r="F406">
        <v>25.72092</v>
      </c>
      <c r="G406" s="1861">
        <v>2832.13</v>
      </c>
      <c r="I406">
        <v>0.80191999999999997</v>
      </c>
      <c r="J406">
        <v>1.0672900000000001</v>
      </c>
      <c r="K406">
        <v>1.242</v>
      </c>
      <c r="L406">
        <v>1.4018999999999999</v>
      </c>
      <c r="M406">
        <v>9.0799999999999995E-3</v>
      </c>
      <c r="N406">
        <v>1</v>
      </c>
      <c r="P406">
        <v>1.2470000000000001</v>
      </c>
      <c r="Q406">
        <v>0.93694999999999995</v>
      </c>
      <c r="R406">
        <v>0.80515000000000003</v>
      </c>
      <c r="S406">
        <v>0.71331999999999995</v>
      </c>
      <c r="T406">
        <v>110.11</v>
      </c>
      <c r="U406">
        <v>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</row>
    <row r="407" spans="1:35" s="1857" customFormat="1" hidden="1" outlineLevel="1">
      <c r="A407" s="8">
        <v>43137</v>
      </c>
      <c r="B407" s="1860">
        <v>2268.7996199999998</v>
      </c>
      <c r="C407" s="1860">
        <v>3028.97316</v>
      </c>
      <c r="D407" s="1860">
        <v>3510.2820200000001</v>
      </c>
      <c r="E407" s="1860">
        <v>3954.7366999999999</v>
      </c>
      <c r="F407">
        <v>26.020040000000002</v>
      </c>
      <c r="G407" s="1861">
        <v>2843.6</v>
      </c>
      <c r="I407">
        <v>0.79786000000000001</v>
      </c>
      <c r="J407">
        <v>1.0651900000000001</v>
      </c>
      <c r="K407">
        <v>1.23445</v>
      </c>
      <c r="L407">
        <v>1.3907499999999999</v>
      </c>
      <c r="M407">
        <v>9.1500000000000001E-3</v>
      </c>
      <c r="N407">
        <v>1</v>
      </c>
      <c r="P407">
        <v>1.25335</v>
      </c>
      <c r="Q407">
        <v>0.93879999999999997</v>
      </c>
      <c r="R407">
        <v>0.81008000000000002</v>
      </c>
      <c r="S407">
        <v>0.71904000000000001</v>
      </c>
      <c r="T407">
        <v>109.285</v>
      </c>
      <c r="U407">
        <v>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</row>
    <row r="408" spans="1:35" s="1857" customFormat="1" hidden="1" outlineLevel="1">
      <c r="A408" s="8">
        <v>43138</v>
      </c>
      <c r="B408" s="1860">
        <v>2268.6949199999999</v>
      </c>
      <c r="C408" s="1860">
        <v>3011.1987300000001</v>
      </c>
      <c r="D408" s="1860">
        <v>3497.2917600000001</v>
      </c>
      <c r="E408" s="1860">
        <v>3949.3352500000001</v>
      </c>
      <c r="F408">
        <v>26.034870000000002</v>
      </c>
      <c r="G408" s="1861">
        <v>2844.83</v>
      </c>
      <c r="I408">
        <v>0.79747999999999997</v>
      </c>
      <c r="J408">
        <v>1.0584800000000001</v>
      </c>
      <c r="K408">
        <v>1.2293499999999999</v>
      </c>
      <c r="L408">
        <v>1.38825</v>
      </c>
      <c r="M408">
        <v>9.1500000000000001E-3</v>
      </c>
      <c r="N408">
        <v>1</v>
      </c>
      <c r="P408">
        <v>1.2539499999999999</v>
      </c>
      <c r="Q408">
        <v>0.94474999999999998</v>
      </c>
      <c r="R408">
        <v>0.81344000000000005</v>
      </c>
      <c r="S408">
        <v>0.72033000000000003</v>
      </c>
      <c r="T408">
        <v>109.27</v>
      </c>
      <c r="U408">
        <v>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</row>
    <row r="409" spans="1:35" s="1857" customFormat="1" hidden="1" outlineLevel="1">
      <c r="A409" s="8">
        <v>43139</v>
      </c>
      <c r="B409" s="1860">
        <v>2247.0056</v>
      </c>
      <c r="C409" s="1860">
        <v>3013.0275099999999</v>
      </c>
      <c r="D409" s="1860">
        <v>3469.96342</v>
      </c>
      <c r="E409" s="1860">
        <v>3962.6798199999998</v>
      </c>
      <c r="F409">
        <v>25.91441</v>
      </c>
      <c r="G409" s="1861">
        <v>2830.89</v>
      </c>
      <c r="I409">
        <v>0.79374999999999996</v>
      </c>
      <c r="J409">
        <v>1.0643400000000001</v>
      </c>
      <c r="K409">
        <v>1.2257499999999999</v>
      </c>
      <c r="L409">
        <v>1.3997999999999999</v>
      </c>
      <c r="M409">
        <v>9.1500000000000001E-3</v>
      </c>
      <c r="N409">
        <v>1</v>
      </c>
      <c r="P409">
        <v>1.2598499999999999</v>
      </c>
      <c r="Q409">
        <v>0.93955</v>
      </c>
      <c r="R409">
        <v>0.81583000000000006</v>
      </c>
      <c r="S409">
        <v>0.71438999999999997</v>
      </c>
      <c r="T409">
        <v>109.24</v>
      </c>
      <c r="U409">
        <v>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</row>
    <row r="410" spans="1:35" s="1857" customFormat="1" hidden="1" outlineLevel="1">
      <c r="A410" s="8">
        <v>43140</v>
      </c>
      <c r="B410" s="1860">
        <v>2269.52592</v>
      </c>
      <c r="C410" s="1860">
        <v>3044.7008799999999</v>
      </c>
      <c r="D410" s="1860">
        <v>3506.4760799999999</v>
      </c>
      <c r="E410" s="1860">
        <v>3952.6403500000001</v>
      </c>
      <c r="F410">
        <v>26.340160000000001</v>
      </c>
      <c r="G410" s="1861">
        <v>2862.78</v>
      </c>
      <c r="I410">
        <v>0.79276999999999997</v>
      </c>
      <c r="J410">
        <v>1.06355</v>
      </c>
      <c r="K410">
        <v>1.22485</v>
      </c>
      <c r="L410">
        <v>1.3807</v>
      </c>
      <c r="M410">
        <v>9.1999999999999998E-3</v>
      </c>
      <c r="N410">
        <v>1</v>
      </c>
      <c r="P410">
        <v>1.2614000000000001</v>
      </c>
      <c r="Q410">
        <v>0.94025000000000003</v>
      </c>
      <c r="R410">
        <v>0.81642999999999999</v>
      </c>
      <c r="S410">
        <v>0.72426999999999997</v>
      </c>
      <c r="T410">
        <v>108.685</v>
      </c>
      <c r="U410">
        <v>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</row>
    <row r="411" spans="1:35" s="1857" customFormat="1" hidden="1" outlineLevel="1">
      <c r="A411" s="8">
        <v>43141</v>
      </c>
      <c r="B411" s="1860">
        <v>2305.92992</v>
      </c>
      <c r="C411" s="1860">
        <v>3093.5389500000001</v>
      </c>
      <c r="D411" s="1860">
        <v>3562.7212</v>
      </c>
      <c r="E411" s="1860">
        <v>4016.0420899999999</v>
      </c>
      <c r="F411">
        <v>26.76266</v>
      </c>
      <c r="G411" s="1861">
        <v>2908.7</v>
      </c>
      <c r="I411">
        <v>0.79276999999999997</v>
      </c>
      <c r="J411">
        <v>1.06355</v>
      </c>
      <c r="K411">
        <v>1.22485</v>
      </c>
      <c r="L411">
        <v>1.3807</v>
      </c>
      <c r="M411">
        <v>9.1999999999999998E-3</v>
      </c>
      <c r="N411">
        <v>1</v>
      </c>
      <c r="P411">
        <v>1.2614000000000001</v>
      </c>
      <c r="Q411">
        <v>0.94025000000000003</v>
      </c>
      <c r="R411">
        <v>0.81642999999999999</v>
      </c>
      <c r="S411">
        <v>0.72426999999999997</v>
      </c>
      <c r="T411">
        <v>108.685</v>
      </c>
      <c r="U411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</row>
    <row r="412" spans="1:35" s="1857" customFormat="1" hidden="1" outlineLevel="1">
      <c r="A412" s="8">
        <v>43142</v>
      </c>
      <c r="B412" s="1860">
        <v>2305.92992</v>
      </c>
      <c r="C412" s="1860">
        <v>3093.5389500000001</v>
      </c>
      <c r="D412" s="1860">
        <v>3562.7212</v>
      </c>
      <c r="E412" s="1860">
        <v>4016.0420899999999</v>
      </c>
      <c r="F412">
        <v>26.76266</v>
      </c>
      <c r="G412" s="1861">
        <v>2908.7</v>
      </c>
      <c r="I412">
        <v>0.79276999999999997</v>
      </c>
      <c r="J412">
        <v>1.06355</v>
      </c>
      <c r="K412">
        <v>1.22485</v>
      </c>
      <c r="L412">
        <v>1.3807</v>
      </c>
      <c r="M412">
        <v>9.1999999999999998E-3</v>
      </c>
      <c r="N412">
        <v>1</v>
      </c>
      <c r="P412">
        <v>1.2614000000000001</v>
      </c>
      <c r="Q412">
        <v>0.94025000000000003</v>
      </c>
      <c r="R412">
        <v>0.81642999999999999</v>
      </c>
      <c r="S412">
        <v>0.72426999999999997</v>
      </c>
      <c r="T412">
        <v>108.685</v>
      </c>
      <c r="U412">
        <v>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</row>
    <row r="413" spans="1:35" s="1857" customFormat="1" hidden="1" outlineLevel="1">
      <c r="A413" s="8">
        <v>43143</v>
      </c>
      <c r="B413" s="1860">
        <v>2305.92992</v>
      </c>
      <c r="C413" s="1860">
        <v>3097.3272299999999</v>
      </c>
      <c r="D413" s="1860">
        <v>3570.72012</v>
      </c>
      <c r="E413" s="1860">
        <v>4016.4784</v>
      </c>
      <c r="F413">
        <v>26.797180000000001</v>
      </c>
      <c r="G413" s="1861">
        <v>2908.7</v>
      </c>
      <c r="I413">
        <v>0.79276999999999997</v>
      </c>
      <c r="J413">
        <v>1.0648500000000001</v>
      </c>
      <c r="K413">
        <v>1.2276</v>
      </c>
      <c r="L413">
        <v>1.3808499999999999</v>
      </c>
      <c r="M413">
        <v>9.2099999999999994E-3</v>
      </c>
      <c r="N413">
        <v>1</v>
      </c>
      <c r="P413">
        <v>1.2614000000000001</v>
      </c>
      <c r="Q413">
        <v>0.93910000000000005</v>
      </c>
      <c r="R413">
        <v>0.81459999999999999</v>
      </c>
      <c r="S413">
        <v>0.72419</v>
      </c>
      <c r="T413">
        <v>108.545</v>
      </c>
      <c r="U413">
        <v>1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</row>
    <row r="414" spans="1:35" s="1857" customFormat="1" hidden="1" outlineLevel="1">
      <c r="A414" s="8">
        <v>43144</v>
      </c>
      <c r="B414" s="1860">
        <v>2304.99206</v>
      </c>
      <c r="C414" s="1860">
        <v>3110.8504699999999</v>
      </c>
      <c r="D414" s="1860">
        <v>3588.54072</v>
      </c>
      <c r="E414" s="1860">
        <v>4030.86409</v>
      </c>
      <c r="F414">
        <v>27.017910000000001</v>
      </c>
      <c r="G414" s="1861">
        <v>2904.29</v>
      </c>
      <c r="I414">
        <v>0.79364999999999997</v>
      </c>
      <c r="J414">
        <v>1.0711200000000001</v>
      </c>
      <c r="K414">
        <v>1.2356</v>
      </c>
      <c r="L414">
        <v>1.3878999999999999</v>
      </c>
      <c r="M414">
        <v>9.2999999999999992E-3</v>
      </c>
      <c r="N414">
        <v>1</v>
      </c>
      <c r="P414">
        <v>1.26</v>
      </c>
      <c r="Q414">
        <v>0.93359999999999999</v>
      </c>
      <c r="R414">
        <v>0.80932000000000004</v>
      </c>
      <c r="S414">
        <v>0.72050999999999998</v>
      </c>
      <c r="T414">
        <v>107.495</v>
      </c>
      <c r="U414">
        <v>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</row>
    <row r="415" spans="1:35" s="1857" customFormat="1" hidden="1" outlineLevel="1">
      <c r="A415" s="8">
        <v>43145</v>
      </c>
      <c r="B415" s="1860">
        <v>2313.6803500000001</v>
      </c>
      <c r="C415" s="1860">
        <v>3120.3244199999999</v>
      </c>
      <c r="D415" s="1860">
        <v>3603.7284599999998</v>
      </c>
      <c r="E415" s="1860">
        <v>4056.1370400000001</v>
      </c>
      <c r="F415">
        <v>27.190020000000001</v>
      </c>
      <c r="G415" s="1861">
        <v>2904.71</v>
      </c>
      <c r="I415">
        <v>0.79652999999999996</v>
      </c>
      <c r="J415">
        <v>1.07423</v>
      </c>
      <c r="K415">
        <v>1.24065</v>
      </c>
      <c r="L415">
        <v>1.3964000000000001</v>
      </c>
      <c r="M415">
        <v>9.3600000000000003E-3</v>
      </c>
      <c r="N415">
        <v>1</v>
      </c>
      <c r="P415">
        <v>1.25545</v>
      </c>
      <c r="Q415">
        <v>0.93089999999999995</v>
      </c>
      <c r="R415">
        <v>0.80603000000000002</v>
      </c>
      <c r="S415">
        <v>0.71613000000000004</v>
      </c>
      <c r="T415">
        <v>106.83</v>
      </c>
      <c r="U415">
        <v>1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</row>
    <row r="416" spans="1:35" s="1857" customFormat="1" hidden="1" outlineLevel="1">
      <c r="A416" s="8">
        <v>43146</v>
      </c>
      <c r="B416" s="1860">
        <v>2312.5618899999999</v>
      </c>
      <c r="C416" s="1860">
        <v>3134.8200299999999</v>
      </c>
      <c r="D416" s="1860">
        <v>3613.8011299999998</v>
      </c>
      <c r="E416" s="1860">
        <v>4070.9015800000002</v>
      </c>
      <c r="F416">
        <v>27.253209999999999</v>
      </c>
      <c r="G416" s="1861">
        <v>2895.79</v>
      </c>
      <c r="I416">
        <v>0.79859000000000002</v>
      </c>
      <c r="J416">
        <v>1.0825400000000001</v>
      </c>
      <c r="K416">
        <v>1.2479499999999999</v>
      </c>
      <c r="L416">
        <v>1.4057999999999999</v>
      </c>
      <c r="M416">
        <v>9.41E-3</v>
      </c>
      <c r="N416">
        <v>1</v>
      </c>
      <c r="P416">
        <v>1.2522</v>
      </c>
      <c r="Q416">
        <v>0.92374999999999996</v>
      </c>
      <c r="R416">
        <v>0.80130999999999997</v>
      </c>
      <c r="S416">
        <v>0.71133999999999997</v>
      </c>
      <c r="T416">
        <v>106.255</v>
      </c>
      <c r="U416">
        <v>1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</row>
    <row r="417" spans="1:35" s="1857" customFormat="1" hidden="1" outlineLevel="1">
      <c r="A417" s="8">
        <v>43147</v>
      </c>
      <c r="B417" s="1860">
        <v>2273.7521900000002</v>
      </c>
      <c r="C417" s="1860">
        <v>3082.6289000000002</v>
      </c>
      <c r="D417" s="1860">
        <v>3549.9885399999998</v>
      </c>
      <c r="E417" s="1860">
        <v>4004.1281300000001</v>
      </c>
      <c r="F417">
        <v>26.89179</v>
      </c>
      <c r="G417" s="1861">
        <v>2851.74</v>
      </c>
      <c r="I417">
        <v>0.79732000000000003</v>
      </c>
      <c r="J417">
        <v>1.0809599999999999</v>
      </c>
      <c r="K417">
        <v>1.24485</v>
      </c>
      <c r="L417">
        <v>1.4040999999999999</v>
      </c>
      <c r="M417">
        <v>9.4299999999999991E-3</v>
      </c>
      <c r="N417">
        <v>1</v>
      </c>
      <c r="P417">
        <v>1.2542</v>
      </c>
      <c r="Q417">
        <v>0.92510000000000003</v>
      </c>
      <c r="R417">
        <v>0.80330999999999997</v>
      </c>
      <c r="S417">
        <v>0.71220000000000006</v>
      </c>
      <c r="T417">
        <v>106.045</v>
      </c>
      <c r="U417">
        <v>1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/>
    </row>
    <row r="418" spans="1:35" s="1857" customFormat="1" hidden="1" outlineLevel="1">
      <c r="A418" s="8">
        <v>43148</v>
      </c>
      <c r="B418" s="1860">
        <v>2274.8843900000002</v>
      </c>
      <c r="C418" s="1860">
        <v>3084.1638699999999</v>
      </c>
      <c r="D418" s="1860">
        <v>3551.75623</v>
      </c>
      <c r="E418" s="1860">
        <v>4006.1219599999999</v>
      </c>
      <c r="F418">
        <v>26.905180000000001</v>
      </c>
      <c r="G418" s="1861">
        <v>2853.16</v>
      </c>
      <c r="I418">
        <v>0.79732000000000003</v>
      </c>
      <c r="J418">
        <v>1.0809599999999999</v>
      </c>
      <c r="K418">
        <v>1.24485</v>
      </c>
      <c r="L418">
        <v>1.4040999999999999</v>
      </c>
      <c r="M418">
        <v>9.4299999999999991E-3</v>
      </c>
      <c r="N418">
        <v>1</v>
      </c>
      <c r="P418">
        <v>1.2542</v>
      </c>
      <c r="Q418">
        <v>0.92510000000000003</v>
      </c>
      <c r="R418">
        <v>0.80330999999999997</v>
      </c>
      <c r="S418">
        <v>0.71220000000000006</v>
      </c>
      <c r="T418">
        <v>106.045</v>
      </c>
      <c r="U418">
        <v>1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</row>
    <row r="419" spans="1:35" hidden="1" outlineLevel="1">
      <c r="A419" s="8">
        <v>43149</v>
      </c>
      <c r="B419" s="1860">
        <v>2274.8843900000002</v>
      </c>
      <c r="C419" s="1860">
        <v>3084.1638699999999</v>
      </c>
      <c r="D419" s="1860">
        <v>3551.75623</v>
      </c>
      <c r="E419" s="1860">
        <v>4006.1219599999999</v>
      </c>
      <c r="F419">
        <v>26.905180000000001</v>
      </c>
      <c r="G419" s="1861">
        <v>2853.16</v>
      </c>
      <c r="I419">
        <v>0.79732000000000003</v>
      </c>
      <c r="J419">
        <v>1.0809599999999999</v>
      </c>
      <c r="K419">
        <v>1.24485</v>
      </c>
      <c r="L419">
        <v>1.4040999999999999</v>
      </c>
      <c r="M419">
        <v>9.4299999999999991E-3</v>
      </c>
      <c r="N419">
        <v>1</v>
      </c>
      <c r="P419">
        <v>1.2542</v>
      </c>
      <c r="Q419">
        <v>0.92510000000000003</v>
      </c>
      <c r="R419">
        <v>0.80330999999999997</v>
      </c>
      <c r="S419">
        <v>0.71220000000000006</v>
      </c>
      <c r="T419">
        <v>106.045</v>
      </c>
      <c r="U419">
        <v>1</v>
      </c>
    </row>
    <row r="420" spans="1:35" hidden="1" outlineLevel="1">
      <c r="A420" s="8">
        <v>43150</v>
      </c>
      <c r="B420" s="1860">
        <v>2268.7341000000001</v>
      </c>
      <c r="C420" s="1860">
        <v>3071.05107</v>
      </c>
      <c r="D420" s="1860">
        <v>3536.9197899999999</v>
      </c>
      <c r="E420" s="1860">
        <v>3992.56945</v>
      </c>
      <c r="F420">
        <v>26.786460000000002</v>
      </c>
      <c r="G420" s="1861">
        <v>2853.16</v>
      </c>
      <c r="I420">
        <v>0.79517000000000004</v>
      </c>
      <c r="J420">
        <v>1.07637</v>
      </c>
      <c r="K420">
        <v>1.2396499999999999</v>
      </c>
      <c r="L420">
        <v>1.3993500000000001</v>
      </c>
      <c r="M420">
        <v>9.3900000000000008E-3</v>
      </c>
      <c r="N420">
        <v>1</v>
      </c>
      <c r="P420">
        <v>1.2576000000000001</v>
      </c>
      <c r="Q420">
        <v>0.92905000000000004</v>
      </c>
      <c r="R420">
        <v>0.80667999999999995</v>
      </c>
      <c r="S420">
        <v>0.71462000000000003</v>
      </c>
      <c r="T420">
        <v>106.515</v>
      </c>
      <c r="U420">
        <v>1</v>
      </c>
    </row>
    <row r="421" spans="1:35" hidden="1" outlineLevel="1">
      <c r="A421" s="8">
        <v>43151</v>
      </c>
      <c r="B421" s="1860">
        <v>2261.6305299999999</v>
      </c>
      <c r="C421" s="1860">
        <v>3052.8140400000002</v>
      </c>
      <c r="D421" s="1860">
        <v>3521.0847600000002</v>
      </c>
      <c r="E421" s="1860">
        <v>3995.8505799999998</v>
      </c>
      <c r="F421">
        <v>26.636420000000001</v>
      </c>
      <c r="G421" s="1861">
        <v>2853.16</v>
      </c>
      <c r="I421">
        <v>0.79268000000000005</v>
      </c>
      <c r="J421">
        <v>1.0699799999999999</v>
      </c>
      <c r="K421">
        <v>1.2341</v>
      </c>
      <c r="L421">
        <v>1.4005000000000001</v>
      </c>
      <c r="M421">
        <v>9.3399999999999993E-3</v>
      </c>
      <c r="N421">
        <v>1</v>
      </c>
      <c r="P421">
        <v>1.2615499999999999</v>
      </c>
      <c r="Q421">
        <v>0.93459999999999999</v>
      </c>
      <c r="R421">
        <v>0.81030999999999997</v>
      </c>
      <c r="S421">
        <v>0.71403000000000005</v>
      </c>
      <c r="T421">
        <v>107.11499999999999</v>
      </c>
      <c r="U421">
        <v>1</v>
      </c>
    </row>
    <row r="422" spans="1:35" hidden="1" outlineLevel="1">
      <c r="A422" s="8">
        <v>43152</v>
      </c>
      <c r="B422" s="1860">
        <v>2259.9573599999999</v>
      </c>
      <c r="C422" s="1860">
        <v>3054.6026999999999</v>
      </c>
      <c r="D422" s="1860">
        <v>3525.85322</v>
      </c>
      <c r="E422" s="1860">
        <v>4000.66068</v>
      </c>
      <c r="F422">
        <v>26.594899999999999</v>
      </c>
      <c r="G422" s="1861">
        <v>2862.01</v>
      </c>
      <c r="I422">
        <v>0.78964000000000001</v>
      </c>
      <c r="J422">
        <v>1.0672900000000001</v>
      </c>
      <c r="K422">
        <v>1.2319500000000001</v>
      </c>
      <c r="L422">
        <v>1.39785</v>
      </c>
      <c r="M422">
        <v>9.2899999999999996E-3</v>
      </c>
      <c r="N422">
        <v>1</v>
      </c>
      <c r="P422">
        <v>1.2664</v>
      </c>
      <c r="Q422">
        <v>0.93694999999999995</v>
      </c>
      <c r="R422">
        <v>0.81172</v>
      </c>
      <c r="S422">
        <v>0.71538000000000002</v>
      </c>
      <c r="T422">
        <v>107.61499999999999</v>
      </c>
      <c r="U422">
        <v>1</v>
      </c>
    </row>
    <row r="423" spans="1:35" hidden="1" outlineLevel="1">
      <c r="A423" s="8">
        <v>43153</v>
      </c>
      <c r="B423" s="1860">
        <v>2265.5593199999998</v>
      </c>
      <c r="C423" s="1860">
        <v>3077.8461000000002</v>
      </c>
      <c r="D423" s="1860">
        <v>3545.6220800000001</v>
      </c>
      <c r="E423" s="1860">
        <v>4011.7044599999999</v>
      </c>
      <c r="F423">
        <v>26.921800000000001</v>
      </c>
      <c r="G423" s="1861">
        <v>2877.94</v>
      </c>
      <c r="I423">
        <v>0.78722000000000003</v>
      </c>
      <c r="J423">
        <v>1.0694600000000001</v>
      </c>
      <c r="K423">
        <v>1.232</v>
      </c>
      <c r="L423">
        <v>1.39395</v>
      </c>
      <c r="M423">
        <v>9.3500000000000007E-3</v>
      </c>
      <c r="N423">
        <v>1</v>
      </c>
      <c r="P423">
        <v>1.2703</v>
      </c>
      <c r="Q423">
        <v>0.93505000000000005</v>
      </c>
      <c r="R423">
        <v>0.81169000000000002</v>
      </c>
      <c r="S423">
        <v>0.71738999999999997</v>
      </c>
      <c r="T423">
        <v>106.9</v>
      </c>
      <c r="U423">
        <v>1</v>
      </c>
    </row>
    <row r="424" spans="1:35" hidden="1" outlineLevel="1">
      <c r="A424" s="8">
        <v>43154</v>
      </c>
      <c r="B424" s="1860">
        <v>2270.03314</v>
      </c>
      <c r="C424" s="1860">
        <v>3073.4323300000001</v>
      </c>
      <c r="D424" s="1860">
        <v>3538.0399400000001</v>
      </c>
      <c r="E424" s="1860">
        <v>4019.8002900000001</v>
      </c>
      <c r="F424">
        <v>26.984059999999999</v>
      </c>
      <c r="G424" s="1861">
        <v>2877.04</v>
      </c>
      <c r="I424">
        <v>0.78902000000000005</v>
      </c>
      <c r="J424">
        <v>1.06826</v>
      </c>
      <c r="K424">
        <v>1.2297499999999999</v>
      </c>
      <c r="L424">
        <v>1.3972</v>
      </c>
      <c r="M424">
        <v>9.3799999999999994E-3</v>
      </c>
      <c r="N424">
        <v>1</v>
      </c>
      <c r="P424">
        <v>1.2674000000000001</v>
      </c>
      <c r="Q424">
        <v>0.93610000000000004</v>
      </c>
      <c r="R424">
        <v>0.81316999999999995</v>
      </c>
      <c r="S424">
        <v>0.71572000000000002</v>
      </c>
      <c r="T424">
        <v>106.62</v>
      </c>
      <c r="U424">
        <v>1</v>
      </c>
    </row>
    <row r="425" spans="1:35" hidden="1" outlineLevel="1">
      <c r="A425" s="8">
        <v>43155</v>
      </c>
      <c r="B425" s="1860">
        <v>2248.3746299999998</v>
      </c>
      <c r="C425" s="1860">
        <v>3044.1085400000002</v>
      </c>
      <c r="D425" s="1860">
        <v>3504.2833000000001</v>
      </c>
      <c r="E425" s="1860">
        <v>3981.44715</v>
      </c>
      <c r="F425">
        <v>26.726600000000001</v>
      </c>
      <c r="G425" s="1861">
        <v>2849.59</v>
      </c>
      <c r="I425">
        <v>0.78902000000000005</v>
      </c>
      <c r="J425">
        <v>1.06826</v>
      </c>
      <c r="K425">
        <v>1.2297499999999999</v>
      </c>
      <c r="L425">
        <v>1.3972</v>
      </c>
      <c r="M425">
        <v>9.3799999999999994E-3</v>
      </c>
      <c r="N425">
        <v>1</v>
      </c>
      <c r="P425">
        <v>1.2674000000000001</v>
      </c>
      <c r="Q425">
        <v>0.93610000000000004</v>
      </c>
      <c r="R425">
        <v>0.81316999999999995</v>
      </c>
      <c r="S425">
        <v>0.71572000000000002</v>
      </c>
      <c r="T425">
        <v>106.62</v>
      </c>
      <c r="U425">
        <v>1</v>
      </c>
    </row>
    <row r="426" spans="1:35" hidden="1" outlineLevel="1">
      <c r="A426" s="8">
        <v>43156</v>
      </c>
      <c r="B426" s="1860">
        <v>2248.3746299999998</v>
      </c>
      <c r="C426" s="1860">
        <v>3044.1085400000002</v>
      </c>
      <c r="D426" s="1860">
        <v>3504.2833000000001</v>
      </c>
      <c r="E426" s="1860">
        <v>3981.44715</v>
      </c>
      <c r="F426">
        <v>26.726600000000001</v>
      </c>
      <c r="G426" s="1861">
        <v>2849.59</v>
      </c>
      <c r="I426">
        <v>0.78902000000000005</v>
      </c>
      <c r="J426">
        <v>1.06826</v>
      </c>
      <c r="K426">
        <v>1.2297499999999999</v>
      </c>
      <c r="L426">
        <v>1.3972</v>
      </c>
      <c r="M426">
        <v>9.3799999999999994E-3</v>
      </c>
      <c r="N426">
        <v>1</v>
      </c>
      <c r="P426">
        <v>1.2674000000000001</v>
      </c>
      <c r="Q426">
        <v>0.93610000000000004</v>
      </c>
      <c r="R426">
        <v>0.81316999999999995</v>
      </c>
      <c r="S426">
        <v>0.71572000000000002</v>
      </c>
      <c r="T426">
        <v>106.62</v>
      </c>
      <c r="U426">
        <v>1</v>
      </c>
    </row>
    <row r="427" spans="1:35" hidden="1" outlineLevel="1">
      <c r="A427" s="8">
        <v>43157</v>
      </c>
      <c r="B427" s="1860">
        <v>2242.4473699999999</v>
      </c>
      <c r="C427" s="1860">
        <v>3036.9711200000002</v>
      </c>
      <c r="D427" s="1860">
        <v>3501.4337099999998</v>
      </c>
      <c r="E427" s="1860">
        <v>3971.3310999999999</v>
      </c>
      <c r="F427">
        <v>26.645379999999999</v>
      </c>
      <c r="G427" s="1861">
        <v>2849.59</v>
      </c>
      <c r="I427">
        <v>0.78693999999999997</v>
      </c>
      <c r="J427">
        <v>1.06576</v>
      </c>
      <c r="K427">
        <v>1.22875</v>
      </c>
      <c r="L427">
        <v>1.3936500000000001</v>
      </c>
      <c r="M427">
        <v>9.3500000000000007E-3</v>
      </c>
      <c r="N427">
        <v>1</v>
      </c>
      <c r="P427">
        <v>1.27075</v>
      </c>
      <c r="Q427">
        <v>0.93830000000000002</v>
      </c>
      <c r="R427">
        <v>0.81384000000000001</v>
      </c>
      <c r="S427">
        <v>0.71753999999999996</v>
      </c>
      <c r="T427">
        <v>106.94499999999999</v>
      </c>
      <c r="U427">
        <v>1</v>
      </c>
    </row>
    <row r="428" spans="1:35" hidden="1" outlineLevel="1">
      <c r="A428" s="8">
        <v>43158</v>
      </c>
      <c r="B428" s="1860">
        <v>2234.3473100000001</v>
      </c>
      <c r="C428" s="1860">
        <v>3030.8518600000002</v>
      </c>
      <c r="D428" s="1860">
        <v>3488.0048499999998</v>
      </c>
      <c r="E428" s="1860">
        <v>3955.9600700000001</v>
      </c>
      <c r="F428">
        <v>26.498470000000001</v>
      </c>
      <c r="G428" s="1861">
        <v>2849.91</v>
      </c>
      <c r="I428">
        <v>0.78400999999999998</v>
      </c>
      <c r="J428">
        <v>1.06349</v>
      </c>
      <c r="K428">
        <v>1.2239</v>
      </c>
      <c r="L428">
        <v>1.3880999999999999</v>
      </c>
      <c r="M428">
        <v>9.2999999999999992E-3</v>
      </c>
      <c r="N428">
        <v>1</v>
      </c>
      <c r="P428">
        <v>1.2755000000000001</v>
      </c>
      <c r="Q428">
        <v>0.94030000000000002</v>
      </c>
      <c r="R428">
        <v>0.81706000000000001</v>
      </c>
      <c r="S428">
        <v>0.72040999999999999</v>
      </c>
      <c r="T428">
        <v>107.55</v>
      </c>
      <c r="U428">
        <v>1</v>
      </c>
    </row>
    <row r="429" spans="1:35" ht="15.75" hidden="1" outlineLevel="1" thickBot="1">
      <c r="A429" s="1868">
        <v>43159</v>
      </c>
      <c r="B429" s="1869">
        <v>2228.84458</v>
      </c>
      <c r="C429" s="1869">
        <v>3021.9882499999999</v>
      </c>
      <c r="D429" s="1869">
        <v>3483.2350200000001</v>
      </c>
      <c r="E429" s="1869">
        <v>3935.04315</v>
      </c>
      <c r="F429" s="1870">
        <v>26.76473</v>
      </c>
      <c r="G429" s="1871">
        <v>2855.93</v>
      </c>
      <c r="H429" s="1872"/>
      <c r="I429" s="1870">
        <v>0.78042999999999996</v>
      </c>
      <c r="J429" s="1870">
        <v>1.0581499999999999</v>
      </c>
      <c r="K429" s="1870">
        <v>1.2196499999999999</v>
      </c>
      <c r="L429" s="1870">
        <v>1.37785</v>
      </c>
      <c r="M429" s="1870">
        <v>9.3699999999999999E-3</v>
      </c>
      <c r="N429" s="1870">
        <v>1</v>
      </c>
      <c r="O429" s="1872"/>
      <c r="P429" s="1870">
        <v>1.28135</v>
      </c>
      <c r="Q429" s="1870">
        <v>0.94504999999999995</v>
      </c>
      <c r="R429" s="1870">
        <v>0.81991000000000003</v>
      </c>
      <c r="S429" s="1870">
        <v>0.72577000000000003</v>
      </c>
      <c r="T429" s="1870">
        <v>106.705</v>
      </c>
      <c r="U429" s="1870">
        <v>1</v>
      </c>
      <c r="V429" s="1872"/>
    </row>
    <row r="430" spans="1:35" hidden="1" outlineLevel="1">
      <c r="A430" s="8">
        <v>43160</v>
      </c>
      <c r="B430" s="1860">
        <v>2232.5548800000001</v>
      </c>
      <c r="C430" s="1860">
        <v>3023.9772200000002</v>
      </c>
      <c r="D430" s="1860">
        <v>3492.72073</v>
      </c>
      <c r="E430" s="1860">
        <v>3935.3872700000002</v>
      </c>
      <c r="F430">
        <v>26.786909999999999</v>
      </c>
      <c r="G430" s="1861">
        <v>2867.94</v>
      </c>
      <c r="I430">
        <v>0.77844999999999998</v>
      </c>
      <c r="J430">
        <v>1.0544100000000001</v>
      </c>
      <c r="K430">
        <v>1.2178500000000001</v>
      </c>
      <c r="L430">
        <v>1.3722000000000001</v>
      </c>
      <c r="M430">
        <v>9.3399999999999993E-3</v>
      </c>
      <c r="N430">
        <v>1</v>
      </c>
      <c r="P430">
        <v>1.2846</v>
      </c>
      <c r="Q430">
        <v>0.94840000000000002</v>
      </c>
      <c r="R430">
        <v>0.82111999999999996</v>
      </c>
      <c r="S430">
        <v>0.72875999999999996</v>
      </c>
      <c r="T430">
        <v>107.065</v>
      </c>
      <c r="U430">
        <v>1</v>
      </c>
    </row>
    <row r="431" spans="1:35" hidden="1" outlineLevel="1">
      <c r="A431" s="8">
        <v>43161</v>
      </c>
      <c r="B431" s="1860">
        <v>2234.15978</v>
      </c>
      <c r="C431" s="1860">
        <v>3069.5133000000001</v>
      </c>
      <c r="D431" s="1860">
        <v>3544.2545</v>
      </c>
      <c r="E431" s="1860">
        <v>3964.7397599999999</v>
      </c>
      <c r="F431">
        <v>27.296040000000001</v>
      </c>
      <c r="G431" s="1861">
        <v>2879.05</v>
      </c>
      <c r="I431">
        <v>0.77600999999999998</v>
      </c>
      <c r="J431">
        <v>1.0661499999999999</v>
      </c>
      <c r="K431">
        <v>1.23105</v>
      </c>
      <c r="L431">
        <v>1.3771</v>
      </c>
      <c r="M431">
        <v>9.4800000000000006E-3</v>
      </c>
      <c r="N431">
        <v>1</v>
      </c>
      <c r="P431">
        <v>1.2886500000000001</v>
      </c>
      <c r="Q431">
        <v>0.93794999999999995</v>
      </c>
      <c r="R431">
        <v>0.81230999999999998</v>
      </c>
      <c r="S431">
        <v>0.72616000000000003</v>
      </c>
      <c r="T431">
        <v>105.47499999999999</v>
      </c>
      <c r="U431">
        <v>1</v>
      </c>
    </row>
    <row r="432" spans="1:35" hidden="1" outlineLevel="1">
      <c r="A432" s="8">
        <v>43162</v>
      </c>
      <c r="B432" s="1860">
        <v>2234.23738</v>
      </c>
      <c r="C432" s="1860">
        <v>3069.6199200000001</v>
      </c>
      <c r="D432" s="1860">
        <v>3544.37761</v>
      </c>
      <c r="E432" s="1860">
        <v>3964.8774699999999</v>
      </c>
      <c r="F432">
        <v>27.296990000000001</v>
      </c>
      <c r="G432" s="1861">
        <v>2879.15</v>
      </c>
      <c r="I432">
        <v>0.77600999999999998</v>
      </c>
      <c r="J432">
        <v>1.0661499999999999</v>
      </c>
      <c r="K432">
        <v>1.23105</v>
      </c>
      <c r="L432">
        <v>1.3771</v>
      </c>
      <c r="M432">
        <v>9.4800000000000006E-3</v>
      </c>
      <c r="N432">
        <v>1</v>
      </c>
      <c r="P432">
        <v>1.2886500000000001</v>
      </c>
      <c r="Q432">
        <v>0.93794999999999995</v>
      </c>
      <c r="R432">
        <v>0.81230999999999998</v>
      </c>
      <c r="S432">
        <v>0.72616000000000003</v>
      </c>
      <c r="T432">
        <v>105.47499999999999</v>
      </c>
      <c r="U432">
        <v>1</v>
      </c>
    </row>
    <row r="433" spans="1:35" hidden="1" outlineLevel="1">
      <c r="A433" s="8">
        <v>43163</v>
      </c>
      <c r="B433" s="1860">
        <v>2234.23738</v>
      </c>
      <c r="C433" s="1860">
        <v>3069.6199200000001</v>
      </c>
      <c r="D433" s="1860">
        <v>3544.37761</v>
      </c>
      <c r="E433" s="1860">
        <v>3964.8774699999999</v>
      </c>
      <c r="F433">
        <v>27.296990000000001</v>
      </c>
      <c r="G433" s="1861">
        <v>2879.15</v>
      </c>
      <c r="I433">
        <v>0.77600999999999998</v>
      </c>
      <c r="J433">
        <v>1.0661499999999999</v>
      </c>
      <c r="K433">
        <v>1.23105</v>
      </c>
      <c r="L433">
        <v>1.3771</v>
      </c>
      <c r="M433">
        <v>9.4800000000000006E-3</v>
      </c>
      <c r="N433">
        <v>1</v>
      </c>
      <c r="P433">
        <v>1.2886500000000001</v>
      </c>
      <c r="Q433">
        <v>0.93794999999999995</v>
      </c>
      <c r="R433">
        <v>0.81230999999999998</v>
      </c>
      <c r="S433">
        <v>0.72616000000000003</v>
      </c>
      <c r="T433">
        <v>105.47499999999999</v>
      </c>
      <c r="U433">
        <v>1</v>
      </c>
    </row>
    <row r="434" spans="1:35" hidden="1" outlineLevel="1">
      <c r="A434" s="8">
        <v>43164</v>
      </c>
      <c r="B434" s="1860">
        <v>2219.68237</v>
      </c>
      <c r="C434" s="1860">
        <v>3067.8209900000002</v>
      </c>
      <c r="D434" s="1860">
        <v>3549.1282099999999</v>
      </c>
      <c r="E434" s="1860">
        <v>3986.47109</v>
      </c>
      <c r="F434">
        <v>27.204139999999999</v>
      </c>
      <c r="G434" s="1861">
        <v>2879.15</v>
      </c>
      <c r="I434">
        <v>0.77095000000000002</v>
      </c>
      <c r="J434">
        <v>1.0655300000000001</v>
      </c>
      <c r="K434">
        <v>1.2326999999999999</v>
      </c>
      <c r="L434">
        <v>1.3846000000000001</v>
      </c>
      <c r="M434">
        <v>9.4500000000000001E-3</v>
      </c>
      <c r="N434">
        <v>1</v>
      </c>
      <c r="P434">
        <v>1.2970999999999999</v>
      </c>
      <c r="Q434">
        <v>0.9385</v>
      </c>
      <c r="R434">
        <v>0.81123000000000001</v>
      </c>
      <c r="S434">
        <v>0.72223000000000004</v>
      </c>
      <c r="T434">
        <v>105.83499999999999</v>
      </c>
      <c r="U434">
        <v>1</v>
      </c>
    </row>
    <row r="435" spans="1:35" s="1857" customFormat="1" hidden="1" outlineLevel="1">
      <c r="A435" s="8">
        <v>43165</v>
      </c>
      <c r="B435" s="1860">
        <v>2216.7784499999998</v>
      </c>
      <c r="C435" s="1860">
        <v>3044.5000500000001</v>
      </c>
      <c r="D435" s="1860">
        <v>3545.2716</v>
      </c>
      <c r="E435" s="1860">
        <v>3969.4176000000002</v>
      </c>
      <c r="F435">
        <v>26.966190000000001</v>
      </c>
      <c r="G435" s="1861">
        <v>2859.09</v>
      </c>
      <c r="I435">
        <v>0.77534000000000003</v>
      </c>
      <c r="J435">
        <v>1.0648500000000001</v>
      </c>
      <c r="K435">
        <v>1.24</v>
      </c>
      <c r="L435">
        <v>1.38835</v>
      </c>
      <c r="M435">
        <v>9.4299999999999991E-3</v>
      </c>
      <c r="N435">
        <v>1</v>
      </c>
      <c r="P435">
        <v>1.28975</v>
      </c>
      <c r="Q435">
        <v>0.93910000000000005</v>
      </c>
      <c r="R435">
        <v>0.80645</v>
      </c>
      <c r="S435">
        <v>0.72028000000000003</v>
      </c>
      <c r="T435">
        <v>106.02500000000001</v>
      </c>
      <c r="U435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</row>
    <row r="436" spans="1:35" s="1857" customFormat="1" hidden="1" outlineLevel="1">
      <c r="A436" s="8">
        <v>43166</v>
      </c>
      <c r="B436" s="1860">
        <v>2193.8157799999999</v>
      </c>
      <c r="C436" s="1860">
        <v>3019.4216000000001</v>
      </c>
      <c r="D436" s="1860">
        <v>3528.5732600000001</v>
      </c>
      <c r="E436" s="1860">
        <v>3953.0547200000001</v>
      </c>
      <c r="F436">
        <v>26.843889999999998</v>
      </c>
      <c r="G436" s="1861">
        <v>2845.05</v>
      </c>
      <c r="I436">
        <v>0.77110000000000001</v>
      </c>
      <c r="J436">
        <v>1.0612900000000001</v>
      </c>
      <c r="K436">
        <v>1.2402500000000001</v>
      </c>
      <c r="L436">
        <v>1.3894500000000001</v>
      </c>
      <c r="M436">
        <v>9.4400000000000005E-3</v>
      </c>
      <c r="N436">
        <v>1</v>
      </c>
      <c r="P436">
        <v>1.2968500000000001</v>
      </c>
      <c r="Q436">
        <v>0.94225000000000003</v>
      </c>
      <c r="R436">
        <v>0.80628999999999995</v>
      </c>
      <c r="S436">
        <v>0.71970999999999996</v>
      </c>
      <c r="T436">
        <v>105.985</v>
      </c>
      <c r="U436">
        <v>1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</row>
    <row r="437" spans="1:35" s="1857" customFormat="1" hidden="1" outlineLevel="1">
      <c r="A437" s="8">
        <v>43167</v>
      </c>
      <c r="B437" s="1860">
        <v>2208.99397</v>
      </c>
      <c r="C437" s="1860">
        <v>3012.83592</v>
      </c>
      <c r="D437" s="1860">
        <v>3524.5702099999999</v>
      </c>
      <c r="E437" s="1860">
        <v>3953.6880999999998</v>
      </c>
      <c r="F437">
        <v>26.947690000000001</v>
      </c>
      <c r="G437" s="1861">
        <v>2858.88</v>
      </c>
      <c r="I437">
        <v>0.77268000000000003</v>
      </c>
      <c r="J437">
        <v>1.05385</v>
      </c>
      <c r="K437">
        <v>1.23285</v>
      </c>
      <c r="L437">
        <v>1.3829499999999999</v>
      </c>
      <c r="M437">
        <v>9.4299999999999991E-3</v>
      </c>
      <c r="N437">
        <v>1</v>
      </c>
      <c r="P437">
        <v>1.2942</v>
      </c>
      <c r="Q437">
        <v>0.94889999999999997</v>
      </c>
      <c r="R437">
        <v>0.81113000000000002</v>
      </c>
      <c r="S437">
        <v>0.72309000000000001</v>
      </c>
      <c r="T437">
        <v>106.09</v>
      </c>
      <c r="U437">
        <v>1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</row>
    <row r="438" spans="1:35" s="1857" customFormat="1" hidden="1" outlineLevel="1">
      <c r="A438" s="8">
        <v>43168</v>
      </c>
      <c r="B438" s="1860">
        <v>2236.61006</v>
      </c>
      <c r="C438" s="1860">
        <v>3022.0070500000002</v>
      </c>
      <c r="D438" s="1860">
        <v>3537.3719500000002</v>
      </c>
      <c r="E438" s="1860">
        <v>3981.7149100000001</v>
      </c>
      <c r="F438">
        <v>26.846430000000002</v>
      </c>
      <c r="G438" s="1861">
        <v>2871.36</v>
      </c>
      <c r="I438">
        <v>0.77893999999999997</v>
      </c>
      <c r="J438">
        <v>1.05247</v>
      </c>
      <c r="K438">
        <v>1.2319500000000001</v>
      </c>
      <c r="L438">
        <v>1.3867</v>
      </c>
      <c r="M438">
        <v>9.3500000000000007E-3</v>
      </c>
      <c r="N438">
        <v>1</v>
      </c>
      <c r="P438">
        <v>1.2838000000000001</v>
      </c>
      <c r="Q438">
        <v>0.95015000000000005</v>
      </c>
      <c r="R438">
        <v>0.81172</v>
      </c>
      <c r="S438">
        <v>0.72114</v>
      </c>
      <c r="T438">
        <v>106.955</v>
      </c>
      <c r="U438">
        <v>1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</row>
    <row r="439" spans="1:35" s="1857" customFormat="1" hidden="1" outlineLevel="1">
      <c r="A439" s="8">
        <v>43169</v>
      </c>
      <c r="B439" s="1860">
        <v>2233.1593699999999</v>
      </c>
      <c r="C439" s="1860">
        <v>3017.3446300000001</v>
      </c>
      <c r="D439" s="1860">
        <v>3531.9144099999999</v>
      </c>
      <c r="E439" s="1860">
        <v>3975.5718299999999</v>
      </c>
      <c r="F439">
        <v>26.805009999999999</v>
      </c>
      <c r="G439" s="1861">
        <v>2866.93</v>
      </c>
      <c r="I439">
        <v>0.77893999999999997</v>
      </c>
      <c r="J439">
        <v>1.05247</v>
      </c>
      <c r="K439">
        <v>1.2319500000000001</v>
      </c>
      <c r="L439">
        <v>1.3867</v>
      </c>
      <c r="M439">
        <v>9.3500000000000007E-3</v>
      </c>
      <c r="N439">
        <v>1</v>
      </c>
      <c r="P439">
        <v>1.2838000000000001</v>
      </c>
      <c r="Q439">
        <v>0.95015000000000005</v>
      </c>
      <c r="R439">
        <v>0.81172</v>
      </c>
      <c r="S439">
        <v>0.72114</v>
      </c>
      <c r="T439">
        <v>106.955</v>
      </c>
      <c r="U439">
        <v>1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</row>
    <row r="440" spans="1:35" s="1857" customFormat="1" hidden="1" outlineLevel="1">
      <c r="A440" s="8">
        <v>43170</v>
      </c>
      <c r="B440" s="1860">
        <v>2233.1593699999999</v>
      </c>
      <c r="C440" s="1860">
        <v>3017.3446300000001</v>
      </c>
      <c r="D440" s="1860">
        <v>3531.9144099999999</v>
      </c>
      <c r="E440" s="1860">
        <v>3975.5718299999999</v>
      </c>
      <c r="F440">
        <v>26.805009999999999</v>
      </c>
      <c r="G440" s="1861">
        <v>2866.93</v>
      </c>
      <c r="I440">
        <v>0.77893999999999997</v>
      </c>
      <c r="J440">
        <v>1.05247</v>
      </c>
      <c r="K440">
        <v>1.2319500000000001</v>
      </c>
      <c r="L440">
        <v>1.3867</v>
      </c>
      <c r="M440">
        <v>9.3500000000000007E-3</v>
      </c>
      <c r="N440">
        <v>1</v>
      </c>
      <c r="P440">
        <v>1.2838000000000001</v>
      </c>
      <c r="Q440">
        <v>0.95015000000000005</v>
      </c>
      <c r="R440">
        <v>0.81172</v>
      </c>
      <c r="S440">
        <v>0.72114</v>
      </c>
      <c r="T440">
        <v>106.955</v>
      </c>
      <c r="U440">
        <v>1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</row>
    <row r="441" spans="1:35" s="1857" customFormat="1" hidden="1" outlineLevel="1">
      <c r="A441" s="8">
        <v>43171</v>
      </c>
      <c r="B441" s="1860">
        <v>2233.5073200000002</v>
      </c>
      <c r="C441" s="1860">
        <v>3021.4786300000001</v>
      </c>
      <c r="D441" s="1860">
        <v>3531.62772</v>
      </c>
      <c r="E441" s="1860">
        <v>3984.4593100000002</v>
      </c>
      <c r="F441">
        <v>26.913209999999999</v>
      </c>
      <c r="G441" s="1861">
        <v>2866.93</v>
      </c>
      <c r="I441">
        <v>0.77905999999999997</v>
      </c>
      <c r="J441">
        <v>1.0539099999999999</v>
      </c>
      <c r="K441">
        <v>1.2318499999999999</v>
      </c>
      <c r="L441">
        <v>1.3897999999999999</v>
      </c>
      <c r="M441">
        <v>9.3900000000000008E-3</v>
      </c>
      <c r="N441">
        <v>1</v>
      </c>
      <c r="P441">
        <v>1.2836000000000001</v>
      </c>
      <c r="Q441">
        <v>0.94884999999999997</v>
      </c>
      <c r="R441">
        <v>0.81179000000000001</v>
      </c>
      <c r="S441">
        <v>0.71953</v>
      </c>
      <c r="T441">
        <v>106.52500000000001</v>
      </c>
      <c r="U441">
        <v>1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</row>
    <row r="442" spans="1:35" s="1857" customFormat="1" hidden="1" outlineLevel="1">
      <c r="A442" s="8">
        <v>43172</v>
      </c>
      <c r="B442" s="1860">
        <v>2205.7699699999998</v>
      </c>
      <c r="C442" s="1860">
        <v>3021.6571300000001</v>
      </c>
      <c r="D442" s="1860">
        <v>3535.42605</v>
      </c>
      <c r="E442" s="1860">
        <v>3988.7260200000001</v>
      </c>
      <c r="F442">
        <v>26.74269</v>
      </c>
      <c r="G442" s="1861">
        <v>2851.84</v>
      </c>
      <c r="I442">
        <v>0.77346000000000004</v>
      </c>
      <c r="J442">
        <v>1.05955</v>
      </c>
      <c r="K442">
        <v>1.2397</v>
      </c>
      <c r="L442">
        <v>1.3986499999999999</v>
      </c>
      <c r="M442">
        <v>9.3799999999999994E-3</v>
      </c>
      <c r="N442">
        <v>1</v>
      </c>
      <c r="P442">
        <v>1.2928999999999999</v>
      </c>
      <c r="Q442">
        <v>0.94379999999999997</v>
      </c>
      <c r="R442">
        <v>0.80664999999999998</v>
      </c>
      <c r="S442">
        <v>0.71497999999999995</v>
      </c>
      <c r="T442">
        <v>106.64</v>
      </c>
      <c r="U442">
        <v>1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</row>
    <row r="443" spans="1:35" s="1857" customFormat="1" hidden="1" outlineLevel="1">
      <c r="A443" s="8">
        <v>43173</v>
      </c>
      <c r="B443" s="1860">
        <v>2200.2008300000002</v>
      </c>
      <c r="C443" s="1860">
        <v>3009.69992</v>
      </c>
      <c r="D443" s="1860">
        <v>3520.4552600000002</v>
      </c>
      <c r="E443" s="1860">
        <v>3972.2083299999999</v>
      </c>
      <c r="F443">
        <v>26.82469</v>
      </c>
      <c r="G443" s="1861">
        <v>2848.38</v>
      </c>
      <c r="I443">
        <v>0.77244000000000002</v>
      </c>
      <c r="J443">
        <v>1.05664</v>
      </c>
      <c r="K443">
        <v>1.2359500000000001</v>
      </c>
      <c r="L443">
        <v>1.39455</v>
      </c>
      <c r="M443">
        <v>9.4199999999999996E-3</v>
      </c>
      <c r="N443">
        <v>1</v>
      </c>
      <c r="P443">
        <v>1.2946</v>
      </c>
      <c r="Q443">
        <v>0.94640000000000002</v>
      </c>
      <c r="R443">
        <v>0.80908999999999998</v>
      </c>
      <c r="S443">
        <v>0.71708000000000005</v>
      </c>
      <c r="T443">
        <v>106.185</v>
      </c>
      <c r="U443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</row>
    <row r="444" spans="1:35" s="1857" customFormat="1" hidden="1" outlineLevel="1">
      <c r="A444" s="8">
        <v>43174</v>
      </c>
      <c r="B444" s="1860">
        <v>2179.4899300000002</v>
      </c>
      <c r="C444" s="1860">
        <v>2994.43363</v>
      </c>
      <c r="D444" s="1860">
        <v>3506.11861</v>
      </c>
      <c r="E444" s="1860">
        <v>3968.9814700000002</v>
      </c>
      <c r="F444">
        <v>26.83034</v>
      </c>
      <c r="G444" s="1861">
        <v>2845.76</v>
      </c>
      <c r="I444">
        <v>0.76587000000000005</v>
      </c>
      <c r="J444">
        <v>1.0522400000000001</v>
      </c>
      <c r="K444">
        <v>1.2320500000000001</v>
      </c>
      <c r="L444">
        <v>1.3947000000000001</v>
      </c>
      <c r="M444">
        <v>9.4299999999999991E-3</v>
      </c>
      <c r="N444">
        <v>1</v>
      </c>
      <c r="P444">
        <v>1.3057000000000001</v>
      </c>
      <c r="Q444">
        <v>0.95035000000000003</v>
      </c>
      <c r="R444">
        <v>0.81166000000000005</v>
      </c>
      <c r="S444">
        <v>0.71699999999999997</v>
      </c>
      <c r="T444">
        <v>106.065</v>
      </c>
      <c r="U444">
        <v>1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</row>
    <row r="445" spans="1:35" s="1857" customFormat="1" hidden="1" outlineLevel="1">
      <c r="A445" s="8">
        <v>43175</v>
      </c>
      <c r="B445" s="1860">
        <v>2176.3506499999999</v>
      </c>
      <c r="C445" s="1860">
        <v>2989.9706299999998</v>
      </c>
      <c r="D445" s="1860">
        <v>3499.8491199999999</v>
      </c>
      <c r="E445" s="1860">
        <v>3966.9706799999999</v>
      </c>
      <c r="F445">
        <v>26.861830000000001</v>
      </c>
      <c r="G445" s="1861">
        <v>2850.04</v>
      </c>
      <c r="I445">
        <v>0.76361999999999997</v>
      </c>
      <c r="J445">
        <v>1.0490999999999999</v>
      </c>
      <c r="K445">
        <v>1.228</v>
      </c>
      <c r="L445">
        <v>1.3918999999999999</v>
      </c>
      <c r="M445">
        <v>9.4299999999999991E-3</v>
      </c>
      <c r="N445">
        <v>1</v>
      </c>
      <c r="P445">
        <v>1.30955</v>
      </c>
      <c r="Q445">
        <v>0.95320000000000005</v>
      </c>
      <c r="R445">
        <v>0.81433</v>
      </c>
      <c r="S445">
        <v>0.71843999999999997</v>
      </c>
      <c r="T445">
        <v>106.1</v>
      </c>
      <c r="U445">
        <v>1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</row>
    <row r="446" spans="1:35" s="1857" customFormat="1" hidden="1" outlineLevel="1">
      <c r="A446" s="8">
        <v>43176</v>
      </c>
      <c r="B446" s="1860">
        <v>2178.21389</v>
      </c>
      <c r="C446" s="1860">
        <v>2992.53042</v>
      </c>
      <c r="D446" s="1860">
        <v>3502.8454400000001</v>
      </c>
      <c r="E446" s="1860">
        <v>3970.3669100000002</v>
      </c>
      <c r="F446">
        <v>26.884830000000001</v>
      </c>
      <c r="G446" s="1861">
        <v>2852.48</v>
      </c>
      <c r="I446">
        <v>0.76361999999999997</v>
      </c>
      <c r="J446">
        <v>1.0490999999999999</v>
      </c>
      <c r="K446">
        <v>1.228</v>
      </c>
      <c r="L446">
        <v>1.3918999999999999</v>
      </c>
      <c r="M446">
        <v>9.4299999999999991E-3</v>
      </c>
      <c r="N446">
        <v>1</v>
      </c>
      <c r="P446">
        <v>1.30955</v>
      </c>
      <c r="Q446">
        <v>0.95320000000000005</v>
      </c>
      <c r="R446">
        <v>0.81433</v>
      </c>
      <c r="S446">
        <v>0.71843999999999997</v>
      </c>
      <c r="T446">
        <v>106.1</v>
      </c>
      <c r="U446">
        <v>1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</row>
    <row r="447" spans="1:35" s="1857" customFormat="1" hidden="1" outlineLevel="1">
      <c r="A447" s="8">
        <v>43177</v>
      </c>
      <c r="B447" s="1860">
        <v>2178.21389</v>
      </c>
      <c r="C447" s="1860">
        <v>2992.53042</v>
      </c>
      <c r="D447" s="1860">
        <v>3502.8454400000001</v>
      </c>
      <c r="E447" s="1860">
        <v>3970.3669100000002</v>
      </c>
      <c r="F447">
        <v>26.884830000000001</v>
      </c>
      <c r="G447" s="1861">
        <v>2852.48</v>
      </c>
      <c r="I447">
        <v>0.76361999999999997</v>
      </c>
      <c r="J447">
        <v>1.0490999999999999</v>
      </c>
      <c r="K447">
        <v>1.228</v>
      </c>
      <c r="L447">
        <v>1.3918999999999999</v>
      </c>
      <c r="M447">
        <v>9.4299999999999991E-3</v>
      </c>
      <c r="N447">
        <v>1</v>
      </c>
      <c r="P447">
        <v>1.30955</v>
      </c>
      <c r="Q447">
        <v>0.95320000000000005</v>
      </c>
      <c r="R447">
        <v>0.81433</v>
      </c>
      <c r="S447">
        <v>0.71843999999999997</v>
      </c>
      <c r="T447">
        <v>106.1</v>
      </c>
      <c r="U447">
        <v>1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</row>
    <row r="448" spans="1:35" s="1857" customFormat="1" hidden="1" outlineLevel="1">
      <c r="A448" s="8">
        <v>43178</v>
      </c>
      <c r="B448" s="1860">
        <v>2178.9626499999999</v>
      </c>
      <c r="C448" s="1860">
        <v>2999.7686399999998</v>
      </c>
      <c r="D448" s="1860">
        <v>3517.1078400000001</v>
      </c>
      <c r="E448" s="1860">
        <v>4002.1720599999999</v>
      </c>
      <c r="F448">
        <v>26.954689999999999</v>
      </c>
      <c r="G448" s="1861">
        <v>2852.48</v>
      </c>
      <c r="I448">
        <v>0.76388</v>
      </c>
      <c r="J448">
        <v>1.0516399999999999</v>
      </c>
      <c r="K448">
        <v>1.2330000000000001</v>
      </c>
      <c r="L448">
        <v>1.4030499999999999</v>
      </c>
      <c r="M448">
        <v>9.4500000000000001E-3</v>
      </c>
      <c r="N448">
        <v>1</v>
      </c>
      <c r="P448">
        <v>1.3090999999999999</v>
      </c>
      <c r="Q448">
        <v>0.95089999999999997</v>
      </c>
      <c r="R448">
        <v>0.81103000000000003</v>
      </c>
      <c r="S448">
        <v>0.71272999999999997</v>
      </c>
      <c r="T448">
        <v>105.825</v>
      </c>
      <c r="U448">
        <v>1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</row>
    <row r="449" spans="1:35" s="1857" customFormat="1" hidden="1" outlineLevel="1">
      <c r="A449" s="8">
        <v>43179</v>
      </c>
      <c r="B449" s="1860">
        <v>2179.7952</v>
      </c>
      <c r="C449" s="1860">
        <v>2987.3592699999999</v>
      </c>
      <c r="D449" s="1860">
        <v>3500.42083</v>
      </c>
      <c r="E449" s="1860">
        <v>3997.32285</v>
      </c>
      <c r="F449">
        <v>26.8065</v>
      </c>
      <c r="G449" s="1861">
        <v>2852.48</v>
      </c>
      <c r="I449">
        <v>0.76417999999999997</v>
      </c>
      <c r="J449">
        <v>1.04728</v>
      </c>
      <c r="K449">
        <v>1.22715</v>
      </c>
      <c r="L449">
        <v>1.4013500000000001</v>
      </c>
      <c r="M449">
        <v>9.4000000000000004E-3</v>
      </c>
      <c r="N449">
        <v>1</v>
      </c>
      <c r="P449">
        <v>1.3086</v>
      </c>
      <c r="Q449">
        <v>0.95484999999999998</v>
      </c>
      <c r="R449">
        <v>0.81489999999999996</v>
      </c>
      <c r="S449">
        <v>0.71360000000000001</v>
      </c>
      <c r="T449">
        <v>106.41</v>
      </c>
      <c r="U449">
        <v>1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</row>
    <row r="450" spans="1:35" s="1857" customFormat="1" hidden="1" outlineLevel="1">
      <c r="A450" s="8">
        <v>43180</v>
      </c>
      <c r="B450" s="1860">
        <v>2212.6418199999998</v>
      </c>
      <c r="C450" s="1860">
        <v>3004.8422599999999</v>
      </c>
      <c r="D450" s="1860">
        <v>3516.9941100000001</v>
      </c>
      <c r="E450" s="1860">
        <v>4032.3229799999999</v>
      </c>
      <c r="F450">
        <v>26.963740000000001</v>
      </c>
      <c r="G450" s="1861">
        <v>2866.92</v>
      </c>
      <c r="I450">
        <v>0.77178000000000002</v>
      </c>
      <c r="J450">
        <v>1.0481100000000001</v>
      </c>
      <c r="K450">
        <v>1.22675</v>
      </c>
      <c r="L450">
        <v>1.4065000000000001</v>
      </c>
      <c r="M450">
        <v>9.41E-3</v>
      </c>
      <c r="N450">
        <v>1</v>
      </c>
      <c r="P450">
        <v>1.2957000000000001</v>
      </c>
      <c r="Q450">
        <v>0.95409999999999995</v>
      </c>
      <c r="R450">
        <v>0.81516</v>
      </c>
      <c r="S450">
        <v>0.71097999999999995</v>
      </c>
      <c r="T450">
        <v>106.325</v>
      </c>
      <c r="U450">
        <v>1</v>
      </c>
      <c r="W450"/>
      <c r="X450"/>
      <c r="Y450"/>
      <c r="Z450"/>
      <c r="AA450"/>
      <c r="AB450"/>
      <c r="AC450"/>
      <c r="AD450"/>
      <c r="AE450"/>
      <c r="AF450"/>
      <c r="AG450"/>
      <c r="AH450"/>
      <c r="AI450"/>
    </row>
    <row r="451" spans="1:35" hidden="1" outlineLevel="1">
      <c r="A451" s="8">
        <v>43181</v>
      </c>
      <c r="B451" s="1860">
        <v>2204.2837800000002</v>
      </c>
      <c r="C451" s="1860">
        <v>3003.4135799999999</v>
      </c>
      <c r="D451" s="1860">
        <v>3508.7717899999998</v>
      </c>
      <c r="E451" s="1860">
        <v>4018.04756</v>
      </c>
      <c r="F451">
        <v>27.06052</v>
      </c>
      <c r="G451" s="1861">
        <v>2850.69</v>
      </c>
      <c r="I451">
        <v>0.77324999999999999</v>
      </c>
      <c r="J451">
        <v>1.0535699999999999</v>
      </c>
      <c r="K451">
        <v>1.23085</v>
      </c>
      <c r="L451">
        <v>1.4095</v>
      </c>
      <c r="M451">
        <v>9.4900000000000002E-3</v>
      </c>
      <c r="N451">
        <v>1</v>
      </c>
      <c r="P451">
        <v>1.29325</v>
      </c>
      <c r="Q451">
        <v>0.94915000000000005</v>
      </c>
      <c r="R451">
        <v>0.81245000000000001</v>
      </c>
      <c r="S451">
        <v>0.70947000000000005</v>
      </c>
      <c r="T451">
        <v>105.345</v>
      </c>
      <c r="U451">
        <v>1</v>
      </c>
    </row>
    <row r="452" spans="1:35" hidden="1" outlineLevel="1">
      <c r="A452" s="8">
        <v>43182</v>
      </c>
      <c r="B452" s="1860">
        <v>2220.8338199999998</v>
      </c>
      <c r="C452" s="1860">
        <v>3019.0999400000001</v>
      </c>
      <c r="D452" s="1860">
        <v>3532.33968</v>
      </c>
      <c r="E452" s="1860">
        <v>4043.9002</v>
      </c>
      <c r="F452">
        <v>27.250350000000001</v>
      </c>
      <c r="G452" s="1861">
        <v>2857.88</v>
      </c>
      <c r="I452">
        <v>0.77708999999999995</v>
      </c>
      <c r="J452">
        <v>1.0564100000000001</v>
      </c>
      <c r="K452">
        <v>1.236</v>
      </c>
      <c r="L452">
        <v>1.415</v>
      </c>
      <c r="M452">
        <v>9.5399999999999999E-3</v>
      </c>
      <c r="N452">
        <v>1</v>
      </c>
      <c r="P452">
        <v>1.28685</v>
      </c>
      <c r="Q452">
        <v>0.9466</v>
      </c>
      <c r="R452">
        <v>0.80906</v>
      </c>
      <c r="S452">
        <v>0.70670999999999995</v>
      </c>
      <c r="T452">
        <v>104.875</v>
      </c>
      <c r="U452">
        <v>1</v>
      </c>
    </row>
    <row r="453" spans="1:35" hidden="1" outlineLevel="1">
      <c r="A453" s="8">
        <v>43183</v>
      </c>
      <c r="B453" s="1860">
        <v>2213.9410200000002</v>
      </c>
      <c r="C453" s="1860">
        <v>3009.7295600000002</v>
      </c>
      <c r="D453" s="1860">
        <v>3521.3763600000002</v>
      </c>
      <c r="E453" s="1860">
        <v>4031.34915</v>
      </c>
      <c r="F453">
        <v>27.165769999999998</v>
      </c>
      <c r="G453" s="1861">
        <v>2849.01</v>
      </c>
      <c r="I453">
        <v>0.77708999999999995</v>
      </c>
      <c r="J453">
        <v>1.0564100000000001</v>
      </c>
      <c r="K453">
        <v>1.236</v>
      </c>
      <c r="L453">
        <v>1.415</v>
      </c>
      <c r="M453">
        <v>9.5399999999999999E-3</v>
      </c>
      <c r="N453">
        <v>1</v>
      </c>
      <c r="P453">
        <v>1.28685</v>
      </c>
      <c r="Q453">
        <v>0.9466</v>
      </c>
      <c r="R453">
        <v>0.80906</v>
      </c>
      <c r="S453">
        <v>0.70670999999999995</v>
      </c>
      <c r="T453">
        <v>104.875</v>
      </c>
      <c r="U453">
        <v>1</v>
      </c>
    </row>
    <row r="454" spans="1:35" hidden="1" outlineLevel="1">
      <c r="A454" s="8">
        <v>43184</v>
      </c>
      <c r="B454" s="1860">
        <v>2213.9410200000002</v>
      </c>
      <c r="C454" s="1860">
        <v>3009.7295600000002</v>
      </c>
      <c r="D454" s="1860">
        <v>3521.3763600000002</v>
      </c>
      <c r="E454" s="1860">
        <v>4031.34915</v>
      </c>
      <c r="F454">
        <v>27.165769999999998</v>
      </c>
      <c r="G454" s="1861">
        <v>2849.01</v>
      </c>
      <c r="I454">
        <v>0.77708999999999995</v>
      </c>
      <c r="J454">
        <v>1.0564100000000001</v>
      </c>
      <c r="K454">
        <v>1.236</v>
      </c>
      <c r="L454">
        <v>1.415</v>
      </c>
      <c r="M454">
        <v>9.5399999999999999E-3</v>
      </c>
      <c r="N454">
        <v>1</v>
      </c>
      <c r="P454">
        <v>1.28685</v>
      </c>
      <c r="Q454">
        <v>0.9466</v>
      </c>
      <c r="R454">
        <v>0.80906</v>
      </c>
      <c r="S454">
        <v>0.70670999999999995</v>
      </c>
      <c r="T454">
        <v>104.875</v>
      </c>
      <c r="U454">
        <v>1</v>
      </c>
    </row>
    <row r="455" spans="1:35" hidden="1" outlineLevel="1">
      <c r="A455" s="8">
        <v>43185</v>
      </c>
      <c r="B455" s="1860">
        <v>2206.05521</v>
      </c>
      <c r="C455" s="1860">
        <v>3017.6994</v>
      </c>
      <c r="D455" s="1860">
        <v>3544.7382400000001</v>
      </c>
      <c r="E455" s="1860">
        <v>4052.7167300000001</v>
      </c>
      <c r="F455">
        <v>27.119219999999999</v>
      </c>
      <c r="G455" s="1861">
        <v>2849.01</v>
      </c>
      <c r="I455">
        <v>0.77432000000000001</v>
      </c>
      <c r="J455">
        <v>1.05921</v>
      </c>
      <c r="K455">
        <v>1.2442</v>
      </c>
      <c r="L455">
        <v>1.4225000000000001</v>
      </c>
      <c r="M455">
        <v>9.5200000000000007E-3</v>
      </c>
      <c r="N455">
        <v>1</v>
      </c>
      <c r="P455">
        <v>1.29145</v>
      </c>
      <c r="Q455">
        <v>0.94410000000000005</v>
      </c>
      <c r="R455">
        <v>0.80373000000000006</v>
      </c>
      <c r="S455">
        <v>0.70299</v>
      </c>
      <c r="T455">
        <v>105.05500000000001</v>
      </c>
      <c r="U455">
        <v>1</v>
      </c>
    </row>
    <row r="456" spans="1:35" hidden="1" outlineLevel="1">
      <c r="A456" s="8">
        <v>43186</v>
      </c>
      <c r="B456" s="1860">
        <v>2186.9312</v>
      </c>
      <c r="C456" s="1860">
        <v>2970.18561</v>
      </c>
      <c r="D456" s="1860">
        <v>3490.8410399999998</v>
      </c>
      <c r="E456" s="1860">
        <v>3982.5722500000002</v>
      </c>
      <c r="F456">
        <v>26.626930000000002</v>
      </c>
      <c r="G456" s="1861">
        <v>2816.33</v>
      </c>
      <c r="I456">
        <v>0.77651999999999999</v>
      </c>
      <c r="J456">
        <v>1.05463</v>
      </c>
      <c r="K456">
        <v>1.2395</v>
      </c>
      <c r="L456">
        <v>1.4140999999999999</v>
      </c>
      <c r="M456">
        <v>9.4500000000000001E-3</v>
      </c>
      <c r="N456">
        <v>1</v>
      </c>
      <c r="P456">
        <v>1.2878000000000001</v>
      </c>
      <c r="Q456">
        <v>0.94820000000000004</v>
      </c>
      <c r="R456">
        <v>0.80678000000000005</v>
      </c>
      <c r="S456">
        <v>0.70716000000000001</v>
      </c>
      <c r="T456">
        <v>105.77</v>
      </c>
      <c r="U456">
        <v>1</v>
      </c>
    </row>
    <row r="457" spans="1:35" hidden="1" outlineLevel="1">
      <c r="A457" s="8">
        <v>43187</v>
      </c>
      <c r="B457" s="1860">
        <v>2157.1600400000002</v>
      </c>
      <c r="C457" s="1860">
        <v>2915.3103999999998</v>
      </c>
      <c r="D457" s="1860">
        <v>3433.6273999999999</v>
      </c>
      <c r="E457" s="1860">
        <v>3920.1343999999999</v>
      </c>
      <c r="F457">
        <v>26.1737</v>
      </c>
      <c r="G457" s="1861">
        <v>2780.04</v>
      </c>
      <c r="I457">
        <v>0.77595000000000003</v>
      </c>
      <c r="J457">
        <v>1.0486599999999999</v>
      </c>
      <c r="K457">
        <v>1.2351000000000001</v>
      </c>
      <c r="L457">
        <v>1.4100999999999999</v>
      </c>
      <c r="M457">
        <v>9.41E-3</v>
      </c>
      <c r="N457">
        <v>1</v>
      </c>
      <c r="P457">
        <v>1.2887500000000001</v>
      </c>
      <c r="Q457">
        <v>0.9536</v>
      </c>
      <c r="R457">
        <v>0.80964999999999998</v>
      </c>
      <c r="S457">
        <v>0.70916999999999997</v>
      </c>
      <c r="T457">
        <v>106.215</v>
      </c>
      <c r="U457">
        <v>1</v>
      </c>
    </row>
    <row r="458" spans="1:35" hidden="1" outlineLevel="1">
      <c r="A458" s="8">
        <v>43188</v>
      </c>
      <c r="B458" s="1860">
        <v>2156.65697</v>
      </c>
      <c r="C458" s="1860">
        <v>2903.58187</v>
      </c>
      <c r="D458" s="1860">
        <v>3419.5610299999998</v>
      </c>
      <c r="E458" s="1860">
        <v>3900.4433199999999</v>
      </c>
      <c r="F458">
        <v>26.14452</v>
      </c>
      <c r="G458" s="1861">
        <v>2780.47</v>
      </c>
      <c r="I458">
        <v>0.77564</v>
      </c>
      <c r="J458">
        <v>1.0442800000000001</v>
      </c>
      <c r="K458">
        <v>1.2298500000000001</v>
      </c>
      <c r="L458">
        <v>1.4028</v>
      </c>
      <c r="M458">
        <v>9.4000000000000004E-3</v>
      </c>
      <c r="N458">
        <v>1</v>
      </c>
      <c r="P458">
        <v>1.28925</v>
      </c>
      <c r="Q458">
        <v>0.95760000000000001</v>
      </c>
      <c r="R458">
        <v>0.81311</v>
      </c>
      <c r="S458">
        <v>0.71286000000000005</v>
      </c>
      <c r="T458">
        <v>106.35</v>
      </c>
      <c r="U458">
        <v>1</v>
      </c>
    </row>
    <row r="459" spans="1:35" hidden="1" outlineLevel="1">
      <c r="A459" s="8">
        <v>43189</v>
      </c>
      <c r="B459" s="1860">
        <v>2156.65697</v>
      </c>
      <c r="C459" s="1860">
        <v>2903.58187</v>
      </c>
      <c r="D459" s="1860">
        <v>3419.5610299999998</v>
      </c>
      <c r="E459" s="1860">
        <v>3900.4433199999999</v>
      </c>
      <c r="F459">
        <v>26.14452</v>
      </c>
      <c r="G459" s="1861">
        <v>2780.47</v>
      </c>
      <c r="I459">
        <v>0.77564</v>
      </c>
      <c r="J459">
        <v>1.0442800000000001</v>
      </c>
      <c r="K459">
        <v>1.2298500000000001</v>
      </c>
      <c r="L459">
        <v>1.4028</v>
      </c>
      <c r="M459">
        <v>9.4000000000000004E-3</v>
      </c>
      <c r="N459">
        <v>1</v>
      </c>
      <c r="P459">
        <v>1.28925</v>
      </c>
      <c r="Q459">
        <v>0.95760000000000001</v>
      </c>
      <c r="R459">
        <v>0.81311</v>
      </c>
      <c r="S459">
        <v>0.71286000000000005</v>
      </c>
      <c r="T459">
        <v>106.35</v>
      </c>
      <c r="U459">
        <v>1</v>
      </c>
    </row>
    <row r="460" spans="1:35" ht="15.75" hidden="1" outlineLevel="1" thickBot="1">
      <c r="A460" s="1868">
        <v>43190</v>
      </c>
      <c r="B460" s="1869">
        <v>2156.65697</v>
      </c>
      <c r="C460" s="1869">
        <v>2903.58187</v>
      </c>
      <c r="D460" s="1869">
        <v>3419.5610299999998</v>
      </c>
      <c r="E460" s="1869">
        <v>3900.4433199999999</v>
      </c>
      <c r="F460" s="1870">
        <v>26.14452</v>
      </c>
      <c r="G460" s="1871">
        <v>2780.47</v>
      </c>
      <c r="H460" s="1872"/>
      <c r="I460" s="1870">
        <v>0.77564</v>
      </c>
      <c r="J460" s="1870">
        <v>1.0442800000000001</v>
      </c>
      <c r="K460" s="1870">
        <v>1.2298500000000001</v>
      </c>
      <c r="L460" s="1870">
        <v>1.4028</v>
      </c>
      <c r="M460" s="1870">
        <v>9.4000000000000004E-3</v>
      </c>
      <c r="N460" s="1870">
        <v>1</v>
      </c>
      <c r="O460" s="1872"/>
      <c r="P460" s="1870">
        <v>1.28925</v>
      </c>
      <c r="Q460" s="1870">
        <v>0.95760000000000001</v>
      </c>
      <c r="R460" s="1870">
        <v>0.81311</v>
      </c>
      <c r="S460" s="1870">
        <v>0.71286000000000005</v>
      </c>
      <c r="T460" s="1870">
        <v>106.35</v>
      </c>
      <c r="U460" s="1870">
        <v>1</v>
      </c>
      <c r="V460" s="1872"/>
    </row>
    <row r="461" spans="1:35" hidden="1" outlineLevel="1">
      <c r="A461" s="8">
        <v>43191</v>
      </c>
      <c r="B461" s="1860">
        <v>2156.65697</v>
      </c>
      <c r="C461" s="1860">
        <v>2903.58187</v>
      </c>
      <c r="D461" s="1860">
        <v>3419.5610299999998</v>
      </c>
      <c r="E461" s="1860">
        <v>3900.4433199999999</v>
      </c>
      <c r="F461">
        <v>26.14452</v>
      </c>
      <c r="G461" s="1861">
        <v>2780.47</v>
      </c>
      <c r="I461">
        <v>0.77564</v>
      </c>
      <c r="J461">
        <v>1.0442800000000001</v>
      </c>
      <c r="K461">
        <v>1.2298500000000001</v>
      </c>
      <c r="L461">
        <v>1.4028</v>
      </c>
      <c r="M461">
        <v>9.4000000000000004E-3</v>
      </c>
      <c r="N461">
        <v>1</v>
      </c>
      <c r="P461">
        <v>1.28925</v>
      </c>
      <c r="Q461">
        <v>0.95760000000000001</v>
      </c>
      <c r="R461">
        <v>0.81311</v>
      </c>
      <c r="S461">
        <v>0.71286000000000005</v>
      </c>
      <c r="T461">
        <v>106.35</v>
      </c>
      <c r="U461">
        <v>1</v>
      </c>
    </row>
    <row r="462" spans="1:35" hidden="1" outlineLevel="1">
      <c r="A462" s="8">
        <v>43192</v>
      </c>
      <c r="B462" s="1860">
        <v>2154.65148</v>
      </c>
      <c r="C462" s="1860">
        <v>2911.6393499999999</v>
      </c>
      <c r="D462" s="1860">
        <v>3422.6195499999999</v>
      </c>
      <c r="E462" s="1860">
        <v>3907.3944900000001</v>
      </c>
      <c r="F462">
        <v>26.17529</v>
      </c>
      <c r="G462" s="1861">
        <v>2780.47</v>
      </c>
      <c r="I462">
        <v>0.77492000000000005</v>
      </c>
      <c r="J462">
        <v>1.04718</v>
      </c>
      <c r="K462">
        <v>1.23095</v>
      </c>
      <c r="L462">
        <v>1.4053</v>
      </c>
      <c r="M462">
        <v>9.41E-3</v>
      </c>
      <c r="N462">
        <v>1</v>
      </c>
      <c r="P462">
        <v>1.2904500000000001</v>
      </c>
      <c r="Q462">
        <v>0.95494999999999997</v>
      </c>
      <c r="R462">
        <v>0.81237999999999999</v>
      </c>
      <c r="S462">
        <v>0.71158999999999994</v>
      </c>
      <c r="T462">
        <v>106.22499999999999</v>
      </c>
      <c r="U462">
        <v>1</v>
      </c>
    </row>
    <row r="463" spans="1:35" hidden="1" outlineLevel="1">
      <c r="A463" s="8">
        <v>43193</v>
      </c>
      <c r="B463" s="1860">
        <v>2181.9147699999999</v>
      </c>
      <c r="C463" s="1860">
        <v>2913.1264700000002</v>
      </c>
      <c r="D463" s="1860">
        <v>3428.0790999999999</v>
      </c>
      <c r="E463" s="1860">
        <v>3922.7123200000001</v>
      </c>
      <c r="F463">
        <v>26.21021</v>
      </c>
      <c r="G463" s="1861">
        <v>2792.96</v>
      </c>
      <c r="I463">
        <v>0.78122000000000003</v>
      </c>
      <c r="J463">
        <v>1.0430200000000001</v>
      </c>
      <c r="K463">
        <v>1.2274</v>
      </c>
      <c r="L463">
        <v>1.4045000000000001</v>
      </c>
      <c r="M463">
        <v>9.3799999999999994E-3</v>
      </c>
      <c r="N463">
        <v>1</v>
      </c>
      <c r="P463">
        <v>1.2800499999999999</v>
      </c>
      <c r="Q463">
        <v>0.95874999999999999</v>
      </c>
      <c r="R463">
        <v>0.81472999999999995</v>
      </c>
      <c r="S463">
        <v>0.71199999999999997</v>
      </c>
      <c r="T463">
        <v>106.56</v>
      </c>
      <c r="U463">
        <v>1</v>
      </c>
    </row>
    <row r="464" spans="1:35" hidden="1" outlineLevel="1">
      <c r="A464" s="8">
        <v>43194</v>
      </c>
      <c r="B464" s="1860">
        <v>2166.79925</v>
      </c>
      <c r="C464" s="1860">
        <v>2895.5393399999998</v>
      </c>
      <c r="D464" s="1860">
        <v>3416.9942700000001</v>
      </c>
      <c r="E464" s="1860">
        <v>3913.05438</v>
      </c>
      <c r="F464">
        <v>26.077249999999999</v>
      </c>
      <c r="G464" s="1861">
        <v>2778.27</v>
      </c>
      <c r="I464">
        <v>0.77990999999999999</v>
      </c>
      <c r="J464">
        <v>1.0422100000000001</v>
      </c>
      <c r="K464">
        <v>1.2299</v>
      </c>
      <c r="L464">
        <v>1.40845</v>
      </c>
      <c r="M464">
        <v>9.3900000000000008E-3</v>
      </c>
      <c r="N464">
        <v>1</v>
      </c>
      <c r="P464">
        <v>1.2822</v>
      </c>
      <c r="Q464">
        <v>0.95950000000000002</v>
      </c>
      <c r="R464">
        <v>0.81306999999999996</v>
      </c>
      <c r="S464">
        <v>0.71</v>
      </c>
      <c r="T464">
        <v>106.54</v>
      </c>
      <c r="U464">
        <v>1</v>
      </c>
    </row>
    <row r="465" spans="1:35" hidden="1" outlineLevel="1">
      <c r="A465" s="8">
        <v>43195</v>
      </c>
      <c r="B465" s="1860">
        <v>2182.1926899999999</v>
      </c>
      <c r="C465" s="1860">
        <v>2898.3751200000002</v>
      </c>
      <c r="D465" s="1860">
        <v>3413.67137</v>
      </c>
      <c r="E465" s="1860">
        <v>3907.0813699999999</v>
      </c>
      <c r="F465">
        <v>25.97776</v>
      </c>
      <c r="G465" s="1861">
        <v>2791.57</v>
      </c>
      <c r="I465">
        <v>0.78171000000000002</v>
      </c>
      <c r="J465">
        <v>1.03826</v>
      </c>
      <c r="K465">
        <v>1.22285</v>
      </c>
      <c r="L465">
        <v>1.3996</v>
      </c>
      <c r="M465">
        <v>9.3100000000000006E-3</v>
      </c>
      <c r="N465">
        <v>1</v>
      </c>
      <c r="P465">
        <v>1.27925</v>
      </c>
      <c r="Q465">
        <v>0.96314999999999995</v>
      </c>
      <c r="R465">
        <v>0.81776000000000004</v>
      </c>
      <c r="S465">
        <v>0.71448999999999996</v>
      </c>
      <c r="T465">
        <v>107.46</v>
      </c>
      <c r="U465">
        <v>1</v>
      </c>
    </row>
    <row r="466" spans="1:35" hidden="1" outlineLevel="1">
      <c r="A466" s="8">
        <v>43196</v>
      </c>
      <c r="B466" s="1860">
        <v>2181.6303400000002</v>
      </c>
      <c r="C466" s="1860">
        <v>2900.62959</v>
      </c>
      <c r="D466" s="1860">
        <v>3417.7214600000002</v>
      </c>
      <c r="E466" s="1860">
        <v>3925.99656</v>
      </c>
      <c r="F466">
        <v>26.023340000000001</v>
      </c>
      <c r="G466" s="1861">
        <v>2787.36</v>
      </c>
      <c r="I466">
        <v>0.78269</v>
      </c>
      <c r="J466">
        <v>1.04064</v>
      </c>
      <c r="K466">
        <v>1.2261500000000001</v>
      </c>
      <c r="L466">
        <v>1.4085000000000001</v>
      </c>
      <c r="M466">
        <v>9.3399999999999993E-3</v>
      </c>
      <c r="N466">
        <v>1</v>
      </c>
      <c r="P466">
        <v>1.27765</v>
      </c>
      <c r="Q466">
        <v>0.96094999999999997</v>
      </c>
      <c r="R466">
        <v>0.81555999999999995</v>
      </c>
      <c r="S466">
        <v>0.70998000000000006</v>
      </c>
      <c r="T466">
        <v>107.11</v>
      </c>
      <c r="U466">
        <v>1</v>
      </c>
    </row>
    <row r="467" spans="1:35" s="1857" customFormat="1" hidden="1" outlineLevel="1">
      <c r="A467" s="8">
        <v>43197</v>
      </c>
      <c r="B467" s="1860">
        <v>2185.1680799999999</v>
      </c>
      <c r="C467" s="1860">
        <v>2905.3332599999999</v>
      </c>
      <c r="D467" s="1860">
        <v>3423.2636600000001</v>
      </c>
      <c r="E467" s="1860">
        <v>3932.3629799999999</v>
      </c>
      <c r="F467">
        <v>26.065539999999999</v>
      </c>
      <c r="G467" s="1861">
        <v>2791.88</v>
      </c>
      <c r="I467">
        <v>0.78269</v>
      </c>
      <c r="J467">
        <v>1.04064</v>
      </c>
      <c r="K467">
        <v>1.2261500000000001</v>
      </c>
      <c r="L467">
        <v>1.4085000000000001</v>
      </c>
      <c r="M467">
        <v>9.3399999999999993E-3</v>
      </c>
      <c r="N467">
        <v>1</v>
      </c>
      <c r="P467">
        <v>1.27765</v>
      </c>
      <c r="Q467">
        <v>0.96094999999999997</v>
      </c>
      <c r="R467">
        <v>0.81555999999999995</v>
      </c>
      <c r="S467">
        <v>0.70998000000000006</v>
      </c>
      <c r="T467">
        <v>107.11</v>
      </c>
      <c r="U467">
        <v>1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</row>
    <row r="468" spans="1:35" s="1857" customFormat="1" hidden="1" outlineLevel="1">
      <c r="A468" s="8">
        <v>43198</v>
      </c>
      <c r="B468" s="1860">
        <v>2185.1680799999999</v>
      </c>
      <c r="C468" s="1860">
        <v>2905.3332599999999</v>
      </c>
      <c r="D468" s="1860">
        <v>3423.2636600000001</v>
      </c>
      <c r="E468" s="1860">
        <v>3932.3629799999999</v>
      </c>
      <c r="F468">
        <v>26.065539999999999</v>
      </c>
      <c r="G468" s="1861">
        <v>2791.88</v>
      </c>
      <c r="I468">
        <v>0.78269</v>
      </c>
      <c r="J468">
        <v>1.04064</v>
      </c>
      <c r="K468">
        <v>1.2261500000000001</v>
      </c>
      <c r="L468">
        <v>1.4085000000000001</v>
      </c>
      <c r="M468">
        <v>9.3399999999999993E-3</v>
      </c>
      <c r="N468">
        <v>1</v>
      </c>
      <c r="P468">
        <v>1.27765</v>
      </c>
      <c r="Q468">
        <v>0.96094999999999997</v>
      </c>
      <c r="R468">
        <v>0.81555999999999995</v>
      </c>
      <c r="S468">
        <v>0.70998000000000006</v>
      </c>
      <c r="T468">
        <v>107.11</v>
      </c>
      <c r="U468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</row>
    <row r="469" spans="1:35" s="1857" customFormat="1" hidden="1" outlineLevel="1">
      <c r="A469" s="8">
        <v>43199</v>
      </c>
      <c r="B469" s="1860">
        <v>2193.32233</v>
      </c>
      <c r="C469" s="1860">
        <v>2915.19265</v>
      </c>
      <c r="D469" s="1860">
        <v>3437.08347</v>
      </c>
      <c r="E469" s="1860">
        <v>3943.9492799999998</v>
      </c>
      <c r="F469">
        <v>26.08259</v>
      </c>
      <c r="G469" s="1861">
        <v>2791.88</v>
      </c>
      <c r="I469">
        <v>0.78561000000000003</v>
      </c>
      <c r="J469">
        <v>1.04417</v>
      </c>
      <c r="K469">
        <v>1.2311000000000001</v>
      </c>
      <c r="L469">
        <v>1.41265</v>
      </c>
      <c r="M469">
        <v>9.3399999999999993E-3</v>
      </c>
      <c r="N469">
        <v>1</v>
      </c>
      <c r="P469">
        <v>1.2728999999999999</v>
      </c>
      <c r="Q469">
        <v>0.9577</v>
      </c>
      <c r="R469">
        <v>0.81228</v>
      </c>
      <c r="S469">
        <v>0.70789000000000002</v>
      </c>
      <c r="T469">
        <v>107.04</v>
      </c>
      <c r="U469">
        <v>1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</row>
    <row r="470" spans="1:35" s="1857" customFormat="1" hidden="1" outlineLevel="1">
      <c r="A470" s="8">
        <v>43200</v>
      </c>
      <c r="B470" s="1860">
        <v>2203.4374899999998</v>
      </c>
      <c r="C470" s="1860">
        <v>2909.3808800000002</v>
      </c>
      <c r="D470" s="1860">
        <v>3435.7082500000001</v>
      </c>
      <c r="E470" s="1860">
        <v>3943.1359299999999</v>
      </c>
      <c r="F470">
        <v>25.957080000000001</v>
      </c>
      <c r="G470" s="1861">
        <v>2781.95</v>
      </c>
      <c r="I470">
        <v>0.79205000000000003</v>
      </c>
      <c r="J470">
        <v>1.0458099999999999</v>
      </c>
      <c r="K470">
        <v>1.2350000000000001</v>
      </c>
      <c r="L470">
        <v>1.4174</v>
      </c>
      <c r="M470">
        <v>9.3299999999999998E-3</v>
      </c>
      <c r="N470">
        <v>1</v>
      </c>
      <c r="P470">
        <v>1.2625500000000001</v>
      </c>
      <c r="Q470">
        <v>0.95620000000000005</v>
      </c>
      <c r="R470">
        <v>0.80972</v>
      </c>
      <c r="S470">
        <v>0.70552000000000004</v>
      </c>
      <c r="T470">
        <v>107.175</v>
      </c>
      <c r="U470">
        <v>1</v>
      </c>
      <c r="W470"/>
      <c r="X470"/>
      <c r="Y470"/>
      <c r="Z470"/>
      <c r="AA470"/>
      <c r="AB470"/>
      <c r="AC470"/>
      <c r="AD470"/>
      <c r="AE470"/>
      <c r="AF470"/>
      <c r="AG470"/>
      <c r="AH470"/>
      <c r="AI470"/>
    </row>
    <row r="471" spans="1:35" s="1857" customFormat="1" hidden="1" outlineLevel="1">
      <c r="A471" s="8">
        <v>43201</v>
      </c>
      <c r="B471" s="1860">
        <v>2201.6624900000002</v>
      </c>
      <c r="C471" s="1860">
        <v>2891.7306600000002</v>
      </c>
      <c r="D471" s="1860">
        <v>3427.8066800000001</v>
      </c>
      <c r="E471" s="1860">
        <v>3931.9650900000001</v>
      </c>
      <c r="F471">
        <v>25.93656</v>
      </c>
      <c r="G471" s="1861">
        <v>2767.82</v>
      </c>
      <c r="I471">
        <v>0.79544999999999999</v>
      </c>
      <c r="J471">
        <v>1.04477</v>
      </c>
      <c r="K471">
        <v>1.2384500000000001</v>
      </c>
      <c r="L471">
        <v>1.4206000000000001</v>
      </c>
      <c r="M471">
        <v>9.3699999999999999E-3</v>
      </c>
      <c r="N471">
        <v>1</v>
      </c>
      <c r="P471">
        <v>1.25715</v>
      </c>
      <c r="Q471">
        <v>0.95714999999999995</v>
      </c>
      <c r="R471">
        <v>0.80745999999999996</v>
      </c>
      <c r="S471">
        <v>0.70392999999999994</v>
      </c>
      <c r="T471">
        <v>106.715</v>
      </c>
      <c r="U471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</row>
    <row r="472" spans="1:35" s="1857" customFormat="1" hidden="1" outlineLevel="1">
      <c r="A472" s="8">
        <v>43202</v>
      </c>
      <c r="B472" s="1860">
        <v>2168.0336299999999</v>
      </c>
      <c r="C472" s="1860">
        <v>2839.5823599999999</v>
      </c>
      <c r="D472" s="1860">
        <v>3366.6683699999999</v>
      </c>
      <c r="E472" s="1860">
        <v>3889.9471699999999</v>
      </c>
      <c r="F472">
        <v>25.478819999999999</v>
      </c>
      <c r="G472" s="1861">
        <v>2733.24</v>
      </c>
      <c r="I472">
        <v>0.79320999999999997</v>
      </c>
      <c r="J472">
        <v>1.03891</v>
      </c>
      <c r="K472">
        <v>1.2317499999999999</v>
      </c>
      <c r="L472">
        <v>1.4232</v>
      </c>
      <c r="M472">
        <v>9.3200000000000002E-3</v>
      </c>
      <c r="N472">
        <v>1</v>
      </c>
      <c r="P472">
        <v>1.2606999999999999</v>
      </c>
      <c r="Q472">
        <v>0.96255000000000002</v>
      </c>
      <c r="R472">
        <v>0.81184999999999996</v>
      </c>
      <c r="S472">
        <v>0.70264000000000004</v>
      </c>
      <c r="T472">
        <v>107.27500000000001</v>
      </c>
      <c r="U472">
        <v>1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</row>
    <row r="473" spans="1:35" s="1857" customFormat="1" hidden="1" outlineLevel="1">
      <c r="A473" s="8">
        <v>43203</v>
      </c>
      <c r="B473" s="1860">
        <v>2149.7937499999998</v>
      </c>
      <c r="C473" s="1860">
        <v>2816.2007699999999</v>
      </c>
      <c r="D473" s="1860">
        <v>3340.65398</v>
      </c>
      <c r="E473" s="1860">
        <v>3861.1152400000001</v>
      </c>
      <c r="F473">
        <v>25.203720000000001</v>
      </c>
      <c r="G473" s="1861">
        <v>2710.03</v>
      </c>
      <c r="I473">
        <v>0.79327000000000003</v>
      </c>
      <c r="J473">
        <v>1.03918</v>
      </c>
      <c r="K473">
        <v>1.2326999999999999</v>
      </c>
      <c r="L473">
        <v>1.42475</v>
      </c>
      <c r="M473">
        <v>9.2999999999999992E-3</v>
      </c>
      <c r="N473">
        <v>1</v>
      </c>
      <c r="P473">
        <v>1.2605999999999999</v>
      </c>
      <c r="Q473">
        <v>0.96230000000000004</v>
      </c>
      <c r="R473">
        <v>0.81123000000000001</v>
      </c>
      <c r="S473">
        <v>0.70187999999999995</v>
      </c>
      <c r="T473">
        <v>107.52500000000001</v>
      </c>
      <c r="U473">
        <v>1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</row>
    <row r="474" spans="1:35" s="1857" customFormat="1" hidden="1" outlineLevel="1">
      <c r="A474" s="8">
        <v>43204</v>
      </c>
      <c r="B474" s="1860">
        <v>2146.0733</v>
      </c>
      <c r="C474" s="1860">
        <v>2811.3270299999999</v>
      </c>
      <c r="D474" s="1860">
        <v>3334.8726200000001</v>
      </c>
      <c r="E474" s="1860">
        <v>3854.4331699999998</v>
      </c>
      <c r="F474">
        <v>25.1601</v>
      </c>
      <c r="G474" s="1873">
        <v>2705.34</v>
      </c>
      <c r="I474">
        <v>0.79327000000000003</v>
      </c>
      <c r="J474">
        <v>1.03918</v>
      </c>
      <c r="K474">
        <v>1.2326999999999999</v>
      </c>
      <c r="L474">
        <v>1.42475</v>
      </c>
      <c r="M474">
        <v>9.2999999999999992E-3</v>
      </c>
      <c r="N474">
        <v>1</v>
      </c>
      <c r="P474">
        <v>1.2605999999999999</v>
      </c>
      <c r="Q474">
        <v>0.96230000000000004</v>
      </c>
      <c r="R474">
        <v>0.81123000000000001</v>
      </c>
      <c r="S474">
        <v>0.70187999999999995</v>
      </c>
      <c r="T474">
        <v>107.52500000000001</v>
      </c>
      <c r="U474">
        <v>1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/>
    </row>
    <row r="475" spans="1:35" s="1857" customFormat="1" hidden="1" outlineLevel="1">
      <c r="A475" s="8">
        <v>43205</v>
      </c>
      <c r="B475" s="1860">
        <v>2146.0733</v>
      </c>
      <c r="C475" s="1860">
        <v>2811.3270299999999</v>
      </c>
      <c r="D475" s="1860">
        <v>3334.8726200000001</v>
      </c>
      <c r="E475" s="1860">
        <v>3854.4331699999998</v>
      </c>
      <c r="F475">
        <v>25.1601</v>
      </c>
      <c r="G475" s="1873">
        <v>2705.34</v>
      </c>
      <c r="I475">
        <v>0.79327000000000003</v>
      </c>
      <c r="J475">
        <v>1.03918</v>
      </c>
      <c r="K475">
        <v>1.2326999999999999</v>
      </c>
      <c r="L475">
        <v>1.42475</v>
      </c>
      <c r="M475">
        <v>9.2999999999999992E-3</v>
      </c>
      <c r="N475">
        <v>1</v>
      </c>
      <c r="P475">
        <v>1.2605999999999999</v>
      </c>
      <c r="Q475">
        <v>0.96230000000000004</v>
      </c>
      <c r="R475">
        <v>0.81123000000000001</v>
      </c>
      <c r="S475">
        <v>0.70187999999999995</v>
      </c>
      <c r="T475">
        <v>107.52500000000001</v>
      </c>
      <c r="U475">
        <v>1</v>
      </c>
      <c r="W475"/>
      <c r="X475"/>
      <c r="Y475"/>
      <c r="Z475"/>
      <c r="AA475"/>
      <c r="AB475"/>
      <c r="AC475"/>
      <c r="AD475"/>
      <c r="AE475"/>
      <c r="AF475"/>
      <c r="AG475"/>
      <c r="AH475"/>
      <c r="AI475"/>
    </row>
    <row r="476" spans="1:35" s="1857" customFormat="1" hidden="1" outlineLevel="1">
      <c r="A476" s="8">
        <v>43206</v>
      </c>
      <c r="B476" s="1860">
        <v>2151.6204699999998</v>
      </c>
      <c r="C476" s="1860">
        <v>2818.0625</v>
      </c>
      <c r="D476" s="1860">
        <v>3345.5587099999998</v>
      </c>
      <c r="E476" s="1860">
        <v>3876.7522199999999</v>
      </c>
      <c r="F476">
        <v>25.222259999999999</v>
      </c>
      <c r="G476" s="1873">
        <v>2705.34</v>
      </c>
      <c r="I476">
        <v>0.79532000000000003</v>
      </c>
      <c r="J476">
        <v>1.0416700000000001</v>
      </c>
      <c r="K476">
        <v>1.23665</v>
      </c>
      <c r="L476">
        <v>1.4330000000000001</v>
      </c>
      <c r="M476">
        <v>9.3200000000000002E-3</v>
      </c>
      <c r="N476">
        <v>1</v>
      </c>
      <c r="P476">
        <v>1.25735</v>
      </c>
      <c r="Q476">
        <v>0.96</v>
      </c>
      <c r="R476">
        <v>0.80864000000000003</v>
      </c>
      <c r="S476">
        <v>0.69784000000000002</v>
      </c>
      <c r="T476">
        <v>107.26</v>
      </c>
      <c r="U476">
        <v>1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</row>
    <row r="477" spans="1:35" s="1857" customFormat="1" hidden="1" outlineLevel="1">
      <c r="A477" s="8">
        <v>43207</v>
      </c>
      <c r="B477" s="1860">
        <v>2169.2020000000002</v>
      </c>
      <c r="C477" s="1860">
        <v>2823.1633400000001</v>
      </c>
      <c r="D477" s="1860">
        <v>3365.6908899999999</v>
      </c>
      <c r="E477" s="1860">
        <v>3900.7606300000002</v>
      </c>
      <c r="F477">
        <v>25.446539999999999</v>
      </c>
      <c r="G477" s="1861">
        <v>2726.47</v>
      </c>
      <c r="I477">
        <v>0.79561000000000004</v>
      </c>
      <c r="J477">
        <v>1.03546</v>
      </c>
      <c r="K477">
        <v>1.23445</v>
      </c>
      <c r="L477">
        <v>1.4307000000000001</v>
      </c>
      <c r="M477">
        <v>9.3299999999999998E-3</v>
      </c>
      <c r="N477">
        <v>1</v>
      </c>
      <c r="P477">
        <v>1.2568999999999999</v>
      </c>
      <c r="Q477">
        <v>0.96575</v>
      </c>
      <c r="R477">
        <v>0.81008000000000002</v>
      </c>
      <c r="S477">
        <v>0.69896000000000003</v>
      </c>
      <c r="T477">
        <v>107.145</v>
      </c>
      <c r="U477">
        <v>1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</row>
    <row r="478" spans="1:35" s="1857" customFormat="1" hidden="1" outlineLevel="1">
      <c r="A478" s="8">
        <v>43208</v>
      </c>
      <c r="B478" s="1860">
        <v>2163.9950800000001</v>
      </c>
      <c r="C478" s="1860">
        <v>2818.2391600000001</v>
      </c>
      <c r="D478" s="1860">
        <v>3373.5493799999999</v>
      </c>
      <c r="E478" s="1860">
        <v>3879.8407299999999</v>
      </c>
      <c r="F478">
        <v>25.417629999999999</v>
      </c>
      <c r="G478" s="1861">
        <v>2725.66</v>
      </c>
      <c r="I478">
        <v>0.79393000000000002</v>
      </c>
      <c r="J478">
        <v>1.0339700000000001</v>
      </c>
      <c r="K478">
        <v>1.2377</v>
      </c>
      <c r="L478">
        <v>1.4234500000000001</v>
      </c>
      <c r="M478">
        <v>9.3299999999999998E-3</v>
      </c>
      <c r="N478">
        <v>1</v>
      </c>
      <c r="P478">
        <v>1.2595499999999999</v>
      </c>
      <c r="Q478">
        <v>0.96714999999999995</v>
      </c>
      <c r="R478">
        <v>0.80794999999999995</v>
      </c>
      <c r="S478">
        <v>0.70252000000000003</v>
      </c>
      <c r="T478">
        <v>107.235</v>
      </c>
      <c r="U478">
        <v>1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</row>
    <row r="479" spans="1:35" s="1857" customFormat="1" hidden="1" outlineLevel="1">
      <c r="A479" s="8">
        <v>43209</v>
      </c>
      <c r="B479" s="1860">
        <v>2145.9708099999998</v>
      </c>
      <c r="C479" s="1860">
        <v>2789.3195900000001</v>
      </c>
      <c r="D479" s="1860">
        <v>3345.3885799999998</v>
      </c>
      <c r="E479" s="1860">
        <v>3848.2317699999999</v>
      </c>
      <c r="F479">
        <v>25.202739999999999</v>
      </c>
      <c r="G479" s="1861">
        <v>2705.64</v>
      </c>
      <c r="I479">
        <v>0.79315000000000002</v>
      </c>
      <c r="J479">
        <v>1.0309299999999999</v>
      </c>
      <c r="K479">
        <v>1.23645</v>
      </c>
      <c r="L479">
        <v>1.4222999999999999</v>
      </c>
      <c r="M479">
        <v>9.3100000000000006E-3</v>
      </c>
      <c r="N479">
        <v>1</v>
      </c>
      <c r="P479">
        <v>1.2607999999999999</v>
      </c>
      <c r="Q479">
        <v>0.97</v>
      </c>
      <c r="R479">
        <v>0.80876999999999999</v>
      </c>
      <c r="S479">
        <v>0.70308999999999999</v>
      </c>
      <c r="T479">
        <v>107.355</v>
      </c>
      <c r="U479">
        <v>1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</row>
    <row r="480" spans="1:35" s="1857" customFormat="1" hidden="1" outlineLevel="1">
      <c r="A480" s="8">
        <v>43210</v>
      </c>
      <c r="B480" s="1860">
        <v>2141.4580500000002</v>
      </c>
      <c r="C480" s="1860">
        <v>2796.7664100000002</v>
      </c>
      <c r="D480" s="1860">
        <v>3345.2404900000001</v>
      </c>
      <c r="E480" s="1860">
        <v>3820.5242800000001</v>
      </c>
      <c r="F480">
        <v>25.295670000000001</v>
      </c>
      <c r="G480" s="1861">
        <v>2724.47</v>
      </c>
      <c r="I480">
        <v>0.78600999999999999</v>
      </c>
      <c r="J480">
        <v>1.02654</v>
      </c>
      <c r="K480">
        <v>1.2278500000000001</v>
      </c>
      <c r="L480">
        <v>1.4023000000000001</v>
      </c>
      <c r="M480">
        <v>9.2800000000000001E-3</v>
      </c>
      <c r="N480">
        <v>1</v>
      </c>
      <c r="P480">
        <v>1.2722500000000001</v>
      </c>
      <c r="Q480">
        <v>0.97414999999999996</v>
      </c>
      <c r="R480">
        <v>0.81442999999999999</v>
      </c>
      <c r="S480">
        <v>0.71311000000000002</v>
      </c>
      <c r="T480">
        <v>107.705</v>
      </c>
      <c r="U480">
        <v>1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</row>
    <row r="481" spans="1:35" s="1857" customFormat="1" hidden="1" outlineLevel="1">
      <c r="A481" s="8">
        <v>43211</v>
      </c>
      <c r="B481" s="1860">
        <v>2167.7814899999998</v>
      </c>
      <c r="C481" s="1860">
        <v>2831.1451000000002</v>
      </c>
      <c r="D481" s="1860">
        <v>3386.3611900000001</v>
      </c>
      <c r="E481" s="1860">
        <v>3867.48731</v>
      </c>
      <c r="F481">
        <v>25.60661</v>
      </c>
      <c r="G481" s="1861">
        <v>2757.96</v>
      </c>
      <c r="I481">
        <v>0.78600999999999999</v>
      </c>
      <c r="J481">
        <v>1.02654</v>
      </c>
      <c r="K481">
        <v>1.2278500000000001</v>
      </c>
      <c r="L481">
        <v>1.4023000000000001</v>
      </c>
      <c r="M481">
        <v>9.2800000000000001E-3</v>
      </c>
      <c r="N481">
        <v>1</v>
      </c>
      <c r="P481">
        <v>1.2722500000000001</v>
      </c>
      <c r="Q481">
        <v>0.97414999999999996</v>
      </c>
      <c r="R481">
        <v>0.81442999999999999</v>
      </c>
      <c r="S481">
        <v>0.71311000000000002</v>
      </c>
      <c r="T481">
        <v>107.705</v>
      </c>
      <c r="U481">
        <v>1</v>
      </c>
      <c r="W481"/>
      <c r="X481"/>
      <c r="Y481"/>
      <c r="Z481"/>
      <c r="AA481"/>
      <c r="AB481"/>
      <c r="AC481"/>
      <c r="AD481"/>
      <c r="AE481"/>
      <c r="AF481"/>
      <c r="AG481"/>
      <c r="AH481"/>
      <c r="AI481"/>
    </row>
    <row r="482" spans="1:35" s="1857" customFormat="1" hidden="1" outlineLevel="1">
      <c r="A482" s="8">
        <v>43212</v>
      </c>
      <c r="B482" s="1860">
        <v>2167.7814899999998</v>
      </c>
      <c r="C482" s="1860">
        <v>2831.1451000000002</v>
      </c>
      <c r="D482" s="1860">
        <v>3386.3611900000001</v>
      </c>
      <c r="E482" s="1860">
        <v>3867.48731</v>
      </c>
      <c r="F482">
        <v>25.60661</v>
      </c>
      <c r="G482" s="1861">
        <v>2757.96</v>
      </c>
      <c r="I482">
        <v>0.78600999999999999</v>
      </c>
      <c r="J482">
        <v>1.02654</v>
      </c>
      <c r="K482">
        <v>1.2278500000000001</v>
      </c>
      <c r="L482">
        <v>1.4023000000000001</v>
      </c>
      <c r="M482">
        <v>9.2800000000000001E-3</v>
      </c>
      <c r="N482">
        <v>1</v>
      </c>
      <c r="P482">
        <v>1.2722500000000001</v>
      </c>
      <c r="Q482">
        <v>0.97414999999999996</v>
      </c>
      <c r="R482">
        <v>0.81442999999999999</v>
      </c>
      <c r="S482">
        <v>0.71311000000000002</v>
      </c>
      <c r="T482">
        <v>107.705</v>
      </c>
      <c r="U482">
        <v>1</v>
      </c>
      <c r="W482"/>
      <c r="X482"/>
      <c r="Y482"/>
      <c r="Z482"/>
      <c r="AA482"/>
      <c r="AB482"/>
      <c r="AC482"/>
      <c r="AD482"/>
      <c r="AE482"/>
      <c r="AF482"/>
      <c r="AG482"/>
      <c r="AH482"/>
      <c r="AI482"/>
    </row>
    <row r="483" spans="1:35" hidden="1" outlineLevel="1">
      <c r="A483" s="8">
        <v>43213</v>
      </c>
      <c r="B483" s="1860">
        <v>2149.45055</v>
      </c>
      <c r="C483" s="1860">
        <v>2821.8754800000002</v>
      </c>
      <c r="D483" s="1860">
        <v>3370.3650200000002</v>
      </c>
      <c r="E483" s="1860">
        <v>3847.0783999999999</v>
      </c>
      <c r="F483">
        <v>25.42719</v>
      </c>
      <c r="G483" s="1861">
        <v>2757.96</v>
      </c>
      <c r="I483">
        <v>0.77936000000000005</v>
      </c>
      <c r="J483">
        <v>1.0231699999999999</v>
      </c>
      <c r="K483">
        <v>1.2220500000000001</v>
      </c>
      <c r="L483">
        <v>1.3949</v>
      </c>
      <c r="M483">
        <v>9.2200000000000008E-3</v>
      </c>
      <c r="N483">
        <v>1</v>
      </c>
      <c r="P483">
        <v>1.2830999999999999</v>
      </c>
      <c r="Q483">
        <v>0.97735000000000005</v>
      </c>
      <c r="R483">
        <v>0.81830000000000003</v>
      </c>
      <c r="S483">
        <v>0.71689999999999998</v>
      </c>
      <c r="T483">
        <v>108.465</v>
      </c>
      <c r="U483">
        <v>1</v>
      </c>
    </row>
    <row r="484" spans="1:35" hidden="1" outlineLevel="1">
      <c r="A484" s="8">
        <v>43214</v>
      </c>
      <c r="B484" s="1860">
        <v>2182.4666699999998</v>
      </c>
      <c r="C484" s="1860">
        <v>2853.8151800000001</v>
      </c>
      <c r="D484" s="1860">
        <v>3419.3881999999999</v>
      </c>
      <c r="E484" s="1860">
        <v>3909.2919499999998</v>
      </c>
      <c r="F484">
        <v>25.64303</v>
      </c>
      <c r="G484" s="1861">
        <v>2799.45</v>
      </c>
      <c r="I484">
        <v>0.77961000000000003</v>
      </c>
      <c r="J484">
        <v>1.01942</v>
      </c>
      <c r="K484">
        <v>1.2214499999999999</v>
      </c>
      <c r="L484">
        <v>1.39645</v>
      </c>
      <c r="M484">
        <v>9.1599999999999997E-3</v>
      </c>
      <c r="N484">
        <v>1</v>
      </c>
      <c r="P484">
        <v>1.2827</v>
      </c>
      <c r="Q484">
        <v>0.98094999999999999</v>
      </c>
      <c r="R484">
        <v>0.81869999999999998</v>
      </c>
      <c r="S484">
        <v>0.71609999999999996</v>
      </c>
      <c r="T484">
        <v>109.17</v>
      </c>
      <c r="U484">
        <v>1</v>
      </c>
    </row>
    <row r="485" spans="1:35" hidden="1" outlineLevel="1">
      <c r="A485" s="8">
        <v>43215</v>
      </c>
      <c r="B485" s="1860">
        <v>2162.2700100000002</v>
      </c>
      <c r="C485" s="1860">
        <v>2830.7958100000001</v>
      </c>
      <c r="D485" s="1860">
        <v>3390.3090499999998</v>
      </c>
      <c r="E485" s="1860">
        <v>3881.4825900000001</v>
      </c>
      <c r="F485">
        <v>25.481179999999998</v>
      </c>
      <c r="G485" s="1861">
        <v>2785.22</v>
      </c>
      <c r="I485">
        <v>0.77634000000000003</v>
      </c>
      <c r="J485">
        <v>1.0163599999999999</v>
      </c>
      <c r="K485">
        <v>1.2172499999999999</v>
      </c>
      <c r="L485">
        <v>1.3935999999999999</v>
      </c>
      <c r="M485">
        <v>9.1500000000000001E-3</v>
      </c>
      <c r="N485">
        <v>1</v>
      </c>
      <c r="P485">
        <v>1.2881</v>
      </c>
      <c r="Q485">
        <v>0.9839</v>
      </c>
      <c r="R485">
        <v>0.82152000000000003</v>
      </c>
      <c r="S485">
        <v>0.71757000000000004</v>
      </c>
      <c r="T485">
        <v>109.30500000000001</v>
      </c>
      <c r="U485">
        <v>1</v>
      </c>
    </row>
    <row r="486" spans="1:35" hidden="1" outlineLevel="1">
      <c r="A486" s="8">
        <v>43216</v>
      </c>
      <c r="B486" s="1860">
        <v>2190.8568300000002</v>
      </c>
      <c r="C486" s="1860">
        <v>2855.41156</v>
      </c>
      <c r="D486" s="1860">
        <v>3416.2172799999998</v>
      </c>
      <c r="E486" s="1860">
        <v>3929.36904</v>
      </c>
      <c r="F486">
        <v>25.787870000000002</v>
      </c>
      <c r="G486" s="1861">
        <v>2820.29</v>
      </c>
      <c r="I486">
        <v>0.77681999999999995</v>
      </c>
      <c r="J486">
        <v>1.0124500000000001</v>
      </c>
      <c r="K486">
        <v>1.2113</v>
      </c>
      <c r="L486">
        <v>1.3932500000000001</v>
      </c>
      <c r="M486">
        <v>9.1400000000000006E-3</v>
      </c>
      <c r="N486">
        <v>1</v>
      </c>
      <c r="P486">
        <v>1.2873000000000001</v>
      </c>
      <c r="Q486">
        <v>0.98770000000000002</v>
      </c>
      <c r="R486">
        <v>0.82555999999999996</v>
      </c>
      <c r="S486">
        <v>0.71775</v>
      </c>
      <c r="T486">
        <v>109.36499999999999</v>
      </c>
      <c r="U486">
        <v>1</v>
      </c>
    </row>
    <row r="487" spans="1:35" hidden="1" outlineLevel="1">
      <c r="A487" s="8">
        <v>43217</v>
      </c>
      <c r="B487" s="1860">
        <v>2186.9304900000002</v>
      </c>
      <c r="C487" s="1860">
        <v>2845.9857299999999</v>
      </c>
      <c r="D487" s="1860">
        <v>3403.9462199999998</v>
      </c>
      <c r="E487" s="1860">
        <v>3880.72091</v>
      </c>
      <c r="F487">
        <v>25.78567</v>
      </c>
      <c r="G487" s="1861">
        <v>2812.83</v>
      </c>
      <c r="I487">
        <v>0.77747999999999995</v>
      </c>
      <c r="J487">
        <v>1.01179</v>
      </c>
      <c r="K487">
        <v>1.2101500000000001</v>
      </c>
      <c r="L487">
        <v>1.37965</v>
      </c>
      <c r="M487">
        <v>9.1699999999999993E-3</v>
      </c>
      <c r="N487">
        <v>1</v>
      </c>
      <c r="P487">
        <v>1.2862</v>
      </c>
      <c r="Q487">
        <v>0.98834999999999995</v>
      </c>
      <c r="R487">
        <v>0.82633999999999996</v>
      </c>
      <c r="S487">
        <v>0.72482000000000002</v>
      </c>
      <c r="T487">
        <v>109.08499999999999</v>
      </c>
      <c r="U487">
        <v>1</v>
      </c>
    </row>
    <row r="488" spans="1:35" hidden="1" outlineLevel="1">
      <c r="A488" s="8">
        <v>43218</v>
      </c>
      <c r="B488" s="1860">
        <v>2181.83797</v>
      </c>
      <c r="C488" s="1860">
        <v>2839.35853</v>
      </c>
      <c r="D488" s="1860">
        <v>3396.0197400000002</v>
      </c>
      <c r="E488" s="1860">
        <v>3871.6842000000001</v>
      </c>
      <c r="F488">
        <v>25.725629999999999</v>
      </c>
      <c r="G488" s="1861">
        <v>2806.28</v>
      </c>
      <c r="I488">
        <v>0.77747999999999995</v>
      </c>
      <c r="J488">
        <v>1.01179</v>
      </c>
      <c r="K488">
        <v>1.2101500000000001</v>
      </c>
      <c r="L488">
        <v>1.37965</v>
      </c>
      <c r="M488">
        <v>9.1699999999999993E-3</v>
      </c>
      <c r="N488">
        <v>1</v>
      </c>
      <c r="P488">
        <v>1.2862</v>
      </c>
      <c r="Q488">
        <v>0.98834999999999995</v>
      </c>
      <c r="R488">
        <v>0.82633999999999996</v>
      </c>
      <c r="S488">
        <v>0.72482000000000002</v>
      </c>
      <c r="T488">
        <v>109.08499999999999</v>
      </c>
      <c r="U488">
        <v>1</v>
      </c>
    </row>
    <row r="489" spans="1:35" hidden="1" outlineLevel="1">
      <c r="A489" s="8">
        <v>43219</v>
      </c>
      <c r="B489" s="1860">
        <v>2181.83797</v>
      </c>
      <c r="C489" s="1860">
        <v>2839.35853</v>
      </c>
      <c r="D489" s="1860">
        <v>3396.0197400000002</v>
      </c>
      <c r="E489" s="1860">
        <v>3871.6842000000001</v>
      </c>
      <c r="F489">
        <v>25.725629999999999</v>
      </c>
      <c r="G489" s="1861">
        <v>2806.28</v>
      </c>
      <c r="I489">
        <v>0.77747999999999995</v>
      </c>
      <c r="J489">
        <v>1.01179</v>
      </c>
      <c r="K489">
        <v>1.2101500000000001</v>
      </c>
      <c r="L489">
        <v>1.37965</v>
      </c>
      <c r="M489">
        <v>9.1699999999999993E-3</v>
      </c>
      <c r="N489">
        <v>1</v>
      </c>
      <c r="P489">
        <v>1.2862</v>
      </c>
      <c r="Q489">
        <v>0.98834999999999995</v>
      </c>
      <c r="R489">
        <v>0.82633999999999996</v>
      </c>
      <c r="S489">
        <v>0.72482000000000002</v>
      </c>
      <c r="T489">
        <v>109.08499999999999</v>
      </c>
      <c r="U489">
        <v>1</v>
      </c>
    </row>
    <row r="490" spans="1:35" ht="15.75" hidden="1" outlineLevel="1" thickBot="1">
      <c r="A490" s="1868">
        <v>43220</v>
      </c>
      <c r="B490" s="1869">
        <v>2189.07134</v>
      </c>
      <c r="C490" s="1869">
        <v>2834.9126200000001</v>
      </c>
      <c r="D490" s="1869">
        <v>3390.5475000000001</v>
      </c>
      <c r="E490" s="1869">
        <v>3865.2297600000002</v>
      </c>
      <c r="F490" s="1870">
        <v>25.645689999999998</v>
      </c>
      <c r="G490" s="1871">
        <v>2806.28</v>
      </c>
      <c r="H490" s="1872"/>
      <c r="I490" s="1870">
        <v>0.78005999999999998</v>
      </c>
      <c r="J490" s="1870">
        <v>1.0102</v>
      </c>
      <c r="K490" s="1870">
        <v>1.2081999999999999</v>
      </c>
      <c r="L490" s="1870">
        <v>1.3773500000000001</v>
      </c>
      <c r="M490" s="1870">
        <v>9.1400000000000006E-3</v>
      </c>
      <c r="N490" s="1870">
        <v>1</v>
      </c>
      <c r="O490" s="1872"/>
      <c r="P490" s="1870">
        <v>1.2819499999999999</v>
      </c>
      <c r="Q490" s="1870">
        <v>0.9899</v>
      </c>
      <c r="R490" s="1870">
        <v>0.82767999999999997</v>
      </c>
      <c r="S490" s="1870">
        <v>0.72602999999999995</v>
      </c>
      <c r="T490" s="1870">
        <v>109.425</v>
      </c>
      <c r="U490" s="1870">
        <v>1</v>
      </c>
      <c r="V490" s="1872"/>
    </row>
    <row r="491" spans="1:35" hidden="1" outlineLevel="1">
      <c r="A491" s="8">
        <v>43221</v>
      </c>
      <c r="B491" s="1860">
        <v>2178.0637200000001</v>
      </c>
      <c r="C491" s="1860">
        <v>2821.4881</v>
      </c>
      <c r="D491" s="1860">
        <v>3368.9535799999999</v>
      </c>
      <c r="E491" s="1860">
        <v>3819.9457400000001</v>
      </c>
      <c r="F491">
        <v>25.602920000000001</v>
      </c>
      <c r="G491" s="1861">
        <v>2809.92</v>
      </c>
      <c r="I491">
        <v>0.77512999999999999</v>
      </c>
      <c r="J491">
        <v>1.0041199999999999</v>
      </c>
      <c r="K491">
        <v>1.19895</v>
      </c>
      <c r="L491">
        <v>1.35945</v>
      </c>
      <c r="M491">
        <v>9.11E-3</v>
      </c>
      <c r="N491">
        <v>1</v>
      </c>
      <c r="P491">
        <v>1.2901</v>
      </c>
      <c r="Q491">
        <v>0.99590000000000001</v>
      </c>
      <c r="R491">
        <v>0.83406000000000002</v>
      </c>
      <c r="S491">
        <v>0.73558999999999997</v>
      </c>
      <c r="T491">
        <v>109.75</v>
      </c>
      <c r="U491">
        <v>1</v>
      </c>
    </row>
    <row r="492" spans="1:35" hidden="1" outlineLevel="1">
      <c r="A492" s="8">
        <v>43222</v>
      </c>
      <c r="B492" s="1860">
        <v>2186.62309</v>
      </c>
      <c r="C492" s="1860">
        <v>2814.2821399999998</v>
      </c>
      <c r="D492" s="1860">
        <v>3359.6808500000002</v>
      </c>
      <c r="E492" s="1860">
        <v>3821.2102100000002</v>
      </c>
      <c r="F492">
        <v>25.548210000000001</v>
      </c>
      <c r="G492" s="1861">
        <v>2809.92</v>
      </c>
      <c r="I492">
        <v>0.77817999999999998</v>
      </c>
      <c r="J492">
        <v>1.0015499999999999</v>
      </c>
      <c r="K492">
        <v>1.1956500000000001</v>
      </c>
      <c r="L492">
        <v>1.3599000000000001</v>
      </c>
      <c r="M492">
        <v>9.0900000000000009E-3</v>
      </c>
      <c r="N492">
        <v>1</v>
      </c>
      <c r="P492">
        <v>1.28505</v>
      </c>
      <c r="Q492">
        <v>0.99844999999999995</v>
      </c>
      <c r="R492">
        <v>0.83636999999999995</v>
      </c>
      <c r="S492">
        <v>0.73534999999999995</v>
      </c>
      <c r="T492">
        <v>109.985</v>
      </c>
      <c r="U492">
        <v>1</v>
      </c>
    </row>
    <row r="493" spans="1:35" hidden="1" outlineLevel="1">
      <c r="A493" s="8">
        <v>43223</v>
      </c>
      <c r="B493" s="1860">
        <v>2195.5963900000002</v>
      </c>
      <c r="C493" s="1860">
        <v>2833.8319900000001</v>
      </c>
      <c r="D493" s="1860">
        <v>3384.9360499999998</v>
      </c>
      <c r="E493" s="1860">
        <v>3834.9392600000001</v>
      </c>
      <c r="F493">
        <v>25.96846</v>
      </c>
      <c r="G493" s="1861">
        <v>2831.99</v>
      </c>
      <c r="I493">
        <v>0.77527999999999997</v>
      </c>
      <c r="J493">
        <v>1.00065</v>
      </c>
      <c r="K493">
        <v>1.1952499999999999</v>
      </c>
      <c r="L493">
        <v>1.35415</v>
      </c>
      <c r="M493">
        <v>9.1699999999999993E-3</v>
      </c>
      <c r="N493">
        <v>1</v>
      </c>
      <c r="P493">
        <v>1.2898499999999999</v>
      </c>
      <c r="Q493">
        <v>0.99934999999999996</v>
      </c>
      <c r="R493">
        <v>0.83665</v>
      </c>
      <c r="S493">
        <v>0.73846999999999996</v>
      </c>
      <c r="T493">
        <v>109.05500000000001</v>
      </c>
      <c r="U493">
        <v>1</v>
      </c>
    </row>
    <row r="494" spans="1:35" hidden="1" outlineLevel="1">
      <c r="A494" s="8">
        <v>43224</v>
      </c>
      <c r="B494" s="1860">
        <v>2221.2420299999999</v>
      </c>
      <c r="C494" s="1860">
        <v>2854.5672500000001</v>
      </c>
      <c r="D494" s="1860">
        <v>3409.5579400000001</v>
      </c>
      <c r="E494" s="1860">
        <v>3863.0987399999999</v>
      </c>
      <c r="F494">
        <v>26.188770000000002</v>
      </c>
      <c r="G494" s="1861">
        <v>2857.85</v>
      </c>
      <c r="I494">
        <v>0.77724000000000004</v>
      </c>
      <c r="J494">
        <v>0.99885000000000002</v>
      </c>
      <c r="K494">
        <v>1.1930499999999999</v>
      </c>
      <c r="L494">
        <v>1.35175</v>
      </c>
      <c r="M494">
        <v>9.1599999999999997E-3</v>
      </c>
      <c r="N494">
        <v>1</v>
      </c>
      <c r="P494">
        <v>1.2866</v>
      </c>
      <c r="Q494">
        <v>1.00115</v>
      </c>
      <c r="R494">
        <v>0.83818999999999999</v>
      </c>
      <c r="S494">
        <v>0.73977999999999999</v>
      </c>
      <c r="T494">
        <v>109.125</v>
      </c>
      <c r="U494">
        <v>1</v>
      </c>
    </row>
    <row r="495" spans="1:35" hidden="1" outlineLevel="1">
      <c r="A495" s="8">
        <v>43225</v>
      </c>
      <c r="B495" s="1860">
        <v>2210.01865</v>
      </c>
      <c r="C495" s="1860">
        <v>2840.14383</v>
      </c>
      <c r="D495" s="1860">
        <v>3392.3303000000001</v>
      </c>
      <c r="E495" s="1860">
        <v>3843.5794700000001</v>
      </c>
      <c r="F495">
        <v>26.056450000000002</v>
      </c>
      <c r="G495" s="1861">
        <v>2843.41</v>
      </c>
      <c r="I495">
        <v>0.77724000000000004</v>
      </c>
      <c r="J495">
        <v>0.99885000000000002</v>
      </c>
      <c r="K495">
        <v>1.1930499999999999</v>
      </c>
      <c r="L495">
        <v>1.35175</v>
      </c>
      <c r="M495">
        <v>9.1599999999999997E-3</v>
      </c>
      <c r="N495">
        <v>1</v>
      </c>
      <c r="P495">
        <v>1.2866</v>
      </c>
      <c r="Q495">
        <v>1.00115</v>
      </c>
      <c r="R495">
        <v>0.83818999999999999</v>
      </c>
      <c r="S495">
        <v>0.73977999999999999</v>
      </c>
      <c r="T495">
        <v>109.125</v>
      </c>
      <c r="U495">
        <v>1</v>
      </c>
    </row>
    <row r="496" spans="1:35" hidden="1" outlineLevel="1">
      <c r="A496" s="8">
        <v>43226</v>
      </c>
      <c r="B496" s="1860">
        <v>2210.01865</v>
      </c>
      <c r="C496" s="1860">
        <v>2840.14383</v>
      </c>
      <c r="D496" s="1860">
        <v>3392.3303000000001</v>
      </c>
      <c r="E496" s="1860">
        <v>3843.5794700000001</v>
      </c>
      <c r="F496">
        <v>26.056450000000002</v>
      </c>
      <c r="G496" s="1861">
        <v>2843.41</v>
      </c>
      <c r="I496">
        <v>0.77724000000000004</v>
      </c>
      <c r="J496">
        <v>0.99885000000000002</v>
      </c>
      <c r="K496">
        <v>1.1930499999999999</v>
      </c>
      <c r="L496">
        <v>1.35175</v>
      </c>
      <c r="M496">
        <v>9.1599999999999997E-3</v>
      </c>
      <c r="N496">
        <v>1</v>
      </c>
      <c r="P496">
        <v>1.2866</v>
      </c>
      <c r="Q496">
        <v>1.00115</v>
      </c>
      <c r="R496">
        <v>0.83818999999999999</v>
      </c>
      <c r="S496">
        <v>0.73977999999999999</v>
      </c>
      <c r="T496">
        <v>109.125</v>
      </c>
      <c r="U496">
        <v>1</v>
      </c>
    </row>
    <row r="497" spans="1:35" hidden="1" outlineLevel="1">
      <c r="A497" s="8">
        <v>43227</v>
      </c>
      <c r="B497" s="1860">
        <v>2210.8778499999999</v>
      </c>
      <c r="C497" s="1860">
        <v>2834.1988500000002</v>
      </c>
      <c r="D497" s="1860">
        <v>3387.7808399999999</v>
      </c>
      <c r="E497" s="1860">
        <v>3858.2230300000001</v>
      </c>
      <c r="F497">
        <v>26.025449999999999</v>
      </c>
      <c r="G497" s="1861">
        <v>2843.41</v>
      </c>
      <c r="I497">
        <v>0.77754000000000001</v>
      </c>
      <c r="J497">
        <v>0.99675999999999998</v>
      </c>
      <c r="K497">
        <v>1.1914499999999999</v>
      </c>
      <c r="L497">
        <v>1.3569</v>
      </c>
      <c r="M497">
        <v>9.1500000000000001E-3</v>
      </c>
      <c r="N497">
        <v>1</v>
      </c>
      <c r="P497">
        <v>1.2861</v>
      </c>
      <c r="Q497">
        <v>1.00325</v>
      </c>
      <c r="R497">
        <v>0.83931</v>
      </c>
      <c r="S497">
        <v>0.73697000000000001</v>
      </c>
      <c r="T497">
        <v>109.255</v>
      </c>
      <c r="U497">
        <v>1</v>
      </c>
    </row>
    <row r="498" spans="1:35" hidden="1" outlineLevel="1">
      <c r="A498" s="8">
        <v>43228</v>
      </c>
      <c r="B498" s="1860">
        <v>2172.42443</v>
      </c>
      <c r="C498" s="1860">
        <v>2812.1381500000002</v>
      </c>
      <c r="D498" s="1860">
        <v>3339.7905999999998</v>
      </c>
      <c r="E498" s="1860">
        <v>3808.4318199999998</v>
      </c>
      <c r="F498">
        <v>25.79027</v>
      </c>
      <c r="G498" s="1861">
        <v>2817.2</v>
      </c>
      <c r="I498">
        <v>0.77112999999999998</v>
      </c>
      <c r="J498">
        <v>0.99819999999999998</v>
      </c>
      <c r="K498">
        <v>1.1855</v>
      </c>
      <c r="L498">
        <v>1.35185</v>
      </c>
      <c r="M498">
        <v>9.1500000000000001E-3</v>
      </c>
      <c r="N498">
        <v>1</v>
      </c>
      <c r="P498">
        <v>1.2968</v>
      </c>
      <c r="Q498">
        <v>1.0018</v>
      </c>
      <c r="R498">
        <v>0.84353</v>
      </c>
      <c r="S498">
        <v>0.73973</v>
      </c>
      <c r="T498">
        <v>109.235</v>
      </c>
      <c r="U498">
        <v>1</v>
      </c>
    </row>
    <row r="499" spans="1:35" s="1857" customFormat="1" hidden="1" outlineLevel="1">
      <c r="A499" s="8">
        <v>43229</v>
      </c>
      <c r="B499" s="1860">
        <v>2227.8362900000002</v>
      </c>
      <c r="C499" s="1860">
        <v>2853.7289700000001</v>
      </c>
      <c r="D499" s="1860">
        <v>3397.7863000000002</v>
      </c>
      <c r="E499" s="1860">
        <v>3891.7413999999999</v>
      </c>
      <c r="F499">
        <v>26.12818</v>
      </c>
      <c r="G499" s="1861">
        <v>2866</v>
      </c>
      <c r="I499">
        <v>0.77732999999999997</v>
      </c>
      <c r="J499">
        <v>0.99572000000000005</v>
      </c>
      <c r="K499">
        <v>1.1855500000000001</v>
      </c>
      <c r="L499">
        <v>1.3579000000000001</v>
      </c>
      <c r="M499">
        <v>9.1199999999999996E-3</v>
      </c>
      <c r="N499">
        <v>1</v>
      </c>
      <c r="P499">
        <v>1.2864500000000001</v>
      </c>
      <c r="Q499">
        <v>1.0043</v>
      </c>
      <c r="R499">
        <v>0.84348999999999996</v>
      </c>
      <c r="S499">
        <v>0.73643000000000003</v>
      </c>
      <c r="T499">
        <v>109.69</v>
      </c>
      <c r="U499">
        <v>1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</row>
    <row r="500" spans="1:35" s="1857" customFormat="1" hidden="1" outlineLevel="1">
      <c r="A500" s="8">
        <v>43230</v>
      </c>
      <c r="B500" s="1860">
        <v>2231.81268</v>
      </c>
      <c r="C500" s="1860">
        <v>2848.25938</v>
      </c>
      <c r="D500" s="1860">
        <v>3396.9549000000002</v>
      </c>
      <c r="E500" s="1860">
        <v>3851.4740200000001</v>
      </c>
      <c r="F500">
        <v>26.093990000000002</v>
      </c>
      <c r="G500" s="1861">
        <v>2859.51</v>
      </c>
      <c r="I500">
        <v>0.78049000000000002</v>
      </c>
      <c r="J500">
        <v>0.99607000000000001</v>
      </c>
      <c r="K500">
        <v>1.1879500000000001</v>
      </c>
      <c r="L500">
        <v>1.3469</v>
      </c>
      <c r="M500">
        <v>9.1299999999999992E-3</v>
      </c>
      <c r="N500">
        <v>1</v>
      </c>
      <c r="P500">
        <v>1.28125</v>
      </c>
      <c r="Q500">
        <v>1.0039499999999999</v>
      </c>
      <c r="R500">
        <v>0.84179000000000004</v>
      </c>
      <c r="S500">
        <v>0.74245000000000005</v>
      </c>
      <c r="T500">
        <v>109.58499999999999</v>
      </c>
      <c r="U500">
        <v>1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</row>
    <row r="501" spans="1:35" s="1857" customFormat="1" hidden="1" outlineLevel="1">
      <c r="A501" s="8">
        <v>43231</v>
      </c>
      <c r="B501" s="1860">
        <v>2207.4772200000002</v>
      </c>
      <c r="C501" s="1860">
        <v>2822.5111299999999</v>
      </c>
      <c r="D501" s="1860">
        <v>3371.0387300000002</v>
      </c>
      <c r="E501" s="1860">
        <v>3825.01694</v>
      </c>
      <c r="F501">
        <v>25.80453</v>
      </c>
      <c r="G501" s="1861">
        <v>2822.37</v>
      </c>
      <c r="I501">
        <v>0.78213999999999995</v>
      </c>
      <c r="J501">
        <v>1.0000500000000001</v>
      </c>
      <c r="K501">
        <v>1.1943999999999999</v>
      </c>
      <c r="L501">
        <v>1.3552500000000001</v>
      </c>
      <c r="M501">
        <v>9.1400000000000006E-3</v>
      </c>
      <c r="N501">
        <v>1</v>
      </c>
      <c r="P501">
        <v>1.2785500000000001</v>
      </c>
      <c r="Q501">
        <v>0.99995000000000001</v>
      </c>
      <c r="R501">
        <v>0.83723999999999998</v>
      </c>
      <c r="S501">
        <v>0.73787000000000003</v>
      </c>
      <c r="T501">
        <v>109.375</v>
      </c>
      <c r="U501">
        <v>1</v>
      </c>
      <c r="W501"/>
      <c r="X501"/>
      <c r="Y501"/>
      <c r="Z501"/>
      <c r="AA501"/>
      <c r="AB501"/>
      <c r="AC501"/>
      <c r="AD501"/>
      <c r="AE501"/>
      <c r="AF501"/>
      <c r="AG501"/>
      <c r="AH501"/>
      <c r="AI501"/>
    </row>
    <row r="502" spans="1:35" s="1857" customFormat="1" hidden="1" outlineLevel="1">
      <c r="A502" s="8">
        <v>43232</v>
      </c>
      <c r="B502" s="1860">
        <v>2208.7912099999999</v>
      </c>
      <c r="C502" s="1860">
        <v>2824.19121</v>
      </c>
      <c r="D502" s="1860">
        <v>3373.0453200000002</v>
      </c>
      <c r="E502" s="1860">
        <v>3827.29376</v>
      </c>
      <c r="F502">
        <v>25.819890000000001</v>
      </c>
      <c r="G502" s="1861">
        <v>2824.05</v>
      </c>
      <c r="I502">
        <v>0.78213999999999995</v>
      </c>
      <c r="J502">
        <v>1.0000500000000001</v>
      </c>
      <c r="K502">
        <v>1.1943999999999999</v>
      </c>
      <c r="L502">
        <v>1.3552500000000001</v>
      </c>
      <c r="M502">
        <v>9.1400000000000006E-3</v>
      </c>
      <c r="N502">
        <v>1</v>
      </c>
      <c r="P502">
        <v>1.2785500000000001</v>
      </c>
      <c r="Q502">
        <v>0.99995000000000001</v>
      </c>
      <c r="R502">
        <v>0.83723999999999998</v>
      </c>
      <c r="S502">
        <v>0.73787000000000003</v>
      </c>
      <c r="T502">
        <v>109.375</v>
      </c>
      <c r="U502">
        <v>1</v>
      </c>
      <c r="W502"/>
      <c r="X502"/>
      <c r="Y502"/>
      <c r="Z502"/>
      <c r="AA502"/>
      <c r="AB502"/>
      <c r="AC502"/>
      <c r="AD502"/>
      <c r="AE502"/>
      <c r="AF502"/>
      <c r="AG502"/>
      <c r="AH502"/>
      <c r="AI502"/>
    </row>
    <row r="503" spans="1:35" s="1857" customFormat="1" hidden="1" outlineLevel="1">
      <c r="A503" s="8">
        <v>43233</v>
      </c>
      <c r="B503" s="1860">
        <v>2208.7912099999999</v>
      </c>
      <c r="C503" s="1860">
        <v>2824.19121</v>
      </c>
      <c r="D503" s="1860">
        <v>3373.0453200000002</v>
      </c>
      <c r="E503" s="1860">
        <v>3827.29376</v>
      </c>
      <c r="F503">
        <v>25.819890000000001</v>
      </c>
      <c r="G503" s="1861">
        <v>2824.05</v>
      </c>
      <c r="I503">
        <v>0.78213999999999995</v>
      </c>
      <c r="J503">
        <v>1.0000500000000001</v>
      </c>
      <c r="K503">
        <v>1.1943999999999999</v>
      </c>
      <c r="L503">
        <v>1.3552500000000001</v>
      </c>
      <c r="M503">
        <v>9.1400000000000006E-3</v>
      </c>
      <c r="N503">
        <v>1</v>
      </c>
      <c r="P503">
        <v>1.2785500000000001</v>
      </c>
      <c r="Q503">
        <v>0.99995000000000001</v>
      </c>
      <c r="R503">
        <v>0.83723999999999998</v>
      </c>
      <c r="S503">
        <v>0.73787000000000003</v>
      </c>
      <c r="T503">
        <v>109.375</v>
      </c>
      <c r="U503">
        <v>1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/>
    </row>
    <row r="504" spans="1:35" s="1857" customFormat="1" hidden="1" outlineLevel="1">
      <c r="A504" s="8">
        <v>43234</v>
      </c>
      <c r="B504" s="1860">
        <v>2212.0784899999999</v>
      </c>
      <c r="C504" s="1860">
        <v>2829.7094200000001</v>
      </c>
      <c r="D504" s="1860">
        <v>3379.9642399999998</v>
      </c>
      <c r="E504" s="1860">
        <v>3839.2959799999999</v>
      </c>
      <c r="F504">
        <v>25.778639999999999</v>
      </c>
      <c r="G504" s="1861">
        <v>2824.05</v>
      </c>
      <c r="I504">
        <v>0.7833</v>
      </c>
      <c r="J504">
        <v>1.002</v>
      </c>
      <c r="K504">
        <v>1.19685</v>
      </c>
      <c r="L504">
        <v>1.3594999999999999</v>
      </c>
      <c r="M504">
        <v>9.1299999999999992E-3</v>
      </c>
      <c r="N504">
        <v>1</v>
      </c>
      <c r="P504">
        <v>1.2766500000000001</v>
      </c>
      <c r="Q504">
        <v>0.998</v>
      </c>
      <c r="R504">
        <v>0.83552999999999999</v>
      </c>
      <c r="S504">
        <v>0.73555999999999999</v>
      </c>
      <c r="T504">
        <v>109.55</v>
      </c>
      <c r="U504">
        <v>1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</row>
    <row r="505" spans="1:35" s="1857" customFormat="1" hidden="1" outlineLevel="1">
      <c r="A505" s="8">
        <v>43235</v>
      </c>
      <c r="B505" s="1860">
        <v>2191.6495300000001</v>
      </c>
      <c r="C505" s="1860">
        <v>2819.2572599999999</v>
      </c>
      <c r="D505" s="1860">
        <v>3349.8881099999999</v>
      </c>
      <c r="E505" s="1860">
        <v>3811.4790800000001</v>
      </c>
      <c r="F505">
        <v>25.598710000000001</v>
      </c>
      <c r="G505" s="1861">
        <v>2824.05</v>
      </c>
      <c r="I505">
        <v>0.77607000000000004</v>
      </c>
      <c r="J505">
        <v>0.99829999999999997</v>
      </c>
      <c r="K505">
        <v>1.1861999999999999</v>
      </c>
      <c r="L505">
        <v>1.34965</v>
      </c>
      <c r="M505">
        <v>9.0600000000000003E-3</v>
      </c>
      <c r="N505">
        <v>1</v>
      </c>
      <c r="P505">
        <v>1.2885500000000001</v>
      </c>
      <c r="Q505">
        <v>1.0017</v>
      </c>
      <c r="R505">
        <v>0.84302999999999995</v>
      </c>
      <c r="S505">
        <v>0.74092999999999998</v>
      </c>
      <c r="T505">
        <v>110.32</v>
      </c>
      <c r="U505">
        <v>1</v>
      </c>
      <c r="W505"/>
      <c r="X505"/>
      <c r="Y505"/>
      <c r="Z505"/>
      <c r="AA505"/>
      <c r="AB505"/>
      <c r="AC505"/>
      <c r="AD505"/>
      <c r="AE505"/>
      <c r="AF505"/>
      <c r="AG505"/>
      <c r="AH505"/>
      <c r="AI505"/>
    </row>
    <row r="506" spans="1:35" s="1857" customFormat="1" hidden="1" outlineLevel="1">
      <c r="A506" s="8">
        <v>43236</v>
      </c>
      <c r="B506" s="1860">
        <v>2257.0056199999999</v>
      </c>
      <c r="C506" s="1860">
        <v>2887.9928</v>
      </c>
      <c r="D506" s="1860">
        <v>3406.1452800000002</v>
      </c>
      <c r="E506" s="1860">
        <v>3896.7007100000001</v>
      </c>
      <c r="F506">
        <v>26.195340000000002</v>
      </c>
      <c r="G506" s="1861">
        <v>2889.87</v>
      </c>
      <c r="I506">
        <v>0.78100999999999998</v>
      </c>
      <c r="J506">
        <v>0.99934999999999996</v>
      </c>
      <c r="K506">
        <v>1.17865</v>
      </c>
      <c r="L506">
        <v>1.3484</v>
      </c>
      <c r="M506">
        <v>9.0600000000000003E-3</v>
      </c>
      <c r="N506">
        <v>1</v>
      </c>
      <c r="P506">
        <v>1.2804</v>
      </c>
      <c r="Q506">
        <v>1.00065</v>
      </c>
      <c r="R506">
        <v>0.84843000000000002</v>
      </c>
      <c r="S506">
        <v>0.74161999999999995</v>
      </c>
      <c r="T506">
        <v>110.32</v>
      </c>
      <c r="U506">
        <v>1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</row>
    <row r="507" spans="1:35" s="1857" customFormat="1" hidden="1" outlineLevel="1">
      <c r="A507" s="8">
        <v>43237</v>
      </c>
      <c r="B507" s="1860">
        <v>2239.4450999999999</v>
      </c>
      <c r="C507" s="1860">
        <v>2858.9373900000001</v>
      </c>
      <c r="D507" s="1860">
        <v>3378.8443000000002</v>
      </c>
      <c r="E507" s="1860">
        <v>3869.2523799999999</v>
      </c>
      <c r="F507">
        <v>25.85491</v>
      </c>
      <c r="G507" s="1861">
        <v>2865.37</v>
      </c>
      <c r="I507">
        <v>0.78156000000000003</v>
      </c>
      <c r="J507">
        <v>0.99775999999999998</v>
      </c>
      <c r="K507">
        <v>1.1792</v>
      </c>
      <c r="L507">
        <v>1.3503499999999999</v>
      </c>
      <c r="M507">
        <v>9.0200000000000002E-3</v>
      </c>
      <c r="N507">
        <v>1</v>
      </c>
      <c r="P507">
        <v>1.2795000000000001</v>
      </c>
      <c r="Q507">
        <v>1.0022500000000001</v>
      </c>
      <c r="R507">
        <v>0.84802999999999995</v>
      </c>
      <c r="S507">
        <v>0.74055000000000004</v>
      </c>
      <c r="T507">
        <v>110.825</v>
      </c>
      <c r="U507">
        <v>1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</row>
    <row r="508" spans="1:35" s="1857" customFormat="1" hidden="1" outlineLevel="1">
      <c r="A508" s="8">
        <v>43238</v>
      </c>
      <c r="B508" s="1860">
        <v>2242.5158299999998</v>
      </c>
      <c r="C508" s="1860">
        <v>2889.9869800000001</v>
      </c>
      <c r="D508" s="1860">
        <v>3397.0927099999999</v>
      </c>
      <c r="E508" s="1860">
        <v>3889.0506099999998</v>
      </c>
      <c r="F508">
        <v>26.07489</v>
      </c>
      <c r="G508" s="1861">
        <v>2886.23</v>
      </c>
      <c r="I508">
        <v>0.77697000000000005</v>
      </c>
      <c r="J508">
        <v>1.0013000000000001</v>
      </c>
      <c r="K508">
        <v>1.177</v>
      </c>
      <c r="L508">
        <v>1.34745</v>
      </c>
      <c r="M508">
        <v>9.0299999999999998E-3</v>
      </c>
      <c r="N508">
        <v>1</v>
      </c>
      <c r="P508">
        <v>1.28705</v>
      </c>
      <c r="Q508">
        <v>0.99870000000000003</v>
      </c>
      <c r="R508">
        <v>0.84962000000000004</v>
      </c>
      <c r="S508">
        <v>0.74214000000000002</v>
      </c>
      <c r="T508">
        <v>110.69</v>
      </c>
      <c r="U508">
        <v>1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</row>
    <row r="509" spans="1:35" s="1857" customFormat="1" hidden="1" outlineLevel="1">
      <c r="A509" s="8">
        <v>43239</v>
      </c>
      <c r="B509" s="1860">
        <v>2273.1595499999999</v>
      </c>
      <c r="C509" s="1860">
        <v>2929.4783200000002</v>
      </c>
      <c r="D509" s="1860">
        <v>3443.51359</v>
      </c>
      <c r="E509" s="1860">
        <v>3942.1940399999999</v>
      </c>
      <c r="F509">
        <v>26.4312</v>
      </c>
      <c r="G509" s="1861">
        <v>2925.67</v>
      </c>
      <c r="I509">
        <v>0.77697000000000005</v>
      </c>
      <c r="J509">
        <v>1.0013000000000001</v>
      </c>
      <c r="K509">
        <v>1.177</v>
      </c>
      <c r="L509">
        <v>1.34745</v>
      </c>
      <c r="M509">
        <v>9.0299999999999998E-3</v>
      </c>
      <c r="N509">
        <v>1</v>
      </c>
      <c r="P509">
        <v>1.28705</v>
      </c>
      <c r="Q509">
        <v>0.99870000000000003</v>
      </c>
      <c r="R509">
        <v>0.84962000000000004</v>
      </c>
      <c r="S509">
        <v>0.74214000000000002</v>
      </c>
      <c r="T509">
        <v>110.69</v>
      </c>
      <c r="U509">
        <v>1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</row>
    <row r="510" spans="1:35" s="1857" customFormat="1" hidden="1" outlineLevel="1">
      <c r="A510" s="8">
        <v>43240</v>
      </c>
      <c r="B510" s="1860">
        <v>2273.1595499999999</v>
      </c>
      <c r="C510" s="1860">
        <v>2929.4783200000002</v>
      </c>
      <c r="D510" s="1860">
        <v>3443.51359</v>
      </c>
      <c r="E510" s="1860">
        <v>3942.1940399999999</v>
      </c>
      <c r="F510">
        <v>26.4312</v>
      </c>
      <c r="G510" s="1861">
        <v>2925.67</v>
      </c>
      <c r="I510">
        <v>0.77697000000000005</v>
      </c>
      <c r="J510">
        <v>1.0013000000000001</v>
      </c>
      <c r="K510">
        <v>1.177</v>
      </c>
      <c r="L510">
        <v>1.34745</v>
      </c>
      <c r="M510">
        <v>9.0299999999999998E-3</v>
      </c>
      <c r="N510">
        <v>1</v>
      </c>
      <c r="P510">
        <v>1.28705</v>
      </c>
      <c r="Q510">
        <v>0.99870000000000003</v>
      </c>
      <c r="R510">
        <v>0.84962000000000004</v>
      </c>
      <c r="S510">
        <v>0.74214000000000002</v>
      </c>
      <c r="T510">
        <v>110.69</v>
      </c>
      <c r="U510">
        <v>1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</row>
    <row r="511" spans="1:35" s="1857" customFormat="1" hidden="1" outlineLevel="1">
      <c r="A511" s="8">
        <v>43241</v>
      </c>
      <c r="B511" s="1860">
        <v>2278.0269400000002</v>
      </c>
      <c r="C511" s="1860">
        <v>2931.0925200000001</v>
      </c>
      <c r="D511" s="1860">
        <v>3437.8085299999998</v>
      </c>
      <c r="E511" s="1860">
        <v>3922.2994899999999</v>
      </c>
      <c r="F511">
        <v>26.305250000000001</v>
      </c>
      <c r="G511" s="1861">
        <v>2925.67</v>
      </c>
      <c r="I511">
        <v>0.77863000000000004</v>
      </c>
      <c r="J511">
        <v>1.0018499999999999</v>
      </c>
      <c r="K511">
        <v>1.1750499999999999</v>
      </c>
      <c r="L511">
        <v>1.3406499999999999</v>
      </c>
      <c r="M511">
        <v>8.9899999999999997E-3</v>
      </c>
      <c r="N511">
        <v>1</v>
      </c>
      <c r="P511">
        <v>1.2843</v>
      </c>
      <c r="Q511">
        <v>0.99814999999999998</v>
      </c>
      <c r="R511">
        <v>0.85102999999999995</v>
      </c>
      <c r="S511">
        <v>0.74590999999999996</v>
      </c>
      <c r="T511">
        <v>111.22</v>
      </c>
      <c r="U511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</row>
    <row r="512" spans="1:35" s="1857" customFormat="1" hidden="1" outlineLevel="1">
      <c r="A512" s="8">
        <v>43242</v>
      </c>
      <c r="B512" s="1860">
        <v>2268.0887699999998</v>
      </c>
      <c r="C512" s="1860">
        <v>2917.5007599999999</v>
      </c>
      <c r="D512" s="1860">
        <v>3411.21857</v>
      </c>
      <c r="E512" s="1860">
        <v>3888.27054</v>
      </c>
      <c r="F512">
        <v>26.097729999999999</v>
      </c>
      <c r="G512" s="1861">
        <v>2897.37</v>
      </c>
      <c r="I512">
        <v>0.78281000000000001</v>
      </c>
      <c r="J512">
        <v>1.00695</v>
      </c>
      <c r="K512">
        <v>1.1773499999999999</v>
      </c>
      <c r="L512">
        <v>1.3420000000000001</v>
      </c>
      <c r="M512">
        <v>9.0100000000000006E-3</v>
      </c>
      <c r="N512">
        <v>1</v>
      </c>
      <c r="P512">
        <v>1.27745</v>
      </c>
      <c r="Q512">
        <v>0.99309999999999998</v>
      </c>
      <c r="R512">
        <v>0.84936999999999996</v>
      </c>
      <c r="S512">
        <v>0.74516000000000004</v>
      </c>
      <c r="T512">
        <v>111.02</v>
      </c>
      <c r="U512">
        <v>1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/>
    </row>
    <row r="513" spans="1:35" s="1857" customFormat="1" hidden="1" outlineLevel="1">
      <c r="A513" s="8">
        <v>43243</v>
      </c>
      <c r="B513" s="1860">
        <v>2213.66354</v>
      </c>
      <c r="C513" s="1860">
        <v>2869.2091</v>
      </c>
      <c r="D513" s="1860">
        <v>3337.30197</v>
      </c>
      <c r="E513" s="1860">
        <v>3804.22199</v>
      </c>
      <c r="F513">
        <v>25.931429999999999</v>
      </c>
      <c r="G513" s="1861">
        <v>2851.42</v>
      </c>
      <c r="I513">
        <v>0.77634000000000003</v>
      </c>
      <c r="J513">
        <v>1.00624</v>
      </c>
      <c r="K513">
        <v>1.1704000000000001</v>
      </c>
      <c r="L513">
        <v>1.3341499999999999</v>
      </c>
      <c r="M513">
        <v>9.0900000000000009E-3</v>
      </c>
      <c r="N513">
        <v>1</v>
      </c>
      <c r="P513">
        <v>1.2881</v>
      </c>
      <c r="Q513">
        <v>0.99380000000000002</v>
      </c>
      <c r="R513">
        <v>0.85441</v>
      </c>
      <c r="S513">
        <v>0.74953999999999998</v>
      </c>
      <c r="T513">
        <v>109.96</v>
      </c>
      <c r="U513">
        <v>1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/>
    </row>
    <row r="514" spans="1:35" s="1857" customFormat="1" hidden="1" outlineLevel="1">
      <c r="A514" s="8">
        <v>43244</v>
      </c>
      <c r="B514" s="1860">
        <v>2219.9100600000002</v>
      </c>
      <c r="C514" s="1860">
        <v>2888.9516699999999</v>
      </c>
      <c r="D514" s="1860">
        <v>3356.86258</v>
      </c>
      <c r="E514" s="1860">
        <v>3829.29718</v>
      </c>
      <c r="F514">
        <v>26.26464</v>
      </c>
      <c r="G514" s="1861">
        <v>2863.24</v>
      </c>
      <c r="I514">
        <v>0.77531000000000005</v>
      </c>
      <c r="J514">
        <v>1.00898</v>
      </c>
      <c r="K514">
        <v>1.1724000000000001</v>
      </c>
      <c r="L514">
        <v>1.3373999999999999</v>
      </c>
      <c r="M514">
        <v>9.1699999999999993E-3</v>
      </c>
      <c r="N514">
        <v>1</v>
      </c>
      <c r="P514">
        <v>1.2898000000000001</v>
      </c>
      <c r="Q514">
        <v>0.99109999999999998</v>
      </c>
      <c r="R514">
        <v>0.85294999999999999</v>
      </c>
      <c r="S514">
        <v>0.74772000000000005</v>
      </c>
      <c r="T514">
        <v>109.015</v>
      </c>
      <c r="U514">
        <v>1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</row>
    <row r="515" spans="1:35" hidden="1" outlineLevel="1">
      <c r="A515" s="8">
        <v>43245</v>
      </c>
      <c r="B515" s="1860">
        <v>2205.70856</v>
      </c>
      <c r="C515" s="1860">
        <v>2887.8107799999998</v>
      </c>
      <c r="D515" s="1860">
        <v>3336.8231999999998</v>
      </c>
      <c r="E515" s="1860">
        <v>3811.67166</v>
      </c>
      <c r="F515">
        <v>26.201049999999999</v>
      </c>
      <c r="G515" s="1861">
        <v>2863.12</v>
      </c>
      <c r="I515">
        <v>0.77039000000000002</v>
      </c>
      <c r="J515">
        <v>1.0086200000000001</v>
      </c>
      <c r="K515">
        <v>1.1654500000000001</v>
      </c>
      <c r="L515">
        <v>1.3312999999999999</v>
      </c>
      <c r="M515">
        <v>9.1500000000000001E-3</v>
      </c>
      <c r="N515">
        <v>1</v>
      </c>
      <c r="P515">
        <v>1.2980499999999999</v>
      </c>
      <c r="Q515">
        <v>0.99145000000000005</v>
      </c>
      <c r="R515">
        <v>0.85804000000000002</v>
      </c>
      <c r="S515">
        <v>0.75114999999999998</v>
      </c>
      <c r="T515">
        <v>109.27500000000001</v>
      </c>
      <c r="U515">
        <v>1</v>
      </c>
    </row>
    <row r="516" spans="1:35" hidden="1" outlineLevel="1">
      <c r="A516" s="8">
        <v>43246</v>
      </c>
      <c r="B516" s="1860">
        <v>2224.22865</v>
      </c>
      <c r="C516" s="1860">
        <v>2912.0581000000002</v>
      </c>
      <c r="D516" s="1860">
        <v>3364.8406199999999</v>
      </c>
      <c r="E516" s="1860">
        <v>3843.6761099999999</v>
      </c>
      <c r="F516">
        <v>26.421050000000001</v>
      </c>
      <c r="G516" s="1861">
        <v>2887.16</v>
      </c>
      <c r="I516">
        <v>0.77039000000000002</v>
      </c>
      <c r="J516">
        <v>1.0086200000000001</v>
      </c>
      <c r="K516">
        <v>1.1654500000000001</v>
      </c>
      <c r="L516">
        <v>1.3312999999999999</v>
      </c>
      <c r="M516">
        <v>9.1500000000000001E-3</v>
      </c>
      <c r="N516">
        <v>1</v>
      </c>
      <c r="P516">
        <v>1.2980499999999999</v>
      </c>
      <c r="Q516">
        <v>0.99145000000000005</v>
      </c>
      <c r="R516">
        <v>0.85804000000000002</v>
      </c>
      <c r="S516">
        <v>0.75114999999999998</v>
      </c>
      <c r="T516">
        <v>109.27500000000001</v>
      </c>
      <c r="U516">
        <v>1</v>
      </c>
    </row>
    <row r="517" spans="1:35" hidden="1" outlineLevel="1">
      <c r="A517" s="8">
        <v>43247</v>
      </c>
      <c r="B517" s="1860">
        <v>2224.22865</v>
      </c>
      <c r="C517" s="1860">
        <v>2912.0581000000002</v>
      </c>
      <c r="D517" s="1860">
        <v>3364.8406199999999</v>
      </c>
      <c r="E517" s="1860">
        <v>3843.6761099999999</v>
      </c>
      <c r="F517">
        <v>26.421050000000001</v>
      </c>
      <c r="G517" s="1861">
        <v>2887.16</v>
      </c>
      <c r="I517">
        <v>0.77039000000000002</v>
      </c>
      <c r="J517">
        <v>1.0086200000000001</v>
      </c>
      <c r="K517">
        <v>1.1654500000000001</v>
      </c>
      <c r="L517">
        <v>1.3312999999999999</v>
      </c>
      <c r="M517">
        <v>9.1500000000000001E-3</v>
      </c>
      <c r="N517">
        <v>1</v>
      </c>
      <c r="P517">
        <v>1.2980499999999999</v>
      </c>
      <c r="Q517">
        <v>0.99145000000000005</v>
      </c>
      <c r="R517">
        <v>0.85804000000000002</v>
      </c>
      <c r="S517">
        <v>0.75114999999999998</v>
      </c>
      <c r="T517">
        <v>109.27500000000001</v>
      </c>
      <c r="U517">
        <v>1</v>
      </c>
    </row>
    <row r="518" spans="1:35" hidden="1" outlineLevel="1">
      <c r="A518" s="8">
        <v>43248</v>
      </c>
      <c r="B518" s="1860">
        <v>2218.2474699999998</v>
      </c>
      <c r="C518" s="1860">
        <v>2905.6106300000001</v>
      </c>
      <c r="D518" s="1860">
        <v>3355.1686399999999</v>
      </c>
      <c r="E518" s="1860">
        <v>3839.6340799999998</v>
      </c>
      <c r="F518">
        <v>26.401720000000001</v>
      </c>
      <c r="G518" s="1861">
        <v>2887.16</v>
      </c>
      <c r="I518">
        <v>0.76831000000000005</v>
      </c>
      <c r="J518">
        <v>1.0063899999999999</v>
      </c>
      <c r="K518">
        <v>1.1620999999999999</v>
      </c>
      <c r="L518">
        <v>1.3299000000000001</v>
      </c>
      <c r="M518">
        <v>9.1400000000000006E-3</v>
      </c>
      <c r="N518">
        <v>1</v>
      </c>
      <c r="P518">
        <v>1.30155</v>
      </c>
      <c r="Q518">
        <v>0.99365000000000003</v>
      </c>
      <c r="R518">
        <v>0.86051</v>
      </c>
      <c r="S518">
        <v>0.75194000000000005</v>
      </c>
      <c r="T518">
        <v>109.355</v>
      </c>
      <c r="U518">
        <v>1</v>
      </c>
    </row>
    <row r="519" spans="1:35" hidden="1" outlineLevel="1">
      <c r="A519" s="8">
        <v>43249</v>
      </c>
      <c r="B519" s="1860">
        <v>2219.0146800000002</v>
      </c>
      <c r="C519" s="1860">
        <v>2902.1058499999999</v>
      </c>
      <c r="D519" s="1860">
        <v>3338.71182</v>
      </c>
      <c r="E519" s="1860">
        <v>3831.4056799999998</v>
      </c>
      <c r="F519">
        <v>26.52421</v>
      </c>
      <c r="G519" s="1861">
        <v>2887.16</v>
      </c>
      <c r="I519">
        <v>0.76858000000000004</v>
      </c>
      <c r="J519">
        <v>1.00518</v>
      </c>
      <c r="K519">
        <v>1.1564000000000001</v>
      </c>
      <c r="L519">
        <v>1.3270500000000001</v>
      </c>
      <c r="M519">
        <v>9.1900000000000003E-3</v>
      </c>
      <c r="N519">
        <v>1</v>
      </c>
      <c r="P519">
        <v>1.3010999999999999</v>
      </c>
      <c r="Q519">
        <v>0.99485000000000001</v>
      </c>
      <c r="R519">
        <v>0.86475000000000002</v>
      </c>
      <c r="S519">
        <v>0.75355000000000005</v>
      </c>
      <c r="T519">
        <v>108.85</v>
      </c>
      <c r="U519">
        <v>1</v>
      </c>
    </row>
    <row r="520" spans="1:35" hidden="1" outlineLevel="1">
      <c r="A520" s="8">
        <v>43250</v>
      </c>
      <c r="B520" s="1860">
        <v>2246.92911</v>
      </c>
      <c r="C520" s="1860">
        <v>2923.9365499999999</v>
      </c>
      <c r="D520" s="1860">
        <v>3360.44848</v>
      </c>
      <c r="E520" s="1860">
        <v>3841.2566700000002</v>
      </c>
      <c r="F520">
        <v>26.57441</v>
      </c>
      <c r="G520" s="1861">
        <v>2893.82</v>
      </c>
      <c r="I520">
        <v>0.77646000000000004</v>
      </c>
      <c r="J520">
        <v>1.01041</v>
      </c>
      <c r="K520">
        <v>1.1612499999999999</v>
      </c>
      <c r="L520">
        <v>1.3273999999999999</v>
      </c>
      <c r="M520">
        <v>9.1800000000000007E-3</v>
      </c>
      <c r="N520">
        <v>1</v>
      </c>
      <c r="P520">
        <v>1.2879</v>
      </c>
      <c r="Q520">
        <v>0.98970000000000002</v>
      </c>
      <c r="R520">
        <v>0.86114000000000002</v>
      </c>
      <c r="S520">
        <v>0.75334999999999996</v>
      </c>
      <c r="T520">
        <v>108.895</v>
      </c>
      <c r="U520">
        <v>1</v>
      </c>
    </row>
    <row r="521" spans="1:35" ht="15.75" hidden="1" outlineLevel="1" thickBot="1">
      <c r="A521" s="1868">
        <v>43251</v>
      </c>
      <c r="B521" s="1869">
        <v>2219.6423100000002</v>
      </c>
      <c r="C521" s="1869">
        <v>2928.8170100000002</v>
      </c>
      <c r="D521" s="1869">
        <v>3361.03024</v>
      </c>
      <c r="E521" s="1869">
        <v>3831.3671599999998</v>
      </c>
      <c r="F521" s="1870">
        <v>26.502089999999999</v>
      </c>
      <c r="G521" s="1871">
        <v>2879.32</v>
      </c>
      <c r="H521" s="1872"/>
      <c r="I521" s="1870">
        <v>0.77088999999999996</v>
      </c>
      <c r="J521" s="1870">
        <v>1.01719</v>
      </c>
      <c r="K521" s="1870">
        <v>1.1673</v>
      </c>
      <c r="L521" s="1870">
        <v>1.3306500000000001</v>
      </c>
      <c r="M521" s="1870">
        <v>9.1999999999999998E-3</v>
      </c>
      <c r="N521" s="1870">
        <v>1</v>
      </c>
      <c r="O521" s="1872"/>
      <c r="P521" s="1870">
        <v>1.2971999999999999</v>
      </c>
      <c r="Q521" s="1870">
        <v>0.98309999999999997</v>
      </c>
      <c r="R521" s="1870">
        <v>0.85668</v>
      </c>
      <c r="S521" s="1870">
        <v>0.75151000000000001</v>
      </c>
      <c r="T521" s="1870">
        <v>108.645</v>
      </c>
      <c r="U521" s="1870">
        <v>1</v>
      </c>
      <c r="V521" s="1872"/>
    </row>
    <row r="522" spans="1:35" hidden="1" outlineLevel="1">
      <c r="A522" s="8">
        <v>43252</v>
      </c>
      <c r="B522" s="1860">
        <v>2230.3601100000001</v>
      </c>
      <c r="C522" s="1860">
        <v>2924.11699</v>
      </c>
      <c r="D522" s="1860">
        <v>3369.8139200000001</v>
      </c>
      <c r="E522" s="1860">
        <v>3851.17463</v>
      </c>
      <c r="F522">
        <v>26.369630000000001</v>
      </c>
      <c r="G522" s="1861">
        <v>2889.32</v>
      </c>
      <c r="I522">
        <v>0.77193000000000001</v>
      </c>
      <c r="J522">
        <v>1.0120400000000001</v>
      </c>
      <c r="K522">
        <v>1.1662999999999999</v>
      </c>
      <c r="L522">
        <v>1.3329</v>
      </c>
      <c r="M522">
        <v>9.1299999999999992E-3</v>
      </c>
      <c r="N522">
        <v>1</v>
      </c>
      <c r="P522">
        <v>1.29545</v>
      </c>
      <c r="Q522">
        <v>0.98809999999999998</v>
      </c>
      <c r="R522">
        <v>0.85741000000000001</v>
      </c>
      <c r="S522">
        <v>0.75024000000000002</v>
      </c>
      <c r="T522">
        <v>109.57</v>
      </c>
      <c r="U522">
        <v>1</v>
      </c>
    </row>
    <row r="523" spans="1:35" hidden="1" outlineLevel="1">
      <c r="A523" s="8">
        <v>43253</v>
      </c>
      <c r="B523" s="1860">
        <v>2214.07233</v>
      </c>
      <c r="C523" s="1860">
        <v>2902.7628800000002</v>
      </c>
      <c r="D523" s="1860">
        <v>3345.2049900000002</v>
      </c>
      <c r="E523" s="1860">
        <v>3823.05044</v>
      </c>
      <c r="F523">
        <v>26.177060000000001</v>
      </c>
      <c r="G523" s="1861">
        <v>2868.22</v>
      </c>
      <c r="I523">
        <v>0.77193000000000001</v>
      </c>
      <c r="J523">
        <v>1.0120400000000001</v>
      </c>
      <c r="K523">
        <v>1.1662999999999999</v>
      </c>
      <c r="L523">
        <v>1.3329</v>
      </c>
      <c r="M523">
        <v>9.1299999999999992E-3</v>
      </c>
      <c r="N523">
        <v>1</v>
      </c>
      <c r="P523">
        <v>1.29545</v>
      </c>
      <c r="Q523">
        <v>0.98809999999999998</v>
      </c>
      <c r="R523">
        <v>0.85741000000000001</v>
      </c>
      <c r="S523">
        <v>0.75024000000000002</v>
      </c>
      <c r="T523">
        <v>109.57</v>
      </c>
      <c r="U523">
        <v>1</v>
      </c>
    </row>
    <row r="524" spans="1:35" hidden="1" outlineLevel="1">
      <c r="A524" s="8">
        <v>43254</v>
      </c>
      <c r="B524" s="1860">
        <v>2214.07233</v>
      </c>
      <c r="C524" s="1860">
        <v>2902.7628800000002</v>
      </c>
      <c r="D524" s="1860">
        <v>3345.2049900000002</v>
      </c>
      <c r="E524" s="1860">
        <v>3823.05044</v>
      </c>
      <c r="F524">
        <v>26.177060000000001</v>
      </c>
      <c r="G524" s="1861">
        <v>2868.22</v>
      </c>
      <c r="I524">
        <v>0.77193000000000001</v>
      </c>
      <c r="J524">
        <v>1.0120400000000001</v>
      </c>
      <c r="K524">
        <v>1.1662999999999999</v>
      </c>
      <c r="L524">
        <v>1.3329</v>
      </c>
      <c r="M524">
        <v>9.1299999999999992E-3</v>
      </c>
      <c r="N524">
        <v>1</v>
      </c>
      <c r="P524">
        <v>1.29545</v>
      </c>
      <c r="Q524">
        <v>0.98809999999999998</v>
      </c>
      <c r="R524">
        <v>0.85741000000000001</v>
      </c>
      <c r="S524">
        <v>0.75024000000000002</v>
      </c>
      <c r="T524">
        <v>109.57</v>
      </c>
      <c r="U524">
        <v>1</v>
      </c>
    </row>
    <row r="525" spans="1:35" hidden="1" outlineLevel="1">
      <c r="A525" s="8">
        <v>43255</v>
      </c>
      <c r="B525" s="1860">
        <v>2218.6107699999998</v>
      </c>
      <c r="C525" s="1860">
        <v>2903.64446</v>
      </c>
      <c r="D525" s="1860">
        <v>3354.8135200000002</v>
      </c>
      <c r="E525" s="1860">
        <v>3824.0543200000002</v>
      </c>
      <c r="F525">
        <v>26.15915</v>
      </c>
      <c r="G525" s="1861">
        <v>2868.22</v>
      </c>
      <c r="I525">
        <v>0.77351000000000003</v>
      </c>
      <c r="J525">
        <v>1.0123500000000001</v>
      </c>
      <c r="K525">
        <v>1.1696500000000001</v>
      </c>
      <c r="L525">
        <v>1.33325</v>
      </c>
      <c r="M525">
        <v>9.1199999999999996E-3</v>
      </c>
      <c r="N525">
        <v>1</v>
      </c>
      <c r="P525">
        <v>1.2927999999999999</v>
      </c>
      <c r="Q525">
        <v>0.98780000000000001</v>
      </c>
      <c r="R525">
        <v>0.85496000000000005</v>
      </c>
      <c r="S525">
        <v>0.75004999999999999</v>
      </c>
      <c r="T525">
        <v>109.645</v>
      </c>
      <c r="U525">
        <v>1</v>
      </c>
    </row>
    <row r="526" spans="1:35" hidden="1" outlineLevel="1">
      <c r="A526" s="8">
        <v>43256</v>
      </c>
      <c r="B526" s="1860">
        <v>2205.1356999999998</v>
      </c>
      <c r="C526" s="1860">
        <v>2903.2035999999998</v>
      </c>
      <c r="D526" s="1860">
        <v>3346.9259200000001</v>
      </c>
      <c r="E526" s="1860">
        <v>3826.92254</v>
      </c>
      <c r="F526">
        <v>26.118649999999999</v>
      </c>
      <c r="G526" s="1861">
        <v>2868.22</v>
      </c>
      <c r="I526">
        <v>0.76881999999999995</v>
      </c>
      <c r="J526">
        <v>1.0122</v>
      </c>
      <c r="K526">
        <v>1.1669</v>
      </c>
      <c r="L526">
        <v>1.3342499999999999</v>
      </c>
      <c r="M526">
        <v>9.11E-3</v>
      </c>
      <c r="N526">
        <v>1</v>
      </c>
      <c r="P526">
        <v>1.3007</v>
      </c>
      <c r="Q526">
        <v>0.98794999999999999</v>
      </c>
      <c r="R526">
        <v>0.85697000000000001</v>
      </c>
      <c r="S526">
        <v>0.74948000000000004</v>
      </c>
      <c r="T526">
        <v>109.815</v>
      </c>
      <c r="U526">
        <v>1</v>
      </c>
    </row>
    <row r="527" spans="1:35" hidden="1" outlineLevel="1">
      <c r="A527" s="8">
        <v>43257</v>
      </c>
      <c r="B527" s="1860">
        <v>2219.8404099999998</v>
      </c>
      <c r="C527" s="1860">
        <v>2908.1193499999999</v>
      </c>
      <c r="D527" s="1860">
        <v>3375.6923999999999</v>
      </c>
      <c r="E527" s="1860">
        <v>3847.4755700000001</v>
      </c>
      <c r="F527">
        <v>26.039349999999999</v>
      </c>
      <c r="G527" s="1861">
        <v>2865.37</v>
      </c>
      <c r="I527">
        <v>0.77471000000000001</v>
      </c>
      <c r="J527">
        <v>1.01492</v>
      </c>
      <c r="K527">
        <v>1.1780999999999999</v>
      </c>
      <c r="L527">
        <v>1.3427500000000001</v>
      </c>
      <c r="M527">
        <v>9.0900000000000009E-3</v>
      </c>
      <c r="N527">
        <v>1</v>
      </c>
      <c r="P527">
        <v>1.2907999999999999</v>
      </c>
      <c r="Q527">
        <v>0.98529999999999995</v>
      </c>
      <c r="R527">
        <v>0.84882000000000002</v>
      </c>
      <c r="S527">
        <v>0.74473999999999996</v>
      </c>
      <c r="T527">
        <v>110.04</v>
      </c>
      <c r="U527">
        <v>1</v>
      </c>
    </row>
    <row r="528" spans="1:35" hidden="1" outlineLevel="1">
      <c r="A528" s="8">
        <v>43258</v>
      </c>
      <c r="B528" s="1860">
        <v>2180.23587</v>
      </c>
      <c r="C528" s="1860">
        <v>2878.9454900000001</v>
      </c>
      <c r="D528" s="1860">
        <v>3344.6066500000002</v>
      </c>
      <c r="E528" s="1860">
        <v>3795.31538</v>
      </c>
      <c r="F528">
        <v>25.712910000000001</v>
      </c>
      <c r="G528" s="1861">
        <v>2828.42</v>
      </c>
      <c r="I528">
        <v>0.77083000000000002</v>
      </c>
      <c r="J528">
        <v>1.01786</v>
      </c>
      <c r="K528">
        <v>1.1825000000000001</v>
      </c>
      <c r="L528">
        <v>1.34185</v>
      </c>
      <c r="M528">
        <v>9.0900000000000009E-3</v>
      </c>
      <c r="N528">
        <v>1</v>
      </c>
      <c r="P528">
        <v>1.2972999999999999</v>
      </c>
      <c r="Q528">
        <v>0.98245000000000005</v>
      </c>
      <c r="R528">
        <v>0.84567000000000003</v>
      </c>
      <c r="S528">
        <v>0.74524000000000001</v>
      </c>
      <c r="T528">
        <v>110</v>
      </c>
      <c r="U528">
        <v>1</v>
      </c>
    </row>
    <row r="529" spans="1:35" hidden="1" outlineLevel="1">
      <c r="A529" s="8">
        <v>43259</v>
      </c>
      <c r="B529" s="1860">
        <v>2186.9206399999998</v>
      </c>
      <c r="C529" s="1860">
        <v>2878.2339499999998</v>
      </c>
      <c r="D529" s="1860">
        <v>3336.5787500000001</v>
      </c>
      <c r="E529" s="1860">
        <v>3800.5123600000002</v>
      </c>
      <c r="F529">
        <v>25.93187</v>
      </c>
      <c r="G529" s="1861">
        <v>2835.78</v>
      </c>
      <c r="I529">
        <v>0.77119000000000004</v>
      </c>
      <c r="J529">
        <v>1.0149699999999999</v>
      </c>
      <c r="K529">
        <v>1.1766000000000001</v>
      </c>
      <c r="L529">
        <v>1.3402000000000001</v>
      </c>
      <c r="M529">
        <v>9.1400000000000006E-3</v>
      </c>
      <c r="N529">
        <v>1</v>
      </c>
      <c r="P529">
        <v>1.2967</v>
      </c>
      <c r="Q529">
        <v>0.98524999999999996</v>
      </c>
      <c r="R529">
        <v>0.84991000000000005</v>
      </c>
      <c r="S529">
        <v>0.74616000000000005</v>
      </c>
      <c r="T529">
        <v>109.355</v>
      </c>
      <c r="U529">
        <v>1</v>
      </c>
    </row>
    <row r="530" spans="1:35" hidden="1" outlineLevel="1">
      <c r="A530" s="8">
        <v>43260</v>
      </c>
      <c r="B530" s="1860">
        <v>2202.3598400000001</v>
      </c>
      <c r="C530" s="1860">
        <v>2898.5536699999998</v>
      </c>
      <c r="D530" s="1860">
        <v>3360.1342800000002</v>
      </c>
      <c r="E530" s="1860">
        <v>3827.3431599999999</v>
      </c>
      <c r="F530">
        <v>26.11495</v>
      </c>
      <c r="G530" s="1861">
        <v>2855.8</v>
      </c>
      <c r="I530">
        <v>0.77119000000000004</v>
      </c>
      <c r="J530">
        <v>1.0149699999999999</v>
      </c>
      <c r="K530">
        <v>1.1766000000000001</v>
      </c>
      <c r="L530">
        <v>1.3402000000000001</v>
      </c>
      <c r="M530">
        <v>9.1400000000000006E-3</v>
      </c>
      <c r="N530">
        <v>1</v>
      </c>
      <c r="P530">
        <v>1.2967</v>
      </c>
      <c r="Q530">
        <v>0.98524999999999996</v>
      </c>
      <c r="R530">
        <v>0.84991000000000005</v>
      </c>
      <c r="S530">
        <v>0.74616000000000005</v>
      </c>
      <c r="T530">
        <v>109.355</v>
      </c>
      <c r="U530">
        <v>1</v>
      </c>
    </row>
    <row r="531" spans="1:35" s="1857" customFormat="1" hidden="1" outlineLevel="1">
      <c r="A531" s="8">
        <v>43261</v>
      </c>
      <c r="B531" s="1860">
        <v>2202.3598400000001</v>
      </c>
      <c r="C531" s="1860">
        <v>2898.5536699999998</v>
      </c>
      <c r="D531" s="1860">
        <v>3360.1342800000002</v>
      </c>
      <c r="E531" s="1860">
        <v>3827.3431599999999</v>
      </c>
      <c r="F531">
        <v>26.11495</v>
      </c>
      <c r="G531" s="1861">
        <v>2855.8</v>
      </c>
      <c r="I531">
        <v>0.77119000000000004</v>
      </c>
      <c r="J531">
        <v>1.0149699999999999</v>
      </c>
      <c r="K531">
        <v>1.1766000000000001</v>
      </c>
      <c r="L531">
        <v>1.3402000000000001</v>
      </c>
      <c r="M531">
        <v>9.1400000000000006E-3</v>
      </c>
      <c r="N531">
        <v>1</v>
      </c>
      <c r="P531">
        <v>1.2967</v>
      </c>
      <c r="Q531">
        <v>0.98524999999999996</v>
      </c>
      <c r="R531">
        <v>0.84991000000000005</v>
      </c>
      <c r="S531">
        <v>0.74616000000000005</v>
      </c>
      <c r="T531">
        <v>109.355</v>
      </c>
      <c r="U531">
        <v>1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</row>
    <row r="532" spans="1:35" s="1857" customFormat="1" hidden="1" outlineLevel="1">
      <c r="A532" s="8">
        <v>43262</v>
      </c>
      <c r="B532" s="1860">
        <v>2196.0090700000001</v>
      </c>
      <c r="C532" s="1860">
        <v>2900.6144899999999</v>
      </c>
      <c r="D532" s="1860">
        <v>3371.7002699999998</v>
      </c>
      <c r="E532" s="1860">
        <v>3824.4873600000001</v>
      </c>
      <c r="F532">
        <v>25.984259999999999</v>
      </c>
      <c r="G532" s="1861">
        <v>2855.8</v>
      </c>
      <c r="I532">
        <v>0.76895999999999998</v>
      </c>
      <c r="J532">
        <v>1.01569</v>
      </c>
      <c r="K532">
        <v>1.18065</v>
      </c>
      <c r="L532">
        <v>1.3391999999999999</v>
      </c>
      <c r="M532">
        <v>9.1000000000000004E-3</v>
      </c>
      <c r="N532">
        <v>1</v>
      </c>
      <c r="P532">
        <v>1.3004500000000001</v>
      </c>
      <c r="Q532">
        <v>0.98455000000000004</v>
      </c>
      <c r="R532">
        <v>0.84699000000000002</v>
      </c>
      <c r="S532">
        <v>0.74670999999999998</v>
      </c>
      <c r="T532">
        <v>109.905</v>
      </c>
      <c r="U532">
        <v>1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</row>
    <row r="533" spans="1:35" s="1857" customFormat="1" hidden="1" outlineLevel="1">
      <c r="A533" s="8">
        <v>43263</v>
      </c>
      <c r="B533" s="1860">
        <v>2198.79889</v>
      </c>
      <c r="C533" s="1860">
        <v>2900.4671899999998</v>
      </c>
      <c r="D533" s="1860">
        <v>3365.8458799999999</v>
      </c>
      <c r="E533" s="1860">
        <v>3813.3497400000001</v>
      </c>
      <c r="F533">
        <v>25.895900000000001</v>
      </c>
      <c r="G533" s="1861">
        <v>2855.8</v>
      </c>
      <c r="I533">
        <v>0.76993999999999996</v>
      </c>
      <c r="J533">
        <v>1.0156400000000001</v>
      </c>
      <c r="K533">
        <v>1.1786000000000001</v>
      </c>
      <c r="L533">
        <v>1.3352999999999999</v>
      </c>
      <c r="M533">
        <v>9.0699999999999999E-3</v>
      </c>
      <c r="N533">
        <v>1</v>
      </c>
      <c r="P533">
        <v>1.2988</v>
      </c>
      <c r="Q533">
        <v>0.98460000000000003</v>
      </c>
      <c r="R533">
        <v>0.84845999999999999</v>
      </c>
      <c r="S533">
        <v>0.74890000000000001</v>
      </c>
      <c r="T533">
        <v>110.28</v>
      </c>
      <c r="U533">
        <v>1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</row>
    <row r="534" spans="1:35" s="1857" customFormat="1" hidden="1" outlineLevel="1">
      <c r="A534" s="8">
        <v>43264</v>
      </c>
      <c r="B534" s="1860">
        <v>2202.2661600000001</v>
      </c>
      <c r="C534" s="1860">
        <v>2899.58898</v>
      </c>
      <c r="D534" s="1860">
        <v>3363.6756</v>
      </c>
      <c r="E534" s="1860">
        <v>3819.0989399999999</v>
      </c>
      <c r="F534">
        <v>25.873760000000001</v>
      </c>
      <c r="G534" s="1861">
        <v>2857.11</v>
      </c>
      <c r="I534">
        <v>0.77080000000000004</v>
      </c>
      <c r="J534">
        <v>1.0148699999999999</v>
      </c>
      <c r="K534">
        <v>1.1773</v>
      </c>
      <c r="L534">
        <v>1.3367</v>
      </c>
      <c r="M534">
        <v>9.0600000000000003E-3</v>
      </c>
      <c r="N534">
        <v>1</v>
      </c>
      <c r="P534">
        <v>1.29735</v>
      </c>
      <c r="Q534">
        <v>0.98534999999999995</v>
      </c>
      <c r="R534">
        <v>0.84940000000000004</v>
      </c>
      <c r="S534">
        <v>0.74811000000000005</v>
      </c>
      <c r="T534">
        <v>110.425</v>
      </c>
      <c r="U534">
        <v>1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</row>
    <row r="535" spans="1:35" s="1857" customFormat="1" hidden="1" outlineLevel="1">
      <c r="A535" s="8">
        <v>43265</v>
      </c>
      <c r="B535" s="1860">
        <v>2192.7831900000001</v>
      </c>
      <c r="C535" s="1860">
        <v>2880.9209500000002</v>
      </c>
      <c r="D535" s="1860">
        <v>3330.9330500000001</v>
      </c>
      <c r="E535" s="1860">
        <v>3811.9884000000002</v>
      </c>
      <c r="F535">
        <v>25.92999</v>
      </c>
      <c r="G535" s="1861">
        <v>2859.17</v>
      </c>
      <c r="I535">
        <v>0.76693</v>
      </c>
      <c r="J535">
        <v>1.0076099999999999</v>
      </c>
      <c r="K535">
        <v>1.165</v>
      </c>
      <c r="L535">
        <v>1.33325</v>
      </c>
      <c r="M535">
        <v>9.0699999999999999E-3</v>
      </c>
      <c r="N535">
        <v>1</v>
      </c>
      <c r="P535">
        <v>1.3039000000000001</v>
      </c>
      <c r="Q535">
        <v>0.99245000000000005</v>
      </c>
      <c r="R535">
        <v>0.85836999999999997</v>
      </c>
      <c r="S535">
        <v>0.75004999999999999</v>
      </c>
      <c r="T535">
        <v>110.265</v>
      </c>
      <c r="U535">
        <v>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</row>
    <row r="536" spans="1:35" s="1857" customFormat="1" hidden="1" outlineLevel="1">
      <c r="A536" s="8">
        <v>43266</v>
      </c>
      <c r="B536" s="1860">
        <v>2167.56736</v>
      </c>
      <c r="C536" s="1860">
        <v>2874.0063300000002</v>
      </c>
      <c r="D536" s="1860">
        <v>3322.2064300000002</v>
      </c>
      <c r="E536" s="1860">
        <v>3799.7896900000001</v>
      </c>
      <c r="F536">
        <v>25.881530000000001</v>
      </c>
      <c r="G536" s="1861">
        <v>2859.78</v>
      </c>
      <c r="I536">
        <v>0.75795000000000001</v>
      </c>
      <c r="J536">
        <v>1.0049699999999999</v>
      </c>
      <c r="K536">
        <v>1.1617</v>
      </c>
      <c r="L536">
        <v>1.3287</v>
      </c>
      <c r="M536">
        <v>9.0500000000000008E-3</v>
      </c>
      <c r="N536">
        <v>1</v>
      </c>
      <c r="P536">
        <v>1.31935</v>
      </c>
      <c r="Q536">
        <v>0.99504999999999999</v>
      </c>
      <c r="R536">
        <v>0.86080999999999996</v>
      </c>
      <c r="S536">
        <v>0.75261999999999996</v>
      </c>
      <c r="T536">
        <v>110.495</v>
      </c>
      <c r="U536">
        <v>1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</row>
    <row r="537" spans="1:35" s="1857" customFormat="1" hidden="1" outlineLevel="1">
      <c r="A537" s="8">
        <v>43267</v>
      </c>
      <c r="B537" s="1860">
        <v>2190.5180599999999</v>
      </c>
      <c r="C537" s="1860">
        <v>2904.43696</v>
      </c>
      <c r="D537" s="1860">
        <v>3357.3827000000001</v>
      </c>
      <c r="E537" s="1860">
        <v>3840.0227199999999</v>
      </c>
      <c r="F537">
        <v>26.155570000000001</v>
      </c>
      <c r="G537" s="1861">
        <v>2890.06</v>
      </c>
      <c r="I537">
        <v>0.75795000000000001</v>
      </c>
      <c r="J537">
        <v>1.0049699999999999</v>
      </c>
      <c r="K537">
        <v>1.1617</v>
      </c>
      <c r="L537">
        <v>1.3287</v>
      </c>
      <c r="M537">
        <v>9.0500000000000008E-3</v>
      </c>
      <c r="N537">
        <v>1</v>
      </c>
      <c r="P537">
        <v>1.31935</v>
      </c>
      <c r="Q537">
        <v>0.99504999999999999</v>
      </c>
      <c r="R537">
        <v>0.86080999999999996</v>
      </c>
      <c r="S537">
        <v>0.75261999999999996</v>
      </c>
      <c r="T537">
        <v>110.495</v>
      </c>
      <c r="U537">
        <v>1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</row>
    <row r="538" spans="1:35" s="1857" customFormat="1" hidden="1" outlineLevel="1">
      <c r="A538" s="8">
        <v>43268</v>
      </c>
      <c r="B538" s="1860">
        <v>2190.5180599999999</v>
      </c>
      <c r="C538" s="1860">
        <v>2904.43696</v>
      </c>
      <c r="D538" s="1860">
        <v>3357.3827000000001</v>
      </c>
      <c r="E538" s="1860">
        <v>3840.0227199999999</v>
      </c>
      <c r="F538">
        <v>26.155570000000001</v>
      </c>
      <c r="G538" s="1861">
        <v>2890.06</v>
      </c>
      <c r="I538">
        <v>0.75795000000000001</v>
      </c>
      <c r="J538">
        <v>1.0049699999999999</v>
      </c>
      <c r="K538">
        <v>1.1617</v>
      </c>
      <c r="L538">
        <v>1.3287</v>
      </c>
      <c r="M538">
        <v>9.0500000000000008E-3</v>
      </c>
      <c r="N538">
        <v>1</v>
      </c>
      <c r="P538">
        <v>1.31935</v>
      </c>
      <c r="Q538">
        <v>0.99504999999999999</v>
      </c>
      <c r="R538">
        <v>0.86080999999999996</v>
      </c>
      <c r="S538">
        <v>0.75261999999999996</v>
      </c>
      <c r="T538">
        <v>110.495</v>
      </c>
      <c r="U538">
        <v>1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</row>
    <row r="539" spans="1:35" s="1857" customFormat="1" hidden="1" outlineLevel="1">
      <c r="A539" s="8">
        <v>43269</v>
      </c>
      <c r="B539" s="1860">
        <v>2187.8647900000001</v>
      </c>
      <c r="C539" s="1860">
        <v>2905.7510600000001</v>
      </c>
      <c r="D539" s="1860">
        <v>3356.3711800000001</v>
      </c>
      <c r="E539" s="1860">
        <v>3827.0174499999998</v>
      </c>
      <c r="F539">
        <v>26.162680000000002</v>
      </c>
      <c r="G539" s="1861">
        <v>2890.06</v>
      </c>
      <c r="I539">
        <v>0.75702999999999998</v>
      </c>
      <c r="J539">
        <v>1.00543</v>
      </c>
      <c r="K539">
        <v>1.1613500000000001</v>
      </c>
      <c r="L539">
        <v>1.3242</v>
      </c>
      <c r="M539">
        <v>9.0500000000000008E-3</v>
      </c>
      <c r="N539">
        <v>1</v>
      </c>
      <c r="P539">
        <v>1.3209500000000001</v>
      </c>
      <c r="Q539">
        <v>0.99460000000000004</v>
      </c>
      <c r="R539">
        <v>0.86107</v>
      </c>
      <c r="S539">
        <v>0.75517000000000001</v>
      </c>
      <c r="T539">
        <v>110.465</v>
      </c>
      <c r="U539">
        <v>1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</row>
    <row r="540" spans="1:35" s="1857" customFormat="1" hidden="1" outlineLevel="1">
      <c r="A540" s="8">
        <v>43270</v>
      </c>
      <c r="B540" s="1860">
        <v>2199.4725699999999</v>
      </c>
      <c r="C540" s="1860">
        <v>2932.3355099999999</v>
      </c>
      <c r="D540" s="1860">
        <v>3375.6934999999999</v>
      </c>
      <c r="E540" s="1860">
        <v>3844.50738</v>
      </c>
      <c r="F540">
        <v>26.573869999999999</v>
      </c>
      <c r="G540" s="1861">
        <v>2919.14</v>
      </c>
      <c r="I540">
        <v>0.75346999999999997</v>
      </c>
      <c r="J540">
        <v>1.0045200000000001</v>
      </c>
      <c r="K540">
        <v>1.1564000000000001</v>
      </c>
      <c r="L540">
        <v>1.3169999999999999</v>
      </c>
      <c r="M540">
        <v>9.1000000000000004E-3</v>
      </c>
      <c r="N540">
        <v>1</v>
      </c>
      <c r="P540">
        <v>1.3271999999999999</v>
      </c>
      <c r="Q540">
        <v>0.99550000000000005</v>
      </c>
      <c r="R540">
        <v>0.86475000000000002</v>
      </c>
      <c r="S540">
        <v>0.75929999999999997</v>
      </c>
      <c r="T540">
        <v>109.85</v>
      </c>
      <c r="U540">
        <v>1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</row>
    <row r="541" spans="1:35" s="1857" customFormat="1" hidden="1" outlineLevel="1">
      <c r="A541" s="8">
        <v>43271</v>
      </c>
      <c r="B541" s="1860">
        <v>2205.4236999999998</v>
      </c>
      <c r="C541" s="1860">
        <v>2946.9568300000001</v>
      </c>
      <c r="D541" s="1860">
        <v>3394.5614700000001</v>
      </c>
      <c r="E541" s="1860">
        <v>3862.9133299999999</v>
      </c>
      <c r="F541">
        <v>26.629549999999998</v>
      </c>
      <c r="G541" s="1861">
        <v>2931.78</v>
      </c>
      <c r="I541">
        <v>0.75224999999999997</v>
      </c>
      <c r="J541">
        <v>1.00518</v>
      </c>
      <c r="K541">
        <v>1.15785</v>
      </c>
      <c r="L541">
        <v>1.3176000000000001</v>
      </c>
      <c r="M541">
        <v>9.0799999999999995E-3</v>
      </c>
      <c r="N541">
        <v>1</v>
      </c>
      <c r="P541">
        <v>1.32935</v>
      </c>
      <c r="Q541">
        <v>0.99485000000000001</v>
      </c>
      <c r="R541">
        <v>0.86367000000000005</v>
      </c>
      <c r="S541">
        <v>0.75895999999999997</v>
      </c>
      <c r="T541">
        <v>110.095</v>
      </c>
      <c r="U541">
        <v>1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</row>
    <row r="542" spans="1:35" s="1857" customFormat="1" hidden="1" outlineLevel="1">
      <c r="A542" s="8">
        <v>43272</v>
      </c>
      <c r="B542" s="1860">
        <v>2192.2727100000002</v>
      </c>
      <c r="C542" s="1860">
        <v>2941.19605</v>
      </c>
      <c r="D542" s="1860">
        <v>3385.1699400000002</v>
      </c>
      <c r="E542" s="1860">
        <v>3866.5366199999999</v>
      </c>
      <c r="F542">
        <v>26.514749999999999</v>
      </c>
      <c r="G542" s="1861">
        <v>2916.49</v>
      </c>
      <c r="I542">
        <v>0.75168000000000001</v>
      </c>
      <c r="J542">
        <v>1.00847</v>
      </c>
      <c r="K542">
        <v>1.1607000000000001</v>
      </c>
      <c r="L542">
        <v>1.32575</v>
      </c>
      <c r="M542">
        <v>9.0900000000000009E-3</v>
      </c>
      <c r="N542">
        <v>1</v>
      </c>
      <c r="P542">
        <v>1.3303499999999999</v>
      </c>
      <c r="Q542">
        <v>0.99160000000000004</v>
      </c>
      <c r="R542">
        <v>0.86155000000000004</v>
      </c>
      <c r="S542">
        <v>0.75429000000000002</v>
      </c>
      <c r="T542">
        <v>109.995</v>
      </c>
      <c r="U542">
        <v>1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</row>
    <row r="543" spans="1:35" s="1857" customFormat="1" hidden="1" outlineLevel="1">
      <c r="A543" s="8">
        <v>43273</v>
      </c>
      <c r="B543" s="1860">
        <v>2207.8422599999999</v>
      </c>
      <c r="C543" s="1860">
        <v>2974.8661499999998</v>
      </c>
      <c r="D543" s="1860">
        <v>3427.1815200000001</v>
      </c>
      <c r="E543" s="1860">
        <v>3908.07062</v>
      </c>
      <c r="F543">
        <v>26.796669999999999</v>
      </c>
      <c r="G543" s="1861">
        <v>2944.82</v>
      </c>
      <c r="I543">
        <v>0.74973999999999996</v>
      </c>
      <c r="J543">
        <v>1.0102</v>
      </c>
      <c r="K543">
        <v>1.1637999999999999</v>
      </c>
      <c r="L543">
        <v>1.3270999999999999</v>
      </c>
      <c r="M543">
        <v>9.1000000000000004E-3</v>
      </c>
      <c r="N543">
        <v>1</v>
      </c>
      <c r="P543">
        <v>1.3338000000000001</v>
      </c>
      <c r="Q543">
        <v>0.9899</v>
      </c>
      <c r="R543">
        <v>0.85924999999999996</v>
      </c>
      <c r="S543">
        <v>0.75351999999999997</v>
      </c>
      <c r="T543">
        <v>109.895</v>
      </c>
      <c r="U543">
        <v>1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</row>
    <row r="544" spans="1:35" s="1857" customFormat="1" hidden="1" outlineLevel="1">
      <c r="A544" s="8">
        <v>43274</v>
      </c>
      <c r="B544" s="1860">
        <v>2187.8992400000002</v>
      </c>
      <c r="C544" s="1860">
        <v>2947.9947499999998</v>
      </c>
      <c r="D544" s="1860">
        <v>3396.22444</v>
      </c>
      <c r="E544" s="1860">
        <v>3872.7697600000001</v>
      </c>
      <c r="F544">
        <v>26.55462</v>
      </c>
      <c r="G544" s="1861">
        <v>2918.22</v>
      </c>
      <c r="I544">
        <v>0.74973999999999996</v>
      </c>
      <c r="J544">
        <v>1.0102</v>
      </c>
      <c r="K544">
        <v>1.1637999999999999</v>
      </c>
      <c r="L544">
        <v>1.3270999999999999</v>
      </c>
      <c r="M544">
        <v>9.1000000000000004E-3</v>
      </c>
      <c r="N544">
        <v>1</v>
      </c>
      <c r="P544">
        <v>1.3338000000000001</v>
      </c>
      <c r="Q544">
        <v>0.9899</v>
      </c>
      <c r="R544">
        <v>0.85924999999999996</v>
      </c>
      <c r="S544">
        <v>0.75351999999999997</v>
      </c>
      <c r="T544">
        <v>109.895</v>
      </c>
      <c r="U544">
        <v>1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</row>
    <row r="545" spans="1:35" s="1857" customFormat="1" hidden="1" outlineLevel="1">
      <c r="A545" s="8">
        <v>43275</v>
      </c>
      <c r="B545" s="1860">
        <v>2187.8992400000002</v>
      </c>
      <c r="C545" s="1860">
        <v>2947.9947499999998</v>
      </c>
      <c r="D545" s="1860">
        <v>3396.22444</v>
      </c>
      <c r="E545" s="1860">
        <v>3872.7697600000001</v>
      </c>
      <c r="F545">
        <v>26.55462</v>
      </c>
      <c r="G545" s="1861">
        <v>2918.22</v>
      </c>
      <c r="I545">
        <v>0.74973999999999996</v>
      </c>
      <c r="J545">
        <v>1.0102</v>
      </c>
      <c r="K545">
        <v>1.1637999999999999</v>
      </c>
      <c r="L545">
        <v>1.3270999999999999</v>
      </c>
      <c r="M545">
        <v>9.1000000000000004E-3</v>
      </c>
      <c r="N545">
        <v>1</v>
      </c>
      <c r="P545">
        <v>1.3338000000000001</v>
      </c>
      <c r="Q545">
        <v>0.9899</v>
      </c>
      <c r="R545">
        <v>0.85924999999999996</v>
      </c>
      <c r="S545">
        <v>0.75351999999999997</v>
      </c>
      <c r="T545">
        <v>109.895</v>
      </c>
      <c r="U545">
        <v>1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</row>
    <row r="546" spans="1:35" s="1857" customFormat="1" hidden="1" outlineLevel="1">
      <c r="A546" s="8">
        <v>43276</v>
      </c>
      <c r="B546" s="1860">
        <v>2193.32582</v>
      </c>
      <c r="C546" s="1860">
        <v>2952.7673799999998</v>
      </c>
      <c r="D546" s="1860">
        <v>3410.23189</v>
      </c>
      <c r="E546" s="1860">
        <v>3871.4565600000001</v>
      </c>
      <c r="F546">
        <v>26.605460000000001</v>
      </c>
      <c r="G546" s="1861">
        <v>2918.22</v>
      </c>
      <c r="I546">
        <v>0.75160000000000005</v>
      </c>
      <c r="J546">
        <v>1.0118400000000001</v>
      </c>
      <c r="K546">
        <v>1.1686000000000001</v>
      </c>
      <c r="L546">
        <v>1.3266500000000001</v>
      </c>
      <c r="M546">
        <v>9.1199999999999996E-3</v>
      </c>
      <c r="N546">
        <v>1</v>
      </c>
      <c r="P546">
        <v>1.3305</v>
      </c>
      <c r="Q546">
        <v>0.98829999999999996</v>
      </c>
      <c r="R546">
        <v>0.85572000000000004</v>
      </c>
      <c r="S546">
        <v>0.75378000000000001</v>
      </c>
      <c r="T546">
        <v>109.685</v>
      </c>
      <c r="U546">
        <v>1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</row>
    <row r="547" spans="1:35" hidden="1" outlineLevel="1">
      <c r="A547" s="8">
        <v>43277</v>
      </c>
      <c r="B547" s="1860">
        <v>2199.4365600000001</v>
      </c>
      <c r="C547" s="1860">
        <v>2956.4958299999998</v>
      </c>
      <c r="D547" s="1860">
        <v>3415.2734399999999</v>
      </c>
      <c r="E547" s="1860">
        <v>3874.1857100000002</v>
      </c>
      <c r="F547">
        <v>26.643039999999999</v>
      </c>
      <c r="G547" s="1861">
        <v>2927.67</v>
      </c>
      <c r="I547">
        <v>0.75126000000000004</v>
      </c>
      <c r="J547">
        <v>1.0098499999999999</v>
      </c>
      <c r="K547">
        <v>1.16655</v>
      </c>
      <c r="L547">
        <v>1.3232999999999999</v>
      </c>
      <c r="M547">
        <v>9.1000000000000004E-3</v>
      </c>
      <c r="N547">
        <v>1</v>
      </c>
      <c r="P547">
        <v>1.3310999999999999</v>
      </c>
      <c r="Q547">
        <v>0.99024999999999996</v>
      </c>
      <c r="R547">
        <v>0.85723000000000005</v>
      </c>
      <c r="S547">
        <v>0.75568999999999997</v>
      </c>
      <c r="T547">
        <v>109.88500000000001</v>
      </c>
      <c r="U547">
        <v>1</v>
      </c>
    </row>
    <row r="548" spans="1:35" hidden="1" outlineLevel="1">
      <c r="A548" s="8">
        <v>43278</v>
      </c>
      <c r="B548" s="1860">
        <v>2200.5568899999998</v>
      </c>
      <c r="C548" s="1860">
        <v>2938.4986399999998</v>
      </c>
      <c r="D548" s="1860">
        <v>3390.6401599999999</v>
      </c>
      <c r="E548" s="1860">
        <v>3844.4604800000002</v>
      </c>
      <c r="F548">
        <v>26.467230000000001</v>
      </c>
      <c r="G548" s="1861">
        <v>2924.1</v>
      </c>
      <c r="I548">
        <v>0.75256000000000001</v>
      </c>
      <c r="J548">
        <v>1.00492</v>
      </c>
      <c r="K548">
        <v>1.1595500000000001</v>
      </c>
      <c r="L548">
        <v>1.3147500000000001</v>
      </c>
      <c r="M548">
        <v>9.0500000000000008E-3</v>
      </c>
      <c r="N548">
        <v>1</v>
      </c>
      <c r="P548">
        <v>1.3288</v>
      </c>
      <c r="Q548">
        <v>0.99509999999999998</v>
      </c>
      <c r="R548">
        <v>0.86240000000000006</v>
      </c>
      <c r="S548">
        <v>0.76060000000000005</v>
      </c>
      <c r="T548">
        <v>110.48</v>
      </c>
      <c r="U548">
        <v>1</v>
      </c>
    </row>
    <row r="549" spans="1:35" hidden="1" outlineLevel="1">
      <c r="A549" s="8">
        <v>43279</v>
      </c>
      <c r="B549" s="1860">
        <v>2212.8553099999999</v>
      </c>
      <c r="C549" s="1860">
        <v>2940.9389200000001</v>
      </c>
      <c r="D549" s="1860">
        <v>3398.0387999999998</v>
      </c>
      <c r="E549" s="1860">
        <v>3842.6776599999998</v>
      </c>
      <c r="F549">
        <v>26.590350000000001</v>
      </c>
      <c r="G549" s="1861">
        <v>2934.91</v>
      </c>
      <c r="I549">
        <v>0.75397999999999998</v>
      </c>
      <c r="J549">
        <v>1.0020500000000001</v>
      </c>
      <c r="K549">
        <v>1.1577999999999999</v>
      </c>
      <c r="L549">
        <v>1.3092999999999999</v>
      </c>
      <c r="M549">
        <v>9.0600000000000003E-3</v>
      </c>
      <c r="N549">
        <v>1</v>
      </c>
      <c r="P549">
        <v>1.3263</v>
      </c>
      <c r="Q549">
        <v>0.99795</v>
      </c>
      <c r="R549">
        <v>0.86370999999999998</v>
      </c>
      <c r="S549">
        <v>0.76376999999999995</v>
      </c>
      <c r="T549">
        <v>110.375</v>
      </c>
      <c r="U549">
        <v>1</v>
      </c>
    </row>
    <row r="550" spans="1:35" hidden="1" outlineLevel="1">
      <c r="A550" s="8">
        <v>43280</v>
      </c>
      <c r="B550" s="1860">
        <v>2238.84602</v>
      </c>
      <c r="C550" s="1860">
        <v>2966.0003000000002</v>
      </c>
      <c r="D550" s="1860">
        <v>3438.5398300000002</v>
      </c>
      <c r="E550" s="1860">
        <v>3888.2550700000002</v>
      </c>
      <c r="F550">
        <v>26.588629999999998</v>
      </c>
      <c r="G550" s="1861">
        <v>2945.09</v>
      </c>
      <c r="I550">
        <v>0.76019999999999999</v>
      </c>
      <c r="J550">
        <v>1.0071000000000001</v>
      </c>
      <c r="K550">
        <v>1.1675500000000001</v>
      </c>
      <c r="L550">
        <v>1.3202499999999999</v>
      </c>
      <c r="M550">
        <v>9.0299999999999998E-3</v>
      </c>
      <c r="N550">
        <v>1</v>
      </c>
      <c r="P550">
        <v>1.31545</v>
      </c>
      <c r="Q550">
        <v>0.99295</v>
      </c>
      <c r="R550">
        <v>0.85648999999999997</v>
      </c>
      <c r="S550">
        <v>0.75743000000000005</v>
      </c>
      <c r="T550">
        <v>110.765</v>
      </c>
      <c r="U550">
        <v>1</v>
      </c>
    </row>
    <row r="551" spans="1:35" ht="15.75" hidden="1" outlineLevel="1" thickBot="1">
      <c r="A551" s="1868">
        <v>43281</v>
      </c>
      <c r="B551" s="1869">
        <v>2227.9828200000002</v>
      </c>
      <c r="C551" s="1869">
        <v>2951.6088399999999</v>
      </c>
      <c r="D551" s="1869">
        <v>3421.85554</v>
      </c>
      <c r="E551" s="1869">
        <v>3869.3887</v>
      </c>
      <c r="F551" s="1870">
        <v>26.459620000000001</v>
      </c>
      <c r="G551" s="1871">
        <v>2930.8</v>
      </c>
      <c r="H551" s="1872"/>
      <c r="I551" s="1870">
        <v>0.76019999999999999</v>
      </c>
      <c r="J551" s="1870">
        <v>1.0071000000000001</v>
      </c>
      <c r="K551" s="1870">
        <v>1.1675500000000001</v>
      </c>
      <c r="L551" s="1870">
        <v>1.3202499999999999</v>
      </c>
      <c r="M551" s="1870">
        <v>9.0299999999999998E-3</v>
      </c>
      <c r="N551" s="1870">
        <v>1</v>
      </c>
      <c r="O551" s="1872"/>
      <c r="P551" s="1870">
        <v>1.31545</v>
      </c>
      <c r="Q551" s="1870">
        <v>0.99295</v>
      </c>
      <c r="R551" s="1870">
        <v>0.85648999999999997</v>
      </c>
      <c r="S551" s="1870">
        <v>0.75743000000000005</v>
      </c>
      <c r="T551" s="1870">
        <v>110.765</v>
      </c>
      <c r="U551" s="1870">
        <v>1</v>
      </c>
      <c r="V551" s="1872"/>
    </row>
    <row r="552" spans="1:35" hidden="1" outlineLevel="1">
      <c r="A552" s="8">
        <v>43282</v>
      </c>
      <c r="B552" s="1860">
        <v>2227.9828200000002</v>
      </c>
      <c r="C552" s="1860">
        <v>2951.6088399999999</v>
      </c>
      <c r="D552" s="1860">
        <v>3421.85554</v>
      </c>
      <c r="E552" s="1860">
        <v>3869.3887</v>
      </c>
      <c r="F552">
        <v>26.459620000000001</v>
      </c>
      <c r="G552" s="1861">
        <v>2930.8</v>
      </c>
      <c r="I552">
        <v>0.76019999999999999</v>
      </c>
      <c r="J552">
        <v>1.0071000000000001</v>
      </c>
      <c r="K552">
        <v>1.1675500000000001</v>
      </c>
      <c r="L552">
        <v>1.3202499999999999</v>
      </c>
      <c r="M552">
        <v>9.0299999999999998E-3</v>
      </c>
      <c r="N552">
        <v>1</v>
      </c>
      <c r="P552">
        <v>1.31545</v>
      </c>
      <c r="Q552">
        <v>0.99295</v>
      </c>
      <c r="R552">
        <v>0.85648999999999997</v>
      </c>
      <c r="S552">
        <v>0.75743000000000005</v>
      </c>
      <c r="T552">
        <v>110.765</v>
      </c>
      <c r="U552">
        <v>1</v>
      </c>
    </row>
    <row r="553" spans="1:35" hidden="1" outlineLevel="1">
      <c r="A553" s="8">
        <v>43283</v>
      </c>
      <c r="B553" s="1860">
        <v>2220.9760500000002</v>
      </c>
      <c r="C553" s="1860">
        <v>2945.6756599999999</v>
      </c>
      <c r="D553" s="1860">
        <v>3401.6330200000002</v>
      </c>
      <c r="E553" s="1860">
        <v>3846.8215399999999</v>
      </c>
      <c r="F553">
        <v>26.462009999999999</v>
      </c>
      <c r="G553" s="1861">
        <v>2930.8</v>
      </c>
      <c r="I553">
        <v>0.75780999999999998</v>
      </c>
      <c r="J553">
        <v>1.00508</v>
      </c>
      <c r="K553">
        <v>1.16065</v>
      </c>
      <c r="L553">
        <v>1.3125500000000001</v>
      </c>
      <c r="M553">
        <v>9.0299999999999998E-3</v>
      </c>
      <c r="N553">
        <v>1</v>
      </c>
      <c r="P553">
        <v>1.3196000000000001</v>
      </c>
      <c r="Q553">
        <v>0.99495</v>
      </c>
      <c r="R553">
        <v>0.86158999999999997</v>
      </c>
      <c r="S553">
        <v>0.76188</v>
      </c>
      <c r="T553">
        <v>110.755</v>
      </c>
      <c r="U553">
        <v>1</v>
      </c>
    </row>
    <row r="554" spans="1:35" hidden="1" outlineLevel="1">
      <c r="A554" s="8">
        <v>43284</v>
      </c>
      <c r="B554" s="1860">
        <v>2225.8676999999998</v>
      </c>
      <c r="C554" s="1860">
        <v>2952.2034800000001</v>
      </c>
      <c r="D554" s="1860">
        <v>3414.2354599999999</v>
      </c>
      <c r="E554" s="1860">
        <v>3861.3290000000002</v>
      </c>
      <c r="F554">
        <v>26.491910000000001</v>
      </c>
      <c r="G554" s="1861">
        <v>2930.8</v>
      </c>
      <c r="I554">
        <v>0.75946999999999998</v>
      </c>
      <c r="J554">
        <v>1.0073000000000001</v>
      </c>
      <c r="K554">
        <v>1.1649499999999999</v>
      </c>
      <c r="L554">
        <v>1.3174999999999999</v>
      </c>
      <c r="M554">
        <v>9.0399999999999994E-3</v>
      </c>
      <c r="N554">
        <v>1</v>
      </c>
      <c r="P554">
        <v>1.3167</v>
      </c>
      <c r="Q554">
        <v>0.99275000000000002</v>
      </c>
      <c r="R554">
        <v>0.85841000000000001</v>
      </c>
      <c r="S554">
        <v>0.75900999999999996</v>
      </c>
      <c r="T554">
        <v>110.63</v>
      </c>
      <c r="U554">
        <v>1</v>
      </c>
    </row>
    <row r="555" spans="1:35" hidden="1" outlineLevel="1">
      <c r="A555" s="8">
        <v>43285</v>
      </c>
      <c r="B555" s="1860">
        <v>2212.04151</v>
      </c>
      <c r="C555" s="1860">
        <v>2930.1948499999999</v>
      </c>
      <c r="D555" s="1860">
        <v>3388.3515400000001</v>
      </c>
      <c r="E555" s="1860">
        <v>3843.8854299999998</v>
      </c>
      <c r="F555">
        <v>26.32377</v>
      </c>
      <c r="G555" s="1861">
        <v>2909.83</v>
      </c>
      <c r="I555">
        <v>0.76019999999999999</v>
      </c>
      <c r="J555">
        <v>1.0069999999999999</v>
      </c>
      <c r="K555">
        <v>1.16445</v>
      </c>
      <c r="L555">
        <v>1.321</v>
      </c>
      <c r="M555">
        <v>9.0500000000000008E-3</v>
      </c>
      <c r="N555">
        <v>1</v>
      </c>
      <c r="P555">
        <v>1.31545</v>
      </c>
      <c r="Q555">
        <v>0.99304999999999999</v>
      </c>
      <c r="R555">
        <v>0.85877000000000003</v>
      </c>
      <c r="S555">
        <v>0.75700000000000001</v>
      </c>
      <c r="T555">
        <v>110.54</v>
      </c>
      <c r="U555">
        <v>1</v>
      </c>
    </row>
    <row r="556" spans="1:35" hidden="1" outlineLevel="1">
      <c r="A556" s="8">
        <v>43286</v>
      </c>
      <c r="B556" s="1860">
        <v>2215.4941399999998</v>
      </c>
      <c r="C556" s="1860">
        <v>2933.29637</v>
      </c>
      <c r="D556" s="1860">
        <v>3405.3740499999999</v>
      </c>
      <c r="E556" s="1860">
        <v>3847.95919</v>
      </c>
      <c r="F556">
        <v>26.319009999999999</v>
      </c>
      <c r="G556" s="1861">
        <v>2909.83</v>
      </c>
      <c r="I556">
        <v>0.76137999999999995</v>
      </c>
      <c r="J556">
        <v>1.00806</v>
      </c>
      <c r="K556">
        <v>1.1702999999999999</v>
      </c>
      <c r="L556">
        <v>1.3224</v>
      </c>
      <c r="M556">
        <v>9.0399999999999994E-3</v>
      </c>
      <c r="N556">
        <v>1</v>
      </c>
      <c r="P556">
        <v>1.3133999999999999</v>
      </c>
      <c r="Q556">
        <v>0.99199999999999999</v>
      </c>
      <c r="R556">
        <v>0.85448000000000002</v>
      </c>
      <c r="S556">
        <v>0.75619999999999998</v>
      </c>
      <c r="T556">
        <v>110.56</v>
      </c>
      <c r="U556">
        <v>1</v>
      </c>
    </row>
    <row r="557" spans="1:35" hidden="1" outlineLevel="1">
      <c r="A557" s="8">
        <v>43287</v>
      </c>
      <c r="B557" s="1860">
        <v>2203.1992100000002</v>
      </c>
      <c r="C557" s="1860">
        <v>2917.1814199999999</v>
      </c>
      <c r="D557" s="1860">
        <v>3392.6619000000001</v>
      </c>
      <c r="E557" s="1860">
        <v>3830.3968</v>
      </c>
      <c r="F557">
        <v>26.1264</v>
      </c>
      <c r="G557" s="1861">
        <v>2885.53</v>
      </c>
      <c r="I557">
        <v>0.76353000000000004</v>
      </c>
      <c r="J557">
        <v>1.0109699999999999</v>
      </c>
      <c r="K557">
        <v>1.1757500000000001</v>
      </c>
      <c r="L557">
        <v>1.32745</v>
      </c>
      <c r="M557">
        <v>9.0500000000000008E-3</v>
      </c>
      <c r="N557">
        <v>1</v>
      </c>
      <c r="P557">
        <v>1.3097000000000001</v>
      </c>
      <c r="Q557">
        <v>0.98914999999999997</v>
      </c>
      <c r="R557">
        <v>0.85052000000000005</v>
      </c>
      <c r="S557">
        <v>0.75331999999999999</v>
      </c>
      <c r="T557">
        <v>110.44499999999999</v>
      </c>
      <c r="U557">
        <v>1</v>
      </c>
    </row>
    <row r="558" spans="1:35" hidden="1" outlineLevel="1">
      <c r="A558" s="8">
        <v>43288</v>
      </c>
      <c r="B558" s="1860">
        <v>2189.76865</v>
      </c>
      <c r="C558" s="1860">
        <v>2899.3984700000001</v>
      </c>
      <c r="D558" s="1860">
        <v>3371.9804600000002</v>
      </c>
      <c r="E558" s="1860">
        <v>3807.0469499999999</v>
      </c>
      <c r="F558">
        <v>25.967130000000001</v>
      </c>
      <c r="G558" s="1861">
        <v>2867.94</v>
      </c>
      <c r="I558">
        <v>0.76353000000000004</v>
      </c>
      <c r="J558">
        <v>1.0109699999999999</v>
      </c>
      <c r="K558">
        <v>1.1757500000000001</v>
      </c>
      <c r="L558">
        <v>1.32745</v>
      </c>
      <c r="M558">
        <v>9.0500000000000008E-3</v>
      </c>
      <c r="N558">
        <v>1</v>
      </c>
      <c r="P558">
        <v>1.3097000000000001</v>
      </c>
      <c r="Q558">
        <v>0.98914999999999997</v>
      </c>
      <c r="R558">
        <v>0.85052000000000005</v>
      </c>
      <c r="S558">
        <v>0.75331999999999999</v>
      </c>
      <c r="T558">
        <v>110.44499999999999</v>
      </c>
      <c r="U558">
        <v>1</v>
      </c>
    </row>
    <row r="559" spans="1:35" hidden="1" outlineLevel="1">
      <c r="A559" s="8">
        <v>43289</v>
      </c>
      <c r="B559" s="1860">
        <v>2189.76865</v>
      </c>
      <c r="C559" s="1860">
        <v>2899.3984700000001</v>
      </c>
      <c r="D559" s="1860">
        <v>3371.9804600000002</v>
      </c>
      <c r="E559" s="1860">
        <v>3807.0469499999999</v>
      </c>
      <c r="F559">
        <v>25.967130000000001</v>
      </c>
      <c r="G559" s="1861">
        <v>2867.94</v>
      </c>
      <c r="I559">
        <v>0.76353000000000004</v>
      </c>
      <c r="J559">
        <v>1.0109699999999999</v>
      </c>
      <c r="K559">
        <v>1.1757500000000001</v>
      </c>
      <c r="L559">
        <v>1.32745</v>
      </c>
      <c r="M559">
        <v>9.0500000000000008E-3</v>
      </c>
      <c r="N559">
        <v>1</v>
      </c>
      <c r="P559">
        <v>1.3097000000000001</v>
      </c>
      <c r="Q559">
        <v>0.98914999999999997</v>
      </c>
      <c r="R559">
        <v>0.85052000000000005</v>
      </c>
      <c r="S559">
        <v>0.75331999999999999</v>
      </c>
      <c r="T559">
        <v>110.44499999999999</v>
      </c>
      <c r="U559">
        <v>1</v>
      </c>
    </row>
    <row r="560" spans="1:35" hidden="1" outlineLevel="1">
      <c r="A560" s="8">
        <v>43290</v>
      </c>
      <c r="B560" s="1860">
        <v>2190.0194700000002</v>
      </c>
      <c r="C560" s="1860">
        <v>2895.4467399999999</v>
      </c>
      <c r="D560" s="1860">
        <v>3372.55404</v>
      </c>
      <c r="E560" s="1860">
        <v>3802.7450399999998</v>
      </c>
      <c r="F560">
        <v>25.902640000000002</v>
      </c>
      <c r="G560" s="1861">
        <v>2867.94</v>
      </c>
      <c r="I560">
        <v>0.76361999999999997</v>
      </c>
      <c r="J560">
        <v>1.00959</v>
      </c>
      <c r="K560">
        <v>1.1759500000000001</v>
      </c>
      <c r="L560">
        <v>1.32595</v>
      </c>
      <c r="M560">
        <v>9.0299999999999998E-3</v>
      </c>
      <c r="N560">
        <v>1</v>
      </c>
      <c r="P560">
        <v>1.30955</v>
      </c>
      <c r="Q560">
        <v>0.99050000000000005</v>
      </c>
      <c r="R560">
        <v>0.85038000000000002</v>
      </c>
      <c r="S560">
        <v>0.75417999999999996</v>
      </c>
      <c r="T560">
        <v>110.72</v>
      </c>
      <c r="U560">
        <v>1</v>
      </c>
    </row>
    <row r="561" spans="1:35" hidden="1" outlineLevel="1">
      <c r="A561" s="8">
        <v>43291</v>
      </c>
      <c r="B561" s="1860">
        <v>2195.3670900000002</v>
      </c>
      <c r="C561" s="1860">
        <v>2900.6695199999999</v>
      </c>
      <c r="D561" s="1860">
        <v>3376.7815300000002</v>
      </c>
      <c r="E561" s="1860">
        <v>3821.7658900000001</v>
      </c>
      <c r="F561">
        <v>25.89744</v>
      </c>
      <c r="G561" s="1861">
        <v>2881.09</v>
      </c>
      <c r="I561">
        <v>0.76198999999999995</v>
      </c>
      <c r="J561">
        <v>1.0067999999999999</v>
      </c>
      <c r="K561">
        <v>1.17205</v>
      </c>
      <c r="L561">
        <v>1.3265</v>
      </c>
      <c r="M561">
        <v>8.9899999999999997E-3</v>
      </c>
      <c r="N561">
        <v>1</v>
      </c>
      <c r="P561">
        <v>1.3123499999999999</v>
      </c>
      <c r="Q561">
        <v>0.99324999999999997</v>
      </c>
      <c r="R561">
        <v>0.85321000000000002</v>
      </c>
      <c r="S561">
        <v>0.75385999999999997</v>
      </c>
      <c r="T561">
        <v>111.25</v>
      </c>
      <c r="U561">
        <v>1</v>
      </c>
    </row>
    <row r="562" spans="1:35" hidden="1" outlineLevel="1">
      <c r="A562" s="8">
        <v>43292</v>
      </c>
      <c r="B562" s="1860">
        <v>2188.8296300000002</v>
      </c>
      <c r="C562" s="1860">
        <v>2893.0157599999998</v>
      </c>
      <c r="D562" s="1860">
        <v>3366.9978999999998</v>
      </c>
      <c r="E562" s="1860">
        <v>3805.64698</v>
      </c>
      <c r="F562">
        <v>25.81202</v>
      </c>
      <c r="G562" s="1861">
        <v>2872.62</v>
      </c>
      <c r="I562">
        <v>0.76195999999999997</v>
      </c>
      <c r="J562">
        <v>1.0071000000000001</v>
      </c>
      <c r="K562">
        <v>1.1720999999999999</v>
      </c>
      <c r="L562">
        <v>1.3248</v>
      </c>
      <c r="M562">
        <v>8.9899999999999997E-3</v>
      </c>
      <c r="N562">
        <v>1</v>
      </c>
      <c r="P562">
        <v>1.3124</v>
      </c>
      <c r="Q562">
        <v>0.99295</v>
      </c>
      <c r="R562">
        <v>0.85316999999999998</v>
      </c>
      <c r="S562">
        <v>0.75483</v>
      </c>
      <c r="T562">
        <v>111.29</v>
      </c>
      <c r="U562">
        <v>1</v>
      </c>
    </row>
    <row r="563" spans="1:35" s="1857" customFormat="1" hidden="1" outlineLevel="1">
      <c r="A563" s="8">
        <v>43293</v>
      </c>
      <c r="B563" s="1860">
        <v>2186.86409</v>
      </c>
      <c r="C563" s="1860">
        <v>2880.2440099999999</v>
      </c>
      <c r="D563" s="1860">
        <v>3365.2528499999999</v>
      </c>
      <c r="E563" s="1860">
        <v>3808.6442400000001</v>
      </c>
      <c r="F563">
        <v>25.620249999999999</v>
      </c>
      <c r="G563" s="1861">
        <v>2880.1</v>
      </c>
      <c r="I563">
        <v>0.75929999999999997</v>
      </c>
      <c r="J563">
        <v>1.0000500000000001</v>
      </c>
      <c r="K563">
        <v>1.16845</v>
      </c>
      <c r="L563">
        <v>1.3224</v>
      </c>
      <c r="M563">
        <v>8.8999999999999999E-3</v>
      </c>
      <c r="N563">
        <v>1</v>
      </c>
      <c r="P563">
        <v>1.3169999999999999</v>
      </c>
      <c r="Q563">
        <v>0.99995000000000001</v>
      </c>
      <c r="R563">
        <v>0.85582999999999998</v>
      </c>
      <c r="S563">
        <v>0.75619999999999998</v>
      </c>
      <c r="T563">
        <v>112.41500000000001</v>
      </c>
      <c r="U563">
        <v>1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 spans="1:35" s="1857" customFormat="1" hidden="1" outlineLevel="1">
      <c r="A564" s="8">
        <v>43294</v>
      </c>
      <c r="B564" s="1860">
        <v>2189.2361999999998</v>
      </c>
      <c r="C564" s="1860">
        <v>2872.1112199999998</v>
      </c>
      <c r="D564" s="1860">
        <v>3362.5968400000002</v>
      </c>
      <c r="E564" s="1860">
        <v>3804.5545999999999</v>
      </c>
      <c r="F564">
        <v>25.640750000000001</v>
      </c>
      <c r="G564" s="1861">
        <v>2882.02</v>
      </c>
      <c r="I564">
        <v>0.75961999999999996</v>
      </c>
      <c r="J564">
        <v>0.99656</v>
      </c>
      <c r="K564">
        <v>1.16675</v>
      </c>
      <c r="L564">
        <v>1.3201000000000001</v>
      </c>
      <c r="M564">
        <v>8.8999999999999999E-3</v>
      </c>
      <c r="N564">
        <v>1</v>
      </c>
      <c r="P564">
        <v>1.3164499999999999</v>
      </c>
      <c r="Q564">
        <v>1.00345</v>
      </c>
      <c r="R564">
        <v>0.85707999999999995</v>
      </c>
      <c r="S564">
        <v>0.75751999999999997</v>
      </c>
      <c r="T564">
        <v>112.4</v>
      </c>
      <c r="U564">
        <v>1</v>
      </c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 spans="1:35" s="1857" customFormat="1" hidden="1" outlineLevel="1">
      <c r="A565" s="8">
        <v>43295</v>
      </c>
      <c r="B565" s="1860">
        <v>2173.8007499999999</v>
      </c>
      <c r="C565" s="1860">
        <v>2851.8610800000001</v>
      </c>
      <c r="D565" s="1860">
        <v>3338.8884800000001</v>
      </c>
      <c r="E565" s="1860">
        <v>3777.7301699999998</v>
      </c>
      <c r="F565">
        <v>25.459959999999999</v>
      </c>
      <c r="G565" s="1861">
        <v>2861.7</v>
      </c>
      <c r="I565">
        <v>0.75961999999999996</v>
      </c>
      <c r="J565">
        <v>0.99656</v>
      </c>
      <c r="K565">
        <v>1.16675</v>
      </c>
      <c r="L565">
        <v>1.3201000000000001</v>
      </c>
      <c r="M565">
        <v>8.8999999999999999E-3</v>
      </c>
      <c r="N565">
        <v>1</v>
      </c>
      <c r="P565">
        <v>1.3164499999999999</v>
      </c>
      <c r="Q565">
        <v>1.00345</v>
      </c>
      <c r="R565">
        <v>0.85707999999999995</v>
      </c>
      <c r="S565">
        <v>0.75751999999999997</v>
      </c>
      <c r="T565">
        <v>112.4</v>
      </c>
      <c r="U565">
        <v>1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 spans="1:35" s="1857" customFormat="1" hidden="1" outlineLevel="1">
      <c r="A566" s="8">
        <v>43296</v>
      </c>
      <c r="B566" s="1860">
        <v>2173.8007499999999</v>
      </c>
      <c r="C566" s="1860">
        <v>2851.8610800000001</v>
      </c>
      <c r="D566" s="1860">
        <v>3338.8884800000001</v>
      </c>
      <c r="E566" s="1860">
        <v>3777.7301699999998</v>
      </c>
      <c r="F566">
        <v>25.459959999999999</v>
      </c>
      <c r="G566" s="1861">
        <v>2861.7</v>
      </c>
      <c r="I566">
        <v>0.75961999999999996</v>
      </c>
      <c r="J566">
        <v>0.99656</v>
      </c>
      <c r="K566">
        <v>1.16675</v>
      </c>
      <c r="L566">
        <v>1.3201000000000001</v>
      </c>
      <c r="M566">
        <v>8.8999999999999999E-3</v>
      </c>
      <c r="N566">
        <v>1</v>
      </c>
      <c r="P566">
        <v>1.3164499999999999</v>
      </c>
      <c r="Q566">
        <v>1.00345</v>
      </c>
      <c r="R566">
        <v>0.85707999999999995</v>
      </c>
      <c r="S566">
        <v>0.75751999999999997</v>
      </c>
      <c r="T566">
        <v>112.4</v>
      </c>
      <c r="U566">
        <v>1</v>
      </c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 spans="1:35" s="1857" customFormat="1" hidden="1" outlineLevel="1">
      <c r="A567" s="8">
        <v>43297</v>
      </c>
      <c r="B567" s="1860">
        <v>2179.8446100000001</v>
      </c>
      <c r="C567" s="1860">
        <v>2865.2815999999998</v>
      </c>
      <c r="D567" s="1860">
        <v>3350.3352799999998</v>
      </c>
      <c r="E567" s="1860">
        <v>3785.8860199999999</v>
      </c>
      <c r="F567">
        <v>25.462230000000002</v>
      </c>
      <c r="G567" s="1861">
        <v>2861.7</v>
      </c>
      <c r="I567">
        <v>0.76173000000000002</v>
      </c>
      <c r="J567">
        <v>1.00125</v>
      </c>
      <c r="K567">
        <v>1.17075</v>
      </c>
      <c r="L567">
        <v>1.3229500000000001</v>
      </c>
      <c r="M567">
        <v>8.8999999999999999E-3</v>
      </c>
      <c r="N567">
        <v>1</v>
      </c>
      <c r="P567">
        <v>1.3128</v>
      </c>
      <c r="Q567">
        <v>0.99875000000000003</v>
      </c>
      <c r="R567">
        <v>0.85414999999999996</v>
      </c>
      <c r="S567">
        <v>0.75588999999999995</v>
      </c>
      <c r="T567">
        <v>112.39</v>
      </c>
      <c r="U567">
        <v>1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 spans="1:35" s="1857" customFormat="1" hidden="1" outlineLevel="1">
      <c r="A568" s="8">
        <v>43298</v>
      </c>
      <c r="B568" s="1860">
        <v>2175.51469</v>
      </c>
      <c r="C568" s="1860">
        <v>2873.5576900000001</v>
      </c>
      <c r="D568" s="1860">
        <v>3351.8059699999999</v>
      </c>
      <c r="E568" s="1860">
        <v>3775.5513599999999</v>
      </c>
      <c r="F568">
        <v>25.42615</v>
      </c>
      <c r="G568" s="1861">
        <v>2868.96</v>
      </c>
      <c r="I568">
        <v>0.75829000000000002</v>
      </c>
      <c r="J568">
        <v>1.0016</v>
      </c>
      <c r="K568">
        <v>1.1682999999999999</v>
      </c>
      <c r="L568">
        <v>1.3160000000000001</v>
      </c>
      <c r="M568">
        <v>8.8599999999999998E-3</v>
      </c>
      <c r="N568">
        <v>1</v>
      </c>
      <c r="P568">
        <v>1.3187500000000001</v>
      </c>
      <c r="Q568">
        <v>0.99839999999999995</v>
      </c>
      <c r="R568">
        <v>0.85594000000000003</v>
      </c>
      <c r="S568">
        <v>0.75988</v>
      </c>
      <c r="T568">
        <v>112.83499999999999</v>
      </c>
      <c r="U568">
        <v>1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 spans="1:35" s="1857" customFormat="1" hidden="1" outlineLevel="1">
      <c r="A569" s="8">
        <v>43299</v>
      </c>
      <c r="B569" s="1860">
        <v>2177.2163399999999</v>
      </c>
      <c r="C569" s="1860">
        <v>2878.9997499999999</v>
      </c>
      <c r="D569" s="1860">
        <v>3351.0374900000002</v>
      </c>
      <c r="E569" s="1860">
        <v>3755.8675699999999</v>
      </c>
      <c r="F569">
        <v>25.520060000000001</v>
      </c>
      <c r="G569" s="1861">
        <v>2878.28</v>
      </c>
      <c r="I569">
        <v>0.75643000000000005</v>
      </c>
      <c r="J569">
        <v>1.0002500000000001</v>
      </c>
      <c r="K569">
        <v>1.16425</v>
      </c>
      <c r="L569">
        <v>1.3048999999999999</v>
      </c>
      <c r="M569">
        <v>8.8699999999999994E-3</v>
      </c>
      <c r="N569">
        <v>1</v>
      </c>
      <c r="P569">
        <v>1.3220000000000001</v>
      </c>
      <c r="Q569">
        <v>0.99975000000000003</v>
      </c>
      <c r="R569">
        <v>0.85892000000000002</v>
      </c>
      <c r="S569">
        <v>0.76634000000000002</v>
      </c>
      <c r="T569">
        <v>112.785</v>
      </c>
      <c r="U569">
        <v>1</v>
      </c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 spans="1:35" s="1857" customFormat="1" hidden="1" outlineLevel="1">
      <c r="A570" s="8">
        <v>43300</v>
      </c>
      <c r="B570" s="1860">
        <v>2170.9402399999999</v>
      </c>
      <c r="C570" s="1860">
        <v>2873.0513799999999</v>
      </c>
      <c r="D570" s="1860">
        <v>3340.8349600000001</v>
      </c>
      <c r="E570" s="1860">
        <v>3740.58439</v>
      </c>
      <c r="F570">
        <v>25.482109999999999</v>
      </c>
      <c r="G570" s="1861">
        <v>2876.93</v>
      </c>
      <c r="I570">
        <v>0.75460000000000005</v>
      </c>
      <c r="J570">
        <v>0.99865000000000004</v>
      </c>
      <c r="K570">
        <v>1.1612499999999999</v>
      </c>
      <c r="L570">
        <v>1.3002</v>
      </c>
      <c r="M570">
        <v>8.8599999999999998E-3</v>
      </c>
      <c r="N570">
        <v>1</v>
      </c>
      <c r="P570">
        <v>1.3251999999999999</v>
      </c>
      <c r="Q570">
        <v>1.00135</v>
      </c>
      <c r="R570">
        <v>0.86114000000000002</v>
      </c>
      <c r="S570">
        <v>0.76910999999999996</v>
      </c>
      <c r="T570">
        <v>112.9</v>
      </c>
      <c r="U570">
        <v>1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 spans="1:35" s="1857" customFormat="1" hidden="1" outlineLevel="1">
      <c r="A571" s="8">
        <v>43301</v>
      </c>
      <c r="B571" s="1860">
        <v>2196.6864700000001</v>
      </c>
      <c r="C571" s="1860">
        <v>2898.0102499999998</v>
      </c>
      <c r="D571" s="1860">
        <v>3376.2205600000002</v>
      </c>
      <c r="E571" s="1860">
        <v>3778.0794799999999</v>
      </c>
      <c r="F571">
        <v>25.786290000000001</v>
      </c>
      <c r="G571" s="1861">
        <v>2883.81</v>
      </c>
      <c r="I571">
        <v>0.76173000000000002</v>
      </c>
      <c r="J571">
        <v>1.00492</v>
      </c>
      <c r="K571">
        <v>1.17075</v>
      </c>
      <c r="L571">
        <v>1.3101</v>
      </c>
      <c r="M571">
        <v>8.94E-3</v>
      </c>
      <c r="N571">
        <v>1</v>
      </c>
      <c r="P571">
        <v>1.3128</v>
      </c>
      <c r="Q571">
        <v>0.99509999999999998</v>
      </c>
      <c r="R571">
        <v>0.85414999999999996</v>
      </c>
      <c r="S571">
        <v>0.76329999999999998</v>
      </c>
      <c r="T571">
        <v>111.83499999999999</v>
      </c>
      <c r="U571">
        <v>1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 spans="1:35" s="1857" customFormat="1" hidden="1" outlineLevel="1">
      <c r="A572" s="8">
        <v>43302</v>
      </c>
      <c r="B572" s="1860">
        <v>2196.6864700000001</v>
      </c>
      <c r="C572" s="1860">
        <v>2898.0102499999998</v>
      </c>
      <c r="D572" s="1860">
        <v>3376.2205600000002</v>
      </c>
      <c r="E572" s="1860">
        <v>3778.0794799999999</v>
      </c>
      <c r="F572">
        <v>25.786290000000001</v>
      </c>
      <c r="G572" s="1861">
        <v>2883.81</v>
      </c>
      <c r="I572">
        <v>0.76173000000000002</v>
      </c>
      <c r="J572">
        <v>1.00492</v>
      </c>
      <c r="K572">
        <v>1.17075</v>
      </c>
      <c r="L572">
        <v>1.3101</v>
      </c>
      <c r="M572">
        <v>8.94E-3</v>
      </c>
      <c r="N572">
        <v>1</v>
      </c>
      <c r="P572">
        <v>1.3128</v>
      </c>
      <c r="Q572">
        <v>0.99509999999999998</v>
      </c>
      <c r="R572">
        <v>0.85414999999999996</v>
      </c>
      <c r="S572">
        <v>0.76329999999999998</v>
      </c>
      <c r="T572">
        <v>111.83499999999999</v>
      </c>
      <c r="U572">
        <v>1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 spans="1:35" s="1857" customFormat="1" hidden="1" outlineLevel="1">
      <c r="A573" s="8">
        <v>43303</v>
      </c>
      <c r="B573" s="1860">
        <v>2196.6864700000001</v>
      </c>
      <c r="C573" s="1860">
        <v>2898.0102499999998</v>
      </c>
      <c r="D573" s="1860">
        <v>3376.2205600000002</v>
      </c>
      <c r="E573" s="1860">
        <v>3778.0794799999999</v>
      </c>
      <c r="F573">
        <v>25.786290000000001</v>
      </c>
      <c r="G573" s="1861">
        <v>2883.81</v>
      </c>
      <c r="I573">
        <v>0.76173000000000002</v>
      </c>
      <c r="J573">
        <v>1.00492</v>
      </c>
      <c r="K573">
        <v>1.17075</v>
      </c>
      <c r="L573">
        <v>1.3101</v>
      </c>
      <c r="M573">
        <v>8.94E-3</v>
      </c>
      <c r="N573">
        <v>1</v>
      </c>
      <c r="P573">
        <v>1.3128</v>
      </c>
      <c r="Q573">
        <v>0.99509999999999998</v>
      </c>
      <c r="R573">
        <v>0.85414999999999996</v>
      </c>
      <c r="S573">
        <v>0.76329999999999998</v>
      </c>
      <c r="T573">
        <v>111.83499999999999</v>
      </c>
      <c r="U573">
        <v>1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 spans="1:35" s="1857" customFormat="1" hidden="1" outlineLevel="1">
      <c r="A574" s="8">
        <v>43304</v>
      </c>
      <c r="B574" s="1860">
        <v>2194.1794100000002</v>
      </c>
      <c r="C574" s="1860">
        <v>2904.8703099999998</v>
      </c>
      <c r="D574" s="1860">
        <v>3375.3554100000001</v>
      </c>
      <c r="E574" s="1860">
        <v>3781.68424</v>
      </c>
      <c r="F574">
        <v>25.886980000000001</v>
      </c>
      <c r="G574" s="1861">
        <v>2883.81</v>
      </c>
      <c r="I574">
        <v>0.76085999999999998</v>
      </c>
      <c r="J574">
        <v>1.0073000000000001</v>
      </c>
      <c r="K574">
        <v>1.17045</v>
      </c>
      <c r="L574">
        <v>1.31135</v>
      </c>
      <c r="M574">
        <v>8.9800000000000001E-3</v>
      </c>
      <c r="N574">
        <v>1</v>
      </c>
      <c r="P574">
        <v>1.3143</v>
      </c>
      <c r="Q574">
        <v>0.99275000000000002</v>
      </c>
      <c r="R574">
        <v>0.85436999999999996</v>
      </c>
      <c r="S574">
        <v>0.76256999999999997</v>
      </c>
      <c r="T574">
        <v>111.4</v>
      </c>
      <c r="U574">
        <v>1</v>
      </c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 spans="1:35" s="1857" customFormat="1" hidden="1" outlineLevel="1">
      <c r="A575" s="8">
        <v>43305</v>
      </c>
      <c r="B575" s="1860">
        <v>2204.3512999999998</v>
      </c>
      <c r="C575" s="1860">
        <v>2916.9820800000002</v>
      </c>
      <c r="D575" s="1860">
        <v>3391.9378499999998</v>
      </c>
      <c r="E575" s="1860">
        <v>3811.23938</v>
      </c>
      <c r="F575">
        <v>26.081</v>
      </c>
      <c r="G575" s="1861">
        <v>2897.73</v>
      </c>
      <c r="I575">
        <v>0.76071999999999995</v>
      </c>
      <c r="J575">
        <v>1.00664</v>
      </c>
      <c r="K575">
        <v>1.17055</v>
      </c>
      <c r="L575">
        <v>1.31525</v>
      </c>
      <c r="M575">
        <v>8.9999999999999993E-3</v>
      </c>
      <c r="N575">
        <v>1</v>
      </c>
      <c r="P575">
        <v>1.3145500000000001</v>
      </c>
      <c r="Q575">
        <v>0.99339999999999995</v>
      </c>
      <c r="R575">
        <v>0.85429999999999995</v>
      </c>
      <c r="S575">
        <v>0.76031000000000004</v>
      </c>
      <c r="T575">
        <v>111.105</v>
      </c>
      <c r="U575">
        <v>1</v>
      </c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 spans="1:35" s="1857" customFormat="1" hidden="1" outlineLevel="1">
      <c r="A576" s="8">
        <v>43306</v>
      </c>
      <c r="B576" s="1860">
        <v>2208.6108399999998</v>
      </c>
      <c r="C576" s="1860">
        <v>2916.5886799999998</v>
      </c>
      <c r="D576" s="1860">
        <v>3383.4005499999998</v>
      </c>
      <c r="E576" s="1860">
        <v>3811.3434000000002</v>
      </c>
      <c r="F576">
        <v>26.124300000000002</v>
      </c>
      <c r="G576" s="1861">
        <v>2898.36</v>
      </c>
      <c r="I576">
        <v>0.76202000000000003</v>
      </c>
      <c r="J576">
        <v>1.0062899999999999</v>
      </c>
      <c r="K576">
        <v>1.1673500000000001</v>
      </c>
      <c r="L576">
        <v>1.3149999999999999</v>
      </c>
      <c r="M576">
        <v>9.0100000000000006E-3</v>
      </c>
      <c r="N576">
        <v>1</v>
      </c>
      <c r="P576">
        <v>1.3123</v>
      </c>
      <c r="Q576">
        <v>0.99375000000000002</v>
      </c>
      <c r="R576">
        <v>0.85663999999999996</v>
      </c>
      <c r="S576">
        <v>0.76046000000000002</v>
      </c>
      <c r="T576">
        <v>110.94499999999999</v>
      </c>
      <c r="U576">
        <v>1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 spans="1:35" s="1857" customFormat="1" hidden="1" outlineLevel="1">
      <c r="A577" s="8">
        <v>43307</v>
      </c>
      <c r="B577" s="1860">
        <v>2203.5007300000002</v>
      </c>
      <c r="C577" s="1860">
        <v>2901.55503</v>
      </c>
      <c r="D577" s="1860">
        <v>3361.2473</v>
      </c>
      <c r="E577" s="1860">
        <v>3790.9346</v>
      </c>
      <c r="F577">
        <v>25.9575</v>
      </c>
      <c r="G577" s="1861">
        <v>2882.84</v>
      </c>
      <c r="I577">
        <v>0.76434999999999997</v>
      </c>
      <c r="J577">
        <v>1.0064900000000001</v>
      </c>
      <c r="K577">
        <v>1.16595</v>
      </c>
      <c r="L577">
        <v>1.3149999999999999</v>
      </c>
      <c r="M577">
        <v>8.9999999999999993E-3</v>
      </c>
      <c r="N577">
        <v>1</v>
      </c>
      <c r="P577">
        <v>1.3083</v>
      </c>
      <c r="Q577">
        <v>0.99355000000000004</v>
      </c>
      <c r="R577">
        <v>0.85767000000000004</v>
      </c>
      <c r="S577">
        <v>0.76046000000000002</v>
      </c>
      <c r="T577">
        <v>111.06</v>
      </c>
      <c r="U577">
        <v>1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 spans="1:35" s="1857" customFormat="1" hidden="1" outlineLevel="1">
      <c r="A578" s="8">
        <v>43308</v>
      </c>
      <c r="B578" s="1860">
        <v>2209.7925100000002</v>
      </c>
      <c r="C578" s="1860">
        <v>2902.9016799999999</v>
      </c>
      <c r="D578" s="1860">
        <v>3363.1561999999999</v>
      </c>
      <c r="E578" s="1860">
        <v>3788.4392499999999</v>
      </c>
      <c r="F578">
        <v>26.007750000000001</v>
      </c>
      <c r="G578" s="1861">
        <v>2886.21</v>
      </c>
      <c r="I578">
        <v>0.76563999999999999</v>
      </c>
      <c r="J578">
        <v>1.0057799999999999</v>
      </c>
      <c r="K578">
        <v>1.1652499999999999</v>
      </c>
      <c r="L578">
        <v>1.3126</v>
      </c>
      <c r="M578">
        <v>9.0100000000000006E-3</v>
      </c>
      <c r="N578">
        <v>1</v>
      </c>
      <c r="P578">
        <v>1.3061</v>
      </c>
      <c r="Q578">
        <v>0.99424999999999997</v>
      </c>
      <c r="R578">
        <v>0.85818000000000005</v>
      </c>
      <c r="S578">
        <v>0.76185000000000003</v>
      </c>
      <c r="T578">
        <v>110.97499999999999</v>
      </c>
      <c r="U578">
        <v>1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 spans="1:35" hidden="1" outlineLevel="1">
      <c r="A579" s="8">
        <v>43309</v>
      </c>
      <c r="B579" s="1860">
        <v>2205.64275</v>
      </c>
      <c r="C579" s="1860">
        <v>2897.4503399999999</v>
      </c>
      <c r="D579" s="1860">
        <v>3356.8405499999999</v>
      </c>
      <c r="E579" s="1860">
        <v>3781.3249500000002</v>
      </c>
      <c r="F579">
        <v>25.958909999999999</v>
      </c>
      <c r="G579" s="1861">
        <v>2880.79</v>
      </c>
      <c r="I579">
        <v>0.76563999999999999</v>
      </c>
      <c r="J579">
        <v>1.0057799999999999</v>
      </c>
      <c r="K579">
        <v>1.1652499999999999</v>
      </c>
      <c r="L579">
        <v>1.3126</v>
      </c>
      <c r="M579">
        <v>9.0100000000000006E-3</v>
      </c>
      <c r="N579">
        <v>1</v>
      </c>
      <c r="P579">
        <v>1.3061</v>
      </c>
      <c r="Q579">
        <v>0.99424999999999997</v>
      </c>
      <c r="R579">
        <v>0.85818000000000005</v>
      </c>
      <c r="S579">
        <v>0.76185000000000003</v>
      </c>
      <c r="T579">
        <v>110.97499999999999</v>
      </c>
      <c r="U579">
        <v>1</v>
      </c>
    </row>
    <row r="580" spans="1:35" hidden="1" outlineLevel="1">
      <c r="A580" s="8">
        <v>43310</v>
      </c>
      <c r="B580" s="1860">
        <v>2205.64275</v>
      </c>
      <c r="C580" s="1860">
        <v>2897.4503399999999</v>
      </c>
      <c r="D580" s="1860">
        <v>3356.8405499999999</v>
      </c>
      <c r="E580" s="1860">
        <v>3781.3249500000002</v>
      </c>
      <c r="F580">
        <v>25.958909999999999</v>
      </c>
      <c r="G580" s="1861">
        <v>2880.79</v>
      </c>
      <c r="I580">
        <v>0.76563999999999999</v>
      </c>
      <c r="J580">
        <v>1.0057799999999999</v>
      </c>
      <c r="K580">
        <v>1.1652499999999999</v>
      </c>
      <c r="L580">
        <v>1.3126</v>
      </c>
      <c r="M580">
        <v>9.0100000000000006E-3</v>
      </c>
      <c r="N580">
        <v>1</v>
      </c>
      <c r="P580">
        <v>1.3061</v>
      </c>
      <c r="Q580">
        <v>0.99424999999999997</v>
      </c>
      <c r="R580">
        <v>0.85818000000000005</v>
      </c>
      <c r="S580">
        <v>0.76185000000000003</v>
      </c>
      <c r="T580">
        <v>110.97499999999999</v>
      </c>
      <c r="U580">
        <v>1</v>
      </c>
    </row>
    <row r="581" spans="1:35" hidden="1" outlineLevel="1">
      <c r="A581" s="8">
        <v>43311</v>
      </c>
      <c r="B581" s="1860">
        <v>2216.2480300000002</v>
      </c>
      <c r="C581" s="1860">
        <v>2913.42031</v>
      </c>
      <c r="D581" s="1860">
        <v>3373.8372100000001</v>
      </c>
      <c r="E581" s="1860">
        <v>3787.3746099999998</v>
      </c>
      <c r="F581">
        <v>25.958909999999999</v>
      </c>
      <c r="G581" s="1861">
        <v>2880.79</v>
      </c>
      <c r="I581">
        <v>0.76932</v>
      </c>
      <c r="J581">
        <v>1.0113300000000001</v>
      </c>
      <c r="K581">
        <v>1.1711499999999999</v>
      </c>
      <c r="L581">
        <v>1.3147</v>
      </c>
      <c r="M581">
        <v>9.0100000000000006E-3</v>
      </c>
      <c r="N581">
        <v>1</v>
      </c>
      <c r="P581">
        <v>1.2998499999999999</v>
      </c>
      <c r="Q581">
        <v>0.98880000000000001</v>
      </c>
      <c r="R581">
        <v>0.85385999999999995</v>
      </c>
      <c r="S581">
        <v>0.76063000000000003</v>
      </c>
      <c r="T581">
        <v>110.97499999999999</v>
      </c>
      <c r="U581">
        <v>1</v>
      </c>
    </row>
    <row r="582" spans="1:35" ht="15.75" hidden="1" outlineLevel="1" thickBot="1">
      <c r="A582" s="1868">
        <v>43312</v>
      </c>
      <c r="B582" s="1869">
        <v>2208.6943200000001</v>
      </c>
      <c r="C582" s="1869">
        <v>2904.7676799999999</v>
      </c>
      <c r="D582" s="1869">
        <v>3364.7361900000001</v>
      </c>
      <c r="E582" s="1869">
        <v>3772.2257100000002</v>
      </c>
      <c r="F582" s="1870">
        <v>25.689830000000001</v>
      </c>
      <c r="G582" s="1871">
        <v>2875.72</v>
      </c>
      <c r="H582" s="1872"/>
      <c r="I582" s="1870">
        <v>0.76805000000000001</v>
      </c>
      <c r="J582" s="1870">
        <v>1.0101</v>
      </c>
      <c r="K582" s="1870">
        <v>1.17005</v>
      </c>
      <c r="L582" s="1870">
        <v>1.31175</v>
      </c>
      <c r="M582" s="1870">
        <v>8.9300000000000004E-3</v>
      </c>
      <c r="N582" s="1870">
        <v>1</v>
      </c>
      <c r="O582" s="1872"/>
      <c r="P582" s="1870">
        <v>1.302</v>
      </c>
      <c r="Q582" s="1870">
        <v>0.99</v>
      </c>
      <c r="R582" s="1870">
        <v>0.85465999999999998</v>
      </c>
      <c r="S582" s="1870">
        <v>0.76234000000000002</v>
      </c>
      <c r="T582" s="1870">
        <v>111.94</v>
      </c>
      <c r="U582" s="1870">
        <v>1</v>
      </c>
      <c r="V582" s="1872"/>
    </row>
    <row r="583" spans="1:35" hidden="1" outlineLevel="1">
      <c r="A583" s="8">
        <v>43313</v>
      </c>
      <c r="B583" s="1860">
        <v>2223.8656500000002</v>
      </c>
      <c r="C583" s="1860">
        <v>2907.7357000000002</v>
      </c>
      <c r="D583" s="1860">
        <v>3369.6172999999999</v>
      </c>
      <c r="E583" s="1860">
        <v>3788.2033000000001</v>
      </c>
      <c r="F583">
        <v>25.780750000000001</v>
      </c>
      <c r="G583" s="1861">
        <v>2886.8</v>
      </c>
      <c r="I583">
        <v>0.77036000000000004</v>
      </c>
      <c r="J583">
        <v>1.00725</v>
      </c>
      <c r="K583">
        <v>1.1672499999999999</v>
      </c>
      <c r="L583">
        <v>1.3122499999999999</v>
      </c>
      <c r="M583">
        <v>8.9300000000000004E-3</v>
      </c>
      <c r="N583">
        <v>1</v>
      </c>
      <c r="P583">
        <v>1.2981</v>
      </c>
      <c r="Q583">
        <v>0.99280000000000002</v>
      </c>
      <c r="R583">
        <v>0.85670999999999997</v>
      </c>
      <c r="S583">
        <v>0.76205000000000001</v>
      </c>
      <c r="T583">
        <v>111.97499999999999</v>
      </c>
      <c r="U583">
        <v>1</v>
      </c>
    </row>
    <row r="584" spans="1:35" hidden="1" outlineLevel="1">
      <c r="A584" s="8">
        <v>43314</v>
      </c>
      <c r="B584" s="1860">
        <v>2222.5278499999999</v>
      </c>
      <c r="C584" s="1860">
        <v>2909.78775</v>
      </c>
      <c r="D584" s="1860">
        <v>3358.9103399999999</v>
      </c>
      <c r="E584" s="1860">
        <v>3769.6623800000002</v>
      </c>
      <c r="F584">
        <v>25.949760000000001</v>
      </c>
      <c r="G584" s="1861">
        <v>2892.62</v>
      </c>
      <c r="I584">
        <v>0.76834000000000002</v>
      </c>
      <c r="J584">
        <v>1.0059400000000001</v>
      </c>
      <c r="K584">
        <v>1.1612</v>
      </c>
      <c r="L584">
        <v>1.3031999999999999</v>
      </c>
      <c r="M584">
        <v>8.9700000000000005E-3</v>
      </c>
      <c r="N584">
        <v>1</v>
      </c>
      <c r="P584">
        <v>1.3015000000000001</v>
      </c>
      <c r="Q584">
        <v>0.99409999999999998</v>
      </c>
      <c r="R584">
        <v>0.86117999999999995</v>
      </c>
      <c r="S584">
        <v>0.76734000000000002</v>
      </c>
      <c r="T584">
        <v>111.47</v>
      </c>
      <c r="U584">
        <v>1</v>
      </c>
    </row>
    <row r="585" spans="1:35" hidden="1" outlineLevel="1">
      <c r="A585" s="8">
        <v>43315</v>
      </c>
      <c r="B585" s="1860">
        <v>2237.8091100000001</v>
      </c>
      <c r="C585" s="1860">
        <v>2925.2303499999998</v>
      </c>
      <c r="D585" s="1860">
        <v>3366.7791000000002</v>
      </c>
      <c r="E585" s="1860">
        <v>3781.5988200000002</v>
      </c>
      <c r="F585">
        <v>26.131430000000002</v>
      </c>
      <c r="G585" s="1861">
        <v>2904.9</v>
      </c>
      <c r="I585">
        <v>0.77036000000000004</v>
      </c>
      <c r="J585">
        <v>1.0069999999999999</v>
      </c>
      <c r="K585">
        <v>1.159</v>
      </c>
      <c r="L585">
        <v>1.3018000000000001</v>
      </c>
      <c r="M585">
        <v>8.9999999999999993E-3</v>
      </c>
      <c r="N585">
        <v>1</v>
      </c>
      <c r="P585">
        <v>1.2981</v>
      </c>
      <c r="Q585">
        <v>0.99304999999999999</v>
      </c>
      <c r="R585">
        <v>0.86280999999999997</v>
      </c>
      <c r="S585">
        <v>0.76817000000000002</v>
      </c>
      <c r="T585">
        <v>111.16500000000001</v>
      </c>
      <c r="U585">
        <v>1</v>
      </c>
    </row>
    <row r="586" spans="1:35" hidden="1" outlineLevel="1">
      <c r="A586" s="8">
        <v>43316</v>
      </c>
      <c r="B586" s="1860">
        <v>2233.2563</v>
      </c>
      <c r="C586" s="1860">
        <v>2919.2789899999998</v>
      </c>
      <c r="D586" s="1860">
        <v>3359.9294100000002</v>
      </c>
      <c r="E586" s="1860">
        <v>3773.9051800000002</v>
      </c>
      <c r="F586">
        <v>26.07826</v>
      </c>
      <c r="G586" s="1861">
        <v>2898.99</v>
      </c>
      <c r="I586">
        <v>0.77036000000000004</v>
      </c>
      <c r="J586">
        <v>1.0069999999999999</v>
      </c>
      <c r="K586">
        <v>1.159</v>
      </c>
      <c r="L586">
        <v>1.3018000000000001</v>
      </c>
      <c r="M586">
        <v>8.9999999999999993E-3</v>
      </c>
      <c r="N586">
        <v>1</v>
      </c>
      <c r="P586">
        <v>1.2981</v>
      </c>
      <c r="Q586">
        <v>0.99304999999999999</v>
      </c>
      <c r="R586">
        <v>0.86280999999999997</v>
      </c>
      <c r="S586">
        <v>0.76817000000000002</v>
      </c>
      <c r="T586">
        <v>111.16500000000001</v>
      </c>
      <c r="U586">
        <v>1</v>
      </c>
    </row>
    <row r="587" spans="1:35" hidden="1" outlineLevel="1">
      <c r="A587" s="8">
        <v>43317</v>
      </c>
      <c r="B587" s="1860">
        <v>2233.2563</v>
      </c>
      <c r="C587" s="1860">
        <v>2919.2789899999998</v>
      </c>
      <c r="D587" s="1860">
        <v>3359.9294100000002</v>
      </c>
      <c r="E587" s="1860">
        <v>3773.9051800000002</v>
      </c>
      <c r="F587">
        <v>26.07826</v>
      </c>
      <c r="G587" s="1861">
        <v>2898.99</v>
      </c>
      <c r="I587">
        <v>0.77036000000000004</v>
      </c>
      <c r="J587">
        <v>1.0069999999999999</v>
      </c>
      <c r="K587">
        <v>1.159</v>
      </c>
      <c r="L587">
        <v>1.3018000000000001</v>
      </c>
      <c r="M587">
        <v>8.9999999999999993E-3</v>
      </c>
      <c r="N587">
        <v>1</v>
      </c>
      <c r="P587">
        <v>1.2981</v>
      </c>
      <c r="Q587">
        <v>0.99304999999999999</v>
      </c>
      <c r="R587">
        <v>0.86280999999999997</v>
      </c>
      <c r="S587">
        <v>0.76817000000000002</v>
      </c>
      <c r="T587">
        <v>111.16500000000001</v>
      </c>
      <c r="U587">
        <v>1</v>
      </c>
    </row>
    <row r="588" spans="1:35" hidden="1" outlineLevel="1">
      <c r="A588" s="8">
        <v>43318</v>
      </c>
      <c r="B588" s="1860">
        <v>2229.5635499999999</v>
      </c>
      <c r="C588" s="1860">
        <v>2908.8801899999999</v>
      </c>
      <c r="D588" s="1860">
        <v>3350.6526399999998</v>
      </c>
      <c r="E588" s="1860">
        <v>3751.1481100000001</v>
      </c>
      <c r="F588">
        <v>26.012740000000001</v>
      </c>
      <c r="G588" s="1861">
        <v>2898.99</v>
      </c>
      <c r="I588">
        <v>0.76907999999999999</v>
      </c>
      <c r="J588">
        <v>1.0034099999999999</v>
      </c>
      <c r="K588">
        <v>1.1557999999999999</v>
      </c>
      <c r="L588">
        <v>1.2939499999999999</v>
      </c>
      <c r="M588">
        <v>8.9700000000000005E-3</v>
      </c>
      <c r="N588">
        <v>1</v>
      </c>
      <c r="P588">
        <v>1.3002499999999999</v>
      </c>
      <c r="Q588">
        <v>0.99660000000000004</v>
      </c>
      <c r="R588">
        <v>0.86519999999999997</v>
      </c>
      <c r="S588">
        <v>0.77283000000000002</v>
      </c>
      <c r="T588">
        <v>111.44499999999999</v>
      </c>
      <c r="U588">
        <v>1</v>
      </c>
    </row>
    <row r="589" spans="1:35" hidden="1" outlineLevel="1">
      <c r="A589" s="8">
        <v>43319</v>
      </c>
      <c r="B589" s="1860">
        <v>2226.2105000000001</v>
      </c>
      <c r="C589" s="1860">
        <v>2913.5735500000001</v>
      </c>
      <c r="D589" s="1860">
        <v>3360.35851</v>
      </c>
      <c r="E589" s="1860">
        <v>3755.0383000000002</v>
      </c>
      <c r="F589">
        <v>26.0642</v>
      </c>
      <c r="G589" s="1861">
        <v>2898.86</v>
      </c>
      <c r="I589">
        <v>0.76795999999999998</v>
      </c>
      <c r="J589">
        <v>1.00508</v>
      </c>
      <c r="K589">
        <v>1.1592</v>
      </c>
      <c r="L589">
        <v>1.29535</v>
      </c>
      <c r="M589">
        <v>8.9899999999999997E-3</v>
      </c>
      <c r="N589">
        <v>1</v>
      </c>
      <c r="P589">
        <v>1.3021499999999999</v>
      </c>
      <c r="Q589">
        <v>0.99495</v>
      </c>
      <c r="R589">
        <v>0.86265999999999998</v>
      </c>
      <c r="S589">
        <v>0.77198999999999995</v>
      </c>
      <c r="T589">
        <v>111.22</v>
      </c>
      <c r="U589">
        <v>1</v>
      </c>
    </row>
    <row r="590" spans="1:35" hidden="1" outlineLevel="1">
      <c r="A590" s="8">
        <v>43320</v>
      </c>
      <c r="B590" s="1860">
        <v>2219.6477799999998</v>
      </c>
      <c r="C590" s="1860">
        <v>2915.1850399999998</v>
      </c>
      <c r="D590" s="1860">
        <v>3363.6922</v>
      </c>
      <c r="E590" s="1860">
        <v>3734.4564</v>
      </c>
      <c r="F590">
        <v>26.126449999999998</v>
      </c>
      <c r="G590" s="1861">
        <v>2898.86</v>
      </c>
      <c r="I590">
        <v>0.76570000000000005</v>
      </c>
      <c r="J590">
        <v>1.00563</v>
      </c>
      <c r="K590">
        <v>1.16035</v>
      </c>
      <c r="L590">
        <v>1.2882499999999999</v>
      </c>
      <c r="M590">
        <v>9.0100000000000006E-3</v>
      </c>
      <c r="N590">
        <v>1</v>
      </c>
      <c r="P590">
        <v>1.306</v>
      </c>
      <c r="Q590">
        <v>0.99439999999999995</v>
      </c>
      <c r="R590">
        <v>0.86180999999999996</v>
      </c>
      <c r="S590">
        <v>0.77625</v>
      </c>
      <c r="T590">
        <v>110.955</v>
      </c>
      <c r="U590">
        <v>1</v>
      </c>
    </row>
    <row r="591" spans="1:35" hidden="1" outlineLevel="1">
      <c r="A591" s="8">
        <v>43321</v>
      </c>
      <c r="B591" s="1860">
        <v>2231.17929</v>
      </c>
      <c r="C591" s="1860">
        <v>2935.16977</v>
      </c>
      <c r="D591" s="1860">
        <v>3366.3245299999999</v>
      </c>
      <c r="E591" s="1860">
        <v>3743.3179700000001</v>
      </c>
      <c r="F591">
        <v>26.226389999999999</v>
      </c>
      <c r="G591" s="1861">
        <v>2908.9</v>
      </c>
      <c r="I591">
        <v>0.76702000000000004</v>
      </c>
      <c r="J591">
        <v>1.0090300000000001</v>
      </c>
      <c r="K591">
        <v>1.1572499999999999</v>
      </c>
      <c r="L591">
        <v>1.28685</v>
      </c>
      <c r="M591">
        <v>9.0200000000000002E-3</v>
      </c>
      <c r="N591">
        <v>1</v>
      </c>
      <c r="P591">
        <v>1.30375</v>
      </c>
      <c r="Q591">
        <v>0.99104999999999999</v>
      </c>
      <c r="R591">
        <v>0.86412</v>
      </c>
      <c r="S591">
        <v>0.77708999999999995</v>
      </c>
      <c r="T591">
        <v>110.91500000000001</v>
      </c>
      <c r="U591">
        <v>1</v>
      </c>
    </row>
    <row r="592" spans="1:35" hidden="1" outlineLevel="1">
      <c r="A592" s="8">
        <v>43322</v>
      </c>
      <c r="B592" s="1860">
        <v>2231.1348899999998</v>
      </c>
      <c r="C592" s="1860">
        <v>2938.6884100000002</v>
      </c>
      <c r="D592" s="1860">
        <v>3337.6497800000002</v>
      </c>
      <c r="E592" s="1860">
        <v>3729.4386300000001</v>
      </c>
      <c r="F592">
        <v>26.368970000000001</v>
      </c>
      <c r="G592" s="1861">
        <v>2919.44</v>
      </c>
      <c r="I592">
        <v>0.76422999999999996</v>
      </c>
      <c r="J592">
        <v>1.0065900000000001</v>
      </c>
      <c r="K592">
        <v>1.1432500000000001</v>
      </c>
      <c r="L592">
        <v>1.27745</v>
      </c>
      <c r="M592">
        <v>9.0299999999999998E-3</v>
      </c>
      <c r="N592">
        <v>1</v>
      </c>
      <c r="P592">
        <v>1.3085</v>
      </c>
      <c r="Q592">
        <v>0.99345000000000006</v>
      </c>
      <c r="R592">
        <v>0.87470000000000003</v>
      </c>
      <c r="S592">
        <v>0.78281000000000001</v>
      </c>
      <c r="T592">
        <v>110.715</v>
      </c>
      <c r="U592">
        <v>1</v>
      </c>
    </row>
    <row r="593" spans="1:35" hidden="1" outlineLevel="1">
      <c r="A593" s="8">
        <v>43323</v>
      </c>
      <c r="B593" s="1860">
        <v>2247.5735599999998</v>
      </c>
      <c r="C593" s="1860">
        <v>2960.3402299999998</v>
      </c>
      <c r="D593" s="1860">
        <v>3362.24109</v>
      </c>
      <c r="E593" s="1860">
        <v>3756.9165800000001</v>
      </c>
      <c r="F593">
        <v>26.56325</v>
      </c>
      <c r="G593" s="1861">
        <v>2940.95</v>
      </c>
      <c r="I593">
        <v>0.76422999999999996</v>
      </c>
      <c r="J593">
        <v>1.0065900000000001</v>
      </c>
      <c r="K593">
        <v>1.1432500000000001</v>
      </c>
      <c r="L593">
        <v>1.27745</v>
      </c>
      <c r="M593">
        <v>9.0299999999999998E-3</v>
      </c>
      <c r="N593">
        <v>1</v>
      </c>
      <c r="P593">
        <v>1.3085</v>
      </c>
      <c r="Q593">
        <v>0.99345000000000006</v>
      </c>
      <c r="R593">
        <v>0.87470000000000003</v>
      </c>
      <c r="S593">
        <v>0.78281000000000001</v>
      </c>
      <c r="T593">
        <v>110.715</v>
      </c>
      <c r="U593">
        <v>1</v>
      </c>
    </row>
    <row r="594" spans="1:35" hidden="1" outlineLevel="1">
      <c r="A594" s="8">
        <v>43324</v>
      </c>
      <c r="B594" s="1860">
        <v>2247.5735599999998</v>
      </c>
      <c r="C594" s="1860">
        <v>2960.3402299999998</v>
      </c>
      <c r="D594" s="1860">
        <v>3362.24109</v>
      </c>
      <c r="E594" s="1860">
        <v>3756.9165800000001</v>
      </c>
      <c r="F594">
        <v>26.56325</v>
      </c>
      <c r="G594" s="1861">
        <v>2940.95</v>
      </c>
      <c r="I594">
        <v>0.76422999999999996</v>
      </c>
      <c r="J594">
        <v>1.0065900000000001</v>
      </c>
      <c r="K594">
        <v>1.1432500000000001</v>
      </c>
      <c r="L594">
        <v>1.27745</v>
      </c>
      <c r="M594">
        <v>9.0299999999999998E-3</v>
      </c>
      <c r="N594">
        <v>1</v>
      </c>
      <c r="P594">
        <v>1.3085</v>
      </c>
      <c r="Q594">
        <v>0.99345000000000006</v>
      </c>
      <c r="R594">
        <v>0.87470000000000003</v>
      </c>
      <c r="S594">
        <v>0.78281000000000001</v>
      </c>
      <c r="T594">
        <v>110.715</v>
      </c>
      <c r="U594">
        <v>1</v>
      </c>
    </row>
    <row r="595" spans="1:35" s="1857" customFormat="1" hidden="1" outlineLevel="1">
      <c r="A595" s="8">
        <v>43325</v>
      </c>
      <c r="B595" s="1860">
        <v>2243.3731299999999</v>
      </c>
      <c r="C595" s="1860">
        <v>2959.29765</v>
      </c>
      <c r="D595" s="1860">
        <v>3357.38852</v>
      </c>
      <c r="E595" s="1860">
        <v>3757.35772</v>
      </c>
      <c r="F595">
        <v>26.553650000000001</v>
      </c>
      <c r="G595" s="1861">
        <v>2940.95</v>
      </c>
      <c r="I595">
        <v>0.76280999999999999</v>
      </c>
      <c r="J595">
        <v>1.00624</v>
      </c>
      <c r="K595">
        <v>1.1415999999999999</v>
      </c>
      <c r="L595">
        <v>1.2776000000000001</v>
      </c>
      <c r="M595">
        <v>9.0299999999999998E-3</v>
      </c>
      <c r="N595">
        <v>1</v>
      </c>
      <c r="P595">
        <v>1.3109500000000001</v>
      </c>
      <c r="Q595">
        <v>0.99380000000000002</v>
      </c>
      <c r="R595">
        <v>0.87595999999999996</v>
      </c>
      <c r="S595">
        <v>0.78271999999999997</v>
      </c>
      <c r="T595">
        <v>110.755</v>
      </c>
      <c r="U595">
        <v>1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 spans="1:35" s="1857" customFormat="1" hidden="1" outlineLevel="1">
      <c r="A596" s="8">
        <v>43326</v>
      </c>
      <c r="B596" s="1860">
        <v>2280.50747</v>
      </c>
      <c r="C596" s="1860">
        <v>3005.5700999999999</v>
      </c>
      <c r="D596" s="1860">
        <v>3393.4743899999999</v>
      </c>
      <c r="E596" s="1860">
        <v>3805.10754</v>
      </c>
      <c r="F596">
        <v>26.911349999999999</v>
      </c>
      <c r="G596" s="1861">
        <v>2983.93</v>
      </c>
      <c r="I596">
        <v>0.76426000000000005</v>
      </c>
      <c r="J596">
        <v>1.00725</v>
      </c>
      <c r="K596">
        <v>1.1372500000000001</v>
      </c>
      <c r="L596">
        <v>1.2751999999999999</v>
      </c>
      <c r="M596">
        <v>9.0200000000000002E-3</v>
      </c>
      <c r="N596">
        <v>1</v>
      </c>
      <c r="P596">
        <v>1.3084499999999999</v>
      </c>
      <c r="Q596">
        <v>0.99280000000000002</v>
      </c>
      <c r="R596">
        <v>0.87931000000000004</v>
      </c>
      <c r="S596">
        <v>0.78419000000000005</v>
      </c>
      <c r="T596">
        <v>110.88</v>
      </c>
      <c r="U596">
        <v>1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 spans="1:35" s="1857" customFormat="1" hidden="1" outlineLevel="1">
      <c r="A597" s="8">
        <v>43327</v>
      </c>
      <c r="B597" s="1860">
        <v>2280.1837700000001</v>
      </c>
      <c r="C597" s="1860">
        <v>3020.3289199999999</v>
      </c>
      <c r="D597" s="1860">
        <v>3396.7591299999999</v>
      </c>
      <c r="E597" s="1860">
        <v>3804.0699500000001</v>
      </c>
      <c r="F597">
        <v>27.181999999999999</v>
      </c>
      <c r="G597" s="1861">
        <v>3002.66</v>
      </c>
      <c r="I597">
        <v>0.75939000000000001</v>
      </c>
      <c r="J597">
        <v>1.0058800000000001</v>
      </c>
      <c r="K597">
        <v>1.1312500000000001</v>
      </c>
      <c r="L597">
        <v>1.2668999999999999</v>
      </c>
      <c r="M597">
        <v>9.0500000000000008E-3</v>
      </c>
      <c r="N597">
        <v>1</v>
      </c>
      <c r="P597">
        <v>1.3168500000000001</v>
      </c>
      <c r="Q597">
        <v>0.99414999999999998</v>
      </c>
      <c r="R597">
        <v>0.88397999999999999</v>
      </c>
      <c r="S597">
        <v>0.78932999999999998</v>
      </c>
      <c r="T597">
        <v>110.465</v>
      </c>
      <c r="U597">
        <v>1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 spans="1:35" s="1857" customFormat="1" hidden="1" outlineLevel="1">
      <c r="A598" s="8">
        <v>43328</v>
      </c>
      <c r="B598" s="1860">
        <v>2317.8090499999998</v>
      </c>
      <c r="C598" s="1860">
        <v>3063.1478400000001</v>
      </c>
      <c r="D598" s="1860">
        <v>3470.7166499999998</v>
      </c>
      <c r="E598" s="1860">
        <v>3877.0021000000002</v>
      </c>
      <c r="F598">
        <v>27.511489999999998</v>
      </c>
      <c r="G598" s="1861">
        <v>3046.76</v>
      </c>
      <c r="I598">
        <v>0.76075000000000004</v>
      </c>
      <c r="J598">
        <v>1.0053799999999999</v>
      </c>
      <c r="K598">
        <v>1.1391500000000001</v>
      </c>
      <c r="L598">
        <v>1.2725</v>
      </c>
      <c r="M598">
        <v>9.0299999999999998E-3</v>
      </c>
      <c r="N598">
        <v>1</v>
      </c>
      <c r="P598">
        <v>1.3145</v>
      </c>
      <c r="Q598">
        <v>0.99465000000000003</v>
      </c>
      <c r="R598">
        <v>0.87785000000000002</v>
      </c>
      <c r="S598">
        <v>0.78585000000000005</v>
      </c>
      <c r="T598">
        <v>110.745</v>
      </c>
      <c r="U598">
        <v>1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 spans="1:35" s="1857" customFormat="1" hidden="1" outlineLevel="1">
      <c r="A599" s="8">
        <v>43329</v>
      </c>
      <c r="B599" s="1860">
        <v>2307.5541600000001</v>
      </c>
      <c r="C599" s="1860">
        <v>3034.11375</v>
      </c>
      <c r="D599" s="1860">
        <v>3445.0046000000002</v>
      </c>
      <c r="E599" s="1860">
        <v>3846.7557200000001</v>
      </c>
      <c r="F599">
        <v>27.33738</v>
      </c>
      <c r="G599" s="1861">
        <v>3019.55</v>
      </c>
      <c r="I599">
        <v>0.76419999999999999</v>
      </c>
      <c r="J599">
        <v>1.00482</v>
      </c>
      <c r="K599">
        <v>1.1409</v>
      </c>
      <c r="L599">
        <v>1.2739499999999999</v>
      </c>
      <c r="M599">
        <v>9.0500000000000008E-3</v>
      </c>
      <c r="N599">
        <v>1</v>
      </c>
      <c r="P599">
        <v>1.3085500000000001</v>
      </c>
      <c r="Q599">
        <v>0.99519999999999997</v>
      </c>
      <c r="R599">
        <v>0.87649999999999995</v>
      </c>
      <c r="S599">
        <v>0.78495999999999999</v>
      </c>
      <c r="T599">
        <v>110.455</v>
      </c>
      <c r="U599">
        <v>1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 spans="1:35" s="1857" customFormat="1" hidden="1" outlineLevel="1">
      <c r="A600" s="8">
        <v>43330</v>
      </c>
      <c r="B600" s="1860">
        <v>2310.9701599999999</v>
      </c>
      <c r="C600" s="1860">
        <v>3038.6053099999999</v>
      </c>
      <c r="D600" s="1860">
        <v>3450.1044200000001</v>
      </c>
      <c r="E600" s="1860">
        <v>3852.45028</v>
      </c>
      <c r="F600">
        <v>27.377849999999999</v>
      </c>
      <c r="G600" s="1861">
        <v>3024.02</v>
      </c>
      <c r="I600">
        <v>0.76419999999999999</v>
      </c>
      <c r="J600">
        <v>1.00482</v>
      </c>
      <c r="K600">
        <v>1.1409</v>
      </c>
      <c r="L600">
        <v>1.2739499999999999</v>
      </c>
      <c r="M600">
        <v>9.0500000000000008E-3</v>
      </c>
      <c r="N600">
        <v>1</v>
      </c>
      <c r="P600">
        <v>1.3085500000000001</v>
      </c>
      <c r="Q600">
        <v>0.99519999999999997</v>
      </c>
      <c r="R600">
        <v>0.87649999999999995</v>
      </c>
      <c r="S600">
        <v>0.78495999999999999</v>
      </c>
      <c r="T600">
        <v>110.455</v>
      </c>
      <c r="U600">
        <v>1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 spans="1:35" s="1857" customFormat="1" hidden="1" outlineLevel="1">
      <c r="A601" s="8">
        <v>43331</v>
      </c>
      <c r="B601" s="1860">
        <v>2310.9701599999999</v>
      </c>
      <c r="C601" s="1860">
        <v>3038.6053099999999</v>
      </c>
      <c r="D601" s="1860">
        <v>3450.1044200000001</v>
      </c>
      <c r="E601" s="1860">
        <v>3852.45028</v>
      </c>
      <c r="F601">
        <v>27.377849999999999</v>
      </c>
      <c r="G601" s="1861">
        <v>3024.02</v>
      </c>
      <c r="I601">
        <v>0.76419999999999999</v>
      </c>
      <c r="J601">
        <v>1.00482</v>
      </c>
      <c r="K601">
        <v>1.1409</v>
      </c>
      <c r="L601">
        <v>1.2739499999999999</v>
      </c>
      <c r="M601">
        <v>9.0500000000000008E-3</v>
      </c>
      <c r="N601">
        <v>1</v>
      </c>
      <c r="P601">
        <v>1.3085500000000001</v>
      </c>
      <c r="Q601">
        <v>0.99519999999999997</v>
      </c>
      <c r="R601">
        <v>0.87649999999999995</v>
      </c>
      <c r="S601">
        <v>0.78495999999999999</v>
      </c>
      <c r="T601">
        <v>110.455</v>
      </c>
      <c r="U601">
        <v>1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 spans="1:35" s="1857" customFormat="1" hidden="1" outlineLevel="1">
      <c r="A602" s="8">
        <v>43332</v>
      </c>
      <c r="B602" s="1860">
        <v>2313.0029100000002</v>
      </c>
      <c r="C602" s="1860">
        <v>3041.2028</v>
      </c>
      <c r="D602" s="1860">
        <v>3457.2108699999999</v>
      </c>
      <c r="E602" s="1860">
        <v>3858.6495199999999</v>
      </c>
      <c r="F602">
        <v>27.3828</v>
      </c>
      <c r="G602" s="1861">
        <v>3024.02</v>
      </c>
      <c r="I602">
        <v>0.76488</v>
      </c>
      <c r="J602">
        <v>1.0056799999999999</v>
      </c>
      <c r="K602">
        <v>1.1432500000000001</v>
      </c>
      <c r="L602">
        <v>1.276</v>
      </c>
      <c r="M602">
        <v>9.0600000000000003E-3</v>
      </c>
      <c r="N602">
        <v>1</v>
      </c>
      <c r="P602">
        <v>1.3073999999999999</v>
      </c>
      <c r="Q602">
        <v>0.99434999999999996</v>
      </c>
      <c r="R602">
        <v>0.87470000000000003</v>
      </c>
      <c r="S602">
        <v>0.78369999999999995</v>
      </c>
      <c r="T602">
        <v>110.435</v>
      </c>
      <c r="U602">
        <v>1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 spans="1:35" s="1857" customFormat="1" hidden="1" outlineLevel="1">
      <c r="A603" s="8">
        <v>43333</v>
      </c>
      <c r="B603" s="1860">
        <v>2317.6118900000001</v>
      </c>
      <c r="C603" s="1860">
        <v>3058.5819799999999</v>
      </c>
      <c r="D603" s="1860">
        <v>3483.3686400000001</v>
      </c>
      <c r="E603" s="1860">
        <v>3890.5529299999998</v>
      </c>
      <c r="F603">
        <v>27.37041</v>
      </c>
      <c r="G603" s="1861">
        <v>3024.02</v>
      </c>
      <c r="I603">
        <v>0.76639999999999997</v>
      </c>
      <c r="J603">
        <v>1.0114300000000001</v>
      </c>
      <c r="K603">
        <v>1.1518999999999999</v>
      </c>
      <c r="L603">
        <v>1.2865500000000001</v>
      </c>
      <c r="M603">
        <v>9.0500000000000008E-3</v>
      </c>
      <c r="N603">
        <v>1</v>
      </c>
      <c r="P603">
        <v>1.3048</v>
      </c>
      <c r="Q603">
        <v>0.98870000000000002</v>
      </c>
      <c r="R603">
        <v>0.86812999999999996</v>
      </c>
      <c r="S603">
        <v>0.77727000000000002</v>
      </c>
      <c r="T603">
        <v>110.485</v>
      </c>
      <c r="U603">
        <v>1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 spans="1:35" s="1857" customFormat="1" hidden="1" outlineLevel="1">
      <c r="A604" s="8">
        <v>43334</v>
      </c>
      <c r="B604" s="1860">
        <v>2295.4793199999999</v>
      </c>
      <c r="C604" s="1860">
        <v>3042.6573100000001</v>
      </c>
      <c r="D604" s="1860">
        <v>3468.8561800000002</v>
      </c>
      <c r="E604" s="1860">
        <v>3860.7979</v>
      </c>
      <c r="F604">
        <v>27.075679999999998</v>
      </c>
      <c r="G604" s="1861">
        <v>2990.78</v>
      </c>
      <c r="I604">
        <v>0.76751999999999998</v>
      </c>
      <c r="J604">
        <v>1.01735</v>
      </c>
      <c r="K604">
        <v>1.15985</v>
      </c>
      <c r="L604">
        <v>1.2908999999999999</v>
      </c>
      <c r="M604">
        <v>9.0500000000000008E-3</v>
      </c>
      <c r="N604">
        <v>1</v>
      </c>
      <c r="P604">
        <v>1.3028999999999999</v>
      </c>
      <c r="Q604">
        <v>0.98294999999999999</v>
      </c>
      <c r="R604">
        <v>0.86217999999999995</v>
      </c>
      <c r="S604">
        <v>0.77464999999999995</v>
      </c>
      <c r="T604">
        <v>110.46</v>
      </c>
      <c r="U604">
        <v>1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 spans="1:35" s="1857" customFormat="1" hidden="1" outlineLevel="1">
      <c r="A605" s="8">
        <v>43335</v>
      </c>
      <c r="B605" s="1860">
        <v>2274.1181000000001</v>
      </c>
      <c r="C605" s="1860">
        <v>3011.6792799999998</v>
      </c>
      <c r="D605" s="1860">
        <v>3432.5083800000002</v>
      </c>
      <c r="E605" s="1860">
        <v>3806.15508</v>
      </c>
      <c r="F605">
        <v>26.666519999999998</v>
      </c>
      <c r="G605" s="1861">
        <v>2965.45</v>
      </c>
      <c r="I605">
        <v>0.76687000000000005</v>
      </c>
      <c r="J605">
        <v>1.01559</v>
      </c>
      <c r="K605">
        <v>1.1575</v>
      </c>
      <c r="L605">
        <v>1.2835000000000001</v>
      </c>
      <c r="M605">
        <v>8.9899999999999997E-3</v>
      </c>
      <c r="N605">
        <v>1</v>
      </c>
      <c r="P605">
        <v>1.304</v>
      </c>
      <c r="Q605">
        <v>0.98465000000000003</v>
      </c>
      <c r="R605">
        <v>0.86392999999999998</v>
      </c>
      <c r="S605">
        <v>0.77912000000000003</v>
      </c>
      <c r="T605">
        <v>111.205</v>
      </c>
      <c r="U605">
        <v>1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 spans="1:35" s="1857" customFormat="1" hidden="1" outlineLevel="1">
      <c r="A606" s="8">
        <v>43336</v>
      </c>
      <c r="B606" s="1860">
        <v>2286.1174999999998</v>
      </c>
      <c r="C606" s="1860">
        <v>3033.7302800000002</v>
      </c>
      <c r="D606" s="1860">
        <v>3465.7391600000001</v>
      </c>
      <c r="E606" s="1860">
        <v>3832.6559400000001</v>
      </c>
      <c r="F606">
        <v>26.799499999999998</v>
      </c>
      <c r="G606" s="1861">
        <v>2980.64</v>
      </c>
      <c r="I606">
        <v>0.76698999999999995</v>
      </c>
      <c r="J606">
        <v>1.0178100000000001</v>
      </c>
      <c r="K606">
        <v>1.16275</v>
      </c>
      <c r="L606">
        <v>1.2858499999999999</v>
      </c>
      <c r="M606">
        <v>8.9899999999999997E-3</v>
      </c>
      <c r="N606">
        <v>1</v>
      </c>
      <c r="P606">
        <v>1.3038000000000001</v>
      </c>
      <c r="Q606">
        <v>0.98250000000000004</v>
      </c>
      <c r="R606">
        <v>0.86002999999999996</v>
      </c>
      <c r="S606">
        <v>0.77769999999999995</v>
      </c>
      <c r="T606">
        <v>111.22</v>
      </c>
      <c r="U606">
        <v>1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 spans="1:35" s="1857" customFormat="1" hidden="1" outlineLevel="1">
      <c r="A607" s="8">
        <v>43337</v>
      </c>
      <c r="B607" s="1860">
        <v>2269.0980199999999</v>
      </c>
      <c r="C607" s="1860">
        <v>3011.1450399999999</v>
      </c>
      <c r="D607" s="1860">
        <v>3439.9377399999998</v>
      </c>
      <c r="E607" s="1860">
        <v>3804.12293</v>
      </c>
      <c r="F607">
        <v>26.599979999999999</v>
      </c>
      <c r="G607" s="1861">
        <v>2958.45</v>
      </c>
      <c r="I607">
        <v>0.76698999999999995</v>
      </c>
      <c r="J607">
        <v>1.0178100000000001</v>
      </c>
      <c r="K607">
        <v>1.16275</v>
      </c>
      <c r="L607">
        <v>1.2858499999999999</v>
      </c>
      <c r="M607">
        <v>8.9899999999999997E-3</v>
      </c>
      <c r="N607">
        <v>1</v>
      </c>
      <c r="P607">
        <v>1.3038000000000001</v>
      </c>
      <c r="Q607">
        <v>0.98250000000000004</v>
      </c>
      <c r="R607">
        <v>0.86002999999999996</v>
      </c>
      <c r="S607">
        <v>0.77769999999999995</v>
      </c>
      <c r="T607">
        <v>111.22</v>
      </c>
      <c r="U607">
        <v>1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 spans="1:35" s="1857" customFormat="1" hidden="1" outlineLevel="1">
      <c r="A608" s="8">
        <v>43338</v>
      </c>
      <c r="B608" s="1860">
        <v>2269.0980199999999</v>
      </c>
      <c r="C608" s="1860">
        <v>3011.1450399999999</v>
      </c>
      <c r="D608" s="1860">
        <v>3439.9377399999998</v>
      </c>
      <c r="E608" s="1860">
        <v>3804.12293</v>
      </c>
      <c r="F608">
        <v>26.599979999999999</v>
      </c>
      <c r="G608" s="1861">
        <v>2958.45</v>
      </c>
      <c r="I608">
        <v>0.76698999999999995</v>
      </c>
      <c r="J608">
        <v>1.0178100000000001</v>
      </c>
      <c r="K608">
        <v>1.16275</v>
      </c>
      <c r="L608">
        <v>1.2858499999999999</v>
      </c>
      <c r="M608">
        <v>8.9899999999999997E-3</v>
      </c>
      <c r="N608">
        <v>1</v>
      </c>
      <c r="P608">
        <v>1.3038000000000001</v>
      </c>
      <c r="Q608">
        <v>0.98250000000000004</v>
      </c>
      <c r="R608">
        <v>0.86002999999999996</v>
      </c>
      <c r="S608">
        <v>0.77769999999999995</v>
      </c>
      <c r="T608">
        <v>111.22</v>
      </c>
      <c r="U608">
        <v>1</v>
      </c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 spans="1:35" s="1857" customFormat="1" hidden="1" outlineLevel="1">
      <c r="A609" s="8">
        <v>43339</v>
      </c>
      <c r="B609" s="1860">
        <v>2280.6429199999998</v>
      </c>
      <c r="C609" s="1860">
        <v>3017.1332400000001</v>
      </c>
      <c r="D609" s="1860">
        <v>3452.6590700000002</v>
      </c>
      <c r="E609" s="1860">
        <v>3813.4420500000001</v>
      </c>
      <c r="F609">
        <v>26.6419</v>
      </c>
      <c r="G609" s="1861">
        <v>2958.45</v>
      </c>
      <c r="I609">
        <v>0.77088999999999996</v>
      </c>
      <c r="J609">
        <v>1.0198400000000001</v>
      </c>
      <c r="K609">
        <v>1.1670499999999999</v>
      </c>
      <c r="L609">
        <v>1.2889999999999999</v>
      </c>
      <c r="M609">
        <v>9.0100000000000006E-3</v>
      </c>
      <c r="N609">
        <v>1</v>
      </c>
      <c r="P609">
        <v>1.2971999999999999</v>
      </c>
      <c r="Q609">
        <v>0.98055000000000003</v>
      </c>
      <c r="R609">
        <v>0.85685999999999996</v>
      </c>
      <c r="S609">
        <v>0.77580000000000005</v>
      </c>
      <c r="T609">
        <v>111.045</v>
      </c>
      <c r="U609">
        <v>1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 spans="1:35" s="1857" customFormat="1" hidden="1" outlineLevel="1">
      <c r="A610" s="8">
        <v>43340</v>
      </c>
      <c r="B610" s="1860">
        <v>2272.7209400000002</v>
      </c>
      <c r="C610" s="1860">
        <v>3005.69526</v>
      </c>
      <c r="D610" s="1860">
        <v>3437.1040200000002</v>
      </c>
      <c r="E610" s="1860">
        <v>3779.538</v>
      </c>
      <c r="F610">
        <v>26.39836</v>
      </c>
      <c r="G610" s="1861">
        <v>2934.31</v>
      </c>
      <c r="I610">
        <v>0.77453000000000005</v>
      </c>
      <c r="J610">
        <v>1.02433</v>
      </c>
      <c r="K610">
        <v>1.1713499999999999</v>
      </c>
      <c r="L610">
        <v>1.2880499999999999</v>
      </c>
      <c r="M610">
        <v>8.9999999999999993E-3</v>
      </c>
      <c r="N610">
        <v>1</v>
      </c>
      <c r="P610">
        <v>1.2910999999999999</v>
      </c>
      <c r="Q610">
        <v>0.97624999999999995</v>
      </c>
      <c r="R610">
        <v>0.85372000000000003</v>
      </c>
      <c r="S610">
        <v>0.77637</v>
      </c>
      <c r="T610">
        <v>111.155</v>
      </c>
      <c r="U610">
        <v>1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 spans="1:35" hidden="1" outlineLevel="1">
      <c r="A611" s="8">
        <v>43341</v>
      </c>
      <c r="B611" s="1860">
        <v>2290.1706399999998</v>
      </c>
      <c r="C611" s="1860">
        <v>3046.73857</v>
      </c>
      <c r="D611" s="1860">
        <v>3468.1437999999998</v>
      </c>
      <c r="E611" s="1860">
        <v>3854.0203999999999</v>
      </c>
      <c r="F611">
        <v>26.556830000000001</v>
      </c>
      <c r="G611" s="1861">
        <v>2966</v>
      </c>
      <c r="I611">
        <v>0.77214000000000005</v>
      </c>
      <c r="J611">
        <v>1.02722</v>
      </c>
      <c r="K611">
        <v>1.1693</v>
      </c>
      <c r="L611">
        <v>1.2994000000000001</v>
      </c>
      <c r="M611">
        <v>8.9499999999999996E-3</v>
      </c>
      <c r="N611">
        <v>1</v>
      </c>
      <c r="P611">
        <v>1.2950999999999999</v>
      </c>
      <c r="Q611">
        <v>0.97350000000000003</v>
      </c>
      <c r="R611">
        <v>0.85521000000000003</v>
      </c>
      <c r="S611">
        <v>0.76959</v>
      </c>
      <c r="T611">
        <v>111.685</v>
      </c>
      <c r="U611">
        <v>1</v>
      </c>
    </row>
    <row r="612" spans="1:35" hidden="1" outlineLevel="1">
      <c r="A612" s="8">
        <v>43342</v>
      </c>
      <c r="B612" s="1860">
        <v>2312.96603</v>
      </c>
      <c r="C612" s="1860">
        <v>3088.9964500000001</v>
      </c>
      <c r="D612" s="1860">
        <v>3496.7487299999998</v>
      </c>
      <c r="E612" s="1860">
        <v>3901.2407400000002</v>
      </c>
      <c r="F612">
        <v>26.93458</v>
      </c>
      <c r="G612" s="1861">
        <v>2999.57</v>
      </c>
      <c r="I612">
        <v>0.77110000000000001</v>
      </c>
      <c r="J612">
        <v>1.0298099999999999</v>
      </c>
      <c r="K612">
        <v>1.1657500000000001</v>
      </c>
      <c r="L612">
        <v>1.3006</v>
      </c>
      <c r="M612">
        <v>8.9800000000000001E-3</v>
      </c>
      <c r="N612">
        <v>1</v>
      </c>
      <c r="P612">
        <v>1.2968500000000001</v>
      </c>
      <c r="Q612">
        <v>0.97104999999999997</v>
      </c>
      <c r="R612">
        <v>0.85782000000000003</v>
      </c>
      <c r="S612">
        <v>0.76888000000000001</v>
      </c>
      <c r="T612">
        <v>111.36499999999999</v>
      </c>
      <c r="U612">
        <v>1</v>
      </c>
    </row>
    <row r="613" spans="1:35" ht="15.75" hidden="1" outlineLevel="1" thickBot="1">
      <c r="A613" s="1868">
        <v>43343</v>
      </c>
      <c r="B613" s="1869">
        <v>2321.70712</v>
      </c>
      <c r="C613" s="1869">
        <v>3130.3794899999998</v>
      </c>
      <c r="D613" s="1869">
        <v>3522.3682699999999</v>
      </c>
      <c r="E613" s="1869">
        <v>3934.8501500000002</v>
      </c>
      <c r="F613" s="1870">
        <v>27.302070000000001</v>
      </c>
      <c r="G613" s="1871">
        <v>3027.39</v>
      </c>
      <c r="H613" s="1872"/>
      <c r="I613" s="1870">
        <v>0.76690000000000003</v>
      </c>
      <c r="J613" s="1870">
        <v>1.0340199999999999</v>
      </c>
      <c r="K613" s="1870">
        <v>1.1635</v>
      </c>
      <c r="L613" s="1870">
        <v>1.29975</v>
      </c>
      <c r="M613" s="1870">
        <v>9.0200000000000002E-3</v>
      </c>
      <c r="N613" s="1870">
        <v>1</v>
      </c>
      <c r="O613" s="1872"/>
      <c r="P613" s="1870">
        <v>1.3039499999999999</v>
      </c>
      <c r="Q613" s="1870">
        <v>0.96709999999999996</v>
      </c>
      <c r="R613" s="1870">
        <v>0.85948000000000002</v>
      </c>
      <c r="S613" s="1870">
        <v>0.76937999999999995</v>
      </c>
      <c r="T613" s="1870">
        <v>110.88500000000001</v>
      </c>
      <c r="U613" s="1870">
        <v>1</v>
      </c>
      <c r="V613" s="1872"/>
    </row>
    <row r="614" spans="1:35" hidden="1" outlineLevel="1">
      <c r="A614" s="8">
        <v>43344</v>
      </c>
      <c r="B614" s="1860">
        <v>2341.4548100000002</v>
      </c>
      <c r="C614" s="1860">
        <v>3157.0054799999998</v>
      </c>
      <c r="D614" s="1860">
        <v>3552.3283900000001</v>
      </c>
      <c r="E614" s="1860">
        <v>3968.3187200000002</v>
      </c>
      <c r="F614">
        <v>27.534289999999999</v>
      </c>
      <c r="G614" s="1861">
        <v>3053.14</v>
      </c>
      <c r="I614">
        <v>0.76690000000000003</v>
      </c>
      <c r="J614">
        <v>1.0340199999999999</v>
      </c>
      <c r="K614">
        <v>1.1635</v>
      </c>
      <c r="L614">
        <v>1.29975</v>
      </c>
      <c r="M614">
        <v>9.0200000000000002E-3</v>
      </c>
      <c r="N614">
        <v>1</v>
      </c>
      <c r="P614">
        <v>1.3039499999999999</v>
      </c>
      <c r="Q614">
        <v>0.96709999999999996</v>
      </c>
      <c r="R614">
        <v>0.85948000000000002</v>
      </c>
      <c r="S614">
        <v>0.76937999999999995</v>
      </c>
      <c r="T614">
        <v>110.88500000000001</v>
      </c>
      <c r="U614">
        <v>1</v>
      </c>
    </row>
    <row r="615" spans="1:35" hidden="1" outlineLevel="1">
      <c r="A615" s="8">
        <v>43345</v>
      </c>
      <c r="B615" s="1860">
        <v>2341.4548100000002</v>
      </c>
      <c r="C615" s="1860">
        <v>3157.0054799999998</v>
      </c>
      <c r="D615" s="1860">
        <v>3552.3283900000001</v>
      </c>
      <c r="E615" s="1860">
        <v>3968.3187200000002</v>
      </c>
      <c r="F615">
        <v>27.534289999999999</v>
      </c>
      <c r="G615" s="1861">
        <v>3053.14</v>
      </c>
      <c r="I615">
        <v>0.76690000000000003</v>
      </c>
      <c r="J615">
        <v>1.0340199999999999</v>
      </c>
      <c r="K615">
        <v>1.1635</v>
      </c>
      <c r="L615">
        <v>1.29975</v>
      </c>
      <c r="M615">
        <v>9.0200000000000002E-3</v>
      </c>
      <c r="N615">
        <v>1</v>
      </c>
      <c r="P615">
        <v>1.3039499999999999</v>
      </c>
      <c r="Q615">
        <v>0.96709999999999996</v>
      </c>
      <c r="R615">
        <v>0.85948000000000002</v>
      </c>
      <c r="S615">
        <v>0.76937999999999995</v>
      </c>
      <c r="T615">
        <v>110.88500000000001</v>
      </c>
      <c r="U615">
        <v>1</v>
      </c>
    </row>
    <row r="616" spans="1:35" hidden="1" outlineLevel="1">
      <c r="A616" s="8">
        <v>43346</v>
      </c>
      <c r="B616" s="1860">
        <v>2335.27612</v>
      </c>
      <c r="C616" s="1860">
        <v>3152.6046799999999</v>
      </c>
      <c r="D616" s="1860">
        <v>3549.7332200000001</v>
      </c>
      <c r="E616" s="1860">
        <v>3933.6655799999999</v>
      </c>
      <c r="F616">
        <v>27.498329999999999</v>
      </c>
      <c r="G616" s="1861">
        <v>3053.14</v>
      </c>
      <c r="I616">
        <v>0.76488</v>
      </c>
      <c r="J616">
        <v>1.0325800000000001</v>
      </c>
      <c r="K616">
        <v>1.16265</v>
      </c>
      <c r="L616">
        <v>1.2884</v>
      </c>
      <c r="M616">
        <v>9.0100000000000006E-3</v>
      </c>
      <c r="N616">
        <v>1</v>
      </c>
      <c r="P616">
        <v>1.3073999999999999</v>
      </c>
      <c r="Q616">
        <v>0.96845000000000003</v>
      </c>
      <c r="R616">
        <v>0.86009999999999998</v>
      </c>
      <c r="S616">
        <v>0.77615999999999996</v>
      </c>
      <c r="T616">
        <v>111.03</v>
      </c>
      <c r="U616">
        <v>1</v>
      </c>
    </row>
    <row r="617" spans="1:35" hidden="1" outlineLevel="1">
      <c r="A617" s="8">
        <v>43347</v>
      </c>
      <c r="B617" s="1860">
        <v>2316.3189400000001</v>
      </c>
      <c r="C617" s="1860">
        <v>3130.9439600000001</v>
      </c>
      <c r="D617" s="1860">
        <v>3528.05593</v>
      </c>
      <c r="E617" s="1860">
        <v>3917.6365900000001</v>
      </c>
      <c r="F617">
        <v>27.421769999999999</v>
      </c>
      <c r="G617" s="1861">
        <v>3053.14</v>
      </c>
      <c r="I617">
        <v>0.75866999999999996</v>
      </c>
      <c r="J617">
        <v>1.0254799999999999</v>
      </c>
      <c r="K617">
        <v>1.1555500000000001</v>
      </c>
      <c r="L617">
        <v>1.28315</v>
      </c>
      <c r="M617">
        <v>8.9800000000000001E-3</v>
      </c>
      <c r="N617">
        <v>1</v>
      </c>
      <c r="P617">
        <v>1.3181</v>
      </c>
      <c r="Q617">
        <v>0.97514999999999996</v>
      </c>
      <c r="R617">
        <v>0.86538999999999999</v>
      </c>
      <c r="S617">
        <v>0.77932999999999997</v>
      </c>
      <c r="T617">
        <v>111.34</v>
      </c>
      <c r="U617">
        <v>1</v>
      </c>
    </row>
    <row r="618" spans="1:35" hidden="1" outlineLevel="1">
      <c r="A618" s="8">
        <v>43348</v>
      </c>
      <c r="B618" s="1860">
        <v>2342.1453799999999</v>
      </c>
      <c r="C618" s="1860">
        <v>3179.23722</v>
      </c>
      <c r="D618" s="1860">
        <v>3590.5007999999998</v>
      </c>
      <c r="E618" s="1860">
        <v>4001.5761600000001</v>
      </c>
      <c r="F618">
        <v>27.67942</v>
      </c>
      <c r="G618" s="1861">
        <v>3088.47</v>
      </c>
      <c r="I618">
        <v>0.75834999999999997</v>
      </c>
      <c r="J618">
        <v>1.02939</v>
      </c>
      <c r="K618">
        <v>1.16255</v>
      </c>
      <c r="L618">
        <v>1.29565</v>
      </c>
      <c r="M618">
        <v>8.9599999999999992E-3</v>
      </c>
      <c r="N618">
        <v>1</v>
      </c>
      <c r="P618">
        <v>1.3186500000000001</v>
      </c>
      <c r="Q618">
        <v>0.97145000000000004</v>
      </c>
      <c r="R618">
        <v>0.86017999999999994</v>
      </c>
      <c r="S618">
        <v>0.77181</v>
      </c>
      <c r="T618">
        <v>111.58</v>
      </c>
      <c r="U618">
        <v>1</v>
      </c>
    </row>
    <row r="619" spans="1:35" hidden="1" outlineLevel="1">
      <c r="A619" s="8">
        <v>43349</v>
      </c>
      <c r="B619" s="1860">
        <v>2349.3881000000001</v>
      </c>
      <c r="C619" s="1860">
        <v>3203.02702</v>
      </c>
      <c r="D619" s="1860">
        <v>3606.1953699999999</v>
      </c>
      <c r="E619" s="1860">
        <v>4014.6691099999998</v>
      </c>
      <c r="F619">
        <v>27.957709999999999</v>
      </c>
      <c r="G619" s="1861">
        <v>3100.37</v>
      </c>
      <c r="I619">
        <v>0.75778000000000001</v>
      </c>
      <c r="J619">
        <v>1.03311</v>
      </c>
      <c r="K619">
        <v>1.1631499999999999</v>
      </c>
      <c r="L619">
        <v>1.2948999999999999</v>
      </c>
      <c r="M619">
        <v>9.0200000000000002E-3</v>
      </c>
      <c r="N619">
        <v>1</v>
      </c>
      <c r="P619">
        <v>1.31965</v>
      </c>
      <c r="Q619">
        <v>0.96794999999999998</v>
      </c>
      <c r="R619">
        <v>0.85972999999999999</v>
      </c>
      <c r="S619">
        <v>0.77225999999999995</v>
      </c>
      <c r="T619">
        <v>110.895</v>
      </c>
      <c r="U619">
        <v>1</v>
      </c>
    </row>
    <row r="620" spans="1:35" hidden="1" outlineLevel="1">
      <c r="A620" s="8">
        <v>43350</v>
      </c>
      <c r="B620" s="1860">
        <v>2348.24611</v>
      </c>
      <c r="C620" s="1860">
        <v>3193.08563</v>
      </c>
      <c r="D620" s="1860">
        <v>3578.6875700000001</v>
      </c>
      <c r="E620" s="1860">
        <v>4001.1725999999999</v>
      </c>
      <c r="F620">
        <v>27.80301</v>
      </c>
      <c r="G620" s="1861">
        <v>3089.47</v>
      </c>
      <c r="I620">
        <v>0.76007999999999998</v>
      </c>
      <c r="J620">
        <v>1.0335399999999999</v>
      </c>
      <c r="K620">
        <v>1.15835</v>
      </c>
      <c r="L620">
        <v>1.2950999999999999</v>
      </c>
      <c r="M620">
        <v>8.9999999999999993E-3</v>
      </c>
      <c r="N620">
        <v>1</v>
      </c>
      <c r="P620">
        <v>1.31565</v>
      </c>
      <c r="Q620">
        <v>0.96755000000000002</v>
      </c>
      <c r="R620">
        <v>0.86329999999999996</v>
      </c>
      <c r="S620">
        <v>0.77214000000000005</v>
      </c>
      <c r="T620">
        <v>111.12</v>
      </c>
      <c r="U620">
        <v>1</v>
      </c>
    </row>
    <row r="621" spans="1:35" hidden="1" outlineLevel="1">
      <c r="A621" s="8">
        <v>43351</v>
      </c>
      <c r="B621" s="1860">
        <v>2333.5613600000001</v>
      </c>
      <c r="C621" s="1860">
        <v>3173.1176700000001</v>
      </c>
      <c r="D621" s="1860">
        <v>3556.30825</v>
      </c>
      <c r="E621" s="1860">
        <v>3976.1512699999998</v>
      </c>
      <c r="F621">
        <v>27.62914</v>
      </c>
      <c r="G621" s="1861">
        <v>3070.15</v>
      </c>
      <c r="I621">
        <v>0.76007999999999998</v>
      </c>
      <c r="J621">
        <v>1.0335399999999999</v>
      </c>
      <c r="K621">
        <v>1.15835</v>
      </c>
      <c r="L621">
        <v>1.2950999999999999</v>
      </c>
      <c r="M621">
        <v>8.9999999999999993E-3</v>
      </c>
      <c r="N621">
        <v>1</v>
      </c>
      <c r="P621">
        <v>1.31565</v>
      </c>
      <c r="Q621">
        <v>0.96755000000000002</v>
      </c>
      <c r="R621">
        <v>0.86329999999999996</v>
      </c>
      <c r="S621">
        <v>0.77214000000000005</v>
      </c>
      <c r="T621">
        <v>111.12</v>
      </c>
      <c r="U621">
        <v>1</v>
      </c>
    </row>
    <row r="622" spans="1:35" hidden="1" outlineLevel="1">
      <c r="A622" s="8">
        <v>43352</v>
      </c>
      <c r="B622" s="1860">
        <v>2333.5613600000001</v>
      </c>
      <c r="C622" s="1860">
        <v>3173.1176700000001</v>
      </c>
      <c r="D622" s="1860">
        <v>3556.30825</v>
      </c>
      <c r="E622" s="1860">
        <v>3976.1512699999998</v>
      </c>
      <c r="F622">
        <v>27.62914</v>
      </c>
      <c r="G622" s="1861">
        <v>3070.15</v>
      </c>
      <c r="I622">
        <v>0.76007999999999998</v>
      </c>
      <c r="J622">
        <v>1.0335399999999999</v>
      </c>
      <c r="K622">
        <v>1.15835</v>
      </c>
      <c r="L622">
        <v>1.2950999999999999</v>
      </c>
      <c r="M622">
        <v>8.9999999999999993E-3</v>
      </c>
      <c r="N622">
        <v>1</v>
      </c>
      <c r="P622">
        <v>1.31565</v>
      </c>
      <c r="Q622">
        <v>0.96755000000000002</v>
      </c>
      <c r="R622">
        <v>0.86329999999999996</v>
      </c>
      <c r="S622">
        <v>0.77214000000000005</v>
      </c>
      <c r="T622">
        <v>111.12</v>
      </c>
      <c r="U622">
        <v>1</v>
      </c>
    </row>
    <row r="623" spans="1:35" hidden="1" outlineLevel="1">
      <c r="A623" s="8">
        <v>43353</v>
      </c>
      <c r="B623" s="1860">
        <v>2332.2318399999999</v>
      </c>
      <c r="C623" s="1860">
        <v>3156.4797199999998</v>
      </c>
      <c r="D623" s="1860">
        <v>3562.6020600000002</v>
      </c>
      <c r="E623" s="1860">
        <v>3997.4888099999998</v>
      </c>
      <c r="F623">
        <v>27.630379999999999</v>
      </c>
      <c r="G623" s="1861">
        <v>3070.15</v>
      </c>
      <c r="I623">
        <v>0.75965000000000005</v>
      </c>
      <c r="J623">
        <v>1.0281199999999999</v>
      </c>
      <c r="K623">
        <v>1.1604000000000001</v>
      </c>
      <c r="L623">
        <v>1.3020499999999999</v>
      </c>
      <c r="M623">
        <v>8.9999999999999993E-3</v>
      </c>
      <c r="N623">
        <v>1</v>
      </c>
      <c r="P623">
        <v>1.3164</v>
      </c>
      <c r="Q623">
        <v>0.97265000000000001</v>
      </c>
      <c r="R623">
        <v>0.86177000000000004</v>
      </c>
      <c r="S623">
        <v>0.76802000000000004</v>
      </c>
      <c r="T623">
        <v>111.11499999999999</v>
      </c>
      <c r="U623">
        <v>1</v>
      </c>
    </row>
    <row r="624" spans="1:35" hidden="1" outlineLevel="1">
      <c r="A624" s="8">
        <v>43354</v>
      </c>
      <c r="B624" s="1860">
        <v>2335.6338500000002</v>
      </c>
      <c r="C624" s="1860">
        <v>3151.2653399999999</v>
      </c>
      <c r="D624" s="1860">
        <v>3556.1576399999999</v>
      </c>
      <c r="E624" s="1860">
        <v>3990.4904700000002</v>
      </c>
      <c r="F624">
        <v>27.536470000000001</v>
      </c>
      <c r="G624" s="1861">
        <v>3069.49</v>
      </c>
      <c r="I624">
        <v>0.76092000000000004</v>
      </c>
      <c r="J624">
        <v>1.02664</v>
      </c>
      <c r="K624">
        <v>1.15855</v>
      </c>
      <c r="L624">
        <v>1.3000499999999999</v>
      </c>
      <c r="M624">
        <v>8.9700000000000005E-3</v>
      </c>
      <c r="N624">
        <v>1</v>
      </c>
      <c r="P624">
        <v>1.3142</v>
      </c>
      <c r="Q624">
        <v>0.97404999999999997</v>
      </c>
      <c r="R624">
        <v>0.86314999999999997</v>
      </c>
      <c r="S624">
        <v>0.76919999999999999</v>
      </c>
      <c r="T624">
        <v>111.47</v>
      </c>
      <c r="U624">
        <v>1</v>
      </c>
    </row>
    <row r="625" spans="1:35" hidden="1" outlineLevel="1">
      <c r="A625" s="8">
        <v>43355</v>
      </c>
      <c r="B625" s="1860">
        <v>2373.3512700000001</v>
      </c>
      <c r="C625" s="1860">
        <v>3179.7847700000002</v>
      </c>
      <c r="D625" s="1860">
        <v>3589.4861299999998</v>
      </c>
      <c r="E625" s="1860">
        <v>4021.1507799999999</v>
      </c>
      <c r="F625">
        <v>27.75113</v>
      </c>
      <c r="G625" s="1861">
        <v>3087.73</v>
      </c>
      <c r="I625">
        <v>0.76863999999999999</v>
      </c>
      <c r="J625">
        <v>1.0298099999999999</v>
      </c>
      <c r="K625">
        <v>1.1625000000000001</v>
      </c>
      <c r="L625">
        <v>1.3023</v>
      </c>
      <c r="M625">
        <v>8.9899999999999997E-3</v>
      </c>
      <c r="N625">
        <v>1</v>
      </c>
      <c r="P625">
        <v>1.3009999999999999</v>
      </c>
      <c r="Q625">
        <v>0.97104999999999997</v>
      </c>
      <c r="R625">
        <v>0.86021999999999998</v>
      </c>
      <c r="S625">
        <v>0.76787000000000005</v>
      </c>
      <c r="T625">
        <v>111.265</v>
      </c>
      <c r="U625">
        <v>1</v>
      </c>
    </row>
    <row r="626" spans="1:35" hidden="1" outlineLevel="1">
      <c r="A626" s="8">
        <v>43356</v>
      </c>
      <c r="B626" s="1860">
        <v>2347.8404500000001</v>
      </c>
      <c r="C626" s="1860">
        <v>3156.4911900000002</v>
      </c>
      <c r="D626" s="1860">
        <v>3566.5714200000002</v>
      </c>
      <c r="E626" s="1860">
        <v>4000.5356000000002</v>
      </c>
      <c r="F626">
        <v>27.313459999999999</v>
      </c>
      <c r="G626" s="1861">
        <v>3055.01</v>
      </c>
      <c r="I626">
        <v>0.76851999999999998</v>
      </c>
      <c r="J626">
        <v>1.03322</v>
      </c>
      <c r="K626">
        <v>1.1674500000000001</v>
      </c>
      <c r="L626">
        <v>1.3095000000000001</v>
      </c>
      <c r="M626">
        <v>8.94E-3</v>
      </c>
      <c r="N626">
        <v>1</v>
      </c>
      <c r="P626">
        <v>1.3011999999999999</v>
      </c>
      <c r="Q626">
        <v>0.96784999999999999</v>
      </c>
      <c r="R626">
        <v>0.85657000000000005</v>
      </c>
      <c r="S626">
        <v>0.76365000000000005</v>
      </c>
      <c r="T626">
        <v>111.85</v>
      </c>
      <c r="U626">
        <v>1</v>
      </c>
    </row>
    <row r="627" spans="1:35" s="1857" customFormat="1" hidden="1" outlineLevel="1">
      <c r="A627" s="8">
        <v>43357</v>
      </c>
      <c r="B627" s="1860">
        <v>2316.18595</v>
      </c>
      <c r="C627" s="1860">
        <v>3125.4904000000001</v>
      </c>
      <c r="D627" s="1860">
        <v>3522.5596799999998</v>
      </c>
      <c r="E627" s="1860">
        <v>3947.8393500000002</v>
      </c>
      <c r="F627">
        <v>26.9359</v>
      </c>
      <c r="G627" s="1861">
        <v>3019.38</v>
      </c>
      <c r="I627">
        <v>0.76710999999999996</v>
      </c>
      <c r="J627">
        <v>1.0351399999999999</v>
      </c>
      <c r="K627">
        <v>1.16665</v>
      </c>
      <c r="L627">
        <v>1.3075000000000001</v>
      </c>
      <c r="M627">
        <v>8.9200000000000008E-3</v>
      </c>
      <c r="N627">
        <v>1</v>
      </c>
      <c r="P627">
        <v>1.3036000000000001</v>
      </c>
      <c r="Q627">
        <v>0.96604999999999996</v>
      </c>
      <c r="R627">
        <v>0.85716000000000003</v>
      </c>
      <c r="S627">
        <v>0.76482000000000006</v>
      </c>
      <c r="T627">
        <v>112.095</v>
      </c>
      <c r="U627">
        <v>1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 spans="1:35" s="1857" customFormat="1" hidden="1" outlineLevel="1">
      <c r="A628" s="8">
        <v>43358</v>
      </c>
      <c r="B628" s="1860">
        <v>2321.3025499999999</v>
      </c>
      <c r="C628" s="1860">
        <v>3132.3948</v>
      </c>
      <c r="D628" s="1860">
        <v>3530.34123</v>
      </c>
      <c r="E628" s="1860">
        <v>3956.5603799999999</v>
      </c>
      <c r="F628">
        <v>26.99541</v>
      </c>
      <c r="G628" s="1861">
        <v>3026.05</v>
      </c>
      <c r="I628">
        <v>0.76710999999999996</v>
      </c>
      <c r="J628">
        <v>1.0351399999999999</v>
      </c>
      <c r="K628">
        <v>1.16665</v>
      </c>
      <c r="L628">
        <v>1.3075000000000001</v>
      </c>
      <c r="M628">
        <v>8.9200000000000008E-3</v>
      </c>
      <c r="N628">
        <v>1</v>
      </c>
      <c r="P628">
        <v>1.3036000000000001</v>
      </c>
      <c r="Q628">
        <v>0.96604999999999996</v>
      </c>
      <c r="R628">
        <v>0.85716000000000003</v>
      </c>
      <c r="S628">
        <v>0.76482000000000006</v>
      </c>
      <c r="T628">
        <v>112.095</v>
      </c>
      <c r="U628">
        <v>1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 spans="1:35" s="1857" customFormat="1" hidden="1" outlineLevel="1">
      <c r="A629" s="8">
        <v>43359</v>
      </c>
      <c r="B629" s="1860">
        <v>2321.3025499999999</v>
      </c>
      <c r="C629" s="1860">
        <v>3132.3948</v>
      </c>
      <c r="D629" s="1860">
        <v>3530.34123</v>
      </c>
      <c r="E629" s="1860">
        <v>3956.5603799999999</v>
      </c>
      <c r="F629">
        <v>26.99541</v>
      </c>
      <c r="G629" s="1861">
        <v>3026.05</v>
      </c>
      <c r="I629">
        <v>0.76710999999999996</v>
      </c>
      <c r="J629">
        <v>1.0351399999999999</v>
      </c>
      <c r="K629">
        <v>1.16665</v>
      </c>
      <c r="L629">
        <v>1.3075000000000001</v>
      </c>
      <c r="M629">
        <v>8.9200000000000008E-3</v>
      </c>
      <c r="N629">
        <v>1</v>
      </c>
      <c r="P629">
        <v>1.3036000000000001</v>
      </c>
      <c r="Q629">
        <v>0.96604999999999996</v>
      </c>
      <c r="R629">
        <v>0.85716000000000003</v>
      </c>
      <c r="S629">
        <v>0.76482000000000006</v>
      </c>
      <c r="T629">
        <v>112.095</v>
      </c>
      <c r="U629">
        <v>1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 spans="1:35" s="1857" customFormat="1" hidden="1" outlineLevel="1">
      <c r="A630" s="8">
        <v>43360</v>
      </c>
      <c r="B630" s="1860">
        <v>2322.4605700000002</v>
      </c>
      <c r="C630" s="1860">
        <v>3144.6014799999998</v>
      </c>
      <c r="D630" s="1860">
        <v>3537.3011499999998</v>
      </c>
      <c r="E630" s="1860">
        <v>3980.01226</v>
      </c>
      <c r="F630">
        <v>27.031580000000002</v>
      </c>
      <c r="G630" s="1861">
        <v>3026.05</v>
      </c>
      <c r="I630">
        <v>0.76749000000000001</v>
      </c>
      <c r="J630">
        <v>1.03918</v>
      </c>
      <c r="K630">
        <v>1.1689499999999999</v>
      </c>
      <c r="L630">
        <v>1.31525</v>
      </c>
      <c r="M630">
        <v>8.9300000000000004E-3</v>
      </c>
      <c r="N630">
        <v>1</v>
      </c>
      <c r="P630">
        <v>1.3029500000000001</v>
      </c>
      <c r="Q630">
        <v>0.96230000000000004</v>
      </c>
      <c r="R630">
        <v>0.85546999999999995</v>
      </c>
      <c r="S630">
        <v>0.76031000000000004</v>
      </c>
      <c r="T630">
        <v>111.94499999999999</v>
      </c>
      <c r="U630">
        <v>1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 spans="1:35" s="1857" customFormat="1" hidden="1" outlineLevel="1">
      <c r="A631" s="8">
        <v>43361</v>
      </c>
      <c r="B631" s="1860">
        <v>2319.5012099999999</v>
      </c>
      <c r="C631" s="1860">
        <v>3132.2488400000002</v>
      </c>
      <c r="D631" s="1860">
        <v>3525.5039299999999</v>
      </c>
      <c r="E631" s="1860">
        <v>3963.4987099999998</v>
      </c>
      <c r="F631">
        <v>26.82733</v>
      </c>
      <c r="G631" s="1861">
        <v>3013.38</v>
      </c>
      <c r="I631">
        <v>0.76973000000000003</v>
      </c>
      <c r="J631">
        <v>1.03945</v>
      </c>
      <c r="K631">
        <v>1.16995</v>
      </c>
      <c r="L631">
        <v>1.3152999999999999</v>
      </c>
      <c r="M631">
        <v>8.8999999999999999E-3</v>
      </c>
      <c r="N631">
        <v>1</v>
      </c>
      <c r="P631">
        <v>1.29915</v>
      </c>
      <c r="Q631">
        <v>0.96204999999999996</v>
      </c>
      <c r="R631">
        <v>0.85474000000000006</v>
      </c>
      <c r="S631">
        <v>0.76027999999999996</v>
      </c>
      <c r="T631">
        <v>112.325</v>
      </c>
      <c r="U631">
        <v>1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 spans="1:35" s="1857" customFormat="1" hidden="1" outlineLevel="1">
      <c r="A632" s="8">
        <v>43362</v>
      </c>
      <c r="B632" s="1860">
        <v>2320.1496900000002</v>
      </c>
      <c r="C632" s="1860">
        <v>3107.2384400000001</v>
      </c>
      <c r="D632" s="1860">
        <v>3509.05366</v>
      </c>
      <c r="E632" s="1860">
        <v>3955.1465600000001</v>
      </c>
      <c r="F632">
        <v>26.770800000000001</v>
      </c>
      <c r="G632" s="1861">
        <v>3007.03</v>
      </c>
      <c r="I632">
        <v>0.77158000000000004</v>
      </c>
      <c r="J632">
        <v>1.03332</v>
      </c>
      <c r="K632">
        <v>1.1669499999999999</v>
      </c>
      <c r="L632">
        <v>1.3152999999999999</v>
      </c>
      <c r="M632">
        <v>8.8999999999999999E-3</v>
      </c>
      <c r="N632">
        <v>1</v>
      </c>
      <c r="P632">
        <v>1.2960499999999999</v>
      </c>
      <c r="Q632">
        <v>0.96775</v>
      </c>
      <c r="R632">
        <v>0.85692999999999997</v>
      </c>
      <c r="S632">
        <v>0.76027999999999996</v>
      </c>
      <c r="T632">
        <v>112.325</v>
      </c>
      <c r="U632">
        <v>1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 spans="1:35" s="1857" customFormat="1" hidden="1" outlineLevel="1">
      <c r="A633" s="8">
        <v>43363</v>
      </c>
      <c r="B633" s="1860">
        <v>2338.6635700000002</v>
      </c>
      <c r="C633" s="1860">
        <v>3141.4611300000001</v>
      </c>
      <c r="D633" s="1860">
        <v>3547.3430400000002</v>
      </c>
      <c r="E633" s="1860">
        <v>4000.5903400000002</v>
      </c>
      <c r="F633">
        <v>26.845389999999998</v>
      </c>
      <c r="G633" s="1861">
        <v>3018.63</v>
      </c>
      <c r="I633">
        <v>0.77473999999999998</v>
      </c>
      <c r="J633">
        <v>1.0406899999999999</v>
      </c>
      <c r="K633">
        <v>1.1751499999999999</v>
      </c>
      <c r="L633">
        <v>1.3252999999999999</v>
      </c>
      <c r="M633">
        <v>8.8900000000000003E-3</v>
      </c>
      <c r="N633">
        <v>1</v>
      </c>
      <c r="P633">
        <v>1.2907500000000001</v>
      </c>
      <c r="Q633">
        <v>0.96089999999999998</v>
      </c>
      <c r="R633">
        <v>0.85096000000000005</v>
      </c>
      <c r="S633">
        <v>0.75455000000000005</v>
      </c>
      <c r="T633">
        <v>112.44499999999999</v>
      </c>
      <c r="U633">
        <v>1</v>
      </c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 spans="1:35" s="1857" customFormat="1" hidden="1" outlineLevel="1">
      <c r="A634" s="8">
        <v>43364</v>
      </c>
      <c r="B634" s="1860">
        <v>2333.8598499999998</v>
      </c>
      <c r="C634" s="1860">
        <v>3146.6541400000001</v>
      </c>
      <c r="D634" s="1860">
        <v>3544.8263900000002</v>
      </c>
      <c r="E634" s="1860">
        <v>3947.9729600000001</v>
      </c>
      <c r="F634">
        <v>26.784379999999999</v>
      </c>
      <c r="G634" s="1861">
        <v>3014.18</v>
      </c>
      <c r="I634">
        <v>0.77429000000000003</v>
      </c>
      <c r="J634">
        <v>1.0439499999999999</v>
      </c>
      <c r="K634">
        <v>1.17605</v>
      </c>
      <c r="L634">
        <v>1.3098000000000001</v>
      </c>
      <c r="M634">
        <v>8.8900000000000003E-3</v>
      </c>
      <c r="N634">
        <v>1</v>
      </c>
      <c r="P634">
        <v>1.2915000000000001</v>
      </c>
      <c r="Q634">
        <v>0.95789999999999997</v>
      </c>
      <c r="R634">
        <v>0.85029999999999994</v>
      </c>
      <c r="S634">
        <v>0.76348000000000005</v>
      </c>
      <c r="T634">
        <v>112.535</v>
      </c>
      <c r="U634">
        <v>1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 spans="1:35" s="1857" customFormat="1" hidden="1" outlineLevel="1">
      <c r="A635" s="8">
        <v>43365</v>
      </c>
      <c r="B635" s="1860">
        <v>2328.2694499999998</v>
      </c>
      <c r="C635" s="1860">
        <v>3139.1168200000002</v>
      </c>
      <c r="D635" s="1860">
        <v>3536.3353099999999</v>
      </c>
      <c r="E635" s="1860">
        <v>3938.5162099999998</v>
      </c>
      <c r="F635">
        <v>26.720220000000001</v>
      </c>
      <c r="G635" s="1861">
        <v>3006.96</v>
      </c>
      <c r="I635">
        <v>0.77429000000000003</v>
      </c>
      <c r="J635">
        <v>1.0439499999999999</v>
      </c>
      <c r="K635">
        <v>1.17605</v>
      </c>
      <c r="L635">
        <v>1.3098000000000001</v>
      </c>
      <c r="M635">
        <v>8.8900000000000003E-3</v>
      </c>
      <c r="N635">
        <v>1</v>
      </c>
      <c r="P635">
        <v>1.2915000000000001</v>
      </c>
      <c r="Q635">
        <v>0.95789999999999997</v>
      </c>
      <c r="R635">
        <v>0.85029999999999994</v>
      </c>
      <c r="S635">
        <v>0.76348000000000005</v>
      </c>
      <c r="T635">
        <v>112.535</v>
      </c>
      <c r="U635">
        <v>1</v>
      </c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 spans="1:35" s="1857" customFormat="1" hidden="1" outlineLevel="1">
      <c r="A636" s="8">
        <v>43366</v>
      </c>
      <c r="B636" s="1860">
        <v>2328.2694499999998</v>
      </c>
      <c r="C636" s="1860">
        <v>3139.1168200000002</v>
      </c>
      <c r="D636" s="1860">
        <v>3536.3353099999999</v>
      </c>
      <c r="E636" s="1860">
        <v>3938.5162099999998</v>
      </c>
      <c r="F636">
        <v>26.720220000000001</v>
      </c>
      <c r="G636" s="1861">
        <v>3006.96</v>
      </c>
      <c r="I636">
        <v>0.77429000000000003</v>
      </c>
      <c r="J636">
        <v>1.0439499999999999</v>
      </c>
      <c r="K636">
        <v>1.17605</v>
      </c>
      <c r="L636">
        <v>1.3098000000000001</v>
      </c>
      <c r="M636">
        <v>8.8900000000000003E-3</v>
      </c>
      <c r="N636">
        <v>1</v>
      </c>
      <c r="P636">
        <v>1.2915000000000001</v>
      </c>
      <c r="Q636">
        <v>0.95789999999999997</v>
      </c>
      <c r="R636">
        <v>0.85029999999999994</v>
      </c>
      <c r="S636">
        <v>0.76348000000000005</v>
      </c>
      <c r="T636">
        <v>112.535</v>
      </c>
      <c r="U636">
        <v>1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 spans="1:35" s="1857" customFormat="1" hidden="1" outlineLevel="1">
      <c r="A637" s="8">
        <v>43367</v>
      </c>
      <c r="B637" s="1860">
        <v>2325.4785200000001</v>
      </c>
      <c r="C637" s="1860">
        <v>3132.0868700000001</v>
      </c>
      <c r="D637" s="1860">
        <v>3545.0554900000002</v>
      </c>
      <c r="E637" s="1860">
        <v>3951.2957900000001</v>
      </c>
      <c r="F637">
        <v>26.720220000000001</v>
      </c>
      <c r="G637" s="1861">
        <v>3006.96</v>
      </c>
      <c r="I637">
        <v>0.77337</v>
      </c>
      <c r="J637">
        <v>1.0416099999999999</v>
      </c>
      <c r="K637">
        <v>1.1789499999999999</v>
      </c>
      <c r="L637">
        <v>1.3140499999999999</v>
      </c>
      <c r="M637">
        <v>8.8900000000000003E-3</v>
      </c>
      <c r="N637">
        <v>1</v>
      </c>
      <c r="P637">
        <v>1.29305</v>
      </c>
      <c r="Q637">
        <v>0.96004999999999996</v>
      </c>
      <c r="R637">
        <v>0.84821000000000002</v>
      </c>
      <c r="S637">
        <v>0.76100999999999996</v>
      </c>
      <c r="T637">
        <v>112.535</v>
      </c>
      <c r="U637">
        <v>1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 spans="1:35" s="1857" customFormat="1" hidden="1" outlineLevel="1">
      <c r="A638" s="8">
        <v>43368</v>
      </c>
      <c r="B638" s="1860">
        <v>2310.4367000000002</v>
      </c>
      <c r="C638" s="1860">
        <v>3103.9526900000001</v>
      </c>
      <c r="D638" s="1860">
        <v>3525.95415</v>
      </c>
      <c r="E638" s="1860">
        <v>3938.2379700000001</v>
      </c>
      <c r="F638">
        <v>26.507490000000001</v>
      </c>
      <c r="G638" s="1861">
        <v>2991.9</v>
      </c>
      <c r="I638">
        <v>0.77222999999999997</v>
      </c>
      <c r="J638">
        <v>1.03745</v>
      </c>
      <c r="K638">
        <v>1.1785000000000001</v>
      </c>
      <c r="L638">
        <v>1.3163</v>
      </c>
      <c r="M638">
        <v>8.8599999999999998E-3</v>
      </c>
      <c r="N638">
        <v>1</v>
      </c>
      <c r="P638">
        <v>1.29495</v>
      </c>
      <c r="Q638">
        <v>0.96389999999999998</v>
      </c>
      <c r="R638">
        <v>0.84853999999999996</v>
      </c>
      <c r="S638">
        <v>0.75971</v>
      </c>
      <c r="T638">
        <v>112.87</v>
      </c>
      <c r="U638">
        <v>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 spans="1:35" s="1857" customFormat="1" hidden="1" outlineLevel="1">
      <c r="A639" s="8">
        <v>43369</v>
      </c>
      <c r="B639" s="1860">
        <v>2314.7472699999998</v>
      </c>
      <c r="C639" s="1860">
        <v>3101.1156999999998</v>
      </c>
      <c r="D639" s="1860">
        <v>3526.60862</v>
      </c>
      <c r="E639" s="1860">
        <v>3957.5284999999999</v>
      </c>
      <c r="F639">
        <v>26.555910000000001</v>
      </c>
      <c r="G639" s="1861">
        <v>3001.88</v>
      </c>
      <c r="I639">
        <v>0.77110000000000001</v>
      </c>
      <c r="J639">
        <v>1.0330600000000001</v>
      </c>
      <c r="K639">
        <v>1.1748000000000001</v>
      </c>
      <c r="L639">
        <v>1.3183499999999999</v>
      </c>
      <c r="M639">
        <v>8.8500000000000002E-3</v>
      </c>
      <c r="N639">
        <v>1</v>
      </c>
      <c r="P639">
        <v>1.2968500000000001</v>
      </c>
      <c r="Q639">
        <v>0.96799999999999997</v>
      </c>
      <c r="R639">
        <v>0.85121000000000002</v>
      </c>
      <c r="S639">
        <v>0.75851999999999997</v>
      </c>
      <c r="T639">
        <v>113.04</v>
      </c>
      <c r="U639">
        <v>1</v>
      </c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 spans="1:35" s="1857" customFormat="1" hidden="1" outlineLevel="1">
      <c r="A640" s="8">
        <v>43370</v>
      </c>
      <c r="B640" s="1860">
        <v>2296.2305299999998</v>
      </c>
      <c r="C640" s="1860">
        <v>3075.17425</v>
      </c>
      <c r="D640" s="1860">
        <v>3503.2634800000001</v>
      </c>
      <c r="E640" s="1860">
        <v>3935.1336299999998</v>
      </c>
      <c r="F640">
        <v>26.491299999999999</v>
      </c>
      <c r="G640" s="1861">
        <v>3000.14</v>
      </c>
      <c r="I640">
        <v>0.76536999999999999</v>
      </c>
      <c r="J640">
        <v>1.02501</v>
      </c>
      <c r="K640">
        <v>1.1677</v>
      </c>
      <c r="L640">
        <v>1.31165</v>
      </c>
      <c r="M640">
        <v>8.8299999999999993E-3</v>
      </c>
      <c r="N640">
        <v>1</v>
      </c>
      <c r="P640">
        <v>1.3065500000000001</v>
      </c>
      <c r="Q640">
        <v>0.97560000000000002</v>
      </c>
      <c r="R640">
        <v>0.85638000000000003</v>
      </c>
      <c r="S640">
        <v>0.76239999999999997</v>
      </c>
      <c r="T640">
        <v>113.25</v>
      </c>
      <c r="U640">
        <v>1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 spans="1:35" s="1857" customFormat="1" hidden="1" outlineLevel="1">
      <c r="A641" s="8">
        <v>43371</v>
      </c>
      <c r="B641" s="1860">
        <v>2312.8423299999999</v>
      </c>
      <c r="C641" s="1860">
        <v>3060.5855900000001</v>
      </c>
      <c r="D641" s="1860">
        <v>3472.3971700000002</v>
      </c>
      <c r="E641" s="1860">
        <v>3898.5617999999999</v>
      </c>
      <c r="F641">
        <v>26.3202</v>
      </c>
      <c r="G641" s="1861">
        <v>2989.58</v>
      </c>
      <c r="I641">
        <v>0.77363000000000004</v>
      </c>
      <c r="J641">
        <v>1.0237499999999999</v>
      </c>
      <c r="K641">
        <v>1.1615</v>
      </c>
      <c r="L641">
        <v>1.3040499999999999</v>
      </c>
      <c r="M641">
        <v>8.8000000000000005E-3</v>
      </c>
      <c r="N641">
        <v>1</v>
      </c>
      <c r="P641">
        <v>1.2926</v>
      </c>
      <c r="Q641">
        <v>0.9768</v>
      </c>
      <c r="R641">
        <v>0.86095999999999995</v>
      </c>
      <c r="S641">
        <v>0.76683999999999997</v>
      </c>
      <c r="T641">
        <v>113.58499999999999</v>
      </c>
      <c r="U641">
        <v>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  <row r="642" spans="1:35" s="1857" customFormat="1" hidden="1" outlineLevel="1">
      <c r="A642" s="8">
        <v>43372</v>
      </c>
      <c r="B642" s="1860">
        <v>2299.3810899999999</v>
      </c>
      <c r="C642" s="1860">
        <v>3042.77232</v>
      </c>
      <c r="D642" s="1860">
        <v>3452.1870699999999</v>
      </c>
      <c r="E642" s="1860">
        <v>3875.8713299999999</v>
      </c>
      <c r="F642">
        <v>26.167010000000001</v>
      </c>
      <c r="G642" s="1861">
        <v>2972.18</v>
      </c>
      <c r="I642">
        <v>0.77363000000000004</v>
      </c>
      <c r="J642">
        <v>1.0237499999999999</v>
      </c>
      <c r="K642">
        <v>1.1615</v>
      </c>
      <c r="L642">
        <v>1.3040499999999999</v>
      </c>
      <c r="M642">
        <v>8.8000000000000005E-3</v>
      </c>
      <c r="N642">
        <v>1</v>
      </c>
      <c r="P642">
        <v>1.2926</v>
      </c>
      <c r="Q642">
        <v>0.9768</v>
      </c>
      <c r="R642">
        <v>0.86095999999999995</v>
      </c>
      <c r="S642">
        <v>0.76683999999999997</v>
      </c>
      <c r="T642">
        <v>113.58499999999999</v>
      </c>
      <c r="U642">
        <v>1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/>
    </row>
    <row r="643" spans="1:35" ht="15.75" hidden="1" outlineLevel="1" thickBot="1">
      <c r="A643" s="1868">
        <v>43373</v>
      </c>
      <c r="B643" s="1869">
        <v>2299.3810899999999</v>
      </c>
      <c r="C643" s="1869">
        <v>3042.77232</v>
      </c>
      <c r="D643" s="1869">
        <v>3452.1870699999999</v>
      </c>
      <c r="E643" s="1869">
        <v>3875.8713299999999</v>
      </c>
      <c r="F643" s="1870">
        <v>26.167010000000001</v>
      </c>
      <c r="G643" s="1871">
        <v>2972.18</v>
      </c>
      <c r="H643" s="1872"/>
      <c r="I643" s="1870">
        <v>0.77363000000000004</v>
      </c>
      <c r="J643" s="1870">
        <v>1.0237499999999999</v>
      </c>
      <c r="K643" s="1870">
        <v>1.1615</v>
      </c>
      <c r="L643" s="1870">
        <v>1.3040499999999999</v>
      </c>
      <c r="M643" s="1870">
        <v>8.8000000000000005E-3</v>
      </c>
      <c r="N643" s="1870">
        <v>1</v>
      </c>
      <c r="O643" s="1872"/>
      <c r="P643" s="1870">
        <v>1.2926</v>
      </c>
      <c r="Q643" s="1870">
        <v>0.9768</v>
      </c>
      <c r="R643" s="1870">
        <v>0.86095999999999995</v>
      </c>
      <c r="S643" s="1870">
        <v>0.76683999999999997</v>
      </c>
      <c r="T643" s="1870">
        <v>113.58499999999999</v>
      </c>
      <c r="U643" s="1870">
        <v>1</v>
      </c>
      <c r="V643" s="1872"/>
    </row>
    <row r="644" spans="1:35" hidden="1" outlineLevel="1">
      <c r="A644" s="8">
        <v>43374</v>
      </c>
      <c r="B644" s="1860">
        <v>2317.4892799999998</v>
      </c>
      <c r="C644" s="1860">
        <v>3021.73648</v>
      </c>
      <c r="D644" s="1860">
        <v>3443.12192</v>
      </c>
      <c r="E644" s="1860">
        <v>3876.9115900000002</v>
      </c>
      <c r="F644">
        <v>26.083189999999998</v>
      </c>
      <c r="G644" s="1861">
        <v>2972.18</v>
      </c>
      <c r="I644">
        <v>0.77973000000000003</v>
      </c>
      <c r="J644">
        <v>1.01667</v>
      </c>
      <c r="K644">
        <v>1.15845</v>
      </c>
      <c r="L644">
        <v>1.3044</v>
      </c>
      <c r="M644">
        <v>8.7799999999999996E-3</v>
      </c>
      <c r="N644">
        <v>1</v>
      </c>
      <c r="P644">
        <v>1.2825</v>
      </c>
      <c r="Q644">
        <v>0.98360000000000003</v>
      </c>
      <c r="R644">
        <v>0.86321999999999999</v>
      </c>
      <c r="S644">
        <v>0.76663999999999999</v>
      </c>
      <c r="T644">
        <v>113.95</v>
      </c>
      <c r="U644">
        <v>1</v>
      </c>
    </row>
    <row r="645" spans="1:35" hidden="1" outlineLevel="1">
      <c r="A645" s="8">
        <v>43375</v>
      </c>
      <c r="B645" s="1860">
        <v>2334.93741</v>
      </c>
      <c r="C645" s="1860">
        <v>3043.1918700000001</v>
      </c>
      <c r="D645" s="1860">
        <v>3459.41626</v>
      </c>
      <c r="E645" s="1860">
        <v>3886.47327</v>
      </c>
      <c r="F645">
        <v>26.34291</v>
      </c>
      <c r="G645" s="1861">
        <v>2993.74</v>
      </c>
      <c r="I645">
        <v>0.77993999999999997</v>
      </c>
      <c r="J645">
        <v>1.0165200000000001</v>
      </c>
      <c r="K645">
        <v>1.1555500000000001</v>
      </c>
      <c r="L645">
        <v>1.2982</v>
      </c>
      <c r="M645">
        <v>8.8000000000000005E-3</v>
      </c>
      <c r="N645">
        <v>1</v>
      </c>
      <c r="P645">
        <v>1.2821499999999999</v>
      </c>
      <c r="Q645">
        <v>0.98375000000000001</v>
      </c>
      <c r="R645">
        <v>0.86538999999999999</v>
      </c>
      <c r="S645">
        <v>0.77029999999999998</v>
      </c>
      <c r="T645">
        <v>113.645</v>
      </c>
      <c r="U645">
        <v>1</v>
      </c>
    </row>
    <row r="646" spans="1:35" hidden="1" outlineLevel="1">
      <c r="A646" s="8">
        <v>43376</v>
      </c>
      <c r="B646" s="1860">
        <v>2343.8353000000002</v>
      </c>
      <c r="C646" s="1860">
        <v>3039.54288</v>
      </c>
      <c r="D646" s="1860">
        <v>3467.7458999999999</v>
      </c>
      <c r="E646" s="1860">
        <v>3908.6527500000002</v>
      </c>
      <c r="F646">
        <v>26.343240000000002</v>
      </c>
      <c r="G646" s="1861">
        <v>3005.5</v>
      </c>
      <c r="I646">
        <v>0.77985000000000004</v>
      </c>
      <c r="J646">
        <v>1.0113300000000001</v>
      </c>
      <c r="K646">
        <v>1.1537999999999999</v>
      </c>
      <c r="L646">
        <v>1.3005</v>
      </c>
      <c r="M646">
        <v>8.77E-3</v>
      </c>
      <c r="N646">
        <v>1</v>
      </c>
      <c r="P646">
        <v>1.2823</v>
      </c>
      <c r="Q646">
        <v>0.98880000000000001</v>
      </c>
      <c r="R646">
        <v>0.86670000000000003</v>
      </c>
      <c r="S646">
        <v>0.76893999999999996</v>
      </c>
      <c r="T646">
        <v>114.09</v>
      </c>
      <c r="U646">
        <v>1</v>
      </c>
    </row>
    <row r="647" spans="1:35" hidden="1" outlineLevel="1">
      <c r="A647" s="8">
        <v>43377</v>
      </c>
      <c r="B647" s="1860">
        <v>2339.64975</v>
      </c>
      <c r="C647" s="1860">
        <v>3040.0100900000002</v>
      </c>
      <c r="D647" s="1860">
        <v>3470.8740699999998</v>
      </c>
      <c r="E647" s="1860">
        <v>3925.0310500000001</v>
      </c>
      <c r="F647">
        <v>26.49532</v>
      </c>
      <c r="G647" s="1861">
        <v>3012.65</v>
      </c>
      <c r="I647">
        <v>0.77661000000000002</v>
      </c>
      <c r="J647">
        <v>1.00908</v>
      </c>
      <c r="K647">
        <v>1.1520999999999999</v>
      </c>
      <c r="L647">
        <v>1.3028500000000001</v>
      </c>
      <c r="M647">
        <v>8.7899999999999992E-3</v>
      </c>
      <c r="N647">
        <v>1</v>
      </c>
      <c r="P647">
        <v>1.28765</v>
      </c>
      <c r="Q647">
        <v>0.99099999999999999</v>
      </c>
      <c r="R647">
        <v>0.86797999999999997</v>
      </c>
      <c r="S647">
        <v>0.76754999999999995</v>
      </c>
      <c r="T647">
        <v>113.705</v>
      </c>
      <c r="U647">
        <v>1</v>
      </c>
    </row>
    <row r="648" spans="1:35" hidden="1" outlineLevel="1">
      <c r="A648" s="8">
        <v>43378</v>
      </c>
      <c r="B648" s="1860">
        <v>2341.7833099999998</v>
      </c>
      <c r="C648" s="1860">
        <v>3052.42679</v>
      </c>
      <c r="D648" s="1860">
        <v>3485.5635699999998</v>
      </c>
      <c r="E648" s="1860">
        <v>3959.9248299999999</v>
      </c>
      <c r="F648">
        <v>26.62236</v>
      </c>
      <c r="G648" s="1861">
        <v>3028.16</v>
      </c>
      <c r="I648">
        <v>0.77334000000000003</v>
      </c>
      <c r="J648">
        <v>1.0080100000000001</v>
      </c>
      <c r="K648">
        <v>1.1510499999999999</v>
      </c>
      <c r="L648">
        <v>1.3077000000000001</v>
      </c>
      <c r="M648">
        <v>8.7899999999999992E-3</v>
      </c>
      <c r="N648">
        <v>1</v>
      </c>
      <c r="P648">
        <v>1.2930999999999999</v>
      </c>
      <c r="Q648">
        <v>0.99204999999999999</v>
      </c>
      <c r="R648">
        <v>0.86877000000000004</v>
      </c>
      <c r="S648">
        <v>0.76470000000000005</v>
      </c>
      <c r="T648">
        <v>113.745</v>
      </c>
      <c r="U648">
        <v>1</v>
      </c>
    </row>
    <row r="649" spans="1:35" hidden="1" outlineLevel="1">
      <c r="A649" s="8">
        <v>43379</v>
      </c>
      <c r="B649" s="1860">
        <v>2344.2193200000002</v>
      </c>
      <c r="C649" s="1860">
        <v>3055.6020400000002</v>
      </c>
      <c r="D649" s="1860">
        <v>3489.1893799999998</v>
      </c>
      <c r="E649" s="1860">
        <v>3964.0440899999999</v>
      </c>
      <c r="F649">
        <v>26.65005</v>
      </c>
      <c r="G649" s="1861">
        <v>3031.31</v>
      </c>
      <c r="I649">
        <v>0.77334000000000003</v>
      </c>
      <c r="J649">
        <v>1.0080100000000001</v>
      </c>
      <c r="K649">
        <v>1.1510499999999999</v>
      </c>
      <c r="L649">
        <v>1.3077000000000001</v>
      </c>
      <c r="M649">
        <v>8.7899999999999992E-3</v>
      </c>
      <c r="N649">
        <v>1</v>
      </c>
      <c r="P649">
        <v>1.2930999999999999</v>
      </c>
      <c r="Q649">
        <v>0.99204999999999999</v>
      </c>
      <c r="R649">
        <v>0.86877000000000004</v>
      </c>
      <c r="S649">
        <v>0.76470000000000005</v>
      </c>
      <c r="T649">
        <v>113.745</v>
      </c>
      <c r="U649">
        <v>1</v>
      </c>
    </row>
    <row r="650" spans="1:35" hidden="1" outlineLevel="1">
      <c r="A650" s="8">
        <v>43380</v>
      </c>
      <c r="B650" s="1860">
        <v>2344.2193200000002</v>
      </c>
      <c r="C650" s="1860">
        <v>3055.6020400000002</v>
      </c>
      <c r="D650" s="1860">
        <v>3489.1893799999998</v>
      </c>
      <c r="E650" s="1860">
        <v>3964.0440899999999</v>
      </c>
      <c r="F650">
        <v>26.65005</v>
      </c>
      <c r="G650" s="1861">
        <v>3031.31</v>
      </c>
      <c r="I650">
        <v>0.77334000000000003</v>
      </c>
      <c r="J650">
        <v>1.0080100000000001</v>
      </c>
      <c r="K650">
        <v>1.1510499999999999</v>
      </c>
      <c r="L650">
        <v>1.3077000000000001</v>
      </c>
      <c r="M650">
        <v>8.7899999999999992E-3</v>
      </c>
      <c r="N650">
        <v>1</v>
      </c>
      <c r="P650">
        <v>1.2930999999999999</v>
      </c>
      <c r="Q650">
        <v>0.99204999999999999</v>
      </c>
      <c r="R650">
        <v>0.86877000000000004</v>
      </c>
      <c r="S650">
        <v>0.76470000000000005</v>
      </c>
      <c r="T650">
        <v>113.745</v>
      </c>
      <c r="U650">
        <v>1</v>
      </c>
    </row>
    <row r="651" spans="1:35" hidden="1" outlineLevel="1">
      <c r="A651" s="8">
        <v>43381</v>
      </c>
      <c r="B651" s="1860">
        <v>2336.6299199999999</v>
      </c>
      <c r="C651" s="1860">
        <v>3052.2176899999999</v>
      </c>
      <c r="D651" s="1860">
        <v>3477.6704</v>
      </c>
      <c r="E651" s="1860">
        <v>3961.46747</v>
      </c>
      <c r="F651">
        <v>26.798480000000001</v>
      </c>
      <c r="G651" s="1861">
        <v>3031.31</v>
      </c>
      <c r="I651">
        <v>0.77083000000000002</v>
      </c>
      <c r="J651">
        <v>1.0068999999999999</v>
      </c>
      <c r="K651">
        <v>1.1472500000000001</v>
      </c>
      <c r="L651">
        <v>1.3068500000000001</v>
      </c>
      <c r="M651">
        <v>8.8400000000000006E-3</v>
      </c>
      <c r="N651">
        <v>1</v>
      </c>
      <c r="P651">
        <v>1.2972999999999999</v>
      </c>
      <c r="Q651">
        <v>0.99314999999999998</v>
      </c>
      <c r="R651">
        <v>0.87165000000000004</v>
      </c>
      <c r="S651">
        <v>0.76519999999999999</v>
      </c>
      <c r="T651">
        <v>113.11499999999999</v>
      </c>
      <c r="U651">
        <v>1</v>
      </c>
    </row>
    <row r="652" spans="1:35" hidden="1" outlineLevel="1">
      <c r="A652" s="8">
        <v>43382</v>
      </c>
      <c r="B652" s="1860">
        <v>2337.5308500000001</v>
      </c>
      <c r="C652" s="1860">
        <v>3050.2213700000002</v>
      </c>
      <c r="D652" s="1860">
        <v>3476.761</v>
      </c>
      <c r="E652" s="1860">
        <v>3968.2879200000002</v>
      </c>
      <c r="F652">
        <v>26.78782</v>
      </c>
      <c r="G652" s="1861">
        <v>3031.31</v>
      </c>
      <c r="I652">
        <v>0.77112999999999998</v>
      </c>
      <c r="J652">
        <v>1.00624</v>
      </c>
      <c r="K652">
        <v>1.1469499999999999</v>
      </c>
      <c r="L652">
        <v>1.3090999999999999</v>
      </c>
      <c r="M652">
        <v>8.8400000000000006E-3</v>
      </c>
      <c r="N652">
        <v>1</v>
      </c>
      <c r="P652">
        <v>1.2968</v>
      </c>
      <c r="Q652">
        <v>0.99380000000000002</v>
      </c>
      <c r="R652">
        <v>0.87187999999999999</v>
      </c>
      <c r="S652">
        <v>0.76388</v>
      </c>
      <c r="T652">
        <v>113.16</v>
      </c>
      <c r="U652">
        <v>1</v>
      </c>
    </row>
    <row r="653" spans="1:35" hidden="1" outlineLevel="1">
      <c r="A653" s="8">
        <v>43383</v>
      </c>
      <c r="B653" s="1860">
        <v>2355.5855200000001</v>
      </c>
      <c r="C653" s="1860">
        <v>3087.9664699999998</v>
      </c>
      <c r="D653" s="1860">
        <v>3526.1195400000001</v>
      </c>
      <c r="E653" s="1860">
        <v>4035.8131199999998</v>
      </c>
      <c r="F653">
        <v>27.128789999999999</v>
      </c>
      <c r="G653" s="1861">
        <v>3057.55</v>
      </c>
      <c r="I653">
        <v>0.77041999999999999</v>
      </c>
      <c r="J653">
        <v>1.0099499999999999</v>
      </c>
      <c r="K653">
        <v>1.1532500000000001</v>
      </c>
      <c r="L653">
        <v>1.31995</v>
      </c>
      <c r="M653">
        <v>8.8699999999999994E-3</v>
      </c>
      <c r="N653">
        <v>1</v>
      </c>
      <c r="P653">
        <v>1.298</v>
      </c>
      <c r="Q653">
        <v>0.99014999999999997</v>
      </c>
      <c r="R653">
        <v>0.86711000000000005</v>
      </c>
      <c r="S653">
        <v>0.75760000000000005</v>
      </c>
      <c r="T653">
        <v>112.705</v>
      </c>
      <c r="U653">
        <v>1</v>
      </c>
    </row>
    <row r="654" spans="1:35" hidden="1" outlineLevel="1">
      <c r="A654" s="8">
        <v>43384</v>
      </c>
      <c r="B654" s="1860">
        <v>2367.5017200000002</v>
      </c>
      <c r="C654" s="1860">
        <v>3121.8304899999998</v>
      </c>
      <c r="D654" s="1860">
        <v>3572.3868000000002</v>
      </c>
      <c r="E654" s="1860">
        <v>4082.5953300000001</v>
      </c>
      <c r="F654">
        <v>27.52683</v>
      </c>
      <c r="G654" s="1861">
        <v>3090.3</v>
      </c>
      <c r="I654">
        <v>0.76610999999999996</v>
      </c>
      <c r="J654">
        <v>1.0102</v>
      </c>
      <c r="K654">
        <v>1.1559999999999999</v>
      </c>
      <c r="L654">
        <v>1.3210999999999999</v>
      </c>
      <c r="M654">
        <v>8.9099999999999995E-3</v>
      </c>
      <c r="N654">
        <v>1</v>
      </c>
      <c r="P654">
        <v>1.3052999999999999</v>
      </c>
      <c r="Q654">
        <v>0.9899</v>
      </c>
      <c r="R654">
        <v>0.86504999999999999</v>
      </c>
      <c r="S654">
        <v>0.75693999999999995</v>
      </c>
      <c r="T654">
        <v>112.265</v>
      </c>
      <c r="U654">
        <v>1</v>
      </c>
    </row>
    <row r="655" spans="1:35" hidden="1" outlineLevel="1">
      <c r="A655" s="8">
        <v>43385</v>
      </c>
      <c r="B655" s="1860">
        <v>2369.7728000000002</v>
      </c>
      <c r="C655" s="1860">
        <v>3111.9241999999999</v>
      </c>
      <c r="D655" s="1860">
        <v>3569.42814</v>
      </c>
      <c r="E655" s="1860">
        <v>4062.0132400000002</v>
      </c>
      <c r="F655">
        <v>27.53726</v>
      </c>
      <c r="G655" s="1861">
        <v>3087.34</v>
      </c>
      <c r="I655">
        <v>0.76758000000000004</v>
      </c>
      <c r="J655">
        <v>1.00796</v>
      </c>
      <c r="K655">
        <v>1.15615</v>
      </c>
      <c r="L655">
        <v>1.3157000000000001</v>
      </c>
      <c r="M655">
        <v>8.9200000000000008E-3</v>
      </c>
      <c r="N655">
        <v>1</v>
      </c>
      <c r="P655">
        <v>1.3028</v>
      </c>
      <c r="Q655">
        <v>0.99209999999999998</v>
      </c>
      <c r="R655">
        <v>0.86494000000000004</v>
      </c>
      <c r="S655">
        <v>0.76005</v>
      </c>
      <c r="T655">
        <v>112.11499999999999</v>
      </c>
      <c r="U655">
        <v>1</v>
      </c>
    </row>
    <row r="656" spans="1:35" hidden="1" outlineLevel="1">
      <c r="A656" s="8">
        <v>43386</v>
      </c>
      <c r="B656" s="1860">
        <v>2370.8781100000001</v>
      </c>
      <c r="C656" s="1860">
        <v>3113.3756699999999</v>
      </c>
      <c r="D656" s="1860">
        <v>3571.0929999999998</v>
      </c>
      <c r="E656" s="1860">
        <v>4063.9078500000001</v>
      </c>
      <c r="F656">
        <v>27.5501</v>
      </c>
      <c r="G656" s="1861">
        <v>3088.78</v>
      </c>
      <c r="I656">
        <v>0.76758000000000004</v>
      </c>
      <c r="J656">
        <v>1.00796</v>
      </c>
      <c r="K656">
        <v>1.15615</v>
      </c>
      <c r="L656">
        <v>1.3157000000000001</v>
      </c>
      <c r="M656">
        <v>8.9200000000000008E-3</v>
      </c>
      <c r="N656">
        <v>1</v>
      </c>
      <c r="P656">
        <v>1.3028</v>
      </c>
      <c r="Q656">
        <v>0.99209999999999998</v>
      </c>
      <c r="R656">
        <v>0.86494000000000004</v>
      </c>
      <c r="S656">
        <v>0.76005</v>
      </c>
      <c r="T656">
        <v>112.11499999999999</v>
      </c>
      <c r="U656">
        <v>1</v>
      </c>
    </row>
    <row r="657" spans="1:21" hidden="1" outlineLevel="1">
      <c r="A657" s="8">
        <v>43387</v>
      </c>
      <c r="B657" s="1860">
        <v>2370.8781100000001</v>
      </c>
      <c r="C657" s="1860">
        <v>3113.3756699999999</v>
      </c>
      <c r="D657" s="1860">
        <v>3571.0929999999998</v>
      </c>
      <c r="E657" s="1860">
        <v>4063.9078500000001</v>
      </c>
      <c r="F657">
        <v>27.5501</v>
      </c>
      <c r="G657" s="1861">
        <v>3088.78</v>
      </c>
      <c r="I657">
        <v>0.76758000000000004</v>
      </c>
      <c r="J657">
        <v>1.00796</v>
      </c>
      <c r="K657">
        <v>1.15615</v>
      </c>
      <c r="L657">
        <v>1.3157000000000001</v>
      </c>
      <c r="M657">
        <v>8.9200000000000008E-3</v>
      </c>
      <c r="N657">
        <v>1</v>
      </c>
      <c r="P657">
        <v>1.3028</v>
      </c>
      <c r="Q657">
        <v>0.99209999999999998</v>
      </c>
      <c r="R657">
        <v>0.86494000000000004</v>
      </c>
      <c r="S657">
        <v>0.76005</v>
      </c>
      <c r="T657">
        <v>112.11499999999999</v>
      </c>
      <c r="U657">
        <v>1</v>
      </c>
    </row>
    <row r="658" spans="1:21" hidden="1" outlineLevel="1">
      <c r="A658" s="8">
        <v>43388</v>
      </c>
      <c r="B658" s="1860">
        <v>2379.4622899999999</v>
      </c>
      <c r="C658" s="1860">
        <v>3127.4034299999998</v>
      </c>
      <c r="D658" s="1860">
        <v>3578.81495</v>
      </c>
      <c r="E658" s="1860">
        <v>4058.9657999999999</v>
      </c>
      <c r="F658">
        <v>27.631440000000001</v>
      </c>
      <c r="G658" s="1861">
        <v>3088.78</v>
      </c>
      <c r="I658">
        <v>0.77036000000000004</v>
      </c>
      <c r="J658">
        <v>1.0125</v>
      </c>
      <c r="K658">
        <v>1.15865</v>
      </c>
      <c r="L658">
        <v>1.3141</v>
      </c>
      <c r="M658">
        <v>8.9499999999999996E-3</v>
      </c>
      <c r="N658">
        <v>1</v>
      </c>
      <c r="P658">
        <v>1.2981</v>
      </c>
      <c r="Q658">
        <v>0.98765000000000003</v>
      </c>
      <c r="R658">
        <v>0.86307</v>
      </c>
      <c r="S658">
        <v>0.76097999999999999</v>
      </c>
      <c r="T658">
        <v>111.785</v>
      </c>
      <c r="U658">
        <v>1</v>
      </c>
    </row>
    <row r="659" spans="1:21" hidden="1" outlineLevel="1">
      <c r="A659" s="8">
        <v>43389</v>
      </c>
      <c r="B659" s="1860">
        <v>2387.9242399999998</v>
      </c>
      <c r="C659" s="1860">
        <v>3120.7678700000001</v>
      </c>
      <c r="D659" s="1860">
        <v>3576.9616799999999</v>
      </c>
      <c r="E659" s="1860">
        <v>4080.43282</v>
      </c>
      <c r="F659">
        <v>27.525549999999999</v>
      </c>
      <c r="G659" s="1861">
        <v>3088.78</v>
      </c>
      <c r="I659">
        <v>0.77310000000000001</v>
      </c>
      <c r="J659">
        <v>1.0103599999999999</v>
      </c>
      <c r="K659">
        <v>1.15805</v>
      </c>
      <c r="L659">
        <v>1.3210500000000001</v>
      </c>
      <c r="M659">
        <v>8.9099999999999995E-3</v>
      </c>
      <c r="N659">
        <v>1</v>
      </c>
      <c r="P659">
        <v>1.2935000000000001</v>
      </c>
      <c r="Q659">
        <v>0.98975000000000002</v>
      </c>
      <c r="R659">
        <v>0.86351999999999995</v>
      </c>
      <c r="S659">
        <v>0.75697000000000003</v>
      </c>
      <c r="T659">
        <v>112.215</v>
      </c>
      <c r="U659">
        <v>1</v>
      </c>
    </row>
    <row r="660" spans="1:21" hidden="1" outlineLevel="1">
      <c r="A660" s="8">
        <v>43390</v>
      </c>
      <c r="B660" s="1860">
        <v>2350.0826699999998</v>
      </c>
      <c r="C660" s="1860">
        <v>3078.8675600000001</v>
      </c>
      <c r="D660" s="1860">
        <v>3523.3344900000002</v>
      </c>
      <c r="E660" s="1860">
        <v>4013.6584600000001</v>
      </c>
      <c r="F660">
        <v>27.264399999999998</v>
      </c>
      <c r="G660" s="1861">
        <v>3055.93</v>
      </c>
      <c r="I660">
        <v>0.76902000000000004</v>
      </c>
      <c r="J660">
        <v>1.0075099999999999</v>
      </c>
      <c r="K660">
        <v>1.1529499999999999</v>
      </c>
      <c r="L660">
        <v>1.3133999999999999</v>
      </c>
      <c r="M660">
        <v>8.9200000000000008E-3</v>
      </c>
      <c r="N660">
        <v>1</v>
      </c>
      <c r="P660">
        <v>1.3003499999999999</v>
      </c>
      <c r="Q660">
        <v>0.99255000000000004</v>
      </c>
      <c r="R660">
        <v>0.86734</v>
      </c>
      <c r="S660">
        <v>0.76137999999999995</v>
      </c>
      <c r="T660">
        <v>112.08499999999999</v>
      </c>
      <c r="U660">
        <v>1</v>
      </c>
    </row>
    <row r="661" spans="1:21" hidden="1" outlineLevel="1">
      <c r="A661" s="8">
        <v>43391</v>
      </c>
      <c r="B661" s="1860">
        <v>2345.9108900000001</v>
      </c>
      <c r="C661" s="1860">
        <v>3070.3400499999998</v>
      </c>
      <c r="D661" s="1860">
        <v>3511.7691300000001</v>
      </c>
      <c r="E661" s="1860">
        <v>3995.8981399999998</v>
      </c>
      <c r="F661">
        <v>27.167729999999999</v>
      </c>
      <c r="G661" s="1861">
        <v>3056.37</v>
      </c>
      <c r="I661">
        <v>0.76754999999999995</v>
      </c>
      <c r="J661">
        <v>1.00457</v>
      </c>
      <c r="K661">
        <v>1.149</v>
      </c>
      <c r="L661">
        <v>1.3073999999999999</v>
      </c>
      <c r="M661">
        <v>8.8900000000000003E-3</v>
      </c>
      <c r="N661">
        <v>1</v>
      </c>
      <c r="P661">
        <v>1.3028500000000001</v>
      </c>
      <c r="Q661">
        <v>0.99544999999999995</v>
      </c>
      <c r="R661">
        <v>0.87031999999999998</v>
      </c>
      <c r="S661">
        <v>0.76488</v>
      </c>
      <c r="T661">
        <v>112.5</v>
      </c>
      <c r="U661">
        <v>1</v>
      </c>
    </row>
    <row r="662" spans="1:21" hidden="1" outlineLevel="1">
      <c r="A662" s="8">
        <v>43392</v>
      </c>
      <c r="B662" s="1860">
        <v>2356.3515699999998</v>
      </c>
      <c r="C662" s="1860">
        <v>3099.3176100000001</v>
      </c>
      <c r="D662" s="1860">
        <v>3550.5051100000001</v>
      </c>
      <c r="E662" s="1860">
        <v>4028.6002699999999</v>
      </c>
      <c r="F662">
        <v>27.45429</v>
      </c>
      <c r="G662" s="1861">
        <v>3088.47</v>
      </c>
      <c r="I662">
        <v>0.76295000000000002</v>
      </c>
      <c r="J662">
        <v>1.0035099999999999</v>
      </c>
      <c r="K662">
        <v>1.1496</v>
      </c>
      <c r="L662">
        <v>1.3044</v>
      </c>
      <c r="M662">
        <v>8.8900000000000003E-3</v>
      </c>
      <c r="N662">
        <v>1</v>
      </c>
      <c r="P662">
        <v>1.3107</v>
      </c>
      <c r="Q662">
        <v>0.99650000000000005</v>
      </c>
      <c r="R662">
        <v>0.86987000000000003</v>
      </c>
      <c r="S662">
        <v>0.76663999999999999</v>
      </c>
      <c r="T662">
        <v>112.495</v>
      </c>
      <c r="U662">
        <v>1</v>
      </c>
    </row>
    <row r="663" spans="1:21" hidden="1" outlineLevel="1">
      <c r="A663" s="8">
        <v>43393</v>
      </c>
      <c r="B663" s="1860">
        <v>2349.7978199999998</v>
      </c>
      <c r="C663" s="1860">
        <v>3090.6974399999999</v>
      </c>
      <c r="D663" s="1860">
        <v>3540.6300500000002</v>
      </c>
      <c r="E663" s="1860">
        <v>4017.3954699999999</v>
      </c>
      <c r="F663">
        <v>27.377929999999999</v>
      </c>
      <c r="G663" s="1861">
        <v>3079.88</v>
      </c>
      <c r="I663">
        <v>0.76295000000000002</v>
      </c>
      <c r="J663">
        <v>1.0035099999999999</v>
      </c>
      <c r="K663">
        <v>1.1496</v>
      </c>
      <c r="L663">
        <v>1.3044</v>
      </c>
      <c r="M663">
        <v>8.8900000000000003E-3</v>
      </c>
      <c r="N663">
        <v>1</v>
      </c>
      <c r="P663">
        <v>1.3107</v>
      </c>
      <c r="Q663">
        <v>0.99650000000000005</v>
      </c>
      <c r="R663">
        <v>0.86987000000000003</v>
      </c>
      <c r="S663">
        <v>0.76663999999999999</v>
      </c>
      <c r="T663">
        <v>112.495</v>
      </c>
      <c r="U663">
        <v>1</v>
      </c>
    </row>
    <row r="664" spans="1:21" hidden="1" outlineLevel="1">
      <c r="A664" s="8">
        <v>43394</v>
      </c>
      <c r="B664" s="1860">
        <v>2349.7978199999998</v>
      </c>
      <c r="C664" s="1860">
        <v>3090.6974399999999</v>
      </c>
      <c r="D664" s="1860">
        <v>3540.6300500000002</v>
      </c>
      <c r="E664" s="1860">
        <v>4017.3954699999999</v>
      </c>
      <c r="F664">
        <v>27.377929999999999</v>
      </c>
      <c r="G664" s="1861">
        <v>3079.88</v>
      </c>
      <c r="I664">
        <v>0.76295000000000002</v>
      </c>
      <c r="J664">
        <v>1.0035099999999999</v>
      </c>
      <c r="K664">
        <v>1.1496</v>
      </c>
      <c r="L664">
        <v>1.3044</v>
      </c>
      <c r="M664">
        <v>8.8900000000000003E-3</v>
      </c>
      <c r="N664">
        <v>1</v>
      </c>
      <c r="P664">
        <v>1.3107</v>
      </c>
      <c r="Q664">
        <v>0.99650000000000005</v>
      </c>
      <c r="R664">
        <v>0.86987000000000003</v>
      </c>
      <c r="S664">
        <v>0.76663999999999999</v>
      </c>
      <c r="T664">
        <v>112.495</v>
      </c>
      <c r="U664">
        <v>1</v>
      </c>
    </row>
    <row r="665" spans="1:21" hidden="1" outlineLevel="1">
      <c r="A665" s="8">
        <v>43395</v>
      </c>
      <c r="B665" s="1860">
        <v>2351.4124299999999</v>
      </c>
      <c r="C665" s="1860">
        <v>3089.3023699999999</v>
      </c>
      <c r="D665" s="1860">
        <v>3532.46837</v>
      </c>
      <c r="E665" s="1860">
        <v>3995.3743300000001</v>
      </c>
      <c r="F665">
        <v>27.290590000000002</v>
      </c>
      <c r="G665" s="1861">
        <v>3079.88</v>
      </c>
      <c r="I665">
        <v>0.76348000000000005</v>
      </c>
      <c r="J665">
        <v>1.0030600000000001</v>
      </c>
      <c r="K665">
        <v>1.1469499999999999</v>
      </c>
      <c r="L665">
        <v>1.29725</v>
      </c>
      <c r="M665">
        <v>8.8599999999999998E-3</v>
      </c>
      <c r="N665">
        <v>1</v>
      </c>
      <c r="P665">
        <v>1.3098000000000001</v>
      </c>
      <c r="Q665">
        <v>0.99695</v>
      </c>
      <c r="R665">
        <v>0.87187999999999999</v>
      </c>
      <c r="S665">
        <v>0.77085999999999999</v>
      </c>
      <c r="T665">
        <v>112.855</v>
      </c>
      <c r="U665">
        <v>1</v>
      </c>
    </row>
    <row r="666" spans="1:21" hidden="1" outlineLevel="1">
      <c r="A666" s="8">
        <v>43396</v>
      </c>
      <c r="B666" s="1860">
        <v>2355.4928300000001</v>
      </c>
      <c r="C666" s="1860">
        <v>3102.4718600000001</v>
      </c>
      <c r="D666" s="1860">
        <v>3537.9035399999998</v>
      </c>
      <c r="E666" s="1860">
        <v>4005.3631599999999</v>
      </c>
      <c r="F666">
        <v>27.544319999999999</v>
      </c>
      <c r="G666" s="1861">
        <v>3087.58</v>
      </c>
      <c r="I666">
        <v>0.76288999999999996</v>
      </c>
      <c r="J666">
        <v>1.00482</v>
      </c>
      <c r="K666">
        <v>1.14585</v>
      </c>
      <c r="L666">
        <v>1.29725</v>
      </c>
      <c r="M666">
        <v>8.9200000000000008E-3</v>
      </c>
      <c r="N666">
        <v>1</v>
      </c>
      <c r="P666">
        <v>1.3108</v>
      </c>
      <c r="Q666">
        <v>0.99519999999999997</v>
      </c>
      <c r="R666">
        <v>0.87270999999999999</v>
      </c>
      <c r="S666">
        <v>0.77085999999999999</v>
      </c>
      <c r="T666">
        <v>112.095</v>
      </c>
      <c r="U666">
        <v>1</v>
      </c>
    </row>
    <row r="667" spans="1:21" hidden="1" outlineLevel="1">
      <c r="A667" s="8">
        <v>43397</v>
      </c>
      <c r="B667" s="1860">
        <v>2390.4388600000002</v>
      </c>
      <c r="C667" s="1860">
        <v>3116.5890100000001</v>
      </c>
      <c r="D667" s="1860">
        <v>3544.3839200000002</v>
      </c>
      <c r="E667" s="1860">
        <v>4015.8902400000002</v>
      </c>
      <c r="F667">
        <v>27.632709999999999</v>
      </c>
      <c r="G667" s="1861">
        <v>3110.2</v>
      </c>
      <c r="I667">
        <v>0.76858000000000004</v>
      </c>
      <c r="J667">
        <v>1.0020500000000001</v>
      </c>
      <c r="K667">
        <v>1.1395999999999999</v>
      </c>
      <c r="L667">
        <v>1.2911999999999999</v>
      </c>
      <c r="M667">
        <v>8.8800000000000007E-3</v>
      </c>
      <c r="N667">
        <v>1</v>
      </c>
      <c r="P667">
        <v>1.3010999999999999</v>
      </c>
      <c r="Q667">
        <v>0.99795</v>
      </c>
      <c r="R667">
        <v>0.87749999999999995</v>
      </c>
      <c r="S667">
        <v>0.77446999999999999</v>
      </c>
      <c r="T667">
        <v>112.55500000000001</v>
      </c>
      <c r="U667">
        <v>1</v>
      </c>
    </row>
    <row r="668" spans="1:21" hidden="1" outlineLevel="1">
      <c r="A668" s="8">
        <v>43398</v>
      </c>
      <c r="B668" s="1860">
        <v>2406.0041200000001</v>
      </c>
      <c r="C668" s="1860">
        <v>3145.1395499999999</v>
      </c>
      <c r="D668" s="1860">
        <v>3584.2011200000002</v>
      </c>
      <c r="E668" s="1860">
        <v>4036.02558</v>
      </c>
      <c r="F668">
        <v>27.986139999999999</v>
      </c>
      <c r="G668" s="1861">
        <v>3149.7</v>
      </c>
      <c r="I668">
        <v>0.76388</v>
      </c>
      <c r="J668">
        <v>0.99855000000000005</v>
      </c>
      <c r="K668">
        <v>1.13795</v>
      </c>
      <c r="L668">
        <v>1.2814000000000001</v>
      </c>
      <c r="M668">
        <v>8.8900000000000003E-3</v>
      </c>
      <c r="N668">
        <v>1</v>
      </c>
      <c r="P668">
        <v>1.3090999999999999</v>
      </c>
      <c r="Q668">
        <v>1.00145</v>
      </c>
      <c r="R668">
        <v>0.87877000000000005</v>
      </c>
      <c r="S668">
        <v>0.78039999999999998</v>
      </c>
      <c r="T668">
        <v>112.545</v>
      </c>
      <c r="U668">
        <v>1</v>
      </c>
    </row>
    <row r="669" spans="1:21" hidden="1" outlineLevel="1">
      <c r="A669" s="8">
        <v>43399</v>
      </c>
      <c r="B669" s="1860">
        <v>2414.8374100000001</v>
      </c>
      <c r="C669" s="1860">
        <v>3173.0501399999998</v>
      </c>
      <c r="D669" s="1860">
        <v>3601.2420200000001</v>
      </c>
      <c r="E669" s="1860">
        <v>4060.32476</v>
      </c>
      <c r="F669">
        <v>28.421769999999999</v>
      </c>
      <c r="G669" s="1861">
        <v>3167.18</v>
      </c>
      <c r="I669">
        <v>0.76246000000000003</v>
      </c>
      <c r="J669">
        <v>1.0018499999999999</v>
      </c>
      <c r="K669">
        <v>1.1370499999999999</v>
      </c>
      <c r="L669">
        <v>1.282</v>
      </c>
      <c r="M669">
        <v>8.9700000000000005E-3</v>
      </c>
      <c r="N669">
        <v>1</v>
      </c>
      <c r="P669">
        <v>1.31155</v>
      </c>
      <c r="Q669">
        <v>0.99814999999999998</v>
      </c>
      <c r="R669">
        <v>0.87946999999999997</v>
      </c>
      <c r="S669">
        <v>0.78003</v>
      </c>
      <c r="T669">
        <v>111.435</v>
      </c>
      <c r="U669">
        <v>1</v>
      </c>
    </row>
    <row r="670" spans="1:21" hidden="1" outlineLevel="1">
      <c r="A670" s="8">
        <v>43400</v>
      </c>
      <c r="B670" s="1860">
        <v>2428.6226200000001</v>
      </c>
      <c r="C670" s="1860">
        <v>3191.16365</v>
      </c>
      <c r="D670" s="1860">
        <v>3621.79988</v>
      </c>
      <c r="E670" s="1860">
        <v>4083.5033199999998</v>
      </c>
      <c r="F670">
        <v>28.584019999999999</v>
      </c>
      <c r="G670" s="1861">
        <v>3185.26</v>
      </c>
      <c r="I670">
        <v>0.76246000000000003</v>
      </c>
      <c r="J670">
        <v>1.0018499999999999</v>
      </c>
      <c r="K670">
        <v>1.1370499999999999</v>
      </c>
      <c r="L670">
        <v>1.282</v>
      </c>
      <c r="M670">
        <v>8.9700000000000005E-3</v>
      </c>
      <c r="N670">
        <v>1</v>
      </c>
      <c r="P670">
        <v>1.31155</v>
      </c>
      <c r="Q670">
        <v>0.99814999999999998</v>
      </c>
      <c r="R670">
        <v>0.87946999999999997</v>
      </c>
      <c r="S670">
        <v>0.78003</v>
      </c>
      <c r="T670">
        <v>111.435</v>
      </c>
      <c r="U670">
        <v>1</v>
      </c>
    </row>
    <row r="671" spans="1:21" hidden="1" outlineLevel="1">
      <c r="A671" s="8">
        <v>43401</v>
      </c>
      <c r="B671" s="1860">
        <v>2428.6226200000001</v>
      </c>
      <c r="C671" s="1860">
        <v>3191.16365</v>
      </c>
      <c r="D671" s="1860">
        <v>3621.79988</v>
      </c>
      <c r="E671" s="1860">
        <v>4083.5033199999998</v>
      </c>
      <c r="F671">
        <v>28.584019999999999</v>
      </c>
      <c r="G671" s="1861">
        <v>3185.26</v>
      </c>
      <c r="I671">
        <v>0.76246000000000003</v>
      </c>
      <c r="J671">
        <v>1.0018499999999999</v>
      </c>
      <c r="K671">
        <v>1.1370499999999999</v>
      </c>
      <c r="L671">
        <v>1.282</v>
      </c>
      <c r="M671">
        <v>8.9700000000000005E-3</v>
      </c>
      <c r="N671">
        <v>1</v>
      </c>
      <c r="P671">
        <v>1.31155</v>
      </c>
      <c r="Q671">
        <v>0.99814999999999998</v>
      </c>
      <c r="R671">
        <v>0.87946999999999997</v>
      </c>
      <c r="S671">
        <v>0.78003</v>
      </c>
      <c r="T671">
        <v>111.435</v>
      </c>
      <c r="U671">
        <v>1</v>
      </c>
    </row>
    <row r="672" spans="1:21" hidden="1" outlineLevel="1">
      <c r="A672" s="8">
        <v>43402</v>
      </c>
      <c r="B672" s="1860">
        <v>2425.7558399999998</v>
      </c>
      <c r="C672" s="1860">
        <v>3183.03188</v>
      </c>
      <c r="D672" s="1860">
        <v>3627.8518800000002</v>
      </c>
      <c r="E672" s="1860">
        <v>4079.04396</v>
      </c>
      <c r="F672">
        <v>28.309650000000001</v>
      </c>
      <c r="G672" s="1861">
        <v>3185.26</v>
      </c>
      <c r="I672">
        <v>0.76156000000000001</v>
      </c>
      <c r="J672">
        <v>0.99929999999999997</v>
      </c>
      <c r="K672">
        <v>1.1389499999999999</v>
      </c>
      <c r="L672">
        <v>1.2806</v>
      </c>
      <c r="M672">
        <v>8.8900000000000003E-3</v>
      </c>
      <c r="N672">
        <v>1</v>
      </c>
      <c r="P672">
        <v>1.3130999999999999</v>
      </c>
      <c r="Q672">
        <v>1.0006999999999999</v>
      </c>
      <c r="R672">
        <v>0.878</v>
      </c>
      <c r="S672">
        <v>0.78088000000000002</v>
      </c>
      <c r="T672">
        <v>112.515</v>
      </c>
      <c r="U672">
        <v>1</v>
      </c>
    </row>
    <row r="673" spans="1:35" hidden="1" outlineLevel="1">
      <c r="A673" s="8">
        <v>43403</v>
      </c>
      <c r="B673" s="1860">
        <v>2427.9057400000002</v>
      </c>
      <c r="C673" s="1860">
        <v>3173.6153300000001</v>
      </c>
      <c r="D673" s="1860">
        <v>3623.4678800000002</v>
      </c>
      <c r="E673" s="1860">
        <v>4059.52124</v>
      </c>
      <c r="F673">
        <v>28.274789999999999</v>
      </c>
      <c r="G673" s="1861">
        <v>3188.69</v>
      </c>
      <c r="I673">
        <v>0.76141000000000003</v>
      </c>
      <c r="J673">
        <v>0.99526999999999999</v>
      </c>
      <c r="K673">
        <v>1.13635</v>
      </c>
      <c r="L673">
        <v>1.2730999999999999</v>
      </c>
      <c r="M673">
        <v>8.8699999999999994E-3</v>
      </c>
      <c r="N673">
        <v>1</v>
      </c>
      <c r="P673">
        <v>1.31335</v>
      </c>
      <c r="Q673">
        <v>1.00475</v>
      </c>
      <c r="R673">
        <v>0.88000999999999996</v>
      </c>
      <c r="S673">
        <v>0.78547999999999996</v>
      </c>
      <c r="T673">
        <v>112.77500000000001</v>
      </c>
      <c r="U673">
        <v>1</v>
      </c>
    </row>
    <row r="674" spans="1:35" ht="15.75" hidden="1" outlineLevel="1" thickBot="1">
      <c r="A674" s="1868">
        <v>43404</v>
      </c>
      <c r="B674" s="1869">
        <v>2438.5608200000001</v>
      </c>
      <c r="C674" s="1869">
        <v>3183.65643</v>
      </c>
      <c r="D674" s="1869">
        <v>3628.5246400000001</v>
      </c>
      <c r="E674" s="1869">
        <v>4091.9177100000002</v>
      </c>
      <c r="F674" s="1870">
        <v>28.37659</v>
      </c>
      <c r="G674" s="1871">
        <v>3202.44</v>
      </c>
      <c r="H674" s="1872"/>
      <c r="I674" s="1870">
        <v>0.76146999999999998</v>
      </c>
      <c r="J674" s="1870">
        <v>0.99412999999999996</v>
      </c>
      <c r="K674" s="1870">
        <v>1.1330499999999999</v>
      </c>
      <c r="L674" s="1870">
        <v>1.2777499999999999</v>
      </c>
      <c r="M674" s="1870">
        <v>8.8599999999999998E-3</v>
      </c>
      <c r="N674" s="1870">
        <v>1</v>
      </c>
      <c r="O674" s="1872"/>
      <c r="P674" s="1870">
        <v>1.31325</v>
      </c>
      <c r="Q674" s="1870">
        <v>1.0059</v>
      </c>
      <c r="R674" s="1870">
        <v>0.88256999999999997</v>
      </c>
      <c r="S674" s="1870">
        <v>0.78263000000000005</v>
      </c>
      <c r="T674" s="1870">
        <v>112.855</v>
      </c>
      <c r="U674" s="1870">
        <v>1</v>
      </c>
      <c r="V674" s="1872"/>
    </row>
    <row r="675" spans="1:35" s="1857" customFormat="1" hidden="1" outlineLevel="1">
      <c r="A675" s="8">
        <v>43405</v>
      </c>
      <c r="B675" s="1860">
        <v>2456.3069799999998</v>
      </c>
      <c r="C675" s="1860">
        <v>3209.2594399999998</v>
      </c>
      <c r="D675" s="1860">
        <v>3669.6630399999999</v>
      </c>
      <c r="E675" s="1860">
        <v>4177.2723999999998</v>
      </c>
      <c r="F675">
        <v>28.5473</v>
      </c>
      <c r="G675" s="1861">
        <v>3219.85</v>
      </c>
      <c r="I675">
        <v>0.76285999999999998</v>
      </c>
      <c r="J675">
        <v>0.99670999999999998</v>
      </c>
      <c r="K675">
        <v>1.1396999999999999</v>
      </c>
      <c r="L675">
        <v>1.29735</v>
      </c>
      <c r="M675">
        <v>8.8699999999999994E-3</v>
      </c>
      <c r="N675">
        <v>1</v>
      </c>
      <c r="P675">
        <v>1.3108500000000001</v>
      </c>
      <c r="Q675">
        <v>1.0033000000000001</v>
      </c>
      <c r="R675">
        <v>0.87741999999999998</v>
      </c>
      <c r="S675">
        <v>0.77080000000000004</v>
      </c>
      <c r="T675">
        <v>112.79</v>
      </c>
      <c r="U675">
        <v>1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</row>
    <row r="676" spans="1:35" s="1857" customFormat="1" hidden="1" outlineLevel="1">
      <c r="A676" s="8">
        <v>43406</v>
      </c>
      <c r="B676" s="1860">
        <v>2436.6202600000001</v>
      </c>
      <c r="C676" s="1860">
        <v>3182.5021200000001</v>
      </c>
      <c r="D676" s="1860">
        <v>3634.0653299999999</v>
      </c>
      <c r="E676" s="1860">
        <v>4140.1229400000002</v>
      </c>
      <c r="F676">
        <v>28.237480000000001</v>
      </c>
      <c r="G676" s="1861">
        <v>3193.8</v>
      </c>
      <c r="I676">
        <v>0.76292000000000004</v>
      </c>
      <c r="J676">
        <v>0.99646000000000001</v>
      </c>
      <c r="K676">
        <v>1.13785</v>
      </c>
      <c r="L676">
        <v>1.2963</v>
      </c>
      <c r="M676">
        <v>8.8400000000000006E-3</v>
      </c>
      <c r="N676">
        <v>1</v>
      </c>
      <c r="P676">
        <v>1.3107500000000001</v>
      </c>
      <c r="Q676">
        <v>1.0035499999999999</v>
      </c>
      <c r="R676">
        <v>0.87885000000000002</v>
      </c>
      <c r="S676">
        <v>0.77142999999999995</v>
      </c>
      <c r="T676">
        <v>113.105</v>
      </c>
      <c r="U676">
        <v>1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</row>
    <row r="677" spans="1:35" s="1857" customFormat="1" hidden="1" outlineLevel="1">
      <c r="A677" s="8">
        <v>43407</v>
      </c>
      <c r="B677" s="1860">
        <v>2424.23803</v>
      </c>
      <c r="C677" s="1860">
        <v>3166.32953</v>
      </c>
      <c r="D677" s="1860">
        <v>3615.5980199999999</v>
      </c>
      <c r="E677" s="1860">
        <v>4119.0839900000001</v>
      </c>
      <c r="F677">
        <v>28.093979999999998</v>
      </c>
      <c r="G677" s="1861">
        <v>3177.57</v>
      </c>
      <c r="I677">
        <v>0.76292000000000004</v>
      </c>
      <c r="J677">
        <v>0.99646000000000001</v>
      </c>
      <c r="K677">
        <v>1.13785</v>
      </c>
      <c r="L677">
        <v>1.2963</v>
      </c>
      <c r="M677">
        <v>8.8400000000000006E-3</v>
      </c>
      <c r="N677">
        <v>1</v>
      </c>
      <c r="P677">
        <v>1.3107500000000001</v>
      </c>
      <c r="Q677">
        <v>1.0035499999999999</v>
      </c>
      <c r="R677">
        <v>0.87885000000000002</v>
      </c>
      <c r="S677">
        <v>0.77142999999999995</v>
      </c>
      <c r="T677">
        <v>113.105</v>
      </c>
      <c r="U677">
        <v>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</row>
    <row r="678" spans="1:35" s="1857" customFormat="1" hidden="1" outlineLevel="1">
      <c r="A678" s="8">
        <v>43408</v>
      </c>
      <c r="B678" s="1860">
        <v>2424.23803</v>
      </c>
      <c r="C678" s="1860">
        <v>3166.32953</v>
      </c>
      <c r="D678" s="1860">
        <v>3615.5980199999999</v>
      </c>
      <c r="E678" s="1860">
        <v>4119.0839900000001</v>
      </c>
      <c r="F678">
        <v>28.093979999999998</v>
      </c>
      <c r="G678" s="1861">
        <v>3177.57</v>
      </c>
      <c r="I678">
        <v>0.76292000000000004</v>
      </c>
      <c r="J678">
        <v>0.99646000000000001</v>
      </c>
      <c r="K678">
        <v>1.13785</v>
      </c>
      <c r="L678">
        <v>1.2963</v>
      </c>
      <c r="M678">
        <v>8.8400000000000006E-3</v>
      </c>
      <c r="N678">
        <v>1</v>
      </c>
      <c r="P678">
        <v>1.3107500000000001</v>
      </c>
      <c r="Q678">
        <v>1.0035499999999999</v>
      </c>
      <c r="R678">
        <v>0.87885000000000002</v>
      </c>
      <c r="S678">
        <v>0.77142999999999995</v>
      </c>
      <c r="T678">
        <v>113.105</v>
      </c>
      <c r="U678">
        <v>1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</row>
    <row r="679" spans="1:35" s="1857" customFormat="1" hidden="1" outlineLevel="1">
      <c r="A679" s="8">
        <v>43409</v>
      </c>
      <c r="B679" s="1860">
        <v>2427.7571899999998</v>
      </c>
      <c r="C679" s="1860">
        <v>3161.4466200000002</v>
      </c>
      <c r="D679" s="1860">
        <v>3622.5886799999998</v>
      </c>
      <c r="E679" s="1860">
        <v>4137.19614</v>
      </c>
      <c r="F679">
        <v>28.070409999999999</v>
      </c>
      <c r="G679" s="1861">
        <v>3177.57</v>
      </c>
      <c r="I679">
        <v>0.76402999999999999</v>
      </c>
      <c r="J679">
        <v>0.99492999999999998</v>
      </c>
      <c r="K679">
        <v>1.14005</v>
      </c>
      <c r="L679">
        <v>1.302</v>
      </c>
      <c r="M679">
        <v>8.8299999999999993E-3</v>
      </c>
      <c r="N679">
        <v>1</v>
      </c>
      <c r="P679">
        <v>1.3088500000000001</v>
      </c>
      <c r="Q679">
        <v>1.0051000000000001</v>
      </c>
      <c r="R679">
        <v>0.87714999999999999</v>
      </c>
      <c r="S679">
        <v>0.76805000000000001</v>
      </c>
      <c r="T679">
        <v>113.2</v>
      </c>
      <c r="U679">
        <v>1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</row>
    <row r="680" spans="1:35" s="1857" customFormat="1" hidden="1" outlineLevel="1">
      <c r="A680" s="8">
        <v>43410</v>
      </c>
      <c r="B680" s="1860">
        <v>2421.74377</v>
      </c>
      <c r="C680" s="1860">
        <v>3165.8563300000001</v>
      </c>
      <c r="D680" s="1860">
        <v>3627.83167</v>
      </c>
      <c r="E680" s="1860">
        <v>4156.4204399999999</v>
      </c>
      <c r="F680">
        <v>28.028310000000001</v>
      </c>
      <c r="G680" s="1861">
        <v>3177.57</v>
      </c>
      <c r="I680">
        <v>0.76214000000000004</v>
      </c>
      <c r="J680">
        <v>0.99631000000000003</v>
      </c>
      <c r="K680">
        <v>1.1416999999999999</v>
      </c>
      <c r="L680">
        <v>1.3080499999999999</v>
      </c>
      <c r="M680">
        <v>8.8199999999999997E-3</v>
      </c>
      <c r="N680">
        <v>1</v>
      </c>
      <c r="P680">
        <v>1.3121</v>
      </c>
      <c r="Q680">
        <v>1.0037</v>
      </c>
      <c r="R680">
        <v>0.87588999999999995</v>
      </c>
      <c r="S680">
        <v>0.76449999999999996</v>
      </c>
      <c r="T680">
        <v>113.37</v>
      </c>
      <c r="U680">
        <v>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</row>
    <row r="681" spans="1:35" s="1857" customFormat="1" hidden="1" outlineLevel="1">
      <c r="A681" s="8">
        <v>43411</v>
      </c>
      <c r="B681" s="1860">
        <v>2406.2166299999999</v>
      </c>
      <c r="C681" s="1860">
        <v>3156.12806</v>
      </c>
      <c r="D681" s="1860">
        <v>3618.5843</v>
      </c>
      <c r="E681" s="1860">
        <v>4143.6591500000004</v>
      </c>
      <c r="F681">
        <v>27.831399999999999</v>
      </c>
      <c r="G681" s="1861">
        <v>3154.55</v>
      </c>
      <c r="I681">
        <v>0.76278000000000001</v>
      </c>
      <c r="J681">
        <v>1.0004999999999999</v>
      </c>
      <c r="K681">
        <v>1.1471</v>
      </c>
      <c r="L681">
        <v>1.31355</v>
      </c>
      <c r="M681">
        <v>8.8199999999999997E-3</v>
      </c>
      <c r="N681">
        <v>1</v>
      </c>
      <c r="P681">
        <v>1.3109999999999999</v>
      </c>
      <c r="Q681">
        <v>0.99950000000000006</v>
      </c>
      <c r="R681">
        <v>0.87175999999999998</v>
      </c>
      <c r="S681">
        <v>0.76129999999999998</v>
      </c>
      <c r="T681">
        <v>113.345</v>
      </c>
      <c r="U681">
        <v>1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</row>
    <row r="682" spans="1:35" s="1857" customFormat="1" hidden="1" outlineLevel="1">
      <c r="A682" s="8">
        <v>43412</v>
      </c>
      <c r="B682" s="1860">
        <v>2396.5885699999999</v>
      </c>
      <c r="C682" s="1860">
        <v>3131.9503300000001</v>
      </c>
      <c r="D682" s="1860">
        <v>3588.2066599999998</v>
      </c>
      <c r="E682" s="1860">
        <v>4122.2061800000001</v>
      </c>
      <c r="F682">
        <v>27.594460000000002</v>
      </c>
      <c r="G682" s="1861">
        <v>3140.25</v>
      </c>
      <c r="I682">
        <v>0.76317999999999997</v>
      </c>
      <c r="J682">
        <v>0.99736000000000002</v>
      </c>
      <c r="K682">
        <v>1.1426499999999999</v>
      </c>
      <c r="L682">
        <v>1.3127</v>
      </c>
      <c r="M682">
        <v>8.7899999999999992E-3</v>
      </c>
      <c r="N682">
        <v>1</v>
      </c>
      <c r="P682">
        <v>1.3103</v>
      </c>
      <c r="Q682">
        <v>1.00265</v>
      </c>
      <c r="R682">
        <v>0.87516000000000005</v>
      </c>
      <c r="S682">
        <v>0.76178999999999997</v>
      </c>
      <c r="T682">
        <v>113.8</v>
      </c>
      <c r="U682">
        <v>1</v>
      </c>
      <c r="W682"/>
      <c r="X682"/>
      <c r="Y682"/>
      <c r="Z682"/>
      <c r="AA682"/>
      <c r="AB682"/>
      <c r="AC682"/>
      <c r="AD682"/>
      <c r="AE682"/>
      <c r="AF682"/>
      <c r="AG682"/>
      <c r="AH682"/>
      <c r="AI682"/>
    </row>
    <row r="683" spans="1:35" s="1857" customFormat="1" hidden="1" outlineLevel="1">
      <c r="A683" s="8">
        <v>43413</v>
      </c>
      <c r="B683" s="1860">
        <v>2384.13553</v>
      </c>
      <c r="C683" s="1860">
        <v>3130.5200300000001</v>
      </c>
      <c r="D683" s="1860">
        <v>3571.1185399999999</v>
      </c>
      <c r="E683" s="1860">
        <v>4098.1286300000002</v>
      </c>
      <c r="F683">
        <v>27.66029</v>
      </c>
      <c r="G683" s="1861">
        <v>3145.39</v>
      </c>
      <c r="I683">
        <v>0.75797999999999999</v>
      </c>
      <c r="J683">
        <v>0.99526999999999999</v>
      </c>
      <c r="K683">
        <v>1.1353500000000001</v>
      </c>
      <c r="L683">
        <v>1.3028999999999999</v>
      </c>
      <c r="M683">
        <v>8.7899999999999992E-3</v>
      </c>
      <c r="N683">
        <v>1</v>
      </c>
      <c r="P683">
        <v>1.3192999999999999</v>
      </c>
      <c r="Q683">
        <v>1.00475</v>
      </c>
      <c r="R683">
        <v>0.88078999999999996</v>
      </c>
      <c r="S683">
        <v>0.76751999999999998</v>
      </c>
      <c r="T683">
        <v>113.715</v>
      </c>
      <c r="U683">
        <v>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</row>
    <row r="684" spans="1:35" s="1857" customFormat="1" hidden="1" outlineLevel="1">
      <c r="A684" s="8">
        <v>43414</v>
      </c>
      <c r="B684" s="1860">
        <v>2408.0118200000002</v>
      </c>
      <c r="C684" s="1860">
        <v>3161.87111</v>
      </c>
      <c r="D684" s="1860">
        <v>3606.8820599999999</v>
      </c>
      <c r="E684" s="1860">
        <v>4139.1699799999997</v>
      </c>
      <c r="F684">
        <v>27.9373</v>
      </c>
      <c r="G684" s="1861">
        <v>3176.89</v>
      </c>
      <c r="I684">
        <v>0.75797999999999999</v>
      </c>
      <c r="J684">
        <v>0.99526999999999999</v>
      </c>
      <c r="K684">
        <v>1.1353500000000001</v>
      </c>
      <c r="L684">
        <v>1.3028999999999999</v>
      </c>
      <c r="M684">
        <v>8.7899999999999992E-3</v>
      </c>
      <c r="N684">
        <v>1</v>
      </c>
      <c r="P684">
        <v>1.3192999999999999</v>
      </c>
      <c r="Q684">
        <v>1.00475</v>
      </c>
      <c r="R684">
        <v>0.88078999999999996</v>
      </c>
      <c r="S684">
        <v>0.76751999999999998</v>
      </c>
      <c r="T684">
        <v>113.715</v>
      </c>
      <c r="U684">
        <v>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</row>
    <row r="685" spans="1:35" s="1857" customFormat="1" hidden="1" outlineLevel="1">
      <c r="A685" s="8">
        <v>43415</v>
      </c>
      <c r="B685" s="1860">
        <v>2408.0118200000002</v>
      </c>
      <c r="C685" s="1860">
        <v>3161.87111</v>
      </c>
      <c r="D685" s="1860">
        <v>3606.8820599999999</v>
      </c>
      <c r="E685" s="1860">
        <v>4139.1699799999997</v>
      </c>
      <c r="F685">
        <v>27.9373</v>
      </c>
      <c r="G685" s="1861">
        <v>3176.89</v>
      </c>
      <c r="I685">
        <v>0.75797999999999999</v>
      </c>
      <c r="J685">
        <v>0.99526999999999999</v>
      </c>
      <c r="K685">
        <v>1.1353500000000001</v>
      </c>
      <c r="L685">
        <v>1.3028999999999999</v>
      </c>
      <c r="M685">
        <v>8.7899999999999992E-3</v>
      </c>
      <c r="N685">
        <v>1</v>
      </c>
      <c r="P685">
        <v>1.3192999999999999</v>
      </c>
      <c r="Q685">
        <v>1.00475</v>
      </c>
      <c r="R685">
        <v>0.88078999999999996</v>
      </c>
      <c r="S685">
        <v>0.76751999999999998</v>
      </c>
      <c r="T685">
        <v>113.715</v>
      </c>
      <c r="U685">
        <v>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</row>
    <row r="686" spans="1:35" s="1857" customFormat="1" hidden="1" outlineLevel="1">
      <c r="A686" s="8">
        <v>43416</v>
      </c>
      <c r="B686" s="1860">
        <v>2403.5483300000001</v>
      </c>
      <c r="C686" s="1860">
        <v>3148.08502</v>
      </c>
      <c r="D686" s="1860">
        <v>3574.3189400000001</v>
      </c>
      <c r="E686" s="1860">
        <v>4087.3866699999999</v>
      </c>
      <c r="F686">
        <v>27.92379</v>
      </c>
      <c r="G686" s="1861">
        <v>3176.89</v>
      </c>
      <c r="I686">
        <v>0.75656999999999996</v>
      </c>
      <c r="J686">
        <v>0.99092999999999998</v>
      </c>
      <c r="K686">
        <v>1.1251</v>
      </c>
      <c r="L686">
        <v>1.2866</v>
      </c>
      <c r="M686">
        <v>8.7899999999999992E-3</v>
      </c>
      <c r="N686">
        <v>1</v>
      </c>
      <c r="P686">
        <v>1.32175</v>
      </c>
      <c r="Q686">
        <v>1.00915</v>
      </c>
      <c r="R686">
        <v>0.88880999999999999</v>
      </c>
      <c r="S686">
        <v>0.77724000000000004</v>
      </c>
      <c r="T686">
        <v>113.77</v>
      </c>
      <c r="U686">
        <v>1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</row>
    <row r="687" spans="1:35" s="1857" customFormat="1" hidden="1" outlineLevel="1">
      <c r="A687" s="8">
        <v>43417</v>
      </c>
      <c r="B687" s="1860">
        <v>2398.9201800000001</v>
      </c>
      <c r="C687" s="1860">
        <v>3149.0211599999998</v>
      </c>
      <c r="D687" s="1860">
        <v>3583.69076</v>
      </c>
      <c r="E687" s="1860">
        <v>4128.68624</v>
      </c>
      <c r="F687">
        <v>27.88458</v>
      </c>
      <c r="G687" s="1861">
        <v>3176.89</v>
      </c>
      <c r="I687">
        <v>0.75512000000000001</v>
      </c>
      <c r="J687">
        <v>0.99123000000000006</v>
      </c>
      <c r="K687">
        <v>1.12805</v>
      </c>
      <c r="L687">
        <v>1.2996000000000001</v>
      </c>
      <c r="M687">
        <v>8.7799999999999996E-3</v>
      </c>
      <c r="N687">
        <v>1</v>
      </c>
      <c r="P687">
        <v>1.3243</v>
      </c>
      <c r="Q687">
        <v>1.00885</v>
      </c>
      <c r="R687">
        <v>0.88649</v>
      </c>
      <c r="S687">
        <v>0.76946999999999999</v>
      </c>
      <c r="T687">
        <v>113.93</v>
      </c>
      <c r="U687">
        <v>1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</row>
    <row r="688" spans="1:35" s="1857" customFormat="1" hidden="1" outlineLevel="1">
      <c r="A688" s="8">
        <v>43418</v>
      </c>
      <c r="B688" s="1860">
        <v>2416.53755</v>
      </c>
      <c r="C688" s="1860">
        <v>3172.7696700000001</v>
      </c>
      <c r="D688" s="1860">
        <v>3615.3937599999999</v>
      </c>
      <c r="E688" s="1860">
        <v>4157.4790199999998</v>
      </c>
      <c r="F688">
        <v>28.071470000000001</v>
      </c>
      <c r="G688" s="1861">
        <v>3197.2</v>
      </c>
      <c r="I688">
        <v>0.75583</v>
      </c>
      <c r="J688">
        <v>0.99236000000000002</v>
      </c>
      <c r="K688">
        <v>1.1308</v>
      </c>
      <c r="L688">
        <v>1.3003499999999999</v>
      </c>
      <c r="M688">
        <v>8.7799999999999996E-3</v>
      </c>
      <c r="N688">
        <v>1</v>
      </c>
      <c r="P688">
        <v>1.3230500000000001</v>
      </c>
      <c r="Q688">
        <v>1.0077</v>
      </c>
      <c r="R688">
        <v>0.88432999999999995</v>
      </c>
      <c r="S688">
        <v>0.76902000000000004</v>
      </c>
      <c r="T688">
        <v>113.895</v>
      </c>
      <c r="U688">
        <v>1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</row>
    <row r="689" spans="1:35" s="1857" customFormat="1" hidden="1" outlineLevel="1">
      <c r="A689" s="8">
        <v>43419</v>
      </c>
      <c r="B689" s="1860">
        <v>2415.1043199999999</v>
      </c>
      <c r="C689" s="1860">
        <v>3175.4883</v>
      </c>
      <c r="D689" s="1860">
        <v>3616.0809300000001</v>
      </c>
      <c r="E689" s="1860">
        <v>4084.7434199999998</v>
      </c>
      <c r="F689">
        <v>28.210519999999999</v>
      </c>
      <c r="G689" s="1861">
        <v>3194.7</v>
      </c>
      <c r="I689">
        <v>0.75597000000000003</v>
      </c>
      <c r="J689">
        <v>0.99399000000000004</v>
      </c>
      <c r="K689">
        <v>1.1318999999999999</v>
      </c>
      <c r="L689">
        <v>1.2786</v>
      </c>
      <c r="M689">
        <v>8.8299999999999993E-3</v>
      </c>
      <c r="N689">
        <v>1</v>
      </c>
      <c r="P689">
        <v>1.3228</v>
      </c>
      <c r="Q689">
        <v>1.0060500000000001</v>
      </c>
      <c r="R689">
        <v>0.88346999999999998</v>
      </c>
      <c r="S689">
        <v>0.78210999999999997</v>
      </c>
      <c r="T689">
        <v>113.245</v>
      </c>
      <c r="U689">
        <v>1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</row>
    <row r="690" spans="1:35" s="1857" customFormat="1" hidden="1" outlineLevel="1">
      <c r="A690" s="8">
        <v>43420</v>
      </c>
      <c r="B690" s="1860">
        <v>2433.54765</v>
      </c>
      <c r="C690" s="1860">
        <v>3189.9960099999998</v>
      </c>
      <c r="D690" s="1860">
        <v>3644.2915400000002</v>
      </c>
      <c r="E690" s="1860">
        <v>4105.9647000000004</v>
      </c>
      <c r="F690">
        <v>28.344840000000001</v>
      </c>
      <c r="G690" s="1861">
        <v>3198.29</v>
      </c>
      <c r="I690">
        <v>0.76088999999999996</v>
      </c>
      <c r="J690">
        <v>0.99741000000000002</v>
      </c>
      <c r="K690">
        <v>1.1394500000000001</v>
      </c>
      <c r="L690">
        <v>1.2838000000000001</v>
      </c>
      <c r="M690">
        <v>8.8599999999999998E-3</v>
      </c>
      <c r="N690">
        <v>1</v>
      </c>
      <c r="P690">
        <v>1.3142499999999999</v>
      </c>
      <c r="Q690">
        <v>1.0025999999999999</v>
      </c>
      <c r="R690">
        <v>0.87761999999999996</v>
      </c>
      <c r="S690">
        <v>0.77893999999999997</v>
      </c>
      <c r="T690">
        <v>112.83499999999999</v>
      </c>
      <c r="U690">
        <v>1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</row>
    <row r="691" spans="1:35" hidden="1" outlineLevel="1">
      <c r="A691" s="8">
        <v>43421</v>
      </c>
      <c r="B691" s="1860">
        <v>2414.7536599999999</v>
      </c>
      <c r="C691" s="1860">
        <v>3165.36006</v>
      </c>
      <c r="D691" s="1860">
        <v>3616.1471299999998</v>
      </c>
      <c r="E691" s="1860">
        <v>4074.2548400000001</v>
      </c>
      <c r="F691">
        <v>28.12594</v>
      </c>
      <c r="G691" s="1861">
        <v>3173.59</v>
      </c>
      <c r="I691">
        <v>0.76088999999999996</v>
      </c>
      <c r="J691">
        <v>0.99741000000000002</v>
      </c>
      <c r="K691">
        <v>1.1394500000000001</v>
      </c>
      <c r="L691">
        <v>1.2838000000000001</v>
      </c>
      <c r="M691">
        <v>8.8599999999999998E-3</v>
      </c>
      <c r="N691">
        <v>1</v>
      </c>
      <c r="P691">
        <v>1.3142499999999999</v>
      </c>
      <c r="Q691">
        <v>1.0025999999999999</v>
      </c>
      <c r="R691">
        <v>0.87761999999999996</v>
      </c>
      <c r="S691">
        <v>0.77893999999999997</v>
      </c>
      <c r="T691">
        <v>112.83499999999999</v>
      </c>
      <c r="U691">
        <v>1</v>
      </c>
    </row>
    <row r="692" spans="1:35" hidden="1" outlineLevel="1">
      <c r="A692" s="8">
        <v>43422</v>
      </c>
      <c r="B692" s="1860">
        <v>2414.7536599999999</v>
      </c>
      <c r="C692" s="1860">
        <v>3165.36006</v>
      </c>
      <c r="D692" s="1860">
        <v>3616.1471299999998</v>
      </c>
      <c r="E692" s="1860">
        <v>4074.2548400000001</v>
      </c>
      <c r="F692">
        <v>28.12594</v>
      </c>
      <c r="G692" s="1861">
        <v>3173.59</v>
      </c>
      <c r="I692">
        <v>0.76088999999999996</v>
      </c>
      <c r="J692">
        <v>0.99741000000000002</v>
      </c>
      <c r="K692">
        <v>1.1394500000000001</v>
      </c>
      <c r="L692">
        <v>1.2838000000000001</v>
      </c>
      <c r="M692">
        <v>8.8599999999999998E-3</v>
      </c>
      <c r="N692">
        <v>1</v>
      </c>
      <c r="P692">
        <v>1.3142499999999999</v>
      </c>
      <c r="Q692">
        <v>1.0025999999999999</v>
      </c>
      <c r="R692">
        <v>0.87761999999999996</v>
      </c>
      <c r="S692">
        <v>0.77893999999999997</v>
      </c>
      <c r="T692">
        <v>112.83499999999999</v>
      </c>
      <c r="U692">
        <v>1</v>
      </c>
    </row>
    <row r="693" spans="1:35" hidden="1" outlineLevel="1">
      <c r="A693" s="8">
        <v>43423</v>
      </c>
      <c r="B693" s="1860">
        <v>2409.5285100000001</v>
      </c>
      <c r="C693" s="1860">
        <v>3192.9070900000002</v>
      </c>
      <c r="D693" s="1860">
        <v>3634.87131</v>
      </c>
      <c r="E693" s="1860">
        <v>4081.7127799999998</v>
      </c>
      <c r="F693">
        <v>28.19089</v>
      </c>
      <c r="G693" s="1861">
        <v>3173.59</v>
      </c>
      <c r="I693">
        <v>0.75924000000000003</v>
      </c>
      <c r="J693">
        <v>1.0060899999999999</v>
      </c>
      <c r="K693">
        <v>1.1453500000000001</v>
      </c>
      <c r="L693">
        <v>1.2861499999999999</v>
      </c>
      <c r="M693">
        <v>8.8800000000000007E-3</v>
      </c>
      <c r="N693">
        <v>1</v>
      </c>
      <c r="P693">
        <v>1.3170999999999999</v>
      </c>
      <c r="Q693">
        <v>0.99395</v>
      </c>
      <c r="R693">
        <v>0.87309999999999999</v>
      </c>
      <c r="S693">
        <v>0.77751000000000003</v>
      </c>
      <c r="T693">
        <v>112.575</v>
      </c>
      <c r="U693">
        <v>1</v>
      </c>
    </row>
    <row r="694" spans="1:35" hidden="1" outlineLevel="1">
      <c r="A694" s="8">
        <v>43424</v>
      </c>
      <c r="B694" s="1860">
        <v>2402.1839300000001</v>
      </c>
      <c r="C694" s="1860">
        <v>3198.9634700000001</v>
      </c>
      <c r="D694" s="1860">
        <v>3627.4990299999999</v>
      </c>
      <c r="E694" s="1860">
        <v>4076.50594</v>
      </c>
      <c r="F694">
        <v>28.223479999999999</v>
      </c>
      <c r="G694" s="1861">
        <v>3178.81</v>
      </c>
      <c r="I694">
        <v>0.75568999999999997</v>
      </c>
      <c r="J694">
        <v>1.00634</v>
      </c>
      <c r="K694">
        <v>1.1411500000000001</v>
      </c>
      <c r="L694">
        <v>1.2824</v>
      </c>
      <c r="M694">
        <v>8.8800000000000007E-3</v>
      </c>
      <c r="N694">
        <v>1</v>
      </c>
      <c r="P694">
        <v>1.3232999999999999</v>
      </c>
      <c r="Q694">
        <v>0.99370000000000003</v>
      </c>
      <c r="R694">
        <v>0.87631000000000003</v>
      </c>
      <c r="S694">
        <v>0.77978999999999998</v>
      </c>
      <c r="T694">
        <v>112.63</v>
      </c>
      <c r="U694">
        <v>1</v>
      </c>
    </row>
    <row r="695" spans="1:35" hidden="1" outlineLevel="1">
      <c r="A695" s="8">
        <v>43425</v>
      </c>
      <c r="B695" s="1860">
        <v>2399.0297099999998</v>
      </c>
      <c r="C695" s="1860">
        <v>3204.0886</v>
      </c>
      <c r="D695" s="1860">
        <v>3634.1276899999998</v>
      </c>
      <c r="E695" s="1860">
        <v>4075.5558799999999</v>
      </c>
      <c r="F695">
        <v>28.231999999999999</v>
      </c>
      <c r="G695" s="1861">
        <v>3189.51</v>
      </c>
      <c r="I695">
        <v>0.75216000000000005</v>
      </c>
      <c r="J695">
        <v>1.00457</v>
      </c>
      <c r="K695">
        <v>1.1394</v>
      </c>
      <c r="L695">
        <v>1.2778</v>
      </c>
      <c r="M695">
        <v>8.8500000000000002E-3</v>
      </c>
      <c r="N695">
        <v>1</v>
      </c>
      <c r="P695">
        <v>1.3294999999999999</v>
      </c>
      <c r="Q695">
        <v>0.99544999999999995</v>
      </c>
      <c r="R695">
        <v>0.87765000000000004</v>
      </c>
      <c r="S695">
        <v>0.78259999999999996</v>
      </c>
      <c r="T695">
        <v>112.97499999999999</v>
      </c>
      <c r="U695">
        <v>1</v>
      </c>
    </row>
    <row r="696" spans="1:35" hidden="1" outlineLevel="1">
      <c r="A696" s="8">
        <v>43426</v>
      </c>
      <c r="B696" s="1860">
        <v>2418.8436499999998</v>
      </c>
      <c r="C696" s="1860">
        <v>3213.6135100000001</v>
      </c>
      <c r="D696" s="1860">
        <v>3645.9737799999998</v>
      </c>
      <c r="E696" s="1860">
        <v>4115.5043800000003</v>
      </c>
      <c r="F696">
        <v>28.29175</v>
      </c>
      <c r="G696" s="1861">
        <v>3196.26</v>
      </c>
      <c r="I696">
        <v>0.75677000000000005</v>
      </c>
      <c r="J696">
        <v>1.00543</v>
      </c>
      <c r="K696">
        <v>1.1407</v>
      </c>
      <c r="L696">
        <v>1.2876000000000001</v>
      </c>
      <c r="M696">
        <v>8.8500000000000002E-3</v>
      </c>
      <c r="N696">
        <v>1</v>
      </c>
      <c r="P696">
        <v>1.3213999999999999</v>
      </c>
      <c r="Q696">
        <v>0.99460000000000004</v>
      </c>
      <c r="R696">
        <v>0.87665000000000004</v>
      </c>
      <c r="S696">
        <v>0.77664</v>
      </c>
      <c r="T696">
        <v>112.97499999999999</v>
      </c>
      <c r="U696">
        <v>1</v>
      </c>
    </row>
    <row r="697" spans="1:35" hidden="1" outlineLevel="1">
      <c r="A697" s="8">
        <v>43427</v>
      </c>
      <c r="B697" s="1860">
        <v>2415.5531999999998</v>
      </c>
      <c r="C697" s="1860">
        <v>3205.07395</v>
      </c>
      <c r="D697" s="1860">
        <v>3625.83734</v>
      </c>
      <c r="E697" s="1860">
        <v>4092.8109300000001</v>
      </c>
      <c r="F697">
        <v>28.341919999999998</v>
      </c>
      <c r="G697" s="1861">
        <v>3196.26</v>
      </c>
      <c r="I697">
        <v>0.75573999999999997</v>
      </c>
      <c r="J697">
        <v>1.0027600000000001</v>
      </c>
      <c r="K697">
        <v>1.1344000000000001</v>
      </c>
      <c r="L697">
        <v>1.2805</v>
      </c>
      <c r="M697">
        <v>8.8699999999999994E-3</v>
      </c>
      <c r="N697">
        <v>1</v>
      </c>
      <c r="P697">
        <v>1.3231999999999999</v>
      </c>
      <c r="Q697">
        <v>0.99724999999999997</v>
      </c>
      <c r="R697">
        <v>0.88151999999999997</v>
      </c>
      <c r="S697">
        <v>0.78093999999999997</v>
      </c>
      <c r="T697">
        <v>112.77500000000001</v>
      </c>
      <c r="U697">
        <v>1</v>
      </c>
    </row>
    <row r="698" spans="1:35" hidden="1" outlineLevel="1">
      <c r="A698" s="8">
        <v>43428</v>
      </c>
      <c r="B698" s="1860">
        <v>2436.47975</v>
      </c>
      <c r="C698" s="1860">
        <v>3232.84031</v>
      </c>
      <c r="D698" s="1860">
        <v>3657.2488800000001</v>
      </c>
      <c r="E698" s="1860">
        <v>4128.2679699999999</v>
      </c>
      <c r="F698">
        <v>28.58745</v>
      </c>
      <c r="G698" s="1861">
        <v>3223.95</v>
      </c>
      <c r="I698">
        <v>0.75573999999999997</v>
      </c>
      <c r="J698">
        <v>1.0027600000000001</v>
      </c>
      <c r="K698">
        <v>1.1344000000000001</v>
      </c>
      <c r="L698">
        <v>1.2805</v>
      </c>
      <c r="M698">
        <v>8.8699999999999994E-3</v>
      </c>
      <c r="N698">
        <v>1</v>
      </c>
      <c r="P698">
        <v>1.3231999999999999</v>
      </c>
      <c r="Q698">
        <v>0.99724999999999997</v>
      </c>
      <c r="R698">
        <v>0.88151999999999997</v>
      </c>
      <c r="S698">
        <v>0.78093999999999997</v>
      </c>
      <c r="T698">
        <v>112.77500000000001</v>
      </c>
      <c r="U698">
        <v>1</v>
      </c>
    </row>
    <row r="699" spans="1:35" hidden="1" outlineLevel="1">
      <c r="A699" s="8">
        <v>43429</v>
      </c>
      <c r="B699" s="1860">
        <v>2436.47975</v>
      </c>
      <c r="C699" s="1860">
        <v>3232.84031</v>
      </c>
      <c r="D699" s="1860">
        <v>3657.2488800000001</v>
      </c>
      <c r="E699" s="1860">
        <v>4128.2679699999999</v>
      </c>
      <c r="F699">
        <v>28.58745</v>
      </c>
      <c r="G699" s="1861">
        <v>3223.95</v>
      </c>
      <c r="I699">
        <v>0.75573999999999997</v>
      </c>
      <c r="J699">
        <v>1.0027600000000001</v>
      </c>
      <c r="K699">
        <v>1.1344000000000001</v>
      </c>
      <c r="L699">
        <v>1.2805</v>
      </c>
      <c r="M699">
        <v>8.8699999999999994E-3</v>
      </c>
      <c r="N699">
        <v>1</v>
      </c>
      <c r="P699">
        <v>1.3231999999999999</v>
      </c>
      <c r="Q699">
        <v>0.99724999999999997</v>
      </c>
      <c r="R699">
        <v>0.88151999999999997</v>
      </c>
      <c r="S699">
        <v>0.78093999999999997</v>
      </c>
      <c r="T699">
        <v>112.77500000000001</v>
      </c>
      <c r="U699">
        <v>1</v>
      </c>
    </row>
    <row r="700" spans="1:35" hidden="1" outlineLevel="1">
      <c r="A700" s="8">
        <v>43430</v>
      </c>
      <c r="B700" s="1860">
        <v>2435.55942</v>
      </c>
      <c r="C700" s="1860">
        <v>3227.6618100000001</v>
      </c>
      <c r="D700" s="1860">
        <v>3655.7981</v>
      </c>
      <c r="E700" s="1860">
        <v>4134.71587</v>
      </c>
      <c r="F700">
        <v>28.383590000000002</v>
      </c>
      <c r="G700" s="1861">
        <v>3223.95</v>
      </c>
      <c r="I700">
        <v>0.75546000000000002</v>
      </c>
      <c r="J700">
        <v>1.00115</v>
      </c>
      <c r="K700">
        <v>1.13395</v>
      </c>
      <c r="L700">
        <v>1.2825</v>
      </c>
      <c r="M700">
        <v>8.8000000000000005E-3</v>
      </c>
      <c r="N700">
        <v>1</v>
      </c>
      <c r="P700">
        <v>1.3237000000000001</v>
      </c>
      <c r="Q700">
        <v>0.99885000000000002</v>
      </c>
      <c r="R700">
        <v>0.88187000000000004</v>
      </c>
      <c r="S700">
        <v>0.77973000000000003</v>
      </c>
      <c r="T700">
        <v>113.58499999999999</v>
      </c>
      <c r="U700">
        <v>1</v>
      </c>
    </row>
    <row r="701" spans="1:35" hidden="1" outlineLevel="1">
      <c r="A701" s="8">
        <v>43431</v>
      </c>
      <c r="B701" s="1860">
        <v>2439.7892000000002</v>
      </c>
      <c r="C701" s="1860">
        <v>3243.4069</v>
      </c>
      <c r="D701" s="1860">
        <v>3658.5318200000002</v>
      </c>
      <c r="E701" s="1860">
        <v>4128.26404</v>
      </c>
      <c r="F701">
        <v>28.479220000000002</v>
      </c>
      <c r="G701" s="1861">
        <v>3240.65</v>
      </c>
      <c r="I701">
        <v>0.75287000000000004</v>
      </c>
      <c r="J701">
        <v>1.00085</v>
      </c>
      <c r="K701">
        <v>1.1289499999999999</v>
      </c>
      <c r="L701">
        <v>1.2739</v>
      </c>
      <c r="M701">
        <v>8.7899999999999992E-3</v>
      </c>
      <c r="N701">
        <v>1</v>
      </c>
      <c r="P701">
        <v>1.3282499999999999</v>
      </c>
      <c r="Q701">
        <v>0.99914999999999998</v>
      </c>
      <c r="R701">
        <v>0.88578000000000001</v>
      </c>
      <c r="S701">
        <v>0.78498999999999997</v>
      </c>
      <c r="T701">
        <v>113.79</v>
      </c>
      <c r="U701">
        <v>1</v>
      </c>
    </row>
    <row r="702" spans="1:35" hidden="1" outlineLevel="1">
      <c r="A702" s="8">
        <v>43432</v>
      </c>
      <c r="B702" s="1860">
        <v>2433.5092599999998</v>
      </c>
      <c r="C702" s="1860">
        <v>3249.09791</v>
      </c>
      <c r="D702" s="1860">
        <v>3665.1689299999998</v>
      </c>
      <c r="E702" s="1860">
        <v>4145.1141100000004</v>
      </c>
      <c r="F702">
        <v>28.509930000000001</v>
      </c>
      <c r="G702" s="1861">
        <v>3250.56</v>
      </c>
      <c r="I702">
        <v>0.74863999999999997</v>
      </c>
      <c r="J702">
        <v>0.99955000000000005</v>
      </c>
      <c r="K702">
        <v>1.1275500000000001</v>
      </c>
      <c r="L702">
        <v>1.2751999999999999</v>
      </c>
      <c r="M702">
        <v>8.77E-3</v>
      </c>
      <c r="N702">
        <v>1</v>
      </c>
      <c r="P702">
        <v>1.33575</v>
      </c>
      <c r="Q702">
        <v>1.0004500000000001</v>
      </c>
      <c r="R702">
        <v>0.88688</v>
      </c>
      <c r="S702">
        <v>0.78419000000000005</v>
      </c>
      <c r="T702">
        <v>114.015</v>
      </c>
      <c r="U702">
        <v>1</v>
      </c>
    </row>
    <row r="703" spans="1:35" hidden="1" outlineLevel="1">
      <c r="A703" s="8">
        <v>43433</v>
      </c>
      <c r="B703" s="1860">
        <v>2465.3440700000001</v>
      </c>
      <c r="C703" s="1860">
        <v>3287.4554499999999</v>
      </c>
      <c r="D703" s="1860">
        <v>3728.4752699999999</v>
      </c>
      <c r="E703" s="1860">
        <v>4183.9540399999996</v>
      </c>
      <c r="F703">
        <v>28.900880000000001</v>
      </c>
      <c r="G703" s="1861">
        <v>3274.47</v>
      </c>
      <c r="I703">
        <v>0.75290000000000001</v>
      </c>
      <c r="J703">
        <v>1.00397</v>
      </c>
      <c r="K703">
        <v>1.1386499999999999</v>
      </c>
      <c r="L703">
        <v>1.2777499999999999</v>
      </c>
      <c r="M703">
        <v>8.8299999999999993E-3</v>
      </c>
      <c r="N703">
        <v>1</v>
      </c>
      <c r="P703">
        <v>1.3282</v>
      </c>
      <c r="Q703">
        <v>0.99604999999999999</v>
      </c>
      <c r="R703">
        <v>0.87822999999999996</v>
      </c>
      <c r="S703">
        <v>0.78263000000000005</v>
      </c>
      <c r="T703">
        <v>113.3</v>
      </c>
      <c r="U703">
        <v>1</v>
      </c>
    </row>
    <row r="704" spans="1:35" ht="15.75" hidden="1" outlineLevel="1" thickBot="1">
      <c r="A704" s="1868">
        <v>43434</v>
      </c>
      <c r="B704" s="1869">
        <v>2437.7548700000002</v>
      </c>
      <c r="C704" s="1869">
        <v>3242.1273799999999</v>
      </c>
      <c r="D704" s="1869">
        <v>3668.5126399999999</v>
      </c>
      <c r="E704" s="1869">
        <v>4133.9415200000003</v>
      </c>
      <c r="F704" s="1870">
        <v>28.533860000000001</v>
      </c>
      <c r="G704" s="1871">
        <v>3240.02</v>
      </c>
      <c r="H704" s="1872"/>
      <c r="I704" s="1870">
        <v>0.75239</v>
      </c>
      <c r="J704" s="1870">
        <v>1.00065</v>
      </c>
      <c r="K704" s="1870">
        <v>1.13225</v>
      </c>
      <c r="L704" s="1870">
        <v>1.2759</v>
      </c>
      <c r="M704" s="1870">
        <v>8.8100000000000001E-3</v>
      </c>
      <c r="N704" s="1870">
        <v>1</v>
      </c>
      <c r="O704" s="1872"/>
      <c r="P704" s="1870">
        <v>1.3290999999999999</v>
      </c>
      <c r="Q704" s="1870">
        <v>0.99934999999999996</v>
      </c>
      <c r="R704" s="1870">
        <v>0.88319999999999999</v>
      </c>
      <c r="S704" s="1870">
        <v>0.78376000000000001</v>
      </c>
      <c r="T704" s="1870">
        <v>113.55</v>
      </c>
      <c r="U704" s="1870">
        <v>1</v>
      </c>
      <c r="V704" s="1872"/>
    </row>
    <row r="705" spans="1:35" hidden="1" outlineLevel="1">
      <c r="A705" s="8">
        <v>43435</v>
      </c>
      <c r="B705" s="1860">
        <v>2434.18102</v>
      </c>
      <c r="C705" s="1860">
        <v>3237.3742900000002</v>
      </c>
      <c r="D705" s="1860">
        <v>3663.13445</v>
      </c>
      <c r="E705" s="1860">
        <v>4127.8809899999997</v>
      </c>
      <c r="F705">
        <v>28.49202</v>
      </c>
      <c r="G705" s="1861">
        <v>3235.27</v>
      </c>
      <c r="I705">
        <v>0.75238000000000005</v>
      </c>
      <c r="J705">
        <v>1.00065</v>
      </c>
      <c r="K705">
        <v>1.13225</v>
      </c>
      <c r="L705">
        <v>1.2759</v>
      </c>
      <c r="M705">
        <v>8.8000000000000005E-3</v>
      </c>
      <c r="N705">
        <v>1</v>
      </c>
      <c r="P705">
        <v>1.3290999999999999</v>
      </c>
      <c r="Q705">
        <v>0.99934999999999996</v>
      </c>
      <c r="R705">
        <v>0.88319000000000003</v>
      </c>
      <c r="S705">
        <v>0.78376000000000001</v>
      </c>
      <c r="T705">
        <v>113.55</v>
      </c>
      <c r="U705">
        <v>1</v>
      </c>
    </row>
    <row r="706" spans="1:35" hidden="1" outlineLevel="1">
      <c r="A706" s="8">
        <v>43436</v>
      </c>
      <c r="B706" s="1860">
        <v>2434.18102</v>
      </c>
      <c r="C706" s="1860">
        <v>3237.3742900000002</v>
      </c>
      <c r="D706" s="1860">
        <v>3663.13445</v>
      </c>
      <c r="E706" s="1860">
        <v>4127.8809899999997</v>
      </c>
      <c r="F706">
        <v>28.49202</v>
      </c>
      <c r="G706" s="1861">
        <v>3235.27</v>
      </c>
      <c r="I706">
        <v>0.75238000000000005</v>
      </c>
      <c r="J706">
        <v>1.00065</v>
      </c>
      <c r="K706">
        <v>1.13225</v>
      </c>
      <c r="L706">
        <v>1.2759</v>
      </c>
      <c r="M706">
        <v>8.8000000000000005E-3</v>
      </c>
      <c r="N706">
        <v>1</v>
      </c>
      <c r="P706">
        <v>1.3290999999999999</v>
      </c>
      <c r="Q706">
        <v>0.99934999999999996</v>
      </c>
      <c r="R706">
        <v>0.88319000000000003</v>
      </c>
      <c r="S706">
        <v>0.78376000000000001</v>
      </c>
      <c r="T706">
        <v>113.55</v>
      </c>
      <c r="U706">
        <v>1</v>
      </c>
    </row>
    <row r="707" spans="1:35" s="1857" customFormat="1" hidden="1" outlineLevel="1">
      <c r="A707" s="8">
        <v>43437</v>
      </c>
      <c r="B707" s="1860">
        <v>2452.5414000000001</v>
      </c>
      <c r="C707" s="1860">
        <v>3241.2663400000001</v>
      </c>
      <c r="D707" s="1860">
        <v>3671.2226300000002</v>
      </c>
      <c r="E707" s="1860">
        <v>4120.4398700000002</v>
      </c>
      <c r="F707">
        <v>28.47823</v>
      </c>
      <c r="G707" s="1861">
        <v>3235.27</v>
      </c>
      <c r="I707">
        <v>0.75805999999999996</v>
      </c>
      <c r="J707">
        <v>1.0018499999999999</v>
      </c>
      <c r="K707">
        <v>1.1347499999999999</v>
      </c>
      <c r="L707">
        <v>1.2736000000000001</v>
      </c>
      <c r="M707">
        <v>8.8000000000000005E-3</v>
      </c>
      <c r="N707">
        <v>1</v>
      </c>
      <c r="P707">
        <v>1.31915</v>
      </c>
      <c r="Q707">
        <v>0.99814999999999998</v>
      </c>
      <c r="R707">
        <v>0.88124999999999998</v>
      </c>
      <c r="S707">
        <v>0.78517000000000003</v>
      </c>
      <c r="T707">
        <v>113.605</v>
      </c>
      <c r="U707">
        <v>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</row>
    <row r="708" spans="1:35" s="1857" customFormat="1" hidden="1" outlineLevel="1">
      <c r="A708" s="8">
        <v>43438</v>
      </c>
      <c r="B708" s="1860">
        <v>2420.13402</v>
      </c>
      <c r="C708" s="1860">
        <v>3205.2850600000002</v>
      </c>
      <c r="D708" s="1860">
        <v>3628.1096699999998</v>
      </c>
      <c r="E708" s="1860">
        <v>4068.0597200000002</v>
      </c>
      <c r="F708">
        <v>28.28201</v>
      </c>
      <c r="G708" s="1861">
        <v>3196.15</v>
      </c>
      <c r="I708">
        <v>0.75719999999999998</v>
      </c>
      <c r="J708">
        <v>1.00285</v>
      </c>
      <c r="K708">
        <v>1.1351500000000001</v>
      </c>
      <c r="L708">
        <v>1.2727999999999999</v>
      </c>
      <c r="M708">
        <v>8.8400000000000006E-3</v>
      </c>
      <c r="N708">
        <v>1</v>
      </c>
      <c r="P708">
        <v>1.3206500000000001</v>
      </c>
      <c r="Q708">
        <v>0.99714999999999998</v>
      </c>
      <c r="R708">
        <v>0.88093999999999995</v>
      </c>
      <c r="S708">
        <v>0.78566000000000003</v>
      </c>
      <c r="T708">
        <v>113.01</v>
      </c>
      <c r="U708">
        <v>1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</row>
    <row r="709" spans="1:35" s="1857" customFormat="1" hidden="1" outlineLevel="1">
      <c r="A709" s="8">
        <v>43439</v>
      </c>
      <c r="B709" s="1860">
        <v>2372.5455000000002</v>
      </c>
      <c r="C709" s="1860">
        <v>3179.0374999999999</v>
      </c>
      <c r="D709" s="1860">
        <v>3599.7581500000001</v>
      </c>
      <c r="E709" s="1860">
        <v>4042.3877900000002</v>
      </c>
      <c r="F709">
        <v>28.05471</v>
      </c>
      <c r="G709" s="1861">
        <v>3174.11</v>
      </c>
      <c r="I709">
        <v>0.74746000000000001</v>
      </c>
      <c r="J709">
        <v>1.0015499999999999</v>
      </c>
      <c r="K709">
        <v>1.1341000000000001</v>
      </c>
      <c r="L709">
        <v>1.27355</v>
      </c>
      <c r="M709">
        <v>8.8299999999999993E-3</v>
      </c>
      <c r="N709">
        <v>1</v>
      </c>
      <c r="P709">
        <v>1.33785</v>
      </c>
      <c r="Q709">
        <v>0.99844999999999995</v>
      </c>
      <c r="R709">
        <v>0.88175000000000003</v>
      </c>
      <c r="S709">
        <v>0.78520000000000001</v>
      </c>
      <c r="T709">
        <v>113.14</v>
      </c>
      <c r="U709">
        <v>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</row>
    <row r="710" spans="1:35" s="1857" customFormat="1" hidden="1" outlineLevel="1">
      <c r="A710" s="8">
        <v>43440</v>
      </c>
      <c r="B710" s="1860">
        <v>2355.5232700000001</v>
      </c>
      <c r="C710" s="1860">
        <v>3187.9530199999999</v>
      </c>
      <c r="D710" s="1860">
        <v>3599.4765900000002</v>
      </c>
      <c r="E710" s="1860">
        <v>4041.7228399999999</v>
      </c>
      <c r="F710">
        <v>28.144259999999999</v>
      </c>
      <c r="G710" s="1861">
        <v>3162.29</v>
      </c>
      <c r="I710">
        <v>0.74487000000000003</v>
      </c>
      <c r="J710">
        <v>1.0081100000000001</v>
      </c>
      <c r="K710">
        <v>1.13825</v>
      </c>
      <c r="L710">
        <v>1.2781</v>
      </c>
      <c r="M710">
        <v>8.8900000000000003E-3</v>
      </c>
      <c r="N710">
        <v>1</v>
      </c>
      <c r="P710">
        <v>1.3425</v>
      </c>
      <c r="Q710">
        <v>0.99195</v>
      </c>
      <c r="R710">
        <v>0.87853999999999999</v>
      </c>
      <c r="S710">
        <v>0.78241000000000005</v>
      </c>
      <c r="T710">
        <v>112.36</v>
      </c>
      <c r="U710">
        <v>1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</row>
    <row r="711" spans="1:35" s="1857" customFormat="1" hidden="1" outlineLevel="1">
      <c r="A711" s="8">
        <v>43441</v>
      </c>
      <c r="B711" s="1860">
        <v>2398.2395999999999</v>
      </c>
      <c r="C711" s="1860">
        <v>3213.7305299999998</v>
      </c>
      <c r="D711" s="1860">
        <v>3631.2913199999998</v>
      </c>
      <c r="E711" s="1860">
        <v>4067.0717800000002</v>
      </c>
      <c r="F711">
        <v>28.286239999999999</v>
      </c>
      <c r="G711" s="1861">
        <v>3187.86</v>
      </c>
      <c r="I711">
        <v>0.75229999999999997</v>
      </c>
      <c r="J711">
        <v>1.0081100000000001</v>
      </c>
      <c r="K711">
        <v>1.1391</v>
      </c>
      <c r="L711">
        <v>1.2758</v>
      </c>
      <c r="M711">
        <v>8.8699999999999994E-3</v>
      </c>
      <c r="N711">
        <v>1</v>
      </c>
      <c r="P711">
        <v>1.32925</v>
      </c>
      <c r="Q711">
        <v>0.99195</v>
      </c>
      <c r="R711">
        <v>0.87787999999999999</v>
      </c>
      <c r="S711">
        <v>0.78381999999999996</v>
      </c>
      <c r="T711">
        <v>112.7</v>
      </c>
      <c r="U711">
        <v>1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</row>
    <row r="712" spans="1:35" s="1857" customFormat="1" hidden="1" outlineLevel="1">
      <c r="A712" s="8">
        <v>43442</v>
      </c>
      <c r="B712" s="1860">
        <v>2372.2324600000002</v>
      </c>
      <c r="C712" s="1860">
        <v>3178.8799800000002</v>
      </c>
      <c r="D712" s="1860">
        <v>3591.9126299999998</v>
      </c>
      <c r="E712" s="1860">
        <v>4022.96738</v>
      </c>
      <c r="F712">
        <v>27.979500000000002</v>
      </c>
      <c r="G712" s="1861">
        <v>3153.29</v>
      </c>
      <c r="I712">
        <v>0.75229999999999997</v>
      </c>
      <c r="J712">
        <v>1.0081100000000001</v>
      </c>
      <c r="K712">
        <v>1.1391</v>
      </c>
      <c r="L712">
        <v>1.2758</v>
      </c>
      <c r="M712">
        <v>8.8699999999999994E-3</v>
      </c>
      <c r="N712">
        <v>1</v>
      </c>
      <c r="P712">
        <v>1.32925</v>
      </c>
      <c r="Q712">
        <v>0.99195</v>
      </c>
      <c r="R712">
        <v>0.87787999999999999</v>
      </c>
      <c r="S712">
        <v>0.78381999999999996</v>
      </c>
      <c r="T712">
        <v>112.7</v>
      </c>
      <c r="U712">
        <v>1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</row>
    <row r="713" spans="1:35" s="1857" customFormat="1" hidden="1" outlineLevel="1">
      <c r="A713" s="8">
        <v>43443</v>
      </c>
      <c r="B713" s="1860">
        <v>2372.2324600000002</v>
      </c>
      <c r="C713" s="1860">
        <v>3178.8799800000002</v>
      </c>
      <c r="D713" s="1860">
        <v>3591.9126299999998</v>
      </c>
      <c r="E713" s="1860">
        <v>4022.96738</v>
      </c>
      <c r="F713">
        <v>27.979500000000002</v>
      </c>
      <c r="G713" s="1861">
        <v>3153.29</v>
      </c>
      <c r="I713">
        <v>0.75229999999999997</v>
      </c>
      <c r="J713">
        <v>1.0081100000000001</v>
      </c>
      <c r="K713">
        <v>1.1391</v>
      </c>
      <c r="L713">
        <v>1.2758</v>
      </c>
      <c r="M713">
        <v>8.8699999999999994E-3</v>
      </c>
      <c r="N713">
        <v>1</v>
      </c>
      <c r="P713">
        <v>1.32925</v>
      </c>
      <c r="Q713">
        <v>0.99195</v>
      </c>
      <c r="R713">
        <v>0.87787999999999999</v>
      </c>
      <c r="S713">
        <v>0.78381999999999996</v>
      </c>
      <c r="T713">
        <v>112.7</v>
      </c>
      <c r="U713">
        <v>1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</row>
    <row r="714" spans="1:35" s="1857" customFormat="1" hidden="1" outlineLevel="1">
      <c r="A714" s="8">
        <v>43444</v>
      </c>
      <c r="B714" s="1860">
        <v>2354.0798799999998</v>
      </c>
      <c r="C714" s="1860">
        <v>3186.91192</v>
      </c>
      <c r="D714" s="1860">
        <v>3587.3403600000001</v>
      </c>
      <c r="E714" s="1860">
        <v>3951.0723699999999</v>
      </c>
      <c r="F714">
        <v>27.910160000000001</v>
      </c>
      <c r="G714" s="1861">
        <v>3153.29</v>
      </c>
      <c r="I714">
        <v>0.74653999999999998</v>
      </c>
      <c r="J714">
        <v>1.0106599999999999</v>
      </c>
      <c r="K714">
        <v>1.1376500000000001</v>
      </c>
      <c r="L714">
        <v>1.2529999999999999</v>
      </c>
      <c r="M714">
        <v>8.8500000000000002E-3</v>
      </c>
      <c r="N714">
        <v>1</v>
      </c>
      <c r="P714">
        <v>1.3394999999999999</v>
      </c>
      <c r="Q714">
        <v>0.98945000000000005</v>
      </c>
      <c r="R714">
        <v>0.879</v>
      </c>
      <c r="S714">
        <v>0.79808000000000001</v>
      </c>
      <c r="T714">
        <v>112.98</v>
      </c>
      <c r="U714">
        <v>1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</row>
    <row r="715" spans="1:35" s="1857" customFormat="1" hidden="1" outlineLevel="1">
      <c r="A715" s="8">
        <v>43445</v>
      </c>
      <c r="B715" s="1860">
        <v>2367.6767599999998</v>
      </c>
      <c r="C715" s="1860">
        <v>3201.73387</v>
      </c>
      <c r="D715" s="1860">
        <v>3596.79709</v>
      </c>
      <c r="E715" s="1860">
        <v>3977.9314899999999</v>
      </c>
      <c r="F715">
        <v>28.021699999999999</v>
      </c>
      <c r="G715" s="1861">
        <v>3176.12</v>
      </c>
      <c r="I715">
        <v>0.74546000000000001</v>
      </c>
      <c r="J715">
        <v>1.00806</v>
      </c>
      <c r="K715">
        <v>1.13245</v>
      </c>
      <c r="L715">
        <v>1.2524500000000001</v>
      </c>
      <c r="M715">
        <v>8.8199999999999997E-3</v>
      </c>
      <c r="N715">
        <v>1</v>
      </c>
      <c r="P715">
        <v>1.34145</v>
      </c>
      <c r="Q715">
        <v>0.99199999999999999</v>
      </c>
      <c r="R715">
        <v>0.88304000000000005</v>
      </c>
      <c r="S715">
        <v>0.79842999999999997</v>
      </c>
      <c r="T715">
        <v>113.345</v>
      </c>
      <c r="U715">
        <v>1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</row>
    <row r="716" spans="1:35" s="1857" customFormat="1" hidden="1" outlineLevel="1">
      <c r="A716" s="8">
        <v>43446</v>
      </c>
      <c r="B716" s="1860">
        <v>2388.7638700000002</v>
      </c>
      <c r="C716" s="1860">
        <v>3210.0594599999999</v>
      </c>
      <c r="D716" s="1860">
        <v>3619.73002</v>
      </c>
      <c r="E716" s="1860">
        <v>4032.14867</v>
      </c>
      <c r="F716">
        <v>28.129660000000001</v>
      </c>
      <c r="G716" s="1861">
        <v>3184.7</v>
      </c>
      <c r="I716">
        <v>0.75007000000000001</v>
      </c>
      <c r="J716">
        <v>1.00796</v>
      </c>
      <c r="K716">
        <v>1.1366000000000001</v>
      </c>
      <c r="L716">
        <v>1.2661</v>
      </c>
      <c r="M716">
        <v>8.8299999999999993E-3</v>
      </c>
      <c r="N716">
        <v>1</v>
      </c>
      <c r="P716">
        <v>1.3331999999999999</v>
      </c>
      <c r="Q716">
        <v>0.99209999999999998</v>
      </c>
      <c r="R716">
        <v>0.87980999999999998</v>
      </c>
      <c r="S716">
        <v>0.78981999999999997</v>
      </c>
      <c r="T716">
        <v>113.215</v>
      </c>
      <c r="U716">
        <v>1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</row>
    <row r="717" spans="1:35" s="1857" customFormat="1" hidden="1" outlineLevel="1">
      <c r="A717" s="8">
        <v>43447</v>
      </c>
      <c r="B717" s="1860">
        <v>2373.1635999999999</v>
      </c>
      <c r="C717" s="1860">
        <v>3189.6140399999999</v>
      </c>
      <c r="D717" s="1860">
        <v>3596.4312599999998</v>
      </c>
      <c r="E717" s="1860">
        <v>3999.0984400000002</v>
      </c>
      <c r="F717">
        <v>27.890699999999999</v>
      </c>
      <c r="G717" s="1861">
        <v>3169.36</v>
      </c>
      <c r="I717">
        <v>0.74878</v>
      </c>
      <c r="J717">
        <v>1.0063899999999999</v>
      </c>
      <c r="K717">
        <v>1.1347499999999999</v>
      </c>
      <c r="L717">
        <v>1.2618</v>
      </c>
      <c r="M717">
        <v>8.8000000000000005E-3</v>
      </c>
      <c r="N717">
        <v>1</v>
      </c>
      <c r="P717">
        <v>1.3354999999999999</v>
      </c>
      <c r="Q717">
        <v>0.99365000000000003</v>
      </c>
      <c r="R717">
        <v>0.88124999999999998</v>
      </c>
      <c r="S717">
        <v>0.79251000000000005</v>
      </c>
      <c r="T717">
        <v>113.63500000000001</v>
      </c>
      <c r="U717">
        <v>1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</row>
    <row r="718" spans="1:35" s="1857" customFormat="1" hidden="1" outlineLevel="1">
      <c r="A718" s="8">
        <v>43448</v>
      </c>
      <c r="B718" s="1860">
        <v>2376.99584</v>
      </c>
      <c r="C718" s="1860">
        <v>3189.40344</v>
      </c>
      <c r="D718" s="1860">
        <v>3590.7973999999999</v>
      </c>
      <c r="E718" s="1860">
        <v>3991.9114800000002</v>
      </c>
      <c r="F718">
        <v>28.024509999999999</v>
      </c>
      <c r="G718" s="1861">
        <v>3178.4</v>
      </c>
      <c r="I718">
        <v>0.74785000000000001</v>
      </c>
      <c r="J718">
        <v>1.00346</v>
      </c>
      <c r="K718">
        <v>1.12975</v>
      </c>
      <c r="L718">
        <v>1.2559499999999999</v>
      </c>
      <c r="M718">
        <v>8.8100000000000001E-3</v>
      </c>
      <c r="N718">
        <v>1</v>
      </c>
      <c r="P718">
        <v>1.3371500000000001</v>
      </c>
      <c r="Q718">
        <v>0.99655000000000005</v>
      </c>
      <c r="R718">
        <v>0.88514999999999999</v>
      </c>
      <c r="S718">
        <v>0.79620999999999997</v>
      </c>
      <c r="T718">
        <v>113.41500000000001</v>
      </c>
      <c r="U718">
        <v>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</row>
    <row r="719" spans="1:35" s="1857" customFormat="1" hidden="1" outlineLevel="1">
      <c r="A719" s="8">
        <v>43449</v>
      </c>
      <c r="B719" s="1860">
        <v>2390.3825299999999</v>
      </c>
      <c r="C719" s="1860">
        <v>3207.3654099999999</v>
      </c>
      <c r="D719" s="1860">
        <v>3611.0199200000002</v>
      </c>
      <c r="E719" s="1860">
        <v>4014.3929800000001</v>
      </c>
      <c r="F719">
        <v>28.18233</v>
      </c>
      <c r="G719" s="1861">
        <v>3196.3</v>
      </c>
      <c r="I719">
        <v>0.74785000000000001</v>
      </c>
      <c r="J719">
        <v>1.00346</v>
      </c>
      <c r="K719">
        <v>1.12975</v>
      </c>
      <c r="L719">
        <v>1.2559499999999999</v>
      </c>
      <c r="M719">
        <v>8.8100000000000001E-3</v>
      </c>
      <c r="N719">
        <v>1</v>
      </c>
      <c r="P719">
        <v>1.3371500000000001</v>
      </c>
      <c r="Q719">
        <v>0.99655000000000005</v>
      </c>
      <c r="R719">
        <v>0.88514999999999999</v>
      </c>
      <c r="S719">
        <v>0.79620999999999997</v>
      </c>
      <c r="T719">
        <v>113.41500000000001</v>
      </c>
      <c r="U719">
        <v>1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</row>
    <row r="720" spans="1:35" s="1857" customFormat="1" hidden="1" outlineLevel="1">
      <c r="A720" s="8">
        <v>43450</v>
      </c>
      <c r="B720" s="1860">
        <v>2390.3825299999999</v>
      </c>
      <c r="C720" s="1860">
        <v>3207.3654099999999</v>
      </c>
      <c r="D720" s="1860">
        <v>3611.0199200000002</v>
      </c>
      <c r="E720" s="1860">
        <v>4014.3929800000001</v>
      </c>
      <c r="F720">
        <v>28.18233</v>
      </c>
      <c r="G720" s="1861">
        <v>3196.3</v>
      </c>
      <c r="I720">
        <v>0.74785000000000001</v>
      </c>
      <c r="J720">
        <v>1.00346</v>
      </c>
      <c r="K720">
        <v>1.12975</v>
      </c>
      <c r="L720">
        <v>1.2559499999999999</v>
      </c>
      <c r="M720">
        <v>8.8100000000000001E-3</v>
      </c>
      <c r="N720">
        <v>1</v>
      </c>
      <c r="P720">
        <v>1.3371500000000001</v>
      </c>
      <c r="Q720">
        <v>0.99655000000000005</v>
      </c>
      <c r="R720">
        <v>0.88514999999999999</v>
      </c>
      <c r="S720">
        <v>0.79620999999999997</v>
      </c>
      <c r="T720">
        <v>113.41500000000001</v>
      </c>
      <c r="U720">
        <v>1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</row>
    <row r="721" spans="1:35" s="1857" customFormat="1" hidden="1" outlineLevel="1">
      <c r="A721" s="8">
        <v>43451</v>
      </c>
      <c r="B721" s="1860">
        <v>2389.3103999999998</v>
      </c>
      <c r="C721" s="1860">
        <v>3214.7850100000001</v>
      </c>
      <c r="D721" s="1860">
        <v>3623.48549</v>
      </c>
      <c r="E721" s="1860">
        <v>4030.8539300000002</v>
      </c>
      <c r="F721">
        <v>28.28584</v>
      </c>
      <c r="G721" s="1861">
        <v>3196.3</v>
      </c>
      <c r="I721">
        <v>0.74751999999999996</v>
      </c>
      <c r="J721">
        <v>1.0057799999999999</v>
      </c>
      <c r="K721">
        <v>1.13365</v>
      </c>
      <c r="L721">
        <v>1.2611000000000001</v>
      </c>
      <c r="M721">
        <v>8.8400000000000006E-3</v>
      </c>
      <c r="N721">
        <v>1</v>
      </c>
      <c r="P721">
        <v>1.33775</v>
      </c>
      <c r="Q721">
        <v>0.99424999999999997</v>
      </c>
      <c r="R721">
        <v>0.8821</v>
      </c>
      <c r="S721">
        <v>0.79295000000000004</v>
      </c>
      <c r="T721">
        <v>113</v>
      </c>
      <c r="U721">
        <v>1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</row>
    <row r="722" spans="1:35" s="1857" customFormat="1" hidden="1" outlineLevel="1">
      <c r="A722" s="8">
        <v>43452</v>
      </c>
      <c r="B722" s="1860">
        <v>2371.8971900000001</v>
      </c>
      <c r="C722" s="1860">
        <v>3211.6230999999998</v>
      </c>
      <c r="D722" s="1860">
        <v>3623.43379</v>
      </c>
      <c r="E722" s="1860">
        <v>4027.5964399999998</v>
      </c>
      <c r="F722">
        <v>28.31344</v>
      </c>
      <c r="G722" s="1861">
        <v>3188.66</v>
      </c>
      <c r="I722">
        <v>0.74385000000000001</v>
      </c>
      <c r="J722">
        <v>1.0072000000000001</v>
      </c>
      <c r="K722">
        <v>1.13635</v>
      </c>
      <c r="L722">
        <v>1.2630999999999999</v>
      </c>
      <c r="M722">
        <v>8.8699999999999994E-3</v>
      </c>
      <c r="N722">
        <v>1</v>
      </c>
      <c r="P722">
        <v>1.3443499999999999</v>
      </c>
      <c r="Q722">
        <v>0.99285000000000001</v>
      </c>
      <c r="R722">
        <v>0.88000999999999996</v>
      </c>
      <c r="S722">
        <v>0.79169999999999996</v>
      </c>
      <c r="T722">
        <v>112.62</v>
      </c>
      <c r="U722">
        <v>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</row>
    <row r="723" spans="1:35" hidden="1" outlineLevel="1">
      <c r="A723" s="8">
        <v>43453</v>
      </c>
      <c r="B723" s="1860">
        <v>2383.6121699999999</v>
      </c>
      <c r="C723" s="1860">
        <v>3221.9703800000002</v>
      </c>
      <c r="D723" s="1860">
        <v>3653.2695899999999</v>
      </c>
      <c r="E723" s="1860">
        <v>4043.80033</v>
      </c>
      <c r="F723">
        <v>28.485099999999999</v>
      </c>
      <c r="G723" s="1861">
        <v>3198.45</v>
      </c>
      <c r="I723">
        <v>0.74522999999999995</v>
      </c>
      <c r="J723">
        <v>1.00735</v>
      </c>
      <c r="K723">
        <v>1.1422000000000001</v>
      </c>
      <c r="L723">
        <v>1.2643</v>
      </c>
      <c r="M723">
        <v>8.8999999999999999E-3</v>
      </c>
      <c r="N723">
        <v>1</v>
      </c>
      <c r="P723">
        <v>1.34185</v>
      </c>
      <c r="Q723">
        <v>0.99270000000000003</v>
      </c>
      <c r="R723">
        <v>0.87549999999999994</v>
      </c>
      <c r="S723">
        <v>0.79095000000000004</v>
      </c>
      <c r="T723">
        <v>112.285</v>
      </c>
      <c r="U723">
        <v>1</v>
      </c>
    </row>
    <row r="724" spans="1:35" hidden="1" outlineLevel="1">
      <c r="A724" s="8">
        <v>43454</v>
      </c>
      <c r="B724" s="1860">
        <v>2383.7773699999998</v>
      </c>
      <c r="C724" s="1860">
        <v>3237.9202700000001</v>
      </c>
      <c r="D724" s="1860">
        <v>3672.0134800000001</v>
      </c>
      <c r="E724" s="1860">
        <v>4064.1109200000001</v>
      </c>
      <c r="F724">
        <v>28.80406</v>
      </c>
      <c r="G724" s="1861">
        <v>3216.55</v>
      </c>
      <c r="I724">
        <v>0.74109000000000003</v>
      </c>
      <c r="J724">
        <v>1.00664</v>
      </c>
      <c r="K724">
        <v>1.1415999999999999</v>
      </c>
      <c r="L724">
        <v>1.2635000000000001</v>
      </c>
      <c r="M724">
        <v>8.9499999999999996E-3</v>
      </c>
      <c r="N724">
        <v>1</v>
      </c>
      <c r="P724">
        <v>1.34935</v>
      </c>
      <c r="Q724">
        <v>0.99339999999999995</v>
      </c>
      <c r="R724">
        <v>0.87595999999999996</v>
      </c>
      <c r="S724">
        <v>0.79144999999999999</v>
      </c>
      <c r="T724">
        <v>111.67</v>
      </c>
      <c r="U724">
        <v>1</v>
      </c>
    </row>
    <row r="725" spans="1:35" hidden="1" outlineLevel="1">
      <c r="A725" s="8">
        <v>43455</v>
      </c>
      <c r="B725" s="1860">
        <v>2395.5878499999999</v>
      </c>
      <c r="C725" s="1860">
        <v>3277.33925</v>
      </c>
      <c r="D725" s="1860">
        <v>3705.80366</v>
      </c>
      <c r="E725" s="1860">
        <v>4115.0703599999997</v>
      </c>
      <c r="F725">
        <v>29.21414</v>
      </c>
      <c r="G725" s="1861">
        <v>3246.86</v>
      </c>
      <c r="I725">
        <v>0.73780999999999997</v>
      </c>
      <c r="J725">
        <v>1.0093799999999999</v>
      </c>
      <c r="K725">
        <v>1.1413500000000001</v>
      </c>
      <c r="L725">
        <v>1.2674000000000001</v>
      </c>
      <c r="M725">
        <v>8.9899999999999997E-3</v>
      </c>
      <c r="N725">
        <v>1</v>
      </c>
      <c r="P725">
        <v>1.3553500000000001</v>
      </c>
      <c r="Q725">
        <v>0.99070000000000003</v>
      </c>
      <c r="R725">
        <v>0.87614999999999998</v>
      </c>
      <c r="S725">
        <v>0.78900999999999999</v>
      </c>
      <c r="T725">
        <v>111.14</v>
      </c>
      <c r="U725">
        <v>1</v>
      </c>
    </row>
    <row r="726" spans="1:35" hidden="1" outlineLevel="1">
      <c r="A726" s="8">
        <v>43456</v>
      </c>
      <c r="B726" s="1860">
        <v>2423.9790400000002</v>
      </c>
      <c r="C726" s="1860">
        <v>3316.1804699999998</v>
      </c>
      <c r="D726" s="1860">
        <v>3749.7228</v>
      </c>
      <c r="E726" s="1860">
        <v>4163.8399099999997</v>
      </c>
      <c r="F726">
        <v>29.560369999999999</v>
      </c>
      <c r="G726" s="1861">
        <v>3285.34</v>
      </c>
      <c r="I726">
        <v>0.73780999999999997</v>
      </c>
      <c r="J726">
        <v>1.0093799999999999</v>
      </c>
      <c r="K726">
        <v>1.1413500000000001</v>
      </c>
      <c r="L726">
        <v>1.2674000000000001</v>
      </c>
      <c r="M726">
        <v>8.9899999999999997E-3</v>
      </c>
      <c r="N726">
        <v>1</v>
      </c>
      <c r="P726">
        <v>1.3553500000000001</v>
      </c>
      <c r="Q726">
        <v>0.99070000000000003</v>
      </c>
      <c r="R726">
        <v>0.87614999999999998</v>
      </c>
      <c r="S726">
        <v>0.78900999999999999</v>
      </c>
      <c r="T726">
        <v>111.14</v>
      </c>
      <c r="U726">
        <v>1</v>
      </c>
    </row>
    <row r="727" spans="1:35" hidden="1" outlineLevel="1">
      <c r="A727" s="8">
        <v>43457</v>
      </c>
      <c r="B727" s="1860">
        <v>2423.9790400000002</v>
      </c>
      <c r="C727" s="1860">
        <v>3316.1804699999998</v>
      </c>
      <c r="D727" s="1860">
        <v>3749.7228</v>
      </c>
      <c r="E727" s="1860">
        <v>4163.8399099999997</v>
      </c>
      <c r="F727">
        <v>29.560369999999999</v>
      </c>
      <c r="G727" s="1861">
        <v>3285.34</v>
      </c>
      <c r="I727">
        <v>0.73780999999999997</v>
      </c>
      <c r="J727">
        <v>1.0093799999999999</v>
      </c>
      <c r="K727">
        <v>1.1413500000000001</v>
      </c>
      <c r="L727">
        <v>1.2674000000000001</v>
      </c>
      <c r="M727">
        <v>8.9899999999999997E-3</v>
      </c>
      <c r="N727">
        <v>1</v>
      </c>
      <c r="P727">
        <v>1.3553500000000001</v>
      </c>
      <c r="Q727">
        <v>0.99070000000000003</v>
      </c>
      <c r="R727">
        <v>0.87614999999999998</v>
      </c>
      <c r="S727">
        <v>0.78900999999999999</v>
      </c>
      <c r="T727">
        <v>111.14</v>
      </c>
      <c r="U727">
        <v>1</v>
      </c>
    </row>
    <row r="728" spans="1:35" hidden="1" outlineLevel="1">
      <c r="A728" s="8">
        <v>43458</v>
      </c>
      <c r="B728" s="1860">
        <v>2417.9135200000001</v>
      </c>
      <c r="C728" s="1860">
        <v>3321.3769299999999</v>
      </c>
      <c r="D728" s="1860">
        <v>3749.7228</v>
      </c>
      <c r="E728" s="1860">
        <v>4178.2954099999997</v>
      </c>
      <c r="F728">
        <v>29.727540000000001</v>
      </c>
      <c r="G728" s="1861">
        <v>3285.34</v>
      </c>
      <c r="I728">
        <v>0.73597000000000001</v>
      </c>
      <c r="J728">
        <v>1.0109600000000001</v>
      </c>
      <c r="K728">
        <v>1.1413500000000001</v>
      </c>
      <c r="L728">
        <v>1.2718</v>
      </c>
      <c r="M728">
        <v>9.0399999999999994E-3</v>
      </c>
      <c r="N728">
        <v>1</v>
      </c>
      <c r="P728">
        <v>1.3587499999999999</v>
      </c>
      <c r="Q728">
        <v>0.98914999999999997</v>
      </c>
      <c r="R728">
        <v>0.87614999999999998</v>
      </c>
      <c r="S728">
        <v>0.78627999999999998</v>
      </c>
      <c r="T728">
        <v>110.515</v>
      </c>
      <c r="U728">
        <v>1</v>
      </c>
    </row>
    <row r="729" spans="1:35" hidden="1" outlineLevel="1">
      <c r="A729" s="8">
        <v>43459</v>
      </c>
      <c r="B729" s="1860">
        <v>2418.03863</v>
      </c>
      <c r="C729" s="1860">
        <v>3321.5488</v>
      </c>
      <c r="D729" s="1860">
        <v>3749.9168300000001</v>
      </c>
      <c r="E729" s="1860">
        <v>4178.5116099999996</v>
      </c>
      <c r="F729">
        <v>29.72908</v>
      </c>
      <c r="G729" s="1861">
        <v>3285.51</v>
      </c>
      <c r="I729">
        <v>0.73597000000000001</v>
      </c>
      <c r="J729">
        <v>1.0109600000000001</v>
      </c>
      <c r="K729">
        <v>1.1413500000000001</v>
      </c>
      <c r="L729">
        <v>1.2718</v>
      </c>
      <c r="M729">
        <v>9.0399999999999994E-3</v>
      </c>
      <c r="N729">
        <v>1</v>
      </c>
      <c r="P729">
        <v>1.3587499999999999</v>
      </c>
      <c r="Q729">
        <v>0.98914999999999997</v>
      </c>
      <c r="R729">
        <v>0.87614999999999998</v>
      </c>
      <c r="S729">
        <v>0.78627999999999998</v>
      </c>
      <c r="T729">
        <v>110.515</v>
      </c>
      <c r="U729">
        <v>1</v>
      </c>
    </row>
    <row r="730" spans="1:35" hidden="1" outlineLevel="1">
      <c r="A730" s="8">
        <v>43460</v>
      </c>
      <c r="B730" s="1860">
        <v>2415.0170800000001</v>
      </c>
      <c r="C730" s="1860">
        <v>3320.37392</v>
      </c>
      <c r="D730" s="1860">
        <v>3747.94553</v>
      </c>
      <c r="E730" s="1860">
        <v>4163.7268199999999</v>
      </c>
      <c r="F730">
        <v>29.780280000000001</v>
      </c>
      <c r="G730" s="1861">
        <v>3285.51</v>
      </c>
      <c r="I730">
        <v>0.73504999999999998</v>
      </c>
      <c r="J730">
        <v>1.01061</v>
      </c>
      <c r="K730">
        <v>1.1407499999999999</v>
      </c>
      <c r="L730">
        <v>1.2673000000000001</v>
      </c>
      <c r="M730">
        <v>9.0600000000000003E-3</v>
      </c>
      <c r="N730">
        <v>1</v>
      </c>
      <c r="P730">
        <v>1.3604499999999999</v>
      </c>
      <c r="Q730">
        <v>0.98950000000000005</v>
      </c>
      <c r="R730">
        <v>0.87661</v>
      </c>
      <c r="S730">
        <v>0.78907000000000005</v>
      </c>
      <c r="T730">
        <v>110.325</v>
      </c>
      <c r="U730">
        <v>1</v>
      </c>
    </row>
    <row r="731" spans="1:35" hidden="1" outlineLevel="1">
      <c r="A731" s="8">
        <v>43461</v>
      </c>
      <c r="B731" s="1860">
        <v>2412.1498700000002</v>
      </c>
      <c r="C731" s="1860">
        <v>3324.0943699999998</v>
      </c>
      <c r="D731" s="1860">
        <v>3751.0690199999999</v>
      </c>
      <c r="E731" s="1860">
        <v>4156.3588300000001</v>
      </c>
      <c r="F731">
        <v>29.705079999999999</v>
      </c>
      <c r="G731" s="1863">
        <v>3289.69</v>
      </c>
      <c r="I731">
        <v>0.73324</v>
      </c>
      <c r="J731">
        <v>1.0104500000000001</v>
      </c>
      <c r="K731">
        <v>1.14025</v>
      </c>
      <c r="L731">
        <v>1.26345</v>
      </c>
      <c r="M731">
        <v>9.0200000000000002E-3</v>
      </c>
      <c r="N731">
        <v>1</v>
      </c>
      <c r="P731">
        <v>1.3637999999999999</v>
      </c>
      <c r="Q731">
        <v>0.98965000000000003</v>
      </c>
      <c r="R731">
        <v>0.877</v>
      </c>
      <c r="S731">
        <v>0.79147999999999996</v>
      </c>
      <c r="T731">
        <v>110.745</v>
      </c>
      <c r="U731">
        <v>1</v>
      </c>
    </row>
    <row r="732" spans="1:35" hidden="1" outlineLevel="1">
      <c r="A732" s="8">
        <v>43462</v>
      </c>
      <c r="B732" s="1860">
        <v>2401.91419</v>
      </c>
      <c r="C732" s="1860">
        <v>3327.0787799999998</v>
      </c>
      <c r="D732" s="1860">
        <v>3744.8101799999999</v>
      </c>
      <c r="E732" s="1860">
        <v>4154.1864299999997</v>
      </c>
      <c r="F732">
        <v>29.659569999999999</v>
      </c>
      <c r="G732" s="1861">
        <v>3275.01</v>
      </c>
      <c r="I732">
        <v>0.73340000000000005</v>
      </c>
      <c r="J732">
        <v>1.01589</v>
      </c>
      <c r="K732">
        <v>1.1434500000000001</v>
      </c>
      <c r="L732">
        <v>1.2684500000000001</v>
      </c>
      <c r="M732">
        <v>9.0500000000000008E-3</v>
      </c>
      <c r="N732">
        <v>1</v>
      </c>
      <c r="P732">
        <v>1.3634999999999999</v>
      </c>
      <c r="Q732">
        <v>0.98434999999999995</v>
      </c>
      <c r="R732">
        <v>0.87453999999999998</v>
      </c>
      <c r="S732">
        <v>0.78835999999999995</v>
      </c>
      <c r="T732">
        <v>110.42</v>
      </c>
      <c r="U732">
        <v>1</v>
      </c>
    </row>
    <row r="733" spans="1:35" hidden="1" outlineLevel="1">
      <c r="A733" s="8">
        <v>43463</v>
      </c>
      <c r="B733" s="1860">
        <v>2383.3883300000002</v>
      </c>
      <c r="C733" s="1860">
        <v>3301.4171700000002</v>
      </c>
      <c r="D733" s="1860">
        <v>3715.9266299999999</v>
      </c>
      <c r="E733" s="1860">
        <v>4122.1453799999999</v>
      </c>
      <c r="F733">
        <v>29.430800000000001</v>
      </c>
      <c r="G733" s="1861">
        <v>3249.75</v>
      </c>
      <c r="I733">
        <v>0.73340000000000005</v>
      </c>
      <c r="J733">
        <v>1.01589</v>
      </c>
      <c r="K733">
        <v>1.1434500000000001</v>
      </c>
      <c r="L733">
        <v>1.2684500000000001</v>
      </c>
      <c r="M733">
        <v>9.0500000000000008E-3</v>
      </c>
      <c r="N733">
        <v>1</v>
      </c>
      <c r="P733">
        <v>1.3634999999999999</v>
      </c>
      <c r="Q733">
        <v>0.98434999999999995</v>
      </c>
      <c r="R733">
        <v>0.87453999999999998</v>
      </c>
      <c r="S733">
        <v>0.78835999999999995</v>
      </c>
      <c r="T733">
        <v>110.42</v>
      </c>
      <c r="U733">
        <v>1</v>
      </c>
    </row>
    <row r="734" spans="1:35" hidden="1" outlineLevel="1">
      <c r="A734" s="8">
        <v>43464</v>
      </c>
      <c r="B734" s="1860">
        <v>2383.3883300000002</v>
      </c>
      <c r="C734" s="1860">
        <v>3301.4171700000002</v>
      </c>
      <c r="D734" s="1860">
        <v>3715.9266299999999</v>
      </c>
      <c r="E734" s="1860">
        <v>4122.1453799999999</v>
      </c>
      <c r="F734">
        <v>29.430800000000001</v>
      </c>
      <c r="G734" s="1861">
        <v>3249.75</v>
      </c>
      <c r="I734">
        <v>0.73340000000000005</v>
      </c>
      <c r="J734">
        <v>1.01589</v>
      </c>
      <c r="K734">
        <v>1.1434500000000001</v>
      </c>
      <c r="L734">
        <v>1.2684500000000001</v>
      </c>
      <c r="M734">
        <v>9.0500000000000008E-3</v>
      </c>
      <c r="N734">
        <v>1</v>
      </c>
      <c r="P734">
        <v>1.3634999999999999</v>
      </c>
      <c r="Q734">
        <v>0.98434999999999995</v>
      </c>
      <c r="R734">
        <v>0.87453999999999998</v>
      </c>
      <c r="S734">
        <v>0.78835999999999995</v>
      </c>
      <c r="T734">
        <v>110.42</v>
      </c>
      <c r="U734">
        <v>1</v>
      </c>
    </row>
    <row r="735" spans="1:35" ht="15.75" collapsed="1" thickBot="1">
      <c r="A735" s="1877">
        <v>43465</v>
      </c>
      <c r="B735" s="1878">
        <v>2379.3747199999998</v>
      </c>
      <c r="C735" s="1878">
        <v>3296.5611600000002</v>
      </c>
      <c r="D735" s="1878">
        <v>3714.9517099999998</v>
      </c>
      <c r="E735" s="1878">
        <v>4138.8815999999997</v>
      </c>
      <c r="F735" s="1879">
        <v>29.61992</v>
      </c>
      <c r="G735" s="1880">
        <v>3249.75</v>
      </c>
      <c r="H735" s="1881"/>
      <c r="I735" s="1879">
        <v>0.73216999999999999</v>
      </c>
      <c r="J735" s="1879">
        <v>1.0144</v>
      </c>
      <c r="K735" s="1879">
        <v>1.1431500000000001</v>
      </c>
      <c r="L735" s="1879">
        <v>1.2736000000000001</v>
      </c>
      <c r="M735" s="1879">
        <v>9.11E-3</v>
      </c>
      <c r="N735" s="1879">
        <v>1</v>
      </c>
      <c r="O735" s="1881"/>
      <c r="P735" s="1879">
        <v>1.3657999999999999</v>
      </c>
      <c r="Q735" s="1879">
        <v>0.98580000000000001</v>
      </c>
      <c r="R735" s="1879">
        <v>0.87477000000000005</v>
      </c>
      <c r="S735" s="1879">
        <v>0.78517000000000003</v>
      </c>
      <c r="T735" s="1879">
        <v>109.715</v>
      </c>
      <c r="U735" s="1879">
        <v>1</v>
      </c>
      <c r="V735" s="1881"/>
    </row>
    <row r="736" spans="1:35" ht="15.75" thickTop="1">
      <c r="A736" s="8"/>
      <c r="B736" s="1860"/>
      <c r="C736" s="1860"/>
      <c r="D736" s="1860"/>
      <c r="E736" s="1860"/>
      <c r="G736" s="1861"/>
    </row>
    <row r="737" spans="1:35" hidden="1" outlineLevel="1">
      <c r="A737" s="8">
        <v>43466</v>
      </c>
      <c r="B737" s="1860">
        <v>2379.3747199999998</v>
      </c>
      <c r="C737" s="1860">
        <v>3296.5611600000002</v>
      </c>
      <c r="D737" s="1860">
        <v>3714.9517099999998</v>
      </c>
      <c r="E737" s="1860">
        <v>4138.8815999999997</v>
      </c>
      <c r="F737">
        <v>29.61992</v>
      </c>
      <c r="G737" s="1861">
        <v>3249.75</v>
      </c>
      <c r="I737">
        <v>0.73216999999999999</v>
      </c>
      <c r="J737">
        <v>1.0144</v>
      </c>
      <c r="K737">
        <v>1.1431500000000001</v>
      </c>
      <c r="L737">
        <v>1.2736000000000001</v>
      </c>
      <c r="M737">
        <v>9.11E-3</v>
      </c>
      <c r="N737">
        <v>1</v>
      </c>
      <c r="P737">
        <v>1.3657999999999999</v>
      </c>
      <c r="Q737">
        <v>0.98580000000000001</v>
      </c>
      <c r="R737">
        <v>0.87477000000000005</v>
      </c>
      <c r="S737">
        <v>0.78517000000000003</v>
      </c>
      <c r="T737">
        <v>109.715</v>
      </c>
      <c r="U737">
        <v>1</v>
      </c>
    </row>
    <row r="738" spans="1:35" hidden="1" outlineLevel="1">
      <c r="A738" s="8">
        <v>43467</v>
      </c>
      <c r="B738" s="1860">
        <v>2388.4683199999999</v>
      </c>
      <c r="C738" s="1860">
        <v>3288.0558500000002</v>
      </c>
      <c r="D738" s="1860">
        <v>3689.9286299999999</v>
      </c>
      <c r="E738" s="1860">
        <v>4095.3349499999999</v>
      </c>
      <c r="F738">
        <v>29.733740000000001</v>
      </c>
      <c r="G738" s="1861">
        <v>3249.75</v>
      </c>
      <c r="I738">
        <v>0.73495999999999995</v>
      </c>
      <c r="J738">
        <v>1.0117799999999999</v>
      </c>
      <c r="K738">
        <v>1.1354500000000001</v>
      </c>
      <c r="L738">
        <v>1.2602</v>
      </c>
      <c r="M738">
        <v>9.1400000000000006E-3</v>
      </c>
      <c r="N738">
        <v>1</v>
      </c>
      <c r="P738">
        <v>1.3606</v>
      </c>
      <c r="Q738">
        <v>0.98834999999999995</v>
      </c>
      <c r="R738">
        <v>0.88070000000000004</v>
      </c>
      <c r="S738">
        <v>0.79352</v>
      </c>
      <c r="T738">
        <v>109.295</v>
      </c>
      <c r="U738">
        <v>1</v>
      </c>
    </row>
    <row r="739" spans="1:35" hidden="1" outlineLevel="1">
      <c r="A739" s="8">
        <v>43468</v>
      </c>
      <c r="B739" s="1860">
        <v>2405.09879</v>
      </c>
      <c r="C739" s="1860">
        <v>3284.8291800000002</v>
      </c>
      <c r="D739" s="1860">
        <v>3702.4113900000002</v>
      </c>
      <c r="E739" s="1860">
        <v>4095.1750999999999</v>
      </c>
      <c r="F739">
        <v>30.214379999999998</v>
      </c>
      <c r="G739" s="1861">
        <v>3250.01</v>
      </c>
      <c r="I739">
        <v>0.74002000000000001</v>
      </c>
      <c r="J739">
        <v>1.01071</v>
      </c>
      <c r="K739">
        <v>1.1392</v>
      </c>
      <c r="L739">
        <v>1.2600499999999999</v>
      </c>
      <c r="M739">
        <v>9.2899999999999996E-3</v>
      </c>
      <c r="N739">
        <v>1</v>
      </c>
      <c r="P739">
        <v>1.3512999999999999</v>
      </c>
      <c r="Q739">
        <v>0.98939999999999995</v>
      </c>
      <c r="R739">
        <v>0.87780000000000002</v>
      </c>
      <c r="S739">
        <v>0.79361000000000004</v>
      </c>
      <c r="T739">
        <v>107.565</v>
      </c>
      <c r="U739">
        <v>1</v>
      </c>
    </row>
    <row r="740" spans="1:35" s="1857" customFormat="1" hidden="1" outlineLevel="1">
      <c r="A740" s="8">
        <v>43469</v>
      </c>
      <c r="B740" s="1860">
        <v>2420.43163</v>
      </c>
      <c r="C740" s="1860">
        <v>3287.3877900000002</v>
      </c>
      <c r="D740" s="1860">
        <v>3698.0471400000001</v>
      </c>
      <c r="E740" s="1860">
        <v>4122.8064000000004</v>
      </c>
      <c r="F740">
        <v>29.97503</v>
      </c>
      <c r="G740" s="1861">
        <v>3241.2</v>
      </c>
      <c r="I740">
        <v>0.74677000000000004</v>
      </c>
      <c r="J740">
        <v>1.0142500000000001</v>
      </c>
      <c r="K740">
        <v>1.1409499999999999</v>
      </c>
      <c r="L740">
        <v>1.272</v>
      </c>
      <c r="M740">
        <v>9.2399999999999999E-3</v>
      </c>
      <c r="N740">
        <v>1</v>
      </c>
      <c r="P740">
        <v>1.3391</v>
      </c>
      <c r="Q740">
        <v>0.98594999999999999</v>
      </c>
      <c r="R740">
        <v>0.87646000000000002</v>
      </c>
      <c r="S740">
        <v>0.78615999999999997</v>
      </c>
      <c r="T740">
        <v>108.13</v>
      </c>
      <c r="U740">
        <v>1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</row>
    <row r="741" spans="1:35" s="1857" customFormat="1" hidden="1" outlineLevel="1">
      <c r="A741" s="8">
        <v>43470</v>
      </c>
      <c r="B741" s="1860">
        <v>2396.0570499999999</v>
      </c>
      <c r="C741" s="1860">
        <v>3254.2826700000001</v>
      </c>
      <c r="D741" s="1860">
        <v>3660.8065299999998</v>
      </c>
      <c r="E741" s="1860">
        <v>4081.2883200000001</v>
      </c>
      <c r="F741">
        <v>29.673169999999999</v>
      </c>
      <c r="G741" s="1861">
        <v>3208.56</v>
      </c>
      <c r="I741">
        <v>0.74677000000000004</v>
      </c>
      <c r="J741">
        <v>1.0142500000000001</v>
      </c>
      <c r="K741">
        <v>1.1409499999999999</v>
      </c>
      <c r="L741">
        <v>1.272</v>
      </c>
      <c r="M741">
        <v>9.2399999999999999E-3</v>
      </c>
      <c r="N741">
        <v>1</v>
      </c>
      <c r="P741">
        <v>1.3391</v>
      </c>
      <c r="Q741">
        <v>0.98594999999999999</v>
      </c>
      <c r="R741">
        <v>0.87646000000000002</v>
      </c>
      <c r="S741">
        <v>0.78615999999999997</v>
      </c>
      <c r="T741">
        <v>108.13</v>
      </c>
      <c r="U741">
        <v>1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</row>
    <row r="742" spans="1:35" s="1857" customFormat="1" hidden="1" outlineLevel="1">
      <c r="A742" s="8">
        <v>43471</v>
      </c>
      <c r="B742" s="1860">
        <v>2396.0570499999999</v>
      </c>
      <c r="C742" s="1860">
        <v>3254.2826700000001</v>
      </c>
      <c r="D742" s="1860">
        <v>3660.8065299999998</v>
      </c>
      <c r="E742" s="1860">
        <v>4081.2883200000001</v>
      </c>
      <c r="F742">
        <v>29.673169999999999</v>
      </c>
      <c r="G742" s="1861">
        <v>3208.56</v>
      </c>
      <c r="I742">
        <v>0.74677000000000004</v>
      </c>
      <c r="J742">
        <v>1.0142500000000001</v>
      </c>
      <c r="K742">
        <v>1.1409499999999999</v>
      </c>
      <c r="L742">
        <v>1.272</v>
      </c>
      <c r="M742">
        <v>9.2399999999999999E-3</v>
      </c>
      <c r="N742">
        <v>1</v>
      </c>
      <c r="P742">
        <v>1.3391</v>
      </c>
      <c r="Q742">
        <v>0.98594999999999999</v>
      </c>
      <c r="R742">
        <v>0.87646000000000002</v>
      </c>
      <c r="S742">
        <v>0.78615999999999997</v>
      </c>
      <c r="T742">
        <v>108.13</v>
      </c>
      <c r="U742">
        <v>1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</row>
    <row r="743" spans="1:35" s="1857" customFormat="1" hidden="1" outlineLevel="1">
      <c r="A743" s="8">
        <v>43472</v>
      </c>
      <c r="B743" s="1860">
        <v>2409.91437</v>
      </c>
      <c r="C743" s="1860">
        <v>3268.53766</v>
      </c>
      <c r="D743" s="1860">
        <v>3677.4910399999999</v>
      </c>
      <c r="E743" s="1860">
        <v>4096.6894000000002</v>
      </c>
      <c r="F743">
        <v>29.588339999999999</v>
      </c>
      <c r="G743" s="1861">
        <v>3208.56</v>
      </c>
      <c r="I743">
        <v>0.75107999999999997</v>
      </c>
      <c r="J743">
        <v>1.0186900000000001</v>
      </c>
      <c r="K743">
        <v>1.14615</v>
      </c>
      <c r="L743">
        <v>1.2767999999999999</v>
      </c>
      <c r="M743">
        <v>9.2200000000000008E-3</v>
      </c>
      <c r="N743">
        <v>1</v>
      </c>
      <c r="P743">
        <v>1.3313999999999999</v>
      </c>
      <c r="Q743">
        <v>0.98165000000000002</v>
      </c>
      <c r="R743">
        <v>0.87248000000000003</v>
      </c>
      <c r="S743">
        <v>0.78320000000000001</v>
      </c>
      <c r="T743">
        <v>108.44</v>
      </c>
      <c r="U743">
        <v>1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</row>
    <row r="744" spans="1:35" s="1857" customFormat="1" hidden="1" outlineLevel="1">
      <c r="A744" s="8">
        <v>43473</v>
      </c>
      <c r="B744" s="1860">
        <v>2414.6297399999999</v>
      </c>
      <c r="C744" s="1860">
        <v>3269.20372</v>
      </c>
      <c r="D744" s="1860">
        <v>3671.0739199999998</v>
      </c>
      <c r="E744" s="1860">
        <v>4085.13859</v>
      </c>
      <c r="F744">
        <v>29.537949999999999</v>
      </c>
      <c r="G744" s="1861">
        <v>3208.56</v>
      </c>
      <c r="I744">
        <v>0.75255000000000005</v>
      </c>
      <c r="J744">
        <v>1.0188999999999999</v>
      </c>
      <c r="K744">
        <v>1.14415</v>
      </c>
      <c r="L744">
        <v>1.2732000000000001</v>
      </c>
      <c r="M744">
        <v>9.1999999999999998E-3</v>
      </c>
      <c r="N744">
        <v>1</v>
      </c>
      <c r="P744">
        <v>1.3288</v>
      </c>
      <c r="Q744">
        <v>0.98145000000000004</v>
      </c>
      <c r="R744">
        <v>0.87400999999999995</v>
      </c>
      <c r="S744">
        <v>0.78542000000000001</v>
      </c>
      <c r="T744">
        <v>108.625</v>
      </c>
      <c r="U744">
        <v>1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</row>
    <row r="745" spans="1:35" s="1857" customFormat="1" hidden="1" outlineLevel="1">
      <c r="A745" s="8">
        <v>43474</v>
      </c>
      <c r="B745" s="1860">
        <v>2390.2042900000001</v>
      </c>
      <c r="C745" s="1860">
        <v>3239.0870399999999</v>
      </c>
      <c r="D745" s="1860">
        <v>3642.9437200000002</v>
      </c>
      <c r="E745" s="1860">
        <v>4032.5244499999999</v>
      </c>
      <c r="F745">
        <v>29.250419999999998</v>
      </c>
      <c r="G745" s="1861">
        <v>3164.75</v>
      </c>
      <c r="I745">
        <v>0.75524999999999998</v>
      </c>
      <c r="J745">
        <v>1.0234799999999999</v>
      </c>
      <c r="K745">
        <v>1.1511</v>
      </c>
      <c r="L745">
        <v>1.2742</v>
      </c>
      <c r="M745">
        <v>9.2399999999999999E-3</v>
      </c>
      <c r="N745">
        <v>1</v>
      </c>
      <c r="P745">
        <v>1.3240499999999999</v>
      </c>
      <c r="Q745">
        <v>0.97704999999999997</v>
      </c>
      <c r="R745">
        <v>0.86873</v>
      </c>
      <c r="S745">
        <v>0.78480000000000005</v>
      </c>
      <c r="T745">
        <v>108.19499999999999</v>
      </c>
      <c r="U745">
        <v>1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</row>
    <row r="746" spans="1:35" s="1857" customFormat="1" hidden="1" outlineLevel="1">
      <c r="A746" s="8">
        <v>43475</v>
      </c>
      <c r="B746" s="1860">
        <v>2364.3764099999999</v>
      </c>
      <c r="C746" s="1860">
        <v>3190.9313400000001</v>
      </c>
      <c r="D746" s="1860">
        <v>3604.00585</v>
      </c>
      <c r="E746" s="1860">
        <v>3996.8914399999999</v>
      </c>
      <c r="F746">
        <v>28.907399999999999</v>
      </c>
      <c r="G746" s="1861">
        <v>3128.07</v>
      </c>
      <c r="I746">
        <v>0.75585000000000002</v>
      </c>
      <c r="J746">
        <v>1.0200899999999999</v>
      </c>
      <c r="K746">
        <v>1.15215</v>
      </c>
      <c r="L746">
        <v>1.2777499999999999</v>
      </c>
      <c r="M746">
        <v>9.2399999999999999E-3</v>
      </c>
      <c r="N746">
        <v>1</v>
      </c>
      <c r="P746">
        <v>1.323</v>
      </c>
      <c r="Q746">
        <v>0.98029999999999995</v>
      </c>
      <c r="R746">
        <v>0.86794000000000004</v>
      </c>
      <c r="S746">
        <v>0.78261999999999998</v>
      </c>
      <c r="T746">
        <v>108.21</v>
      </c>
      <c r="U746">
        <v>1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</row>
    <row r="747" spans="1:35" s="1857" customFormat="1" hidden="1" outlineLevel="1">
      <c r="A747" s="8">
        <v>43476</v>
      </c>
      <c r="B747" s="1860">
        <v>2366.1800699999999</v>
      </c>
      <c r="C747" s="1860">
        <v>3191.2194100000002</v>
      </c>
      <c r="D747" s="1860">
        <v>3599.9063900000001</v>
      </c>
      <c r="E747" s="1860">
        <v>4021.7642999999998</v>
      </c>
      <c r="F747">
        <v>28.931740000000001</v>
      </c>
      <c r="G747" s="1861">
        <v>3136.49</v>
      </c>
      <c r="I747">
        <v>0.75439999999999996</v>
      </c>
      <c r="J747">
        <v>1.0174399999999999</v>
      </c>
      <c r="K747">
        <v>1.14775</v>
      </c>
      <c r="L747">
        <v>1.2822499999999999</v>
      </c>
      <c r="M747">
        <v>9.2200000000000008E-3</v>
      </c>
      <c r="N747">
        <v>1</v>
      </c>
      <c r="P747">
        <v>1.32555</v>
      </c>
      <c r="Q747">
        <v>0.98285</v>
      </c>
      <c r="R747">
        <v>0.87126000000000003</v>
      </c>
      <c r="S747">
        <v>0.77986999999999995</v>
      </c>
      <c r="T747">
        <v>108.41</v>
      </c>
      <c r="U747">
        <v>1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</row>
    <row r="748" spans="1:35" s="1857" customFormat="1" hidden="1" outlineLevel="1">
      <c r="A748" s="8">
        <v>43477</v>
      </c>
      <c r="B748" s="1860">
        <v>2377.49613</v>
      </c>
      <c r="C748" s="1860">
        <v>3206.4811500000001</v>
      </c>
      <c r="D748" s="1860">
        <v>3617.12264</v>
      </c>
      <c r="E748" s="1860">
        <v>4040.9980500000001</v>
      </c>
      <c r="F748">
        <v>29.0701</v>
      </c>
      <c r="G748" s="1861">
        <v>3151.49</v>
      </c>
      <c r="I748">
        <v>0.75439999999999996</v>
      </c>
      <c r="J748">
        <v>1.0174399999999999</v>
      </c>
      <c r="K748">
        <v>1.14775</v>
      </c>
      <c r="L748">
        <v>1.2822499999999999</v>
      </c>
      <c r="M748">
        <v>9.2200000000000008E-3</v>
      </c>
      <c r="N748">
        <v>1</v>
      </c>
      <c r="P748">
        <v>1.32555</v>
      </c>
      <c r="Q748">
        <v>0.98285</v>
      </c>
      <c r="R748">
        <v>0.87126000000000003</v>
      </c>
      <c r="S748">
        <v>0.77986999999999995</v>
      </c>
      <c r="T748">
        <v>108.41</v>
      </c>
      <c r="U748">
        <v>1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</row>
    <row r="749" spans="1:35" s="1857" customFormat="1" hidden="1" outlineLevel="1">
      <c r="A749" s="8">
        <v>43478</v>
      </c>
      <c r="B749" s="1860">
        <v>2377.49613</v>
      </c>
      <c r="C749" s="1860">
        <v>3206.4811500000001</v>
      </c>
      <c r="D749" s="1860">
        <v>3617.12264</v>
      </c>
      <c r="E749" s="1860">
        <v>4040.9980500000001</v>
      </c>
      <c r="F749">
        <v>29.0701</v>
      </c>
      <c r="G749" s="1861">
        <v>3151.49</v>
      </c>
      <c r="I749">
        <v>0.75439999999999996</v>
      </c>
      <c r="J749">
        <v>1.0174399999999999</v>
      </c>
      <c r="K749">
        <v>1.14775</v>
      </c>
      <c r="L749">
        <v>1.2822499999999999</v>
      </c>
      <c r="M749">
        <v>9.2200000000000008E-3</v>
      </c>
      <c r="N749">
        <v>1</v>
      </c>
      <c r="P749">
        <v>1.32555</v>
      </c>
      <c r="Q749">
        <v>0.98285</v>
      </c>
      <c r="R749">
        <v>0.87126000000000003</v>
      </c>
      <c r="S749">
        <v>0.77986999999999995</v>
      </c>
      <c r="T749">
        <v>108.41</v>
      </c>
      <c r="U749">
        <v>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</row>
    <row r="750" spans="1:35" s="1857" customFormat="1" hidden="1" outlineLevel="1">
      <c r="A750" s="8">
        <v>43479</v>
      </c>
      <c r="B750" s="1860">
        <v>2375.8829900000001</v>
      </c>
      <c r="C750" s="1860">
        <v>3212.5280299999999</v>
      </c>
      <c r="D750" s="1860">
        <v>3613.9711499999999</v>
      </c>
      <c r="E750" s="1860">
        <v>4069.20388</v>
      </c>
      <c r="F750">
        <v>29.094249999999999</v>
      </c>
      <c r="G750" s="1861">
        <v>3151.49</v>
      </c>
      <c r="I750">
        <v>0.75388999999999995</v>
      </c>
      <c r="J750">
        <v>1.01936</v>
      </c>
      <c r="K750">
        <v>1.1467499999999999</v>
      </c>
      <c r="L750">
        <v>1.2911999999999999</v>
      </c>
      <c r="M750">
        <v>9.2300000000000004E-3</v>
      </c>
      <c r="N750">
        <v>1</v>
      </c>
      <c r="P750">
        <v>1.3264499999999999</v>
      </c>
      <c r="Q750">
        <v>0.98099999999999998</v>
      </c>
      <c r="R750">
        <v>0.87202000000000002</v>
      </c>
      <c r="S750">
        <v>0.77446999999999999</v>
      </c>
      <c r="T750">
        <v>108.32</v>
      </c>
      <c r="U750">
        <v>1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</row>
    <row r="751" spans="1:35" s="1857" customFormat="1" hidden="1" outlineLevel="1">
      <c r="A751" s="8">
        <v>43480</v>
      </c>
      <c r="B751" s="1860">
        <v>2373.31621</v>
      </c>
      <c r="C751" s="1860">
        <v>3186.07267</v>
      </c>
      <c r="D751" s="1860">
        <v>3593.4862600000001</v>
      </c>
      <c r="E751" s="1860">
        <v>4025.5218500000001</v>
      </c>
      <c r="F751">
        <v>28.96576</v>
      </c>
      <c r="G751" s="1861">
        <v>3143.22</v>
      </c>
      <c r="I751">
        <v>0.75505</v>
      </c>
      <c r="J751">
        <v>1.01363</v>
      </c>
      <c r="K751">
        <v>1.1432500000000001</v>
      </c>
      <c r="L751">
        <v>1.2806999999999999</v>
      </c>
      <c r="M751">
        <v>9.2099999999999994E-3</v>
      </c>
      <c r="N751">
        <v>1</v>
      </c>
      <c r="P751">
        <v>1.3244</v>
      </c>
      <c r="Q751">
        <v>0.98655000000000004</v>
      </c>
      <c r="R751">
        <v>0.87468999999999997</v>
      </c>
      <c r="S751">
        <v>0.78081999999999996</v>
      </c>
      <c r="T751">
        <v>108.515</v>
      </c>
      <c r="U751">
        <v>1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</row>
    <row r="752" spans="1:35" s="1857" customFormat="1" hidden="1" outlineLevel="1">
      <c r="A752" s="8">
        <v>43481</v>
      </c>
      <c r="B752" s="1860">
        <v>2368.1346400000002</v>
      </c>
      <c r="C752" s="1860">
        <v>3168.0735</v>
      </c>
      <c r="D752" s="1860">
        <v>3575.2066799999998</v>
      </c>
      <c r="E752" s="1860">
        <v>4035.1876400000001</v>
      </c>
      <c r="F752">
        <v>28.82686</v>
      </c>
      <c r="G752" s="1861">
        <v>3137.66</v>
      </c>
      <c r="I752">
        <v>0.75473999999999997</v>
      </c>
      <c r="J752">
        <v>1.00969</v>
      </c>
      <c r="K752">
        <v>1.1394500000000001</v>
      </c>
      <c r="L752">
        <v>1.2860499999999999</v>
      </c>
      <c r="M752">
        <v>9.1800000000000007E-3</v>
      </c>
      <c r="N752">
        <v>1</v>
      </c>
      <c r="P752">
        <v>1.3249500000000001</v>
      </c>
      <c r="Q752">
        <v>0.99039999999999995</v>
      </c>
      <c r="R752">
        <v>0.87761</v>
      </c>
      <c r="S752">
        <v>0.77756999999999998</v>
      </c>
      <c r="T752">
        <v>108.845</v>
      </c>
      <c r="U752">
        <v>1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</row>
    <row r="753" spans="1:35" s="1857" customFormat="1" hidden="1" outlineLevel="1">
      <c r="A753" s="8">
        <v>43482</v>
      </c>
      <c r="B753" s="1860">
        <v>2350.9196900000002</v>
      </c>
      <c r="C753" s="1860">
        <v>3141.7684599999998</v>
      </c>
      <c r="D753" s="1860">
        <v>3556.0482299999999</v>
      </c>
      <c r="E753" s="1860">
        <v>4034.0108599999999</v>
      </c>
      <c r="F753">
        <v>28.664090000000002</v>
      </c>
      <c r="G753" s="1861">
        <v>3124.96</v>
      </c>
      <c r="I753">
        <v>0.75229999999999997</v>
      </c>
      <c r="J753">
        <v>1.0053700000000001</v>
      </c>
      <c r="K753">
        <v>1.13795</v>
      </c>
      <c r="L753">
        <v>1.2908999999999999</v>
      </c>
      <c r="M753">
        <v>9.1699999999999993E-3</v>
      </c>
      <c r="N753">
        <v>1</v>
      </c>
      <c r="P753">
        <v>1.32925</v>
      </c>
      <c r="Q753">
        <v>0.99465000000000003</v>
      </c>
      <c r="R753">
        <v>0.87877000000000005</v>
      </c>
      <c r="S753">
        <v>0.77464999999999995</v>
      </c>
      <c r="T753">
        <v>109.02</v>
      </c>
      <c r="U753">
        <v>1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</row>
    <row r="754" spans="1:35" s="1857" customFormat="1" hidden="1" outlineLevel="1">
      <c r="A754" s="8">
        <v>43483</v>
      </c>
      <c r="B754" s="1860">
        <v>2370.0441500000002</v>
      </c>
      <c r="C754" s="1860">
        <v>3154.2262999999998</v>
      </c>
      <c r="D754" s="1860">
        <v>3569.2969600000001</v>
      </c>
      <c r="E754" s="1860">
        <v>4052.72921</v>
      </c>
      <c r="F754">
        <v>28.63438</v>
      </c>
      <c r="G754" s="1861">
        <v>3140.19</v>
      </c>
      <c r="I754">
        <v>0.75473999999999997</v>
      </c>
      <c r="J754">
        <v>1.0044599999999999</v>
      </c>
      <c r="K754">
        <v>1.1366499999999999</v>
      </c>
      <c r="L754">
        <v>1.2906</v>
      </c>
      <c r="M754">
        <v>9.11E-3</v>
      </c>
      <c r="N754">
        <v>1</v>
      </c>
      <c r="P754">
        <v>1.3249500000000001</v>
      </c>
      <c r="Q754">
        <v>0.99555000000000005</v>
      </c>
      <c r="R754">
        <v>0.87977000000000005</v>
      </c>
      <c r="S754">
        <v>0.77483000000000002</v>
      </c>
      <c r="T754">
        <v>109.66500000000001</v>
      </c>
      <c r="U754">
        <v>1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</row>
    <row r="755" spans="1:35" s="1857" customFormat="1" hidden="1" outlineLevel="1">
      <c r="A755" s="8">
        <v>43484</v>
      </c>
      <c r="B755" s="1860">
        <v>2355.22849</v>
      </c>
      <c r="C755" s="1860">
        <v>3134.5085600000002</v>
      </c>
      <c r="D755" s="1860">
        <v>3546.98452</v>
      </c>
      <c r="E755" s="1860">
        <v>4027.39473</v>
      </c>
      <c r="F755">
        <v>28.455380000000002</v>
      </c>
      <c r="G755" s="1861">
        <v>3120.56</v>
      </c>
      <c r="I755">
        <v>0.75473999999999997</v>
      </c>
      <c r="J755">
        <v>1.0044599999999999</v>
      </c>
      <c r="K755">
        <v>1.1366499999999999</v>
      </c>
      <c r="L755">
        <v>1.2906</v>
      </c>
      <c r="M755">
        <v>9.11E-3</v>
      </c>
      <c r="N755">
        <v>1</v>
      </c>
      <c r="P755">
        <v>1.3249500000000001</v>
      </c>
      <c r="Q755">
        <v>0.99555000000000005</v>
      </c>
      <c r="R755">
        <v>0.87977000000000005</v>
      </c>
      <c r="S755">
        <v>0.77483000000000002</v>
      </c>
      <c r="T755">
        <v>109.66500000000001</v>
      </c>
      <c r="U755">
        <v>1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</row>
    <row r="756" spans="1:35" hidden="1" outlineLevel="1">
      <c r="A756" s="8">
        <v>43485</v>
      </c>
      <c r="B756" s="1860">
        <v>2355.22849</v>
      </c>
      <c r="C756" s="1860">
        <v>3134.5085600000002</v>
      </c>
      <c r="D756" s="1860">
        <v>3546.98452</v>
      </c>
      <c r="E756" s="1860">
        <v>4027.39473</v>
      </c>
      <c r="F756">
        <v>28.455380000000002</v>
      </c>
      <c r="G756" s="1861">
        <v>3120.56</v>
      </c>
      <c r="I756">
        <v>0.75473999999999997</v>
      </c>
      <c r="J756">
        <v>1.0044599999999999</v>
      </c>
      <c r="K756">
        <v>1.1366499999999999</v>
      </c>
      <c r="L756">
        <v>1.2906</v>
      </c>
      <c r="M756">
        <v>9.11E-3</v>
      </c>
      <c r="N756">
        <v>1</v>
      </c>
      <c r="P756">
        <v>1.3249500000000001</v>
      </c>
      <c r="Q756">
        <v>0.99555000000000005</v>
      </c>
      <c r="R756">
        <v>0.87977000000000005</v>
      </c>
      <c r="S756">
        <v>0.77483000000000002</v>
      </c>
      <c r="T756">
        <v>109.66500000000001</v>
      </c>
      <c r="U756">
        <v>1</v>
      </c>
    </row>
    <row r="757" spans="1:35" hidden="1" outlineLevel="1">
      <c r="A757" s="8">
        <v>43486</v>
      </c>
      <c r="B757" s="1860">
        <v>2348.4929400000001</v>
      </c>
      <c r="C757" s="1860">
        <v>3128.2241399999998</v>
      </c>
      <c r="D757" s="1860">
        <v>3546.6724599999998</v>
      </c>
      <c r="E757" s="1860">
        <v>4023.3380000000002</v>
      </c>
      <c r="F757">
        <v>28.46706</v>
      </c>
      <c r="G757" s="1861">
        <v>3120.56</v>
      </c>
      <c r="I757">
        <v>0.75258000000000003</v>
      </c>
      <c r="J757">
        <v>1.0024500000000001</v>
      </c>
      <c r="K757">
        <v>1.1365499999999999</v>
      </c>
      <c r="L757">
        <v>1.2892999999999999</v>
      </c>
      <c r="M757">
        <v>9.1199999999999996E-3</v>
      </c>
      <c r="N757">
        <v>1</v>
      </c>
      <c r="P757">
        <v>1.3287500000000001</v>
      </c>
      <c r="Q757">
        <v>0.99755000000000005</v>
      </c>
      <c r="R757">
        <v>0.87985000000000002</v>
      </c>
      <c r="S757">
        <v>0.77561000000000002</v>
      </c>
      <c r="T757">
        <v>109.62</v>
      </c>
      <c r="U757">
        <v>1</v>
      </c>
    </row>
    <row r="758" spans="1:35" hidden="1" outlineLevel="1">
      <c r="A758" s="8">
        <v>43487</v>
      </c>
      <c r="B758" s="1860">
        <v>2339.8642799999998</v>
      </c>
      <c r="C758" s="1860">
        <v>3128.06736</v>
      </c>
      <c r="D758" s="1860">
        <v>3543.8639600000001</v>
      </c>
      <c r="E758" s="1860">
        <v>4043.9337</v>
      </c>
      <c r="F758">
        <v>28.51388</v>
      </c>
      <c r="G758" s="1861">
        <v>3120.56</v>
      </c>
      <c r="I758">
        <v>0.74982000000000004</v>
      </c>
      <c r="J758">
        <v>1.0024</v>
      </c>
      <c r="K758">
        <v>1.13565</v>
      </c>
      <c r="L758">
        <v>1.2959000000000001</v>
      </c>
      <c r="M758">
        <v>9.1299999999999992E-3</v>
      </c>
      <c r="N758">
        <v>1</v>
      </c>
      <c r="P758">
        <v>1.33365</v>
      </c>
      <c r="Q758">
        <v>0.99760000000000004</v>
      </c>
      <c r="R758">
        <v>0.88055000000000005</v>
      </c>
      <c r="S758">
        <v>0.77166000000000001</v>
      </c>
      <c r="T758">
        <v>109.44</v>
      </c>
      <c r="U758">
        <v>1</v>
      </c>
    </row>
    <row r="759" spans="1:35" hidden="1" outlineLevel="1">
      <c r="A759" s="8">
        <v>43488</v>
      </c>
      <c r="B759" s="1860">
        <v>2348.4501300000002</v>
      </c>
      <c r="C759" s="1860">
        <v>3149.9774000000002</v>
      </c>
      <c r="D759" s="1860">
        <v>3569.1257599999999</v>
      </c>
      <c r="E759" s="1860">
        <v>4097.0138500000003</v>
      </c>
      <c r="F759">
        <v>28.609380000000002</v>
      </c>
      <c r="G759" s="1861">
        <v>3136.59</v>
      </c>
      <c r="I759">
        <v>0.74872000000000005</v>
      </c>
      <c r="J759">
        <v>1.0042599999999999</v>
      </c>
      <c r="K759">
        <v>1.1378999999999999</v>
      </c>
      <c r="L759">
        <v>1.3062</v>
      </c>
      <c r="M759">
        <v>9.1199999999999996E-3</v>
      </c>
      <c r="N759">
        <v>1</v>
      </c>
      <c r="P759">
        <v>1.3355999999999999</v>
      </c>
      <c r="Q759">
        <v>0.99575000000000002</v>
      </c>
      <c r="R759">
        <v>0.87880999999999998</v>
      </c>
      <c r="S759">
        <v>0.76556999999999997</v>
      </c>
      <c r="T759">
        <v>109.63500000000001</v>
      </c>
      <c r="U759">
        <v>1</v>
      </c>
    </row>
    <row r="760" spans="1:35" hidden="1" outlineLevel="1">
      <c r="A760" s="8">
        <v>43489</v>
      </c>
      <c r="B760" s="1860">
        <v>2358.5141800000001</v>
      </c>
      <c r="C760" s="1860">
        <v>3162.2675599999998</v>
      </c>
      <c r="D760" s="1860">
        <v>3571.9700400000002</v>
      </c>
      <c r="E760" s="1860">
        <v>4103.8250099999996</v>
      </c>
      <c r="F760">
        <v>28.709579999999999</v>
      </c>
      <c r="G760" s="1861">
        <v>3146.14</v>
      </c>
      <c r="I760">
        <v>0.74965000000000004</v>
      </c>
      <c r="J760">
        <v>1.00512</v>
      </c>
      <c r="K760">
        <v>1.1353500000000001</v>
      </c>
      <c r="L760">
        <v>1.3044</v>
      </c>
      <c r="M760">
        <v>9.1199999999999996E-3</v>
      </c>
      <c r="N760">
        <v>1</v>
      </c>
      <c r="P760">
        <v>1.33395</v>
      </c>
      <c r="Q760">
        <v>0.99490000000000001</v>
      </c>
      <c r="R760">
        <v>0.88078000000000001</v>
      </c>
      <c r="S760">
        <v>0.76663000000000003</v>
      </c>
      <c r="T760">
        <v>109.58499999999999</v>
      </c>
      <c r="U760">
        <v>1</v>
      </c>
    </row>
    <row r="761" spans="1:35" hidden="1" outlineLevel="1">
      <c r="A761" s="8">
        <v>43490</v>
      </c>
      <c r="B761" s="1860">
        <v>2383.6790099999998</v>
      </c>
      <c r="C761" s="1860">
        <v>3181.6781500000002</v>
      </c>
      <c r="D761" s="1860">
        <v>3602.36069</v>
      </c>
      <c r="E761" s="1860">
        <v>4162.2468099999996</v>
      </c>
      <c r="F761">
        <v>28.817139999999998</v>
      </c>
      <c r="G761" s="1861">
        <v>3160.52</v>
      </c>
      <c r="I761">
        <v>0.75419999999999998</v>
      </c>
      <c r="J761">
        <v>1.0066900000000001</v>
      </c>
      <c r="K761">
        <v>1.1397999999999999</v>
      </c>
      <c r="L761">
        <v>1.3169500000000001</v>
      </c>
      <c r="M761">
        <v>9.11E-3</v>
      </c>
      <c r="N761">
        <v>1</v>
      </c>
      <c r="P761">
        <v>1.3259000000000001</v>
      </c>
      <c r="Q761">
        <v>0.99334999999999996</v>
      </c>
      <c r="R761">
        <v>0.87734000000000001</v>
      </c>
      <c r="S761">
        <v>0.75932999999999995</v>
      </c>
      <c r="T761">
        <v>109.675</v>
      </c>
      <c r="U761">
        <v>1</v>
      </c>
    </row>
    <row r="762" spans="1:35" hidden="1" outlineLevel="1">
      <c r="A762" s="8">
        <v>43491</v>
      </c>
      <c r="B762" s="1860">
        <v>2376.1822099999999</v>
      </c>
      <c r="C762" s="1860">
        <v>3171.6716099999999</v>
      </c>
      <c r="D762" s="1860">
        <v>3591.0310800000002</v>
      </c>
      <c r="E762" s="1860">
        <v>4149.1563299999998</v>
      </c>
      <c r="F762">
        <v>28.726510000000001</v>
      </c>
      <c r="G762" s="1861">
        <v>3150.58</v>
      </c>
      <c r="I762">
        <v>0.75419999999999998</v>
      </c>
      <c r="J762">
        <v>1.0066900000000001</v>
      </c>
      <c r="K762">
        <v>1.1397999999999999</v>
      </c>
      <c r="L762">
        <v>1.3169500000000001</v>
      </c>
      <c r="M762">
        <v>9.11E-3</v>
      </c>
      <c r="N762">
        <v>1</v>
      </c>
      <c r="P762">
        <v>1.3259000000000001</v>
      </c>
      <c r="Q762">
        <v>0.99334999999999996</v>
      </c>
      <c r="R762">
        <v>0.87734000000000001</v>
      </c>
      <c r="S762">
        <v>0.75932999999999995</v>
      </c>
      <c r="T762">
        <v>109.675</v>
      </c>
      <c r="U762">
        <v>1</v>
      </c>
    </row>
    <row r="763" spans="1:35" hidden="1" outlineLevel="1">
      <c r="A763" s="8">
        <v>43492</v>
      </c>
      <c r="B763" s="1860">
        <v>2376.1822099999999</v>
      </c>
      <c r="C763" s="1860">
        <v>3171.6716099999999</v>
      </c>
      <c r="D763" s="1860">
        <v>3591.0310800000002</v>
      </c>
      <c r="E763" s="1860">
        <v>4149.1563299999998</v>
      </c>
      <c r="F763">
        <v>28.726510000000001</v>
      </c>
      <c r="G763" s="1861">
        <v>3150.58</v>
      </c>
      <c r="I763">
        <v>0.75419999999999998</v>
      </c>
      <c r="J763">
        <v>1.0066900000000001</v>
      </c>
      <c r="K763">
        <v>1.1397999999999999</v>
      </c>
      <c r="L763">
        <v>1.3169500000000001</v>
      </c>
      <c r="M763">
        <v>9.11E-3</v>
      </c>
      <c r="N763">
        <v>1</v>
      </c>
      <c r="P763">
        <v>1.3259000000000001</v>
      </c>
      <c r="Q763">
        <v>0.99334999999999996</v>
      </c>
      <c r="R763">
        <v>0.87734000000000001</v>
      </c>
      <c r="S763">
        <v>0.75932999999999995</v>
      </c>
      <c r="T763">
        <v>109.675</v>
      </c>
      <c r="U763">
        <v>1</v>
      </c>
    </row>
    <row r="764" spans="1:35" hidden="1" outlineLevel="1">
      <c r="A764" s="8">
        <v>43493</v>
      </c>
      <c r="B764" s="1860">
        <v>2376.4510599999999</v>
      </c>
      <c r="C764" s="1860">
        <v>3178.0702999999999</v>
      </c>
      <c r="D764" s="1860">
        <v>3602.84575</v>
      </c>
      <c r="E764" s="1860">
        <v>4144.7455099999997</v>
      </c>
      <c r="F764">
        <v>28.831659999999999</v>
      </c>
      <c r="G764" s="1861">
        <v>3150.58</v>
      </c>
      <c r="I764">
        <v>0.75429000000000002</v>
      </c>
      <c r="J764">
        <v>1.0087200000000001</v>
      </c>
      <c r="K764">
        <v>1.1435500000000001</v>
      </c>
      <c r="L764">
        <v>1.31555</v>
      </c>
      <c r="M764">
        <v>9.1500000000000001E-3</v>
      </c>
      <c r="N764">
        <v>1</v>
      </c>
      <c r="P764">
        <v>1.32575</v>
      </c>
      <c r="Q764">
        <v>0.99134999999999995</v>
      </c>
      <c r="R764">
        <v>0.87446000000000002</v>
      </c>
      <c r="S764">
        <v>0.76012999999999997</v>
      </c>
      <c r="T764">
        <v>109.27500000000001</v>
      </c>
      <c r="U764">
        <v>1</v>
      </c>
    </row>
    <row r="765" spans="1:35" hidden="1" outlineLevel="1">
      <c r="A765" s="8">
        <v>43494</v>
      </c>
      <c r="B765" s="1860">
        <v>2386.6048799999999</v>
      </c>
      <c r="C765" s="1860">
        <v>3183.9388899999999</v>
      </c>
      <c r="D765" s="1860">
        <v>3616.1121899999998</v>
      </c>
      <c r="E765" s="1860">
        <v>4164.46875</v>
      </c>
      <c r="F765">
        <v>28.975210000000001</v>
      </c>
      <c r="G765" s="1861">
        <v>3167.86</v>
      </c>
      <c r="I765">
        <v>0.75338000000000005</v>
      </c>
      <c r="J765">
        <v>1.0050699999999999</v>
      </c>
      <c r="K765">
        <v>1.1415</v>
      </c>
      <c r="L765">
        <v>1.3146</v>
      </c>
      <c r="M765">
        <v>9.1400000000000006E-3</v>
      </c>
      <c r="N765">
        <v>1</v>
      </c>
      <c r="P765">
        <v>1.32735</v>
      </c>
      <c r="Q765">
        <v>0.99495</v>
      </c>
      <c r="R765">
        <v>0.87604000000000004</v>
      </c>
      <c r="S765">
        <v>0.76068000000000002</v>
      </c>
      <c r="T765">
        <v>109.33</v>
      </c>
      <c r="U765">
        <v>1</v>
      </c>
    </row>
    <row r="766" spans="1:35" hidden="1" outlineLevel="1">
      <c r="A766" s="8">
        <v>43495</v>
      </c>
      <c r="B766" s="1860">
        <v>2391.8793999999998</v>
      </c>
      <c r="C766" s="1860">
        <v>3163.0553399999999</v>
      </c>
      <c r="D766" s="1860">
        <v>3607.6244700000002</v>
      </c>
      <c r="E766" s="1860">
        <v>4126.8786399999999</v>
      </c>
      <c r="F766">
        <v>28.8108</v>
      </c>
      <c r="G766" s="1861">
        <v>3157.52</v>
      </c>
      <c r="I766">
        <v>0.75751000000000002</v>
      </c>
      <c r="J766">
        <v>1.0017499999999999</v>
      </c>
      <c r="K766">
        <v>1.14255</v>
      </c>
      <c r="L766">
        <v>1.3069999999999999</v>
      </c>
      <c r="M766">
        <v>9.1199999999999996E-3</v>
      </c>
      <c r="N766">
        <v>1</v>
      </c>
      <c r="P766">
        <v>1.3201000000000001</v>
      </c>
      <c r="Q766">
        <v>0.99824999999999997</v>
      </c>
      <c r="R766">
        <v>0.87522999999999995</v>
      </c>
      <c r="S766">
        <v>0.76510999999999996</v>
      </c>
      <c r="T766">
        <v>109.595</v>
      </c>
      <c r="U766">
        <v>1</v>
      </c>
    </row>
    <row r="767" spans="1:35" ht="15.75" hidden="1" outlineLevel="1" thickBot="1">
      <c r="A767" s="1868">
        <v>43496</v>
      </c>
      <c r="B767" s="1869">
        <v>2408.7870200000002</v>
      </c>
      <c r="C767" s="1869">
        <v>3188.6503299999999</v>
      </c>
      <c r="D767" s="1869">
        <v>3629.9121700000001</v>
      </c>
      <c r="E767" s="1869">
        <v>4161.37345</v>
      </c>
      <c r="F767" s="1870">
        <v>29.067900000000002</v>
      </c>
      <c r="G767" s="1871">
        <v>3163.46</v>
      </c>
      <c r="H767" s="1872"/>
      <c r="I767" s="1870">
        <v>0.76144000000000001</v>
      </c>
      <c r="J767" s="1870">
        <v>1.00796</v>
      </c>
      <c r="K767" s="1870">
        <v>1.1474500000000001</v>
      </c>
      <c r="L767" s="1870">
        <v>1.31545</v>
      </c>
      <c r="M767" s="1870">
        <v>9.1800000000000007E-3</v>
      </c>
      <c r="N767" s="1870">
        <v>1</v>
      </c>
      <c r="O767" s="1872"/>
      <c r="P767" s="1870">
        <v>1.3132999999999999</v>
      </c>
      <c r="Q767" s="1870">
        <v>0.99209999999999998</v>
      </c>
      <c r="R767" s="1870">
        <v>0.87148999999999999</v>
      </c>
      <c r="S767" s="1870">
        <v>0.76019000000000003</v>
      </c>
      <c r="T767" s="1870">
        <v>108.83</v>
      </c>
      <c r="U767" s="1870">
        <v>1</v>
      </c>
      <c r="V767" s="1872"/>
    </row>
    <row r="768" spans="1:35" hidden="1" outlineLevel="1">
      <c r="A768" s="8">
        <v>43497</v>
      </c>
      <c r="B768" s="1860">
        <v>2378.3969400000001</v>
      </c>
      <c r="C768" s="1860">
        <v>3134.50704</v>
      </c>
      <c r="D768" s="1860">
        <v>3573.0847600000002</v>
      </c>
      <c r="E768" s="1860">
        <v>4079.3860100000002</v>
      </c>
      <c r="F768">
        <v>28.4864</v>
      </c>
      <c r="G768" s="1861">
        <v>3115.7</v>
      </c>
      <c r="I768">
        <v>0.76334999999999997</v>
      </c>
      <c r="J768">
        <v>1.00603</v>
      </c>
      <c r="K768">
        <v>1.1468</v>
      </c>
      <c r="L768">
        <v>1.3092999999999999</v>
      </c>
      <c r="M768">
        <v>9.1400000000000006E-3</v>
      </c>
      <c r="N768">
        <v>1</v>
      </c>
      <c r="P768">
        <v>1.31</v>
      </c>
      <c r="Q768">
        <v>0.99399999999999999</v>
      </c>
      <c r="R768">
        <v>0.87199000000000004</v>
      </c>
      <c r="S768">
        <v>0.76375999999999999</v>
      </c>
      <c r="T768">
        <v>109.375</v>
      </c>
      <c r="U768">
        <v>1</v>
      </c>
    </row>
    <row r="769" spans="1:35" hidden="1" outlineLevel="1">
      <c r="A769" s="8">
        <v>43498</v>
      </c>
      <c r="B769" s="1860">
        <v>2368.4045799999999</v>
      </c>
      <c r="C769" s="1860">
        <v>3121.3380200000001</v>
      </c>
      <c r="D769" s="1860">
        <v>3558.07314</v>
      </c>
      <c r="E769" s="1860">
        <v>4062.2472699999998</v>
      </c>
      <c r="F769">
        <v>28.366720000000001</v>
      </c>
      <c r="G769" s="1861">
        <v>3102.61</v>
      </c>
      <c r="I769">
        <v>0.76334999999999997</v>
      </c>
      <c r="J769">
        <v>1.00603</v>
      </c>
      <c r="K769">
        <v>1.1468</v>
      </c>
      <c r="L769">
        <v>1.3092999999999999</v>
      </c>
      <c r="M769">
        <v>9.1400000000000006E-3</v>
      </c>
      <c r="N769">
        <v>1</v>
      </c>
      <c r="P769">
        <v>1.31</v>
      </c>
      <c r="Q769">
        <v>0.99399999999999999</v>
      </c>
      <c r="R769">
        <v>0.87199000000000004</v>
      </c>
      <c r="S769">
        <v>0.76375999999999999</v>
      </c>
      <c r="T769">
        <v>109.375</v>
      </c>
      <c r="U769">
        <v>1</v>
      </c>
    </row>
    <row r="770" spans="1:35" hidden="1" outlineLevel="1">
      <c r="A770" s="8">
        <v>43499</v>
      </c>
      <c r="B770" s="1860">
        <v>2368.4045799999999</v>
      </c>
      <c r="C770" s="1860">
        <v>3121.3380200000001</v>
      </c>
      <c r="D770" s="1860">
        <v>3558.07314</v>
      </c>
      <c r="E770" s="1860">
        <v>4062.2472699999998</v>
      </c>
      <c r="F770">
        <v>28.366720000000001</v>
      </c>
      <c r="G770" s="1861">
        <v>3102.61</v>
      </c>
      <c r="I770">
        <v>0.76334999999999997</v>
      </c>
      <c r="J770">
        <v>1.00603</v>
      </c>
      <c r="K770">
        <v>1.1468</v>
      </c>
      <c r="L770">
        <v>1.3092999999999999</v>
      </c>
      <c r="M770">
        <v>9.1400000000000006E-3</v>
      </c>
      <c r="N770">
        <v>1</v>
      </c>
      <c r="P770">
        <v>1.31</v>
      </c>
      <c r="Q770">
        <v>0.99399999999999999</v>
      </c>
      <c r="R770">
        <v>0.87199000000000004</v>
      </c>
      <c r="S770">
        <v>0.76375999999999999</v>
      </c>
      <c r="T770">
        <v>109.375</v>
      </c>
      <c r="U770">
        <v>1</v>
      </c>
    </row>
    <row r="771" spans="1:35" hidden="1" outlineLevel="1">
      <c r="A771" s="8">
        <v>43500</v>
      </c>
      <c r="B771" s="1860">
        <v>2364.2536</v>
      </c>
      <c r="C771" s="1860">
        <v>3109.6066099999998</v>
      </c>
      <c r="D771" s="1860">
        <v>3545.81783</v>
      </c>
      <c r="E771" s="1860">
        <v>4059.1446599999999</v>
      </c>
      <c r="F771">
        <v>28.192730000000001</v>
      </c>
      <c r="G771" s="1861">
        <v>3102.61</v>
      </c>
      <c r="I771">
        <v>0.76202000000000003</v>
      </c>
      <c r="J771">
        <v>1.0022500000000001</v>
      </c>
      <c r="K771">
        <v>1.1428499999999999</v>
      </c>
      <c r="L771">
        <v>1.3083</v>
      </c>
      <c r="M771">
        <v>9.0799999999999995E-3</v>
      </c>
      <c r="N771">
        <v>1</v>
      </c>
      <c r="P771">
        <v>1.3123</v>
      </c>
      <c r="Q771">
        <v>0.99775000000000003</v>
      </c>
      <c r="R771">
        <v>0.875</v>
      </c>
      <c r="S771">
        <v>0.76434999999999997</v>
      </c>
      <c r="T771">
        <v>110.05</v>
      </c>
      <c r="U771">
        <v>1</v>
      </c>
    </row>
    <row r="772" spans="1:35" s="1857" customFormat="1" hidden="1" outlineLevel="1">
      <c r="A772" s="8">
        <v>43501</v>
      </c>
      <c r="B772" s="1860">
        <v>2352.7530200000001</v>
      </c>
      <c r="C772" s="1860">
        <v>3089.4</v>
      </c>
      <c r="D772" s="1860">
        <v>3525.0054</v>
      </c>
      <c r="E772" s="1860">
        <v>3997.6835999999998</v>
      </c>
      <c r="F772">
        <v>28.108450000000001</v>
      </c>
      <c r="G772" s="1861">
        <v>3089.4</v>
      </c>
      <c r="I772">
        <v>0.76154999999999995</v>
      </c>
      <c r="J772">
        <v>1</v>
      </c>
      <c r="K772">
        <v>1.141</v>
      </c>
      <c r="L772">
        <v>1.294</v>
      </c>
      <c r="M772">
        <v>9.0900000000000009E-3</v>
      </c>
      <c r="N772">
        <v>1</v>
      </c>
      <c r="P772">
        <v>1.3130999999999999</v>
      </c>
      <c r="Q772">
        <v>1</v>
      </c>
      <c r="R772">
        <v>0.87641999999999998</v>
      </c>
      <c r="S772">
        <v>0.77278999999999998</v>
      </c>
      <c r="T772">
        <v>109.91</v>
      </c>
      <c r="U772">
        <v>1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</row>
    <row r="773" spans="1:35" s="1857" customFormat="1" hidden="1" outlineLevel="1">
      <c r="A773" s="8">
        <v>43502</v>
      </c>
      <c r="B773" s="1860">
        <v>2348.1577000000002</v>
      </c>
      <c r="C773" s="1860">
        <v>3091.42229</v>
      </c>
      <c r="D773" s="1860">
        <v>3520.5647899999999</v>
      </c>
      <c r="E773" s="1860">
        <v>4011.1264200000001</v>
      </c>
      <c r="F773">
        <v>28.173819999999999</v>
      </c>
      <c r="G773" s="1861">
        <v>3094.05</v>
      </c>
      <c r="I773">
        <v>0.75892000000000004</v>
      </c>
      <c r="J773">
        <v>0.99914999999999998</v>
      </c>
      <c r="K773">
        <v>1.13785</v>
      </c>
      <c r="L773">
        <v>1.2964</v>
      </c>
      <c r="M773">
        <v>9.1000000000000004E-3</v>
      </c>
      <c r="N773">
        <v>1</v>
      </c>
      <c r="P773">
        <v>1.31765</v>
      </c>
      <c r="Q773">
        <v>1.00085</v>
      </c>
      <c r="R773">
        <v>0.87885000000000002</v>
      </c>
      <c r="S773">
        <v>0.77136000000000005</v>
      </c>
      <c r="T773">
        <v>109.82</v>
      </c>
      <c r="U773">
        <v>1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</row>
    <row r="774" spans="1:35" s="1857" customFormat="1" hidden="1" outlineLevel="1">
      <c r="A774" s="8">
        <v>43503</v>
      </c>
      <c r="B774" s="1860">
        <v>2343.9450999999999</v>
      </c>
      <c r="C774" s="1860">
        <v>3105.7448199999999</v>
      </c>
      <c r="D774" s="1860">
        <v>3530.0580199999999</v>
      </c>
      <c r="E774" s="1860">
        <v>4032.70894</v>
      </c>
      <c r="F774">
        <v>28.32253</v>
      </c>
      <c r="G774" s="1861">
        <v>3108.54</v>
      </c>
      <c r="I774">
        <v>0.75402999999999998</v>
      </c>
      <c r="J774">
        <v>0.99909999999999999</v>
      </c>
      <c r="K774">
        <v>1.1355999999999999</v>
      </c>
      <c r="L774">
        <v>1.2972999999999999</v>
      </c>
      <c r="M774">
        <v>9.11E-3</v>
      </c>
      <c r="N774">
        <v>1</v>
      </c>
      <c r="P774">
        <v>1.3262</v>
      </c>
      <c r="Q774">
        <v>1.0008999999999999</v>
      </c>
      <c r="R774">
        <v>0.88058999999999998</v>
      </c>
      <c r="S774">
        <v>0.77083000000000002</v>
      </c>
      <c r="T774">
        <v>109.755</v>
      </c>
      <c r="U774">
        <v>1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</row>
    <row r="775" spans="1:35" s="1857" customFormat="1" hidden="1" outlineLevel="1">
      <c r="A775" s="8">
        <v>43504</v>
      </c>
      <c r="B775" s="1860">
        <v>2343.0960399999999</v>
      </c>
      <c r="C775" s="1860">
        <v>3108.9055400000002</v>
      </c>
      <c r="D775" s="1860">
        <v>3523.5290799999998</v>
      </c>
      <c r="E775" s="1860">
        <v>4026.1794199999999</v>
      </c>
      <c r="F775">
        <v>28.34648</v>
      </c>
      <c r="G775" s="1861">
        <v>3110.46</v>
      </c>
      <c r="I775">
        <v>0.75329000000000002</v>
      </c>
      <c r="J775">
        <v>0.99950000000000006</v>
      </c>
      <c r="K775">
        <v>1.1328</v>
      </c>
      <c r="L775">
        <v>1.2944</v>
      </c>
      <c r="M775">
        <v>9.11E-3</v>
      </c>
      <c r="N775">
        <v>1</v>
      </c>
      <c r="P775">
        <v>1.3274999999999999</v>
      </c>
      <c r="Q775">
        <v>1.0004999999999999</v>
      </c>
      <c r="R775">
        <v>0.88275999999999999</v>
      </c>
      <c r="S775">
        <v>0.77254999999999996</v>
      </c>
      <c r="T775">
        <v>109.73</v>
      </c>
      <c r="U775">
        <v>1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</row>
    <row r="776" spans="1:35" s="1857" customFormat="1" hidden="1" outlineLevel="1">
      <c r="A776" s="8">
        <v>43505</v>
      </c>
      <c r="B776" s="1860">
        <v>2347.2240999999999</v>
      </c>
      <c r="C776" s="1860">
        <v>3114.3827999999999</v>
      </c>
      <c r="D776" s="1860">
        <v>3529.7368299999998</v>
      </c>
      <c r="E776" s="1860">
        <v>4033.2727300000001</v>
      </c>
      <c r="F776">
        <v>28.396419999999999</v>
      </c>
      <c r="G776" s="1861">
        <v>3115.94</v>
      </c>
      <c r="I776">
        <v>0.75329000000000002</v>
      </c>
      <c r="J776">
        <v>0.99950000000000006</v>
      </c>
      <c r="K776">
        <v>1.1328</v>
      </c>
      <c r="L776">
        <v>1.2944</v>
      </c>
      <c r="M776">
        <v>9.11E-3</v>
      </c>
      <c r="N776">
        <v>1</v>
      </c>
      <c r="P776">
        <v>1.3274999999999999</v>
      </c>
      <c r="Q776">
        <v>1.0004999999999999</v>
      </c>
      <c r="R776">
        <v>0.88275999999999999</v>
      </c>
      <c r="S776">
        <v>0.77254999999999996</v>
      </c>
      <c r="T776">
        <v>109.73</v>
      </c>
      <c r="U776">
        <v>1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</row>
    <row r="777" spans="1:35" s="1857" customFormat="1" hidden="1" outlineLevel="1">
      <c r="A777" s="8">
        <v>43506</v>
      </c>
      <c r="B777" s="1860">
        <v>2347.2240999999999</v>
      </c>
      <c r="C777" s="1860">
        <v>3114.3827999999999</v>
      </c>
      <c r="D777" s="1860">
        <v>3529.7368299999998</v>
      </c>
      <c r="E777" s="1860">
        <v>4033.2727300000001</v>
      </c>
      <c r="F777">
        <v>28.396419999999999</v>
      </c>
      <c r="G777" s="1861">
        <v>3115.94</v>
      </c>
      <c r="I777">
        <v>0.75329000000000002</v>
      </c>
      <c r="J777">
        <v>0.99950000000000006</v>
      </c>
      <c r="K777">
        <v>1.1328</v>
      </c>
      <c r="L777">
        <v>1.2944</v>
      </c>
      <c r="M777">
        <v>9.11E-3</v>
      </c>
      <c r="N777">
        <v>1</v>
      </c>
      <c r="P777">
        <v>1.3274999999999999</v>
      </c>
      <c r="Q777">
        <v>1.0004999999999999</v>
      </c>
      <c r="R777">
        <v>0.88275999999999999</v>
      </c>
      <c r="S777">
        <v>0.77254999999999996</v>
      </c>
      <c r="T777">
        <v>109.73</v>
      </c>
      <c r="U777">
        <v>1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</row>
    <row r="778" spans="1:35" s="1857" customFormat="1" hidden="1" outlineLevel="1">
      <c r="A778" s="8">
        <v>43507</v>
      </c>
      <c r="B778" s="1860">
        <v>2341.0518400000001</v>
      </c>
      <c r="C778" s="1860">
        <v>3103.2168099999999</v>
      </c>
      <c r="D778" s="1860">
        <v>3513.5339399999998</v>
      </c>
      <c r="E778" s="1860">
        <v>4008.65681</v>
      </c>
      <c r="F778">
        <v>28.22409</v>
      </c>
      <c r="G778" s="1861">
        <v>3115.94</v>
      </c>
      <c r="I778">
        <v>0.75131000000000003</v>
      </c>
      <c r="J778">
        <v>0.99590999999999996</v>
      </c>
      <c r="K778">
        <v>1.1275999999999999</v>
      </c>
      <c r="L778">
        <v>1.2865</v>
      </c>
      <c r="M778">
        <v>9.0500000000000008E-3</v>
      </c>
      <c r="N778">
        <v>1</v>
      </c>
      <c r="P778">
        <v>1.331</v>
      </c>
      <c r="Q778">
        <v>1.0041</v>
      </c>
      <c r="R778">
        <v>0.88683000000000001</v>
      </c>
      <c r="S778">
        <v>0.77729999999999999</v>
      </c>
      <c r="T778">
        <v>110.4</v>
      </c>
      <c r="U778">
        <v>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</row>
    <row r="779" spans="1:35" s="1857" customFormat="1" hidden="1" outlineLevel="1">
      <c r="A779" s="8">
        <v>43508</v>
      </c>
      <c r="B779" s="1860">
        <v>2362.8073599999998</v>
      </c>
      <c r="C779" s="1860">
        <v>3109.9076700000001</v>
      </c>
      <c r="D779" s="1860">
        <v>3539.6926600000002</v>
      </c>
      <c r="E779" s="1860">
        <v>4035.8980900000001</v>
      </c>
      <c r="F779">
        <v>28.344280000000001</v>
      </c>
      <c r="G779" s="1861">
        <v>3132.61</v>
      </c>
      <c r="I779">
        <v>0.75426000000000004</v>
      </c>
      <c r="J779">
        <v>0.99275000000000002</v>
      </c>
      <c r="K779">
        <v>1.12995</v>
      </c>
      <c r="L779">
        <v>1.2883500000000001</v>
      </c>
      <c r="M779">
        <v>9.0399999999999994E-3</v>
      </c>
      <c r="N779">
        <v>1</v>
      </c>
      <c r="P779">
        <v>1.3258000000000001</v>
      </c>
      <c r="Q779">
        <v>1.0073000000000001</v>
      </c>
      <c r="R779">
        <v>0.88499000000000005</v>
      </c>
      <c r="S779">
        <v>0.77617999999999998</v>
      </c>
      <c r="T779">
        <v>110.52</v>
      </c>
      <c r="U779">
        <v>1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</row>
    <row r="780" spans="1:35" s="1857" customFormat="1" hidden="1" outlineLevel="1">
      <c r="A780" s="8">
        <v>43509</v>
      </c>
      <c r="B780" s="1860">
        <v>2366.04072</v>
      </c>
      <c r="C780" s="1860">
        <v>3107.9458</v>
      </c>
      <c r="D780" s="1860">
        <v>3534.22912</v>
      </c>
      <c r="E780" s="1860">
        <v>4033.4830200000001</v>
      </c>
      <c r="F780">
        <v>28.238630000000001</v>
      </c>
      <c r="G780" s="1861">
        <v>3131.1</v>
      </c>
      <c r="I780">
        <v>0.75565000000000004</v>
      </c>
      <c r="J780">
        <v>0.99260000000000004</v>
      </c>
      <c r="K780">
        <v>1.1287499999999999</v>
      </c>
      <c r="L780">
        <v>1.2882</v>
      </c>
      <c r="M780">
        <v>9.0100000000000006E-3</v>
      </c>
      <c r="N780">
        <v>1</v>
      </c>
      <c r="P780">
        <v>1.32335</v>
      </c>
      <c r="Q780">
        <v>1.00745</v>
      </c>
      <c r="R780">
        <v>0.88593</v>
      </c>
      <c r="S780">
        <v>0.77627000000000002</v>
      </c>
      <c r="T780">
        <v>110.88</v>
      </c>
      <c r="U780">
        <v>1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</row>
    <row r="781" spans="1:35" s="1857" customFormat="1" hidden="1" outlineLevel="1">
      <c r="A781" s="8">
        <v>43510</v>
      </c>
      <c r="B781" s="1860">
        <v>2354.1123899999998</v>
      </c>
      <c r="C781" s="1860">
        <v>3113.2999</v>
      </c>
      <c r="D781" s="1860">
        <v>3535.3438999999998</v>
      </c>
      <c r="E781" s="1860">
        <v>4007.40245</v>
      </c>
      <c r="F781">
        <v>28.321000000000002</v>
      </c>
      <c r="G781" s="1861">
        <v>3135.56</v>
      </c>
      <c r="I781">
        <v>0.75077000000000005</v>
      </c>
      <c r="J781">
        <v>0.9929</v>
      </c>
      <c r="K781">
        <v>1.1274999999999999</v>
      </c>
      <c r="L781">
        <v>1.2780499999999999</v>
      </c>
      <c r="M781">
        <v>9.0299999999999998E-3</v>
      </c>
      <c r="N781">
        <v>1</v>
      </c>
      <c r="P781">
        <v>1.33195</v>
      </c>
      <c r="Q781">
        <v>1.00715</v>
      </c>
      <c r="R781">
        <v>0.88690999999999998</v>
      </c>
      <c r="S781">
        <v>0.78244000000000002</v>
      </c>
      <c r="T781">
        <v>110.715</v>
      </c>
      <c r="U781">
        <v>1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</row>
    <row r="782" spans="1:35" s="1857" customFormat="1" hidden="1" outlineLevel="1">
      <c r="A782" s="8">
        <v>43511</v>
      </c>
      <c r="B782" s="1860">
        <v>2375.9563199999998</v>
      </c>
      <c r="C782" s="1860">
        <v>3133.4922200000001</v>
      </c>
      <c r="D782" s="1860">
        <v>3553.9383600000001</v>
      </c>
      <c r="E782" s="1860">
        <v>4053.7331300000001</v>
      </c>
      <c r="F782">
        <v>28.54027</v>
      </c>
      <c r="G782" s="1861">
        <v>3155.27</v>
      </c>
      <c r="I782">
        <v>0.75300999999999996</v>
      </c>
      <c r="J782">
        <v>0.99309000000000003</v>
      </c>
      <c r="K782">
        <v>1.12635</v>
      </c>
      <c r="L782">
        <v>1.2847500000000001</v>
      </c>
      <c r="M782">
        <v>9.0399999999999994E-3</v>
      </c>
      <c r="N782">
        <v>1</v>
      </c>
      <c r="P782">
        <v>1.3280000000000001</v>
      </c>
      <c r="Q782">
        <v>1.00695</v>
      </c>
      <c r="R782">
        <v>0.88782000000000005</v>
      </c>
      <c r="S782">
        <v>0.77836000000000005</v>
      </c>
      <c r="T782">
        <v>110.55500000000001</v>
      </c>
      <c r="U782">
        <v>1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</row>
    <row r="783" spans="1:35" s="1857" customFormat="1" hidden="1" outlineLevel="1">
      <c r="A783" s="8">
        <v>43512</v>
      </c>
      <c r="B783" s="1860">
        <v>2365.5120400000001</v>
      </c>
      <c r="C783" s="1860">
        <v>3119.7179599999999</v>
      </c>
      <c r="D783" s="1860">
        <v>3538.3158899999999</v>
      </c>
      <c r="E783" s="1860">
        <v>4035.91365</v>
      </c>
      <c r="F783">
        <v>28.414809999999999</v>
      </c>
      <c r="G783" s="1861">
        <v>3141.4</v>
      </c>
      <c r="I783">
        <v>0.75300999999999996</v>
      </c>
      <c r="J783">
        <v>0.99309000000000003</v>
      </c>
      <c r="K783">
        <v>1.12635</v>
      </c>
      <c r="L783">
        <v>1.2847500000000001</v>
      </c>
      <c r="M783">
        <v>9.0399999999999994E-3</v>
      </c>
      <c r="N783">
        <v>1</v>
      </c>
      <c r="P783">
        <v>1.3280000000000001</v>
      </c>
      <c r="Q783">
        <v>1.00695</v>
      </c>
      <c r="R783">
        <v>0.88782000000000005</v>
      </c>
      <c r="S783">
        <v>0.77836000000000005</v>
      </c>
      <c r="T783">
        <v>110.55500000000001</v>
      </c>
      <c r="U783">
        <v>1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</row>
    <row r="784" spans="1:35" s="1857" customFormat="1" hidden="1" outlineLevel="1">
      <c r="A784" s="8">
        <v>43513</v>
      </c>
      <c r="B784" s="1860">
        <v>2365.5120400000001</v>
      </c>
      <c r="C784" s="1860">
        <v>3119.7179599999999</v>
      </c>
      <c r="D784" s="1860">
        <v>3538.3158899999999</v>
      </c>
      <c r="E784" s="1860">
        <v>4035.91365</v>
      </c>
      <c r="F784">
        <v>28.414809999999999</v>
      </c>
      <c r="G784" s="1861">
        <v>3141.4</v>
      </c>
      <c r="I784">
        <v>0.75300999999999996</v>
      </c>
      <c r="J784">
        <v>0.99309000000000003</v>
      </c>
      <c r="K784">
        <v>1.12635</v>
      </c>
      <c r="L784">
        <v>1.2847500000000001</v>
      </c>
      <c r="M784">
        <v>9.0399999999999994E-3</v>
      </c>
      <c r="N784">
        <v>1</v>
      </c>
      <c r="P784">
        <v>1.3280000000000001</v>
      </c>
      <c r="Q784">
        <v>1.00695</v>
      </c>
      <c r="R784">
        <v>0.88782000000000005</v>
      </c>
      <c r="S784">
        <v>0.77836000000000005</v>
      </c>
      <c r="T784">
        <v>110.55500000000001</v>
      </c>
      <c r="U784">
        <v>1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</row>
    <row r="785" spans="1:35" s="1857" customFormat="1" hidden="1" outlineLevel="1">
      <c r="A785" s="8">
        <v>43514</v>
      </c>
      <c r="B785" s="1860">
        <v>2373.1066999999998</v>
      </c>
      <c r="C785" s="1860">
        <v>3128.8844600000002</v>
      </c>
      <c r="D785" s="1860">
        <v>3551.9809799999998</v>
      </c>
      <c r="E785" s="1860">
        <v>4061.0448500000002</v>
      </c>
      <c r="F785">
        <v>28.404530000000001</v>
      </c>
      <c r="G785" s="1861">
        <v>3141.4</v>
      </c>
      <c r="I785">
        <v>0.75541999999999998</v>
      </c>
      <c r="J785">
        <v>0.99600999999999995</v>
      </c>
      <c r="K785">
        <v>1.1307</v>
      </c>
      <c r="L785">
        <v>1.2927500000000001</v>
      </c>
      <c r="M785">
        <v>9.0399999999999994E-3</v>
      </c>
      <c r="N785">
        <v>1</v>
      </c>
      <c r="P785">
        <v>1.32375</v>
      </c>
      <c r="Q785">
        <v>1.004</v>
      </c>
      <c r="R785">
        <v>0.88439999999999996</v>
      </c>
      <c r="S785">
        <v>0.77354000000000001</v>
      </c>
      <c r="T785">
        <v>110.595</v>
      </c>
      <c r="U785">
        <v>1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</row>
    <row r="786" spans="1:35" s="1857" customFormat="1" hidden="1" outlineLevel="1">
      <c r="A786" s="8">
        <v>43515</v>
      </c>
      <c r="B786" s="1860">
        <v>2369.2586099999999</v>
      </c>
      <c r="C786" s="1860">
        <v>3136.2252199999998</v>
      </c>
      <c r="D786" s="1860">
        <v>3560.6198300000001</v>
      </c>
      <c r="E786" s="1860">
        <v>4093.7154099999998</v>
      </c>
      <c r="F786">
        <v>28.413530000000002</v>
      </c>
      <c r="G786" s="1861">
        <v>3141.4</v>
      </c>
      <c r="I786">
        <v>0.75419999999999998</v>
      </c>
      <c r="J786">
        <v>0.99834999999999996</v>
      </c>
      <c r="K786">
        <v>1.1334500000000001</v>
      </c>
      <c r="L786">
        <v>1.30315</v>
      </c>
      <c r="M786">
        <v>9.0399999999999994E-3</v>
      </c>
      <c r="N786">
        <v>1</v>
      </c>
      <c r="P786">
        <v>1.3259000000000001</v>
      </c>
      <c r="Q786">
        <v>1.0016499999999999</v>
      </c>
      <c r="R786">
        <v>0.88226000000000004</v>
      </c>
      <c r="S786">
        <v>0.76737</v>
      </c>
      <c r="T786">
        <v>110.56</v>
      </c>
      <c r="U786">
        <v>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</row>
    <row r="787" spans="1:35" s="1857" customFormat="1" hidden="1" outlineLevel="1">
      <c r="A787" s="8">
        <v>43516</v>
      </c>
      <c r="B787" s="1860">
        <v>2367.5954700000002</v>
      </c>
      <c r="C787" s="1860">
        <v>3119.6078400000001</v>
      </c>
      <c r="D787" s="1860">
        <v>3539.0267600000002</v>
      </c>
      <c r="E787" s="1860">
        <v>4073.8254999999999</v>
      </c>
      <c r="F787">
        <v>28.152930000000001</v>
      </c>
      <c r="G787" s="1861">
        <v>3118.36</v>
      </c>
      <c r="I787">
        <v>0.75924000000000003</v>
      </c>
      <c r="J787">
        <v>1.0004</v>
      </c>
      <c r="K787">
        <v>1.1349</v>
      </c>
      <c r="L787">
        <v>1.3064</v>
      </c>
      <c r="M787">
        <v>9.0200000000000002E-3</v>
      </c>
      <c r="N787">
        <v>1</v>
      </c>
      <c r="P787">
        <v>1.3170999999999999</v>
      </c>
      <c r="Q787">
        <v>0.99960000000000004</v>
      </c>
      <c r="R787">
        <v>0.88112999999999997</v>
      </c>
      <c r="S787">
        <v>0.76546000000000003</v>
      </c>
      <c r="T787">
        <v>110.765</v>
      </c>
      <c r="U787">
        <v>1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</row>
    <row r="788" spans="1:35" hidden="1" outlineLevel="1">
      <c r="A788" s="8">
        <v>43517</v>
      </c>
      <c r="B788" s="1860">
        <v>2360.7524800000001</v>
      </c>
      <c r="C788" s="1860">
        <v>3113.26964</v>
      </c>
      <c r="D788" s="1860">
        <v>3531.5462499999999</v>
      </c>
      <c r="E788" s="1860">
        <v>4066.52999</v>
      </c>
      <c r="F788">
        <v>28.123799999999999</v>
      </c>
      <c r="G788" s="1861">
        <v>3112.18</v>
      </c>
      <c r="I788">
        <v>0.75854999999999995</v>
      </c>
      <c r="J788">
        <v>1.0003500000000001</v>
      </c>
      <c r="K788">
        <v>1.1347499999999999</v>
      </c>
      <c r="L788">
        <v>1.3066500000000001</v>
      </c>
      <c r="M788">
        <v>9.0299999999999998E-3</v>
      </c>
      <c r="N788">
        <v>1</v>
      </c>
      <c r="P788">
        <v>1.3183</v>
      </c>
      <c r="Q788">
        <v>0.99965000000000004</v>
      </c>
      <c r="R788">
        <v>0.88124999999999998</v>
      </c>
      <c r="S788">
        <v>0.76531000000000005</v>
      </c>
      <c r="T788">
        <v>110.66</v>
      </c>
      <c r="U788">
        <v>1</v>
      </c>
    </row>
    <row r="789" spans="1:35" hidden="1" outlineLevel="1">
      <c r="A789" s="8">
        <v>43518</v>
      </c>
      <c r="B789" s="1860">
        <v>2365.8854700000002</v>
      </c>
      <c r="C789" s="1860">
        <v>3119.88798</v>
      </c>
      <c r="D789" s="1860">
        <v>3537.2662999999998</v>
      </c>
      <c r="E789" s="1860">
        <v>4073.0266900000001</v>
      </c>
      <c r="F789">
        <v>28.165040000000001</v>
      </c>
      <c r="G789" s="1861">
        <v>3119.42</v>
      </c>
      <c r="I789">
        <v>0.75843000000000005</v>
      </c>
      <c r="J789">
        <v>1.0001500000000001</v>
      </c>
      <c r="K789">
        <v>1.13395</v>
      </c>
      <c r="L789">
        <v>1.3057000000000001</v>
      </c>
      <c r="M789">
        <v>9.0200000000000002E-3</v>
      </c>
      <c r="N789">
        <v>1</v>
      </c>
      <c r="P789">
        <v>1.3185</v>
      </c>
      <c r="Q789">
        <v>0.99985000000000002</v>
      </c>
      <c r="R789">
        <v>0.88187000000000004</v>
      </c>
      <c r="S789">
        <v>0.76587000000000005</v>
      </c>
      <c r="T789">
        <v>110.755</v>
      </c>
      <c r="U789">
        <v>1</v>
      </c>
    </row>
    <row r="790" spans="1:35" hidden="1" outlineLevel="1">
      <c r="A790" s="8">
        <v>43519</v>
      </c>
      <c r="B790" s="1860">
        <v>2358.9609399999999</v>
      </c>
      <c r="C790" s="1860">
        <v>3110.7566099999999</v>
      </c>
      <c r="D790" s="1860">
        <v>3526.9133400000001</v>
      </c>
      <c r="E790" s="1860">
        <v>4061.10565</v>
      </c>
      <c r="F790">
        <v>28.082609999999999</v>
      </c>
      <c r="G790" s="1861">
        <v>3110.29</v>
      </c>
      <c r="I790">
        <v>0.75843000000000005</v>
      </c>
      <c r="J790">
        <v>1.0001500000000001</v>
      </c>
      <c r="K790">
        <v>1.13395</v>
      </c>
      <c r="L790">
        <v>1.3057000000000001</v>
      </c>
      <c r="M790">
        <v>9.0200000000000002E-3</v>
      </c>
      <c r="N790">
        <v>1</v>
      </c>
      <c r="P790">
        <v>1.3185</v>
      </c>
      <c r="Q790">
        <v>0.99985000000000002</v>
      </c>
      <c r="R790">
        <v>0.88187000000000004</v>
      </c>
      <c r="S790">
        <v>0.76587000000000005</v>
      </c>
      <c r="T790">
        <v>110.755</v>
      </c>
      <c r="U790">
        <v>1</v>
      </c>
    </row>
    <row r="791" spans="1:35" hidden="1" outlineLevel="1">
      <c r="A791" s="8">
        <v>43520</v>
      </c>
      <c r="B791" s="1860">
        <v>2358.9609399999999</v>
      </c>
      <c r="C791" s="1860">
        <v>3110.7566099999999</v>
      </c>
      <c r="D791" s="1860">
        <v>3526.9133400000001</v>
      </c>
      <c r="E791" s="1860">
        <v>4061.10565</v>
      </c>
      <c r="F791">
        <v>28.082609999999999</v>
      </c>
      <c r="G791" s="1861">
        <v>3110.29</v>
      </c>
      <c r="I791">
        <v>0.75843000000000005</v>
      </c>
      <c r="J791">
        <v>1.0001500000000001</v>
      </c>
      <c r="K791">
        <v>1.13395</v>
      </c>
      <c r="L791">
        <v>1.3057000000000001</v>
      </c>
      <c r="M791">
        <v>9.0200000000000002E-3</v>
      </c>
      <c r="N791">
        <v>1</v>
      </c>
      <c r="P791">
        <v>1.3185</v>
      </c>
      <c r="Q791">
        <v>0.99985000000000002</v>
      </c>
      <c r="R791">
        <v>0.88187000000000004</v>
      </c>
      <c r="S791">
        <v>0.76587000000000005</v>
      </c>
      <c r="T791">
        <v>110.755</v>
      </c>
      <c r="U791">
        <v>1</v>
      </c>
    </row>
    <row r="792" spans="1:35" hidden="1" outlineLevel="1">
      <c r="A792" s="8">
        <v>43521</v>
      </c>
      <c r="B792" s="1860">
        <v>2360.8410100000001</v>
      </c>
      <c r="C792" s="1860">
        <v>3109.8235199999999</v>
      </c>
      <c r="D792" s="1860">
        <v>3529.40157</v>
      </c>
      <c r="E792" s="1860">
        <v>4064.0604199999998</v>
      </c>
      <c r="F792">
        <v>28.05348</v>
      </c>
      <c r="G792" s="1861">
        <v>3110.29</v>
      </c>
      <c r="I792">
        <v>0.75904000000000005</v>
      </c>
      <c r="J792">
        <v>0.99985000000000002</v>
      </c>
      <c r="K792">
        <v>1.1347499999999999</v>
      </c>
      <c r="L792">
        <v>1.3066500000000001</v>
      </c>
      <c r="M792">
        <v>9.0100000000000006E-3</v>
      </c>
      <c r="N792">
        <v>1</v>
      </c>
      <c r="P792">
        <v>1.31745</v>
      </c>
      <c r="Q792">
        <v>1.0001500000000001</v>
      </c>
      <c r="R792">
        <v>0.88124999999999998</v>
      </c>
      <c r="S792">
        <v>0.76531000000000005</v>
      </c>
      <c r="T792">
        <v>110.87</v>
      </c>
      <c r="U792">
        <v>1</v>
      </c>
    </row>
    <row r="793" spans="1:35" hidden="1" outlineLevel="1">
      <c r="A793" s="8">
        <v>43522</v>
      </c>
      <c r="B793" s="1860">
        <v>2349.9980999999998</v>
      </c>
      <c r="C793" s="1860">
        <v>3098.9308500000002</v>
      </c>
      <c r="D793" s="1860">
        <v>3522.7365399999999</v>
      </c>
      <c r="E793" s="1860">
        <v>4105.95669</v>
      </c>
      <c r="F793">
        <v>28.004960000000001</v>
      </c>
      <c r="G793" s="1861">
        <v>3101.41</v>
      </c>
      <c r="I793">
        <v>0.75770999999999999</v>
      </c>
      <c r="J793">
        <v>0.99919999999999998</v>
      </c>
      <c r="K793">
        <v>1.13585</v>
      </c>
      <c r="L793">
        <v>1.3239000000000001</v>
      </c>
      <c r="M793">
        <v>9.0200000000000002E-3</v>
      </c>
      <c r="N793">
        <v>1</v>
      </c>
      <c r="P793">
        <v>1.31975</v>
      </c>
      <c r="Q793">
        <v>1.0007999999999999</v>
      </c>
      <c r="R793">
        <v>0.88039000000000001</v>
      </c>
      <c r="S793">
        <v>0.75534000000000001</v>
      </c>
      <c r="T793">
        <v>110.745</v>
      </c>
      <c r="U793">
        <v>1</v>
      </c>
    </row>
    <row r="794" spans="1:35" hidden="1" outlineLevel="1">
      <c r="A794" s="8">
        <v>43523</v>
      </c>
      <c r="B794" s="1860">
        <v>2355.2655599999998</v>
      </c>
      <c r="C794" s="1860">
        <v>3099.6294800000001</v>
      </c>
      <c r="D794" s="1860">
        <v>3523.2138399999999</v>
      </c>
      <c r="E794" s="1860">
        <v>4127.8787400000001</v>
      </c>
      <c r="F794">
        <v>27.91189</v>
      </c>
      <c r="G794" s="1861">
        <v>3095.29</v>
      </c>
      <c r="I794">
        <v>0.76090999999999998</v>
      </c>
      <c r="J794">
        <v>1.0014000000000001</v>
      </c>
      <c r="K794">
        <v>1.13825</v>
      </c>
      <c r="L794">
        <v>1.3335999999999999</v>
      </c>
      <c r="M794">
        <v>9.0100000000000006E-3</v>
      </c>
      <c r="N794">
        <v>1</v>
      </c>
      <c r="P794">
        <v>1.3142</v>
      </c>
      <c r="Q794">
        <v>0.99860000000000004</v>
      </c>
      <c r="R794">
        <v>0.87853999999999999</v>
      </c>
      <c r="S794">
        <v>0.74985000000000002</v>
      </c>
      <c r="T794">
        <v>110.895</v>
      </c>
      <c r="U794">
        <v>1</v>
      </c>
    </row>
    <row r="795" spans="1:35" ht="15.75" hidden="1" outlineLevel="1" thickBot="1">
      <c r="A795" s="1868">
        <v>43524</v>
      </c>
      <c r="B795" s="1869">
        <v>2332.5816199999999</v>
      </c>
      <c r="C795" s="1869">
        <v>3083.7281600000001</v>
      </c>
      <c r="D795" s="1869">
        <v>3498.0977800000001</v>
      </c>
      <c r="E795" s="1869">
        <v>4086.0805</v>
      </c>
      <c r="F795" s="1870">
        <v>27.5962</v>
      </c>
      <c r="G795" s="1874">
        <v>3072.01</v>
      </c>
      <c r="H795" s="1872"/>
      <c r="I795" s="1870">
        <v>0.75929999999999997</v>
      </c>
      <c r="J795" s="1870">
        <v>1.0038100000000001</v>
      </c>
      <c r="K795" s="1870">
        <v>1.1387</v>
      </c>
      <c r="L795" s="1870">
        <v>1.3301000000000001</v>
      </c>
      <c r="M795" s="1870">
        <v>8.9800000000000001E-3</v>
      </c>
      <c r="N795" s="1870">
        <v>1</v>
      </c>
      <c r="O795" s="1872"/>
      <c r="P795" s="1870">
        <v>1.3169999999999999</v>
      </c>
      <c r="Q795" s="1870">
        <v>0.99619999999999997</v>
      </c>
      <c r="R795" s="1870">
        <v>0.87819000000000003</v>
      </c>
      <c r="S795" s="1870">
        <v>0.75182000000000004</v>
      </c>
      <c r="T795" s="1870">
        <v>111.32</v>
      </c>
      <c r="U795" s="1870">
        <v>1</v>
      </c>
      <c r="V795" s="1872"/>
    </row>
    <row r="796" spans="1:35" hidden="1" outlineLevel="1">
      <c r="A796" s="8">
        <v>43525</v>
      </c>
      <c r="B796" s="1860">
        <v>2324.1069400000001</v>
      </c>
      <c r="C796" s="1860">
        <v>3083.3625499999998</v>
      </c>
      <c r="D796" s="1860">
        <v>3504.3323099999998</v>
      </c>
      <c r="E796" s="1860">
        <v>4075.4884699999998</v>
      </c>
      <c r="F796">
        <v>27.500889999999998</v>
      </c>
      <c r="G796" s="1861">
        <v>3077.35</v>
      </c>
      <c r="I796">
        <v>0.75522</v>
      </c>
      <c r="J796">
        <v>1.0019499999999999</v>
      </c>
      <c r="K796">
        <v>1.1387499999999999</v>
      </c>
      <c r="L796">
        <v>1.3243499999999999</v>
      </c>
      <c r="M796">
        <v>8.9300000000000004E-3</v>
      </c>
      <c r="N796">
        <v>1</v>
      </c>
      <c r="P796">
        <v>1.3241000000000001</v>
      </c>
      <c r="Q796">
        <v>0.99804999999999999</v>
      </c>
      <c r="R796">
        <v>0.87814999999999999</v>
      </c>
      <c r="S796">
        <v>0.75507999999999997</v>
      </c>
      <c r="T796">
        <v>111.9</v>
      </c>
      <c r="U796">
        <v>1</v>
      </c>
    </row>
    <row r="797" spans="1:35" hidden="1" outlineLevel="1">
      <c r="A797" s="8">
        <v>43526</v>
      </c>
      <c r="B797" s="1860">
        <v>2334.7858900000001</v>
      </c>
      <c r="C797" s="1860">
        <v>3097.5301800000002</v>
      </c>
      <c r="D797" s="1860">
        <v>3520.4342299999998</v>
      </c>
      <c r="E797" s="1860">
        <v>4094.2147799999998</v>
      </c>
      <c r="F797">
        <v>27.62725</v>
      </c>
      <c r="G797" s="1861">
        <v>3091.49</v>
      </c>
      <c r="I797">
        <v>0.75522</v>
      </c>
      <c r="J797">
        <v>1.0019499999999999</v>
      </c>
      <c r="K797">
        <v>1.1387499999999999</v>
      </c>
      <c r="L797">
        <v>1.3243499999999999</v>
      </c>
      <c r="M797">
        <v>8.9300000000000004E-3</v>
      </c>
      <c r="N797">
        <v>1</v>
      </c>
      <c r="P797">
        <v>1.3241000000000001</v>
      </c>
      <c r="Q797">
        <v>0.99804999999999999</v>
      </c>
      <c r="R797">
        <v>0.87814999999999999</v>
      </c>
      <c r="S797">
        <v>0.75507999999999997</v>
      </c>
      <c r="T797">
        <v>111.9</v>
      </c>
      <c r="U797">
        <v>1</v>
      </c>
    </row>
    <row r="798" spans="1:35" hidden="1" outlineLevel="1">
      <c r="A798" s="8">
        <v>43527</v>
      </c>
      <c r="B798" s="1860">
        <v>2334.7858900000001</v>
      </c>
      <c r="C798" s="1860">
        <v>3097.5301800000002</v>
      </c>
      <c r="D798" s="1860">
        <v>3520.4342299999998</v>
      </c>
      <c r="E798" s="1860">
        <v>4094.2147799999998</v>
      </c>
      <c r="F798">
        <v>27.62725</v>
      </c>
      <c r="G798" s="1861">
        <v>3091.49</v>
      </c>
      <c r="I798">
        <v>0.75522</v>
      </c>
      <c r="J798">
        <v>1.0019499999999999</v>
      </c>
      <c r="K798">
        <v>1.1387499999999999</v>
      </c>
      <c r="L798">
        <v>1.3243499999999999</v>
      </c>
      <c r="M798">
        <v>8.9300000000000004E-3</v>
      </c>
      <c r="N798">
        <v>1</v>
      </c>
      <c r="P798">
        <v>1.3241000000000001</v>
      </c>
      <c r="Q798">
        <v>0.99804999999999999</v>
      </c>
      <c r="R798">
        <v>0.87814999999999999</v>
      </c>
      <c r="S798">
        <v>0.75507999999999997</v>
      </c>
      <c r="T798">
        <v>111.9</v>
      </c>
      <c r="U798">
        <v>1</v>
      </c>
    </row>
    <row r="799" spans="1:35" hidden="1" outlineLevel="1">
      <c r="A799" s="8">
        <v>43528</v>
      </c>
      <c r="B799" s="1860">
        <v>2320.5029</v>
      </c>
      <c r="C799" s="1860">
        <v>3091.7991699999998</v>
      </c>
      <c r="D799" s="1860">
        <v>3500.0304000000001</v>
      </c>
      <c r="E799" s="1860">
        <v>4072.1106199999999</v>
      </c>
      <c r="F799">
        <v>27.640840000000001</v>
      </c>
      <c r="G799" s="1861">
        <v>3091.49</v>
      </c>
      <c r="I799">
        <v>0.75060000000000004</v>
      </c>
      <c r="J799">
        <v>1.0001</v>
      </c>
      <c r="K799">
        <v>1.13215</v>
      </c>
      <c r="L799">
        <v>1.3171999999999999</v>
      </c>
      <c r="M799">
        <v>8.94E-3</v>
      </c>
      <c r="N799">
        <v>1</v>
      </c>
      <c r="P799">
        <v>1.3322499999999999</v>
      </c>
      <c r="Q799">
        <v>0.99990000000000001</v>
      </c>
      <c r="R799">
        <v>0.88327</v>
      </c>
      <c r="S799">
        <v>0.75917999999999997</v>
      </c>
      <c r="T799">
        <v>111.845</v>
      </c>
      <c r="U799">
        <v>1</v>
      </c>
    </row>
    <row r="800" spans="1:35" hidden="1" outlineLevel="1">
      <c r="A800" s="8">
        <v>43529</v>
      </c>
      <c r="B800" s="1860">
        <v>2318.1402600000001</v>
      </c>
      <c r="C800" s="1860">
        <v>3082.5387300000002</v>
      </c>
      <c r="D800" s="1860">
        <v>3497.6842799999999</v>
      </c>
      <c r="E800" s="1860">
        <v>4056.57744</v>
      </c>
      <c r="F800">
        <v>27.649039999999999</v>
      </c>
      <c r="G800" s="1861">
        <v>3093.79</v>
      </c>
      <c r="I800">
        <v>0.74927999999999995</v>
      </c>
      <c r="J800">
        <v>0.99636000000000002</v>
      </c>
      <c r="K800">
        <v>1.1305499999999999</v>
      </c>
      <c r="L800">
        <v>1.3111999999999999</v>
      </c>
      <c r="M800">
        <v>8.9300000000000004E-3</v>
      </c>
      <c r="N800">
        <v>1</v>
      </c>
      <c r="P800">
        <v>1.3346</v>
      </c>
      <c r="Q800">
        <v>1.0036499999999999</v>
      </c>
      <c r="R800">
        <v>0.88451999999999997</v>
      </c>
      <c r="S800">
        <v>0.76266</v>
      </c>
      <c r="T800">
        <v>111.895</v>
      </c>
      <c r="U800">
        <v>1</v>
      </c>
    </row>
    <row r="801" spans="1:35" hidden="1" outlineLevel="1">
      <c r="A801" s="8">
        <v>43530</v>
      </c>
      <c r="B801" s="1860">
        <v>2309.4153999999999</v>
      </c>
      <c r="C801" s="1860">
        <v>3085.6972099999998</v>
      </c>
      <c r="D801" s="1860">
        <v>3507.4290599999999</v>
      </c>
      <c r="E801" s="1860">
        <v>4075.8076599999999</v>
      </c>
      <c r="F801">
        <v>27.73882</v>
      </c>
      <c r="G801" s="1861">
        <v>3099.12</v>
      </c>
      <c r="I801">
        <v>0.74517999999999995</v>
      </c>
      <c r="J801">
        <v>0.99565999999999999</v>
      </c>
      <c r="K801">
        <v>1.13175</v>
      </c>
      <c r="L801">
        <v>1.31515</v>
      </c>
      <c r="M801">
        <v>8.9499999999999996E-3</v>
      </c>
      <c r="N801">
        <v>1</v>
      </c>
      <c r="P801">
        <v>1.34195</v>
      </c>
      <c r="Q801">
        <v>1.0043500000000001</v>
      </c>
      <c r="R801">
        <v>0.88358000000000003</v>
      </c>
      <c r="S801">
        <v>0.76036000000000004</v>
      </c>
      <c r="T801">
        <v>111.72499999999999</v>
      </c>
      <c r="U801">
        <v>1</v>
      </c>
    </row>
    <row r="802" spans="1:35" hidden="1" outlineLevel="1">
      <c r="A802" s="8">
        <v>43531</v>
      </c>
      <c r="B802" s="1860">
        <v>2312.1631600000001</v>
      </c>
      <c r="C802" s="1860">
        <v>3080.8966399999999</v>
      </c>
      <c r="D802" s="1860">
        <v>3488.6835999999998</v>
      </c>
      <c r="E802" s="1860">
        <v>4074.66068</v>
      </c>
      <c r="F802">
        <v>27.84919</v>
      </c>
      <c r="G802" s="1861">
        <v>3106.16</v>
      </c>
      <c r="I802">
        <v>0.74436999999999998</v>
      </c>
      <c r="J802">
        <v>0.99185999999999996</v>
      </c>
      <c r="K802">
        <v>1.1231500000000001</v>
      </c>
      <c r="L802">
        <v>1.3118000000000001</v>
      </c>
      <c r="M802">
        <v>8.9599999999999992E-3</v>
      </c>
      <c r="N802">
        <v>1</v>
      </c>
      <c r="P802">
        <v>1.3433999999999999</v>
      </c>
      <c r="Q802">
        <v>1.0082</v>
      </c>
      <c r="R802">
        <v>0.89034999999999997</v>
      </c>
      <c r="S802">
        <v>0.76231000000000004</v>
      </c>
      <c r="T802">
        <v>111.535</v>
      </c>
      <c r="U802">
        <v>1</v>
      </c>
    </row>
    <row r="803" spans="1:35" hidden="1" outlineLevel="1">
      <c r="A803" s="8">
        <v>43532</v>
      </c>
      <c r="B803" s="1860">
        <v>2321.7174500000001</v>
      </c>
      <c r="C803" s="1860">
        <v>3096.0456399999998</v>
      </c>
      <c r="D803" s="1860">
        <v>3505.2089299999998</v>
      </c>
      <c r="E803" s="1860">
        <v>4061.3560600000001</v>
      </c>
      <c r="F803">
        <v>28.07432</v>
      </c>
      <c r="G803" s="1861">
        <v>3120.04</v>
      </c>
      <c r="I803">
        <v>0.74412999999999996</v>
      </c>
      <c r="J803">
        <v>0.99229999999999996</v>
      </c>
      <c r="K803">
        <v>1.1234500000000001</v>
      </c>
      <c r="L803">
        <v>1.3017000000000001</v>
      </c>
      <c r="M803">
        <v>8.9899999999999997E-3</v>
      </c>
      <c r="N803">
        <v>1</v>
      </c>
      <c r="P803">
        <v>1.34385</v>
      </c>
      <c r="Q803">
        <v>1.0077499999999999</v>
      </c>
      <c r="R803">
        <v>0.89010999999999996</v>
      </c>
      <c r="S803">
        <v>0.76822000000000001</v>
      </c>
      <c r="T803">
        <v>111.13500000000001</v>
      </c>
      <c r="U803">
        <v>1</v>
      </c>
    </row>
    <row r="804" spans="1:35" s="1857" customFormat="1" hidden="1" outlineLevel="1">
      <c r="A804" s="8">
        <v>43533</v>
      </c>
      <c r="B804" s="1860">
        <v>2353.23882</v>
      </c>
      <c r="C804" s="1860">
        <v>3138.0798799999998</v>
      </c>
      <c r="D804" s="1860">
        <v>3552.79828</v>
      </c>
      <c r="E804" s="1860">
        <v>4116.4960799999999</v>
      </c>
      <c r="F804">
        <v>28.455480000000001</v>
      </c>
      <c r="G804" s="1861">
        <v>3162.4</v>
      </c>
      <c r="I804">
        <v>0.74412999999999996</v>
      </c>
      <c r="J804">
        <v>0.99229999999999996</v>
      </c>
      <c r="K804">
        <v>1.1234500000000001</v>
      </c>
      <c r="L804">
        <v>1.3017000000000001</v>
      </c>
      <c r="M804">
        <v>8.9899999999999997E-3</v>
      </c>
      <c r="N804">
        <v>1</v>
      </c>
      <c r="P804">
        <v>1.34385</v>
      </c>
      <c r="Q804">
        <v>1.0077499999999999</v>
      </c>
      <c r="R804">
        <v>0.89010999999999996</v>
      </c>
      <c r="S804">
        <v>0.76822000000000001</v>
      </c>
      <c r="T804">
        <v>111.13500000000001</v>
      </c>
      <c r="U804">
        <v>1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</row>
    <row r="805" spans="1:35" s="1857" customFormat="1" hidden="1" outlineLevel="1">
      <c r="A805" s="8">
        <v>43534</v>
      </c>
      <c r="B805" s="1860">
        <v>2353.23882</v>
      </c>
      <c r="C805" s="1860">
        <v>3138.0798799999998</v>
      </c>
      <c r="D805" s="1860">
        <v>3552.79828</v>
      </c>
      <c r="E805" s="1860">
        <v>4116.4960799999999</v>
      </c>
      <c r="F805">
        <v>28.455480000000001</v>
      </c>
      <c r="G805" s="1861">
        <v>3162.4</v>
      </c>
      <c r="I805">
        <v>0.74412999999999996</v>
      </c>
      <c r="J805">
        <v>0.99229999999999996</v>
      </c>
      <c r="K805">
        <v>1.1234500000000001</v>
      </c>
      <c r="L805">
        <v>1.3017000000000001</v>
      </c>
      <c r="M805">
        <v>8.9899999999999997E-3</v>
      </c>
      <c r="N805">
        <v>1</v>
      </c>
      <c r="P805">
        <v>1.34385</v>
      </c>
      <c r="Q805">
        <v>1.0077499999999999</v>
      </c>
      <c r="R805">
        <v>0.89010999999999996</v>
      </c>
      <c r="S805">
        <v>0.76822000000000001</v>
      </c>
      <c r="T805">
        <v>111.13500000000001</v>
      </c>
      <c r="U805">
        <v>1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</row>
    <row r="806" spans="1:35" s="1857" customFormat="1" hidden="1" outlineLevel="1">
      <c r="A806" s="8">
        <v>43535</v>
      </c>
      <c r="B806" s="1860">
        <v>2356.6584600000001</v>
      </c>
      <c r="C806" s="1860">
        <v>3127.6827199999998</v>
      </c>
      <c r="D806" s="1860">
        <v>3549.4777600000002</v>
      </c>
      <c r="E806" s="1860">
        <v>4141.7952800000003</v>
      </c>
      <c r="F806">
        <v>28.435009999999998</v>
      </c>
      <c r="G806" s="1861">
        <v>3162.4</v>
      </c>
      <c r="I806">
        <v>0.74521000000000004</v>
      </c>
      <c r="J806">
        <v>0.98902000000000001</v>
      </c>
      <c r="K806">
        <v>1.1224000000000001</v>
      </c>
      <c r="L806">
        <v>1.3097000000000001</v>
      </c>
      <c r="M806">
        <v>8.9899999999999997E-3</v>
      </c>
      <c r="N806">
        <v>1</v>
      </c>
      <c r="P806">
        <v>1.3419000000000001</v>
      </c>
      <c r="Q806">
        <v>1.0111000000000001</v>
      </c>
      <c r="R806">
        <v>0.89093999999999995</v>
      </c>
      <c r="S806">
        <v>0.76353000000000004</v>
      </c>
      <c r="T806">
        <v>111.215</v>
      </c>
      <c r="U806">
        <v>1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</row>
    <row r="807" spans="1:35" s="1857" customFormat="1" hidden="1" outlineLevel="1">
      <c r="A807" s="8">
        <v>43536</v>
      </c>
      <c r="B807" s="1860">
        <v>2367.7976199999998</v>
      </c>
      <c r="C807" s="1860">
        <v>3143.51622</v>
      </c>
      <c r="D807" s="1860">
        <v>3572.1561999999999</v>
      </c>
      <c r="E807" s="1860">
        <v>4149.1127399999996</v>
      </c>
      <c r="F807">
        <v>28.446300000000001</v>
      </c>
      <c r="G807" s="1861">
        <v>3168.35</v>
      </c>
      <c r="I807">
        <v>0.74731999999999998</v>
      </c>
      <c r="J807">
        <v>0.99216000000000004</v>
      </c>
      <c r="K807">
        <v>1.1274500000000001</v>
      </c>
      <c r="L807">
        <v>1.30955</v>
      </c>
      <c r="M807">
        <v>8.9700000000000005E-3</v>
      </c>
      <c r="N807">
        <v>1</v>
      </c>
      <c r="P807">
        <v>1.3381000000000001</v>
      </c>
      <c r="Q807">
        <v>1.0079</v>
      </c>
      <c r="R807">
        <v>0.88695000000000002</v>
      </c>
      <c r="S807">
        <v>0.76361999999999997</v>
      </c>
      <c r="T807">
        <v>111.38</v>
      </c>
      <c r="U807">
        <v>1</v>
      </c>
      <c r="W807"/>
      <c r="X807"/>
      <c r="Y807"/>
      <c r="Z807"/>
      <c r="AA807"/>
      <c r="AB807"/>
      <c r="AC807"/>
      <c r="AD807"/>
      <c r="AE807"/>
      <c r="AF807"/>
      <c r="AG807"/>
      <c r="AH807"/>
      <c r="AI807"/>
    </row>
    <row r="808" spans="1:35" s="1857" customFormat="1" hidden="1" outlineLevel="1">
      <c r="A808" s="8">
        <v>43537</v>
      </c>
      <c r="B808" s="1860">
        <v>2367.8894599999999</v>
      </c>
      <c r="C808" s="1860">
        <v>3138.4492799999998</v>
      </c>
      <c r="D808" s="1860">
        <v>3566.1115399999999</v>
      </c>
      <c r="E808" s="1860">
        <v>4170.7376400000003</v>
      </c>
      <c r="F808">
        <v>28.348459999999999</v>
      </c>
      <c r="G808" s="1861">
        <v>3153.2</v>
      </c>
      <c r="I808">
        <v>0.75094000000000005</v>
      </c>
      <c r="J808">
        <v>0.99531999999999998</v>
      </c>
      <c r="K808">
        <v>1.1309499999999999</v>
      </c>
      <c r="L808">
        <v>1.3227</v>
      </c>
      <c r="M808">
        <v>8.9899999999999997E-3</v>
      </c>
      <c r="N808">
        <v>1</v>
      </c>
      <c r="P808">
        <v>1.33165</v>
      </c>
      <c r="Q808">
        <v>1.0046999999999999</v>
      </c>
      <c r="R808">
        <v>0.88421000000000005</v>
      </c>
      <c r="S808">
        <v>0.75602000000000003</v>
      </c>
      <c r="T808">
        <v>111.23</v>
      </c>
      <c r="U808">
        <v>1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</row>
    <row r="809" spans="1:35" s="1857" customFormat="1" hidden="1" outlineLevel="1">
      <c r="A809" s="8">
        <v>43538</v>
      </c>
      <c r="B809" s="1860">
        <v>2362.30708</v>
      </c>
      <c r="C809" s="1860">
        <v>3131.5944</v>
      </c>
      <c r="D809" s="1860">
        <v>3555.86438</v>
      </c>
      <c r="E809" s="1860">
        <v>4178.2074899999998</v>
      </c>
      <c r="F809">
        <v>28.155470000000001</v>
      </c>
      <c r="G809" s="1861">
        <v>3145.53</v>
      </c>
      <c r="I809">
        <v>0.751</v>
      </c>
      <c r="J809">
        <v>0.99556</v>
      </c>
      <c r="K809">
        <v>1.13045</v>
      </c>
      <c r="L809">
        <v>1.3283</v>
      </c>
      <c r="M809">
        <v>8.9499999999999996E-3</v>
      </c>
      <c r="N809">
        <v>1</v>
      </c>
      <c r="P809">
        <v>1.33155</v>
      </c>
      <c r="Q809">
        <v>1.0044500000000001</v>
      </c>
      <c r="R809">
        <v>0.88460000000000005</v>
      </c>
      <c r="S809">
        <v>0.75283999999999995</v>
      </c>
      <c r="T809">
        <v>111.72</v>
      </c>
      <c r="U809">
        <v>1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</row>
    <row r="810" spans="1:35" s="1857" customFormat="1" hidden="1" outlineLevel="1">
      <c r="A810" s="8">
        <v>43539</v>
      </c>
      <c r="B810" s="1860">
        <v>2357.57825</v>
      </c>
      <c r="C810" s="1860">
        <v>3135.6401999999998</v>
      </c>
      <c r="D810" s="1860">
        <v>3561.3700899999999</v>
      </c>
      <c r="E810" s="1860">
        <v>4174.6892099999995</v>
      </c>
      <c r="F810">
        <v>28.182110000000002</v>
      </c>
      <c r="G810" s="1861">
        <v>3144.42</v>
      </c>
      <c r="I810">
        <v>0.74975999999999998</v>
      </c>
      <c r="J810">
        <v>0.99719999999999998</v>
      </c>
      <c r="K810">
        <v>1.1326000000000001</v>
      </c>
      <c r="L810">
        <v>1.32765</v>
      </c>
      <c r="M810">
        <v>8.9599999999999992E-3</v>
      </c>
      <c r="N810">
        <v>1</v>
      </c>
      <c r="P810">
        <v>1.33375</v>
      </c>
      <c r="Q810">
        <v>1.0027999999999999</v>
      </c>
      <c r="R810">
        <v>0.88292000000000004</v>
      </c>
      <c r="S810">
        <v>0.75321000000000005</v>
      </c>
      <c r="T810">
        <v>111.575</v>
      </c>
      <c r="U810">
        <v>1</v>
      </c>
      <c r="W810"/>
      <c r="X810"/>
      <c r="Y810"/>
      <c r="Z810"/>
      <c r="AA810"/>
      <c r="AB810"/>
      <c r="AC810"/>
      <c r="AD810"/>
      <c r="AE810"/>
      <c r="AF810"/>
      <c r="AG810"/>
      <c r="AH810"/>
      <c r="AI810"/>
    </row>
    <row r="811" spans="1:35" s="1857" customFormat="1" hidden="1" outlineLevel="1">
      <c r="A811" s="8">
        <v>43540</v>
      </c>
      <c r="B811" s="1860">
        <v>2341.7282</v>
      </c>
      <c r="C811" s="1860">
        <v>3114.5592299999998</v>
      </c>
      <c r="D811" s="1860">
        <v>3537.4269199999999</v>
      </c>
      <c r="E811" s="1860">
        <v>4146.6226900000001</v>
      </c>
      <c r="F811">
        <v>27.992650000000001</v>
      </c>
      <c r="G811" s="1861">
        <v>3123.28</v>
      </c>
      <c r="I811">
        <v>0.74975999999999998</v>
      </c>
      <c r="J811">
        <v>0.99719999999999998</v>
      </c>
      <c r="K811">
        <v>1.1326000000000001</v>
      </c>
      <c r="L811">
        <v>1.32765</v>
      </c>
      <c r="M811">
        <v>8.9599999999999992E-3</v>
      </c>
      <c r="N811">
        <v>1</v>
      </c>
      <c r="P811">
        <v>1.33375</v>
      </c>
      <c r="Q811">
        <v>1.0027999999999999</v>
      </c>
      <c r="R811">
        <v>0.88292000000000004</v>
      </c>
      <c r="S811">
        <v>0.75321000000000005</v>
      </c>
      <c r="T811">
        <v>111.575</v>
      </c>
      <c r="U811">
        <v>1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</row>
    <row r="812" spans="1:35" s="1857" customFormat="1" hidden="1" outlineLevel="1">
      <c r="A812" s="8">
        <v>43541</v>
      </c>
      <c r="B812" s="1860">
        <v>2341.7282</v>
      </c>
      <c r="C812" s="1860">
        <v>3114.5592299999998</v>
      </c>
      <c r="D812" s="1860">
        <v>3537.4269199999999</v>
      </c>
      <c r="E812" s="1860">
        <v>4146.6226900000001</v>
      </c>
      <c r="F812">
        <v>27.992650000000001</v>
      </c>
      <c r="G812" s="1861">
        <v>3123.28</v>
      </c>
      <c r="I812">
        <v>0.74975999999999998</v>
      </c>
      <c r="J812">
        <v>0.99719999999999998</v>
      </c>
      <c r="K812">
        <v>1.1326000000000001</v>
      </c>
      <c r="L812">
        <v>1.32765</v>
      </c>
      <c r="M812">
        <v>8.9599999999999992E-3</v>
      </c>
      <c r="N812">
        <v>1</v>
      </c>
      <c r="P812">
        <v>1.33375</v>
      </c>
      <c r="Q812">
        <v>1.0027999999999999</v>
      </c>
      <c r="R812">
        <v>0.88292000000000004</v>
      </c>
      <c r="S812">
        <v>0.75321000000000005</v>
      </c>
      <c r="T812">
        <v>111.575</v>
      </c>
      <c r="U812">
        <v>1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</row>
    <row r="813" spans="1:35" s="1857" customFormat="1" hidden="1" outlineLevel="1">
      <c r="A813" s="8">
        <v>43542</v>
      </c>
      <c r="B813" s="1860">
        <v>2340.8506600000001</v>
      </c>
      <c r="C813" s="1860">
        <v>3122.18723</v>
      </c>
      <c r="D813" s="1860">
        <v>3541.0187000000001</v>
      </c>
      <c r="E813" s="1860">
        <v>4128.9761600000002</v>
      </c>
      <c r="F813">
        <v>28.03285</v>
      </c>
      <c r="G813" s="1861">
        <v>3123.28</v>
      </c>
      <c r="I813">
        <v>0.74948000000000004</v>
      </c>
      <c r="J813">
        <v>0.99965000000000004</v>
      </c>
      <c r="K813">
        <v>1.13375</v>
      </c>
      <c r="L813">
        <v>1.3220000000000001</v>
      </c>
      <c r="M813">
        <v>8.9700000000000005E-3</v>
      </c>
      <c r="N813">
        <v>1</v>
      </c>
      <c r="P813">
        <v>1.3342499999999999</v>
      </c>
      <c r="Q813">
        <v>1.0003500000000001</v>
      </c>
      <c r="R813">
        <v>0.88202000000000003</v>
      </c>
      <c r="S813">
        <v>0.75641999999999998</v>
      </c>
      <c r="T813">
        <v>111.41500000000001</v>
      </c>
      <c r="U813">
        <v>1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</row>
    <row r="814" spans="1:35" s="1857" customFormat="1" hidden="1" outlineLevel="1">
      <c r="A814" s="8">
        <v>43543</v>
      </c>
      <c r="B814" s="1860">
        <v>2333.8348599999999</v>
      </c>
      <c r="C814" s="1860">
        <v>3101.7847299999999</v>
      </c>
      <c r="D814" s="1860">
        <v>3519.9679599999999</v>
      </c>
      <c r="E814" s="1860">
        <v>4114.5141700000004</v>
      </c>
      <c r="F814">
        <v>27.850339999999999</v>
      </c>
      <c r="G814" s="1861">
        <v>3102.25</v>
      </c>
      <c r="I814">
        <v>0.75229999999999997</v>
      </c>
      <c r="J814">
        <v>0.99985000000000002</v>
      </c>
      <c r="K814">
        <v>1.1346499999999999</v>
      </c>
      <c r="L814">
        <v>1.3263</v>
      </c>
      <c r="M814">
        <v>8.9700000000000005E-3</v>
      </c>
      <c r="N814">
        <v>1</v>
      </c>
      <c r="P814">
        <v>1.32925</v>
      </c>
      <c r="Q814">
        <v>1.0001500000000001</v>
      </c>
      <c r="R814">
        <v>0.88131999999999999</v>
      </c>
      <c r="S814">
        <v>0.75397000000000003</v>
      </c>
      <c r="T814">
        <v>111.39</v>
      </c>
      <c r="U814">
        <v>1</v>
      </c>
      <c r="W814"/>
      <c r="X814"/>
      <c r="Y814"/>
      <c r="Z814"/>
      <c r="AA814"/>
      <c r="AB814"/>
      <c r="AC814"/>
      <c r="AD814"/>
      <c r="AE814"/>
      <c r="AF814"/>
      <c r="AG814"/>
      <c r="AH814"/>
      <c r="AI814"/>
    </row>
    <row r="815" spans="1:35" s="1857" customFormat="1" hidden="1" outlineLevel="1">
      <c r="A815" s="8">
        <v>43544</v>
      </c>
      <c r="B815" s="1860">
        <v>2322.4714800000002</v>
      </c>
      <c r="C815" s="1860">
        <v>3102.8368</v>
      </c>
      <c r="D815" s="1860">
        <v>3513.88672</v>
      </c>
      <c r="E815" s="1860">
        <v>4082.3551000000002</v>
      </c>
      <c r="F815">
        <v>27.778780000000001</v>
      </c>
      <c r="G815" s="1861">
        <v>3095.39</v>
      </c>
      <c r="I815">
        <v>0.75029999999999997</v>
      </c>
      <c r="J815">
        <v>1.0024</v>
      </c>
      <c r="K815">
        <v>1.1352</v>
      </c>
      <c r="L815">
        <v>1.3188500000000001</v>
      </c>
      <c r="M815">
        <v>8.9700000000000005E-3</v>
      </c>
      <c r="N815">
        <v>1</v>
      </c>
      <c r="P815">
        <v>1.3328</v>
      </c>
      <c r="Q815">
        <v>0.99760000000000004</v>
      </c>
      <c r="R815">
        <v>0.88090000000000002</v>
      </c>
      <c r="S815">
        <v>0.75822999999999996</v>
      </c>
      <c r="T815">
        <v>111.43</v>
      </c>
      <c r="U815">
        <v>1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</row>
    <row r="816" spans="1:35" s="1857" customFormat="1" hidden="1" outlineLevel="1">
      <c r="A816" s="8">
        <v>43545</v>
      </c>
      <c r="B816" s="1860">
        <v>2312.9319300000002</v>
      </c>
      <c r="C816" s="1860">
        <v>3115.9151499999998</v>
      </c>
      <c r="D816" s="1860">
        <v>3513.1096499999999</v>
      </c>
      <c r="E816" s="1860">
        <v>4042.3721999999998</v>
      </c>
      <c r="F816">
        <v>27.895800000000001</v>
      </c>
      <c r="G816" s="1861">
        <v>3092.39</v>
      </c>
      <c r="I816">
        <v>0.74794000000000005</v>
      </c>
      <c r="J816">
        <v>1.0076000000000001</v>
      </c>
      <c r="K816">
        <v>1.13605</v>
      </c>
      <c r="L816">
        <v>1.3071999999999999</v>
      </c>
      <c r="M816">
        <v>9.0200000000000002E-3</v>
      </c>
      <c r="N816">
        <v>1</v>
      </c>
      <c r="P816">
        <v>1.337</v>
      </c>
      <c r="Q816">
        <v>0.99245000000000005</v>
      </c>
      <c r="R816">
        <v>0.88024000000000002</v>
      </c>
      <c r="S816">
        <v>0.76498999999999995</v>
      </c>
      <c r="T816">
        <v>110.855</v>
      </c>
      <c r="U816">
        <v>1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</row>
    <row r="817" spans="1:35" s="1857" customFormat="1" hidden="1" outlineLevel="1">
      <c r="A817" s="8">
        <v>43546</v>
      </c>
      <c r="B817" s="1860">
        <v>2299.4778000000001</v>
      </c>
      <c r="C817" s="1860">
        <v>3101.36834</v>
      </c>
      <c r="D817" s="1860">
        <v>3477.9283300000002</v>
      </c>
      <c r="E817" s="1860">
        <v>4074.9989</v>
      </c>
      <c r="F817">
        <v>28.079699999999999</v>
      </c>
      <c r="G817" s="1861">
        <v>3082.45</v>
      </c>
      <c r="I817">
        <v>0.74599000000000004</v>
      </c>
      <c r="J817">
        <v>1.00613</v>
      </c>
      <c r="K817">
        <v>1.1283000000000001</v>
      </c>
      <c r="L817">
        <v>1.3220000000000001</v>
      </c>
      <c r="M817">
        <v>9.1000000000000004E-3</v>
      </c>
      <c r="N817">
        <v>1</v>
      </c>
      <c r="P817">
        <v>1.3405</v>
      </c>
      <c r="Q817">
        <v>0.99390000000000001</v>
      </c>
      <c r="R817">
        <v>0.88627999999999996</v>
      </c>
      <c r="S817">
        <v>0.75641999999999998</v>
      </c>
      <c r="T817">
        <v>109.77500000000001</v>
      </c>
      <c r="U817">
        <v>1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</row>
    <row r="818" spans="1:35" s="1857" customFormat="1" hidden="1" outlineLevel="1">
      <c r="A818" s="8">
        <v>43547</v>
      </c>
      <c r="B818" s="1860">
        <v>2332.1074199999998</v>
      </c>
      <c r="C818" s="1860">
        <v>3145.3767899999998</v>
      </c>
      <c r="D818" s="1860">
        <v>3527.28017</v>
      </c>
      <c r="E818" s="1860">
        <v>4132.8231800000003</v>
      </c>
      <c r="F818">
        <v>28.478149999999999</v>
      </c>
      <c r="G818" s="1861">
        <v>3126.19</v>
      </c>
      <c r="I818">
        <v>0.74599000000000004</v>
      </c>
      <c r="J818">
        <v>1.00613</v>
      </c>
      <c r="K818">
        <v>1.1283000000000001</v>
      </c>
      <c r="L818">
        <v>1.3220000000000001</v>
      </c>
      <c r="M818">
        <v>9.1000000000000004E-3</v>
      </c>
      <c r="N818">
        <v>1</v>
      </c>
      <c r="P818">
        <v>1.3405</v>
      </c>
      <c r="Q818">
        <v>0.99390000000000001</v>
      </c>
      <c r="R818">
        <v>0.88627999999999996</v>
      </c>
      <c r="S818">
        <v>0.75641999999999998</v>
      </c>
      <c r="T818">
        <v>109.77500000000001</v>
      </c>
      <c r="U818">
        <v>1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</row>
    <row r="819" spans="1:35" s="1857" customFormat="1" hidden="1" outlineLevel="1">
      <c r="A819" s="8">
        <v>43548</v>
      </c>
      <c r="B819" s="1860">
        <v>2332.1074199999998</v>
      </c>
      <c r="C819" s="1860">
        <v>3145.3767899999998</v>
      </c>
      <c r="D819" s="1860">
        <v>3527.28017</v>
      </c>
      <c r="E819" s="1860">
        <v>4132.8231800000003</v>
      </c>
      <c r="F819">
        <v>28.478149999999999</v>
      </c>
      <c r="G819" s="1861">
        <v>3126.19</v>
      </c>
      <c r="I819">
        <v>0.74599000000000004</v>
      </c>
      <c r="J819">
        <v>1.00613</v>
      </c>
      <c r="K819">
        <v>1.1283000000000001</v>
      </c>
      <c r="L819">
        <v>1.3220000000000001</v>
      </c>
      <c r="M819">
        <v>9.1000000000000004E-3</v>
      </c>
      <c r="N819">
        <v>1</v>
      </c>
      <c r="P819">
        <v>1.3405</v>
      </c>
      <c r="Q819">
        <v>0.99390000000000001</v>
      </c>
      <c r="R819">
        <v>0.88627999999999996</v>
      </c>
      <c r="S819">
        <v>0.75641999999999998</v>
      </c>
      <c r="T819">
        <v>109.77500000000001</v>
      </c>
      <c r="U819">
        <v>1</v>
      </c>
      <c r="W819"/>
      <c r="X819"/>
      <c r="Y819"/>
      <c r="Z819"/>
      <c r="AA819"/>
      <c r="AB819"/>
      <c r="AC819"/>
      <c r="AD819"/>
      <c r="AE819"/>
      <c r="AF819"/>
      <c r="AG819"/>
      <c r="AH819"/>
      <c r="AI819"/>
    </row>
    <row r="820" spans="1:35" hidden="1" outlineLevel="1">
      <c r="A820" s="8">
        <v>43549</v>
      </c>
      <c r="B820" s="1860">
        <v>2329.8479600000001</v>
      </c>
      <c r="C820" s="1860">
        <v>3151.56005</v>
      </c>
      <c r="D820" s="1860">
        <v>3539.62862</v>
      </c>
      <c r="E820" s="1860">
        <v>4126.7271000000001</v>
      </c>
      <c r="F820">
        <v>28.394089999999998</v>
      </c>
      <c r="G820" s="1861">
        <v>3126.19</v>
      </c>
      <c r="I820">
        <v>0.74526000000000003</v>
      </c>
      <c r="J820">
        <v>1.0081100000000001</v>
      </c>
      <c r="K820">
        <v>1.13225</v>
      </c>
      <c r="L820">
        <v>1.3200499999999999</v>
      </c>
      <c r="M820">
        <v>9.0799999999999995E-3</v>
      </c>
      <c r="N820">
        <v>1</v>
      </c>
      <c r="P820">
        <v>1.3418000000000001</v>
      </c>
      <c r="Q820">
        <v>0.99195</v>
      </c>
      <c r="R820">
        <v>0.88319000000000003</v>
      </c>
      <c r="S820">
        <v>0.75753999999999999</v>
      </c>
      <c r="T820">
        <v>110.1</v>
      </c>
      <c r="U820">
        <v>1</v>
      </c>
    </row>
    <row r="821" spans="1:35" hidden="1" outlineLevel="1">
      <c r="A821" s="8">
        <v>43550</v>
      </c>
      <c r="B821" s="1860">
        <v>2334.5455900000002</v>
      </c>
      <c r="C821" s="1860">
        <v>3145.21857</v>
      </c>
      <c r="D821" s="1860">
        <v>3526.4986199999998</v>
      </c>
      <c r="E821" s="1860">
        <v>4130.6348399999997</v>
      </c>
      <c r="F821">
        <v>28.292590000000001</v>
      </c>
      <c r="G821" s="1861">
        <v>3126.19</v>
      </c>
      <c r="I821">
        <v>0.74677000000000004</v>
      </c>
      <c r="J821">
        <v>1.0060800000000001</v>
      </c>
      <c r="K821">
        <v>1.12805</v>
      </c>
      <c r="L821">
        <v>1.3212999999999999</v>
      </c>
      <c r="M821">
        <v>9.0500000000000008E-3</v>
      </c>
      <c r="N821">
        <v>1</v>
      </c>
      <c r="P821">
        <v>1.3391</v>
      </c>
      <c r="Q821">
        <v>0.99395</v>
      </c>
      <c r="R821">
        <v>0.88648000000000005</v>
      </c>
      <c r="S821">
        <v>0.75683</v>
      </c>
      <c r="T821">
        <v>110.495</v>
      </c>
      <c r="U821">
        <v>1</v>
      </c>
    </row>
    <row r="822" spans="1:35" hidden="1" outlineLevel="1">
      <c r="A822" s="8">
        <v>43551</v>
      </c>
      <c r="B822" s="1860">
        <v>2341.4842899999999</v>
      </c>
      <c r="C822" s="1860">
        <v>3162.6281899999999</v>
      </c>
      <c r="D822" s="1860">
        <v>3539.3728599999999</v>
      </c>
      <c r="E822" s="1860">
        <v>4149.2950000000001</v>
      </c>
      <c r="F822">
        <v>28.498750000000001</v>
      </c>
      <c r="G822" s="1861">
        <v>3145.55</v>
      </c>
      <c r="I822">
        <v>0.74436999999999998</v>
      </c>
      <c r="J822">
        <v>1.00542</v>
      </c>
      <c r="K822">
        <v>1.1252</v>
      </c>
      <c r="L822">
        <v>1.3190999999999999</v>
      </c>
      <c r="M822">
        <v>9.0600000000000003E-3</v>
      </c>
      <c r="N822">
        <v>1</v>
      </c>
      <c r="P822">
        <v>1.3433999999999999</v>
      </c>
      <c r="Q822">
        <v>0.99460000000000004</v>
      </c>
      <c r="R822">
        <v>0.88873000000000002</v>
      </c>
      <c r="S822">
        <v>0.75809000000000004</v>
      </c>
      <c r="T822">
        <v>110.375</v>
      </c>
      <c r="U822">
        <v>1</v>
      </c>
    </row>
    <row r="823" spans="1:35" hidden="1" outlineLevel="1">
      <c r="A823" s="8">
        <v>43552</v>
      </c>
      <c r="B823" s="1860">
        <v>2373.2394800000002</v>
      </c>
      <c r="C823" s="1860">
        <v>3201.9594999999999</v>
      </c>
      <c r="D823" s="1860">
        <v>3579.9540999999999</v>
      </c>
      <c r="E823" s="1860">
        <v>4169.7622899999997</v>
      </c>
      <c r="F823">
        <v>28.822120000000002</v>
      </c>
      <c r="G823" s="1861">
        <v>3186.43</v>
      </c>
      <c r="I823">
        <v>0.74478999999999995</v>
      </c>
      <c r="J823">
        <v>1.0048699999999999</v>
      </c>
      <c r="K823">
        <v>1.1234999999999999</v>
      </c>
      <c r="L823">
        <v>1.3086</v>
      </c>
      <c r="M823">
        <v>9.0399999999999994E-3</v>
      </c>
      <c r="N823">
        <v>1</v>
      </c>
      <c r="P823">
        <v>1.3426499999999999</v>
      </c>
      <c r="Q823">
        <v>0.99514999999999998</v>
      </c>
      <c r="R823">
        <v>0.89007000000000003</v>
      </c>
      <c r="S823">
        <v>0.76417000000000002</v>
      </c>
      <c r="T823">
        <v>110.55500000000001</v>
      </c>
      <c r="U823">
        <v>1</v>
      </c>
    </row>
    <row r="824" spans="1:35" hidden="1" outlineLevel="1">
      <c r="A824" s="8">
        <v>43553</v>
      </c>
      <c r="B824" s="1860">
        <v>2388.5175300000001</v>
      </c>
      <c r="C824" s="1860">
        <v>3204.0767099999998</v>
      </c>
      <c r="D824" s="1860">
        <v>3582.94697</v>
      </c>
      <c r="E824" s="1860">
        <v>4157.9543599999997</v>
      </c>
      <c r="F824">
        <v>28.82901</v>
      </c>
      <c r="G824" s="1861">
        <v>3190.94</v>
      </c>
      <c r="I824">
        <v>0.74853000000000003</v>
      </c>
      <c r="J824">
        <v>1.0041100000000001</v>
      </c>
      <c r="K824">
        <v>1.1228499999999999</v>
      </c>
      <c r="L824">
        <v>1.30305</v>
      </c>
      <c r="M824">
        <v>9.0299999999999998E-3</v>
      </c>
      <c r="N824">
        <v>1</v>
      </c>
      <c r="P824">
        <v>1.33595</v>
      </c>
      <c r="Q824">
        <v>0.99590000000000001</v>
      </c>
      <c r="R824">
        <v>0.89058999999999999</v>
      </c>
      <c r="S824">
        <v>0.76742999999999995</v>
      </c>
      <c r="T824">
        <v>110.685</v>
      </c>
      <c r="U824">
        <v>1</v>
      </c>
    </row>
    <row r="825" spans="1:35" hidden="1" outlineLevel="1">
      <c r="A825" s="8">
        <v>43554</v>
      </c>
      <c r="B825" s="1860">
        <v>2376.42875</v>
      </c>
      <c r="C825" s="1860">
        <v>3187.86022</v>
      </c>
      <c r="D825" s="1860">
        <v>3564.81295</v>
      </c>
      <c r="E825" s="1860">
        <v>4136.9101000000001</v>
      </c>
      <c r="F825">
        <v>28.6831</v>
      </c>
      <c r="G825" s="1861">
        <v>3174.79</v>
      </c>
      <c r="I825">
        <v>0.74853000000000003</v>
      </c>
      <c r="J825">
        <v>1.0041100000000001</v>
      </c>
      <c r="K825">
        <v>1.1228499999999999</v>
      </c>
      <c r="L825">
        <v>1.30305</v>
      </c>
      <c r="M825">
        <v>9.0299999999999998E-3</v>
      </c>
      <c r="N825">
        <v>1</v>
      </c>
      <c r="P825">
        <v>1.33595</v>
      </c>
      <c r="Q825">
        <v>0.99590000000000001</v>
      </c>
      <c r="R825">
        <v>0.89058999999999999</v>
      </c>
      <c r="S825">
        <v>0.76742999999999995</v>
      </c>
      <c r="T825">
        <v>110.685</v>
      </c>
      <c r="U825">
        <v>1</v>
      </c>
    </row>
    <row r="826" spans="1:35" ht="15.75" hidden="1" outlineLevel="1" thickBot="1">
      <c r="A826" s="1868">
        <v>43555</v>
      </c>
      <c r="B826" s="1869">
        <v>2376.42875</v>
      </c>
      <c r="C826" s="1869">
        <v>3187.86022</v>
      </c>
      <c r="D826" s="1869">
        <v>3564.81295</v>
      </c>
      <c r="E826" s="1869">
        <v>4136.9101000000001</v>
      </c>
      <c r="F826" s="1870">
        <v>28.6831</v>
      </c>
      <c r="G826" s="1871">
        <v>3174.79</v>
      </c>
      <c r="H826" s="1872"/>
      <c r="I826" s="1870">
        <v>0.74853000000000003</v>
      </c>
      <c r="J826" s="1870">
        <v>1.0041100000000001</v>
      </c>
      <c r="K826" s="1870">
        <v>1.1228499999999999</v>
      </c>
      <c r="L826" s="1870">
        <v>1.30305</v>
      </c>
      <c r="M826" s="1870">
        <v>9.0299999999999998E-3</v>
      </c>
      <c r="N826" s="1870">
        <v>1</v>
      </c>
      <c r="O826" s="1872"/>
      <c r="P826" s="1870">
        <v>1.33595</v>
      </c>
      <c r="Q826" s="1870">
        <v>0.99590000000000001</v>
      </c>
      <c r="R826" s="1870">
        <v>0.89058999999999999</v>
      </c>
      <c r="S826" s="1870">
        <v>0.76742999999999995</v>
      </c>
      <c r="T826" s="1870">
        <v>110.685</v>
      </c>
      <c r="U826" s="1870">
        <v>1</v>
      </c>
      <c r="V826" s="1872"/>
    </row>
    <row r="827" spans="1:35" hidden="1" outlineLevel="1">
      <c r="A827" s="8">
        <v>43556</v>
      </c>
      <c r="B827" s="1860">
        <v>2379.90254</v>
      </c>
      <c r="C827" s="1860">
        <v>3182.7468600000002</v>
      </c>
      <c r="D827" s="1860">
        <v>3562.4318499999999</v>
      </c>
      <c r="E827" s="1860">
        <v>4173.26145</v>
      </c>
      <c r="F827">
        <v>28.550260000000002</v>
      </c>
      <c r="G827" s="1861">
        <v>3174.79</v>
      </c>
      <c r="I827">
        <v>0.74961999999999995</v>
      </c>
      <c r="J827">
        <v>1.0024999999999999</v>
      </c>
      <c r="K827">
        <v>1.1221000000000001</v>
      </c>
      <c r="L827">
        <v>1.3145</v>
      </c>
      <c r="M827">
        <v>8.9899999999999997E-3</v>
      </c>
      <c r="N827">
        <v>1</v>
      </c>
      <c r="P827">
        <v>1.3340000000000001</v>
      </c>
      <c r="Q827">
        <v>0.99750000000000005</v>
      </c>
      <c r="R827">
        <v>0.89117999999999997</v>
      </c>
      <c r="S827">
        <v>0.76073999999999997</v>
      </c>
      <c r="T827">
        <v>111.2</v>
      </c>
      <c r="U827">
        <v>1</v>
      </c>
    </row>
    <row r="828" spans="1:35" hidden="1" outlineLevel="1">
      <c r="A828" s="8">
        <v>43557</v>
      </c>
      <c r="B828" s="1860">
        <v>2357.3376199999998</v>
      </c>
      <c r="C828" s="1860">
        <v>3151.0639299999998</v>
      </c>
      <c r="D828" s="1860">
        <v>3521.4377300000001</v>
      </c>
      <c r="E828" s="1860">
        <v>4100.6081100000001</v>
      </c>
      <c r="F828">
        <v>28.269410000000001</v>
      </c>
      <c r="G828" s="1861">
        <v>3146.81</v>
      </c>
      <c r="I828">
        <v>0.74911000000000005</v>
      </c>
      <c r="J828">
        <v>1.00135</v>
      </c>
      <c r="K828">
        <v>1.1190500000000001</v>
      </c>
      <c r="L828">
        <v>1.3030999999999999</v>
      </c>
      <c r="M828">
        <v>8.9800000000000001E-3</v>
      </c>
      <c r="N828">
        <v>1</v>
      </c>
      <c r="P828">
        <v>1.3349</v>
      </c>
      <c r="Q828">
        <v>0.99865000000000004</v>
      </c>
      <c r="R828">
        <v>0.89361000000000002</v>
      </c>
      <c r="S828">
        <v>0.76739999999999997</v>
      </c>
      <c r="T828">
        <v>111.315</v>
      </c>
      <c r="U828">
        <v>1</v>
      </c>
    </row>
    <row r="829" spans="1:35" hidden="1" outlineLevel="1">
      <c r="A829" s="8">
        <v>43558</v>
      </c>
      <c r="B829" s="1860">
        <v>2359.7912900000001</v>
      </c>
      <c r="C829" s="1860">
        <v>3153.2928700000002</v>
      </c>
      <c r="D829" s="1860">
        <v>3529.8361100000002</v>
      </c>
      <c r="E829" s="1860">
        <v>4136.3474200000001</v>
      </c>
      <c r="F829">
        <v>28.194089999999999</v>
      </c>
      <c r="G829" s="1861">
        <v>3143.36</v>
      </c>
      <c r="I829">
        <v>0.75072000000000005</v>
      </c>
      <c r="J829">
        <v>1.00315</v>
      </c>
      <c r="K829">
        <v>1.1229499999999999</v>
      </c>
      <c r="L829">
        <v>1.3159000000000001</v>
      </c>
      <c r="M829">
        <v>8.9599999999999992E-3</v>
      </c>
      <c r="N829">
        <v>1</v>
      </c>
      <c r="P829">
        <v>1.33205</v>
      </c>
      <c r="Q829">
        <v>0.99685000000000001</v>
      </c>
      <c r="R829">
        <v>0.89051000000000002</v>
      </c>
      <c r="S829">
        <v>0.75992999999999999</v>
      </c>
      <c r="T829">
        <v>111.49</v>
      </c>
      <c r="U829">
        <v>1</v>
      </c>
    </row>
    <row r="830" spans="1:35" hidden="1" outlineLevel="1">
      <c r="A830" s="8">
        <v>43559</v>
      </c>
      <c r="B830" s="1860">
        <v>2343.15994</v>
      </c>
      <c r="C830" s="1860">
        <v>3129.2523099999999</v>
      </c>
      <c r="D830" s="1860">
        <v>3509.04837</v>
      </c>
      <c r="E830" s="1860">
        <v>4092.0387599999999</v>
      </c>
      <c r="F830">
        <v>28.040420000000001</v>
      </c>
      <c r="G830" s="1861">
        <v>3128.47</v>
      </c>
      <c r="I830">
        <v>0.74897000000000002</v>
      </c>
      <c r="J830">
        <v>1.0002500000000001</v>
      </c>
      <c r="K830">
        <v>1.12165</v>
      </c>
      <c r="L830">
        <v>1.3080000000000001</v>
      </c>
      <c r="M830">
        <v>8.9599999999999992E-3</v>
      </c>
      <c r="N830">
        <v>1</v>
      </c>
      <c r="P830">
        <v>1.3351500000000001</v>
      </c>
      <c r="Q830">
        <v>0.99975000000000003</v>
      </c>
      <c r="R830">
        <v>0.89154</v>
      </c>
      <c r="S830">
        <v>0.76451999999999998</v>
      </c>
      <c r="T830">
        <v>111.57</v>
      </c>
      <c r="U830">
        <v>1</v>
      </c>
    </row>
    <row r="831" spans="1:35" hidden="1" outlineLevel="1">
      <c r="A831" s="8">
        <v>43560</v>
      </c>
      <c r="B831" s="1860">
        <v>2342.61571</v>
      </c>
      <c r="C831" s="1860">
        <v>3131.8404399999999</v>
      </c>
      <c r="D831" s="1860">
        <v>3515.9189900000001</v>
      </c>
      <c r="E831" s="1860">
        <v>4075.9034099999999</v>
      </c>
      <c r="F831">
        <v>28.033819999999999</v>
      </c>
      <c r="G831" s="1861">
        <v>3132.78</v>
      </c>
      <c r="I831">
        <v>0.74777000000000005</v>
      </c>
      <c r="J831">
        <v>0.99970000000000003</v>
      </c>
      <c r="K831">
        <v>1.1223000000000001</v>
      </c>
      <c r="L831">
        <v>1.30105</v>
      </c>
      <c r="M831">
        <v>8.94E-3</v>
      </c>
      <c r="N831">
        <v>1</v>
      </c>
      <c r="P831">
        <v>1.3372999999999999</v>
      </c>
      <c r="Q831">
        <v>1.0003</v>
      </c>
      <c r="R831">
        <v>0.89102000000000003</v>
      </c>
      <c r="S831">
        <v>0.76859999999999995</v>
      </c>
      <c r="T831">
        <v>111.75</v>
      </c>
      <c r="U831">
        <v>1</v>
      </c>
    </row>
    <row r="832" spans="1:35" hidden="1" outlineLevel="1">
      <c r="A832" s="8">
        <v>43561</v>
      </c>
      <c r="B832" s="1860">
        <v>2337.69535</v>
      </c>
      <c r="C832" s="1860">
        <v>3125.26242</v>
      </c>
      <c r="D832" s="1860">
        <v>3508.5342599999999</v>
      </c>
      <c r="E832" s="1860">
        <v>4067.3425099999999</v>
      </c>
      <c r="F832">
        <v>27.97494</v>
      </c>
      <c r="G832" s="1861">
        <v>3126.2</v>
      </c>
      <c r="I832">
        <v>0.74777000000000005</v>
      </c>
      <c r="J832">
        <v>0.99970000000000003</v>
      </c>
      <c r="K832">
        <v>1.1223000000000001</v>
      </c>
      <c r="L832">
        <v>1.30105</v>
      </c>
      <c r="M832">
        <v>8.94E-3</v>
      </c>
      <c r="N832">
        <v>1</v>
      </c>
      <c r="P832">
        <v>1.3372999999999999</v>
      </c>
      <c r="Q832">
        <v>1.0003</v>
      </c>
      <c r="R832">
        <v>0.89102000000000003</v>
      </c>
      <c r="S832">
        <v>0.76859999999999995</v>
      </c>
      <c r="T832">
        <v>111.75</v>
      </c>
      <c r="U832">
        <v>1</v>
      </c>
    </row>
    <row r="833" spans="1:35" hidden="1" outlineLevel="1">
      <c r="A833" s="8">
        <v>43562</v>
      </c>
      <c r="B833" s="1860">
        <v>2337.69535</v>
      </c>
      <c r="C833" s="1860">
        <v>3125.26242</v>
      </c>
      <c r="D833" s="1860">
        <v>3508.5342599999999</v>
      </c>
      <c r="E833" s="1860">
        <v>4067.3425099999999</v>
      </c>
      <c r="F833">
        <v>27.97494</v>
      </c>
      <c r="G833" s="1861">
        <v>3126.2</v>
      </c>
      <c r="I833">
        <v>0.74777000000000005</v>
      </c>
      <c r="J833">
        <v>0.99970000000000003</v>
      </c>
      <c r="K833">
        <v>1.1223000000000001</v>
      </c>
      <c r="L833">
        <v>1.30105</v>
      </c>
      <c r="M833">
        <v>8.94E-3</v>
      </c>
      <c r="N833">
        <v>1</v>
      </c>
      <c r="P833">
        <v>1.3372999999999999</v>
      </c>
      <c r="Q833">
        <v>1.0003</v>
      </c>
      <c r="R833">
        <v>0.89102000000000003</v>
      </c>
      <c r="S833">
        <v>0.76859999999999995</v>
      </c>
      <c r="T833">
        <v>111.75</v>
      </c>
      <c r="U833">
        <v>1</v>
      </c>
    </row>
    <row r="834" spans="1:35" hidden="1" outlineLevel="1">
      <c r="A834" s="8">
        <v>43563</v>
      </c>
      <c r="B834" s="1860">
        <v>2346.2043600000002</v>
      </c>
      <c r="C834" s="1860">
        <v>3129.01611</v>
      </c>
      <c r="D834" s="1860">
        <v>3520.5701300000001</v>
      </c>
      <c r="E834" s="1860">
        <v>4079.2220699999998</v>
      </c>
      <c r="F834">
        <v>28.056539999999998</v>
      </c>
      <c r="G834" s="1861">
        <v>3126.2</v>
      </c>
      <c r="I834">
        <v>0.75048999999999999</v>
      </c>
      <c r="J834">
        <v>1.0008999999999999</v>
      </c>
      <c r="K834">
        <v>1.12615</v>
      </c>
      <c r="L834">
        <v>1.3048500000000001</v>
      </c>
      <c r="M834">
        <v>8.9700000000000005E-3</v>
      </c>
      <c r="N834">
        <v>1</v>
      </c>
      <c r="P834">
        <v>1.3324499999999999</v>
      </c>
      <c r="Q834">
        <v>0.99909999999999999</v>
      </c>
      <c r="R834">
        <v>0.88797999999999999</v>
      </c>
      <c r="S834">
        <v>0.76637</v>
      </c>
      <c r="T834">
        <v>111.425</v>
      </c>
      <c r="U834">
        <v>1</v>
      </c>
    </row>
    <row r="835" spans="1:35" hidden="1" outlineLevel="1">
      <c r="A835" s="8">
        <v>43564</v>
      </c>
      <c r="B835" s="1860">
        <v>2338.9293400000001</v>
      </c>
      <c r="C835" s="1860">
        <v>3114.2857100000001</v>
      </c>
      <c r="D835" s="1860">
        <v>3511.7874999999999</v>
      </c>
      <c r="E835" s="1860">
        <v>4064.2717699999998</v>
      </c>
      <c r="F835">
        <v>28.033470000000001</v>
      </c>
      <c r="G835" s="1861">
        <v>3115.22</v>
      </c>
      <c r="I835">
        <v>0.75080000000000002</v>
      </c>
      <c r="J835">
        <v>0.99970000000000003</v>
      </c>
      <c r="K835">
        <v>1.1273</v>
      </c>
      <c r="L835">
        <v>1.3046500000000001</v>
      </c>
      <c r="M835">
        <v>8.9899999999999997E-3</v>
      </c>
      <c r="N835">
        <v>1</v>
      </c>
      <c r="P835">
        <v>1.3319000000000001</v>
      </c>
      <c r="Q835">
        <v>1.0003</v>
      </c>
      <c r="R835">
        <v>0.88707000000000003</v>
      </c>
      <c r="S835">
        <v>0.76648000000000005</v>
      </c>
      <c r="T835">
        <v>111.125</v>
      </c>
      <c r="U835">
        <v>1</v>
      </c>
    </row>
    <row r="836" spans="1:35" s="1857" customFormat="1" hidden="1" outlineLevel="1">
      <c r="A836" s="8">
        <v>43565</v>
      </c>
      <c r="B836" s="1860">
        <v>2329.30762</v>
      </c>
      <c r="C836" s="1860">
        <v>3097.61085</v>
      </c>
      <c r="D836" s="1860">
        <v>3493.6605199999999</v>
      </c>
      <c r="E836" s="1860">
        <v>4064.3962799999999</v>
      </c>
      <c r="F836">
        <v>27.989899999999999</v>
      </c>
      <c r="G836" s="1861">
        <v>3105.2</v>
      </c>
      <c r="I836">
        <v>0.75012999999999996</v>
      </c>
      <c r="J836">
        <v>0.99755000000000005</v>
      </c>
      <c r="K836">
        <v>1.1251</v>
      </c>
      <c r="L836">
        <v>1.3089</v>
      </c>
      <c r="M836">
        <v>9.0100000000000006E-3</v>
      </c>
      <c r="N836">
        <v>1</v>
      </c>
      <c r="P836">
        <v>1.3331</v>
      </c>
      <c r="Q836">
        <v>1.0024500000000001</v>
      </c>
      <c r="R836">
        <v>0.88880000000000003</v>
      </c>
      <c r="S836">
        <v>0.76400000000000001</v>
      </c>
      <c r="T836">
        <v>110.94</v>
      </c>
      <c r="U836">
        <v>1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</row>
    <row r="837" spans="1:35" s="1857" customFormat="1" hidden="1" outlineLevel="1">
      <c r="A837" s="8">
        <v>43566</v>
      </c>
      <c r="B837" s="1860">
        <v>2315.8107300000001</v>
      </c>
      <c r="C837" s="1860">
        <v>3087.32422</v>
      </c>
      <c r="D837" s="1860">
        <v>3489.7375099999999</v>
      </c>
      <c r="E837" s="1860">
        <v>4050.8258900000001</v>
      </c>
      <c r="F837">
        <v>27.768740000000001</v>
      </c>
      <c r="G837" s="1861">
        <v>3095.66</v>
      </c>
      <c r="I837">
        <v>0.74807999999999997</v>
      </c>
      <c r="J837">
        <v>0.99729999999999996</v>
      </c>
      <c r="K837">
        <v>1.1273</v>
      </c>
      <c r="L837">
        <v>1.3085500000000001</v>
      </c>
      <c r="M837">
        <v>8.9700000000000005E-3</v>
      </c>
      <c r="N837">
        <v>1</v>
      </c>
      <c r="P837">
        <v>1.3367500000000001</v>
      </c>
      <c r="Q837">
        <v>1.0026999999999999</v>
      </c>
      <c r="R837">
        <v>0.88707000000000003</v>
      </c>
      <c r="S837">
        <v>0.76419999999999999</v>
      </c>
      <c r="T837">
        <v>111.48</v>
      </c>
      <c r="U837">
        <v>1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</row>
    <row r="838" spans="1:35" s="1857" customFormat="1" hidden="1" outlineLevel="1">
      <c r="A838" s="8">
        <v>43567</v>
      </c>
      <c r="B838" s="1860">
        <v>2336.5423500000002</v>
      </c>
      <c r="C838" s="1860">
        <v>3110.48846</v>
      </c>
      <c r="D838" s="1860">
        <v>3523.0777699999999</v>
      </c>
      <c r="E838" s="1860">
        <v>4079.5334899999998</v>
      </c>
      <c r="F838">
        <v>27.810210000000001</v>
      </c>
      <c r="G838" s="1861">
        <v>3113.91</v>
      </c>
      <c r="I838">
        <v>0.75034999999999996</v>
      </c>
      <c r="J838">
        <v>0.99890000000000001</v>
      </c>
      <c r="K838">
        <v>1.1314</v>
      </c>
      <c r="L838">
        <v>1.3101</v>
      </c>
      <c r="M838">
        <v>8.9300000000000004E-3</v>
      </c>
      <c r="N838">
        <v>1</v>
      </c>
      <c r="P838">
        <v>1.3327</v>
      </c>
      <c r="Q838">
        <v>1.0011000000000001</v>
      </c>
      <c r="R838">
        <v>0.88385999999999998</v>
      </c>
      <c r="S838">
        <v>0.76329999999999998</v>
      </c>
      <c r="T838">
        <v>111.97</v>
      </c>
      <c r="U838">
        <v>1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</row>
    <row r="839" spans="1:35" s="1857" customFormat="1" hidden="1" outlineLevel="1">
      <c r="A839" s="8">
        <v>43568</v>
      </c>
      <c r="B839" s="1860">
        <v>2333.0982199999999</v>
      </c>
      <c r="C839" s="1860">
        <v>3105.9034999999999</v>
      </c>
      <c r="D839" s="1860">
        <v>3517.8846400000002</v>
      </c>
      <c r="E839" s="1860">
        <v>4073.5201299999999</v>
      </c>
      <c r="F839">
        <v>27.769220000000001</v>
      </c>
      <c r="G839" s="1861">
        <v>3109.32</v>
      </c>
      <c r="I839">
        <v>0.75034999999999996</v>
      </c>
      <c r="J839">
        <v>0.99890000000000001</v>
      </c>
      <c r="K839">
        <v>1.1314</v>
      </c>
      <c r="L839">
        <v>1.3101</v>
      </c>
      <c r="M839">
        <v>8.9300000000000004E-3</v>
      </c>
      <c r="N839">
        <v>1</v>
      </c>
      <c r="P839">
        <v>1.3327</v>
      </c>
      <c r="Q839">
        <v>1.0011000000000001</v>
      </c>
      <c r="R839">
        <v>0.88385999999999998</v>
      </c>
      <c r="S839">
        <v>0.76329999999999998</v>
      </c>
      <c r="T839">
        <v>111.97</v>
      </c>
      <c r="U839">
        <v>1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</row>
    <row r="840" spans="1:35" s="1857" customFormat="1" hidden="1" outlineLevel="1">
      <c r="A840" s="8">
        <v>43569</v>
      </c>
      <c r="B840" s="1860">
        <v>2333.0982199999999</v>
      </c>
      <c r="C840" s="1860">
        <v>3105.9034999999999</v>
      </c>
      <c r="D840" s="1860">
        <v>3517.8846400000002</v>
      </c>
      <c r="E840" s="1860">
        <v>4073.5201299999999</v>
      </c>
      <c r="F840">
        <v>27.769220000000001</v>
      </c>
      <c r="G840" s="1861">
        <v>3109.32</v>
      </c>
      <c r="I840">
        <v>0.75034999999999996</v>
      </c>
      <c r="J840">
        <v>0.99890000000000001</v>
      </c>
      <c r="K840">
        <v>1.1314</v>
      </c>
      <c r="L840">
        <v>1.3101</v>
      </c>
      <c r="M840">
        <v>8.9300000000000004E-3</v>
      </c>
      <c r="N840">
        <v>1</v>
      </c>
      <c r="P840">
        <v>1.3327</v>
      </c>
      <c r="Q840">
        <v>1.0011000000000001</v>
      </c>
      <c r="R840">
        <v>0.88385999999999998</v>
      </c>
      <c r="S840">
        <v>0.76329999999999998</v>
      </c>
      <c r="T840">
        <v>111.97</v>
      </c>
      <c r="U840">
        <v>1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</row>
    <row r="841" spans="1:35" s="1857" customFormat="1" hidden="1" outlineLevel="1">
      <c r="A841" s="8">
        <v>43570</v>
      </c>
      <c r="B841" s="1860">
        <v>2325.6815799999999</v>
      </c>
      <c r="C841" s="1860">
        <v>3099.0929900000001</v>
      </c>
      <c r="D841" s="1860">
        <v>3516.4854500000001</v>
      </c>
      <c r="E841" s="1860">
        <v>4077.87318</v>
      </c>
      <c r="F841">
        <v>27.760539999999999</v>
      </c>
      <c r="G841" s="1861">
        <v>3109.32</v>
      </c>
      <c r="I841">
        <v>0.74797000000000002</v>
      </c>
      <c r="J841">
        <v>0.99670999999999998</v>
      </c>
      <c r="K841">
        <v>1.1309499999999999</v>
      </c>
      <c r="L841">
        <v>1.3115000000000001</v>
      </c>
      <c r="M841">
        <v>8.9200000000000008E-3</v>
      </c>
      <c r="N841">
        <v>1</v>
      </c>
      <c r="P841">
        <v>1.3369500000000001</v>
      </c>
      <c r="Q841">
        <v>1.0033000000000001</v>
      </c>
      <c r="R841">
        <v>0.88421000000000005</v>
      </c>
      <c r="S841">
        <v>0.76248000000000005</v>
      </c>
      <c r="T841">
        <v>112.005</v>
      </c>
      <c r="U841">
        <v>1</v>
      </c>
      <c r="W841"/>
      <c r="X841"/>
      <c r="Y841"/>
      <c r="Z841"/>
      <c r="AA841"/>
      <c r="AB841"/>
      <c r="AC841"/>
      <c r="AD841"/>
      <c r="AE841"/>
      <c r="AF841"/>
      <c r="AG841"/>
      <c r="AH841"/>
      <c r="AI841"/>
    </row>
    <row r="842" spans="1:35" s="1857" customFormat="1" hidden="1" outlineLevel="1">
      <c r="A842" s="8">
        <v>43571</v>
      </c>
      <c r="B842" s="1860">
        <v>2347.8218499999998</v>
      </c>
      <c r="C842" s="1860">
        <v>3116.27837</v>
      </c>
      <c r="D842" s="1860">
        <v>3544.4596999999999</v>
      </c>
      <c r="E842" s="1860">
        <v>4094.6351199999999</v>
      </c>
      <c r="F842">
        <v>28.023669999999999</v>
      </c>
      <c r="G842" s="1861">
        <v>3136.69</v>
      </c>
      <c r="I842">
        <v>0.74850000000000005</v>
      </c>
      <c r="J842">
        <v>0.99348999999999998</v>
      </c>
      <c r="K842">
        <v>1.1299999999999999</v>
      </c>
      <c r="L842">
        <v>1.3053999999999999</v>
      </c>
      <c r="M842">
        <v>8.9300000000000004E-3</v>
      </c>
      <c r="N842">
        <v>1</v>
      </c>
      <c r="P842">
        <v>1.3360000000000001</v>
      </c>
      <c r="Q842">
        <v>1.0065500000000001</v>
      </c>
      <c r="R842">
        <v>0.88495000000000001</v>
      </c>
      <c r="S842">
        <v>0.76604000000000005</v>
      </c>
      <c r="T842">
        <v>111.93</v>
      </c>
      <c r="U842">
        <v>1</v>
      </c>
      <c r="W842"/>
      <c r="X842"/>
      <c r="Y842"/>
      <c r="Z842"/>
      <c r="AA842"/>
      <c r="AB842"/>
      <c r="AC842"/>
      <c r="AD842"/>
      <c r="AE842"/>
      <c r="AF842"/>
      <c r="AG842"/>
      <c r="AH842"/>
      <c r="AI842"/>
    </row>
    <row r="843" spans="1:35" s="1857" customFormat="1" hidden="1" outlineLevel="1">
      <c r="A843" s="8">
        <v>43572</v>
      </c>
      <c r="B843" s="1860">
        <v>2371.8680800000002</v>
      </c>
      <c r="C843" s="1860">
        <v>3132.8311600000002</v>
      </c>
      <c r="D843" s="1860">
        <v>3572.5733100000002</v>
      </c>
      <c r="E843" s="1860">
        <v>4124.6192600000004</v>
      </c>
      <c r="F843">
        <v>28.222049999999999</v>
      </c>
      <c r="G843" s="1861">
        <v>3160.87</v>
      </c>
      <c r="I843">
        <v>0.75038000000000005</v>
      </c>
      <c r="J843">
        <v>0.99112</v>
      </c>
      <c r="K843">
        <v>1.13025</v>
      </c>
      <c r="L843">
        <v>1.3048999999999999</v>
      </c>
      <c r="M843">
        <v>8.9200000000000008E-3</v>
      </c>
      <c r="N843">
        <v>1</v>
      </c>
      <c r="P843">
        <v>1.3326499999999999</v>
      </c>
      <c r="Q843">
        <v>1.00895</v>
      </c>
      <c r="R843">
        <v>0.88475999999999999</v>
      </c>
      <c r="S843">
        <v>0.76634000000000002</v>
      </c>
      <c r="T843">
        <v>112</v>
      </c>
      <c r="U843">
        <v>1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</row>
    <row r="844" spans="1:35" s="1857" customFormat="1" hidden="1" outlineLevel="1">
      <c r="A844" s="8">
        <v>43573</v>
      </c>
      <c r="B844" s="1860">
        <v>2363.6825899999999</v>
      </c>
      <c r="C844" s="1860">
        <v>3118.2280099999998</v>
      </c>
      <c r="D844" s="1860">
        <v>3553.4856799999998</v>
      </c>
      <c r="E844" s="1860">
        <v>4111.6264499999997</v>
      </c>
      <c r="F844">
        <v>28.24757</v>
      </c>
      <c r="G844" s="1861">
        <v>3160.48</v>
      </c>
      <c r="I844">
        <v>0.74787999999999999</v>
      </c>
      <c r="J844">
        <v>0.98663000000000001</v>
      </c>
      <c r="K844">
        <v>1.12435</v>
      </c>
      <c r="L844">
        <v>1.3009500000000001</v>
      </c>
      <c r="M844">
        <v>8.9300000000000004E-3</v>
      </c>
      <c r="N844">
        <v>1</v>
      </c>
      <c r="P844">
        <v>1.3371</v>
      </c>
      <c r="Q844">
        <v>1.01355</v>
      </c>
      <c r="R844">
        <v>0.88939999999999997</v>
      </c>
      <c r="S844">
        <v>0.76866000000000001</v>
      </c>
      <c r="T844">
        <v>111.88500000000001</v>
      </c>
      <c r="U844">
        <v>1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</row>
    <row r="845" spans="1:35" s="1857" customFormat="1" hidden="1" outlineLevel="1">
      <c r="A845" s="8">
        <v>43574</v>
      </c>
      <c r="B845" s="1860">
        <v>2363.6825899999999</v>
      </c>
      <c r="C845" s="1860">
        <v>3118.2280099999998</v>
      </c>
      <c r="D845" s="1860">
        <v>3553.4856799999998</v>
      </c>
      <c r="E845" s="1860">
        <v>4111.6264499999997</v>
      </c>
      <c r="F845">
        <v>28.24757</v>
      </c>
      <c r="G845" s="1861">
        <v>3160.48</v>
      </c>
      <c r="I845">
        <v>0.74787999999999999</v>
      </c>
      <c r="J845">
        <v>0.98663000000000001</v>
      </c>
      <c r="K845">
        <v>1.12435</v>
      </c>
      <c r="L845">
        <v>1.3009500000000001</v>
      </c>
      <c r="M845">
        <v>8.9300000000000004E-3</v>
      </c>
      <c r="N845">
        <v>1</v>
      </c>
      <c r="P845">
        <v>1.3371</v>
      </c>
      <c r="Q845">
        <v>1.01355</v>
      </c>
      <c r="R845">
        <v>0.88939999999999997</v>
      </c>
      <c r="S845">
        <v>0.76866000000000001</v>
      </c>
      <c r="T845">
        <v>111.88500000000001</v>
      </c>
      <c r="U845">
        <v>1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</row>
    <row r="846" spans="1:35" s="1857" customFormat="1" hidden="1" outlineLevel="1">
      <c r="A846" s="8">
        <v>43575</v>
      </c>
      <c r="B846" s="1860">
        <v>2363.6825899999999</v>
      </c>
      <c r="C846" s="1860">
        <v>3118.2280099999998</v>
      </c>
      <c r="D846" s="1860">
        <v>3553.4856799999998</v>
      </c>
      <c r="E846" s="1860">
        <v>4111.6264499999997</v>
      </c>
      <c r="F846">
        <v>28.24757</v>
      </c>
      <c r="G846" s="1861">
        <v>3160.48</v>
      </c>
      <c r="I846">
        <v>0.74787999999999999</v>
      </c>
      <c r="J846">
        <v>0.98663000000000001</v>
      </c>
      <c r="K846">
        <v>1.12435</v>
      </c>
      <c r="L846">
        <v>1.3009500000000001</v>
      </c>
      <c r="M846">
        <v>8.9300000000000004E-3</v>
      </c>
      <c r="N846">
        <v>1</v>
      </c>
      <c r="P846">
        <v>1.3371</v>
      </c>
      <c r="Q846">
        <v>1.01355</v>
      </c>
      <c r="R846">
        <v>0.88939999999999997</v>
      </c>
      <c r="S846">
        <v>0.76866000000000001</v>
      </c>
      <c r="T846">
        <v>111.88500000000001</v>
      </c>
      <c r="U846">
        <v>1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</row>
    <row r="847" spans="1:35" s="1857" customFormat="1" hidden="1" outlineLevel="1">
      <c r="A847" s="8">
        <v>43576</v>
      </c>
      <c r="B847" s="1860">
        <v>2363.6825899999999</v>
      </c>
      <c r="C847" s="1860">
        <v>3118.2280099999998</v>
      </c>
      <c r="D847" s="1860">
        <v>3553.4856799999998</v>
      </c>
      <c r="E847" s="1860">
        <v>4111.6264499999997</v>
      </c>
      <c r="F847">
        <v>28.24757</v>
      </c>
      <c r="G847" s="1861">
        <v>3160.48</v>
      </c>
      <c r="I847">
        <v>0.74787999999999999</v>
      </c>
      <c r="J847">
        <v>0.98663000000000001</v>
      </c>
      <c r="K847">
        <v>1.12435</v>
      </c>
      <c r="L847">
        <v>1.3009500000000001</v>
      </c>
      <c r="M847">
        <v>8.9300000000000004E-3</v>
      </c>
      <c r="N847">
        <v>1</v>
      </c>
      <c r="P847">
        <v>1.3371</v>
      </c>
      <c r="Q847">
        <v>1.01355</v>
      </c>
      <c r="R847">
        <v>0.88939999999999997</v>
      </c>
      <c r="S847">
        <v>0.76866000000000001</v>
      </c>
      <c r="T847">
        <v>111.88500000000001</v>
      </c>
      <c r="U847">
        <v>1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</row>
    <row r="848" spans="1:35" s="1857" customFormat="1" hidden="1" outlineLevel="1">
      <c r="A848" s="8">
        <v>43577</v>
      </c>
      <c r="B848" s="1860">
        <v>2365.0976500000002</v>
      </c>
      <c r="C848" s="1860">
        <v>3111.3211200000001</v>
      </c>
      <c r="D848" s="1860">
        <v>3557.1202400000002</v>
      </c>
      <c r="E848" s="1860">
        <v>4101.5129200000001</v>
      </c>
      <c r="F848">
        <v>28.237480000000001</v>
      </c>
      <c r="G848" s="1861">
        <v>3160.48</v>
      </c>
      <c r="I848">
        <v>0.74833000000000005</v>
      </c>
      <c r="J848">
        <v>0.98443999999999998</v>
      </c>
      <c r="K848">
        <v>1.1254999999999999</v>
      </c>
      <c r="L848">
        <v>1.29775</v>
      </c>
      <c r="M848">
        <v>8.9300000000000004E-3</v>
      </c>
      <c r="N848">
        <v>1</v>
      </c>
      <c r="P848">
        <v>1.3363</v>
      </c>
      <c r="Q848">
        <v>1.0158</v>
      </c>
      <c r="R848">
        <v>0.88849</v>
      </c>
      <c r="S848">
        <v>0.77056000000000002</v>
      </c>
      <c r="T848">
        <v>111.925</v>
      </c>
      <c r="U848">
        <v>1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</row>
    <row r="849" spans="1:35" s="1857" customFormat="1" hidden="1" outlineLevel="1">
      <c r="A849" s="8">
        <v>43578</v>
      </c>
      <c r="B849" s="1860">
        <v>2349.1610099999998</v>
      </c>
      <c r="C849" s="1860">
        <v>3084.1435299999998</v>
      </c>
      <c r="D849" s="1860">
        <v>3530.1937899999998</v>
      </c>
      <c r="E849" s="1860">
        <v>4075.61456</v>
      </c>
      <c r="F849">
        <v>28.15381</v>
      </c>
      <c r="G849" s="1861">
        <v>3149.99</v>
      </c>
      <c r="I849">
        <v>0.74575999999999998</v>
      </c>
      <c r="J849">
        <v>0.97909000000000002</v>
      </c>
      <c r="K849">
        <v>1.1207</v>
      </c>
      <c r="L849">
        <v>1.2938499999999999</v>
      </c>
      <c r="M849">
        <v>8.9300000000000004E-3</v>
      </c>
      <c r="N849">
        <v>1</v>
      </c>
      <c r="P849">
        <v>1.3409</v>
      </c>
      <c r="Q849">
        <v>1.02135</v>
      </c>
      <c r="R849">
        <v>0.89229000000000003</v>
      </c>
      <c r="S849">
        <v>0.77288000000000001</v>
      </c>
      <c r="T849">
        <v>111.88500000000001</v>
      </c>
      <c r="U849">
        <v>1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</row>
    <row r="850" spans="1:35" s="1857" customFormat="1" hidden="1" outlineLevel="1">
      <c r="A850" s="8">
        <v>43579</v>
      </c>
      <c r="B850" s="1860">
        <v>2356.8229000000001</v>
      </c>
      <c r="C850" s="1860">
        <v>3122.5153500000001</v>
      </c>
      <c r="D850" s="1860">
        <v>3560.0872800000002</v>
      </c>
      <c r="E850" s="1860">
        <v>4117.1801599999999</v>
      </c>
      <c r="F850">
        <v>28.43412</v>
      </c>
      <c r="G850" s="1861">
        <v>3177.94</v>
      </c>
      <c r="I850">
        <v>0.74160999999999999</v>
      </c>
      <c r="J850">
        <v>0.98255000000000003</v>
      </c>
      <c r="K850">
        <v>1.12025</v>
      </c>
      <c r="L850">
        <v>1.29555</v>
      </c>
      <c r="M850">
        <v>8.94E-3</v>
      </c>
      <c r="N850">
        <v>1</v>
      </c>
      <c r="P850">
        <v>1.3484</v>
      </c>
      <c r="Q850">
        <v>1.0177499999999999</v>
      </c>
      <c r="R850">
        <v>0.89265000000000005</v>
      </c>
      <c r="S850">
        <v>0.77186999999999995</v>
      </c>
      <c r="T850">
        <v>111.765</v>
      </c>
      <c r="U850">
        <v>1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</row>
    <row r="851" spans="1:35" s="1857" customFormat="1" hidden="1" outlineLevel="1">
      <c r="A851" s="8">
        <v>43580</v>
      </c>
      <c r="B851" s="1860">
        <v>2381.4934199999998</v>
      </c>
      <c r="C851" s="1860">
        <v>3148.9905899999999</v>
      </c>
      <c r="D851" s="1860">
        <v>3580.8235100000002</v>
      </c>
      <c r="E851" s="1860">
        <v>4147.3159599999999</v>
      </c>
      <c r="F851">
        <v>28.831130000000002</v>
      </c>
      <c r="G851" s="1861">
        <v>3213.23</v>
      </c>
      <c r="I851">
        <v>0.74114999999999998</v>
      </c>
      <c r="J851">
        <v>0.98</v>
      </c>
      <c r="K851">
        <v>1.1144000000000001</v>
      </c>
      <c r="L851">
        <v>1.2907</v>
      </c>
      <c r="M851">
        <v>8.9700000000000005E-3</v>
      </c>
      <c r="N851">
        <v>1</v>
      </c>
      <c r="P851">
        <v>1.3492500000000001</v>
      </c>
      <c r="Q851">
        <v>1.0204</v>
      </c>
      <c r="R851">
        <v>0.89734000000000003</v>
      </c>
      <c r="S851">
        <v>0.77476999999999996</v>
      </c>
      <c r="T851">
        <v>111.45</v>
      </c>
      <c r="U851">
        <v>1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</row>
    <row r="852" spans="1:35" hidden="1" outlineLevel="1">
      <c r="A852" s="8">
        <v>43581</v>
      </c>
      <c r="B852" s="1860">
        <v>2403.9348100000002</v>
      </c>
      <c r="C852" s="1860">
        <v>3176.5144399999999</v>
      </c>
      <c r="D852" s="1860">
        <v>3614.3951699999998</v>
      </c>
      <c r="E852" s="1860">
        <v>4188.48902</v>
      </c>
      <c r="F852">
        <v>29.025860000000002</v>
      </c>
      <c r="G852" s="1861">
        <v>3237.98</v>
      </c>
      <c r="I852">
        <v>0.74241000000000001</v>
      </c>
      <c r="J852">
        <v>0.98101000000000005</v>
      </c>
      <c r="K852">
        <v>1.11625</v>
      </c>
      <c r="L852">
        <v>1.29355</v>
      </c>
      <c r="M852">
        <v>8.9599999999999992E-3</v>
      </c>
      <c r="N852">
        <v>1</v>
      </c>
      <c r="P852">
        <v>1.3469500000000001</v>
      </c>
      <c r="Q852">
        <v>1.01935</v>
      </c>
      <c r="R852">
        <v>0.89585000000000004</v>
      </c>
      <c r="S852">
        <v>0.77305999999999997</v>
      </c>
      <c r="T852">
        <v>111.55500000000001</v>
      </c>
      <c r="U852">
        <v>1</v>
      </c>
    </row>
    <row r="853" spans="1:35" hidden="1" outlineLevel="1">
      <c r="A853" s="8">
        <v>43582</v>
      </c>
      <c r="B853" s="1860">
        <v>2396.3695699999998</v>
      </c>
      <c r="C853" s="1860">
        <v>3166.5178700000001</v>
      </c>
      <c r="D853" s="1860">
        <v>3603.0205799999999</v>
      </c>
      <c r="E853" s="1860">
        <v>4175.3077499999999</v>
      </c>
      <c r="F853">
        <v>28.93451</v>
      </c>
      <c r="G853" s="1861">
        <v>3227.79</v>
      </c>
      <c r="I853">
        <v>0.74241000000000001</v>
      </c>
      <c r="J853">
        <v>0.98101000000000005</v>
      </c>
      <c r="K853">
        <v>1.11625</v>
      </c>
      <c r="L853">
        <v>1.29355</v>
      </c>
      <c r="M853">
        <v>8.9599999999999992E-3</v>
      </c>
      <c r="N853">
        <v>1</v>
      </c>
      <c r="P853">
        <v>1.3469500000000001</v>
      </c>
      <c r="Q853">
        <v>1.01935</v>
      </c>
      <c r="R853">
        <v>0.89585000000000004</v>
      </c>
      <c r="S853">
        <v>0.77305999999999997</v>
      </c>
      <c r="T853">
        <v>111.55500000000001</v>
      </c>
      <c r="U853">
        <v>1</v>
      </c>
    </row>
    <row r="854" spans="1:35" hidden="1" outlineLevel="1">
      <c r="A854" s="8">
        <v>43583</v>
      </c>
      <c r="B854" s="1860">
        <v>2396.3695699999998</v>
      </c>
      <c r="C854" s="1860">
        <v>3166.5178700000001</v>
      </c>
      <c r="D854" s="1860">
        <v>3603.0205799999999</v>
      </c>
      <c r="E854" s="1860">
        <v>4175.3077499999999</v>
      </c>
      <c r="F854">
        <v>28.93451</v>
      </c>
      <c r="G854" s="1861">
        <v>3227.79</v>
      </c>
      <c r="I854">
        <v>0.74241000000000001</v>
      </c>
      <c r="J854">
        <v>0.98101000000000005</v>
      </c>
      <c r="K854">
        <v>1.11625</v>
      </c>
      <c r="L854">
        <v>1.29355</v>
      </c>
      <c r="M854">
        <v>8.9599999999999992E-3</v>
      </c>
      <c r="N854">
        <v>1</v>
      </c>
      <c r="P854">
        <v>1.3469500000000001</v>
      </c>
      <c r="Q854">
        <v>1.01935</v>
      </c>
      <c r="R854">
        <v>0.89585000000000004</v>
      </c>
      <c r="S854">
        <v>0.77305999999999997</v>
      </c>
      <c r="T854">
        <v>111.55500000000001</v>
      </c>
      <c r="U854">
        <v>1</v>
      </c>
    </row>
    <row r="855" spans="1:35" hidden="1" outlineLevel="1">
      <c r="A855" s="8">
        <v>43584</v>
      </c>
      <c r="B855" s="1860">
        <v>2397.8827700000002</v>
      </c>
      <c r="C855" s="1860">
        <v>3165.2757999999999</v>
      </c>
      <c r="D855" s="1860">
        <v>3604.15031</v>
      </c>
      <c r="E855" s="1860">
        <v>4171.2730099999999</v>
      </c>
      <c r="F855">
        <v>28.867229999999999</v>
      </c>
      <c r="G855" s="1861">
        <v>3227.79</v>
      </c>
      <c r="I855">
        <v>0.74287999999999998</v>
      </c>
      <c r="J855">
        <v>0.98063</v>
      </c>
      <c r="K855">
        <v>1.1166</v>
      </c>
      <c r="L855">
        <v>1.2923</v>
      </c>
      <c r="M855">
        <v>8.94E-3</v>
      </c>
      <c r="N855">
        <v>1</v>
      </c>
      <c r="P855">
        <v>1.3461000000000001</v>
      </c>
      <c r="Q855">
        <v>1.0197499999999999</v>
      </c>
      <c r="R855">
        <v>0.89556999999999998</v>
      </c>
      <c r="S855">
        <v>0.77381</v>
      </c>
      <c r="T855">
        <v>111.815</v>
      </c>
      <c r="U855">
        <v>1</v>
      </c>
    </row>
    <row r="856" spans="1:35" ht="15.75" hidden="1" outlineLevel="1" thickBot="1">
      <c r="A856" s="1868">
        <v>43585</v>
      </c>
      <c r="B856" s="1869">
        <v>2414.3027000000002</v>
      </c>
      <c r="C856" s="1869">
        <v>3187.1638800000001</v>
      </c>
      <c r="D856" s="1869">
        <v>3639.7197999999999</v>
      </c>
      <c r="E856" s="1869">
        <v>4233.8901699999997</v>
      </c>
      <c r="F856" s="1870">
        <v>29.160219999999999</v>
      </c>
      <c r="G856" s="1871">
        <v>3247.72</v>
      </c>
      <c r="H856" s="1872"/>
      <c r="I856" s="1870">
        <v>0.74338000000000004</v>
      </c>
      <c r="J856" s="1870">
        <v>0.98134999999999994</v>
      </c>
      <c r="K856" s="1870">
        <v>1.1207</v>
      </c>
      <c r="L856" s="1870">
        <v>1.30365</v>
      </c>
      <c r="M856" s="1870">
        <v>8.9700000000000005E-3</v>
      </c>
      <c r="N856" s="1870">
        <v>1</v>
      </c>
      <c r="O856" s="1872"/>
      <c r="P856" s="1870">
        <v>1.3452</v>
      </c>
      <c r="Q856" s="1870">
        <v>1.0189999999999999</v>
      </c>
      <c r="R856" s="1870">
        <v>0.89229000000000003</v>
      </c>
      <c r="S856" s="1870">
        <v>0.76707000000000003</v>
      </c>
      <c r="T856" s="1870">
        <v>111.375</v>
      </c>
      <c r="U856" s="1870">
        <v>1</v>
      </c>
      <c r="V856" s="1872"/>
    </row>
    <row r="857" spans="1:35" hidden="1" outlineLevel="1">
      <c r="A857" s="8">
        <v>43586</v>
      </c>
      <c r="B857" s="1860">
        <v>2410.1729</v>
      </c>
      <c r="C857" s="1860">
        <v>3186.6482700000001</v>
      </c>
      <c r="D857" s="1860">
        <v>3635.1439700000001</v>
      </c>
      <c r="E857" s="1860">
        <v>4230.8412500000004</v>
      </c>
      <c r="F857">
        <v>29.088999999999999</v>
      </c>
      <c r="G857" s="1861">
        <v>3233.97</v>
      </c>
      <c r="I857">
        <v>0.74526000000000003</v>
      </c>
      <c r="J857">
        <v>0.98536000000000001</v>
      </c>
      <c r="K857">
        <v>1.12405</v>
      </c>
      <c r="L857">
        <v>1.3082499999999999</v>
      </c>
      <c r="M857">
        <v>8.9899999999999997E-3</v>
      </c>
      <c r="N857">
        <v>1</v>
      </c>
      <c r="P857">
        <v>1.3418000000000001</v>
      </c>
      <c r="Q857">
        <v>1.01485</v>
      </c>
      <c r="R857">
        <v>0.88963999999999999</v>
      </c>
      <c r="S857">
        <v>0.76436999999999999</v>
      </c>
      <c r="T857">
        <v>111.175</v>
      </c>
      <c r="U857">
        <v>1</v>
      </c>
    </row>
    <row r="858" spans="1:35" hidden="1" outlineLevel="1">
      <c r="A858" s="8">
        <v>43587</v>
      </c>
      <c r="B858" s="1860">
        <v>2403.81313</v>
      </c>
      <c r="C858" s="1860">
        <v>3173.0474800000002</v>
      </c>
      <c r="D858" s="1860">
        <v>3616.7103400000001</v>
      </c>
      <c r="E858" s="1860">
        <v>4215.6415900000002</v>
      </c>
      <c r="F858">
        <v>28.99511</v>
      </c>
      <c r="G858" s="1861">
        <v>3233.97</v>
      </c>
    </row>
    <row r="859" spans="1:35" hidden="1" outlineLevel="1">
      <c r="A859" s="8">
        <v>43588</v>
      </c>
      <c r="B859" s="1860">
        <v>2430.4648999999999</v>
      </c>
      <c r="C859" s="1860">
        <v>3205.4338200000002</v>
      </c>
      <c r="D859" s="1860">
        <v>3649.5526799999998</v>
      </c>
      <c r="E859" s="1860">
        <v>4279.6408199999996</v>
      </c>
      <c r="F859">
        <v>29.324190000000002</v>
      </c>
      <c r="G859" s="1861">
        <v>3262.17</v>
      </c>
    </row>
    <row r="860" spans="1:35" hidden="1" outlineLevel="1">
      <c r="A860" s="8">
        <v>43589</v>
      </c>
      <c r="B860" s="1860">
        <v>2414.2750700000001</v>
      </c>
      <c r="C860" s="1860">
        <v>3184.0817499999998</v>
      </c>
      <c r="D860" s="1860">
        <v>3625.2422499999998</v>
      </c>
      <c r="E860" s="1860">
        <v>4251.1332300000004</v>
      </c>
      <c r="F860">
        <v>29.12885</v>
      </c>
      <c r="G860" s="1861">
        <v>3240.44</v>
      </c>
    </row>
    <row r="861" spans="1:35" hidden="1" outlineLevel="1">
      <c r="A861" s="8">
        <v>43590</v>
      </c>
      <c r="B861" s="1860">
        <v>2414.2750700000001</v>
      </c>
      <c r="C861" s="1860">
        <v>3184.0817499999998</v>
      </c>
      <c r="D861" s="1860">
        <v>3625.2422499999998</v>
      </c>
      <c r="E861" s="1860">
        <v>4251.1332300000004</v>
      </c>
      <c r="F861">
        <v>29.12885</v>
      </c>
      <c r="G861" s="1861">
        <v>3240.44</v>
      </c>
    </row>
    <row r="862" spans="1:35" hidden="1" outlineLevel="1">
      <c r="A862" s="8">
        <v>43591</v>
      </c>
      <c r="B862" s="1860">
        <v>2408.3537700000002</v>
      </c>
      <c r="C862" s="1860">
        <v>3182.5181600000001</v>
      </c>
      <c r="D862" s="1860">
        <v>3627.6725799999999</v>
      </c>
      <c r="E862" s="1860">
        <v>4242.3840399999999</v>
      </c>
      <c r="F862">
        <v>29.224740000000001</v>
      </c>
      <c r="G862" s="1861">
        <v>3240.44</v>
      </c>
    </row>
    <row r="863" spans="1:35" hidden="1" outlineLevel="1">
      <c r="A863" s="8">
        <v>43592</v>
      </c>
      <c r="B863" s="1860">
        <v>2415.1334099999999</v>
      </c>
      <c r="C863" s="1860">
        <v>3183.8266199999998</v>
      </c>
      <c r="D863" s="1860">
        <v>3640.6087600000001</v>
      </c>
      <c r="E863" s="1860">
        <v>4246.5091499999999</v>
      </c>
      <c r="F863">
        <v>29.476240000000001</v>
      </c>
      <c r="G863" s="1861">
        <v>3254.03</v>
      </c>
    </row>
    <row r="864" spans="1:35" hidden="1" outlineLevel="1">
      <c r="A864" s="8">
        <v>43593</v>
      </c>
      <c r="B864" s="1860">
        <v>2442.39723</v>
      </c>
      <c r="C864" s="1860">
        <v>3230.18219</v>
      </c>
      <c r="D864" s="1860">
        <v>3684.1249600000001</v>
      </c>
      <c r="E864" s="1860">
        <v>4274.7952299999997</v>
      </c>
      <c r="F864">
        <v>29.85078</v>
      </c>
      <c r="G864" s="1861">
        <v>3288.81</v>
      </c>
    </row>
    <row r="865" spans="1:35" hidden="1" outlineLevel="1">
      <c r="A865" s="8">
        <v>43594</v>
      </c>
      <c r="B865" s="1860">
        <v>2439.6559299999999</v>
      </c>
      <c r="C865" s="1860">
        <v>3245.6545299999998</v>
      </c>
      <c r="D865" s="1860">
        <v>3694.6402499999999</v>
      </c>
      <c r="E865" s="1860">
        <v>4283.7362400000002</v>
      </c>
      <c r="F865">
        <v>30.028929999999999</v>
      </c>
      <c r="G865" s="1861">
        <v>3290.12</v>
      </c>
    </row>
    <row r="866" spans="1:35" hidden="1" outlineLevel="1">
      <c r="A866" s="8">
        <v>43595</v>
      </c>
      <c r="B866" s="1860">
        <v>2451.9784100000002</v>
      </c>
      <c r="C866" s="1860">
        <v>3257.7843699999999</v>
      </c>
      <c r="D866" s="1860">
        <v>3703.3463200000001</v>
      </c>
      <c r="E866" s="1860">
        <v>4292.5749400000004</v>
      </c>
      <c r="F866">
        <v>30.049900000000001</v>
      </c>
      <c r="G866" s="1861">
        <v>3293.62</v>
      </c>
    </row>
    <row r="867" spans="1:35" hidden="1" outlineLevel="1">
      <c r="A867" s="8">
        <v>43596</v>
      </c>
      <c r="B867" s="1860">
        <v>2437.5953800000002</v>
      </c>
      <c r="C867" s="1860">
        <v>3238.6745700000001</v>
      </c>
      <c r="D867" s="1860">
        <v>3681.6229199999998</v>
      </c>
      <c r="E867" s="1860">
        <v>4267.3951900000002</v>
      </c>
      <c r="F867">
        <v>29.873629999999999</v>
      </c>
      <c r="G867" s="1861">
        <v>3274.3</v>
      </c>
    </row>
    <row r="868" spans="1:35" s="1857" customFormat="1" hidden="1" outlineLevel="1">
      <c r="A868" s="8">
        <v>43597</v>
      </c>
      <c r="B868" s="1860">
        <v>2437.5953800000002</v>
      </c>
      <c r="C868" s="1860">
        <v>3238.6745700000001</v>
      </c>
      <c r="D868" s="1860">
        <v>3681.6229199999998</v>
      </c>
      <c r="E868" s="1860">
        <v>4267.3951900000002</v>
      </c>
      <c r="F868">
        <v>29.873629999999999</v>
      </c>
      <c r="G868" s="1861">
        <v>3274.3</v>
      </c>
      <c r="I868"/>
      <c r="J868"/>
      <c r="K868"/>
      <c r="L868"/>
      <c r="M868"/>
      <c r="N868"/>
      <c r="P868"/>
      <c r="Q868"/>
      <c r="R868"/>
      <c r="S868"/>
      <c r="T868"/>
      <c r="U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</row>
    <row r="869" spans="1:35" s="1857" customFormat="1" hidden="1" outlineLevel="1">
      <c r="A869" s="8">
        <v>43598</v>
      </c>
      <c r="B869" s="1860">
        <v>2435.3291100000001</v>
      </c>
      <c r="C869" s="1860">
        <v>3253.9627300000002</v>
      </c>
      <c r="D869" s="1860">
        <v>3681.29549</v>
      </c>
      <c r="E869" s="1860">
        <v>4252.1696899999997</v>
      </c>
      <c r="F869">
        <v>30.00366</v>
      </c>
      <c r="G869" s="1861">
        <v>3274.3</v>
      </c>
      <c r="I869"/>
      <c r="J869"/>
      <c r="K869"/>
      <c r="L869"/>
      <c r="M869"/>
      <c r="N869"/>
      <c r="P869"/>
      <c r="Q869"/>
      <c r="R869"/>
      <c r="S869"/>
      <c r="T869"/>
      <c r="U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</row>
    <row r="870" spans="1:35" s="1857" customFormat="1" hidden="1" outlineLevel="1">
      <c r="A870" s="8">
        <v>43599</v>
      </c>
      <c r="B870" s="1860">
        <v>2449.42643</v>
      </c>
      <c r="C870" s="1860">
        <v>3271.2047499999999</v>
      </c>
      <c r="D870" s="1860">
        <v>3698.8500100000001</v>
      </c>
      <c r="E870" s="1860">
        <v>4261.3312100000003</v>
      </c>
      <c r="F870">
        <v>30.10594</v>
      </c>
      <c r="G870" s="1861">
        <v>3299.01</v>
      </c>
      <c r="I870"/>
      <c r="J870"/>
      <c r="K870"/>
      <c r="L870"/>
      <c r="M870"/>
      <c r="N870"/>
      <c r="P870"/>
      <c r="Q870"/>
      <c r="R870"/>
      <c r="S870"/>
      <c r="T870"/>
      <c r="U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</row>
    <row r="871" spans="1:35" s="1857" customFormat="1" hidden="1" outlineLevel="1">
      <c r="A871" s="8">
        <v>43600</v>
      </c>
      <c r="B871" s="1860">
        <v>2442.30168</v>
      </c>
      <c r="C871" s="1860">
        <v>3257.29016</v>
      </c>
      <c r="D871" s="1860">
        <v>3681.4921399999998</v>
      </c>
      <c r="E871" s="1860">
        <v>4226.3326100000004</v>
      </c>
      <c r="F871">
        <v>30.005379999999999</v>
      </c>
      <c r="G871" s="1861">
        <v>3285.14</v>
      </c>
      <c r="I871"/>
      <c r="J871"/>
      <c r="K871"/>
      <c r="L871"/>
      <c r="M871"/>
      <c r="N871"/>
      <c r="P871"/>
      <c r="Q871"/>
      <c r="R871"/>
      <c r="S871"/>
      <c r="T871"/>
      <c r="U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</row>
    <row r="872" spans="1:35" s="1857" customFormat="1" hidden="1" outlineLevel="1">
      <c r="A872" s="8">
        <v>43601</v>
      </c>
      <c r="B872" s="1860">
        <v>2454.2076200000001</v>
      </c>
      <c r="C872" s="1860">
        <v>3264.1739299999999</v>
      </c>
      <c r="D872" s="1860">
        <v>3684.05062</v>
      </c>
      <c r="E872" s="1860">
        <v>4215.4516100000001</v>
      </c>
      <c r="F872">
        <v>29.975529999999999</v>
      </c>
      <c r="G872" s="1861">
        <v>3295.51</v>
      </c>
      <c r="I872"/>
      <c r="J872"/>
      <c r="K872"/>
      <c r="L872"/>
      <c r="M872"/>
      <c r="N872"/>
      <c r="P872"/>
      <c r="Q872"/>
      <c r="R872"/>
      <c r="S872"/>
      <c r="T872"/>
      <c r="U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</row>
    <row r="873" spans="1:35" s="1857" customFormat="1" hidden="1" outlineLevel="1">
      <c r="A873" s="8">
        <v>43602</v>
      </c>
      <c r="B873" s="1860">
        <v>2444.4799400000002</v>
      </c>
      <c r="C873" s="1860">
        <v>3253.02288</v>
      </c>
      <c r="D873" s="1860">
        <v>3671.7768000000001</v>
      </c>
      <c r="E873" s="1860">
        <v>4189.9943300000004</v>
      </c>
      <c r="F873">
        <v>29.918340000000001</v>
      </c>
      <c r="G873" s="1861">
        <v>3290.27</v>
      </c>
      <c r="I873"/>
      <c r="J873"/>
      <c r="K873"/>
      <c r="L873"/>
      <c r="M873"/>
      <c r="N873"/>
      <c r="P873"/>
      <c r="Q873"/>
      <c r="R873"/>
      <c r="S873"/>
      <c r="T873"/>
      <c r="U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</row>
    <row r="874" spans="1:35" s="1857" customFormat="1" hidden="1" outlineLevel="1">
      <c r="A874" s="8">
        <v>43603</v>
      </c>
      <c r="B874" s="1860">
        <v>2461.90193</v>
      </c>
      <c r="C874" s="1860">
        <v>3276.2074200000002</v>
      </c>
      <c r="D874" s="1860">
        <v>3697.9458300000001</v>
      </c>
      <c r="E874" s="1860">
        <v>4219.8567300000004</v>
      </c>
      <c r="F874">
        <v>30.13157</v>
      </c>
      <c r="G874" s="1861">
        <v>3313.72</v>
      </c>
      <c r="I874"/>
      <c r="J874"/>
      <c r="K874"/>
      <c r="L874"/>
      <c r="M874"/>
      <c r="N874"/>
      <c r="P874"/>
      <c r="Q874"/>
      <c r="R874"/>
      <c r="S874"/>
      <c r="T874"/>
      <c r="U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</row>
    <row r="875" spans="1:35" s="1857" customFormat="1" hidden="1" outlineLevel="1">
      <c r="A875" s="8">
        <v>43604</v>
      </c>
      <c r="B875" s="1860">
        <v>2461.90193</v>
      </c>
      <c r="C875" s="1860">
        <v>3276.2074200000002</v>
      </c>
      <c r="D875" s="1860">
        <v>3697.9458300000001</v>
      </c>
      <c r="E875" s="1860">
        <v>4219.8567300000004</v>
      </c>
      <c r="F875">
        <v>30.13157</v>
      </c>
      <c r="G875" s="1861">
        <v>3313.72</v>
      </c>
      <c r="I875"/>
      <c r="J875"/>
      <c r="K875"/>
      <c r="L875"/>
      <c r="M875"/>
      <c r="N875"/>
      <c r="P875"/>
      <c r="Q875"/>
      <c r="R875"/>
      <c r="S875"/>
      <c r="T875"/>
      <c r="U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</row>
    <row r="876" spans="1:35" s="1857" customFormat="1" hidden="1" outlineLevel="1">
      <c r="A876" s="8">
        <v>43605</v>
      </c>
      <c r="B876" s="1860">
        <v>2467.4013399999999</v>
      </c>
      <c r="C876" s="1860">
        <v>3285.62788</v>
      </c>
      <c r="D876" s="1860">
        <v>3699.76838</v>
      </c>
      <c r="E876" s="1860">
        <v>4220.0224200000002</v>
      </c>
      <c r="F876">
        <v>30.132940000000001</v>
      </c>
      <c r="G876" s="1861">
        <v>3313.72</v>
      </c>
      <c r="I876"/>
      <c r="J876"/>
      <c r="K876"/>
      <c r="L876"/>
      <c r="M876"/>
      <c r="N876"/>
      <c r="P876"/>
      <c r="Q876"/>
      <c r="R876"/>
      <c r="S876"/>
      <c r="T876"/>
      <c r="U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</row>
    <row r="877" spans="1:35" s="1857" customFormat="1" hidden="1" outlineLevel="1">
      <c r="A877" s="8">
        <v>43606</v>
      </c>
      <c r="B877" s="1860">
        <v>2491.95496</v>
      </c>
      <c r="C877" s="1860">
        <v>3310.9217800000001</v>
      </c>
      <c r="D877" s="1860">
        <v>3737.09211</v>
      </c>
      <c r="E877" s="1860">
        <v>4272.6812600000003</v>
      </c>
      <c r="F877">
        <v>30.221620000000001</v>
      </c>
      <c r="G877" s="1861">
        <v>3342.21</v>
      </c>
      <c r="I877"/>
      <c r="J877"/>
      <c r="K877"/>
      <c r="L877"/>
      <c r="M877"/>
      <c r="N877"/>
      <c r="P877"/>
      <c r="Q877"/>
      <c r="R877"/>
      <c r="S877"/>
      <c r="T877"/>
      <c r="U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</row>
    <row r="878" spans="1:35" s="1857" customFormat="1" hidden="1" outlineLevel="1">
      <c r="A878" s="8">
        <v>43607</v>
      </c>
      <c r="B878" s="1860">
        <v>2494.3690299999998</v>
      </c>
      <c r="C878" s="1860">
        <v>3313.96155</v>
      </c>
      <c r="D878" s="1860">
        <v>3730.3995300000001</v>
      </c>
      <c r="E878" s="1860">
        <v>4233.7392499999996</v>
      </c>
      <c r="F878">
        <v>30.31589</v>
      </c>
      <c r="G878" s="1861">
        <v>3344.45</v>
      </c>
      <c r="I878"/>
      <c r="J878"/>
      <c r="K878"/>
      <c r="L878"/>
      <c r="M878"/>
      <c r="N878"/>
      <c r="P878"/>
      <c r="Q878"/>
      <c r="R878"/>
      <c r="S878"/>
      <c r="T878"/>
      <c r="U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</row>
    <row r="879" spans="1:35" s="1857" customFormat="1" hidden="1" outlineLevel="1">
      <c r="A879" s="8">
        <v>43608</v>
      </c>
      <c r="B879" s="1860">
        <v>2480.11283</v>
      </c>
      <c r="C879" s="1860">
        <v>3319.21911</v>
      </c>
      <c r="D879" s="1860">
        <v>3725.1704</v>
      </c>
      <c r="E879" s="1860">
        <v>4232.6622200000002</v>
      </c>
      <c r="F879">
        <v>30.447089999999999</v>
      </c>
      <c r="G879" s="1861">
        <v>3340.96</v>
      </c>
      <c r="I879">
        <v>0.74233000000000005</v>
      </c>
      <c r="J879">
        <v>0.99348999999999998</v>
      </c>
      <c r="K879">
        <v>1.115</v>
      </c>
      <c r="L879">
        <v>1.2668999999999999</v>
      </c>
      <c r="M879">
        <v>9.11E-3</v>
      </c>
      <c r="N879">
        <v>1</v>
      </c>
      <c r="P879">
        <v>1.3471</v>
      </c>
      <c r="Q879">
        <v>1.0065500000000001</v>
      </c>
      <c r="R879">
        <v>0.89685999999999999</v>
      </c>
      <c r="S879">
        <v>0.78932000000000002</v>
      </c>
      <c r="T879">
        <v>109.73</v>
      </c>
      <c r="U879">
        <v>1</v>
      </c>
      <c r="W879"/>
      <c r="X879"/>
      <c r="Y879"/>
      <c r="Z879"/>
      <c r="AA879"/>
      <c r="AB879"/>
      <c r="AC879"/>
      <c r="AD879"/>
      <c r="AE879"/>
      <c r="AF879"/>
      <c r="AG879"/>
      <c r="AH879"/>
      <c r="AI879"/>
    </row>
    <row r="880" spans="1:35" s="1857" customFormat="1" hidden="1" outlineLevel="1">
      <c r="A880" s="8">
        <v>43609</v>
      </c>
      <c r="B880" s="1860">
        <v>2502.5145699999998</v>
      </c>
      <c r="C880" s="1860">
        <v>3362.0359199999998</v>
      </c>
      <c r="D880" s="1860">
        <v>3774.3587000000002</v>
      </c>
      <c r="E880" s="1860">
        <v>4275.6301899999999</v>
      </c>
      <c r="F880">
        <v>30.808540000000001</v>
      </c>
      <c r="G880" s="1861">
        <v>3368.76</v>
      </c>
      <c r="I880">
        <v>0.74285000000000001</v>
      </c>
      <c r="J880">
        <v>0.998</v>
      </c>
      <c r="K880">
        <v>1.1204000000000001</v>
      </c>
      <c r="L880">
        <v>1.2692000000000001</v>
      </c>
      <c r="M880">
        <v>9.1400000000000006E-3</v>
      </c>
      <c r="N880">
        <v>1</v>
      </c>
      <c r="P880">
        <v>1.34615</v>
      </c>
      <c r="Q880">
        <v>1.002</v>
      </c>
      <c r="R880">
        <v>0.89253000000000005</v>
      </c>
      <c r="S880">
        <v>0.78788999999999998</v>
      </c>
      <c r="T880">
        <v>109.345</v>
      </c>
      <c r="U880">
        <v>1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</row>
    <row r="881" spans="1:35" s="1857" customFormat="1" hidden="1" outlineLevel="1">
      <c r="A881" s="8">
        <v>43610</v>
      </c>
      <c r="B881" s="1860">
        <v>2495.1454100000001</v>
      </c>
      <c r="C881" s="1860">
        <v>3352.1357200000002</v>
      </c>
      <c r="D881" s="1860">
        <v>3763.24433</v>
      </c>
      <c r="E881" s="1860">
        <v>4263.0397199999998</v>
      </c>
      <c r="F881">
        <v>30.71781</v>
      </c>
      <c r="G881" s="1861">
        <v>3358.84</v>
      </c>
      <c r="I881">
        <v>0.74285000000000001</v>
      </c>
      <c r="J881">
        <v>0.998</v>
      </c>
      <c r="K881">
        <v>1.1204000000000001</v>
      </c>
      <c r="L881">
        <v>1.2692000000000001</v>
      </c>
      <c r="M881">
        <v>9.1400000000000006E-3</v>
      </c>
      <c r="N881">
        <v>1</v>
      </c>
      <c r="P881">
        <v>1.34615</v>
      </c>
      <c r="Q881">
        <v>1.002</v>
      </c>
      <c r="R881">
        <v>0.89253000000000005</v>
      </c>
      <c r="S881">
        <v>0.78788999999999998</v>
      </c>
      <c r="T881">
        <v>109.345</v>
      </c>
      <c r="U881">
        <v>1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</row>
    <row r="882" spans="1:35" s="1857" customFormat="1" hidden="1" outlineLevel="1">
      <c r="A882" s="8">
        <v>43611</v>
      </c>
      <c r="B882" s="1860">
        <v>2495.1454100000001</v>
      </c>
      <c r="C882" s="1860">
        <v>3352.1357200000002</v>
      </c>
      <c r="D882" s="1860">
        <v>3763.24433</v>
      </c>
      <c r="E882" s="1860">
        <v>4263.0397199999998</v>
      </c>
      <c r="F882">
        <v>30.71781</v>
      </c>
      <c r="G882" s="1861">
        <v>3358.84</v>
      </c>
      <c r="I882">
        <v>0.74285000000000001</v>
      </c>
      <c r="J882">
        <v>0.998</v>
      </c>
      <c r="K882">
        <v>1.1204000000000001</v>
      </c>
      <c r="L882">
        <v>1.2692000000000001</v>
      </c>
      <c r="M882">
        <v>9.1400000000000006E-3</v>
      </c>
      <c r="N882">
        <v>1</v>
      </c>
      <c r="P882">
        <v>1.34615</v>
      </c>
      <c r="Q882">
        <v>1.002</v>
      </c>
      <c r="R882">
        <v>0.89253000000000005</v>
      </c>
      <c r="S882">
        <v>0.78788999999999998</v>
      </c>
      <c r="T882">
        <v>109.345</v>
      </c>
      <c r="U882">
        <v>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</row>
    <row r="883" spans="1:35" s="1857" customFormat="1" hidden="1" outlineLevel="1">
      <c r="A883" s="8">
        <v>43612</v>
      </c>
      <c r="B883" s="1860">
        <v>2498.1146100000001</v>
      </c>
      <c r="C883" s="1860">
        <v>3344.29232</v>
      </c>
      <c r="D883" s="1860">
        <v>3759.2137200000002</v>
      </c>
      <c r="E883" s="1860">
        <v>4258.8411699999997</v>
      </c>
      <c r="F883">
        <v>30.664529999999999</v>
      </c>
      <c r="G883" s="1861">
        <v>3358.84</v>
      </c>
      <c r="I883">
        <v>0.74373999999999996</v>
      </c>
      <c r="J883">
        <v>0.99565999999999999</v>
      </c>
      <c r="K883">
        <v>1.1192</v>
      </c>
      <c r="L883">
        <v>1.2679499999999999</v>
      </c>
      <c r="M883">
        <v>9.1199999999999996E-3</v>
      </c>
      <c r="N883">
        <v>1</v>
      </c>
      <c r="P883">
        <v>1.3445499999999999</v>
      </c>
      <c r="Q883">
        <v>1.0043500000000001</v>
      </c>
      <c r="R883">
        <v>0.89349000000000001</v>
      </c>
      <c r="S883">
        <v>0.78866999999999998</v>
      </c>
      <c r="T883">
        <v>109.535</v>
      </c>
      <c r="U883">
        <v>1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</row>
    <row r="884" spans="1:35" hidden="1" outlineLevel="1">
      <c r="A884" s="8">
        <v>43613</v>
      </c>
      <c r="B884" s="1860">
        <v>2492.9231399999999</v>
      </c>
      <c r="C884" s="1860">
        <v>3329.5400399999999</v>
      </c>
      <c r="D884" s="1860">
        <v>3753.1678099999999</v>
      </c>
      <c r="E884" s="1860">
        <v>4257.1617500000002</v>
      </c>
      <c r="F884">
        <v>30.66733</v>
      </c>
      <c r="G884" s="1861">
        <v>3358.84</v>
      </c>
      <c r="I884">
        <v>0.74219000000000002</v>
      </c>
      <c r="J884">
        <v>0.99126999999999998</v>
      </c>
      <c r="K884">
        <v>1.1173999999999999</v>
      </c>
      <c r="L884">
        <v>1.26745</v>
      </c>
      <c r="M884">
        <v>9.1299999999999992E-3</v>
      </c>
      <c r="N884">
        <v>1</v>
      </c>
      <c r="P884">
        <v>1.34735</v>
      </c>
      <c r="Q884">
        <v>1.0087999999999999</v>
      </c>
      <c r="R884">
        <v>0.89493</v>
      </c>
      <c r="S884">
        <v>0.78898000000000001</v>
      </c>
      <c r="T884">
        <v>109.52500000000001</v>
      </c>
      <c r="U884">
        <v>1</v>
      </c>
    </row>
    <row r="885" spans="1:35" hidden="1" outlineLevel="1">
      <c r="A885" s="8">
        <v>43614</v>
      </c>
      <c r="B885" s="1860">
        <v>2485.75441</v>
      </c>
      <c r="C885" s="1860">
        <v>3336.9523100000001</v>
      </c>
      <c r="D885" s="1860">
        <v>3746.6433400000001</v>
      </c>
      <c r="E885" s="1860">
        <v>4247.3166099999999</v>
      </c>
      <c r="F885">
        <v>30.745480000000001</v>
      </c>
      <c r="G885" s="1861">
        <v>3362.48</v>
      </c>
      <c r="I885">
        <v>0.73926000000000003</v>
      </c>
      <c r="J885">
        <v>0.99239999999999995</v>
      </c>
      <c r="K885">
        <v>1.11425</v>
      </c>
      <c r="L885">
        <v>1.26315</v>
      </c>
      <c r="M885">
        <v>9.1400000000000006E-3</v>
      </c>
      <c r="N885">
        <v>1</v>
      </c>
      <c r="P885">
        <v>1.3527</v>
      </c>
      <c r="Q885">
        <v>1.0076499999999999</v>
      </c>
      <c r="R885">
        <v>0.89746000000000004</v>
      </c>
      <c r="S885">
        <v>0.79166999999999998</v>
      </c>
      <c r="T885">
        <v>109.36499999999999</v>
      </c>
      <c r="U885">
        <v>1</v>
      </c>
    </row>
    <row r="886" spans="1:35" hidden="1" outlineLevel="1">
      <c r="A886" s="8">
        <v>43615</v>
      </c>
      <c r="B886" s="1860">
        <v>2498.4566399999999</v>
      </c>
      <c r="C886" s="1860">
        <v>3346.6759200000001</v>
      </c>
      <c r="D886" s="1860">
        <v>3755.5164100000002</v>
      </c>
      <c r="E886" s="1860">
        <v>4250.1651599999996</v>
      </c>
      <c r="F886">
        <v>30.730550000000001</v>
      </c>
      <c r="G886" s="1861">
        <v>3375.29</v>
      </c>
      <c r="I886">
        <v>0.74021000000000003</v>
      </c>
      <c r="J886">
        <v>0.99151999999999996</v>
      </c>
      <c r="K886">
        <v>1.1126499999999999</v>
      </c>
      <c r="L886">
        <v>1.2592000000000001</v>
      </c>
      <c r="M886">
        <v>9.1000000000000004E-3</v>
      </c>
      <c r="N886">
        <v>1</v>
      </c>
      <c r="P886">
        <v>1.3509500000000001</v>
      </c>
      <c r="Q886">
        <v>1.0085500000000001</v>
      </c>
      <c r="R886">
        <v>0.89875000000000005</v>
      </c>
      <c r="S886">
        <v>0.79415000000000002</v>
      </c>
      <c r="T886">
        <v>109.83499999999999</v>
      </c>
      <c r="U886">
        <v>1</v>
      </c>
    </row>
    <row r="887" spans="1:35" ht="15.75" hidden="1" outlineLevel="1" thickBot="1">
      <c r="A887" s="1868">
        <v>43616</v>
      </c>
      <c r="B887" s="1869">
        <v>2483.7783800000002</v>
      </c>
      <c r="C887" s="1869">
        <v>3338.29099</v>
      </c>
      <c r="D887" s="1869">
        <v>3741.7867099999999</v>
      </c>
      <c r="E887" s="1869">
        <v>4232.19632</v>
      </c>
      <c r="F887" s="1870">
        <v>30.926269999999999</v>
      </c>
      <c r="G887" s="1871">
        <v>3357.82</v>
      </c>
      <c r="H887" s="1872"/>
      <c r="I887" s="1870">
        <v>0.73968999999999996</v>
      </c>
      <c r="J887" s="1870">
        <v>0.99417999999999995</v>
      </c>
      <c r="K887" s="1870">
        <v>1.11435</v>
      </c>
      <c r="L887" s="1870">
        <v>1.2604</v>
      </c>
      <c r="M887" s="1870">
        <v>9.2099999999999994E-3</v>
      </c>
      <c r="N887" s="1870">
        <v>1</v>
      </c>
      <c r="O887" s="1872"/>
      <c r="P887" s="1870">
        <v>1.3519000000000001</v>
      </c>
      <c r="Q887" s="1870">
        <v>1.0058499999999999</v>
      </c>
      <c r="R887" s="1870">
        <v>0.89737999999999996</v>
      </c>
      <c r="S887" s="1870">
        <v>0.79339000000000004</v>
      </c>
      <c r="T887" s="1870">
        <v>108.575</v>
      </c>
      <c r="U887" s="1870">
        <v>1</v>
      </c>
      <c r="V887" s="1872"/>
    </row>
    <row r="888" spans="1:35" hidden="1" outlineLevel="1">
      <c r="A888" s="8">
        <v>43617</v>
      </c>
      <c r="B888" s="1860">
        <v>2498.0841700000001</v>
      </c>
      <c r="C888" s="1860">
        <v>3357.5185099999999</v>
      </c>
      <c r="D888" s="1860">
        <v>3763.33824</v>
      </c>
      <c r="E888" s="1860">
        <v>4256.5724600000003</v>
      </c>
      <c r="F888">
        <v>31.104389999999999</v>
      </c>
      <c r="G888" s="1861">
        <v>3377.16</v>
      </c>
      <c r="I888">
        <v>0.73968999999999996</v>
      </c>
      <c r="J888">
        <v>0.99417999999999995</v>
      </c>
      <c r="K888">
        <v>1.11435</v>
      </c>
      <c r="L888">
        <v>1.2604</v>
      </c>
      <c r="M888">
        <v>9.2099999999999994E-3</v>
      </c>
      <c r="N888">
        <v>1</v>
      </c>
      <c r="P888">
        <v>1.3519000000000001</v>
      </c>
      <c r="Q888">
        <v>1.0058499999999999</v>
      </c>
      <c r="R888">
        <v>0.89737999999999996</v>
      </c>
      <c r="S888">
        <v>0.79339000000000004</v>
      </c>
      <c r="T888">
        <v>108.575</v>
      </c>
      <c r="U888">
        <v>1</v>
      </c>
    </row>
    <row r="889" spans="1:35" hidden="1" outlineLevel="1">
      <c r="A889" s="8">
        <v>43618</v>
      </c>
      <c r="B889" s="1860">
        <v>2498.0841700000001</v>
      </c>
      <c r="C889" s="1860">
        <v>3357.5185099999999</v>
      </c>
      <c r="D889" s="1860">
        <v>3763.33824</v>
      </c>
      <c r="E889" s="1860">
        <v>4256.5724600000003</v>
      </c>
      <c r="F889">
        <v>31.104389999999999</v>
      </c>
      <c r="G889" s="1861">
        <v>3377.16</v>
      </c>
      <c r="I889">
        <v>0.73968999999999996</v>
      </c>
      <c r="J889">
        <v>0.99417999999999995</v>
      </c>
      <c r="K889">
        <v>1.11435</v>
      </c>
      <c r="L889">
        <v>1.2604</v>
      </c>
      <c r="M889">
        <v>9.2099999999999994E-3</v>
      </c>
      <c r="N889">
        <v>1</v>
      </c>
      <c r="P889">
        <v>1.3519000000000001</v>
      </c>
      <c r="Q889">
        <v>1.0058499999999999</v>
      </c>
      <c r="R889">
        <v>0.89737999999999996</v>
      </c>
      <c r="S889">
        <v>0.79339000000000004</v>
      </c>
      <c r="T889">
        <v>108.575</v>
      </c>
      <c r="U889">
        <v>1</v>
      </c>
    </row>
    <row r="890" spans="1:35" hidden="1" outlineLevel="1">
      <c r="A890" s="8">
        <v>43619</v>
      </c>
      <c r="B890" s="1860">
        <v>2505.9622300000001</v>
      </c>
      <c r="C890" s="1860">
        <v>3380.2021800000002</v>
      </c>
      <c r="D890" s="1860">
        <v>3782.9257699999998</v>
      </c>
      <c r="E890" s="1860">
        <v>4265.3530799999999</v>
      </c>
      <c r="F890">
        <v>31.160360000000001</v>
      </c>
      <c r="G890" s="1861">
        <v>3377.16</v>
      </c>
      <c r="I890">
        <v>0.74202999999999997</v>
      </c>
      <c r="J890">
        <v>1.0008999999999999</v>
      </c>
      <c r="K890">
        <v>1.12015</v>
      </c>
      <c r="L890">
        <v>1.2629999999999999</v>
      </c>
      <c r="M890">
        <v>9.2200000000000008E-3</v>
      </c>
      <c r="N890">
        <v>1</v>
      </c>
      <c r="P890">
        <v>1.34765</v>
      </c>
      <c r="Q890">
        <v>0.99909999999999999</v>
      </c>
      <c r="R890">
        <v>0.89273000000000002</v>
      </c>
      <c r="S890">
        <v>0.79176000000000002</v>
      </c>
      <c r="T890">
        <v>108.38</v>
      </c>
      <c r="U890">
        <v>1</v>
      </c>
    </row>
    <row r="891" spans="1:35" hidden="1" outlineLevel="1">
      <c r="A891" s="8">
        <v>43620</v>
      </c>
      <c r="B891" s="1860">
        <v>2514.7324899999999</v>
      </c>
      <c r="C891" s="1860">
        <v>3395.8371000000002</v>
      </c>
      <c r="D891" s="1860">
        <v>3793.5638199999999</v>
      </c>
      <c r="E891" s="1860">
        <v>4280.2125800000003</v>
      </c>
      <c r="F891">
        <v>31.17906</v>
      </c>
      <c r="G891" s="1861">
        <v>3377.16</v>
      </c>
      <c r="I891">
        <v>0.74461999999999995</v>
      </c>
      <c r="J891">
        <v>1.00553</v>
      </c>
      <c r="K891">
        <v>1.1233</v>
      </c>
      <c r="L891">
        <v>1.2674000000000001</v>
      </c>
      <c r="M891">
        <v>9.2300000000000004E-3</v>
      </c>
      <c r="N891">
        <v>1</v>
      </c>
      <c r="P891">
        <v>1.3429500000000001</v>
      </c>
      <c r="Q891">
        <v>0.99450000000000005</v>
      </c>
      <c r="R891">
        <v>0.89022999999999997</v>
      </c>
      <c r="S891">
        <v>0.78900999999999999</v>
      </c>
      <c r="T891">
        <v>108.315</v>
      </c>
      <c r="U891">
        <v>1</v>
      </c>
    </row>
    <row r="892" spans="1:35" hidden="1" outlineLevel="1">
      <c r="A892" s="8">
        <v>43621</v>
      </c>
      <c r="B892" s="1860">
        <v>2467.3482300000001</v>
      </c>
      <c r="C892" s="1860">
        <v>3341.2864399999999</v>
      </c>
      <c r="D892" s="1860">
        <v>3723.6338900000001</v>
      </c>
      <c r="E892" s="1860">
        <v>4209.3396400000001</v>
      </c>
      <c r="F892">
        <v>30.613109999999999</v>
      </c>
      <c r="G892" s="1861">
        <v>3306.37</v>
      </c>
      <c r="I892">
        <v>0.74624000000000001</v>
      </c>
      <c r="J892">
        <v>1.0105599999999999</v>
      </c>
      <c r="K892">
        <v>1.1262000000000001</v>
      </c>
      <c r="L892">
        <v>1.2730999999999999</v>
      </c>
      <c r="M892">
        <v>9.2499999999999995E-3</v>
      </c>
      <c r="N892">
        <v>1</v>
      </c>
      <c r="P892">
        <v>1.34005</v>
      </c>
      <c r="Q892">
        <v>0.98955000000000004</v>
      </c>
      <c r="R892">
        <v>0.88793999999999995</v>
      </c>
      <c r="S892">
        <v>0.78547999999999996</v>
      </c>
      <c r="T892">
        <v>108.005</v>
      </c>
      <c r="U892">
        <v>1</v>
      </c>
    </row>
    <row r="893" spans="1:35" hidden="1" outlineLevel="1">
      <c r="A893" s="8">
        <v>43622</v>
      </c>
      <c r="B893" s="1860">
        <v>2463.1999700000001</v>
      </c>
      <c r="C893" s="1860">
        <v>3332.6964800000001</v>
      </c>
      <c r="D893" s="1860">
        <v>3719.6935699999999</v>
      </c>
      <c r="E893" s="1860">
        <v>4191.3108300000004</v>
      </c>
      <c r="F893">
        <v>30.47437</v>
      </c>
      <c r="G893" s="1861">
        <v>3296.87</v>
      </c>
      <c r="I893">
        <v>0.74712999999999996</v>
      </c>
      <c r="J893">
        <v>1.0108600000000001</v>
      </c>
      <c r="K893">
        <v>1.12825</v>
      </c>
      <c r="L893">
        <v>1.2713000000000001</v>
      </c>
      <c r="M893">
        <v>9.2399999999999999E-3</v>
      </c>
      <c r="N893">
        <v>1</v>
      </c>
      <c r="P893">
        <v>1.3384499999999999</v>
      </c>
      <c r="Q893">
        <v>0.98924999999999996</v>
      </c>
      <c r="R893">
        <v>0.88632</v>
      </c>
      <c r="S893">
        <v>0.78659000000000001</v>
      </c>
      <c r="T893">
        <v>108.185</v>
      </c>
      <c r="U893">
        <v>1</v>
      </c>
    </row>
    <row r="894" spans="1:35" hidden="1" outlineLevel="1">
      <c r="A894" s="8">
        <v>43623</v>
      </c>
      <c r="B894" s="1860">
        <v>2475.7706899999998</v>
      </c>
      <c r="C894" s="1860">
        <v>3331.4997699999999</v>
      </c>
      <c r="D894" s="1860">
        <v>3728.5522799999999</v>
      </c>
      <c r="E894" s="1860">
        <v>4195.3818300000003</v>
      </c>
      <c r="F894">
        <v>30.44378</v>
      </c>
      <c r="G894" s="1861">
        <v>3288.69</v>
      </c>
      <c r="I894">
        <v>0.75280999999999998</v>
      </c>
      <c r="J894">
        <v>1.01301</v>
      </c>
      <c r="K894">
        <v>1.13375</v>
      </c>
      <c r="L894">
        <v>1.2757000000000001</v>
      </c>
      <c r="M894">
        <v>9.2499999999999995E-3</v>
      </c>
      <c r="N894">
        <v>1</v>
      </c>
      <c r="P894">
        <v>1.3283499999999999</v>
      </c>
      <c r="Q894">
        <v>0.98714999999999997</v>
      </c>
      <c r="R894">
        <v>0.88202000000000003</v>
      </c>
      <c r="S894">
        <v>0.78388000000000002</v>
      </c>
      <c r="T894">
        <v>108.02500000000001</v>
      </c>
      <c r="U894">
        <v>1</v>
      </c>
    </row>
    <row r="895" spans="1:35" hidden="1" outlineLevel="1">
      <c r="A895" s="8">
        <v>43624</v>
      </c>
      <c r="B895" s="1860">
        <v>2465.2538800000002</v>
      </c>
      <c r="C895" s="1860">
        <v>3317.3479200000002</v>
      </c>
      <c r="D895" s="1860">
        <v>3712.7138</v>
      </c>
      <c r="E895" s="1860">
        <v>4177.5603000000001</v>
      </c>
      <c r="F895">
        <v>30.31446</v>
      </c>
      <c r="G895" s="1861">
        <v>3274.72</v>
      </c>
      <c r="I895">
        <v>0.75280999999999998</v>
      </c>
      <c r="J895">
        <v>1.01301</v>
      </c>
      <c r="K895">
        <v>1.13375</v>
      </c>
      <c r="L895">
        <v>1.2757000000000001</v>
      </c>
      <c r="M895">
        <v>9.2499999999999995E-3</v>
      </c>
      <c r="N895">
        <v>1</v>
      </c>
      <c r="P895">
        <v>1.3283499999999999</v>
      </c>
      <c r="Q895">
        <v>0.98714999999999997</v>
      </c>
      <c r="R895">
        <v>0.88202000000000003</v>
      </c>
      <c r="S895">
        <v>0.78388000000000002</v>
      </c>
      <c r="T895">
        <v>108.02500000000001</v>
      </c>
      <c r="U895">
        <v>1</v>
      </c>
    </row>
    <row r="896" spans="1:35" hidden="1" outlineLevel="1">
      <c r="A896" s="8">
        <v>43625</v>
      </c>
      <c r="B896" s="1860">
        <v>2465.2538800000002</v>
      </c>
      <c r="C896" s="1860">
        <v>3317.3479200000002</v>
      </c>
      <c r="D896" s="1860">
        <v>3712.7138</v>
      </c>
      <c r="E896" s="1860">
        <v>4177.5603000000001</v>
      </c>
      <c r="F896">
        <v>30.31446</v>
      </c>
      <c r="G896" s="1861">
        <v>3274.72</v>
      </c>
      <c r="I896">
        <v>0.75280999999999998</v>
      </c>
      <c r="J896">
        <v>1.01301</v>
      </c>
      <c r="K896">
        <v>1.13375</v>
      </c>
      <c r="L896">
        <v>1.2757000000000001</v>
      </c>
      <c r="M896">
        <v>9.2499999999999995E-3</v>
      </c>
      <c r="N896">
        <v>1</v>
      </c>
      <c r="P896">
        <v>1.3283499999999999</v>
      </c>
      <c r="Q896">
        <v>0.98714999999999997</v>
      </c>
      <c r="R896">
        <v>0.88202000000000003</v>
      </c>
      <c r="S896">
        <v>0.78388000000000002</v>
      </c>
      <c r="T896">
        <v>108.02500000000001</v>
      </c>
      <c r="U896">
        <v>1</v>
      </c>
    </row>
    <row r="897" spans="1:35" hidden="1" outlineLevel="1">
      <c r="A897" s="8">
        <v>43626</v>
      </c>
      <c r="B897" s="1860">
        <v>2468.0408400000001</v>
      </c>
      <c r="C897" s="1860">
        <v>3307.96504</v>
      </c>
      <c r="D897" s="1860">
        <v>3705.3456799999999</v>
      </c>
      <c r="E897" s="1860">
        <v>4155.6196799999998</v>
      </c>
      <c r="F897">
        <v>30.17896</v>
      </c>
      <c r="G897" s="1861">
        <v>3274.72</v>
      </c>
      <c r="I897">
        <v>0.75366</v>
      </c>
      <c r="J897">
        <v>1.0101500000000001</v>
      </c>
      <c r="K897">
        <v>1.1315</v>
      </c>
      <c r="L897">
        <v>1.2689999999999999</v>
      </c>
      <c r="M897">
        <v>9.2099999999999994E-3</v>
      </c>
      <c r="N897">
        <v>1</v>
      </c>
      <c r="P897">
        <v>1.3268500000000001</v>
      </c>
      <c r="Q897">
        <v>0.98995</v>
      </c>
      <c r="R897">
        <v>0.88378000000000001</v>
      </c>
      <c r="S897">
        <v>0.78802000000000005</v>
      </c>
      <c r="T897">
        <v>108.51</v>
      </c>
      <c r="U897">
        <v>1</v>
      </c>
    </row>
    <row r="898" spans="1:35" hidden="1" outlineLevel="1">
      <c r="A898" s="8">
        <v>43627</v>
      </c>
      <c r="B898" s="1860">
        <v>2452.3284199999998</v>
      </c>
      <c r="C898" s="1860">
        <v>3281.8378699999998</v>
      </c>
      <c r="D898" s="1860">
        <v>3685.2005300000001</v>
      </c>
      <c r="E898" s="1860">
        <v>4142.6546099999996</v>
      </c>
      <c r="F898">
        <v>29.998249999999999</v>
      </c>
      <c r="G898" s="1861">
        <v>3257.06</v>
      </c>
      <c r="I898">
        <v>0.75292000000000003</v>
      </c>
      <c r="J898">
        <v>1.0076000000000001</v>
      </c>
      <c r="K898">
        <v>1.1314500000000001</v>
      </c>
      <c r="L898">
        <v>1.2719</v>
      </c>
      <c r="M898">
        <v>9.2099999999999994E-3</v>
      </c>
      <c r="N898">
        <v>1</v>
      </c>
      <c r="P898">
        <v>1.3281499999999999</v>
      </c>
      <c r="Q898">
        <v>0.99245000000000005</v>
      </c>
      <c r="R898">
        <v>0.88382000000000005</v>
      </c>
      <c r="S898">
        <v>0.78622000000000003</v>
      </c>
      <c r="T898">
        <v>108.575</v>
      </c>
      <c r="U898">
        <v>1</v>
      </c>
    </row>
    <row r="899" spans="1:35" hidden="1" outlineLevel="1">
      <c r="A899" s="8">
        <v>43628</v>
      </c>
      <c r="B899" s="1860">
        <v>2447.3263999999999</v>
      </c>
      <c r="C899" s="1860">
        <v>3269.6684599999999</v>
      </c>
      <c r="D899" s="1860">
        <v>3678.6643899999999</v>
      </c>
      <c r="E899" s="1860">
        <v>4134.7401399999999</v>
      </c>
      <c r="F899">
        <v>29.959520000000001</v>
      </c>
      <c r="G899" s="1861">
        <v>3249.56</v>
      </c>
      <c r="I899">
        <v>0.75312000000000001</v>
      </c>
      <c r="J899">
        <v>1.0061800000000001</v>
      </c>
      <c r="K899">
        <v>1.13205</v>
      </c>
      <c r="L899">
        <v>1.2724</v>
      </c>
      <c r="M899">
        <v>9.2099999999999994E-3</v>
      </c>
      <c r="N899">
        <v>1</v>
      </c>
      <c r="P899">
        <v>1.3278000000000001</v>
      </c>
      <c r="Q899">
        <v>0.99385000000000001</v>
      </c>
      <c r="R899">
        <v>0.88334999999999997</v>
      </c>
      <c r="S899">
        <v>0.78591</v>
      </c>
      <c r="T899">
        <v>108.465</v>
      </c>
      <c r="U899">
        <v>1</v>
      </c>
    </row>
    <row r="900" spans="1:35" s="1857" customFormat="1" hidden="1" outlineLevel="1">
      <c r="A900" s="8">
        <v>43629</v>
      </c>
      <c r="B900" s="1860">
        <v>2450.15949</v>
      </c>
      <c r="C900" s="1860">
        <v>3282.0288500000001</v>
      </c>
      <c r="D900" s="1860">
        <v>3679.8737999999998</v>
      </c>
      <c r="E900" s="1860">
        <v>4140.6537399999997</v>
      </c>
      <c r="F900">
        <v>30.084499999999998</v>
      </c>
      <c r="G900" s="1861">
        <v>3264.47</v>
      </c>
      <c r="I900">
        <v>0.75055000000000005</v>
      </c>
      <c r="J900">
        <v>1.0053700000000001</v>
      </c>
      <c r="K900">
        <v>1.1272500000000001</v>
      </c>
      <c r="L900">
        <v>1.2684</v>
      </c>
      <c r="M900">
        <v>9.2099999999999994E-3</v>
      </c>
      <c r="N900">
        <v>1</v>
      </c>
      <c r="P900">
        <v>1.3323499999999999</v>
      </c>
      <c r="Q900">
        <v>0.99465000000000003</v>
      </c>
      <c r="R900">
        <v>0.88710999999999995</v>
      </c>
      <c r="S900">
        <v>0.78839000000000004</v>
      </c>
      <c r="T900">
        <v>108.51</v>
      </c>
      <c r="U900">
        <v>1</v>
      </c>
      <c r="W900"/>
      <c r="X900"/>
      <c r="Y900"/>
      <c r="Z900"/>
      <c r="AA900"/>
      <c r="AB900"/>
      <c r="AC900"/>
      <c r="AD900"/>
      <c r="AE900"/>
      <c r="AF900"/>
      <c r="AG900"/>
      <c r="AH900"/>
      <c r="AI900"/>
    </row>
    <row r="901" spans="1:35" s="1857" customFormat="1" hidden="1" outlineLevel="1">
      <c r="A901" s="8">
        <v>43630</v>
      </c>
      <c r="B901" s="1860">
        <v>2443.59501</v>
      </c>
      <c r="C901" s="1860">
        <v>3272.4467800000002</v>
      </c>
      <c r="D901" s="1860">
        <v>3666.8932</v>
      </c>
      <c r="E901" s="1860">
        <v>4118.6805700000004</v>
      </c>
      <c r="F901">
        <v>30.12884</v>
      </c>
      <c r="G901" s="1861">
        <v>3266.72</v>
      </c>
      <c r="I901">
        <v>0.74802000000000002</v>
      </c>
      <c r="J901">
        <v>1.0017499999999999</v>
      </c>
      <c r="K901">
        <v>1.1225000000000001</v>
      </c>
      <c r="L901">
        <v>1.2607999999999999</v>
      </c>
      <c r="M901">
        <v>9.2200000000000008E-3</v>
      </c>
      <c r="N901">
        <v>1</v>
      </c>
      <c r="P901">
        <v>1.3368500000000001</v>
      </c>
      <c r="Q901">
        <v>0.99824999999999997</v>
      </c>
      <c r="R901">
        <v>0.89085999999999999</v>
      </c>
      <c r="S901">
        <v>0.79313999999999996</v>
      </c>
      <c r="T901">
        <v>108.425</v>
      </c>
      <c r="U901">
        <v>1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</row>
    <row r="902" spans="1:35" s="1857" customFormat="1" hidden="1" outlineLevel="1">
      <c r="A902" s="8">
        <v>43631</v>
      </c>
      <c r="B902" s="1860">
        <v>2446.5721600000002</v>
      </c>
      <c r="C902" s="1860">
        <v>3276.4337500000001</v>
      </c>
      <c r="D902" s="1860">
        <v>3671.3607499999998</v>
      </c>
      <c r="E902" s="1860">
        <v>4123.6985599999998</v>
      </c>
      <c r="F902">
        <v>30.16555</v>
      </c>
      <c r="G902" s="1861">
        <v>3270.7</v>
      </c>
      <c r="I902">
        <v>0.74802000000000002</v>
      </c>
      <c r="J902">
        <v>1.0017499999999999</v>
      </c>
      <c r="K902">
        <v>1.1225000000000001</v>
      </c>
      <c r="L902">
        <v>1.2607999999999999</v>
      </c>
      <c r="M902">
        <v>9.2200000000000008E-3</v>
      </c>
      <c r="N902">
        <v>1</v>
      </c>
      <c r="P902">
        <v>1.3368500000000001</v>
      </c>
      <c r="Q902">
        <v>0.99824999999999997</v>
      </c>
      <c r="R902">
        <v>0.89085999999999999</v>
      </c>
      <c r="S902">
        <v>0.79313999999999996</v>
      </c>
      <c r="T902">
        <v>108.425</v>
      </c>
      <c r="U902">
        <v>1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</row>
    <row r="903" spans="1:35" s="1857" customFormat="1" hidden="1" outlineLevel="1">
      <c r="A903" s="8">
        <v>43632</v>
      </c>
      <c r="B903" s="1860">
        <v>2446.5721600000002</v>
      </c>
      <c r="C903" s="1860">
        <v>3276.4337500000001</v>
      </c>
      <c r="D903" s="1860">
        <v>3671.3607499999998</v>
      </c>
      <c r="E903" s="1860">
        <v>4123.6985599999998</v>
      </c>
      <c r="F903">
        <v>30.16555</v>
      </c>
      <c r="G903" s="1861">
        <v>3270.7</v>
      </c>
      <c r="I903">
        <v>0.74802000000000002</v>
      </c>
      <c r="J903">
        <v>1.0017499999999999</v>
      </c>
      <c r="K903">
        <v>1.1225000000000001</v>
      </c>
      <c r="L903">
        <v>1.2607999999999999</v>
      </c>
      <c r="M903">
        <v>9.2200000000000008E-3</v>
      </c>
      <c r="N903">
        <v>1</v>
      </c>
      <c r="P903">
        <v>1.3368500000000001</v>
      </c>
      <c r="Q903">
        <v>0.99824999999999997</v>
      </c>
      <c r="R903">
        <v>0.89085999999999999</v>
      </c>
      <c r="S903">
        <v>0.79313999999999996</v>
      </c>
      <c r="T903">
        <v>108.425</v>
      </c>
      <c r="U903">
        <v>1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</row>
    <row r="904" spans="1:35" s="1857" customFormat="1" hidden="1" outlineLevel="1">
      <c r="A904" s="8">
        <v>43633</v>
      </c>
      <c r="B904" s="1860">
        <v>2440.9119700000001</v>
      </c>
      <c r="C904" s="1860">
        <v>3272.3361599999998</v>
      </c>
      <c r="D904" s="1860">
        <v>3671.6878200000001</v>
      </c>
      <c r="E904" s="1860">
        <v>4106.8544499999998</v>
      </c>
      <c r="F904">
        <v>30.096150000000002</v>
      </c>
      <c r="G904" s="1861">
        <v>3270.7</v>
      </c>
      <c r="I904">
        <v>0.74629000000000001</v>
      </c>
      <c r="J904">
        <v>1.0004999999999999</v>
      </c>
      <c r="K904">
        <v>1.1226</v>
      </c>
      <c r="L904">
        <v>1.2556499999999999</v>
      </c>
      <c r="M904">
        <v>9.1999999999999998E-3</v>
      </c>
      <c r="N904">
        <v>1</v>
      </c>
      <c r="P904">
        <v>1.33995</v>
      </c>
      <c r="Q904">
        <v>0.99950000000000006</v>
      </c>
      <c r="R904">
        <v>0.89078000000000002</v>
      </c>
      <c r="S904">
        <v>0.7964</v>
      </c>
      <c r="T904">
        <v>108.675</v>
      </c>
      <c r="U904">
        <v>1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</row>
    <row r="905" spans="1:35" s="1857" customFormat="1" hidden="1" outlineLevel="1">
      <c r="A905" s="8">
        <v>43634</v>
      </c>
      <c r="B905" s="1860">
        <v>2452.25144</v>
      </c>
      <c r="C905" s="1860">
        <v>3284.00279</v>
      </c>
      <c r="D905" s="1860">
        <v>3676.2599799999998</v>
      </c>
      <c r="E905" s="1860">
        <v>4122.0913399999999</v>
      </c>
      <c r="F905">
        <v>30.288720000000001</v>
      </c>
      <c r="G905" s="1861">
        <v>3286.63</v>
      </c>
      <c r="I905">
        <v>0.74612000000000001</v>
      </c>
      <c r="J905">
        <v>0.99919999999999998</v>
      </c>
      <c r="K905">
        <v>1.1185499999999999</v>
      </c>
      <c r="L905">
        <v>1.2542</v>
      </c>
      <c r="M905">
        <v>9.2099999999999994E-3</v>
      </c>
      <c r="N905">
        <v>1</v>
      </c>
      <c r="P905">
        <v>1.3402499999999999</v>
      </c>
      <c r="Q905">
        <v>1.0007999999999999</v>
      </c>
      <c r="R905">
        <v>0.89400999999999997</v>
      </c>
      <c r="S905">
        <v>0.79732000000000003</v>
      </c>
      <c r="T905">
        <v>108.51</v>
      </c>
      <c r="U905">
        <v>1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</row>
    <row r="906" spans="1:35" s="1857" customFormat="1" hidden="1" outlineLevel="1">
      <c r="A906" s="8">
        <v>43635</v>
      </c>
      <c r="B906" s="1860">
        <v>2443.8472999999999</v>
      </c>
      <c r="C906" s="1860">
        <v>3279.9035600000002</v>
      </c>
      <c r="D906" s="1860">
        <v>3661.8383100000001</v>
      </c>
      <c r="E906" s="1860">
        <v>4124.1594800000003</v>
      </c>
      <c r="F906">
        <v>30.11835</v>
      </c>
      <c r="G906" s="1861">
        <v>3264.98</v>
      </c>
      <c r="I906">
        <v>0.74850000000000005</v>
      </c>
      <c r="J906">
        <v>1.00457</v>
      </c>
      <c r="K906">
        <v>1.12155</v>
      </c>
      <c r="L906">
        <v>1.26315</v>
      </c>
      <c r="M906">
        <v>9.2200000000000008E-3</v>
      </c>
      <c r="N906">
        <v>1</v>
      </c>
      <c r="P906">
        <v>1.3360000000000001</v>
      </c>
      <c r="Q906">
        <v>0.99544999999999995</v>
      </c>
      <c r="R906">
        <v>0.89161999999999997</v>
      </c>
      <c r="S906">
        <v>0.79166999999999998</v>
      </c>
      <c r="T906">
        <v>108.405</v>
      </c>
      <c r="U906">
        <v>1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</row>
    <row r="907" spans="1:35" s="1857" customFormat="1" hidden="1" outlineLevel="1">
      <c r="A907" s="8">
        <v>43636</v>
      </c>
      <c r="B907" s="1860">
        <v>2458.5947200000001</v>
      </c>
      <c r="C907" s="1860">
        <v>3308.1254399999998</v>
      </c>
      <c r="D907" s="1860">
        <v>3668.3442799999998</v>
      </c>
      <c r="E907" s="1860">
        <v>4126.2781400000003</v>
      </c>
      <c r="F907">
        <v>30.211169999999999</v>
      </c>
      <c r="G907" s="1861">
        <v>3248.91</v>
      </c>
      <c r="I907">
        <v>0.75673999999999997</v>
      </c>
      <c r="J907">
        <v>1.0182199999999999</v>
      </c>
      <c r="K907">
        <v>1.1291</v>
      </c>
      <c r="L907">
        <v>1.2700499999999999</v>
      </c>
      <c r="M907">
        <v>9.2899999999999996E-3</v>
      </c>
      <c r="N907">
        <v>1</v>
      </c>
      <c r="P907">
        <v>1.32145</v>
      </c>
      <c r="Q907">
        <v>0.98209999999999997</v>
      </c>
      <c r="R907">
        <v>0.88566</v>
      </c>
      <c r="S907">
        <v>0.78737000000000001</v>
      </c>
      <c r="T907">
        <v>107.54</v>
      </c>
      <c r="U907">
        <v>1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</row>
    <row r="908" spans="1:35" s="1857" customFormat="1" hidden="1" outlineLevel="1">
      <c r="A908" s="8">
        <v>43637</v>
      </c>
      <c r="B908" s="1860">
        <v>2422.5534299999999</v>
      </c>
      <c r="C908" s="1860">
        <v>3262.69614</v>
      </c>
      <c r="D908" s="1860">
        <v>3624.8354199999999</v>
      </c>
      <c r="E908" s="1860">
        <v>4065.1117899999999</v>
      </c>
      <c r="F908">
        <v>29.730820000000001</v>
      </c>
      <c r="G908" s="1861">
        <v>3202.01</v>
      </c>
      <c r="I908">
        <v>0.75656999999999996</v>
      </c>
      <c r="J908">
        <v>1.01895</v>
      </c>
      <c r="K908">
        <v>1.13205</v>
      </c>
      <c r="L908">
        <v>1.26955</v>
      </c>
      <c r="M908">
        <v>9.2800000000000001E-3</v>
      </c>
      <c r="N908">
        <v>1</v>
      </c>
      <c r="P908">
        <v>1.32175</v>
      </c>
      <c r="Q908">
        <v>0.98140000000000005</v>
      </c>
      <c r="R908">
        <v>0.88334999999999997</v>
      </c>
      <c r="S908">
        <v>0.78768000000000005</v>
      </c>
      <c r="T908">
        <v>107.7</v>
      </c>
      <c r="U908">
        <v>1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</row>
    <row r="909" spans="1:35" s="1857" customFormat="1" hidden="1" outlineLevel="1">
      <c r="A909" s="8">
        <v>43638</v>
      </c>
      <c r="B909" s="1860">
        <v>2414.3521799999999</v>
      </c>
      <c r="C909" s="1860">
        <v>3251.6507000000001</v>
      </c>
      <c r="D909" s="1860">
        <v>3612.5639900000001</v>
      </c>
      <c r="E909" s="1860">
        <v>4051.34987</v>
      </c>
      <c r="F909">
        <v>29.63017</v>
      </c>
      <c r="G909" s="1861">
        <v>3191.17</v>
      </c>
      <c r="I909">
        <v>0.75656999999999996</v>
      </c>
      <c r="J909">
        <v>1.01895</v>
      </c>
      <c r="K909">
        <v>1.13205</v>
      </c>
      <c r="L909">
        <v>1.26955</v>
      </c>
      <c r="M909">
        <v>9.2800000000000001E-3</v>
      </c>
      <c r="N909">
        <v>1</v>
      </c>
      <c r="P909">
        <v>1.32175</v>
      </c>
      <c r="Q909">
        <v>0.98140000000000005</v>
      </c>
      <c r="R909">
        <v>0.88334999999999997</v>
      </c>
      <c r="S909">
        <v>0.78768000000000005</v>
      </c>
      <c r="T909">
        <v>107.7</v>
      </c>
      <c r="U909">
        <v>1</v>
      </c>
      <c r="W909"/>
      <c r="X909"/>
      <c r="Y909"/>
      <c r="Z909"/>
      <c r="AA909"/>
      <c r="AB909"/>
      <c r="AC909"/>
      <c r="AD909"/>
      <c r="AE909"/>
      <c r="AF909"/>
      <c r="AG909"/>
      <c r="AH909"/>
      <c r="AI909"/>
    </row>
    <row r="910" spans="1:35" s="1857" customFormat="1" hidden="1" outlineLevel="1">
      <c r="A910" s="8">
        <v>43639</v>
      </c>
      <c r="B910" s="1860">
        <v>2414.3521799999999</v>
      </c>
      <c r="C910" s="1860">
        <v>3251.6507000000001</v>
      </c>
      <c r="D910" s="1860">
        <v>3612.5639900000001</v>
      </c>
      <c r="E910" s="1860">
        <v>4051.34987</v>
      </c>
      <c r="F910">
        <v>29.63017</v>
      </c>
      <c r="G910" s="1861">
        <v>3191.17</v>
      </c>
      <c r="I910">
        <v>0.75656999999999996</v>
      </c>
      <c r="J910">
        <v>1.01895</v>
      </c>
      <c r="K910">
        <v>1.13205</v>
      </c>
      <c r="L910">
        <v>1.26955</v>
      </c>
      <c r="M910">
        <v>9.2800000000000001E-3</v>
      </c>
      <c r="N910">
        <v>1</v>
      </c>
      <c r="P910">
        <v>1.32175</v>
      </c>
      <c r="Q910">
        <v>0.98140000000000005</v>
      </c>
      <c r="R910">
        <v>0.88334999999999997</v>
      </c>
      <c r="S910">
        <v>0.78768000000000005</v>
      </c>
      <c r="T910">
        <v>107.7</v>
      </c>
      <c r="U910">
        <v>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</row>
    <row r="911" spans="1:35" s="1857" customFormat="1" hidden="1" outlineLevel="1">
      <c r="A911" s="8">
        <v>43640</v>
      </c>
      <c r="B911" s="1860">
        <v>2416.5461300000002</v>
      </c>
      <c r="C911" s="1860">
        <v>3283.0967000000001</v>
      </c>
      <c r="D911" s="1860">
        <v>3634.5830700000001</v>
      </c>
      <c r="E911" s="1860">
        <v>4060.7638200000001</v>
      </c>
      <c r="F911">
        <v>29.721240000000002</v>
      </c>
      <c r="G911" s="1861">
        <v>3191.17</v>
      </c>
      <c r="I911">
        <v>0.75726000000000004</v>
      </c>
      <c r="J911">
        <v>1.0287999999999999</v>
      </c>
      <c r="K911">
        <v>1.1389499999999999</v>
      </c>
      <c r="L911">
        <v>1.2725</v>
      </c>
      <c r="M911">
        <v>9.3100000000000006E-3</v>
      </c>
      <c r="N911">
        <v>1</v>
      </c>
      <c r="P911">
        <v>1.3205499999999999</v>
      </c>
      <c r="Q911">
        <v>0.97199999999999998</v>
      </c>
      <c r="R911">
        <v>0.878</v>
      </c>
      <c r="S911">
        <v>0.78585000000000005</v>
      </c>
      <c r="T911">
        <v>107.37</v>
      </c>
      <c r="U911">
        <v>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</row>
    <row r="912" spans="1:35" s="1857" customFormat="1" hidden="1" outlineLevel="1">
      <c r="A912" s="8">
        <v>43641</v>
      </c>
      <c r="B912" s="1860">
        <v>2421.5890100000001</v>
      </c>
      <c r="C912" s="1860">
        <v>3280.5654</v>
      </c>
      <c r="D912" s="1860">
        <v>3632.3492500000002</v>
      </c>
      <c r="E912" s="1860">
        <v>4059.4873499999999</v>
      </c>
      <c r="F912">
        <v>29.836559999999999</v>
      </c>
      <c r="G912" s="1861">
        <v>3191.17</v>
      </c>
      <c r="I912">
        <v>0.75883999999999996</v>
      </c>
      <c r="J912">
        <v>1.0280100000000001</v>
      </c>
      <c r="K912">
        <v>1.13825</v>
      </c>
      <c r="L912">
        <v>1.2721</v>
      </c>
      <c r="M912">
        <v>9.3399999999999993E-3</v>
      </c>
      <c r="N912">
        <v>1</v>
      </c>
      <c r="P912">
        <v>1.3178000000000001</v>
      </c>
      <c r="Q912">
        <v>0.97275</v>
      </c>
      <c r="R912">
        <v>0.87853999999999999</v>
      </c>
      <c r="S912">
        <v>0.78610000000000002</v>
      </c>
      <c r="T912">
        <v>106.955</v>
      </c>
      <c r="U912">
        <v>1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</row>
    <row r="913" spans="1:35" s="1857" customFormat="1" hidden="1" outlineLevel="1">
      <c r="A913" s="8">
        <v>43642</v>
      </c>
      <c r="B913" s="1860">
        <v>2425.4404300000001</v>
      </c>
      <c r="C913" s="1860">
        <v>3267.69877</v>
      </c>
      <c r="D913" s="1860">
        <v>3625.8611900000001</v>
      </c>
      <c r="E913" s="1860">
        <v>4040.5094100000001</v>
      </c>
      <c r="F913">
        <v>29.60934</v>
      </c>
      <c r="G913" s="1861">
        <v>3187.15</v>
      </c>
      <c r="I913">
        <v>0.76100000000000001</v>
      </c>
      <c r="J913">
        <v>1.0252699999999999</v>
      </c>
      <c r="K913">
        <v>1.1376500000000001</v>
      </c>
      <c r="L913">
        <v>1.2677499999999999</v>
      </c>
      <c r="M913">
        <v>9.2899999999999996E-3</v>
      </c>
      <c r="N913">
        <v>1</v>
      </c>
      <c r="P913">
        <v>1.3140499999999999</v>
      </c>
      <c r="Q913">
        <v>0.97535000000000005</v>
      </c>
      <c r="R913">
        <v>0.879</v>
      </c>
      <c r="S913">
        <v>0.78878999999999999</v>
      </c>
      <c r="T913">
        <v>107.64</v>
      </c>
      <c r="U913">
        <v>1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</row>
    <row r="914" spans="1:35" s="1857" customFormat="1" hidden="1" outlineLevel="1">
      <c r="A914" s="8">
        <v>43643</v>
      </c>
      <c r="B914" s="1860">
        <v>2422.9490599999999</v>
      </c>
      <c r="C914" s="1860">
        <v>3251.2558100000001</v>
      </c>
      <c r="D914" s="1860">
        <v>3612.8410800000001</v>
      </c>
      <c r="E914" s="1860">
        <v>4028.5156400000001</v>
      </c>
      <c r="F914">
        <v>29.486799999999999</v>
      </c>
      <c r="G914" s="1861">
        <v>3177.94</v>
      </c>
      <c r="I914">
        <v>0.76241999999999999</v>
      </c>
      <c r="J914">
        <v>1.0230699999999999</v>
      </c>
      <c r="K914">
        <v>1.1368499999999999</v>
      </c>
      <c r="L914">
        <v>1.2676499999999999</v>
      </c>
      <c r="M914">
        <v>9.2700000000000005E-3</v>
      </c>
      <c r="N914">
        <v>1</v>
      </c>
      <c r="P914">
        <v>1.3116000000000001</v>
      </c>
      <c r="Q914">
        <v>0.97745000000000004</v>
      </c>
      <c r="R914">
        <v>0.87961999999999996</v>
      </c>
      <c r="S914">
        <v>0.78886000000000001</v>
      </c>
      <c r="T914">
        <v>107.77500000000001</v>
      </c>
      <c r="U914">
        <v>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</row>
    <row r="915" spans="1:35" s="1857" customFormat="1" hidden="1" outlineLevel="1">
      <c r="A915" s="8">
        <v>43644</v>
      </c>
      <c r="B915" s="1860">
        <v>2446.7036499999999</v>
      </c>
      <c r="C915" s="1860">
        <v>3279.2102500000001</v>
      </c>
      <c r="D915" s="1860">
        <v>3641.0055200000002</v>
      </c>
      <c r="E915" s="1860">
        <v>4069.1146199999998</v>
      </c>
      <c r="F915">
        <v>29.675419999999999</v>
      </c>
      <c r="G915" s="1861">
        <v>3197.23</v>
      </c>
      <c r="I915">
        <v>0.76524999999999999</v>
      </c>
      <c r="J915">
        <v>1.0256400000000001</v>
      </c>
      <c r="K915">
        <v>1.1388</v>
      </c>
      <c r="L915">
        <v>1.2726999999999999</v>
      </c>
      <c r="M915">
        <v>9.2800000000000001E-3</v>
      </c>
      <c r="N915">
        <v>1</v>
      </c>
      <c r="P915">
        <v>1.3067500000000001</v>
      </c>
      <c r="Q915">
        <v>0.97499999999999998</v>
      </c>
      <c r="R915">
        <v>0.87810999999999995</v>
      </c>
      <c r="S915">
        <v>0.78573000000000004</v>
      </c>
      <c r="T915">
        <v>107.74</v>
      </c>
      <c r="U915">
        <v>1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</row>
    <row r="916" spans="1:35" hidden="1" outlineLevel="1">
      <c r="A916" s="8">
        <v>43645</v>
      </c>
      <c r="B916" s="1860">
        <v>2453.1624200000001</v>
      </c>
      <c r="C916" s="1860">
        <v>3287.8666600000001</v>
      </c>
      <c r="D916" s="1860">
        <v>3650.61699</v>
      </c>
      <c r="E916" s="1860">
        <v>4079.8562000000002</v>
      </c>
      <c r="F916">
        <v>29.75375</v>
      </c>
      <c r="G916" s="1861">
        <v>3205.67</v>
      </c>
      <c r="I916">
        <v>0.76524999999999999</v>
      </c>
      <c r="J916">
        <v>1.0256400000000001</v>
      </c>
      <c r="K916">
        <v>1.1388</v>
      </c>
      <c r="L916">
        <v>1.2726999999999999</v>
      </c>
      <c r="M916">
        <v>9.2800000000000001E-3</v>
      </c>
      <c r="N916">
        <v>1</v>
      </c>
      <c r="P916">
        <v>1.3067500000000001</v>
      </c>
      <c r="Q916">
        <v>0.97499999999999998</v>
      </c>
      <c r="R916">
        <v>0.87810999999999995</v>
      </c>
      <c r="S916">
        <v>0.78573000000000004</v>
      </c>
      <c r="T916">
        <v>107.74</v>
      </c>
      <c r="U916">
        <v>1</v>
      </c>
    </row>
    <row r="917" spans="1:35" ht="15.75" hidden="1" outlineLevel="1" thickBot="1">
      <c r="A917" s="1868">
        <v>43646</v>
      </c>
      <c r="B917" s="1869">
        <v>2453.1624200000001</v>
      </c>
      <c r="C917" s="1869">
        <v>3287.8666600000001</v>
      </c>
      <c r="D917" s="1869">
        <v>3650.61699</v>
      </c>
      <c r="E917" s="1869">
        <v>4079.8562000000002</v>
      </c>
      <c r="F917" s="1870">
        <v>29.75375</v>
      </c>
      <c r="G917" s="1871">
        <v>3205.67</v>
      </c>
      <c r="H917" s="1872"/>
      <c r="I917" s="1870">
        <v>0.76524999999999999</v>
      </c>
      <c r="J917" s="1870">
        <v>1.0256400000000001</v>
      </c>
      <c r="K917" s="1870">
        <v>1.1388</v>
      </c>
      <c r="L917" s="1870">
        <v>1.2726999999999999</v>
      </c>
      <c r="M917" s="1870">
        <v>9.2800000000000001E-3</v>
      </c>
      <c r="N917" s="1870">
        <v>1</v>
      </c>
      <c r="O917" s="1872"/>
      <c r="P917" s="1870">
        <v>1.3067500000000001</v>
      </c>
      <c r="Q917" s="1870">
        <v>0.97499999999999998</v>
      </c>
      <c r="R917" s="1870">
        <v>0.87810999999999995</v>
      </c>
      <c r="S917" s="1870">
        <v>0.78573000000000004</v>
      </c>
      <c r="T917" s="1870">
        <v>107.74</v>
      </c>
      <c r="U917" s="1870">
        <v>1</v>
      </c>
      <c r="V917" s="1872"/>
    </row>
    <row r="918" spans="1:35" hidden="1" outlineLevel="1">
      <c r="A918" s="8">
        <v>43647</v>
      </c>
      <c r="B918" s="1860">
        <v>2446.6094199999998</v>
      </c>
      <c r="C918" s="1860">
        <v>3255.9748100000002</v>
      </c>
      <c r="D918" s="1860">
        <v>3630.2609900000002</v>
      </c>
      <c r="E918" s="1860">
        <v>4055.6534000000001</v>
      </c>
      <c r="F918">
        <v>29.593070000000001</v>
      </c>
      <c r="G918" s="1861">
        <v>3205.67</v>
      </c>
      <c r="I918">
        <v>0.76321000000000006</v>
      </c>
      <c r="J918">
        <v>1.01569</v>
      </c>
      <c r="K918">
        <v>1.13245</v>
      </c>
      <c r="L918">
        <v>1.26515</v>
      </c>
      <c r="M918">
        <v>9.2300000000000004E-3</v>
      </c>
      <c r="N918">
        <v>1</v>
      </c>
      <c r="P918">
        <v>1.3102499999999999</v>
      </c>
      <c r="Q918">
        <v>0.98455000000000004</v>
      </c>
      <c r="R918">
        <v>0.88304000000000005</v>
      </c>
      <c r="S918">
        <v>0.79042000000000001</v>
      </c>
      <c r="T918">
        <v>108.325</v>
      </c>
      <c r="U918">
        <v>1</v>
      </c>
    </row>
    <row r="919" spans="1:35" hidden="1" outlineLevel="1">
      <c r="A919" s="8">
        <v>43648</v>
      </c>
      <c r="B919" s="1860">
        <v>2443.5322799999999</v>
      </c>
      <c r="C919" s="1860">
        <v>3246.2480999999998</v>
      </c>
      <c r="D919" s="1860">
        <v>3620.8042599999999</v>
      </c>
      <c r="E919" s="1860">
        <v>4037.0605099999998</v>
      </c>
      <c r="F919">
        <v>29.649180000000001</v>
      </c>
      <c r="G919" s="1861">
        <v>3205.67</v>
      </c>
      <c r="I919">
        <v>0.76224999999999998</v>
      </c>
      <c r="J919">
        <v>1.0126500000000001</v>
      </c>
      <c r="K919">
        <v>1.1294999999999999</v>
      </c>
      <c r="L919">
        <v>1.25935</v>
      </c>
      <c r="M919">
        <v>9.2399999999999999E-3</v>
      </c>
      <c r="N919">
        <v>1</v>
      </c>
      <c r="P919">
        <v>1.3119000000000001</v>
      </c>
      <c r="Q919">
        <v>0.98750000000000004</v>
      </c>
      <c r="R919">
        <v>0.88534000000000002</v>
      </c>
      <c r="S919">
        <v>0.79405999999999999</v>
      </c>
      <c r="T919">
        <v>108.12</v>
      </c>
      <c r="U919">
        <v>1</v>
      </c>
    </row>
    <row r="920" spans="1:35" hidden="1" outlineLevel="1">
      <c r="A920" s="8">
        <v>43649</v>
      </c>
      <c r="B920" s="1860">
        <v>2454.4697099999998</v>
      </c>
      <c r="C920" s="1860">
        <v>3256.4879999999998</v>
      </c>
      <c r="D920" s="1860">
        <v>3622.5573300000001</v>
      </c>
      <c r="E920" s="1860">
        <v>4034.05467</v>
      </c>
      <c r="F920">
        <v>29.795490000000001</v>
      </c>
      <c r="G920" s="1861">
        <v>3211.06</v>
      </c>
      <c r="I920">
        <v>0.76436999999999999</v>
      </c>
      <c r="J920">
        <v>1.01414</v>
      </c>
      <c r="K920">
        <v>1.12815</v>
      </c>
      <c r="L920">
        <v>1.2563</v>
      </c>
      <c r="M920">
        <v>9.2700000000000005E-3</v>
      </c>
      <c r="N920">
        <v>1</v>
      </c>
      <c r="P920">
        <v>1.3082499999999999</v>
      </c>
      <c r="Q920">
        <v>0.98604999999999998</v>
      </c>
      <c r="R920">
        <v>0.88639999999999997</v>
      </c>
      <c r="S920">
        <v>0.79598000000000002</v>
      </c>
      <c r="T920">
        <v>107.77</v>
      </c>
      <c r="U920">
        <v>1</v>
      </c>
    </row>
    <row r="921" spans="1:35" hidden="1" outlineLevel="1">
      <c r="A921" s="8">
        <v>43650</v>
      </c>
      <c r="B921" s="1860">
        <v>2456.3746999999998</v>
      </c>
      <c r="C921" s="1860">
        <v>3253.7743500000001</v>
      </c>
      <c r="D921" s="1860">
        <v>3618.0471400000001</v>
      </c>
      <c r="E921" s="1860">
        <v>4032.3811999999998</v>
      </c>
      <c r="F921">
        <v>29.74465</v>
      </c>
      <c r="G921" s="1861">
        <v>3206.92</v>
      </c>
      <c r="I921">
        <v>0.76595999999999997</v>
      </c>
      <c r="J921">
        <v>1.01461</v>
      </c>
      <c r="K921">
        <v>1.1282000000000001</v>
      </c>
      <c r="L921">
        <v>1.2574000000000001</v>
      </c>
      <c r="M921">
        <v>9.2700000000000005E-3</v>
      </c>
      <c r="N921">
        <v>1</v>
      </c>
      <c r="P921">
        <v>1.30555</v>
      </c>
      <c r="Q921">
        <v>0.98560000000000003</v>
      </c>
      <c r="R921">
        <v>0.88636000000000004</v>
      </c>
      <c r="S921">
        <v>0.79529000000000005</v>
      </c>
      <c r="T921">
        <v>107.815</v>
      </c>
      <c r="U921">
        <v>1</v>
      </c>
    </row>
    <row r="922" spans="1:35" hidden="1" outlineLevel="1">
      <c r="A922" s="8">
        <v>43651</v>
      </c>
      <c r="B922" s="1860">
        <v>2446.81646</v>
      </c>
      <c r="C922" s="1860">
        <v>3233.9232499999998</v>
      </c>
      <c r="D922" s="1860">
        <v>3598.9659700000002</v>
      </c>
      <c r="E922" s="1860">
        <v>4011.2155299999999</v>
      </c>
      <c r="F922">
        <v>29.566400000000002</v>
      </c>
      <c r="G922" s="1861">
        <v>3206.92</v>
      </c>
      <c r="I922">
        <v>0.76297999999999999</v>
      </c>
      <c r="J922">
        <v>1.0084200000000001</v>
      </c>
      <c r="K922">
        <v>1.12225</v>
      </c>
      <c r="L922">
        <v>1.2507999999999999</v>
      </c>
      <c r="M922">
        <v>9.2099999999999994E-3</v>
      </c>
      <c r="N922">
        <v>1</v>
      </c>
      <c r="P922">
        <v>1.3106500000000001</v>
      </c>
      <c r="Q922">
        <v>0.99165000000000003</v>
      </c>
      <c r="R922">
        <v>0.89105999999999996</v>
      </c>
      <c r="S922">
        <v>0.79947999999999997</v>
      </c>
      <c r="T922">
        <v>108.465</v>
      </c>
      <c r="U922">
        <v>1</v>
      </c>
    </row>
    <row r="923" spans="1:35" hidden="1" outlineLevel="1">
      <c r="A923" s="8">
        <v>43652</v>
      </c>
      <c r="B923" s="1860">
        <v>2454.64464</v>
      </c>
      <c r="C923" s="1860">
        <v>3244.2696500000002</v>
      </c>
      <c r="D923" s="1860">
        <v>3610.4802500000001</v>
      </c>
      <c r="E923" s="1860">
        <v>4024.0487400000002</v>
      </c>
      <c r="F923">
        <v>29.660990000000002</v>
      </c>
      <c r="G923" s="1861">
        <v>3217.18</v>
      </c>
      <c r="I923">
        <v>0.76297999999999999</v>
      </c>
      <c r="J923">
        <v>1.0084200000000001</v>
      </c>
      <c r="K923">
        <v>1.12225</v>
      </c>
      <c r="L923">
        <v>1.2507999999999999</v>
      </c>
      <c r="M923">
        <v>9.2099999999999994E-3</v>
      </c>
      <c r="N923">
        <v>1</v>
      </c>
      <c r="P923">
        <v>1.3106500000000001</v>
      </c>
      <c r="Q923">
        <v>0.99165000000000003</v>
      </c>
      <c r="R923">
        <v>0.89105999999999996</v>
      </c>
      <c r="S923">
        <v>0.79947999999999997</v>
      </c>
      <c r="T923">
        <v>108.465</v>
      </c>
      <c r="U923">
        <v>1</v>
      </c>
    </row>
    <row r="924" spans="1:35" hidden="1" outlineLevel="1">
      <c r="A924" s="8">
        <v>43653</v>
      </c>
      <c r="B924" s="1860">
        <v>2454.64464</v>
      </c>
      <c r="C924" s="1860">
        <v>3244.2696500000002</v>
      </c>
      <c r="D924" s="1860">
        <v>3610.4802500000001</v>
      </c>
      <c r="E924" s="1860">
        <v>4024.0487400000002</v>
      </c>
      <c r="F924">
        <v>29.660990000000002</v>
      </c>
      <c r="G924" s="1861">
        <v>3217.18</v>
      </c>
      <c r="I924">
        <v>0.76297999999999999</v>
      </c>
      <c r="J924">
        <v>1.0084200000000001</v>
      </c>
      <c r="K924">
        <v>1.12225</v>
      </c>
      <c r="L924">
        <v>1.2507999999999999</v>
      </c>
      <c r="M924">
        <v>9.2099999999999994E-3</v>
      </c>
      <c r="N924">
        <v>1</v>
      </c>
      <c r="P924">
        <v>1.3106500000000001</v>
      </c>
      <c r="Q924">
        <v>0.99165000000000003</v>
      </c>
      <c r="R924">
        <v>0.89105999999999996</v>
      </c>
      <c r="S924">
        <v>0.79947999999999997</v>
      </c>
      <c r="T924">
        <v>108.465</v>
      </c>
      <c r="U924">
        <v>1</v>
      </c>
    </row>
    <row r="925" spans="1:35" hidden="1" outlineLevel="1">
      <c r="A925" s="8">
        <v>43654</v>
      </c>
      <c r="B925" s="1860">
        <v>2457.1755899999998</v>
      </c>
      <c r="C925" s="1860">
        <v>3238.2284800000002</v>
      </c>
      <c r="D925" s="1860">
        <v>3608.22822</v>
      </c>
      <c r="E925" s="1860">
        <v>4026.1399099999999</v>
      </c>
      <c r="F925">
        <v>29.603680000000001</v>
      </c>
      <c r="G925" s="1861">
        <v>3217.18</v>
      </c>
      <c r="I925">
        <v>0.76375999999999999</v>
      </c>
      <c r="J925">
        <v>1.00654</v>
      </c>
      <c r="K925">
        <v>1.12155</v>
      </c>
      <c r="L925">
        <v>1.25145</v>
      </c>
      <c r="M925">
        <v>9.1999999999999998E-3</v>
      </c>
      <c r="N925">
        <v>1</v>
      </c>
      <c r="P925">
        <v>1.3092999999999999</v>
      </c>
      <c r="Q925">
        <v>0.99350000000000005</v>
      </c>
      <c r="R925">
        <v>0.89161999999999997</v>
      </c>
      <c r="S925">
        <v>0.79906999999999995</v>
      </c>
      <c r="T925">
        <v>108.675</v>
      </c>
      <c r="U925">
        <v>1</v>
      </c>
    </row>
    <row r="926" spans="1:35" hidden="1" outlineLevel="1">
      <c r="A926" s="8">
        <v>43655</v>
      </c>
      <c r="B926" s="1860">
        <v>2442.9077299999999</v>
      </c>
      <c r="C926" s="1860">
        <v>3228.48371</v>
      </c>
      <c r="D926" s="1860">
        <v>3594.66417</v>
      </c>
      <c r="E926" s="1860">
        <v>3998.6689500000002</v>
      </c>
      <c r="F926">
        <v>29.49165</v>
      </c>
      <c r="G926" s="1861">
        <v>3207.66</v>
      </c>
      <c r="I926">
        <v>0.76158000000000003</v>
      </c>
      <c r="J926">
        <v>1.0064900000000001</v>
      </c>
      <c r="K926">
        <v>1.1206499999999999</v>
      </c>
      <c r="L926">
        <v>1.2465999999999999</v>
      </c>
      <c r="M926">
        <v>9.1900000000000003E-3</v>
      </c>
      <c r="N926">
        <v>1</v>
      </c>
      <c r="P926">
        <v>1.3130500000000001</v>
      </c>
      <c r="Q926">
        <v>0.99355000000000004</v>
      </c>
      <c r="R926">
        <v>0.89232999999999996</v>
      </c>
      <c r="S926">
        <v>0.80218</v>
      </c>
      <c r="T926">
        <v>108.765</v>
      </c>
      <c r="U926">
        <v>1</v>
      </c>
    </row>
    <row r="927" spans="1:35" hidden="1" outlineLevel="1">
      <c r="A927" s="8">
        <v>43656</v>
      </c>
      <c r="B927" s="1860">
        <v>2457.8148799999999</v>
      </c>
      <c r="C927" s="1860">
        <v>3255.5746300000001</v>
      </c>
      <c r="D927" s="1860">
        <v>3626.95111</v>
      </c>
      <c r="E927" s="1860">
        <v>4027.9756600000001</v>
      </c>
      <c r="F927">
        <v>29.69755</v>
      </c>
      <c r="G927" s="1861">
        <v>3223.67</v>
      </c>
      <c r="I927">
        <v>0.76241999999999999</v>
      </c>
      <c r="J927">
        <v>1.00989</v>
      </c>
      <c r="K927">
        <v>1.1251</v>
      </c>
      <c r="L927">
        <v>1.2495000000000001</v>
      </c>
      <c r="M927">
        <v>9.2099999999999994E-3</v>
      </c>
      <c r="N927">
        <v>1</v>
      </c>
      <c r="P927">
        <v>1.3116000000000001</v>
      </c>
      <c r="Q927">
        <v>0.99019999999999997</v>
      </c>
      <c r="R927">
        <v>0.88880000000000003</v>
      </c>
      <c r="S927">
        <v>0.80032000000000003</v>
      </c>
      <c r="T927">
        <v>108.55</v>
      </c>
      <c r="U927">
        <v>1</v>
      </c>
    </row>
    <row r="928" spans="1:35" hidden="1" outlineLevel="1">
      <c r="A928" s="8">
        <v>43657</v>
      </c>
      <c r="B928" s="1860">
        <v>2454.8517700000002</v>
      </c>
      <c r="C928" s="1860">
        <v>3248.3166500000002</v>
      </c>
      <c r="D928" s="1860">
        <v>3615.4876199999999</v>
      </c>
      <c r="E928" s="1860">
        <v>4028.1859100000001</v>
      </c>
      <c r="F928">
        <v>29.657170000000001</v>
      </c>
      <c r="G928" s="1861">
        <v>3212.91</v>
      </c>
      <c r="I928">
        <v>0.76405000000000001</v>
      </c>
      <c r="J928">
        <v>1.01102</v>
      </c>
      <c r="K928">
        <v>1.1253</v>
      </c>
      <c r="L928">
        <v>1.2537499999999999</v>
      </c>
      <c r="M928">
        <v>9.2300000000000004E-3</v>
      </c>
      <c r="N928">
        <v>1</v>
      </c>
      <c r="P928">
        <v>1.3088</v>
      </c>
      <c r="Q928">
        <v>0.98909999999999998</v>
      </c>
      <c r="R928">
        <v>0.88865000000000005</v>
      </c>
      <c r="S928">
        <v>0.79759999999999998</v>
      </c>
      <c r="T928">
        <v>108.33499999999999</v>
      </c>
      <c r="U928">
        <v>1</v>
      </c>
    </row>
    <row r="929" spans="1:35" hidden="1" outlineLevel="1">
      <c r="A929" s="8">
        <v>43658</v>
      </c>
      <c r="B929" s="1860">
        <v>2450.7549600000002</v>
      </c>
      <c r="C929" s="1860">
        <v>3245.3691899999999</v>
      </c>
      <c r="D929" s="1860">
        <v>3597.9868700000002</v>
      </c>
      <c r="E929" s="1860">
        <v>4016.3797500000001</v>
      </c>
      <c r="F929">
        <v>29.602370000000001</v>
      </c>
      <c r="G929" s="1861">
        <v>3197.5</v>
      </c>
      <c r="I929">
        <v>0.76644999999999996</v>
      </c>
      <c r="J929">
        <v>1.0149699999999999</v>
      </c>
      <c r="K929">
        <v>1.1252500000000001</v>
      </c>
      <c r="L929">
        <v>1.2561</v>
      </c>
      <c r="M929">
        <v>9.2499999999999995E-3</v>
      </c>
      <c r="N929">
        <v>1</v>
      </c>
      <c r="P929">
        <v>1.3047</v>
      </c>
      <c r="Q929">
        <v>0.98524999999999996</v>
      </c>
      <c r="R929">
        <v>0.88868999999999998</v>
      </c>
      <c r="S929">
        <v>0.79610999999999998</v>
      </c>
      <c r="T929">
        <v>108.015</v>
      </c>
      <c r="U929">
        <v>1</v>
      </c>
    </row>
    <row r="930" spans="1:35" hidden="1" outlineLevel="1">
      <c r="A930" s="8">
        <v>43659</v>
      </c>
      <c r="B930" s="1860">
        <v>2445.2594399999998</v>
      </c>
      <c r="C930" s="1860">
        <v>3238.0918499999998</v>
      </c>
      <c r="D930" s="1860">
        <v>3589.9188300000001</v>
      </c>
      <c r="E930" s="1860">
        <v>4007.3735099999999</v>
      </c>
      <c r="F930">
        <v>29.535990000000002</v>
      </c>
      <c r="G930" s="1861">
        <v>3190.33</v>
      </c>
      <c r="I930">
        <v>0.76644999999999996</v>
      </c>
      <c r="J930">
        <v>1.0149699999999999</v>
      </c>
      <c r="K930">
        <v>1.1252500000000001</v>
      </c>
      <c r="L930">
        <v>1.2561</v>
      </c>
      <c r="M930">
        <v>9.2499999999999995E-3</v>
      </c>
      <c r="N930">
        <v>1</v>
      </c>
      <c r="P930">
        <v>1.3047</v>
      </c>
      <c r="Q930">
        <v>0.98524999999999996</v>
      </c>
      <c r="R930">
        <v>0.88868999999999998</v>
      </c>
      <c r="S930">
        <v>0.79610999999999998</v>
      </c>
      <c r="T930">
        <v>108.015</v>
      </c>
      <c r="U930">
        <v>1</v>
      </c>
    </row>
    <row r="931" spans="1:35" hidden="1" outlineLevel="1">
      <c r="A931" s="8">
        <v>43660</v>
      </c>
      <c r="B931" s="1860">
        <v>2445.2594399999998</v>
      </c>
      <c r="C931" s="1860">
        <v>3238.0918499999998</v>
      </c>
      <c r="D931" s="1860">
        <v>3589.9188300000001</v>
      </c>
      <c r="E931" s="1860">
        <v>4007.3735099999999</v>
      </c>
      <c r="F931">
        <v>29.535990000000002</v>
      </c>
      <c r="G931" s="1861">
        <v>3190.33</v>
      </c>
      <c r="I931">
        <v>0.76644999999999996</v>
      </c>
      <c r="J931">
        <v>1.0149699999999999</v>
      </c>
      <c r="K931">
        <v>1.1252500000000001</v>
      </c>
      <c r="L931">
        <v>1.2561</v>
      </c>
      <c r="M931">
        <v>9.2499999999999995E-3</v>
      </c>
      <c r="N931">
        <v>1</v>
      </c>
      <c r="P931">
        <v>1.3047</v>
      </c>
      <c r="Q931">
        <v>0.98524999999999996</v>
      </c>
      <c r="R931">
        <v>0.88868999999999998</v>
      </c>
      <c r="S931">
        <v>0.79610999999999998</v>
      </c>
      <c r="T931">
        <v>108.015</v>
      </c>
      <c r="U931">
        <v>1</v>
      </c>
    </row>
    <row r="932" spans="1:35" s="1857" customFormat="1" hidden="1" outlineLevel="1">
      <c r="A932" s="8">
        <v>43661</v>
      </c>
      <c r="B932" s="1860">
        <v>2445.6343400000001</v>
      </c>
      <c r="C932" s="1860">
        <v>3239.5714800000001</v>
      </c>
      <c r="D932" s="1860">
        <v>3592.9496399999998</v>
      </c>
      <c r="E932" s="1860">
        <v>3992.0599200000001</v>
      </c>
      <c r="F932">
        <v>29.54693</v>
      </c>
      <c r="G932" s="1861">
        <v>3190.33</v>
      </c>
      <c r="I932">
        <v>0.76656999999999997</v>
      </c>
      <c r="J932">
        <v>1.0154300000000001</v>
      </c>
      <c r="K932">
        <v>1.1262000000000001</v>
      </c>
      <c r="L932">
        <v>1.2513000000000001</v>
      </c>
      <c r="M932">
        <v>9.2599999999999991E-3</v>
      </c>
      <c r="N932">
        <v>1</v>
      </c>
      <c r="P932">
        <v>1.3045</v>
      </c>
      <c r="Q932">
        <v>0.98480000000000001</v>
      </c>
      <c r="R932">
        <v>0.88793999999999995</v>
      </c>
      <c r="S932">
        <v>0.79915999999999998</v>
      </c>
      <c r="T932">
        <v>107.97499999999999</v>
      </c>
      <c r="U932">
        <v>1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</row>
    <row r="933" spans="1:35" s="1857" customFormat="1" hidden="1" outlineLevel="1">
      <c r="A933" s="8">
        <v>43662</v>
      </c>
      <c r="B933" s="1860">
        <v>2448.4211300000002</v>
      </c>
      <c r="C933" s="1860">
        <v>3231.2116999999998</v>
      </c>
      <c r="D933" s="1860">
        <v>3581.0372499999999</v>
      </c>
      <c r="E933" s="1860">
        <v>3962.16158</v>
      </c>
      <c r="F933">
        <v>29.469470000000001</v>
      </c>
      <c r="G933" s="1861">
        <v>3190.66</v>
      </c>
      <c r="I933">
        <v>0.76737</v>
      </c>
      <c r="J933">
        <v>1.0126999999999999</v>
      </c>
      <c r="K933">
        <v>1.12235</v>
      </c>
      <c r="L933">
        <v>1.2418</v>
      </c>
      <c r="M933">
        <v>9.2300000000000004E-3</v>
      </c>
      <c r="N933">
        <v>1</v>
      </c>
      <c r="P933">
        <v>1.30315</v>
      </c>
      <c r="Q933">
        <v>0.98745000000000005</v>
      </c>
      <c r="R933">
        <v>0.89097999999999999</v>
      </c>
      <c r="S933">
        <v>0.80528</v>
      </c>
      <c r="T933">
        <v>108.27</v>
      </c>
      <c r="U933">
        <v>1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</row>
    <row r="934" spans="1:35" s="1857" customFormat="1" hidden="1" outlineLevel="1">
      <c r="A934" s="8">
        <v>43663</v>
      </c>
      <c r="B934" s="1860">
        <v>2450.3905599999998</v>
      </c>
      <c r="C934" s="1860">
        <v>3238.9108200000001</v>
      </c>
      <c r="D934" s="1860">
        <v>3591.8456799999999</v>
      </c>
      <c r="E934" s="1860">
        <v>3977.2519600000001</v>
      </c>
      <c r="F934">
        <v>29.602360000000001</v>
      </c>
      <c r="G934" s="1861">
        <v>3199.72</v>
      </c>
      <c r="I934">
        <v>0.76580999999999999</v>
      </c>
      <c r="J934">
        <v>1.01224</v>
      </c>
      <c r="K934">
        <v>1.1225499999999999</v>
      </c>
      <c r="L934">
        <v>1.2430000000000001</v>
      </c>
      <c r="M934">
        <v>9.2499999999999995E-3</v>
      </c>
      <c r="N934">
        <v>1</v>
      </c>
      <c r="P934">
        <v>1.3058000000000001</v>
      </c>
      <c r="Q934">
        <v>0.9879</v>
      </c>
      <c r="R934">
        <v>0.89081999999999995</v>
      </c>
      <c r="S934">
        <v>0.80449999999999999</v>
      </c>
      <c r="T934">
        <v>108.09</v>
      </c>
      <c r="U934">
        <v>1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</row>
    <row r="935" spans="1:35" s="1857" customFormat="1" hidden="1" outlineLevel="1">
      <c r="A935" s="8">
        <v>43664</v>
      </c>
      <c r="B935" s="1860">
        <v>2436.18516</v>
      </c>
      <c r="C935" s="1860">
        <v>3230.7248100000002</v>
      </c>
      <c r="D935" s="1860">
        <v>3577.8152300000002</v>
      </c>
      <c r="E935" s="1860">
        <v>3981.40976</v>
      </c>
      <c r="F935">
        <v>29.5749</v>
      </c>
      <c r="G935" s="1861">
        <v>3189.21</v>
      </c>
      <c r="I935">
        <v>0.76388</v>
      </c>
      <c r="J935">
        <v>1.01301</v>
      </c>
      <c r="K935">
        <v>1.12185</v>
      </c>
      <c r="L935">
        <v>1.2484</v>
      </c>
      <c r="M935">
        <v>9.2700000000000005E-3</v>
      </c>
      <c r="N935">
        <v>1</v>
      </c>
      <c r="P935">
        <v>1.3090999999999999</v>
      </c>
      <c r="Q935">
        <v>0.98714999999999997</v>
      </c>
      <c r="R935">
        <v>0.89137999999999995</v>
      </c>
      <c r="S935">
        <v>0.80101999999999995</v>
      </c>
      <c r="T935">
        <v>107.83499999999999</v>
      </c>
      <c r="U935">
        <v>1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</row>
    <row r="936" spans="1:35" s="1857" customFormat="1" hidden="1" outlineLevel="1">
      <c r="A936" s="8">
        <v>43665</v>
      </c>
      <c r="B936" s="1860">
        <v>2434.05215</v>
      </c>
      <c r="C936" s="1860">
        <v>3240.36445</v>
      </c>
      <c r="D936" s="1860">
        <v>3571.9738200000002</v>
      </c>
      <c r="E936" s="1860">
        <v>3980.0356999999999</v>
      </c>
      <c r="F936">
        <v>29.543430000000001</v>
      </c>
      <c r="G936" s="1861">
        <v>3183.01</v>
      </c>
      <c r="I936">
        <v>0.76470000000000005</v>
      </c>
      <c r="J936">
        <v>1.0180100000000001</v>
      </c>
      <c r="K936">
        <v>1.1222000000000001</v>
      </c>
      <c r="L936">
        <v>1.2504</v>
      </c>
      <c r="M936">
        <v>9.2800000000000001E-3</v>
      </c>
      <c r="N936">
        <v>1</v>
      </c>
      <c r="P936">
        <v>1.3077000000000001</v>
      </c>
      <c r="Q936">
        <v>0.98229999999999995</v>
      </c>
      <c r="R936">
        <v>0.8911</v>
      </c>
      <c r="S936">
        <v>0.79974000000000001</v>
      </c>
      <c r="T936">
        <v>107.74</v>
      </c>
      <c r="U936">
        <v>1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</row>
    <row r="937" spans="1:35" s="1857" customFormat="1" hidden="1" outlineLevel="1">
      <c r="A937" s="8">
        <v>43666</v>
      </c>
      <c r="B937" s="1860">
        <v>2423.7286800000002</v>
      </c>
      <c r="C937" s="1860">
        <v>3226.6211899999998</v>
      </c>
      <c r="D937" s="1860">
        <v>3556.8241200000002</v>
      </c>
      <c r="E937" s="1860">
        <v>3963.1552999999999</v>
      </c>
      <c r="F937">
        <v>29.418130000000001</v>
      </c>
      <c r="G937" s="1861">
        <v>3169.51</v>
      </c>
      <c r="I937">
        <v>0.76470000000000005</v>
      </c>
      <c r="J937">
        <v>1.0180100000000001</v>
      </c>
      <c r="K937">
        <v>1.1222000000000001</v>
      </c>
      <c r="L937">
        <v>1.2504</v>
      </c>
      <c r="M937">
        <v>9.2800000000000001E-3</v>
      </c>
      <c r="N937">
        <v>1</v>
      </c>
      <c r="P937">
        <v>1.3077000000000001</v>
      </c>
      <c r="Q937">
        <v>0.98229999999999995</v>
      </c>
      <c r="R937">
        <v>0.8911</v>
      </c>
      <c r="S937">
        <v>0.79974000000000001</v>
      </c>
      <c r="T937">
        <v>107.74</v>
      </c>
      <c r="U937">
        <v>1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</row>
    <row r="938" spans="1:35" s="1857" customFormat="1" hidden="1" outlineLevel="1">
      <c r="A938" s="8">
        <v>43667</v>
      </c>
      <c r="B938" s="1860">
        <v>2423.7286800000002</v>
      </c>
      <c r="C938" s="1860">
        <v>3226.6211899999998</v>
      </c>
      <c r="D938" s="1860">
        <v>3556.8241200000002</v>
      </c>
      <c r="E938" s="1860">
        <v>3963.1552999999999</v>
      </c>
      <c r="F938">
        <v>29.418130000000001</v>
      </c>
      <c r="G938" s="1861">
        <v>3169.51</v>
      </c>
      <c r="I938">
        <v>0.76470000000000005</v>
      </c>
      <c r="J938">
        <v>1.0180100000000001</v>
      </c>
      <c r="K938">
        <v>1.1222000000000001</v>
      </c>
      <c r="L938">
        <v>1.2504</v>
      </c>
      <c r="M938">
        <v>9.2800000000000001E-3</v>
      </c>
      <c r="N938">
        <v>1</v>
      </c>
      <c r="P938">
        <v>1.3077000000000001</v>
      </c>
      <c r="Q938">
        <v>0.98229999999999995</v>
      </c>
      <c r="R938">
        <v>0.8911</v>
      </c>
      <c r="S938">
        <v>0.79974000000000001</v>
      </c>
      <c r="T938">
        <v>107.74</v>
      </c>
      <c r="U938">
        <v>1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</row>
    <row r="939" spans="1:35" s="1857" customFormat="1" hidden="1" outlineLevel="1">
      <c r="A939" s="8">
        <v>43668</v>
      </c>
      <c r="B939" s="1860">
        <v>2417.8121900000001</v>
      </c>
      <c r="C939" s="1860">
        <v>3232.5446200000001</v>
      </c>
      <c r="D939" s="1860">
        <v>3556.9825900000001</v>
      </c>
      <c r="E939" s="1860">
        <v>3960.77817</v>
      </c>
      <c r="F939">
        <v>29.389489999999999</v>
      </c>
      <c r="G939" s="1861">
        <v>3169.51</v>
      </c>
      <c r="I939">
        <v>0.76283000000000001</v>
      </c>
      <c r="J939">
        <v>1.0198799999999999</v>
      </c>
      <c r="K939">
        <v>1.12225</v>
      </c>
      <c r="L939">
        <v>1.2496499999999999</v>
      </c>
      <c r="M939">
        <v>9.2700000000000005E-3</v>
      </c>
      <c r="N939">
        <v>1</v>
      </c>
      <c r="P939">
        <v>1.3109</v>
      </c>
      <c r="Q939">
        <v>0.98050000000000004</v>
      </c>
      <c r="R939">
        <v>0.89105999999999996</v>
      </c>
      <c r="S939">
        <v>0.80022000000000004</v>
      </c>
      <c r="T939">
        <v>107.845</v>
      </c>
      <c r="U939">
        <v>1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</row>
    <row r="940" spans="1:35" s="1857" customFormat="1" hidden="1" outlineLevel="1">
      <c r="A940" s="8">
        <v>43669</v>
      </c>
      <c r="B940" s="1860">
        <v>2418.2945800000002</v>
      </c>
      <c r="C940" s="1860">
        <v>3226.1522799999998</v>
      </c>
      <c r="D940" s="1860">
        <v>3543.2024000000001</v>
      </c>
      <c r="E940" s="1860">
        <v>3952.3389999999999</v>
      </c>
      <c r="F940">
        <v>29.39104</v>
      </c>
      <c r="G940" s="1861">
        <v>3177.76</v>
      </c>
      <c r="I940">
        <v>0.76100000000000001</v>
      </c>
      <c r="J940">
        <v>1.01522</v>
      </c>
      <c r="K940">
        <v>1.115</v>
      </c>
      <c r="L940">
        <v>1.2437499999999999</v>
      </c>
      <c r="M940">
        <v>9.2399999999999999E-3</v>
      </c>
      <c r="N940">
        <v>1</v>
      </c>
      <c r="P940">
        <v>1.3140499999999999</v>
      </c>
      <c r="Q940">
        <v>0.98499999999999999</v>
      </c>
      <c r="R940">
        <v>0.89685999999999999</v>
      </c>
      <c r="S940">
        <v>0.80401999999999996</v>
      </c>
      <c r="T940">
        <v>108.12</v>
      </c>
      <c r="U940">
        <v>1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</row>
    <row r="941" spans="1:35" s="1857" customFormat="1" hidden="1" outlineLevel="1">
      <c r="A941" s="8">
        <v>43670</v>
      </c>
      <c r="B941" s="1860">
        <v>2427.8501200000001</v>
      </c>
      <c r="C941" s="1860">
        <v>3235.7371199999998</v>
      </c>
      <c r="D941" s="1860">
        <v>3552.3995399999999</v>
      </c>
      <c r="E941" s="1860">
        <v>3984.8530900000001</v>
      </c>
      <c r="F941">
        <v>29.50085</v>
      </c>
      <c r="G941" s="1861">
        <v>3188.01</v>
      </c>
      <c r="I941">
        <v>0.76154999999999995</v>
      </c>
      <c r="J941">
        <v>1.0149699999999999</v>
      </c>
      <c r="K941">
        <v>1.1143000000000001</v>
      </c>
      <c r="L941">
        <v>1.2499499999999999</v>
      </c>
      <c r="M941">
        <v>9.2499999999999995E-3</v>
      </c>
      <c r="N941">
        <v>1</v>
      </c>
      <c r="P941">
        <v>1.3130999999999999</v>
      </c>
      <c r="Q941">
        <v>0.98524999999999996</v>
      </c>
      <c r="R941">
        <v>0.89742</v>
      </c>
      <c r="S941">
        <v>0.80003000000000002</v>
      </c>
      <c r="T941">
        <v>108.065</v>
      </c>
      <c r="U941">
        <v>1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</row>
    <row r="942" spans="1:35" s="1857" customFormat="1" hidden="1" outlineLevel="1">
      <c r="A942" s="8">
        <v>43671</v>
      </c>
      <c r="B942" s="1860">
        <v>2432.6442000000002</v>
      </c>
      <c r="C942" s="1860">
        <v>3227.42839</v>
      </c>
      <c r="D942" s="1860">
        <v>3564.7725099999998</v>
      </c>
      <c r="E942" s="1860">
        <v>3991.8998900000001</v>
      </c>
      <c r="F942">
        <v>29.430399999999999</v>
      </c>
      <c r="G942" s="1861">
        <v>3194.67</v>
      </c>
      <c r="I942">
        <v>0.76146000000000003</v>
      </c>
      <c r="J942">
        <v>1.0102500000000001</v>
      </c>
      <c r="K942">
        <v>1.11585</v>
      </c>
      <c r="L942">
        <v>1.2495499999999999</v>
      </c>
      <c r="M942">
        <v>9.2099999999999994E-3</v>
      </c>
      <c r="N942">
        <v>1</v>
      </c>
      <c r="P942">
        <v>1.31325</v>
      </c>
      <c r="Q942">
        <v>0.98985000000000001</v>
      </c>
      <c r="R942">
        <v>0.89617000000000002</v>
      </c>
      <c r="S942">
        <v>0.80027999999999999</v>
      </c>
      <c r="T942">
        <v>108.55</v>
      </c>
      <c r="U942">
        <v>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</row>
    <row r="943" spans="1:35" s="1857" customFormat="1" hidden="1" outlineLevel="1">
      <c r="A943" s="8">
        <v>43672</v>
      </c>
      <c r="B943" s="1860">
        <v>2437.20559</v>
      </c>
      <c r="C943" s="1860">
        <v>3234.6000899999999</v>
      </c>
      <c r="D943" s="1860">
        <v>3575.0445800000002</v>
      </c>
      <c r="E943" s="1860">
        <v>3980.05458</v>
      </c>
      <c r="F943">
        <v>29.571480000000001</v>
      </c>
      <c r="G943" s="1861">
        <v>3213.09</v>
      </c>
      <c r="I943">
        <v>0.75851999999999997</v>
      </c>
      <c r="J943">
        <v>1.0066900000000001</v>
      </c>
      <c r="K943">
        <v>1.1126499999999999</v>
      </c>
      <c r="L943">
        <v>1.2386999999999999</v>
      </c>
      <c r="M943">
        <v>9.1999999999999998E-3</v>
      </c>
      <c r="N943">
        <v>1</v>
      </c>
      <c r="P943">
        <v>1.3183499999999999</v>
      </c>
      <c r="Q943">
        <v>0.99334999999999996</v>
      </c>
      <c r="R943">
        <v>0.89875000000000005</v>
      </c>
      <c r="S943">
        <v>0.80728999999999995</v>
      </c>
      <c r="T943">
        <v>108.655</v>
      </c>
      <c r="U943">
        <v>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</row>
    <row r="944" spans="1:35" s="1857" customFormat="1" hidden="1" outlineLevel="1">
      <c r="A944" s="8">
        <v>43673</v>
      </c>
      <c r="B944" s="1860">
        <v>2452.5050200000001</v>
      </c>
      <c r="C944" s="1860">
        <v>3254.9051100000001</v>
      </c>
      <c r="D944" s="1860">
        <v>3597.4867300000001</v>
      </c>
      <c r="E944" s="1860">
        <v>4005.0391599999998</v>
      </c>
      <c r="F944">
        <v>29.75712</v>
      </c>
      <c r="G944" s="1861">
        <v>3233.26</v>
      </c>
      <c r="I944">
        <v>0.75851999999999997</v>
      </c>
      <c r="J944">
        <v>1.0066900000000001</v>
      </c>
      <c r="K944">
        <v>1.1126499999999999</v>
      </c>
      <c r="L944">
        <v>1.2386999999999999</v>
      </c>
      <c r="M944">
        <v>9.1999999999999998E-3</v>
      </c>
      <c r="N944">
        <v>1</v>
      </c>
      <c r="P944">
        <v>1.3183499999999999</v>
      </c>
      <c r="Q944">
        <v>0.99334999999999996</v>
      </c>
      <c r="R944">
        <v>0.89875000000000005</v>
      </c>
      <c r="S944">
        <v>0.80728999999999995</v>
      </c>
      <c r="T944">
        <v>108.655</v>
      </c>
      <c r="U944">
        <v>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</row>
    <row r="945" spans="1:35" s="1857" customFormat="1" hidden="1" outlineLevel="1">
      <c r="A945" s="8">
        <v>43674</v>
      </c>
      <c r="B945" s="1860">
        <v>2452.5050200000001</v>
      </c>
      <c r="C945" s="1860">
        <v>3254.9051100000001</v>
      </c>
      <c r="D945" s="1860">
        <v>3597.4867300000001</v>
      </c>
      <c r="E945" s="1860">
        <v>4005.0391599999998</v>
      </c>
      <c r="F945">
        <v>29.75712</v>
      </c>
      <c r="G945" s="1861">
        <v>3233.26</v>
      </c>
      <c r="I945">
        <v>0.75851999999999997</v>
      </c>
      <c r="J945">
        <v>1.0066900000000001</v>
      </c>
      <c r="K945">
        <v>1.1126499999999999</v>
      </c>
      <c r="L945">
        <v>1.2386999999999999</v>
      </c>
      <c r="M945">
        <v>9.1999999999999998E-3</v>
      </c>
      <c r="N945">
        <v>1</v>
      </c>
      <c r="P945">
        <v>1.3183499999999999</v>
      </c>
      <c r="Q945">
        <v>0.99334999999999996</v>
      </c>
      <c r="R945">
        <v>0.89875000000000005</v>
      </c>
      <c r="S945">
        <v>0.80728999999999995</v>
      </c>
      <c r="T945">
        <v>108.655</v>
      </c>
      <c r="U945">
        <v>1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</row>
    <row r="946" spans="1:35" s="1857" customFormat="1" hidden="1" outlineLevel="1">
      <c r="A946" s="8">
        <v>43675</v>
      </c>
      <c r="B946" s="1860">
        <v>2455.0189799999998</v>
      </c>
      <c r="C946" s="1860">
        <v>3257.2004200000001</v>
      </c>
      <c r="D946" s="1860">
        <v>3599.1033600000001</v>
      </c>
      <c r="E946" s="1860">
        <v>3954.1153100000001</v>
      </c>
      <c r="F946">
        <v>29.710629999999998</v>
      </c>
      <c r="G946" s="1861">
        <v>3233.26</v>
      </c>
      <c r="I946">
        <v>0.75929999999999997</v>
      </c>
      <c r="J946">
        <v>1.0074000000000001</v>
      </c>
      <c r="K946">
        <v>1.1131500000000001</v>
      </c>
      <c r="L946">
        <v>1.22295</v>
      </c>
      <c r="M946">
        <v>9.1800000000000007E-3</v>
      </c>
      <c r="N946">
        <v>1</v>
      </c>
      <c r="P946">
        <v>1.3169999999999999</v>
      </c>
      <c r="Q946">
        <v>0.99265000000000003</v>
      </c>
      <c r="R946">
        <v>0.89834999999999998</v>
      </c>
      <c r="S946">
        <v>0.81769000000000003</v>
      </c>
      <c r="T946">
        <v>108.825</v>
      </c>
      <c r="U946">
        <v>1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</row>
    <row r="947" spans="1:35" s="1857" customFormat="1" hidden="1" outlineLevel="1">
      <c r="A947" s="8">
        <v>43676</v>
      </c>
      <c r="B947" s="1860">
        <v>2476.1402400000002</v>
      </c>
      <c r="C947" s="1860">
        <v>3291.11357</v>
      </c>
      <c r="D947" s="1860">
        <v>3634.6071900000002</v>
      </c>
      <c r="E947" s="1860">
        <v>3965.1298499999998</v>
      </c>
      <c r="F947">
        <v>30.031839999999999</v>
      </c>
      <c r="G947" s="1861">
        <v>3262.81</v>
      </c>
      <c r="I947">
        <v>0.75888999999999995</v>
      </c>
      <c r="J947">
        <v>1.00867</v>
      </c>
      <c r="K947">
        <v>1.11395</v>
      </c>
      <c r="L947">
        <v>1.2152499999999999</v>
      </c>
      <c r="M947">
        <v>9.1999999999999998E-3</v>
      </c>
      <c r="N947">
        <v>1</v>
      </c>
      <c r="P947">
        <v>1.3177000000000001</v>
      </c>
      <c r="Q947">
        <v>0.99139999999999995</v>
      </c>
      <c r="R947">
        <v>0.89770000000000005</v>
      </c>
      <c r="S947">
        <v>0.82286999999999999</v>
      </c>
      <c r="T947">
        <v>108.645</v>
      </c>
      <c r="U947">
        <v>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</row>
    <row r="948" spans="1:35" ht="15.75" hidden="1" outlineLevel="1" thickBot="1">
      <c r="A948" s="1868">
        <v>43677</v>
      </c>
      <c r="B948" s="1869">
        <v>2510.6423399999999</v>
      </c>
      <c r="C948" s="1869">
        <v>3330.1515100000001</v>
      </c>
      <c r="D948" s="1869">
        <v>3670.71279</v>
      </c>
      <c r="E948" s="1869">
        <v>4036.82798</v>
      </c>
      <c r="F948" s="1870">
        <v>30.364719999999998</v>
      </c>
      <c r="G948" s="1871">
        <v>3296.85</v>
      </c>
      <c r="H948" s="1872"/>
      <c r="I948" s="1870">
        <v>0.76151999999999997</v>
      </c>
      <c r="J948" s="1870">
        <v>1.0101</v>
      </c>
      <c r="K948" s="1870">
        <v>1.1133999999999999</v>
      </c>
      <c r="L948" s="1870">
        <v>1.22445</v>
      </c>
      <c r="M948" s="1870">
        <v>9.2099999999999994E-3</v>
      </c>
      <c r="N948" s="1870">
        <v>1</v>
      </c>
      <c r="O948" s="1872"/>
      <c r="P948" s="1870">
        <v>1.31315</v>
      </c>
      <c r="Q948" s="1870">
        <v>0.99</v>
      </c>
      <c r="R948" s="1870">
        <v>0.89814000000000005</v>
      </c>
      <c r="S948" s="1870">
        <v>0.81669000000000003</v>
      </c>
      <c r="T948" s="1870">
        <v>108.575</v>
      </c>
      <c r="U948" s="1870">
        <v>1</v>
      </c>
      <c r="V948" s="1872"/>
    </row>
    <row r="949" spans="1:35" hidden="1" outlineLevel="1">
      <c r="A949" s="8">
        <v>43678</v>
      </c>
      <c r="B949" s="1860">
        <v>2492.2698300000002</v>
      </c>
      <c r="C949" s="1860">
        <v>3310.8272499999998</v>
      </c>
      <c r="D949" s="1860">
        <v>3640.22597</v>
      </c>
      <c r="E949" s="1860">
        <v>3999.3602599999999</v>
      </c>
      <c r="F949">
        <v>30.427409999999998</v>
      </c>
      <c r="G949" s="1861">
        <v>3291.79</v>
      </c>
      <c r="I949">
        <v>0.75710999999999995</v>
      </c>
      <c r="J949">
        <v>1.0057799999999999</v>
      </c>
      <c r="K949">
        <v>1.10585</v>
      </c>
      <c r="L949">
        <v>1.21495</v>
      </c>
      <c r="M949">
        <v>9.2399999999999999E-3</v>
      </c>
      <c r="N949">
        <v>1</v>
      </c>
      <c r="P949">
        <v>1.3208</v>
      </c>
      <c r="Q949">
        <v>0.99424999999999997</v>
      </c>
      <c r="R949">
        <v>0.90427999999999997</v>
      </c>
      <c r="S949">
        <v>0.82306999999999997</v>
      </c>
      <c r="T949">
        <v>108.185</v>
      </c>
      <c r="U949">
        <v>1</v>
      </c>
    </row>
    <row r="950" spans="1:35" hidden="1" outlineLevel="1">
      <c r="A950" s="8">
        <v>43679</v>
      </c>
      <c r="B950" s="1860">
        <v>2515.1890600000002</v>
      </c>
      <c r="C950" s="1860">
        <v>3386.2889599999999</v>
      </c>
      <c r="D950" s="1860">
        <v>3696.11114</v>
      </c>
      <c r="E950" s="1860">
        <v>4034.6938300000002</v>
      </c>
      <c r="F950">
        <v>31.241299999999999</v>
      </c>
      <c r="G950" s="1861">
        <v>3329.23</v>
      </c>
      <c r="I950">
        <v>0.75548000000000004</v>
      </c>
      <c r="J950">
        <v>1.0171300000000001</v>
      </c>
      <c r="K950">
        <v>1.1102000000000001</v>
      </c>
      <c r="L950">
        <v>1.2119</v>
      </c>
      <c r="M950">
        <v>9.3799999999999994E-3</v>
      </c>
      <c r="N950">
        <v>1</v>
      </c>
      <c r="P950">
        <v>1.32365</v>
      </c>
      <c r="Q950">
        <v>0.98314999999999997</v>
      </c>
      <c r="R950">
        <v>0.90073000000000003</v>
      </c>
      <c r="S950">
        <v>0.82515000000000005</v>
      </c>
      <c r="T950">
        <v>106.565</v>
      </c>
      <c r="U950">
        <v>1</v>
      </c>
    </row>
    <row r="951" spans="1:35" hidden="1" outlineLevel="1">
      <c r="A951" s="8">
        <v>43680</v>
      </c>
      <c r="B951" s="1860">
        <v>2542.8020999999999</v>
      </c>
      <c r="C951" s="1860">
        <v>3423.4653899999998</v>
      </c>
      <c r="D951" s="1860">
        <v>3736.6889500000002</v>
      </c>
      <c r="E951" s="1860">
        <v>4078.9887800000001</v>
      </c>
      <c r="F951">
        <v>31.584289999999999</v>
      </c>
      <c r="G951" s="1861">
        <v>3365.78</v>
      </c>
      <c r="I951">
        <v>0.75548000000000004</v>
      </c>
      <c r="J951">
        <v>1.0171300000000001</v>
      </c>
      <c r="K951">
        <v>1.1102000000000001</v>
      </c>
      <c r="L951">
        <v>1.2119</v>
      </c>
      <c r="M951">
        <v>9.3799999999999994E-3</v>
      </c>
      <c r="N951">
        <v>1</v>
      </c>
      <c r="P951">
        <v>1.32365</v>
      </c>
      <c r="Q951">
        <v>0.98314999999999997</v>
      </c>
      <c r="R951">
        <v>0.90073000000000003</v>
      </c>
      <c r="S951">
        <v>0.82515000000000005</v>
      </c>
      <c r="T951">
        <v>106.565</v>
      </c>
      <c r="U951">
        <v>1</v>
      </c>
    </row>
    <row r="952" spans="1:35" hidden="1" outlineLevel="1">
      <c r="A952" s="8">
        <v>43681</v>
      </c>
      <c r="B952" s="1860">
        <v>2542.8020999999999</v>
      </c>
      <c r="C952" s="1860">
        <v>3423.4653899999998</v>
      </c>
      <c r="D952" s="1860">
        <v>3736.6889500000002</v>
      </c>
      <c r="E952" s="1860">
        <v>4078.9887800000001</v>
      </c>
      <c r="F952">
        <v>31.584289999999999</v>
      </c>
      <c r="G952" s="1861">
        <v>3365.78</v>
      </c>
      <c r="I952">
        <v>0.75548000000000004</v>
      </c>
      <c r="J952">
        <v>1.0171300000000001</v>
      </c>
      <c r="K952">
        <v>1.1102000000000001</v>
      </c>
      <c r="L952">
        <v>1.2119</v>
      </c>
      <c r="M952">
        <v>9.3799999999999994E-3</v>
      </c>
      <c r="N952">
        <v>1</v>
      </c>
      <c r="P952">
        <v>1.32365</v>
      </c>
      <c r="Q952">
        <v>0.98314999999999997</v>
      </c>
      <c r="R952">
        <v>0.90073000000000003</v>
      </c>
      <c r="S952">
        <v>0.82515000000000005</v>
      </c>
      <c r="T952">
        <v>106.565</v>
      </c>
      <c r="U952">
        <v>1</v>
      </c>
    </row>
    <row r="953" spans="1:35" hidden="1" outlineLevel="1">
      <c r="A953" s="8">
        <v>43682</v>
      </c>
      <c r="B953" s="1860">
        <v>2547.61382</v>
      </c>
      <c r="C953" s="1860">
        <v>3456.8684800000001</v>
      </c>
      <c r="D953" s="1860">
        <v>3764.6249299999999</v>
      </c>
      <c r="E953" s="1860">
        <v>4086.05692</v>
      </c>
      <c r="F953">
        <v>31.733180000000001</v>
      </c>
      <c r="G953" s="1861">
        <v>3365.78</v>
      </c>
      <c r="I953">
        <v>0.75690999999999997</v>
      </c>
      <c r="J953">
        <v>1.0270600000000001</v>
      </c>
      <c r="K953">
        <v>1.1185</v>
      </c>
      <c r="L953">
        <v>1.214</v>
      </c>
      <c r="M953">
        <v>9.4199999999999996E-3</v>
      </c>
      <c r="N953">
        <v>1</v>
      </c>
      <c r="P953">
        <v>1.32115</v>
      </c>
      <c r="Q953">
        <v>0.97365000000000002</v>
      </c>
      <c r="R953">
        <v>0.89405000000000001</v>
      </c>
      <c r="S953">
        <v>0.82372000000000001</v>
      </c>
      <c r="T953">
        <v>106.065</v>
      </c>
      <c r="U953">
        <v>1</v>
      </c>
    </row>
    <row r="954" spans="1:35" hidden="1" outlineLevel="1">
      <c r="A954" s="8">
        <v>43683</v>
      </c>
      <c r="B954" s="1860">
        <v>2615.95523</v>
      </c>
      <c r="C954" s="1860">
        <v>3536.9287300000001</v>
      </c>
      <c r="D954" s="1860">
        <v>3869.9361100000001</v>
      </c>
      <c r="E954" s="1860">
        <v>4209.8290399999996</v>
      </c>
      <c r="F954">
        <v>32.5184</v>
      </c>
      <c r="G954" s="1861">
        <v>3459.47</v>
      </c>
      <c r="I954">
        <v>0.75617000000000001</v>
      </c>
      <c r="J954">
        <v>1.0223899999999999</v>
      </c>
      <c r="K954">
        <v>1.1186499999999999</v>
      </c>
      <c r="L954">
        <v>1.2169000000000001</v>
      </c>
      <c r="M954">
        <v>9.3900000000000008E-3</v>
      </c>
      <c r="N954">
        <v>1</v>
      </c>
      <c r="P954">
        <v>1.3224499999999999</v>
      </c>
      <c r="Q954">
        <v>0.97809999999999997</v>
      </c>
      <c r="R954">
        <v>0.89393</v>
      </c>
      <c r="S954">
        <v>0.82176000000000005</v>
      </c>
      <c r="T954">
        <v>106.38500000000001</v>
      </c>
      <c r="U954">
        <v>1</v>
      </c>
    </row>
    <row r="955" spans="1:35" hidden="1" outlineLevel="1">
      <c r="A955" s="8">
        <v>43684</v>
      </c>
      <c r="B955" s="1860">
        <v>2578.0682900000002</v>
      </c>
      <c r="C955" s="1860">
        <v>3525.5895099999998</v>
      </c>
      <c r="D955" s="1860">
        <v>3848.3520800000001</v>
      </c>
      <c r="E955" s="1860">
        <v>4170.0345799999996</v>
      </c>
      <c r="F955">
        <v>32.440950000000001</v>
      </c>
      <c r="G955" s="1861">
        <v>3431.28</v>
      </c>
      <c r="I955">
        <v>0.75134000000000001</v>
      </c>
      <c r="J955">
        <v>1.0274799999999999</v>
      </c>
      <c r="K955">
        <v>1.12155</v>
      </c>
      <c r="L955">
        <v>1.2153</v>
      </c>
      <c r="M955">
        <v>9.4500000000000001E-3</v>
      </c>
      <c r="N955">
        <v>1</v>
      </c>
      <c r="P955">
        <v>1.3309500000000001</v>
      </c>
      <c r="Q955">
        <v>0.97324999999999995</v>
      </c>
      <c r="R955">
        <v>0.89161999999999997</v>
      </c>
      <c r="S955">
        <v>0.82284000000000002</v>
      </c>
      <c r="T955">
        <v>105.77</v>
      </c>
      <c r="U955">
        <v>1</v>
      </c>
    </row>
    <row r="956" spans="1:35" hidden="1" outlineLevel="1">
      <c r="A956" s="8">
        <v>43685</v>
      </c>
      <c r="B956" s="1860">
        <v>2584.0870500000001</v>
      </c>
      <c r="C956" s="1860">
        <v>3510.2608599999999</v>
      </c>
      <c r="D956" s="1860">
        <v>3843.20516</v>
      </c>
      <c r="E956" s="1860">
        <v>4163.3435799999997</v>
      </c>
      <c r="F956">
        <v>32.305039999999998</v>
      </c>
      <c r="G956" s="1861">
        <v>3431.28</v>
      </c>
      <c r="I956">
        <v>0.75309000000000004</v>
      </c>
      <c r="J956">
        <v>1.02301</v>
      </c>
      <c r="K956">
        <v>1.12005</v>
      </c>
      <c r="L956">
        <v>1.2133499999999999</v>
      </c>
      <c r="M956">
        <v>9.41E-3</v>
      </c>
      <c r="N956">
        <v>1</v>
      </c>
      <c r="P956">
        <v>1.32785</v>
      </c>
      <c r="Q956">
        <v>0.97750000000000004</v>
      </c>
      <c r="R956">
        <v>0.89280999999999999</v>
      </c>
      <c r="S956">
        <v>0.82416</v>
      </c>
      <c r="T956">
        <v>106.215</v>
      </c>
      <c r="U956">
        <v>1</v>
      </c>
    </row>
    <row r="957" spans="1:35" hidden="1" outlineLevel="1">
      <c r="A957" s="8">
        <v>43686</v>
      </c>
      <c r="B957" s="1860">
        <v>2563.7112000000002</v>
      </c>
      <c r="C957" s="1860">
        <v>3485.5837299999998</v>
      </c>
      <c r="D957" s="1860">
        <v>3802.4723899999999</v>
      </c>
      <c r="E957" s="1860">
        <v>4100.3494099999998</v>
      </c>
      <c r="F957">
        <v>32.129190000000001</v>
      </c>
      <c r="G957" s="1861">
        <v>3394.61</v>
      </c>
      <c r="I957">
        <v>0.75522</v>
      </c>
      <c r="J957">
        <v>1.0267900000000001</v>
      </c>
      <c r="K957">
        <v>1.12015</v>
      </c>
      <c r="L957">
        <v>1.2079</v>
      </c>
      <c r="M957">
        <v>9.4599999999999997E-3</v>
      </c>
      <c r="N957">
        <v>1</v>
      </c>
      <c r="P957">
        <v>1.3241000000000001</v>
      </c>
      <c r="Q957">
        <v>0.97389999999999999</v>
      </c>
      <c r="R957">
        <v>0.89273000000000002</v>
      </c>
      <c r="S957">
        <v>0.82787999999999995</v>
      </c>
      <c r="T957">
        <v>105.655</v>
      </c>
      <c r="U957">
        <v>1</v>
      </c>
    </row>
    <row r="958" spans="1:35" hidden="1" outlineLevel="1">
      <c r="A958" s="8">
        <v>43687</v>
      </c>
      <c r="B958" s="1860">
        <v>2554.7239599999998</v>
      </c>
      <c r="C958" s="1860">
        <v>3473.3648199999998</v>
      </c>
      <c r="D958" s="1860">
        <v>3789.1426000000001</v>
      </c>
      <c r="E958" s="1860">
        <v>4085.9753999999998</v>
      </c>
      <c r="F958">
        <v>32.016559999999998</v>
      </c>
      <c r="G958" s="1861">
        <v>3382.71</v>
      </c>
      <c r="I958">
        <v>0.75522</v>
      </c>
      <c r="J958">
        <v>1.0267900000000001</v>
      </c>
      <c r="K958">
        <v>1.12015</v>
      </c>
      <c r="L958">
        <v>1.2079</v>
      </c>
      <c r="M958">
        <v>9.4599999999999997E-3</v>
      </c>
      <c r="N958">
        <v>1</v>
      </c>
      <c r="P958">
        <v>1.3241000000000001</v>
      </c>
      <c r="Q958">
        <v>0.97389999999999999</v>
      </c>
      <c r="R958">
        <v>0.89273000000000002</v>
      </c>
      <c r="S958">
        <v>0.82787999999999995</v>
      </c>
      <c r="T958">
        <v>105.655</v>
      </c>
      <c r="U958">
        <v>1</v>
      </c>
    </row>
    <row r="959" spans="1:35" hidden="1" outlineLevel="1">
      <c r="A959" s="8">
        <v>43688</v>
      </c>
      <c r="B959" s="1860">
        <v>2554.7239599999998</v>
      </c>
      <c r="C959" s="1860">
        <v>3473.3648199999998</v>
      </c>
      <c r="D959" s="1860">
        <v>3789.1426000000001</v>
      </c>
      <c r="E959" s="1860">
        <v>4085.9753999999998</v>
      </c>
      <c r="F959">
        <v>32.016559999999998</v>
      </c>
      <c r="G959" s="1861">
        <v>3382.71</v>
      </c>
      <c r="I959">
        <v>0.75522</v>
      </c>
      <c r="J959">
        <v>1.0267900000000001</v>
      </c>
      <c r="K959">
        <v>1.12015</v>
      </c>
      <c r="L959">
        <v>1.2079</v>
      </c>
      <c r="M959">
        <v>9.4599999999999997E-3</v>
      </c>
      <c r="N959">
        <v>1</v>
      </c>
      <c r="P959">
        <v>1.3241000000000001</v>
      </c>
      <c r="Q959">
        <v>0.97389999999999999</v>
      </c>
      <c r="R959">
        <v>0.89273000000000002</v>
      </c>
      <c r="S959">
        <v>0.82787999999999995</v>
      </c>
      <c r="T959">
        <v>105.655</v>
      </c>
      <c r="U959">
        <v>1</v>
      </c>
    </row>
    <row r="960" spans="1:35" hidden="1" outlineLevel="1">
      <c r="A960" s="8">
        <v>43689</v>
      </c>
      <c r="B960" s="1860">
        <v>2555.6890199999998</v>
      </c>
      <c r="C960" s="1860">
        <v>3487.32989</v>
      </c>
      <c r="D960" s="1860">
        <v>3795.0623399999999</v>
      </c>
      <c r="E960" s="1860">
        <v>4087.8358899999998</v>
      </c>
      <c r="F960">
        <v>32.122970000000002</v>
      </c>
      <c r="G960" s="1861">
        <v>3382.71</v>
      </c>
      <c r="I960">
        <v>0.75551000000000001</v>
      </c>
      <c r="J960">
        <v>1.0309200000000001</v>
      </c>
      <c r="K960">
        <v>1.1218999999999999</v>
      </c>
      <c r="L960">
        <v>1.20845</v>
      </c>
      <c r="M960">
        <v>9.4900000000000002E-3</v>
      </c>
      <c r="N960">
        <v>1</v>
      </c>
      <c r="P960">
        <v>1.3236000000000001</v>
      </c>
      <c r="Q960">
        <v>0.97</v>
      </c>
      <c r="R960">
        <v>0.89134000000000002</v>
      </c>
      <c r="S960">
        <v>0.82750000000000001</v>
      </c>
      <c r="T960">
        <v>105.30500000000001</v>
      </c>
      <c r="U960">
        <v>1</v>
      </c>
    </row>
    <row r="961" spans="1:21" hidden="1" outlineLevel="1">
      <c r="A961" s="8">
        <v>43690</v>
      </c>
      <c r="B961" s="1860">
        <v>2597.02981</v>
      </c>
      <c r="C961" s="1860">
        <v>3527.98767</v>
      </c>
      <c r="D961" s="1860">
        <v>3844.4876800000002</v>
      </c>
      <c r="E961" s="1860">
        <v>4148.0812500000002</v>
      </c>
      <c r="F961">
        <v>32.224499999999999</v>
      </c>
      <c r="G961" s="1861">
        <v>3436.26</v>
      </c>
      <c r="I961">
        <v>0.75577000000000005</v>
      </c>
      <c r="J961">
        <v>1.0266900000000001</v>
      </c>
      <c r="K961">
        <v>1.1188</v>
      </c>
      <c r="L961">
        <v>1.2071499999999999</v>
      </c>
      <c r="M961">
        <v>9.3699999999999999E-3</v>
      </c>
      <c r="N961">
        <v>1</v>
      </c>
      <c r="P961">
        <v>1.32315</v>
      </c>
      <c r="Q961">
        <v>0.97399999999999998</v>
      </c>
      <c r="R961">
        <v>0.89380999999999999</v>
      </c>
      <c r="S961">
        <v>0.82838999999999996</v>
      </c>
      <c r="T961">
        <v>106.63500000000001</v>
      </c>
      <c r="U961">
        <v>1</v>
      </c>
    </row>
    <row r="962" spans="1:21" hidden="1" outlineLevel="1">
      <c r="A962" s="8">
        <v>43691</v>
      </c>
      <c r="B962" s="1860">
        <v>2561.4551999999999</v>
      </c>
      <c r="C962" s="1860">
        <v>3504.6639500000001</v>
      </c>
      <c r="D962" s="1860">
        <v>3799.6523999999999</v>
      </c>
      <c r="E962" s="1860">
        <v>4113.1663200000003</v>
      </c>
      <c r="F962">
        <v>32.207920000000001</v>
      </c>
      <c r="G962" s="1861">
        <v>3407.76</v>
      </c>
      <c r="I962">
        <v>0.75165000000000004</v>
      </c>
      <c r="J962">
        <v>1.02843</v>
      </c>
      <c r="K962">
        <v>1.115</v>
      </c>
      <c r="L962">
        <v>1.2070000000000001</v>
      </c>
      <c r="M962">
        <v>9.4500000000000001E-3</v>
      </c>
      <c r="N962">
        <v>1</v>
      </c>
      <c r="P962">
        <v>1.3304</v>
      </c>
      <c r="Q962">
        <v>0.97235000000000005</v>
      </c>
      <c r="R962">
        <v>0.89685999999999999</v>
      </c>
      <c r="S962">
        <v>0.82850000000000001</v>
      </c>
      <c r="T962">
        <v>105.80500000000001</v>
      </c>
      <c r="U962">
        <v>1</v>
      </c>
    </row>
    <row r="963" spans="1:21" hidden="1" outlineLevel="1">
      <c r="A963" s="8">
        <v>43692</v>
      </c>
      <c r="B963" s="1860">
        <v>2587.4052900000002</v>
      </c>
      <c r="C963" s="1860">
        <v>3534.6313399999999</v>
      </c>
      <c r="D963" s="1860">
        <v>3831.6215699999998</v>
      </c>
      <c r="E963" s="1860">
        <v>4177.9282800000001</v>
      </c>
      <c r="F963">
        <v>32.495829999999998</v>
      </c>
      <c r="G963" s="1861">
        <v>3449.27</v>
      </c>
      <c r="I963">
        <v>0.75012999999999996</v>
      </c>
      <c r="J963">
        <v>1.02474</v>
      </c>
      <c r="K963">
        <v>1.1108499999999999</v>
      </c>
      <c r="L963">
        <v>1.2112499999999999</v>
      </c>
      <c r="M963">
        <v>9.4199999999999996E-3</v>
      </c>
      <c r="N963">
        <v>1</v>
      </c>
      <c r="P963">
        <v>1.3331</v>
      </c>
      <c r="Q963">
        <v>0.97585</v>
      </c>
      <c r="R963">
        <v>0.90020999999999995</v>
      </c>
      <c r="S963">
        <v>0.82559000000000005</v>
      </c>
      <c r="T963">
        <v>106.145</v>
      </c>
      <c r="U963">
        <v>1</v>
      </c>
    </row>
    <row r="964" spans="1:21" hidden="1" outlineLevel="1">
      <c r="A964" s="8">
        <v>43693</v>
      </c>
      <c r="B964" s="1860">
        <v>2591.32656</v>
      </c>
      <c r="C964" s="1860">
        <v>3520.4574400000001</v>
      </c>
      <c r="D964" s="1860">
        <v>3828.5650900000001</v>
      </c>
      <c r="E964" s="1860">
        <v>4186.6149599999999</v>
      </c>
      <c r="F964">
        <v>32.408320000000003</v>
      </c>
      <c r="G964" s="1861">
        <v>3447.76</v>
      </c>
      <c r="I964">
        <v>0.75158999999999998</v>
      </c>
      <c r="J964">
        <v>1.02108</v>
      </c>
      <c r="K964">
        <v>1.1104499999999999</v>
      </c>
      <c r="L964">
        <v>1.2142999999999999</v>
      </c>
      <c r="M964">
        <v>9.3900000000000008E-3</v>
      </c>
      <c r="N964">
        <v>1</v>
      </c>
      <c r="P964">
        <v>1.3305</v>
      </c>
      <c r="Q964">
        <v>0.97935000000000005</v>
      </c>
      <c r="R964">
        <v>0.90053000000000005</v>
      </c>
      <c r="S964">
        <v>0.82350999999999996</v>
      </c>
      <c r="T964">
        <v>106.38500000000001</v>
      </c>
      <c r="U964">
        <v>1</v>
      </c>
    </row>
    <row r="965" spans="1:21" hidden="1" outlineLevel="1">
      <c r="A965" s="8">
        <v>43694</v>
      </c>
      <c r="B965" s="1860">
        <v>2586.5464099999999</v>
      </c>
      <c r="C965" s="1860">
        <v>3513.9633399999998</v>
      </c>
      <c r="D965" s="1860">
        <v>3821.50263</v>
      </c>
      <c r="E965" s="1860">
        <v>4178.8920200000002</v>
      </c>
      <c r="F965">
        <v>32.34854</v>
      </c>
      <c r="G965" s="1861">
        <v>3441.4</v>
      </c>
      <c r="I965">
        <v>0.75158999999999998</v>
      </c>
      <c r="J965">
        <v>1.02108</v>
      </c>
      <c r="K965">
        <v>1.1104499999999999</v>
      </c>
      <c r="L965">
        <v>1.2142999999999999</v>
      </c>
      <c r="M965">
        <v>9.3900000000000008E-3</v>
      </c>
      <c r="N965">
        <v>1</v>
      </c>
      <c r="P965">
        <v>1.3305</v>
      </c>
      <c r="Q965">
        <v>0.97935000000000005</v>
      </c>
      <c r="R965">
        <v>0.90053000000000005</v>
      </c>
      <c r="S965">
        <v>0.82350999999999996</v>
      </c>
      <c r="T965">
        <v>106.38500000000001</v>
      </c>
      <c r="U965">
        <v>1</v>
      </c>
    </row>
    <row r="966" spans="1:21" hidden="1" outlineLevel="1">
      <c r="A966" s="8">
        <v>43695</v>
      </c>
      <c r="B966" s="1860">
        <v>2586.5464099999999</v>
      </c>
      <c r="C966" s="1860">
        <v>3513.9633399999998</v>
      </c>
      <c r="D966" s="1860">
        <v>3821.50263</v>
      </c>
      <c r="E966" s="1860">
        <v>4178.8920200000002</v>
      </c>
      <c r="F966">
        <v>32.34854</v>
      </c>
      <c r="G966" s="1861">
        <v>3441.4</v>
      </c>
      <c r="I966">
        <v>0.75158999999999998</v>
      </c>
      <c r="J966">
        <v>1.02108</v>
      </c>
      <c r="K966">
        <v>1.1104499999999999</v>
      </c>
      <c r="L966">
        <v>1.2142999999999999</v>
      </c>
      <c r="M966">
        <v>9.3900000000000008E-3</v>
      </c>
      <c r="N966">
        <v>1</v>
      </c>
      <c r="P966">
        <v>1.3305</v>
      </c>
      <c r="Q966">
        <v>0.97935000000000005</v>
      </c>
      <c r="R966">
        <v>0.90053000000000005</v>
      </c>
      <c r="S966">
        <v>0.82350999999999996</v>
      </c>
      <c r="T966">
        <v>106.38500000000001</v>
      </c>
      <c r="U966">
        <v>1</v>
      </c>
    </row>
    <row r="967" spans="1:21" hidden="1" outlineLevel="1">
      <c r="A967" s="8">
        <v>43696</v>
      </c>
      <c r="B967" s="1860">
        <v>2590.2453700000001</v>
      </c>
      <c r="C967" s="1860">
        <v>3509.1261300000001</v>
      </c>
      <c r="D967" s="1860">
        <v>3818.4053699999999</v>
      </c>
      <c r="E967" s="1860">
        <v>4175.9668300000003</v>
      </c>
      <c r="F967">
        <v>32.315130000000003</v>
      </c>
      <c r="G967" s="1861">
        <v>3441.4</v>
      </c>
      <c r="I967">
        <v>0.75266999999999995</v>
      </c>
      <c r="J967">
        <v>1.0196700000000001</v>
      </c>
      <c r="K967">
        <v>1.10955</v>
      </c>
      <c r="L967">
        <v>1.2134499999999999</v>
      </c>
      <c r="M967">
        <v>9.3900000000000008E-3</v>
      </c>
      <c r="N967">
        <v>1</v>
      </c>
      <c r="P967">
        <v>1.3286</v>
      </c>
      <c r="Q967">
        <v>0.98070000000000002</v>
      </c>
      <c r="R967">
        <v>0.90125999999999995</v>
      </c>
      <c r="S967">
        <v>0.82408999999999999</v>
      </c>
      <c r="T967">
        <v>106.495</v>
      </c>
      <c r="U967">
        <v>1</v>
      </c>
    </row>
    <row r="968" spans="1:21" hidden="1" outlineLevel="1">
      <c r="A968" s="8">
        <v>43697</v>
      </c>
      <c r="B968" s="1860">
        <v>2583.8276099999998</v>
      </c>
      <c r="C968" s="1860">
        <v>3514.5016300000002</v>
      </c>
      <c r="D968" s="1860">
        <v>3816.1684599999999</v>
      </c>
      <c r="E968" s="1860">
        <v>4175.1064800000004</v>
      </c>
      <c r="F968">
        <v>32.369840000000003</v>
      </c>
      <c r="G968" s="1861">
        <v>3441.4</v>
      </c>
      <c r="I968">
        <v>0.75080000000000002</v>
      </c>
      <c r="J968">
        <v>1.0212399999999999</v>
      </c>
      <c r="K968">
        <v>1.1089</v>
      </c>
      <c r="L968">
        <v>1.2132000000000001</v>
      </c>
      <c r="M968">
        <v>9.4000000000000004E-3</v>
      </c>
      <c r="N968">
        <v>1</v>
      </c>
      <c r="P968">
        <v>1.3319000000000001</v>
      </c>
      <c r="Q968">
        <v>0.97919999999999996</v>
      </c>
      <c r="R968">
        <v>0.90178999999999998</v>
      </c>
      <c r="S968">
        <v>0.82425999999999999</v>
      </c>
      <c r="T968">
        <v>106.315</v>
      </c>
      <c r="U968">
        <v>1</v>
      </c>
    </row>
    <row r="969" spans="1:21" hidden="1" outlineLevel="1">
      <c r="A969" s="8">
        <v>43698</v>
      </c>
      <c r="B969" s="1860">
        <v>2575.4648699999998</v>
      </c>
      <c r="C969" s="1860">
        <v>3487.2476999999999</v>
      </c>
      <c r="D969" s="1860">
        <v>3795.0752499999999</v>
      </c>
      <c r="E969" s="1860">
        <v>4149.8319099999999</v>
      </c>
      <c r="F969">
        <v>32.131019999999999</v>
      </c>
      <c r="G969" s="1861">
        <v>3420.99</v>
      </c>
      <c r="I969">
        <v>0.75283999999999995</v>
      </c>
      <c r="J969">
        <v>1.01936</v>
      </c>
      <c r="K969">
        <v>1.1093500000000001</v>
      </c>
      <c r="L969">
        <v>1.21305</v>
      </c>
      <c r="M969">
        <v>9.3900000000000008E-3</v>
      </c>
      <c r="N969">
        <v>1</v>
      </c>
      <c r="P969">
        <v>1.3283</v>
      </c>
      <c r="Q969">
        <v>0.98099999999999998</v>
      </c>
      <c r="R969">
        <v>0.90142</v>
      </c>
      <c r="S969">
        <v>0.82435999999999998</v>
      </c>
      <c r="T969">
        <v>106.47</v>
      </c>
      <c r="U969">
        <v>1</v>
      </c>
    </row>
    <row r="970" spans="1:21" hidden="1" outlineLevel="1">
      <c r="A970" s="8">
        <v>43699</v>
      </c>
      <c r="B970" s="1860">
        <v>2544.9406100000001</v>
      </c>
      <c r="C970" s="1860">
        <v>3440.5000199999999</v>
      </c>
      <c r="D970" s="1860">
        <v>3751.0594999999998</v>
      </c>
      <c r="E970" s="1860">
        <v>4147.6450500000001</v>
      </c>
      <c r="F970">
        <v>31.79711</v>
      </c>
      <c r="G970" s="1861">
        <v>3385.28</v>
      </c>
      <c r="I970">
        <v>0.75175999999999998</v>
      </c>
      <c r="J970">
        <v>1.01631</v>
      </c>
      <c r="K970">
        <v>1.10805</v>
      </c>
      <c r="L970">
        <v>1.2252000000000001</v>
      </c>
      <c r="M970">
        <v>9.3900000000000008E-3</v>
      </c>
      <c r="N970">
        <v>1</v>
      </c>
      <c r="P970">
        <v>1.3302</v>
      </c>
      <c r="Q970">
        <v>0.98394999999999999</v>
      </c>
      <c r="R970">
        <v>0.90247999999999995</v>
      </c>
      <c r="S970">
        <v>0.81618999999999997</v>
      </c>
      <c r="T970">
        <v>106.465</v>
      </c>
      <c r="U970">
        <v>1</v>
      </c>
    </row>
    <row r="971" spans="1:21" hidden="1" outlineLevel="1">
      <c r="A971" s="8">
        <v>43700</v>
      </c>
      <c r="B971" s="1860">
        <v>2542.24413</v>
      </c>
      <c r="C971" s="1860">
        <v>3442.0446400000001</v>
      </c>
      <c r="D971" s="1860">
        <v>3751.3293399999998</v>
      </c>
      <c r="E971" s="1860">
        <v>4145.08637</v>
      </c>
      <c r="F971">
        <v>31.871919999999999</v>
      </c>
      <c r="G971" s="1861">
        <v>3376.99</v>
      </c>
      <c r="I971">
        <v>0.75280999999999998</v>
      </c>
      <c r="J971">
        <v>1.0192600000000001</v>
      </c>
      <c r="K971">
        <v>1.1108499999999999</v>
      </c>
      <c r="L971">
        <v>1.2274499999999999</v>
      </c>
      <c r="M971">
        <v>9.4299999999999991E-3</v>
      </c>
      <c r="N971">
        <v>1</v>
      </c>
      <c r="P971">
        <v>1.3283499999999999</v>
      </c>
      <c r="Q971">
        <v>0.98109999999999997</v>
      </c>
      <c r="R971">
        <v>0.90020999999999995</v>
      </c>
      <c r="S971">
        <v>0.81469000000000003</v>
      </c>
      <c r="T971">
        <v>105.955</v>
      </c>
      <c r="U971">
        <v>1</v>
      </c>
    </row>
    <row r="972" spans="1:21" hidden="1" outlineLevel="1">
      <c r="A972" s="8">
        <v>43701</v>
      </c>
      <c r="B972" s="1860">
        <v>2559.52873</v>
      </c>
      <c r="C972" s="1860">
        <v>3465.4469399999998</v>
      </c>
      <c r="D972" s="1860">
        <v>3776.8344499999998</v>
      </c>
      <c r="E972" s="1860">
        <v>4173.2686199999998</v>
      </c>
      <c r="F972">
        <v>32.088619999999999</v>
      </c>
      <c r="G972" s="1861">
        <v>3399.95</v>
      </c>
      <c r="I972">
        <v>0.75280999999999998</v>
      </c>
      <c r="J972">
        <v>1.0192600000000001</v>
      </c>
      <c r="K972">
        <v>1.1108499999999999</v>
      </c>
      <c r="L972">
        <v>1.2274499999999999</v>
      </c>
      <c r="M972">
        <v>9.4299999999999991E-3</v>
      </c>
      <c r="N972">
        <v>1</v>
      </c>
      <c r="P972">
        <v>1.3283499999999999</v>
      </c>
      <c r="Q972">
        <v>0.98109999999999997</v>
      </c>
      <c r="R972">
        <v>0.90020999999999995</v>
      </c>
      <c r="S972">
        <v>0.81469000000000003</v>
      </c>
      <c r="T972">
        <v>105.955</v>
      </c>
      <c r="U972">
        <v>1</v>
      </c>
    </row>
    <row r="973" spans="1:21" hidden="1" outlineLevel="1">
      <c r="A973" s="8">
        <v>43702</v>
      </c>
      <c r="B973" s="1860">
        <v>2559.52873</v>
      </c>
      <c r="C973" s="1860">
        <v>3465.4469399999998</v>
      </c>
      <c r="D973" s="1860">
        <v>3776.8344499999998</v>
      </c>
      <c r="E973" s="1860">
        <v>4173.2686199999998</v>
      </c>
      <c r="F973">
        <v>32.088619999999999</v>
      </c>
      <c r="G973" s="1861">
        <v>3399.95</v>
      </c>
      <c r="I973">
        <v>0.75280999999999998</v>
      </c>
      <c r="J973">
        <v>1.0192600000000001</v>
      </c>
      <c r="K973">
        <v>1.1108499999999999</v>
      </c>
      <c r="L973">
        <v>1.2274499999999999</v>
      </c>
      <c r="M973">
        <v>9.4299999999999991E-3</v>
      </c>
      <c r="N973">
        <v>1</v>
      </c>
      <c r="P973">
        <v>1.3283499999999999</v>
      </c>
      <c r="Q973">
        <v>0.98109999999999997</v>
      </c>
      <c r="R973">
        <v>0.90020999999999995</v>
      </c>
      <c r="S973">
        <v>0.81469000000000003</v>
      </c>
      <c r="T973">
        <v>105.955</v>
      </c>
      <c r="U973">
        <v>1</v>
      </c>
    </row>
    <row r="974" spans="1:21" hidden="1" outlineLevel="1">
      <c r="A974" s="8">
        <v>43703</v>
      </c>
      <c r="B974" s="1860">
        <v>2558.3731499999999</v>
      </c>
      <c r="C974" s="1860">
        <v>3475.8983699999999</v>
      </c>
      <c r="D974" s="1860">
        <v>3778.5344300000002</v>
      </c>
      <c r="E974" s="1860">
        <v>4155.5888800000002</v>
      </c>
      <c r="F974">
        <v>32.082560000000001</v>
      </c>
      <c r="G974" s="1861">
        <v>3399.95</v>
      </c>
      <c r="I974">
        <v>0.75246999999999997</v>
      </c>
      <c r="J974">
        <v>1.02233</v>
      </c>
      <c r="K974">
        <v>1.1113500000000001</v>
      </c>
      <c r="L974">
        <v>1.2222500000000001</v>
      </c>
      <c r="M974">
        <v>9.4299999999999991E-3</v>
      </c>
      <c r="N974">
        <v>1</v>
      </c>
      <c r="P974">
        <v>1.3289500000000001</v>
      </c>
      <c r="Q974">
        <v>0.97814999999999996</v>
      </c>
      <c r="R974">
        <v>0.89980000000000004</v>
      </c>
      <c r="S974">
        <v>0.81816</v>
      </c>
      <c r="T974">
        <v>105.97499999999999</v>
      </c>
      <c r="U974">
        <v>1</v>
      </c>
    </row>
    <row r="975" spans="1:21" hidden="1" outlineLevel="1">
      <c r="A975" s="8">
        <v>43704</v>
      </c>
      <c r="B975" s="1860">
        <v>2588.2907300000002</v>
      </c>
      <c r="C975" s="1860">
        <v>3496.8422099999998</v>
      </c>
      <c r="D975" s="1860">
        <v>3810.8067799999999</v>
      </c>
      <c r="E975" s="1860">
        <v>4213.9950099999996</v>
      </c>
      <c r="F975">
        <v>32.411360000000002</v>
      </c>
      <c r="G975" s="1861">
        <v>3432.85</v>
      </c>
      <c r="I975">
        <v>0.75397000000000003</v>
      </c>
      <c r="J975">
        <v>1.01864</v>
      </c>
      <c r="K975">
        <v>1.1101000000000001</v>
      </c>
      <c r="L975">
        <v>1.2275499999999999</v>
      </c>
      <c r="M975">
        <v>9.4400000000000005E-3</v>
      </c>
      <c r="N975">
        <v>1</v>
      </c>
      <c r="P975">
        <v>1.3263</v>
      </c>
      <c r="Q975">
        <v>0.98170000000000002</v>
      </c>
      <c r="R975">
        <v>0.90081</v>
      </c>
      <c r="S975">
        <v>0.81462999999999997</v>
      </c>
      <c r="T975">
        <v>105.91500000000001</v>
      </c>
      <c r="U975">
        <v>1</v>
      </c>
    </row>
    <row r="976" spans="1:21" hidden="1" outlineLevel="1">
      <c r="A976" s="8">
        <v>43705</v>
      </c>
      <c r="B976" s="1860">
        <v>2600.01503</v>
      </c>
      <c r="C976" s="1860">
        <v>3523.42571</v>
      </c>
      <c r="D976" s="1860">
        <v>3829.7860599999999</v>
      </c>
      <c r="E976" s="1860">
        <v>4225.7144699999999</v>
      </c>
      <c r="F976">
        <v>32.650860000000002</v>
      </c>
      <c r="G976" s="1861">
        <v>3457.89</v>
      </c>
      <c r="I976">
        <v>0.75190000000000001</v>
      </c>
      <c r="J976">
        <v>1.01895</v>
      </c>
      <c r="K976">
        <v>1.10755</v>
      </c>
      <c r="L976">
        <v>1.2220500000000001</v>
      </c>
      <c r="M976">
        <v>9.4400000000000005E-3</v>
      </c>
      <c r="N976">
        <v>1</v>
      </c>
      <c r="P976">
        <v>1.32995</v>
      </c>
      <c r="Q976">
        <v>0.98140000000000005</v>
      </c>
      <c r="R976">
        <v>0.90288999999999997</v>
      </c>
      <c r="S976">
        <v>0.81828999999999996</v>
      </c>
      <c r="T976">
        <v>105.905</v>
      </c>
      <c r="U976">
        <v>1</v>
      </c>
    </row>
    <row r="977" spans="1:35" hidden="1" outlineLevel="1">
      <c r="A977" s="8">
        <v>43706</v>
      </c>
      <c r="B977" s="1860">
        <v>2614.4876300000001</v>
      </c>
      <c r="C977" s="1860">
        <v>3531.74224</v>
      </c>
      <c r="D977" s="1860">
        <v>3848.4085700000001</v>
      </c>
      <c r="E977" s="1860">
        <v>4243.9776099999999</v>
      </c>
      <c r="F977">
        <v>32.669730000000001</v>
      </c>
      <c r="G977" s="1861">
        <v>3477.53</v>
      </c>
      <c r="I977">
        <v>0.75182000000000004</v>
      </c>
      <c r="J977">
        <v>1.0155799999999999</v>
      </c>
      <c r="K977">
        <v>1.1066499999999999</v>
      </c>
      <c r="L977">
        <v>1.2203999999999999</v>
      </c>
      <c r="M977">
        <v>9.3900000000000008E-3</v>
      </c>
      <c r="N977">
        <v>1</v>
      </c>
      <c r="P977">
        <v>1.3301000000000001</v>
      </c>
      <c r="Q977">
        <v>0.98465000000000003</v>
      </c>
      <c r="R977">
        <v>0.90361999999999998</v>
      </c>
      <c r="S977">
        <v>0.81940000000000002</v>
      </c>
      <c r="T977">
        <v>106.44499999999999</v>
      </c>
      <c r="U977">
        <v>1</v>
      </c>
    </row>
    <row r="978" spans="1:35" hidden="1" outlineLevel="1">
      <c r="A978" s="8">
        <v>43707</v>
      </c>
      <c r="B978" s="1860">
        <v>2606.9762099999998</v>
      </c>
      <c r="C978" s="1860">
        <v>3501.08646</v>
      </c>
      <c r="D978" s="1860">
        <v>3814.89518</v>
      </c>
      <c r="E978" s="1860">
        <v>4218.8150699999997</v>
      </c>
      <c r="F978">
        <v>32.636009999999999</v>
      </c>
      <c r="G978" s="1861">
        <v>3464.15</v>
      </c>
      <c r="I978">
        <v>0.75255000000000005</v>
      </c>
      <c r="J978">
        <v>1.0106599999999999</v>
      </c>
      <c r="K978">
        <v>1.1012500000000001</v>
      </c>
      <c r="L978">
        <v>1.2178500000000001</v>
      </c>
      <c r="M978">
        <v>9.4199999999999996E-3</v>
      </c>
      <c r="N978">
        <v>1</v>
      </c>
      <c r="P978">
        <v>1.3288</v>
      </c>
      <c r="Q978">
        <v>0.98945000000000005</v>
      </c>
      <c r="R978">
        <v>0.90805000000000002</v>
      </c>
      <c r="S978">
        <v>0.82111000000000001</v>
      </c>
      <c r="T978">
        <v>106.145</v>
      </c>
      <c r="U978">
        <v>1</v>
      </c>
    </row>
    <row r="979" spans="1:35" ht="15.75" hidden="1" outlineLevel="1" thickBot="1">
      <c r="A979" s="1868">
        <v>43708</v>
      </c>
      <c r="B979" s="1869">
        <v>2579.2368999999999</v>
      </c>
      <c r="C979" s="1869">
        <v>3463.8334399999999</v>
      </c>
      <c r="D979" s="1869">
        <v>3774.3031099999998</v>
      </c>
      <c r="E979" s="1869">
        <v>4173.9251199999999</v>
      </c>
      <c r="F979" s="1870">
        <v>32.28875</v>
      </c>
      <c r="G979" s="1871">
        <v>3427.29</v>
      </c>
      <c r="H979" s="1872"/>
      <c r="I979" s="1870">
        <v>0.75255000000000005</v>
      </c>
      <c r="J979" s="1870">
        <v>1.0106599999999999</v>
      </c>
      <c r="K979" s="1870">
        <v>1.1012500000000001</v>
      </c>
      <c r="L979" s="1870">
        <v>1.2178500000000001</v>
      </c>
      <c r="M979" s="1870">
        <v>9.4199999999999996E-3</v>
      </c>
      <c r="N979" s="1870">
        <v>1</v>
      </c>
      <c r="O979" s="1872"/>
      <c r="P979" s="1870">
        <v>1.3288</v>
      </c>
      <c r="Q979" s="1870">
        <v>0.98945000000000005</v>
      </c>
      <c r="R979" s="1870">
        <v>0.90805000000000002</v>
      </c>
      <c r="S979" s="1870">
        <v>0.82111000000000001</v>
      </c>
      <c r="T979" s="1870">
        <v>106.145</v>
      </c>
      <c r="U979" s="1870">
        <v>1</v>
      </c>
      <c r="V979" s="1872"/>
    </row>
    <row r="980" spans="1:35" s="1857" customFormat="1" hidden="1" outlineLevel="1">
      <c r="A980" s="8">
        <v>43709</v>
      </c>
      <c r="B980" s="1860">
        <v>2579.2368999999999</v>
      </c>
      <c r="C980" s="1860">
        <v>3463.8334399999999</v>
      </c>
      <c r="D980" s="1860">
        <v>3774.3031099999998</v>
      </c>
      <c r="E980" s="1860">
        <v>4173.9251199999999</v>
      </c>
      <c r="F980">
        <v>32.28875</v>
      </c>
      <c r="G980" s="1861">
        <v>3427.29</v>
      </c>
      <c r="I980">
        <v>0.75255000000000005</v>
      </c>
      <c r="J980">
        <v>1.0106599999999999</v>
      </c>
      <c r="K980">
        <v>1.1012500000000001</v>
      </c>
      <c r="L980">
        <v>1.2178500000000001</v>
      </c>
      <c r="M980">
        <v>9.4199999999999996E-3</v>
      </c>
      <c r="N980">
        <v>1</v>
      </c>
      <c r="P980">
        <v>1.3288</v>
      </c>
      <c r="Q980">
        <v>0.98945000000000005</v>
      </c>
      <c r="R980">
        <v>0.90805000000000002</v>
      </c>
      <c r="S980">
        <v>0.82111000000000001</v>
      </c>
      <c r="T980">
        <v>106.145</v>
      </c>
      <c r="U980">
        <v>1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</row>
    <row r="981" spans="1:35" s="1857" customFormat="1" hidden="1" outlineLevel="1">
      <c r="A981" s="8">
        <v>43710</v>
      </c>
      <c r="B981" s="1860">
        <v>2574.00675</v>
      </c>
      <c r="C981" s="1860">
        <v>3457.8923399999999</v>
      </c>
      <c r="D981" s="1860">
        <v>3758.8802999999998</v>
      </c>
      <c r="E981" s="1860">
        <v>4134.1685600000001</v>
      </c>
      <c r="F981">
        <v>32.252290000000002</v>
      </c>
      <c r="G981" s="1861">
        <v>3427.29</v>
      </c>
      <c r="I981">
        <v>0.75102999999999998</v>
      </c>
      <c r="J981">
        <v>1.00892</v>
      </c>
      <c r="K981">
        <v>1.0967499999999999</v>
      </c>
      <c r="L981">
        <v>1.20625</v>
      </c>
      <c r="M981">
        <v>9.41E-3</v>
      </c>
      <c r="N981">
        <v>1</v>
      </c>
      <c r="P981">
        <v>1.3314999999999999</v>
      </c>
      <c r="Q981">
        <v>0.99114999999999998</v>
      </c>
      <c r="R981">
        <v>0.91178000000000003</v>
      </c>
      <c r="S981">
        <v>0.82901000000000002</v>
      </c>
      <c r="T981">
        <v>106.265</v>
      </c>
      <c r="U981">
        <v>1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</row>
    <row r="982" spans="1:35" s="1857" customFormat="1" hidden="1" outlineLevel="1">
      <c r="A982" s="8">
        <v>43711</v>
      </c>
      <c r="B982" s="1860">
        <v>2569.4718200000002</v>
      </c>
      <c r="C982" s="1860">
        <v>3470.6734099999999</v>
      </c>
      <c r="D982" s="1860">
        <v>3757.1666599999999</v>
      </c>
      <c r="E982" s="1860">
        <v>4144.9645200000004</v>
      </c>
      <c r="F982">
        <v>32.368040000000001</v>
      </c>
      <c r="G982" s="1861">
        <v>3427.29</v>
      </c>
      <c r="I982">
        <v>0.74970000000000003</v>
      </c>
      <c r="J982">
        <v>1.0126500000000001</v>
      </c>
      <c r="K982">
        <v>1.0962499999999999</v>
      </c>
      <c r="L982">
        <v>1.2094</v>
      </c>
      <c r="M982">
        <v>9.4400000000000005E-3</v>
      </c>
      <c r="N982">
        <v>1</v>
      </c>
      <c r="P982">
        <v>1.33385</v>
      </c>
      <c r="Q982">
        <v>0.98750000000000004</v>
      </c>
      <c r="R982">
        <v>0.91220000000000001</v>
      </c>
      <c r="S982">
        <v>0.82684999999999997</v>
      </c>
      <c r="T982">
        <v>105.88500000000001</v>
      </c>
      <c r="U982">
        <v>1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</row>
    <row r="983" spans="1:35" s="1857" customFormat="1" hidden="1" outlineLevel="1">
      <c r="A983" s="8">
        <v>43712</v>
      </c>
      <c r="B983" s="1860">
        <v>2589.2172700000001</v>
      </c>
      <c r="C983" s="1860">
        <v>3503.95883</v>
      </c>
      <c r="D983" s="1860">
        <v>3792.6148899999998</v>
      </c>
      <c r="E983" s="1860">
        <v>4192.6971700000004</v>
      </c>
      <c r="F983">
        <v>32.380139999999997</v>
      </c>
      <c r="G983" s="1861">
        <v>3438.61</v>
      </c>
      <c r="I983">
        <v>0.75297999999999998</v>
      </c>
      <c r="J983">
        <v>1.0189999999999999</v>
      </c>
      <c r="K983">
        <v>1.1029500000000001</v>
      </c>
      <c r="L983">
        <v>1.2193000000000001</v>
      </c>
      <c r="M983">
        <v>9.41E-3</v>
      </c>
      <c r="N983">
        <v>1</v>
      </c>
      <c r="P983">
        <v>1.32805</v>
      </c>
      <c r="Q983">
        <v>0.98134999999999994</v>
      </c>
      <c r="R983">
        <v>0.90664999999999996</v>
      </c>
      <c r="S983">
        <v>0.82013999999999998</v>
      </c>
      <c r="T983">
        <v>106.19499999999999</v>
      </c>
      <c r="U983">
        <v>1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</row>
    <row r="984" spans="1:35" s="1857" customFormat="1" hidden="1" outlineLevel="1">
      <c r="A984" s="8">
        <v>43713</v>
      </c>
      <c r="B984" s="1860">
        <v>2568.8583400000002</v>
      </c>
      <c r="C984" s="1860">
        <v>3448.4562700000001</v>
      </c>
      <c r="D984" s="1860">
        <v>3755.9385200000002</v>
      </c>
      <c r="E984" s="1860">
        <v>4191.6117400000003</v>
      </c>
      <c r="F984">
        <v>31.770569999999999</v>
      </c>
      <c r="G984" s="1861">
        <v>3401.04</v>
      </c>
      <c r="I984">
        <v>0.75531000000000004</v>
      </c>
      <c r="J984">
        <v>1.0139400000000001</v>
      </c>
      <c r="K984">
        <v>1.1043499999999999</v>
      </c>
      <c r="L984">
        <v>1.23245</v>
      </c>
      <c r="M984">
        <v>9.3399999999999993E-3</v>
      </c>
      <c r="N984">
        <v>1</v>
      </c>
      <c r="P984">
        <v>1.32395</v>
      </c>
      <c r="Q984">
        <v>0.98624999999999996</v>
      </c>
      <c r="R984">
        <v>0.90551000000000004</v>
      </c>
      <c r="S984">
        <v>0.81138999999999994</v>
      </c>
      <c r="T984">
        <v>107.05</v>
      </c>
      <c r="U984">
        <v>1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</row>
    <row r="985" spans="1:35" s="1857" customFormat="1" hidden="1" outlineLevel="1">
      <c r="A985" s="8">
        <v>43714</v>
      </c>
      <c r="B985" s="1860">
        <v>2562.9975300000001</v>
      </c>
      <c r="C985" s="1860">
        <v>3423.60871</v>
      </c>
      <c r="D985" s="1860">
        <v>3731.1716000000001</v>
      </c>
      <c r="E985" s="1860">
        <v>4158.9180399999996</v>
      </c>
      <c r="F985">
        <v>31.6309</v>
      </c>
      <c r="G985" s="1861">
        <v>3377.39</v>
      </c>
      <c r="I985">
        <v>0.75885999999999998</v>
      </c>
      <c r="J985">
        <v>1.0136799999999999</v>
      </c>
      <c r="K985">
        <v>1.1047499999999999</v>
      </c>
      <c r="L985">
        <v>1.2314000000000001</v>
      </c>
      <c r="M985">
        <v>9.3600000000000003E-3</v>
      </c>
      <c r="N985">
        <v>1</v>
      </c>
      <c r="P985">
        <v>1.31775</v>
      </c>
      <c r="Q985">
        <v>0.98650000000000004</v>
      </c>
      <c r="R985">
        <v>0.90517999999999998</v>
      </c>
      <c r="S985">
        <v>0.81208000000000002</v>
      </c>
      <c r="T985">
        <v>106.77500000000001</v>
      </c>
      <c r="U985">
        <v>1</v>
      </c>
      <c r="W985"/>
      <c r="X985"/>
      <c r="Y985"/>
      <c r="Z985"/>
      <c r="AA985"/>
      <c r="AB985"/>
      <c r="AC985"/>
      <c r="AD985"/>
      <c r="AE985"/>
      <c r="AF985"/>
      <c r="AG985"/>
      <c r="AH985"/>
      <c r="AI985"/>
    </row>
    <row r="986" spans="1:35" s="1857" customFormat="1" hidden="1" outlineLevel="1">
      <c r="A986" s="8">
        <v>43715</v>
      </c>
      <c r="B986" s="1860">
        <v>2551.09087</v>
      </c>
      <c r="C986" s="1860">
        <v>3407.7040000000002</v>
      </c>
      <c r="D986" s="1860">
        <v>3713.8380699999998</v>
      </c>
      <c r="E986" s="1860">
        <v>4139.5973800000002</v>
      </c>
      <c r="F986">
        <v>31.48396</v>
      </c>
      <c r="G986" s="1861">
        <v>3361.7</v>
      </c>
      <c r="I986">
        <v>0.75885999999999998</v>
      </c>
      <c r="J986">
        <v>1.0136799999999999</v>
      </c>
      <c r="K986">
        <v>1.1047499999999999</v>
      </c>
      <c r="L986">
        <v>1.2314000000000001</v>
      </c>
      <c r="M986">
        <v>9.3600000000000003E-3</v>
      </c>
      <c r="N986">
        <v>1</v>
      </c>
      <c r="P986">
        <v>1.31775</v>
      </c>
      <c r="Q986">
        <v>0.98650000000000004</v>
      </c>
      <c r="R986">
        <v>0.90517999999999998</v>
      </c>
      <c r="S986">
        <v>0.81208000000000002</v>
      </c>
      <c r="T986">
        <v>106.77500000000001</v>
      </c>
      <c r="U986">
        <v>1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</row>
    <row r="987" spans="1:35" s="1857" customFormat="1" hidden="1" outlineLevel="1">
      <c r="A987" s="8">
        <v>43716</v>
      </c>
      <c r="B987" s="1860">
        <v>2551.09087</v>
      </c>
      <c r="C987" s="1860">
        <v>3407.7040000000002</v>
      </c>
      <c r="D987" s="1860">
        <v>3713.8380699999998</v>
      </c>
      <c r="E987" s="1860">
        <v>4139.5973800000002</v>
      </c>
      <c r="F987">
        <v>31.48396</v>
      </c>
      <c r="G987" s="1861">
        <v>3361.7</v>
      </c>
      <c r="I987">
        <v>0.75885999999999998</v>
      </c>
      <c r="J987">
        <v>1.0136799999999999</v>
      </c>
      <c r="K987">
        <v>1.1047499999999999</v>
      </c>
      <c r="L987">
        <v>1.2314000000000001</v>
      </c>
      <c r="M987">
        <v>9.3600000000000003E-3</v>
      </c>
      <c r="N987">
        <v>1</v>
      </c>
      <c r="P987">
        <v>1.31775</v>
      </c>
      <c r="Q987">
        <v>0.98650000000000004</v>
      </c>
      <c r="R987">
        <v>0.90517999999999998</v>
      </c>
      <c r="S987">
        <v>0.81208000000000002</v>
      </c>
      <c r="T987">
        <v>106.77500000000001</v>
      </c>
      <c r="U987">
        <v>1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</row>
    <row r="988" spans="1:35" s="1857" customFormat="1" hidden="1" outlineLevel="1">
      <c r="A988" s="8">
        <v>43717</v>
      </c>
      <c r="B988" s="1860">
        <v>2554.77448</v>
      </c>
      <c r="C988" s="1860">
        <v>3394.4564999999998</v>
      </c>
      <c r="D988" s="1860">
        <v>3717.0316899999998</v>
      </c>
      <c r="E988" s="1860">
        <v>4149.3463099999999</v>
      </c>
      <c r="F988">
        <v>31.370840000000001</v>
      </c>
      <c r="G988" s="1861">
        <v>3361.7</v>
      </c>
      <c r="I988">
        <v>0.75995999999999997</v>
      </c>
      <c r="J988">
        <v>1.0097400000000001</v>
      </c>
      <c r="K988">
        <v>1.1056999999999999</v>
      </c>
      <c r="L988">
        <v>1.2343</v>
      </c>
      <c r="M988">
        <v>9.3299999999999998E-3</v>
      </c>
      <c r="N988">
        <v>1</v>
      </c>
      <c r="P988">
        <v>1.31585</v>
      </c>
      <c r="Q988">
        <v>0.99034999999999995</v>
      </c>
      <c r="R988">
        <v>0.90439999999999998</v>
      </c>
      <c r="S988">
        <v>0.81016999999999995</v>
      </c>
      <c r="T988">
        <v>107.16</v>
      </c>
      <c r="U988">
        <v>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</row>
    <row r="989" spans="1:35" s="1857" customFormat="1" hidden="1" outlineLevel="1">
      <c r="A989" s="8">
        <v>43718</v>
      </c>
      <c r="B989" s="1860">
        <v>2561.5329000000002</v>
      </c>
      <c r="C989" s="1860">
        <v>3404.7197900000001</v>
      </c>
      <c r="D989" s="1860">
        <v>3719.49208</v>
      </c>
      <c r="E989" s="1860">
        <v>4161.6470799999997</v>
      </c>
      <c r="F989">
        <v>31.400469999999999</v>
      </c>
      <c r="G989" s="1861">
        <v>3368.8</v>
      </c>
      <c r="I989">
        <v>0.76036000000000004</v>
      </c>
      <c r="J989">
        <v>1.0106599999999999</v>
      </c>
      <c r="K989">
        <v>1.1041000000000001</v>
      </c>
      <c r="L989">
        <v>1.2353499999999999</v>
      </c>
      <c r="M989">
        <v>9.3200000000000002E-3</v>
      </c>
      <c r="N989">
        <v>1</v>
      </c>
      <c r="P989">
        <v>1.31515</v>
      </c>
      <c r="Q989">
        <v>0.98945000000000005</v>
      </c>
      <c r="R989">
        <v>0.90571000000000002</v>
      </c>
      <c r="S989">
        <v>0.80947999999999998</v>
      </c>
      <c r="T989">
        <v>107.285</v>
      </c>
      <c r="U989">
        <v>1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</row>
    <row r="990" spans="1:35" s="1857" customFormat="1" hidden="1" outlineLevel="1">
      <c r="A990" s="8">
        <v>43719</v>
      </c>
      <c r="B990" s="1860">
        <v>2561.7905000000001</v>
      </c>
      <c r="C990" s="1860">
        <v>3395.1393699999999</v>
      </c>
      <c r="D990" s="1860">
        <v>3710.1128699999999</v>
      </c>
      <c r="E990" s="1860">
        <v>4164.89437</v>
      </c>
      <c r="F990">
        <v>31.312349999999999</v>
      </c>
      <c r="G990" s="1861">
        <v>3373.75</v>
      </c>
      <c r="I990">
        <v>0.75932999999999995</v>
      </c>
      <c r="J990">
        <v>1.0063299999999999</v>
      </c>
      <c r="K990">
        <v>1.0996999999999999</v>
      </c>
      <c r="L990">
        <v>1.2344999999999999</v>
      </c>
      <c r="M990">
        <v>9.2800000000000001E-3</v>
      </c>
      <c r="N990">
        <v>1</v>
      </c>
      <c r="P990">
        <v>1.3169500000000001</v>
      </c>
      <c r="Q990">
        <v>0.99370000000000003</v>
      </c>
      <c r="R990">
        <v>0.90932999999999997</v>
      </c>
      <c r="S990">
        <v>0.81003999999999998</v>
      </c>
      <c r="T990">
        <v>107.745</v>
      </c>
      <c r="U990">
        <v>1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</row>
    <row r="991" spans="1:35" s="1857" customFormat="1" hidden="1" outlineLevel="1">
      <c r="A991" s="8">
        <v>43720</v>
      </c>
      <c r="B991" s="1860">
        <v>2555.5866999999998</v>
      </c>
      <c r="C991" s="1860">
        <v>3402.2496799999999</v>
      </c>
      <c r="D991" s="1860">
        <v>3720.01406</v>
      </c>
      <c r="E991" s="1860">
        <v>4158.7737100000004</v>
      </c>
      <c r="F991">
        <v>31.25995</v>
      </c>
      <c r="G991" s="1861">
        <v>3372.48</v>
      </c>
      <c r="I991">
        <v>0.75777000000000005</v>
      </c>
      <c r="J991">
        <v>1.0088200000000001</v>
      </c>
      <c r="K991">
        <v>1.1030500000000001</v>
      </c>
      <c r="L991">
        <v>1.23315</v>
      </c>
      <c r="M991">
        <v>9.2599999999999991E-3</v>
      </c>
      <c r="N991">
        <v>1</v>
      </c>
      <c r="P991">
        <v>1.31965</v>
      </c>
      <c r="Q991">
        <v>0.99124999999999996</v>
      </c>
      <c r="R991">
        <v>0.90656999999999999</v>
      </c>
      <c r="S991">
        <v>0.81093000000000004</v>
      </c>
      <c r="T991">
        <v>107.88500000000001</v>
      </c>
      <c r="U991">
        <v>1</v>
      </c>
      <c r="W991"/>
      <c r="X991"/>
      <c r="Y991"/>
      <c r="Z991"/>
      <c r="AA991"/>
      <c r="AB991"/>
      <c r="AC991"/>
      <c r="AD991"/>
      <c r="AE991"/>
      <c r="AF991"/>
      <c r="AG991"/>
      <c r="AH991"/>
      <c r="AI991"/>
    </row>
    <row r="992" spans="1:35" s="1857" customFormat="1" hidden="1" outlineLevel="1">
      <c r="A992" s="8">
        <v>43721</v>
      </c>
      <c r="B992" s="1860">
        <v>2536.4895900000001</v>
      </c>
      <c r="C992" s="1860">
        <v>3401.5492800000002</v>
      </c>
      <c r="D992" s="1860">
        <v>3723.3372800000002</v>
      </c>
      <c r="E992" s="1860">
        <v>4185.2272800000001</v>
      </c>
      <c r="F992">
        <v>31.084990000000001</v>
      </c>
      <c r="G992" s="1861">
        <v>3359.2</v>
      </c>
      <c r="I992">
        <v>0.75507999999999997</v>
      </c>
      <c r="J992">
        <v>1.0125999999999999</v>
      </c>
      <c r="K992">
        <v>1.1084000000000001</v>
      </c>
      <c r="L992">
        <v>1.2459</v>
      </c>
      <c r="M992">
        <v>9.2499999999999995E-3</v>
      </c>
      <c r="N992">
        <v>1</v>
      </c>
      <c r="P992">
        <v>1.3243499999999999</v>
      </c>
      <c r="Q992">
        <v>0.98755000000000004</v>
      </c>
      <c r="R992">
        <v>0.9022</v>
      </c>
      <c r="S992">
        <v>0.80262999999999995</v>
      </c>
      <c r="T992">
        <v>108.065</v>
      </c>
      <c r="U992">
        <v>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</row>
    <row r="993" spans="1:35" s="1857" customFormat="1" hidden="1" outlineLevel="1">
      <c r="A993" s="8">
        <v>43722</v>
      </c>
      <c r="B993" s="1860">
        <v>2534.18658</v>
      </c>
      <c r="C993" s="1860">
        <v>3398.46083</v>
      </c>
      <c r="D993" s="1860">
        <v>3719.9566599999998</v>
      </c>
      <c r="E993" s="1860">
        <v>4181.4272799999999</v>
      </c>
      <c r="F993">
        <v>31.05677</v>
      </c>
      <c r="G993" s="1861">
        <v>3356.15</v>
      </c>
      <c r="I993">
        <v>0.75507999999999997</v>
      </c>
      <c r="J993">
        <v>1.0125999999999999</v>
      </c>
      <c r="K993">
        <v>1.1084000000000001</v>
      </c>
      <c r="L993">
        <v>1.2459</v>
      </c>
      <c r="M993">
        <v>9.2499999999999995E-3</v>
      </c>
      <c r="N993">
        <v>1</v>
      </c>
      <c r="P993">
        <v>1.3243499999999999</v>
      </c>
      <c r="Q993">
        <v>0.98755000000000004</v>
      </c>
      <c r="R993">
        <v>0.9022</v>
      </c>
      <c r="S993">
        <v>0.80262999999999995</v>
      </c>
      <c r="T993">
        <v>108.065</v>
      </c>
      <c r="U993">
        <v>1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</row>
    <row r="994" spans="1:35" s="1857" customFormat="1" hidden="1" outlineLevel="1">
      <c r="A994" s="8">
        <v>43723</v>
      </c>
      <c r="B994" s="1860">
        <v>2534.18658</v>
      </c>
      <c r="C994" s="1860">
        <v>3398.46083</v>
      </c>
      <c r="D994" s="1860">
        <v>3719.9566599999998</v>
      </c>
      <c r="E994" s="1860">
        <v>4181.4272799999999</v>
      </c>
      <c r="F994">
        <v>31.05677</v>
      </c>
      <c r="G994" s="1861">
        <v>3356.15</v>
      </c>
      <c r="I994">
        <v>0.75507999999999997</v>
      </c>
      <c r="J994">
        <v>1.0125999999999999</v>
      </c>
      <c r="K994">
        <v>1.1084000000000001</v>
      </c>
      <c r="L994">
        <v>1.2459</v>
      </c>
      <c r="M994">
        <v>9.2499999999999995E-3</v>
      </c>
      <c r="N994">
        <v>1</v>
      </c>
      <c r="P994">
        <v>1.3243499999999999</v>
      </c>
      <c r="Q994">
        <v>0.98755000000000004</v>
      </c>
      <c r="R994">
        <v>0.9022</v>
      </c>
      <c r="S994">
        <v>0.80262999999999995</v>
      </c>
      <c r="T994">
        <v>108.065</v>
      </c>
      <c r="U994">
        <v>1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</row>
    <row r="995" spans="1:35" s="1857" customFormat="1" hidden="1" outlineLevel="1">
      <c r="A995" s="8">
        <v>43724</v>
      </c>
      <c r="B995" s="1860">
        <v>2531.6059399999999</v>
      </c>
      <c r="C995" s="1860">
        <v>3379.4683300000002</v>
      </c>
      <c r="D995" s="1860">
        <v>3690.92596</v>
      </c>
      <c r="E995" s="1860">
        <v>4168.1704900000004</v>
      </c>
      <c r="F995">
        <v>31.07114</v>
      </c>
      <c r="G995" s="1861">
        <v>3356.15</v>
      </c>
      <c r="I995">
        <v>0.75431000000000004</v>
      </c>
      <c r="J995">
        <v>1.0069399999999999</v>
      </c>
      <c r="K995">
        <v>1.09975</v>
      </c>
      <c r="L995">
        <v>1.2419500000000001</v>
      </c>
      <c r="M995">
        <v>9.2499999999999995E-3</v>
      </c>
      <c r="N995">
        <v>1</v>
      </c>
      <c r="P995">
        <v>1.3257000000000001</v>
      </c>
      <c r="Q995">
        <v>0.99309999999999998</v>
      </c>
      <c r="R995">
        <v>0.90929000000000004</v>
      </c>
      <c r="S995">
        <v>0.80518000000000001</v>
      </c>
      <c r="T995">
        <v>108.015</v>
      </c>
      <c r="U995">
        <v>1</v>
      </c>
      <c r="W995"/>
      <c r="X995"/>
      <c r="Y995"/>
      <c r="Z995"/>
      <c r="AA995"/>
      <c r="AB995"/>
      <c r="AC995"/>
      <c r="AD995"/>
      <c r="AE995"/>
      <c r="AF995"/>
      <c r="AG995"/>
      <c r="AH995"/>
      <c r="AI995"/>
    </row>
    <row r="996" spans="1:35" hidden="1" outlineLevel="1">
      <c r="A996" s="8">
        <v>43725</v>
      </c>
      <c r="B996" s="1860">
        <v>2535.8432200000002</v>
      </c>
      <c r="C996" s="1860">
        <v>3383.5470399999999</v>
      </c>
      <c r="D996" s="1860">
        <v>3717.5269199999998</v>
      </c>
      <c r="E996" s="1860">
        <v>4199.9861899999996</v>
      </c>
      <c r="F996">
        <v>31.093109999999999</v>
      </c>
      <c r="G996" s="1861">
        <v>3364.43</v>
      </c>
      <c r="I996">
        <v>0.75371999999999995</v>
      </c>
      <c r="J996">
        <v>1.0056799999999999</v>
      </c>
      <c r="K996">
        <v>1.1049500000000001</v>
      </c>
      <c r="L996">
        <v>1.2483500000000001</v>
      </c>
      <c r="M996">
        <v>9.2399999999999999E-3</v>
      </c>
      <c r="N996">
        <v>1</v>
      </c>
      <c r="P996">
        <v>1.3267500000000001</v>
      </c>
      <c r="Q996">
        <v>0.99434999999999996</v>
      </c>
      <c r="R996">
        <v>0.90500999999999998</v>
      </c>
      <c r="S996">
        <v>0.80105000000000004</v>
      </c>
      <c r="T996">
        <v>108.205</v>
      </c>
      <c r="U996">
        <v>1</v>
      </c>
    </row>
    <row r="997" spans="1:35" hidden="1" outlineLevel="1">
      <c r="A997" s="8">
        <v>43726</v>
      </c>
      <c r="B997" s="1860">
        <v>2548.7523500000002</v>
      </c>
      <c r="C997" s="1860">
        <v>3396.5441000000001</v>
      </c>
      <c r="D997" s="1860">
        <v>3739.1284700000001</v>
      </c>
      <c r="E997" s="1860">
        <v>4220.5714799999996</v>
      </c>
      <c r="F997">
        <v>31.239730000000002</v>
      </c>
      <c r="G997" s="1861">
        <v>3380.92</v>
      </c>
      <c r="I997">
        <v>0.75385999999999997</v>
      </c>
      <c r="J997">
        <v>1.0046200000000001</v>
      </c>
      <c r="K997">
        <v>1.10595</v>
      </c>
      <c r="L997">
        <v>1.2483500000000001</v>
      </c>
      <c r="M997">
        <v>9.2399999999999999E-3</v>
      </c>
      <c r="N997">
        <v>1</v>
      </c>
      <c r="P997">
        <v>1.3265</v>
      </c>
      <c r="Q997">
        <v>0.99539999999999995</v>
      </c>
      <c r="R997">
        <v>0.9042</v>
      </c>
      <c r="S997">
        <v>0.80105000000000004</v>
      </c>
      <c r="T997">
        <v>108.22499999999999</v>
      </c>
      <c r="U997">
        <v>1</v>
      </c>
    </row>
    <row r="998" spans="1:35" hidden="1" outlineLevel="1">
      <c r="A998" s="8">
        <v>43727</v>
      </c>
      <c r="B998" s="1860">
        <v>2545.14561</v>
      </c>
      <c r="C998" s="1860">
        <v>3402.1151199999999</v>
      </c>
      <c r="D998" s="1860">
        <v>3734.6535100000001</v>
      </c>
      <c r="E998" s="1860">
        <v>4218.6908199999998</v>
      </c>
      <c r="F998">
        <v>31.262799999999999</v>
      </c>
      <c r="G998" s="1861">
        <v>3377.79</v>
      </c>
      <c r="I998">
        <v>0.75348999999999999</v>
      </c>
      <c r="J998">
        <v>1.0072000000000001</v>
      </c>
      <c r="K998">
        <v>1.10565</v>
      </c>
      <c r="L998">
        <v>1.24895</v>
      </c>
      <c r="M998">
        <v>9.2499999999999995E-3</v>
      </c>
      <c r="N998">
        <v>1</v>
      </c>
      <c r="P998">
        <v>1.3271500000000001</v>
      </c>
      <c r="Q998">
        <v>0.99285000000000001</v>
      </c>
      <c r="R998">
        <v>0.90444000000000002</v>
      </c>
      <c r="S998">
        <v>0.80066999999999999</v>
      </c>
      <c r="T998">
        <v>108.045</v>
      </c>
      <c r="U998">
        <v>1</v>
      </c>
    </row>
    <row r="999" spans="1:35" hidden="1" outlineLevel="1">
      <c r="A999" s="8">
        <v>43728</v>
      </c>
      <c r="B999" s="1860">
        <v>2545.66831</v>
      </c>
      <c r="C999" s="1860">
        <v>3403.0728899999999</v>
      </c>
      <c r="D999" s="1860">
        <v>3719.37637</v>
      </c>
      <c r="E999" s="1860">
        <v>4223.1633099999999</v>
      </c>
      <c r="F999">
        <v>31.30707</v>
      </c>
      <c r="G999" s="1861">
        <v>3377.72</v>
      </c>
      <c r="I999">
        <v>0.75366</v>
      </c>
      <c r="J999">
        <v>1.0075000000000001</v>
      </c>
      <c r="K999">
        <v>1.1011500000000001</v>
      </c>
      <c r="L999">
        <v>1.2503</v>
      </c>
      <c r="M999">
        <v>9.2599999999999991E-3</v>
      </c>
      <c r="N999">
        <v>1</v>
      </c>
      <c r="P999">
        <v>1.3268500000000001</v>
      </c>
      <c r="Q999">
        <v>0.99255000000000004</v>
      </c>
      <c r="R999">
        <v>0.90813999999999995</v>
      </c>
      <c r="S999">
        <v>0.79979999999999996</v>
      </c>
      <c r="T999">
        <v>107.89</v>
      </c>
      <c r="U999">
        <v>1</v>
      </c>
    </row>
    <row r="1000" spans="1:35" hidden="1" outlineLevel="1">
      <c r="A1000" s="8">
        <v>43729</v>
      </c>
      <c r="B1000" s="1860">
        <v>2564.2084599999998</v>
      </c>
      <c r="C1000" s="1860">
        <v>3427.8575300000002</v>
      </c>
      <c r="D1000" s="1860">
        <v>3746.4646600000001</v>
      </c>
      <c r="E1000" s="1860">
        <v>4253.9206899999999</v>
      </c>
      <c r="F1000">
        <v>31.535080000000001</v>
      </c>
      <c r="G1000" s="1861">
        <v>3402.32</v>
      </c>
      <c r="I1000">
        <v>0.75366</v>
      </c>
      <c r="J1000">
        <v>1.0075000000000001</v>
      </c>
      <c r="K1000">
        <v>1.1011500000000001</v>
      </c>
      <c r="L1000">
        <v>1.2503</v>
      </c>
      <c r="M1000">
        <v>9.2599999999999991E-3</v>
      </c>
      <c r="N1000">
        <v>1</v>
      </c>
      <c r="P1000">
        <v>1.3268500000000001</v>
      </c>
      <c r="Q1000">
        <v>0.99255000000000004</v>
      </c>
      <c r="R1000">
        <v>0.90813999999999995</v>
      </c>
      <c r="S1000">
        <v>0.79979999999999996</v>
      </c>
      <c r="T1000">
        <v>107.89</v>
      </c>
      <c r="U1000">
        <v>1</v>
      </c>
    </row>
    <row r="1001" spans="1:35" hidden="1" outlineLevel="1">
      <c r="A1001" s="8">
        <v>43730</v>
      </c>
      <c r="B1001" s="1860">
        <v>2564.2084599999998</v>
      </c>
      <c r="C1001" s="1860">
        <v>3427.8575300000002</v>
      </c>
      <c r="D1001" s="1860">
        <v>3746.4646600000001</v>
      </c>
      <c r="E1001" s="1860">
        <v>4253.9206899999999</v>
      </c>
      <c r="F1001">
        <v>31.535080000000001</v>
      </c>
      <c r="G1001" s="1861">
        <v>3402.32</v>
      </c>
      <c r="I1001">
        <v>0.75366</v>
      </c>
      <c r="J1001">
        <v>1.0075000000000001</v>
      </c>
      <c r="K1001">
        <v>1.1011500000000001</v>
      </c>
      <c r="L1001">
        <v>1.2503</v>
      </c>
      <c r="M1001">
        <v>9.2599999999999991E-3</v>
      </c>
      <c r="N1001">
        <v>1</v>
      </c>
      <c r="P1001">
        <v>1.3268500000000001</v>
      </c>
      <c r="Q1001">
        <v>0.99255000000000004</v>
      </c>
      <c r="R1001">
        <v>0.90813999999999995</v>
      </c>
      <c r="S1001">
        <v>0.79979999999999996</v>
      </c>
      <c r="T1001">
        <v>107.89</v>
      </c>
      <c r="U1001">
        <v>1</v>
      </c>
    </row>
    <row r="1002" spans="1:35" hidden="1" outlineLevel="1">
      <c r="A1002" s="8">
        <v>43731</v>
      </c>
      <c r="B1002" s="1860">
        <v>2562.4703399999999</v>
      </c>
      <c r="C1002" s="1860">
        <v>3438.5972000000002</v>
      </c>
      <c r="D1002" s="1860">
        <v>3741.0209500000001</v>
      </c>
      <c r="E1002" s="1860">
        <v>4228.9136399999998</v>
      </c>
      <c r="F1002">
        <v>31.690760000000001</v>
      </c>
      <c r="G1002" s="1861">
        <v>3402.32</v>
      </c>
      <c r="I1002">
        <v>0.75314999999999999</v>
      </c>
      <c r="J1002">
        <v>1.0106599999999999</v>
      </c>
      <c r="K1002">
        <v>1.09955</v>
      </c>
      <c r="L1002">
        <v>1.24295</v>
      </c>
      <c r="M1002">
        <v>9.3100000000000006E-3</v>
      </c>
      <c r="N1002">
        <v>1</v>
      </c>
      <c r="P1002">
        <v>1.32775</v>
      </c>
      <c r="Q1002">
        <v>0.98945000000000005</v>
      </c>
      <c r="R1002">
        <v>0.90946000000000005</v>
      </c>
      <c r="S1002">
        <v>0.80452999999999997</v>
      </c>
      <c r="T1002">
        <v>107.36</v>
      </c>
      <c r="U1002">
        <v>1</v>
      </c>
    </row>
    <row r="1003" spans="1:35" hidden="1" outlineLevel="1">
      <c r="A1003" s="8">
        <v>43732</v>
      </c>
      <c r="B1003" s="1860">
        <v>2592.3010199999999</v>
      </c>
      <c r="C1003" s="1860">
        <v>3479.18226</v>
      </c>
      <c r="D1003" s="1860">
        <v>3780.52666</v>
      </c>
      <c r="E1003" s="1860">
        <v>4289.3181000000004</v>
      </c>
      <c r="F1003">
        <v>32.004649999999998</v>
      </c>
      <c r="G1003" s="1861">
        <v>3437.78</v>
      </c>
      <c r="I1003">
        <v>0.75405999999999995</v>
      </c>
      <c r="J1003">
        <v>1.0120400000000001</v>
      </c>
      <c r="K1003">
        <v>1.0996999999999999</v>
      </c>
      <c r="L1003">
        <v>1.2477</v>
      </c>
      <c r="M1003">
        <v>9.2999999999999992E-3</v>
      </c>
      <c r="N1003">
        <v>1</v>
      </c>
      <c r="P1003">
        <v>1.3261499999999999</v>
      </c>
      <c r="Q1003">
        <v>0.98809999999999998</v>
      </c>
      <c r="R1003">
        <v>0.90932999999999997</v>
      </c>
      <c r="S1003">
        <v>0.80147000000000002</v>
      </c>
      <c r="T1003">
        <v>107.41500000000001</v>
      </c>
      <c r="U1003">
        <v>1</v>
      </c>
    </row>
    <row r="1004" spans="1:35" hidden="1" outlineLevel="1">
      <c r="A1004" s="8">
        <v>43733</v>
      </c>
      <c r="B1004" s="1860">
        <v>2590.2301200000002</v>
      </c>
      <c r="C1004" s="1860">
        <v>3476.7301900000002</v>
      </c>
      <c r="D1004" s="1860">
        <v>3768.0836199999999</v>
      </c>
      <c r="E1004" s="1860">
        <v>4256.7172099999998</v>
      </c>
      <c r="F1004">
        <v>31.9222</v>
      </c>
      <c r="G1004" s="1861">
        <v>3438.66</v>
      </c>
      <c r="I1004">
        <v>0.75326000000000004</v>
      </c>
      <c r="J1004">
        <v>1.0110699999999999</v>
      </c>
      <c r="K1004">
        <v>1.0958000000000001</v>
      </c>
      <c r="L1004">
        <v>1.2379</v>
      </c>
      <c r="M1004">
        <v>9.2800000000000001E-3</v>
      </c>
      <c r="N1004">
        <v>1</v>
      </c>
      <c r="P1004">
        <v>1.32755</v>
      </c>
      <c r="Q1004">
        <v>0.98904999999999998</v>
      </c>
      <c r="R1004">
        <v>0.91256999999999999</v>
      </c>
      <c r="S1004">
        <v>0.80781000000000003</v>
      </c>
      <c r="T1004">
        <v>107.72</v>
      </c>
      <c r="U1004">
        <v>1</v>
      </c>
    </row>
    <row r="1005" spans="1:35" hidden="1" outlineLevel="1">
      <c r="A1005" s="8">
        <v>43734</v>
      </c>
      <c r="B1005" s="1860">
        <v>2602.0885899999998</v>
      </c>
      <c r="C1005" s="1860">
        <v>3477.0982300000001</v>
      </c>
      <c r="D1005" s="1860">
        <v>3775.9335299999998</v>
      </c>
      <c r="E1005" s="1860">
        <v>4257.0057200000001</v>
      </c>
      <c r="F1005">
        <v>32.050330000000002</v>
      </c>
      <c r="G1005" s="1861">
        <v>3451.02</v>
      </c>
      <c r="I1005">
        <v>0.754</v>
      </c>
      <c r="J1005">
        <v>1.0075499999999999</v>
      </c>
      <c r="K1005">
        <v>1.09415</v>
      </c>
      <c r="L1005">
        <v>1.2335499999999999</v>
      </c>
      <c r="M1005">
        <v>9.2800000000000001E-3</v>
      </c>
      <c r="N1005">
        <v>1</v>
      </c>
      <c r="P1005">
        <v>1.3262499999999999</v>
      </c>
      <c r="Q1005">
        <v>0.99250000000000005</v>
      </c>
      <c r="R1005">
        <v>0.91395000000000004</v>
      </c>
      <c r="S1005">
        <v>0.81066000000000005</v>
      </c>
      <c r="T1005">
        <v>107.675</v>
      </c>
      <c r="U1005">
        <v>1</v>
      </c>
    </row>
    <row r="1006" spans="1:35" hidden="1" outlineLevel="1">
      <c r="A1006" s="8">
        <v>43735</v>
      </c>
      <c r="B1006" s="1860">
        <v>2596.2217099999998</v>
      </c>
      <c r="C1006" s="1860">
        <v>3463.7665000000002</v>
      </c>
      <c r="D1006" s="1860">
        <v>3761.24352</v>
      </c>
      <c r="E1006" s="1860">
        <v>4230.0461500000001</v>
      </c>
      <c r="F1006">
        <v>31.766529999999999</v>
      </c>
      <c r="G1006" s="1861">
        <v>3435.71</v>
      </c>
      <c r="I1006">
        <v>0.75565000000000004</v>
      </c>
      <c r="J1006">
        <v>1.0081599999999999</v>
      </c>
      <c r="K1006">
        <v>1.0947499999999999</v>
      </c>
      <c r="L1006">
        <v>1.2312000000000001</v>
      </c>
      <c r="M1006">
        <v>9.2399999999999999E-3</v>
      </c>
      <c r="N1006">
        <v>1</v>
      </c>
      <c r="P1006">
        <v>1.32335</v>
      </c>
      <c r="Q1006">
        <v>0.9919</v>
      </c>
      <c r="R1006">
        <v>0.91344999999999998</v>
      </c>
      <c r="S1006">
        <v>0.81220999999999999</v>
      </c>
      <c r="T1006">
        <v>108.155</v>
      </c>
      <c r="U1006">
        <v>1</v>
      </c>
    </row>
    <row r="1007" spans="1:35" hidden="1" outlineLevel="1">
      <c r="A1007" s="8">
        <v>43736</v>
      </c>
      <c r="B1007" s="1860">
        <v>2616.0955100000001</v>
      </c>
      <c r="C1007" s="1860">
        <v>3490.2812699999999</v>
      </c>
      <c r="D1007" s="1860">
        <v>3790.0354400000001</v>
      </c>
      <c r="E1007" s="1860">
        <v>4262.4267099999997</v>
      </c>
      <c r="F1007">
        <v>32.009700000000002</v>
      </c>
      <c r="G1007" s="1861">
        <v>3462.01</v>
      </c>
      <c r="I1007">
        <v>0.75565000000000004</v>
      </c>
      <c r="J1007">
        <v>1.0081599999999999</v>
      </c>
      <c r="K1007">
        <v>1.0947499999999999</v>
      </c>
      <c r="L1007">
        <v>1.2312000000000001</v>
      </c>
      <c r="M1007">
        <v>9.2399999999999999E-3</v>
      </c>
      <c r="N1007">
        <v>1</v>
      </c>
      <c r="P1007">
        <v>1.32335</v>
      </c>
      <c r="Q1007">
        <v>0.9919</v>
      </c>
      <c r="R1007">
        <v>0.91344999999999998</v>
      </c>
      <c r="S1007">
        <v>0.81220999999999999</v>
      </c>
      <c r="T1007">
        <v>108.155</v>
      </c>
      <c r="U1007">
        <v>1</v>
      </c>
    </row>
    <row r="1008" spans="1:35" hidden="1" outlineLevel="1">
      <c r="A1008" s="8">
        <v>43737</v>
      </c>
      <c r="B1008" s="1860">
        <v>2616.0955100000001</v>
      </c>
      <c r="C1008" s="1860">
        <v>3490.2812699999999</v>
      </c>
      <c r="D1008" s="1860">
        <v>3790.0354400000001</v>
      </c>
      <c r="E1008" s="1860">
        <v>4262.4267099999997</v>
      </c>
      <c r="F1008">
        <v>32.009700000000002</v>
      </c>
      <c r="G1008" s="1861">
        <v>3462.01</v>
      </c>
      <c r="I1008">
        <v>0.75565000000000004</v>
      </c>
      <c r="J1008">
        <v>1.0081599999999999</v>
      </c>
      <c r="K1008">
        <v>1.0947499999999999</v>
      </c>
      <c r="L1008">
        <v>1.2312000000000001</v>
      </c>
      <c r="M1008">
        <v>9.2399999999999999E-3</v>
      </c>
      <c r="N1008">
        <v>1</v>
      </c>
      <c r="P1008">
        <v>1.32335</v>
      </c>
      <c r="Q1008">
        <v>0.9919</v>
      </c>
      <c r="R1008">
        <v>0.91344999999999998</v>
      </c>
      <c r="S1008">
        <v>0.81220999999999999</v>
      </c>
      <c r="T1008">
        <v>108.155</v>
      </c>
      <c r="U1008">
        <v>1</v>
      </c>
    </row>
    <row r="1009" spans="1:35" ht="15.75" hidden="1" outlineLevel="1" thickBot="1">
      <c r="A1009" s="1868">
        <v>43738</v>
      </c>
      <c r="B1009" s="1869">
        <v>2614.8111699999999</v>
      </c>
      <c r="C1009" s="1869">
        <v>3471.9049199999999</v>
      </c>
      <c r="D1009" s="1869">
        <v>3774.2833000000001</v>
      </c>
      <c r="E1009" s="1869">
        <v>4266.2349199999999</v>
      </c>
      <c r="F1009" s="1870">
        <v>32.0334</v>
      </c>
      <c r="G1009" s="1871">
        <v>3462.01</v>
      </c>
      <c r="H1009" s="1872"/>
      <c r="I1009" s="1870">
        <v>0.75527999999999995</v>
      </c>
      <c r="J1009" s="1870">
        <v>1.00285</v>
      </c>
      <c r="K1009" s="1870">
        <v>1.0902000000000001</v>
      </c>
      <c r="L1009" s="1870">
        <v>1.2323</v>
      </c>
      <c r="M1009" s="1870">
        <v>9.2499999999999995E-3</v>
      </c>
      <c r="N1009" s="1870">
        <v>1</v>
      </c>
      <c r="O1009" s="1872"/>
      <c r="P1009" s="1870">
        <v>1.3240000000000001</v>
      </c>
      <c r="Q1009" s="1870">
        <v>0.99714999999999998</v>
      </c>
      <c r="R1009" s="1870">
        <v>0.91725999999999996</v>
      </c>
      <c r="S1009" s="1870">
        <v>0.81149000000000004</v>
      </c>
      <c r="T1009" s="1870">
        <v>108.075</v>
      </c>
      <c r="U1009" s="1870">
        <v>1</v>
      </c>
      <c r="V1009" s="1872"/>
    </row>
    <row r="1010" spans="1:35" hidden="1" outlineLevel="1">
      <c r="A1010" s="8">
        <v>43739</v>
      </c>
      <c r="B1010" s="1860">
        <v>2624.1934799999999</v>
      </c>
      <c r="C1010" s="1860">
        <v>3490.1891900000001</v>
      </c>
      <c r="D1010" s="1860">
        <v>3796.50603</v>
      </c>
      <c r="E1010" s="1860">
        <v>4250.4871300000004</v>
      </c>
      <c r="F1010">
        <v>32.241889999999998</v>
      </c>
      <c r="G1010" s="1861">
        <v>3477.45</v>
      </c>
      <c r="I1010">
        <v>0.75463000000000002</v>
      </c>
      <c r="J1010">
        <v>1.00366</v>
      </c>
      <c r="K1010">
        <v>1.09175</v>
      </c>
      <c r="L1010">
        <v>1.2222999999999999</v>
      </c>
      <c r="M1010">
        <v>9.2700000000000005E-3</v>
      </c>
      <c r="N1010">
        <v>1</v>
      </c>
      <c r="P1010">
        <v>1.3251500000000001</v>
      </c>
      <c r="Q1010">
        <v>0.99634999999999996</v>
      </c>
      <c r="R1010">
        <v>0.91596</v>
      </c>
      <c r="S1010">
        <v>0.81811999999999996</v>
      </c>
      <c r="T1010">
        <v>107.855</v>
      </c>
      <c r="U1010">
        <v>1</v>
      </c>
    </row>
    <row r="1011" spans="1:35" hidden="1" outlineLevel="1">
      <c r="A1011" s="8">
        <v>43740</v>
      </c>
      <c r="B1011" s="1860">
        <v>2626.0172899999998</v>
      </c>
      <c r="C1011" s="1860">
        <v>3496.0096100000001</v>
      </c>
      <c r="D1011" s="1860">
        <v>3821.3914599999998</v>
      </c>
      <c r="E1011" s="1860">
        <v>4295.8577800000003</v>
      </c>
      <c r="F1011">
        <v>32.522489999999998</v>
      </c>
      <c r="G1011" s="1861">
        <v>3491.29</v>
      </c>
      <c r="I1011">
        <v>0.75216000000000005</v>
      </c>
      <c r="J1011">
        <v>1.00135</v>
      </c>
      <c r="K1011">
        <v>1.0945499999999999</v>
      </c>
      <c r="L1011">
        <v>1.23045</v>
      </c>
      <c r="M1011">
        <v>9.3100000000000006E-3</v>
      </c>
      <c r="N1011">
        <v>1</v>
      </c>
      <c r="P1011">
        <v>1.3294999999999999</v>
      </c>
      <c r="Q1011">
        <v>0.99865000000000004</v>
      </c>
      <c r="R1011">
        <v>0.91361000000000003</v>
      </c>
      <c r="S1011">
        <v>0.81271000000000004</v>
      </c>
      <c r="T1011">
        <v>107.35</v>
      </c>
      <c r="U1011">
        <v>1</v>
      </c>
    </row>
    <row r="1012" spans="1:35" s="1857" customFormat="1" hidden="1" outlineLevel="1">
      <c r="A1012" s="8">
        <v>43741</v>
      </c>
      <c r="B1012" s="1860">
        <v>2625.2364499999999</v>
      </c>
      <c r="C1012" s="1860">
        <v>3508.2154599999999</v>
      </c>
      <c r="D1012" s="1860">
        <v>3841.6531199999999</v>
      </c>
      <c r="E1012" s="1860">
        <v>4338.4502700000003</v>
      </c>
      <c r="F1012">
        <v>32.780389999999997</v>
      </c>
      <c r="G1012" s="1861">
        <v>3497.34</v>
      </c>
      <c r="I1012">
        <v>0.75063000000000002</v>
      </c>
      <c r="J1012">
        <v>1.0031000000000001</v>
      </c>
      <c r="K1012">
        <v>1.0984499999999999</v>
      </c>
      <c r="L1012">
        <v>1.2404999999999999</v>
      </c>
      <c r="M1012">
        <v>9.3699999999999999E-3</v>
      </c>
      <c r="N1012">
        <v>1</v>
      </c>
      <c r="P1012">
        <v>1.3322000000000001</v>
      </c>
      <c r="Q1012">
        <v>0.99690000000000001</v>
      </c>
      <c r="R1012">
        <v>0.91037000000000001</v>
      </c>
      <c r="S1012">
        <v>0.80611999999999995</v>
      </c>
      <c r="T1012">
        <v>106.69</v>
      </c>
      <c r="U1012">
        <v>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</row>
    <row r="1013" spans="1:35" s="1857" customFormat="1" hidden="1" outlineLevel="1">
      <c r="A1013" s="8">
        <v>43742</v>
      </c>
      <c r="B1013" s="1860">
        <v>2604.18309</v>
      </c>
      <c r="C1013" s="1860">
        <v>3484.3247500000002</v>
      </c>
      <c r="D1013" s="1860">
        <v>3807.2514200000001</v>
      </c>
      <c r="E1013" s="1860">
        <v>4263.5875800000003</v>
      </c>
      <c r="F1013">
        <v>32.442340000000002</v>
      </c>
      <c r="G1013" s="1861">
        <v>3467.6</v>
      </c>
      <c r="I1013">
        <v>0.751</v>
      </c>
      <c r="J1013">
        <v>1.00482</v>
      </c>
      <c r="K1013">
        <v>1.09795</v>
      </c>
      <c r="L1013">
        <v>1.2295499999999999</v>
      </c>
      <c r="M1013">
        <v>9.3500000000000007E-3</v>
      </c>
      <c r="N1013">
        <v>1</v>
      </c>
      <c r="P1013">
        <v>1.33155</v>
      </c>
      <c r="Q1013">
        <v>0.99519999999999997</v>
      </c>
      <c r="R1013">
        <v>0.91078000000000003</v>
      </c>
      <c r="S1013">
        <v>0.81330000000000002</v>
      </c>
      <c r="T1013">
        <v>106.88500000000001</v>
      </c>
      <c r="U1013">
        <v>1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</row>
    <row r="1014" spans="1:35" s="1857" customFormat="1" hidden="1" outlineLevel="1">
      <c r="A1014" s="8">
        <v>43743</v>
      </c>
      <c r="B1014" s="1860">
        <v>2576.1556</v>
      </c>
      <c r="C1014" s="1860">
        <v>3446.8247500000002</v>
      </c>
      <c r="D1014" s="1860">
        <v>3766.27592</v>
      </c>
      <c r="E1014" s="1860">
        <v>4217.7007700000004</v>
      </c>
      <c r="F1014">
        <v>32.093179999999997</v>
      </c>
      <c r="G1014" s="1861">
        <v>3430.28</v>
      </c>
      <c r="I1014">
        <v>0.751</v>
      </c>
      <c r="J1014">
        <v>1.00482</v>
      </c>
      <c r="K1014">
        <v>1.09795</v>
      </c>
      <c r="L1014">
        <v>1.2295499999999999</v>
      </c>
      <c r="M1014">
        <v>9.3500000000000007E-3</v>
      </c>
      <c r="N1014">
        <v>1</v>
      </c>
      <c r="P1014">
        <v>1.33155</v>
      </c>
      <c r="Q1014">
        <v>0.99519999999999997</v>
      </c>
      <c r="R1014">
        <v>0.91078000000000003</v>
      </c>
      <c r="S1014">
        <v>0.81330000000000002</v>
      </c>
      <c r="T1014">
        <v>106.88500000000001</v>
      </c>
      <c r="U1014">
        <v>1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</row>
    <row r="1015" spans="1:35" s="1857" customFormat="1" hidden="1" outlineLevel="1">
      <c r="A1015" s="8">
        <v>43744</v>
      </c>
      <c r="B1015" s="1860">
        <v>2576.1556</v>
      </c>
      <c r="C1015" s="1860">
        <v>3446.8247500000002</v>
      </c>
      <c r="D1015" s="1860">
        <v>3766.27592</v>
      </c>
      <c r="E1015" s="1860">
        <v>4217.7007700000004</v>
      </c>
      <c r="F1015">
        <v>32.093179999999997</v>
      </c>
      <c r="G1015" s="1861">
        <v>3430.28</v>
      </c>
      <c r="I1015">
        <v>0.751</v>
      </c>
      <c r="J1015">
        <v>1.00482</v>
      </c>
      <c r="K1015">
        <v>1.09795</v>
      </c>
      <c r="L1015">
        <v>1.2295499999999999</v>
      </c>
      <c r="M1015">
        <v>9.3500000000000007E-3</v>
      </c>
      <c r="N1015">
        <v>1</v>
      </c>
      <c r="P1015">
        <v>1.33155</v>
      </c>
      <c r="Q1015">
        <v>0.99519999999999997</v>
      </c>
      <c r="R1015">
        <v>0.91078000000000003</v>
      </c>
      <c r="S1015">
        <v>0.81330000000000002</v>
      </c>
      <c r="T1015">
        <v>106.88500000000001</v>
      </c>
      <c r="U1015">
        <v>1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</row>
    <row r="1016" spans="1:35" s="1857" customFormat="1" hidden="1" outlineLevel="1">
      <c r="A1016" s="8">
        <v>43745</v>
      </c>
      <c r="B1016" s="1860">
        <v>2578.1886500000001</v>
      </c>
      <c r="C1016" s="1860">
        <v>3452.7226900000001</v>
      </c>
      <c r="D1016" s="1860">
        <v>3771.5928600000002</v>
      </c>
      <c r="E1016" s="1860">
        <v>4226.4479799999999</v>
      </c>
      <c r="F1016">
        <v>32.07517</v>
      </c>
      <c r="G1016" s="1861">
        <v>3430.28</v>
      </c>
      <c r="I1016">
        <v>0.75158999999999998</v>
      </c>
      <c r="J1016">
        <v>1.00654</v>
      </c>
      <c r="K1016">
        <v>1.0994999999999999</v>
      </c>
      <c r="L1016">
        <v>1.2321</v>
      </c>
      <c r="M1016">
        <v>9.3500000000000007E-3</v>
      </c>
      <c r="N1016">
        <v>1</v>
      </c>
      <c r="P1016">
        <v>1.3305</v>
      </c>
      <c r="Q1016">
        <v>0.99350000000000005</v>
      </c>
      <c r="R1016">
        <v>0.90949999999999998</v>
      </c>
      <c r="S1016">
        <v>0.81162000000000001</v>
      </c>
      <c r="T1016">
        <v>106.94499999999999</v>
      </c>
      <c r="U1016">
        <v>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</row>
    <row r="1017" spans="1:35" s="1857" customFormat="1" hidden="1" outlineLevel="1">
      <c r="A1017" s="8">
        <v>43746</v>
      </c>
      <c r="B1017" s="1860">
        <v>2586.0332400000002</v>
      </c>
      <c r="C1017" s="1860">
        <v>3469.70093</v>
      </c>
      <c r="D1017" s="1860">
        <v>3775.3469399999999</v>
      </c>
      <c r="E1017" s="1860">
        <v>4208.9958399999996</v>
      </c>
      <c r="F1017">
        <v>32.174790000000002</v>
      </c>
      <c r="G1017" s="1861">
        <v>3445.76</v>
      </c>
      <c r="I1017">
        <v>0.75048999999999999</v>
      </c>
      <c r="J1017">
        <v>1.0069399999999999</v>
      </c>
      <c r="K1017">
        <v>1.09565</v>
      </c>
      <c r="L1017">
        <v>1.2215</v>
      </c>
      <c r="M1017">
        <v>9.3299999999999998E-3</v>
      </c>
      <c r="N1017">
        <v>1</v>
      </c>
      <c r="P1017">
        <v>1.3324499999999999</v>
      </c>
      <c r="Q1017">
        <v>0.99309999999999998</v>
      </c>
      <c r="R1017">
        <v>0.91269999999999996</v>
      </c>
      <c r="S1017">
        <v>0.81866000000000005</v>
      </c>
      <c r="T1017">
        <v>107.095</v>
      </c>
      <c r="U1017">
        <v>1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</row>
    <row r="1018" spans="1:35" s="1857" customFormat="1" hidden="1" outlineLevel="1">
      <c r="A1018" s="8">
        <v>43747</v>
      </c>
      <c r="B1018" s="1860">
        <v>2590.07501</v>
      </c>
      <c r="C1018" s="1860">
        <v>3469.22226</v>
      </c>
      <c r="D1018" s="1860">
        <v>3790.9218599999999</v>
      </c>
      <c r="E1018" s="1860">
        <v>4217.8321400000004</v>
      </c>
      <c r="F1018">
        <v>32.151319999999998</v>
      </c>
      <c r="G1018" s="1861">
        <v>3452.57</v>
      </c>
      <c r="I1018">
        <v>0.75017999999999996</v>
      </c>
      <c r="J1018">
        <v>1.00482</v>
      </c>
      <c r="K1018">
        <v>1.0980000000000001</v>
      </c>
      <c r="L1018">
        <v>1.2216499999999999</v>
      </c>
      <c r="M1018">
        <v>9.3100000000000006E-3</v>
      </c>
      <c r="N1018">
        <v>1</v>
      </c>
      <c r="P1018">
        <v>1.333</v>
      </c>
      <c r="Q1018">
        <v>0.99519999999999997</v>
      </c>
      <c r="R1018">
        <v>0.91073999999999999</v>
      </c>
      <c r="S1018">
        <v>0.81855999999999995</v>
      </c>
      <c r="T1018">
        <v>107.38500000000001</v>
      </c>
      <c r="U1018">
        <v>1</v>
      </c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</row>
    <row r="1019" spans="1:35" s="1857" customFormat="1" hidden="1" outlineLevel="1">
      <c r="A1019" s="8">
        <v>43748</v>
      </c>
      <c r="B1019" s="1860">
        <v>2599.9548399999999</v>
      </c>
      <c r="C1019" s="1860">
        <v>3468.4337300000002</v>
      </c>
      <c r="D1019" s="1860">
        <v>3804.67965</v>
      </c>
      <c r="E1019" s="1860">
        <v>4243.0633200000002</v>
      </c>
      <c r="F1019">
        <v>32.001480000000001</v>
      </c>
      <c r="G1019" s="1861">
        <v>3454.56</v>
      </c>
      <c r="I1019">
        <v>0.75261</v>
      </c>
      <c r="J1019">
        <v>1.0040100000000001</v>
      </c>
      <c r="K1019">
        <v>1.1013500000000001</v>
      </c>
      <c r="L1019">
        <v>1.2282500000000001</v>
      </c>
      <c r="M1019">
        <v>9.2599999999999991E-3</v>
      </c>
      <c r="N1019">
        <v>1</v>
      </c>
      <c r="P1019">
        <v>1.3287</v>
      </c>
      <c r="Q1019">
        <v>0.996</v>
      </c>
      <c r="R1019">
        <v>0.90797000000000005</v>
      </c>
      <c r="S1019">
        <v>0.81415999999999999</v>
      </c>
      <c r="T1019">
        <v>107.95</v>
      </c>
      <c r="U1019">
        <v>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</row>
    <row r="1020" spans="1:35" s="1857" customFormat="1" hidden="1" outlineLevel="1">
      <c r="A1020" s="8">
        <v>43749</v>
      </c>
      <c r="B1020" s="1860">
        <v>2620.7100300000002</v>
      </c>
      <c r="C1020" s="1860">
        <v>3464.13582</v>
      </c>
      <c r="D1020" s="1860">
        <v>3816.7123099999999</v>
      </c>
      <c r="E1020" s="1860">
        <v>4387.0057699999998</v>
      </c>
      <c r="F1020">
        <v>31.849879999999999</v>
      </c>
      <c r="G1020" s="1861">
        <v>3458.42</v>
      </c>
      <c r="I1020">
        <v>0.75777000000000005</v>
      </c>
      <c r="J1020">
        <v>1.0016499999999999</v>
      </c>
      <c r="K1020">
        <v>1.1035999999999999</v>
      </c>
      <c r="L1020">
        <v>1.2685</v>
      </c>
      <c r="M1020">
        <v>9.1999999999999998E-3</v>
      </c>
      <c r="N1020">
        <v>1</v>
      </c>
      <c r="P1020">
        <v>1.31965</v>
      </c>
      <c r="Q1020">
        <v>0.99834999999999996</v>
      </c>
      <c r="R1020">
        <v>0.90612000000000004</v>
      </c>
      <c r="S1020">
        <v>0.78832999999999998</v>
      </c>
      <c r="T1020">
        <v>108.58499999999999</v>
      </c>
      <c r="U1020">
        <v>1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</row>
    <row r="1021" spans="1:35" s="1857" customFormat="1" hidden="1" outlineLevel="1">
      <c r="A1021" s="8">
        <v>43750</v>
      </c>
      <c r="B1021" s="1860">
        <v>2600.2803699999999</v>
      </c>
      <c r="C1021" s="1860">
        <v>3437.1312600000001</v>
      </c>
      <c r="D1021" s="1860">
        <v>3786.9592499999999</v>
      </c>
      <c r="E1021" s="1860">
        <v>4352.8070100000004</v>
      </c>
      <c r="F1021">
        <v>31.601600000000001</v>
      </c>
      <c r="G1021" s="1861">
        <v>3431.46</v>
      </c>
      <c r="I1021">
        <v>0.75777000000000005</v>
      </c>
      <c r="J1021">
        <v>1.0016499999999999</v>
      </c>
      <c r="K1021">
        <v>1.1035999999999999</v>
      </c>
      <c r="L1021">
        <v>1.2685</v>
      </c>
      <c r="M1021">
        <v>9.1999999999999998E-3</v>
      </c>
      <c r="N1021">
        <v>1</v>
      </c>
      <c r="P1021">
        <v>1.31965</v>
      </c>
      <c r="Q1021">
        <v>0.99834999999999996</v>
      </c>
      <c r="R1021">
        <v>0.90612000000000004</v>
      </c>
      <c r="S1021">
        <v>0.78832999999999998</v>
      </c>
      <c r="T1021">
        <v>108.58499999999999</v>
      </c>
      <c r="U1021">
        <v>1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</row>
    <row r="1022" spans="1:35" s="1857" customFormat="1" hidden="1" outlineLevel="1">
      <c r="A1022" s="8">
        <v>43751</v>
      </c>
      <c r="B1022" s="1860">
        <v>2600.2803699999999</v>
      </c>
      <c r="C1022" s="1860">
        <v>3437.1312600000001</v>
      </c>
      <c r="D1022" s="1860">
        <v>3786.9592499999999</v>
      </c>
      <c r="E1022" s="1860">
        <v>4352.8070100000004</v>
      </c>
      <c r="F1022">
        <v>31.601600000000001</v>
      </c>
      <c r="G1022" s="1861">
        <v>3431.46</v>
      </c>
      <c r="I1022">
        <v>0.75777000000000005</v>
      </c>
      <c r="J1022">
        <v>1.0016499999999999</v>
      </c>
      <c r="K1022">
        <v>1.1035999999999999</v>
      </c>
      <c r="L1022">
        <v>1.2685</v>
      </c>
      <c r="M1022">
        <v>9.1999999999999998E-3</v>
      </c>
      <c r="N1022">
        <v>1</v>
      </c>
      <c r="P1022">
        <v>1.31965</v>
      </c>
      <c r="Q1022">
        <v>0.99834999999999996</v>
      </c>
      <c r="R1022">
        <v>0.90612000000000004</v>
      </c>
      <c r="S1022">
        <v>0.78832999999999998</v>
      </c>
      <c r="T1022">
        <v>108.58499999999999</v>
      </c>
      <c r="U1022">
        <v>1</v>
      </c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</row>
    <row r="1023" spans="1:35" s="1857" customFormat="1" hidden="1" outlineLevel="1">
      <c r="A1023" s="8">
        <v>43752</v>
      </c>
      <c r="B1023" s="1860">
        <v>2594.6767399999999</v>
      </c>
      <c r="C1023" s="1860">
        <v>3444.03071</v>
      </c>
      <c r="D1023" s="1860">
        <v>3783.3562200000001</v>
      </c>
      <c r="E1023" s="1860">
        <v>4317.63454</v>
      </c>
      <c r="F1023">
        <v>31.651150000000001</v>
      </c>
      <c r="G1023" s="1861">
        <v>3431.46</v>
      </c>
      <c r="I1023">
        <v>0.75614000000000003</v>
      </c>
      <c r="J1023">
        <v>1.00366</v>
      </c>
      <c r="K1023">
        <v>1.1025499999999999</v>
      </c>
      <c r="L1023">
        <v>1.2582500000000001</v>
      </c>
      <c r="M1023">
        <v>9.2200000000000008E-3</v>
      </c>
      <c r="N1023">
        <v>1</v>
      </c>
      <c r="P1023">
        <v>1.3225</v>
      </c>
      <c r="Q1023">
        <v>0.99634999999999996</v>
      </c>
      <c r="R1023">
        <v>0.90698000000000001</v>
      </c>
      <c r="S1023">
        <v>0.79474999999999996</v>
      </c>
      <c r="T1023">
        <v>108.41500000000001</v>
      </c>
      <c r="U1023">
        <v>1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</row>
    <row r="1024" spans="1:35" s="1857" customFormat="1" hidden="1" outlineLevel="1">
      <c r="A1024" s="8">
        <v>43753</v>
      </c>
      <c r="B1024" s="1860">
        <v>2597.6230099999998</v>
      </c>
      <c r="C1024" s="1860">
        <v>3436.4428400000002</v>
      </c>
      <c r="D1024" s="1860">
        <v>3787.47397</v>
      </c>
      <c r="E1024" s="1860">
        <v>4384.5480100000004</v>
      </c>
      <c r="F1024">
        <v>31.537700000000001</v>
      </c>
      <c r="G1024" s="1861">
        <v>3431.46</v>
      </c>
      <c r="I1024">
        <v>0.75700000000000001</v>
      </c>
      <c r="J1024">
        <v>1.00145</v>
      </c>
      <c r="K1024">
        <v>1.10375</v>
      </c>
      <c r="L1024">
        <v>1.2777499999999999</v>
      </c>
      <c r="M1024">
        <v>9.1900000000000003E-3</v>
      </c>
      <c r="N1024">
        <v>1</v>
      </c>
      <c r="P1024">
        <v>1.321</v>
      </c>
      <c r="Q1024">
        <v>0.99855000000000005</v>
      </c>
      <c r="R1024">
        <v>0.90600000000000003</v>
      </c>
      <c r="S1024">
        <v>0.78261999999999998</v>
      </c>
      <c r="T1024">
        <v>108.80500000000001</v>
      </c>
      <c r="U1024">
        <v>1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</row>
    <row r="1025" spans="1:35" s="1857" customFormat="1" hidden="1" outlineLevel="1">
      <c r="A1025" s="8">
        <v>43754</v>
      </c>
      <c r="B1025" s="1860">
        <v>2614.3468499999999</v>
      </c>
      <c r="C1025" s="1860">
        <v>3461.7151399999998</v>
      </c>
      <c r="D1025" s="1860">
        <v>3813.89221</v>
      </c>
      <c r="E1025" s="1860">
        <v>4419.2554899999996</v>
      </c>
      <c r="F1025">
        <v>31.714490000000001</v>
      </c>
      <c r="G1025" s="1861">
        <v>3451.33</v>
      </c>
      <c r="I1025">
        <v>0.75748000000000004</v>
      </c>
      <c r="J1025">
        <v>1.0029999999999999</v>
      </c>
      <c r="K1025">
        <v>1.1050500000000001</v>
      </c>
      <c r="L1025">
        <v>1.2804500000000001</v>
      </c>
      <c r="M1025">
        <v>9.1800000000000007E-3</v>
      </c>
      <c r="N1025">
        <v>1</v>
      </c>
      <c r="P1025">
        <v>1.3201499999999999</v>
      </c>
      <c r="Q1025">
        <v>0.997</v>
      </c>
      <c r="R1025">
        <v>0.90493000000000001</v>
      </c>
      <c r="S1025">
        <v>0.78097000000000005</v>
      </c>
      <c r="T1025">
        <v>108.825</v>
      </c>
      <c r="U1025">
        <v>1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</row>
    <row r="1026" spans="1:35" s="1857" customFormat="1" hidden="1" outlineLevel="1">
      <c r="A1026" s="8">
        <v>43755</v>
      </c>
      <c r="B1026" s="1860">
        <v>2633.13924</v>
      </c>
      <c r="C1026" s="1860">
        <v>3503.1643899999999</v>
      </c>
      <c r="D1026" s="1860">
        <v>3845.6357800000001</v>
      </c>
      <c r="E1026" s="1860">
        <v>4442.4081500000002</v>
      </c>
      <c r="F1026">
        <v>31.841229999999999</v>
      </c>
      <c r="G1026" s="1861">
        <v>3459.55</v>
      </c>
      <c r="I1026">
        <v>0.76112000000000002</v>
      </c>
      <c r="J1026">
        <v>1.0125999999999999</v>
      </c>
      <c r="K1026">
        <v>1.1115999999999999</v>
      </c>
      <c r="L1026">
        <v>1.2841</v>
      </c>
      <c r="M1026">
        <v>9.1999999999999998E-3</v>
      </c>
      <c r="N1026">
        <v>1</v>
      </c>
      <c r="P1026">
        <v>1.31385</v>
      </c>
      <c r="Q1026">
        <v>0.98755000000000004</v>
      </c>
      <c r="R1026">
        <v>0.89959999999999996</v>
      </c>
      <c r="S1026">
        <v>0.77875000000000005</v>
      </c>
      <c r="T1026">
        <v>108.65</v>
      </c>
      <c r="U1026">
        <v>1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</row>
    <row r="1027" spans="1:35" s="1857" customFormat="1" hidden="1" outlineLevel="1">
      <c r="A1027" s="8">
        <v>43756</v>
      </c>
      <c r="B1027" s="1860">
        <v>2638.7588000000001</v>
      </c>
      <c r="C1027" s="1860">
        <v>3512.2383799999998</v>
      </c>
      <c r="D1027" s="1860">
        <v>3860.2266300000001</v>
      </c>
      <c r="E1027" s="1860">
        <v>4470.4747600000001</v>
      </c>
      <c r="F1027">
        <v>31.934290000000001</v>
      </c>
      <c r="G1027" s="1861">
        <v>3465.35</v>
      </c>
      <c r="I1027">
        <v>0.76146000000000003</v>
      </c>
      <c r="J1027">
        <v>1.01353</v>
      </c>
      <c r="K1027">
        <v>1.11395</v>
      </c>
      <c r="L1027">
        <v>1.2900499999999999</v>
      </c>
      <c r="M1027">
        <v>9.2099999999999994E-3</v>
      </c>
      <c r="N1027">
        <v>1</v>
      </c>
      <c r="P1027">
        <v>1.31325</v>
      </c>
      <c r="Q1027">
        <v>0.98665000000000003</v>
      </c>
      <c r="R1027">
        <v>0.89770000000000005</v>
      </c>
      <c r="S1027">
        <v>0.77515999999999996</v>
      </c>
      <c r="T1027">
        <v>108.515</v>
      </c>
      <c r="U1027">
        <v>1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</row>
    <row r="1028" spans="1:35" hidden="1" outlineLevel="1">
      <c r="A1028" s="8">
        <v>43757</v>
      </c>
      <c r="B1028" s="1860">
        <v>2610.79763</v>
      </c>
      <c r="C1028" s="1860">
        <v>3475.02153</v>
      </c>
      <c r="D1028" s="1860">
        <v>3819.3223800000001</v>
      </c>
      <c r="E1028" s="1860">
        <v>4423.1041299999997</v>
      </c>
      <c r="F1028">
        <v>31.5959</v>
      </c>
      <c r="G1028" s="1861">
        <v>3428.63</v>
      </c>
      <c r="I1028">
        <v>0.76146000000000003</v>
      </c>
      <c r="J1028">
        <v>1.01353</v>
      </c>
      <c r="K1028">
        <v>1.11395</v>
      </c>
      <c r="L1028">
        <v>1.2900499999999999</v>
      </c>
      <c r="M1028">
        <v>9.2099999999999994E-3</v>
      </c>
      <c r="N1028">
        <v>1</v>
      </c>
      <c r="P1028">
        <v>1.31325</v>
      </c>
      <c r="Q1028">
        <v>0.98665000000000003</v>
      </c>
      <c r="R1028">
        <v>0.89770000000000005</v>
      </c>
      <c r="S1028">
        <v>0.77515999999999996</v>
      </c>
      <c r="T1028">
        <v>108.515</v>
      </c>
      <c r="U1028">
        <v>1</v>
      </c>
    </row>
    <row r="1029" spans="1:35" hidden="1" outlineLevel="1">
      <c r="A1029" s="8">
        <v>43758</v>
      </c>
      <c r="B1029" s="1860">
        <v>2610.79763</v>
      </c>
      <c r="C1029" s="1860">
        <v>3475.02153</v>
      </c>
      <c r="D1029" s="1860">
        <v>3819.3223800000001</v>
      </c>
      <c r="E1029" s="1860">
        <v>4423.1041299999997</v>
      </c>
      <c r="F1029">
        <v>31.5959</v>
      </c>
      <c r="G1029" s="1861">
        <v>3428.63</v>
      </c>
      <c r="I1029">
        <v>0.76146000000000003</v>
      </c>
      <c r="J1029">
        <v>1.01353</v>
      </c>
      <c r="K1029">
        <v>1.11395</v>
      </c>
      <c r="L1029">
        <v>1.2900499999999999</v>
      </c>
      <c r="M1029">
        <v>9.2099999999999994E-3</v>
      </c>
      <c r="N1029">
        <v>1</v>
      </c>
      <c r="P1029">
        <v>1.31325</v>
      </c>
      <c r="Q1029">
        <v>0.98665000000000003</v>
      </c>
      <c r="R1029">
        <v>0.89770000000000005</v>
      </c>
      <c r="S1029">
        <v>0.77515999999999996</v>
      </c>
      <c r="T1029">
        <v>108.515</v>
      </c>
      <c r="U1029">
        <v>1</v>
      </c>
    </row>
    <row r="1030" spans="1:35" hidden="1" outlineLevel="1">
      <c r="A1030" s="8">
        <v>43759</v>
      </c>
      <c r="B1030" s="1860">
        <v>2616.9751500000002</v>
      </c>
      <c r="C1030" s="1860">
        <v>3475.3737700000001</v>
      </c>
      <c r="D1030" s="1860">
        <v>3821.7224200000001</v>
      </c>
      <c r="E1030" s="1860">
        <v>4451.7331899999999</v>
      </c>
      <c r="F1030">
        <v>31.585719999999998</v>
      </c>
      <c r="G1030" s="1861">
        <v>3428.63</v>
      </c>
      <c r="I1030">
        <v>0.76327</v>
      </c>
      <c r="J1030">
        <v>1.01363</v>
      </c>
      <c r="K1030">
        <v>1.1146499999999999</v>
      </c>
      <c r="L1030">
        <v>1.2984</v>
      </c>
      <c r="M1030">
        <v>9.2099999999999994E-3</v>
      </c>
      <c r="N1030">
        <v>1</v>
      </c>
      <c r="P1030">
        <v>1.3101499999999999</v>
      </c>
      <c r="Q1030">
        <v>0.98655000000000004</v>
      </c>
      <c r="R1030">
        <v>0.89714000000000005</v>
      </c>
      <c r="S1030">
        <v>0.77017000000000002</v>
      </c>
      <c r="T1030">
        <v>108.55</v>
      </c>
      <c r="U1030">
        <v>1</v>
      </c>
    </row>
    <row r="1031" spans="1:35" hidden="1" outlineLevel="1">
      <c r="A1031" s="8">
        <v>43760</v>
      </c>
      <c r="B1031" s="1860">
        <v>2629.9835699999999</v>
      </c>
      <c r="C1031" s="1860">
        <v>3482.3041499999999</v>
      </c>
      <c r="D1031" s="1860">
        <v>3832.15841</v>
      </c>
      <c r="E1031" s="1860">
        <v>4443.5961399999997</v>
      </c>
      <c r="F1031">
        <v>31.713149999999999</v>
      </c>
      <c r="G1031" s="1861">
        <v>3442.78</v>
      </c>
      <c r="I1031">
        <v>0.76390999999999998</v>
      </c>
      <c r="J1031">
        <v>1.0114799999999999</v>
      </c>
      <c r="K1031">
        <v>1.1131</v>
      </c>
      <c r="L1031">
        <v>1.2907</v>
      </c>
      <c r="M1031">
        <v>9.2099999999999994E-3</v>
      </c>
      <c r="N1031">
        <v>1</v>
      </c>
      <c r="P1031">
        <v>1.30905</v>
      </c>
      <c r="Q1031">
        <v>0.98865000000000003</v>
      </c>
      <c r="R1031">
        <v>0.89839000000000002</v>
      </c>
      <c r="S1031">
        <v>0.77476999999999996</v>
      </c>
      <c r="T1031">
        <v>108.56</v>
      </c>
      <c r="U1031">
        <v>1</v>
      </c>
    </row>
    <row r="1032" spans="1:35" hidden="1" outlineLevel="1">
      <c r="A1032" s="8">
        <v>43761</v>
      </c>
      <c r="B1032" s="1860">
        <v>2619.3494099999998</v>
      </c>
      <c r="C1032" s="1860">
        <v>3463.7249400000001</v>
      </c>
      <c r="D1032" s="1860">
        <v>3813.1214799999998</v>
      </c>
      <c r="E1032" s="1860">
        <v>4418.9124599999996</v>
      </c>
      <c r="F1032">
        <v>31.580739999999999</v>
      </c>
      <c r="G1032" s="1861">
        <v>3430.3</v>
      </c>
      <c r="I1032">
        <v>0.76358999999999999</v>
      </c>
      <c r="J1032">
        <v>1.0097400000000001</v>
      </c>
      <c r="K1032">
        <v>1.1115999999999999</v>
      </c>
      <c r="L1032">
        <v>1.2882</v>
      </c>
      <c r="M1032">
        <v>9.1999999999999998E-3</v>
      </c>
      <c r="N1032">
        <v>1</v>
      </c>
      <c r="P1032">
        <v>1.3096000000000001</v>
      </c>
      <c r="Q1032">
        <v>0.99034999999999995</v>
      </c>
      <c r="R1032">
        <v>0.89959999999999996</v>
      </c>
      <c r="S1032">
        <v>0.77627000000000002</v>
      </c>
      <c r="T1032">
        <v>108.62</v>
      </c>
      <c r="U1032">
        <v>1</v>
      </c>
    </row>
    <row r="1033" spans="1:35" hidden="1" outlineLevel="1">
      <c r="A1033" s="8">
        <v>43762</v>
      </c>
      <c r="B1033" s="1860">
        <v>2605.6939699999998</v>
      </c>
      <c r="C1033" s="1860">
        <v>3438.1706300000001</v>
      </c>
      <c r="D1033" s="1860">
        <v>3785.8460799999998</v>
      </c>
      <c r="E1033" s="1860">
        <v>4380.4262500000004</v>
      </c>
      <c r="F1033">
        <v>31.417680000000001</v>
      </c>
      <c r="G1033" s="1861">
        <v>3409.29</v>
      </c>
      <c r="I1033">
        <v>0.76429000000000002</v>
      </c>
      <c r="J1033">
        <v>1.00847</v>
      </c>
      <c r="K1033">
        <v>1.1104499999999999</v>
      </c>
      <c r="L1033">
        <v>1.28485</v>
      </c>
      <c r="M1033">
        <v>9.2099999999999994E-3</v>
      </c>
      <c r="N1033">
        <v>1</v>
      </c>
      <c r="P1033">
        <v>1.3084</v>
      </c>
      <c r="Q1033">
        <v>0.99160000000000004</v>
      </c>
      <c r="R1033">
        <v>0.90053000000000005</v>
      </c>
      <c r="S1033">
        <v>0.77829999999999999</v>
      </c>
      <c r="T1033">
        <v>108.515</v>
      </c>
      <c r="U1033">
        <v>1</v>
      </c>
    </row>
    <row r="1034" spans="1:35" hidden="1" outlineLevel="1">
      <c r="A1034" s="8">
        <v>43763</v>
      </c>
      <c r="B1034" s="1860">
        <v>2593.0728300000001</v>
      </c>
      <c r="C1034" s="1860">
        <v>3410.0558599999999</v>
      </c>
      <c r="D1034" s="1860">
        <v>3757.3202500000002</v>
      </c>
      <c r="E1034" s="1860">
        <v>4348.47739</v>
      </c>
      <c r="F1034">
        <v>31.201650000000001</v>
      </c>
      <c r="G1034" s="1861">
        <v>3387.72</v>
      </c>
      <c r="I1034">
        <v>0.76543000000000005</v>
      </c>
      <c r="J1034">
        <v>1.0065900000000001</v>
      </c>
      <c r="K1034">
        <v>1.1091</v>
      </c>
      <c r="L1034">
        <v>1.2836000000000001</v>
      </c>
      <c r="M1034">
        <v>9.2099999999999994E-3</v>
      </c>
      <c r="N1034">
        <v>1</v>
      </c>
      <c r="P1034">
        <v>1.3064499999999999</v>
      </c>
      <c r="Q1034">
        <v>0.99345000000000006</v>
      </c>
      <c r="R1034">
        <v>0.90163000000000004</v>
      </c>
      <c r="S1034">
        <v>0.77905000000000002</v>
      </c>
      <c r="T1034">
        <v>108.575</v>
      </c>
      <c r="U1034">
        <v>1</v>
      </c>
    </row>
    <row r="1035" spans="1:35" hidden="1" outlineLevel="1">
      <c r="A1035" s="8">
        <v>43764</v>
      </c>
      <c r="B1035" s="1860">
        <v>2598.8365399999998</v>
      </c>
      <c r="C1035" s="1860">
        <v>3417.6355100000001</v>
      </c>
      <c r="D1035" s="1860">
        <v>3765.6717699999999</v>
      </c>
      <c r="E1035" s="1860">
        <v>4358.1428999999998</v>
      </c>
      <c r="F1035">
        <v>31.27101</v>
      </c>
      <c r="G1035" s="1861">
        <v>3395.25</v>
      </c>
      <c r="I1035">
        <v>0.76543000000000005</v>
      </c>
      <c r="J1035">
        <v>1.0065900000000001</v>
      </c>
      <c r="K1035">
        <v>1.1091</v>
      </c>
      <c r="L1035">
        <v>1.2836000000000001</v>
      </c>
      <c r="M1035">
        <v>9.2099999999999994E-3</v>
      </c>
      <c r="N1035">
        <v>1</v>
      </c>
      <c r="P1035">
        <v>1.3064499999999999</v>
      </c>
      <c r="Q1035">
        <v>0.99345000000000006</v>
      </c>
      <c r="R1035">
        <v>0.90163000000000004</v>
      </c>
      <c r="S1035">
        <v>0.77905000000000002</v>
      </c>
      <c r="T1035">
        <v>108.575</v>
      </c>
      <c r="U1035">
        <v>1</v>
      </c>
    </row>
    <row r="1036" spans="1:35" hidden="1" outlineLevel="1">
      <c r="A1036" s="8">
        <v>43765</v>
      </c>
      <c r="B1036" s="1860">
        <v>2598.8365399999998</v>
      </c>
      <c r="C1036" s="1860">
        <v>3417.6355100000001</v>
      </c>
      <c r="D1036" s="1860">
        <v>3765.6717699999999</v>
      </c>
      <c r="E1036" s="1860">
        <v>4358.1428999999998</v>
      </c>
      <c r="F1036">
        <v>31.27101</v>
      </c>
      <c r="G1036" s="1861">
        <v>3395.25</v>
      </c>
      <c r="I1036">
        <v>0.76543000000000005</v>
      </c>
      <c r="J1036">
        <v>1.0065900000000001</v>
      </c>
      <c r="K1036">
        <v>1.1091</v>
      </c>
      <c r="L1036">
        <v>1.2836000000000001</v>
      </c>
      <c r="M1036">
        <v>9.2099999999999994E-3</v>
      </c>
      <c r="N1036">
        <v>1</v>
      </c>
      <c r="P1036">
        <v>1.3064499999999999</v>
      </c>
      <c r="Q1036">
        <v>0.99345000000000006</v>
      </c>
      <c r="R1036">
        <v>0.90163000000000004</v>
      </c>
      <c r="S1036">
        <v>0.77905000000000002</v>
      </c>
      <c r="T1036">
        <v>108.575</v>
      </c>
      <c r="U1036">
        <v>1</v>
      </c>
    </row>
    <row r="1037" spans="1:35" hidden="1" outlineLevel="1">
      <c r="A1037" s="8">
        <v>43766</v>
      </c>
      <c r="B1037" s="1860">
        <v>2598.7370799999999</v>
      </c>
      <c r="C1037" s="1860">
        <v>3408.54331</v>
      </c>
      <c r="D1037" s="1860">
        <v>3766.1810599999999</v>
      </c>
      <c r="E1037" s="1860">
        <v>4365.2729200000003</v>
      </c>
      <c r="F1037">
        <v>31.14622</v>
      </c>
      <c r="G1037" s="1861">
        <v>3395.25</v>
      </c>
      <c r="I1037">
        <v>0.76539999999999997</v>
      </c>
      <c r="J1037">
        <v>1.0039100000000001</v>
      </c>
      <c r="K1037">
        <v>1.1092500000000001</v>
      </c>
      <c r="L1037">
        <v>1.2857000000000001</v>
      </c>
      <c r="M1037">
        <v>9.1699999999999993E-3</v>
      </c>
      <c r="N1037">
        <v>1</v>
      </c>
      <c r="P1037">
        <v>1.3065</v>
      </c>
      <c r="Q1037">
        <v>0.99609999999999999</v>
      </c>
      <c r="R1037">
        <v>0.90151000000000003</v>
      </c>
      <c r="S1037">
        <v>0.77778000000000003</v>
      </c>
      <c r="T1037">
        <v>109.01</v>
      </c>
      <c r="U1037">
        <v>1</v>
      </c>
    </row>
    <row r="1038" spans="1:35" hidden="1" outlineLevel="1">
      <c r="A1038" s="8">
        <v>43767</v>
      </c>
      <c r="B1038" s="1860">
        <v>2585.9698699999999</v>
      </c>
      <c r="C1038" s="1860">
        <v>3403.6328800000001</v>
      </c>
      <c r="D1038" s="1860">
        <v>3759.4732899999999</v>
      </c>
      <c r="E1038" s="1860">
        <v>4363.1941999999999</v>
      </c>
      <c r="F1038">
        <v>31.0763</v>
      </c>
      <c r="G1038" s="1861">
        <v>3382.19</v>
      </c>
      <c r="I1038">
        <v>0.76458000000000004</v>
      </c>
      <c r="J1038">
        <v>1.0063299999999999</v>
      </c>
      <c r="K1038">
        <v>1.11155</v>
      </c>
      <c r="L1038">
        <v>1.2900499999999999</v>
      </c>
      <c r="M1038">
        <v>9.1800000000000007E-3</v>
      </c>
      <c r="N1038">
        <v>1</v>
      </c>
      <c r="P1038">
        <v>1.3079000000000001</v>
      </c>
      <c r="Q1038">
        <v>0.99370000000000003</v>
      </c>
      <c r="R1038">
        <v>0.89964</v>
      </c>
      <c r="S1038">
        <v>0.77515999999999996</v>
      </c>
      <c r="T1038">
        <v>108.83499999999999</v>
      </c>
      <c r="U1038">
        <v>1</v>
      </c>
    </row>
    <row r="1039" spans="1:35" hidden="1" outlineLevel="1">
      <c r="A1039" s="8">
        <v>43768</v>
      </c>
      <c r="B1039" s="1860">
        <v>2565.2718199999999</v>
      </c>
      <c r="C1039" s="1860">
        <v>3411.77657</v>
      </c>
      <c r="D1039" s="1860">
        <v>3760.5750699999999</v>
      </c>
      <c r="E1039" s="1860">
        <v>4351.5563899999997</v>
      </c>
      <c r="F1039">
        <v>31.05161</v>
      </c>
      <c r="G1039" s="1861">
        <v>3380.9</v>
      </c>
      <c r="I1039">
        <v>0.75875000000000004</v>
      </c>
      <c r="J1039">
        <v>1.0091300000000001</v>
      </c>
      <c r="K1039">
        <v>1.1123000000000001</v>
      </c>
      <c r="L1039">
        <v>1.2870999999999999</v>
      </c>
      <c r="M1039">
        <v>9.1800000000000007E-3</v>
      </c>
      <c r="N1039">
        <v>1</v>
      </c>
      <c r="P1039">
        <v>1.31795</v>
      </c>
      <c r="Q1039">
        <v>0.99095</v>
      </c>
      <c r="R1039">
        <v>0.89903</v>
      </c>
      <c r="S1039">
        <v>0.77693999999999996</v>
      </c>
      <c r="T1039">
        <v>108.88</v>
      </c>
      <c r="U1039">
        <v>1</v>
      </c>
    </row>
    <row r="1040" spans="1:35" ht="15.75" hidden="1" outlineLevel="1" thickBot="1">
      <c r="A1040" s="1868">
        <v>43769</v>
      </c>
      <c r="B1040" s="1869">
        <v>2579.1760100000001</v>
      </c>
      <c r="C1040" s="1869">
        <v>3435.45984</v>
      </c>
      <c r="D1040" s="1869">
        <v>3781.9865599999998</v>
      </c>
      <c r="E1040" s="1869">
        <v>4386.5823600000003</v>
      </c>
      <c r="F1040" s="1870">
        <v>31.357839999999999</v>
      </c>
      <c r="G1040" s="1871">
        <v>3389.94</v>
      </c>
      <c r="H1040" s="1872"/>
      <c r="I1040" s="1870">
        <v>0.76083000000000001</v>
      </c>
      <c r="J1040" s="1870">
        <v>1.01342</v>
      </c>
      <c r="K1040" s="1870">
        <v>1.11565</v>
      </c>
      <c r="L1040" s="1870">
        <v>1.294</v>
      </c>
      <c r="M1040" s="1870">
        <v>9.2499999999999995E-3</v>
      </c>
      <c r="N1040" s="1870">
        <v>1</v>
      </c>
      <c r="O1040" s="1872"/>
      <c r="P1040" s="1870">
        <v>1.3143499999999999</v>
      </c>
      <c r="Q1040" s="1870">
        <v>0.98675000000000002</v>
      </c>
      <c r="R1040" s="1870">
        <v>0.89632999999999996</v>
      </c>
      <c r="S1040" s="1870">
        <v>0.77278999999999998</v>
      </c>
      <c r="T1040" s="1870">
        <v>108.105</v>
      </c>
      <c r="U1040" s="1870">
        <v>1</v>
      </c>
      <c r="V1040" s="1872"/>
    </row>
    <row r="1041" spans="1:35" hidden="1" outlineLevel="1">
      <c r="A1041" s="8">
        <v>43770</v>
      </c>
      <c r="B1041" s="1860">
        <v>2573.6269499999999</v>
      </c>
      <c r="C1041" s="1860">
        <v>3433.0695000000001</v>
      </c>
      <c r="D1041" s="1860">
        <v>3778.96576</v>
      </c>
      <c r="E1041" s="1860">
        <v>4381.0222199999998</v>
      </c>
      <c r="F1041">
        <v>31.28331</v>
      </c>
      <c r="G1041" s="1861">
        <v>3383.29</v>
      </c>
      <c r="I1041">
        <v>0.76068000000000002</v>
      </c>
      <c r="J1041">
        <v>1.01471</v>
      </c>
      <c r="K1041">
        <v>1.1169500000000001</v>
      </c>
      <c r="L1041">
        <v>1.2948999999999999</v>
      </c>
      <c r="M1041">
        <v>9.2399999999999999E-3</v>
      </c>
      <c r="N1041">
        <v>1</v>
      </c>
      <c r="P1041">
        <v>1.3146</v>
      </c>
      <c r="Q1041">
        <v>0.98550000000000004</v>
      </c>
      <c r="R1041">
        <v>0.89529000000000003</v>
      </c>
      <c r="S1041">
        <v>0.77225999999999995</v>
      </c>
      <c r="T1041">
        <v>108.15</v>
      </c>
      <c r="U1041">
        <v>1</v>
      </c>
    </row>
    <row r="1042" spans="1:35" hidden="1" outlineLevel="1">
      <c r="A1042" s="8">
        <v>43771</v>
      </c>
      <c r="B1042" s="1860">
        <v>2540.0806299999999</v>
      </c>
      <c r="C1042" s="1860">
        <v>3388.3206399999999</v>
      </c>
      <c r="D1042" s="1860">
        <v>3729.7082700000001</v>
      </c>
      <c r="E1042" s="1860">
        <v>4323.9171299999998</v>
      </c>
      <c r="F1042">
        <v>30.875540000000001</v>
      </c>
      <c r="G1042" s="1861">
        <v>3339.19</v>
      </c>
      <c r="I1042">
        <v>0.76068000000000002</v>
      </c>
      <c r="J1042">
        <v>1.01471</v>
      </c>
      <c r="K1042">
        <v>1.1169500000000001</v>
      </c>
      <c r="L1042">
        <v>1.2948999999999999</v>
      </c>
      <c r="M1042">
        <v>9.2399999999999999E-3</v>
      </c>
      <c r="N1042">
        <v>1</v>
      </c>
      <c r="P1042">
        <v>1.3146</v>
      </c>
      <c r="Q1042">
        <v>0.98550000000000004</v>
      </c>
      <c r="R1042">
        <v>0.89529000000000003</v>
      </c>
      <c r="S1042">
        <v>0.77225999999999995</v>
      </c>
      <c r="T1042">
        <v>108.15</v>
      </c>
      <c r="U1042">
        <v>1</v>
      </c>
    </row>
    <row r="1043" spans="1:35" hidden="1" outlineLevel="1">
      <c r="A1043" s="8">
        <v>43772</v>
      </c>
      <c r="B1043" s="1860">
        <v>2540.0806299999999</v>
      </c>
      <c r="C1043" s="1860">
        <v>3388.3206399999999</v>
      </c>
      <c r="D1043" s="1860">
        <v>3729.7082700000001</v>
      </c>
      <c r="E1043" s="1860">
        <v>4323.9171299999998</v>
      </c>
      <c r="F1043">
        <v>30.875540000000001</v>
      </c>
      <c r="G1043" s="1861">
        <v>3339.19</v>
      </c>
      <c r="I1043">
        <v>0.76068000000000002</v>
      </c>
      <c r="J1043">
        <v>1.01471</v>
      </c>
      <c r="K1043">
        <v>1.1169500000000001</v>
      </c>
      <c r="L1043">
        <v>1.2948999999999999</v>
      </c>
      <c r="M1043">
        <v>9.2399999999999999E-3</v>
      </c>
      <c r="N1043">
        <v>1</v>
      </c>
      <c r="P1043">
        <v>1.3146</v>
      </c>
      <c r="Q1043">
        <v>0.98550000000000004</v>
      </c>
      <c r="R1043">
        <v>0.89529000000000003</v>
      </c>
      <c r="S1043">
        <v>0.77225999999999995</v>
      </c>
      <c r="T1043">
        <v>108.15</v>
      </c>
      <c r="U1043">
        <v>1</v>
      </c>
    </row>
    <row r="1044" spans="1:35" s="1857" customFormat="1" hidden="1" outlineLevel="1">
      <c r="A1044" s="8">
        <v>43773</v>
      </c>
      <c r="B1044" s="1860">
        <v>2541.33718</v>
      </c>
      <c r="C1044" s="1860">
        <v>3385.5723400000002</v>
      </c>
      <c r="D1044" s="1860">
        <v>3725.0333999999998</v>
      </c>
      <c r="E1044" s="1860">
        <v>4313.8995599999998</v>
      </c>
      <c r="F1044">
        <v>30.77169</v>
      </c>
      <c r="G1044" s="1861">
        <v>3339.19</v>
      </c>
      <c r="I1044">
        <v>0.76105999999999996</v>
      </c>
      <c r="J1044">
        <v>1.01389</v>
      </c>
      <c r="K1044">
        <v>1.11555</v>
      </c>
      <c r="L1044">
        <v>1.2919</v>
      </c>
      <c r="M1044">
        <v>9.2099999999999994E-3</v>
      </c>
      <c r="N1044">
        <v>1</v>
      </c>
      <c r="P1044">
        <v>1.31395</v>
      </c>
      <c r="Q1044">
        <v>0.98629999999999995</v>
      </c>
      <c r="R1044">
        <v>0.89641000000000004</v>
      </c>
      <c r="S1044">
        <v>0.77405000000000002</v>
      </c>
      <c r="T1044">
        <v>108.515</v>
      </c>
      <c r="U1044">
        <v>1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</row>
    <row r="1045" spans="1:35" s="1857" customFormat="1" hidden="1" outlineLevel="1">
      <c r="A1045" s="8">
        <v>43774</v>
      </c>
      <c r="B1045" s="1860">
        <v>2537.6676600000001</v>
      </c>
      <c r="C1045" s="1860">
        <v>3367.1372299999998</v>
      </c>
      <c r="D1045" s="1860">
        <v>3697.98596</v>
      </c>
      <c r="E1045" s="1860">
        <v>4296.8696900000004</v>
      </c>
      <c r="F1045">
        <v>30.592669999999998</v>
      </c>
      <c r="G1045" s="1861">
        <v>3339.19</v>
      </c>
      <c r="I1045">
        <v>0.75995999999999997</v>
      </c>
      <c r="J1045">
        <v>1.0083599999999999</v>
      </c>
      <c r="K1045">
        <v>1.10745</v>
      </c>
      <c r="L1045">
        <v>1.2867999999999999</v>
      </c>
      <c r="M1045">
        <v>9.1599999999999997E-3</v>
      </c>
      <c r="N1045">
        <v>1</v>
      </c>
      <c r="P1045">
        <v>1.31585</v>
      </c>
      <c r="Q1045">
        <v>0.99170000000000003</v>
      </c>
      <c r="R1045">
        <v>0.90297000000000005</v>
      </c>
      <c r="S1045">
        <v>0.77712000000000003</v>
      </c>
      <c r="T1045">
        <v>109.15</v>
      </c>
      <c r="U1045">
        <v>1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</row>
    <row r="1046" spans="1:35" s="1857" customFormat="1" hidden="1" outlineLevel="1">
      <c r="A1046" s="8">
        <v>43775</v>
      </c>
      <c r="B1046" s="1860">
        <v>2518.0938599999999</v>
      </c>
      <c r="C1046" s="1860">
        <v>3344.2204900000002</v>
      </c>
      <c r="D1046" s="1860">
        <v>3674.8736699999999</v>
      </c>
      <c r="E1046" s="1860">
        <v>4272.3642</v>
      </c>
      <c r="F1046">
        <v>30.43769</v>
      </c>
      <c r="G1046" s="1861">
        <v>3318.47</v>
      </c>
      <c r="I1046">
        <v>0.75880999999999998</v>
      </c>
      <c r="J1046">
        <v>1.0077499999999999</v>
      </c>
      <c r="K1046">
        <v>1.1073999999999999</v>
      </c>
      <c r="L1046">
        <v>1.28745</v>
      </c>
      <c r="M1046">
        <v>9.1699999999999993E-3</v>
      </c>
      <c r="N1046">
        <v>1</v>
      </c>
      <c r="P1046">
        <v>1.31785</v>
      </c>
      <c r="Q1046">
        <v>0.99229999999999996</v>
      </c>
      <c r="R1046">
        <v>0.90300999999999998</v>
      </c>
      <c r="S1046">
        <v>0.77671999999999997</v>
      </c>
      <c r="T1046">
        <v>109.02500000000001</v>
      </c>
      <c r="U1046">
        <v>1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</row>
    <row r="1047" spans="1:35" s="1857" customFormat="1" hidden="1" outlineLevel="1">
      <c r="A1047" s="8">
        <v>43776</v>
      </c>
      <c r="B1047" s="1860">
        <v>2518.8861000000002</v>
      </c>
      <c r="C1047" s="1860">
        <v>3336.48927</v>
      </c>
      <c r="D1047" s="1860">
        <v>3666.3763899999999</v>
      </c>
      <c r="E1047" s="1860">
        <v>4256.1104400000004</v>
      </c>
      <c r="F1047">
        <v>30.362089999999998</v>
      </c>
      <c r="G1047" s="1861">
        <v>3319.64</v>
      </c>
      <c r="I1047">
        <v>0.75878000000000001</v>
      </c>
      <c r="J1047">
        <v>1.0050699999999999</v>
      </c>
      <c r="K1047">
        <v>1.1044499999999999</v>
      </c>
      <c r="L1047">
        <v>1.2821</v>
      </c>
      <c r="M1047">
        <v>9.1400000000000006E-3</v>
      </c>
      <c r="N1047">
        <v>1</v>
      </c>
      <c r="P1047">
        <v>1.3179000000000001</v>
      </c>
      <c r="Q1047">
        <v>0.99495</v>
      </c>
      <c r="R1047">
        <v>0.90542</v>
      </c>
      <c r="S1047">
        <v>0.77997000000000005</v>
      </c>
      <c r="T1047">
        <v>109.33499999999999</v>
      </c>
      <c r="U1047">
        <v>1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</row>
    <row r="1048" spans="1:35" s="1857" customFormat="1" hidden="1" outlineLevel="1">
      <c r="A1048" s="8">
        <v>43777</v>
      </c>
      <c r="B1048" s="1860">
        <v>2517.51352</v>
      </c>
      <c r="C1048" s="1860">
        <v>3337.70064</v>
      </c>
      <c r="D1048" s="1860">
        <v>3666.70874</v>
      </c>
      <c r="E1048" s="1860">
        <v>4256.5893800000003</v>
      </c>
      <c r="F1048">
        <v>30.482559999999999</v>
      </c>
      <c r="G1048" s="1861">
        <v>3327.02</v>
      </c>
      <c r="I1048">
        <v>0.75668000000000002</v>
      </c>
      <c r="J1048">
        <v>1.0032099999999999</v>
      </c>
      <c r="K1048">
        <v>1.1021000000000001</v>
      </c>
      <c r="L1048">
        <v>1.2794000000000001</v>
      </c>
      <c r="M1048">
        <v>9.1599999999999997E-3</v>
      </c>
      <c r="N1048">
        <v>1</v>
      </c>
      <c r="P1048">
        <v>1.32155</v>
      </c>
      <c r="Q1048">
        <v>0.99680000000000002</v>
      </c>
      <c r="R1048">
        <v>0.90734999999999999</v>
      </c>
      <c r="S1048">
        <v>0.78161000000000003</v>
      </c>
      <c r="T1048">
        <v>109.145</v>
      </c>
      <c r="U1048">
        <v>1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</row>
    <row r="1049" spans="1:35" s="1857" customFormat="1" hidden="1" outlineLevel="1">
      <c r="A1049" s="8">
        <v>43778</v>
      </c>
      <c r="B1049" s="1860">
        <v>2528.0995800000001</v>
      </c>
      <c r="C1049" s="1860">
        <v>3351.7355499999999</v>
      </c>
      <c r="D1049" s="1860">
        <v>3682.1271200000001</v>
      </c>
      <c r="E1049" s="1860">
        <v>4274.48819</v>
      </c>
      <c r="F1049">
        <v>30.61074</v>
      </c>
      <c r="G1049" s="1861">
        <v>3341.01</v>
      </c>
      <c r="I1049">
        <v>0.75668000000000002</v>
      </c>
      <c r="J1049">
        <v>1.0032099999999999</v>
      </c>
      <c r="K1049">
        <v>1.1021000000000001</v>
      </c>
      <c r="L1049">
        <v>1.2794000000000001</v>
      </c>
      <c r="M1049">
        <v>9.1599999999999997E-3</v>
      </c>
      <c r="N1049">
        <v>1</v>
      </c>
      <c r="P1049">
        <v>1.32155</v>
      </c>
      <c r="Q1049">
        <v>0.99680000000000002</v>
      </c>
      <c r="R1049">
        <v>0.90734999999999999</v>
      </c>
      <c r="S1049">
        <v>0.78161000000000003</v>
      </c>
      <c r="T1049">
        <v>109.145</v>
      </c>
      <c r="U1049">
        <v>1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</row>
    <row r="1050" spans="1:35" s="1857" customFormat="1" hidden="1" outlineLevel="1">
      <c r="A1050" s="8">
        <v>43779</v>
      </c>
      <c r="B1050" s="1860">
        <v>2528.0995800000001</v>
      </c>
      <c r="C1050" s="1860">
        <v>3351.7355499999999</v>
      </c>
      <c r="D1050" s="1860">
        <v>3682.1271200000001</v>
      </c>
      <c r="E1050" s="1860">
        <v>4274.48819</v>
      </c>
      <c r="F1050">
        <v>30.61074</v>
      </c>
      <c r="G1050" s="1861">
        <v>3341.01</v>
      </c>
      <c r="I1050">
        <v>0.75668000000000002</v>
      </c>
      <c r="J1050">
        <v>1.0032099999999999</v>
      </c>
      <c r="K1050">
        <v>1.1021000000000001</v>
      </c>
      <c r="L1050">
        <v>1.2794000000000001</v>
      </c>
      <c r="M1050">
        <v>9.1599999999999997E-3</v>
      </c>
      <c r="N1050">
        <v>1</v>
      </c>
      <c r="P1050">
        <v>1.32155</v>
      </c>
      <c r="Q1050">
        <v>0.99680000000000002</v>
      </c>
      <c r="R1050">
        <v>0.90734999999999999</v>
      </c>
      <c r="S1050">
        <v>0.78161000000000003</v>
      </c>
      <c r="T1050">
        <v>109.145</v>
      </c>
      <c r="U1050">
        <v>1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</row>
    <row r="1051" spans="1:35" s="1857" customFormat="1" hidden="1" outlineLevel="1">
      <c r="A1051" s="8">
        <v>43780</v>
      </c>
      <c r="B1051" s="1860">
        <v>2528.1952299999998</v>
      </c>
      <c r="C1051" s="1860">
        <v>3359.31828</v>
      </c>
      <c r="D1051" s="1860">
        <v>3686.6374799999999</v>
      </c>
      <c r="E1051" s="1860">
        <v>4301.2162699999999</v>
      </c>
      <c r="F1051">
        <v>30.621960000000001</v>
      </c>
      <c r="G1051" s="1861">
        <v>3341.01</v>
      </c>
      <c r="I1051">
        <v>0.75670999999999999</v>
      </c>
      <c r="J1051">
        <v>1.0054700000000001</v>
      </c>
      <c r="K1051">
        <v>1.10345</v>
      </c>
      <c r="L1051">
        <v>1.2874000000000001</v>
      </c>
      <c r="M1051">
        <v>9.1599999999999997E-3</v>
      </c>
      <c r="N1051">
        <v>1</v>
      </c>
      <c r="P1051">
        <v>1.3214999999999999</v>
      </c>
      <c r="Q1051">
        <v>0.99455000000000005</v>
      </c>
      <c r="R1051">
        <v>0.90624000000000005</v>
      </c>
      <c r="S1051">
        <v>0.77675000000000005</v>
      </c>
      <c r="T1051">
        <v>109.105</v>
      </c>
      <c r="U1051">
        <v>1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</row>
    <row r="1052" spans="1:35" s="1857" customFormat="1" hidden="1" outlineLevel="1">
      <c r="A1052" s="8">
        <v>43781</v>
      </c>
      <c r="B1052" s="1860">
        <v>2525.2333600000002</v>
      </c>
      <c r="C1052" s="1860">
        <v>3360.8389400000001</v>
      </c>
      <c r="D1052" s="1860">
        <v>3679.2872600000001</v>
      </c>
      <c r="E1052" s="1860">
        <v>4289.5227299999997</v>
      </c>
      <c r="F1052">
        <v>30.60934</v>
      </c>
      <c r="G1052" s="1861">
        <v>3341.01</v>
      </c>
      <c r="I1052">
        <v>0.75582000000000005</v>
      </c>
      <c r="J1052">
        <v>1.00593</v>
      </c>
      <c r="K1052">
        <v>1.1012500000000001</v>
      </c>
      <c r="L1052">
        <v>1.2839</v>
      </c>
      <c r="M1052">
        <v>9.1599999999999997E-3</v>
      </c>
      <c r="N1052">
        <v>1</v>
      </c>
      <c r="P1052">
        <v>1.3230500000000001</v>
      </c>
      <c r="Q1052">
        <v>0.99409999999999998</v>
      </c>
      <c r="R1052">
        <v>0.90805000000000002</v>
      </c>
      <c r="S1052">
        <v>0.77886999999999995</v>
      </c>
      <c r="T1052">
        <v>109.15</v>
      </c>
      <c r="U1052">
        <v>1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</row>
    <row r="1053" spans="1:35" s="1857" customFormat="1" hidden="1" outlineLevel="1">
      <c r="A1053" s="8">
        <v>43782</v>
      </c>
      <c r="B1053" s="1860">
        <v>2555.1813900000002</v>
      </c>
      <c r="C1053" s="1860">
        <v>3420.2941000000001</v>
      </c>
      <c r="D1053" s="1860">
        <v>3725.8459899999998</v>
      </c>
      <c r="E1053" s="1860">
        <v>4345.1564200000003</v>
      </c>
      <c r="F1053">
        <v>31.123460000000001</v>
      </c>
      <c r="G1053" s="1861">
        <v>3384.21</v>
      </c>
      <c r="I1053">
        <v>0.75502999999999998</v>
      </c>
      <c r="J1053">
        <v>1.0106599999999999</v>
      </c>
      <c r="K1053">
        <v>1.1009500000000001</v>
      </c>
      <c r="L1053">
        <v>1.2839499999999999</v>
      </c>
      <c r="M1053">
        <v>9.1900000000000003E-3</v>
      </c>
      <c r="N1053">
        <v>1</v>
      </c>
      <c r="P1053">
        <v>1.3244499999999999</v>
      </c>
      <c r="Q1053">
        <v>0.98945000000000005</v>
      </c>
      <c r="R1053">
        <v>0.9083</v>
      </c>
      <c r="S1053">
        <v>0.77883999999999998</v>
      </c>
      <c r="T1053">
        <v>108.735</v>
      </c>
      <c r="U1053">
        <v>1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</row>
    <row r="1054" spans="1:35" s="1857" customFormat="1" hidden="1" outlineLevel="1">
      <c r="A1054" s="8">
        <v>43783</v>
      </c>
      <c r="B1054" s="1860">
        <v>2596.6729500000001</v>
      </c>
      <c r="C1054" s="1860">
        <v>3482.4606600000002</v>
      </c>
      <c r="D1054" s="1860">
        <v>3786.59528</v>
      </c>
      <c r="E1054" s="1860">
        <v>4425.4100600000002</v>
      </c>
      <c r="F1054">
        <v>31.700569999999999</v>
      </c>
      <c r="G1054" s="1861">
        <v>3441.89</v>
      </c>
      <c r="I1054">
        <v>0.75443000000000005</v>
      </c>
      <c r="J1054">
        <v>1.0117799999999999</v>
      </c>
      <c r="K1054">
        <v>1.10015</v>
      </c>
      <c r="L1054">
        <v>1.2857499999999999</v>
      </c>
      <c r="M1054">
        <v>9.2099999999999994E-3</v>
      </c>
      <c r="N1054">
        <v>1</v>
      </c>
      <c r="P1054">
        <v>1.3254999999999999</v>
      </c>
      <c r="Q1054">
        <v>0.98834999999999995</v>
      </c>
      <c r="R1054">
        <v>0.90895999999999999</v>
      </c>
      <c r="S1054">
        <v>0.77775000000000005</v>
      </c>
      <c r="T1054">
        <v>108.575</v>
      </c>
      <c r="U1054">
        <v>1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</row>
    <row r="1055" spans="1:35" s="1857" customFormat="1" hidden="1" outlineLevel="1">
      <c r="A1055" s="8">
        <v>43784</v>
      </c>
      <c r="B1055" s="1860">
        <v>2611.4056599999999</v>
      </c>
      <c r="C1055" s="1860">
        <v>3489.8367600000001</v>
      </c>
      <c r="D1055" s="1860">
        <v>3815.8908799999999</v>
      </c>
      <c r="E1055" s="1860">
        <v>4455.1527299999998</v>
      </c>
      <c r="F1055">
        <v>31.753060000000001</v>
      </c>
      <c r="G1055" s="1861">
        <v>3452.67</v>
      </c>
      <c r="I1055">
        <v>0.75634000000000001</v>
      </c>
      <c r="J1055">
        <v>1.0107600000000001</v>
      </c>
      <c r="K1055">
        <v>1.1052</v>
      </c>
      <c r="L1055">
        <v>1.2903500000000001</v>
      </c>
      <c r="M1055">
        <v>9.1900000000000003E-3</v>
      </c>
      <c r="N1055">
        <v>1</v>
      </c>
      <c r="P1055">
        <v>1.3221499999999999</v>
      </c>
      <c r="Q1055">
        <v>0.98934999999999995</v>
      </c>
      <c r="R1055">
        <v>0.90481</v>
      </c>
      <c r="S1055">
        <v>0.77498</v>
      </c>
      <c r="T1055">
        <v>108.735</v>
      </c>
      <c r="U1055">
        <v>1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</row>
    <row r="1056" spans="1:35" s="1857" customFormat="1" hidden="1" outlineLevel="1">
      <c r="A1056" s="8">
        <v>43785</v>
      </c>
      <c r="B1056" s="1860">
        <v>2587.6489000000001</v>
      </c>
      <c r="C1056" s="1860">
        <v>3458.0886399999999</v>
      </c>
      <c r="D1056" s="1860">
        <v>3781.1765500000001</v>
      </c>
      <c r="E1056" s="1860">
        <v>4414.62284</v>
      </c>
      <c r="F1056">
        <v>31.464200000000002</v>
      </c>
      <c r="G1056" s="1861">
        <v>3421.26</v>
      </c>
      <c r="I1056">
        <v>0.75634000000000001</v>
      </c>
      <c r="J1056">
        <v>1.0107600000000001</v>
      </c>
      <c r="K1056">
        <v>1.1052</v>
      </c>
      <c r="L1056">
        <v>1.2903500000000001</v>
      </c>
      <c r="M1056">
        <v>9.1900000000000003E-3</v>
      </c>
      <c r="N1056">
        <v>1</v>
      </c>
      <c r="P1056">
        <v>1.3221499999999999</v>
      </c>
      <c r="Q1056">
        <v>0.98934999999999995</v>
      </c>
      <c r="R1056">
        <v>0.90481</v>
      </c>
      <c r="S1056">
        <v>0.77498</v>
      </c>
      <c r="T1056">
        <v>108.735</v>
      </c>
      <c r="U1056">
        <v>1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</row>
    <row r="1057" spans="1:35" s="1857" customFormat="1" hidden="1" outlineLevel="1">
      <c r="A1057" s="8">
        <v>43786</v>
      </c>
      <c r="B1057" s="1860">
        <v>2587.6489000000001</v>
      </c>
      <c r="C1057" s="1860">
        <v>3458.0886399999999</v>
      </c>
      <c r="D1057" s="1860">
        <v>3781.1765500000001</v>
      </c>
      <c r="E1057" s="1860">
        <v>4414.62284</v>
      </c>
      <c r="F1057">
        <v>31.464200000000002</v>
      </c>
      <c r="G1057" s="1861">
        <v>3421.26</v>
      </c>
      <c r="I1057">
        <v>0.75634000000000001</v>
      </c>
      <c r="J1057">
        <v>1.0107600000000001</v>
      </c>
      <c r="K1057">
        <v>1.1052</v>
      </c>
      <c r="L1057">
        <v>1.2903500000000001</v>
      </c>
      <c r="M1057">
        <v>9.1900000000000003E-3</v>
      </c>
      <c r="N1057">
        <v>1</v>
      </c>
      <c r="P1057">
        <v>1.3221499999999999</v>
      </c>
      <c r="Q1057">
        <v>0.98934999999999995</v>
      </c>
      <c r="R1057">
        <v>0.90481</v>
      </c>
      <c r="S1057">
        <v>0.77498</v>
      </c>
      <c r="T1057">
        <v>108.735</v>
      </c>
      <c r="U1057">
        <v>1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</row>
    <row r="1058" spans="1:35" s="1857" customFormat="1" hidden="1" outlineLevel="1">
      <c r="A1058" s="8">
        <v>43787</v>
      </c>
      <c r="B1058" s="1860">
        <v>2589.1176</v>
      </c>
      <c r="C1058" s="1860">
        <v>3463.8655399999998</v>
      </c>
      <c r="D1058" s="1860">
        <v>3791.0981999999999</v>
      </c>
      <c r="E1058" s="1860">
        <v>4435.8346499999998</v>
      </c>
      <c r="F1058">
        <v>31.516369999999998</v>
      </c>
      <c r="G1058" s="1861">
        <v>3421.26</v>
      </c>
      <c r="I1058">
        <v>0.75677000000000005</v>
      </c>
      <c r="J1058">
        <v>1.0124500000000001</v>
      </c>
      <c r="K1058">
        <v>1.1081000000000001</v>
      </c>
      <c r="L1058">
        <v>1.2965500000000001</v>
      </c>
      <c r="M1058">
        <v>9.2099999999999994E-3</v>
      </c>
      <c r="N1058">
        <v>1</v>
      </c>
      <c r="P1058">
        <v>1.3213999999999999</v>
      </c>
      <c r="Q1058">
        <v>0.98770000000000002</v>
      </c>
      <c r="R1058">
        <v>0.90244000000000002</v>
      </c>
      <c r="S1058">
        <v>0.77127000000000001</v>
      </c>
      <c r="T1058">
        <v>108.55500000000001</v>
      </c>
      <c r="U1058">
        <v>1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</row>
    <row r="1059" spans="1:35" s="1857" customFormat="1" hidden="1" outlineLevel="1">
      <c r="A1059" s="8">
        <v>43788</v>
      </c>
      <c r="B1059" s="1860">
        <v>2606.39552</v>
      </c>
      <c r="C1059" s="1860">
        <v>3483.62129</v>
      </c>
      <c r="D1059" s="1860">
        <v>3819.92353</v>
      </c>
      <c r="E1059" s="1860">
        <v>4457.9278199999999</v>
      </c>
      <c r="F1059">
        <v>31.77786</v>
      </c>
      <c r="G1059" s="1861">
        <v>3447.74</v>
      </c>
      <c r="I1059">
        <v>0.75597000000000003</v>
      </c>
      <c r="J1059">
        <v>1.0104</v>
      </c>
      <c r="K1059">
        <v>1.10795</v>
      </c>
      <c r="L1059">
        <v>1.2929999999999999</v>
      </c>
      <c r="M1059">
        <v>9.2099999999999994E-3</v>
      </c>
      <c r="N1059">
        <v>1</v>
      </c>
      <c r="P1059">
        <v>1.3228</v>
      </c>
      <c r="Q1059">
        <v>0.98970000000000002</v>
      </c>
      <c r="R1059">
        <v>0.90256000000000003</v>
      </c>
      <c r="S1059">
        <v>0.77339000000000002</v>
      </c>
      <c r="T1059">
        <v>108.495</v>
      </c>
      <c r="U1059">
        <v>1</v>
      </c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</row>
    <row r="1060" spans="1:35" hidden="1" outlineLevel="1">
      <c r="A1060" s="8">
        <v>43789</v>
      </c>
      <c r="B1060" s="1860">
        <v>2583.1001799999999</v>
      </c>
      <c r="C1060" s="1860">
        <v>3460.6176599999999</v>
      </c>
      <c r="D1060" s="1860">
        <v>3800.6066300000002</v>
      </c>
      <c r="E1060" s="1860">
        <v>4434.61348</v>
      </c>
      <c r="F1060">
        <v>31.613489999999999</v>
      </c>
      <c r="G1060" s="1861">
        <v>3434.49</v>
      </c>
      <c r="I1060">
        <v>0.75209999999999999</v>
      </c>
      <c r="J1060">
        <v>1.0076000000000001</v>
      </c>
      <c r="K1060">
        <v>1.1066</v>
      </c>
      <c r="L1060">
        <v>1.2911999999999999</v>
      </c>
      <c r="M1060">
        <v>9.1999999999999998E-3</v>
      </c>
      <c r="N1060">
        <v>1</v>
      </c>
      <c r="P1060">
        <v>1.3295999999999999</v>
      </c>
      <c r="Q1060">
        <v>0.99245000000000005</v>
      </c>
      <c r="R1060">
        <v>0.90366000000000002</v>
      </c>
      <c r="S1060">
        <v>0.77446999999999999</v>
      </c>
      <c r="T1060">
        <v>108.64</v>
      </c>
      <c r="U1060">
        <v>1</v>
      </c>
    </row>
    <row r="1061" spans="1:35" hidden="1" outlineLevel="1">
      <c r="A1061" s="8">
        <v>43790</v>
      </c>
      <c r="B1061" s="1860">
        <v>2595.13499</v>
      </c>
      <c r="C1061" s="1860">
        <v>3476.1928699999999</v>
      </c>
      <c r="D1061" s="1860">
        <v>3816.7342199999998</v>
      </c>
      <c r="E1061" s="1860">
        <v>4453.3734800000002</v>
      </c>
      <c r="F1061">
        <v>31.754049999999999</v>
      </c>
      <c r="G1061" s="1861">
        <v>3445.95</v>
      </c>
      <c r="I1061">
        <v>0.75309000000000004</v>
      </c>
      <c r="J1061">
        <v>1.0087699999999999</v>
      </c>
      <c r="K1061">
        <v>1.1075999999999999</v>
      </c>
      <c r="L1061">
        <v>1.2923500000000001</v>
      </c>
      <c r="M1061">
        <v>9.2099999999999994E-3</v>
      </c>
      <c r="N1061">
        <v>1</v>
      </c>
      <c r="P1061">
        <v>1.32785</v>
      </c>
      <c r="Q1061">
        <v>0.99129999999999996</v>
      </c>
      <c r="R1061">
        <v>0.90285000000000004</v>
      </c>
      <c r="S1061">
        <v>0.77378000000000002</v>
      </c>
      <c r="T1061">
        <v>108.52</v>
      </c>
      <c r="U1061">
        <v>1</v>
      </c>
    </row>
    <row r="1062" spans="1:35" hidden="1" outlineLevel="1">
      <c r="A1062" s="8">
        <v>43791</v>
      </c>
      <c r="B1062" s="1860">
        <v>2589.20118</v>
      </c>
      <c r="C1062" s="1860">
        <v>3455.1717199999998</v>
      </c>
      <c r="D1062" s="1860">
        <v>3796.2522100000001</v>
      </c>
      <c r="E1062" s="1860">
        <v>4414.53881</v>
      </c>
      <c r="F1062">
        <v>31.66591</v>
      </c>
      <c r="G1062" s="1861">
        <v>3440.66</v>
      </c>
      <c r="I1062">
        <v>0.75253000000000003</v>
      </c>
      <c r="J1062">
        <v>1.00421</v>
      </c>
      <c r="K1062">
        <v>1.1033500000000001</v>
      </c>
      <c r="L1062">
        <v>1.28305</v>
      </c>
      <c r="M1062">
        <v>9.1999999999999998E-3</v>
      </c>
      <c r="N1062">
        <v>1</v>
      </c>
      <c r="P1062">
        <v>1.3288500000000001</v>
      </c>
      <c r="Q1062">
        <v>0.99580000000000002</v>
      </c>
      <c r="R1062">
        <v>0.90632999999999997</v>
      </c>
      <c r="S1062">
        <v>0.77939000000000003</v>
      </c>
      <c r="T1062">
        <v>108.655</v>
      </c>
      <c r="U1062">
        <v>1</v>
      </c>
    </row>
    <row r="1063" spans="1:35" hidden="1" outlineLevel="1">
      <c r="A1063" s="8">
        <v>43792</v>
      </c>
      <c r="B1063" s="1860">
        <v>2566.7080500000002</v>
      </c>
      <c r="C1063" s="1860">
        <v>3425.1556500000002</v>
      </c>
      <c r="D1063" s="1860">
        <v>3763.2730700000002</v>
      </c>
      <c r="E1063" s="1860">
        <v>4376.1884399999999</v>
      </c>
      <c r="F1063">
        <v>31.390820000000001</v>
      </c>
      <c r="G1063" s="1861">
        <v>3410.77</v>
      </c>
      <c r="I1063">
        <v>0.75253000000000003</v>
      </c>
      <c r="J1063">
        <v>1.00421</v>
      </c>
      <c r="K1063">
        <v>1.1033500000000001</v>
      </c>
      <c r="L1063">
        <v>1.28305</v>
      </c>
      <c r="M1063">
        <v>9.1999999999999998E-3</v>
      </c>
      <c r="N1063">
        <v>1</v>
      </c>
      <c r="P1063">
        <v>1.3288500000000001</v>
      </c>
      <c r="Q1063">
        <v>0.99580000000000002</v>
      </c>
      <c r="R1063">
        <v>0.90632999999999997</v>
      </c>
      <c r="S1063">
        <v>0.77939000000000003</v>
      </c>
      <c r="T1063">
        <v>108.655</v>
      </c>
      <c r="U1063">
        <v>1</v>
      </c>
    </row>
    <row r="1064" spans="1:35" hidden="1" outlineLevel="1">
      <c r="A1064" s="8">
        <v>43793</v>
      </c>
      <c r="B1064" s="1860">
        <v>2566.7080500000002</v>
      </c>
      <c r="C1064" s="1860">
        <v>3425.1556500000002</v>
      </c>
      <c r="D1064" s="1860">
        <v>3763.2730700000002</v>
      </c>
      <c r="E1064" s="1860">
        <v>4376.1884399999999</v>
      </c>
      <c r="F1064">
        <v>31.390820000000001</v>
      </c>
      <c r="G1064" s="1861">
        <v>3410.77</v>
      </c>
      <c r="I1064">
        <v>0.75253000000000003</v>
      </c>
      <c r="J1064">
        <v>1.00421</v>
      </c>
      <c r="K1064">
        <v>1.1033500000000001</v>
      </c>
      <c r="L1064">
        <v>1.28305</v>
      </c>
      <c r="M1064">
        <v>9.1999999999999998E-3</v>
      </c>
      <c r="N1064">
        <v>1</v>
      </c>
      <c r="P1064">
        <v>1.3288500000000001</v>
      </c>
      <c r="Q1064">
        <v>0.99580000000000002</v>
      </c>
      <c r="R1064">
        <v>0.90632999999999997</v>
      </c>
      <c r="S1064">
        <v>0.77939000000000003</v>
      </c>
      <c r="T1064">
        <v>108.655</v>
      </c>
      <c r="U1064">
        <v>1</v>
      </c>
    </row>
    <row r="1065" spans="1:35" hidden="1" outlineLevel="1">
      <c r="A1065" s="8">
        <v>43794</v>
      </c>
      <c r="B1065" s="1860">
        <v>2561.98452</v>
      </c>
      <c r="C1065" s="1860">
        <v>3420.1754799999999</v>
      </c>
      <c r="D1065" s="1860">
        <v>3755.9399199999998</v>
      </c>
      <c r="E1065" s="1860">
        <v>4402.2808299999997</v>
      </c>
      <c r="F1065">
        <v>31.308700000000002</v>
      </c>
      <c r="G1065" s="1861">
        <v>3410.77</v>
      </c>
      <c r="I1065">
        <v>0.75114000000000003</v>
      </c>
      <c r="J1065">
        <v>1.00275</v>
      </c>
      <c r="K1065">
        <v>1.1012</v>
      </c>
      <c r="L1065">
        <v>1.2907</v>
      </c>
      <c r="M1065">
        <v>9.1699999999999993E-3</v>
      </c>
      <c r="N1065">
        <v>1</v>
      </c>
      <c r="P1065">
        <v>1.3312999999999999</v>
      </c>
      <c r="Q1065">
        <v>0.99724999999999997</v>
      </c>
      <c r="R1065">
        <v>0.90810000000000002</v>
      </c>
      <c r="S1065">
        <v>0.77476999999999996</v>
      </c>
      <c r="T1065">
        <v>108.94</v>
      </c>
      <c r="U1065">
        <v>1</v>
      </c>
    </row>
    <row r="1066" spans="1:35" hidden="1" outlineLevel="1">
      <c r="A1066" s="8">
        <v>43795</v>
      </c>
      <c r="B1066" s="1860">
        <v>2583.9497299999998</v>
      </c>
      <c r="C1066" s="1860">
        <v>3439.9599199999998</v>
      </c>
      <c r="D1066" s="1860">
        <v>3782.3132099999998</v>
      </c>
      <c r="E1066" s="1860">
        <v>4409.1789600000002</v>
      </c>
      <c r="F1066">
        <v>31.479479999999999</v>
      </c>
      <c r="G1066" s="1861">
        <v>3433.94</v>
      </c>
      <c r="I1066">
        <v>0.75246999999999997</v>
      </c>
      <c r="J1066">
        <v>1.0017499999999999</v>
      </c>
      <c r="K1066">
        <v>1.10145</v>
      </c>
      <c r="L1066">
        <v>1.284</v>
      </c>
      <c r="M1066">
        <v>9.1599999999999997E-3</v>
      </c>
      <c r="N1066">
        <v>1</v>
      </c>
      <c r="P1066">
        <v>1.3289500000000001</v>
      </c>
      <c r="Q1066">
        <v>0.99824999999999997</v>
      </c>
      <c r="R1066">
        <v>0.90788999999999997</v>
      </c>
      <c r="S1066">
        <v>0.77881</v>
      </c>
      <c r="T1066">
        <v>109.08499999999999</v>
      </c>
      <c r="U1066">
        <v>1</v>
      </c>
    </row>
    <row r="1067" spans="1:35" hidden="1" outlineLevel="1">
      <c r="A1067" s="8">
        <v>43796</v>
      </c>
      <c r="B1067" s="1860">
        <v>2611.3214600000001</v>
      </c>
      <c r="C1067" s="1860">
        <v>3472.6562800000002</v>
      </c>
      <c r="D1067" s="1860">
        <v>3815.7375400000001</v>
      </c>
      <c r="E1067" s="1860">
        <v>4467.0441700000001</v>
      </c>
      <c r="F1067">
        <v>31.715209999999999</v>
      </c>
      <c r="G1067" s="1861">
        <v>3469.01</v>
      </c>
      <c r="I1067">
        <v>0.75275000000000003</v>
      </c>
      <c r="J1067">
        <v>1.00105</v>
      </c>
      <c r="K1067">
        <v>1.09995</v>
      </c>
      <c r="L1067">
        <v>1.2877000000000001</v>
      </c>
      <c r="M1067">
        <v>9.1400000000000006E-3</v>
      </c>
      <c r="N1067">
        <v>1</v>
      </c>
      <c r="P1067">
        <v>1.3284499999999999</v>
      </c>
      <c r="Q1067">
        <v>0.99895</v>
      </c>
      <c r="R1067">
        <v>0.90912999999999999</v>
      </c>
      <c r="S1067">
        <v>0.77656999999999998</v>
      </c>
      <c r="T1067">
        <v>109.38</v>
      </c>
      <c r="U1067">
        <v>1</v>
      </c>
    </row>
    <row r="1068" spans="1:35" hidden="1" outlineLevel="1">
      <c r="A1068" s="8">
        <v>43797</v>
      </c>
      <c r="B1068" s="1860">
        <v>2636.0537300000001</v>
      </c>
      <c r="C1068" s="1860">
        <v>3507.4797199999998</v>
      </c>
      <c r="D1068" s="1860">
        <v>3855.4888900000001</v>
      </c>
      <c r="E1068" s="1860">
        <v>4519.8176700000004</v>
      </c>
      <c r="F1068">
        <v>31.978449999999999</v>
      </c>
      <c r="G1068" s="1861">
        <v>3502.92</v>
      </c>
      <c r="I1068">
        <v>0.75253000000000003</v>
      </c>
      <c r="J1068">
        <v>1.0013000000000001</v>
      </c>
      <c r="K1068">
        <v>1.1006499999999999</v>
      </c>
      <c r="L1068">
        <v>1.2903</v>
      </c>
      <c r="M1068">
        <v>9.1199999999999996E-3</v>
      </c>
      <c r="N1068">
        <v>1</v>
      </c>
      <c r="P1068">
        <v>1.3288500000000001</v>
      </c>
      <c r="Q1068">
        <v>0.99870000000000003</v>
      </c>
      <c r="R1068">
        <v>0.90854999999999997</v>
      </c>
      <c r="S1068">
        <v>0.77500999999999998</v>
      </c>
      <c r="T1068">
        <v>109.54</v>
      </c>
      <c r="U1068">
        <v>1</v>
      </c>
    </row>
    <row r="1069" spans="1:35" hidden="1" outlineLevel="1">
      <c r="A1069" s="8">
        <v>43798</v>
      </c>
      <c r="B1069" s="1860">
        <v>2637.24449</v>
      </c>
      <c r="C1069" s="1860">
        <v>3505.1983700000001</v>
      </c>
      <c r="D1069" s="1860">
        <v>3862.3195900000001</v>
      </c>
      <c r="E1069" s="1860">
        <v>4531.0270200000004</v>
      </c>
      <c r="F1069">
        <v>31.987210000000001</v>
      </c>
      <c r="G1069" s="1861">
        <v>3502.92</v>
      </c>
      <c r="I1069">
        <v>0.75287000000000004</v>
      </c>
      <c r="J1069">
        <v>1.00065</v>
      </c>
      <c r="K1069">
        <v>1.1026</v>
      </c>
      <c r="L1069">
        <v>1.2935000000000001</v>
      </c>
      <c r="M1069">
        <v>9.1299999999999992E-3</v>
      </c>
      <c r="N1069">
        <v>1</v>
      </c>
      <c r="P1069">
        <v>1.3282499999999999</v>
      </c>
      <c r="Q1069">
        <v>0.99934999999999996</v>
      </c>
      <c r="R1069">
        <v>0.90693999999999997</v>
      </c>
      <c r="S1069">
        <v>0.77309000000000005</v>
      </c>
      <c r="T1069">
        <v>109.51</v>
      </c>
      <c r="U1069">
        <v>1</v>
      </c>
    </row>
    <row r="1070" spans="1:35" ht="15.75" hidden="1" outlineLevel="1" thickBot="1">
      <c r="A1070" s="1868">
        <v>43799</v>
      </c>
      <c r="B1070" s="1869">
        <v>2651.9706299999998</v>
      </c>
      <c r="C1070" s="1869">
        <v>3524.7710999999999</v>
      </c>
      <c r="D1070" s="1869">
        <v>3883.8864400000002</v>
      </c>
      <c r="E1070" s="1869">
        <v>4556.3278799999998</v>
      </c>
      <c r="F1070" s="1870">
        <v>32.165819999999997</v>
      </c>
      <c r="G1070" s="1875">
        <v>3522.48</v>
      </c>
      <c r="H1070" s="1872"/>
      <c r="I1070" s="1870">
        <v>0.75287000000000004</v>
      </c>
      <c r="J1070" s="1870">
        <v>1.00065</v>
      </c>
      <c r="K1070" s="1870">
        <v>1.1026</v>
      </c>
      <c r="L1070" s="1870">
        <v>1.2935000000000001</v>
      </c>
      <c r="M1070" s="1870">
        <v>9.1299999999999992E-3</v>
      </c>
      <c r="N1070" s="1870">
        <v>1</v>
      </c>
      <c r="O1070" s="1872"/>
      <c r="P1070" s="1870">
        <v>1.3282499999999999</v>
      </c>
      <c r="Q1070" s="1870">
        <v>0.99934999999999996</v>
      </c>
      <c r="R1070" s="1870">
        <v>0.90693999999999997</v>
      </c>
      <c r="S1070" s="1870">
        <v>0.77309000000000005</v>
      </c>
      <c r="T1070" s="1870">
        <v>109.51</v>
      </c>
      <c r="U1070" s="1870">
        <v>1</v>
      </c>
      <c r="V1070" s="1872"/>
    </row>
    <row r="1071" spans="1:35" hidden="1" outlineLevel="1">
      <c r="A1071" s="8">
        <v>43800</v>
      </c>
      <c r="B1071" s="1860">
        <v>2651.9706299999998</v>
      </c>
      <c r="C1071" s="1860">
        <v>3524.7710999999999</v>
      </c>
      <c r="D1071" s="1860">
        <v>3883.8864400000002</v>
      </c>
      <c r="E1071" s="1860">
        <v>4556.3278799999998</v>
      </c>
      <c r="F1071">
        <v>32.165819999999997</v>
      </c>
      <c r="G1071" s="1863">
        <v>3522.48</v>
      </c>
      <c r="I1071">
        <v>0.75287000000000004</v>
      </c>
      <c r="J1071">
        <v>1.00065</v>
      </c>
      <c r="K1071">
        <v>1.1026</v>
      </c>
      <c r="L1071">
        <v>1.2935000000000001</v>
      </c>
      <c r="M1071">
        <v>9.1299999999999992E-3</v>
      </c>
      <c r="N1071">
        <v>1</v>
      </c>
      <c r="P1071">
        <v>1.3282499999999999</v>
      </c>
      <c r="Q1071">
        <v>0.99934999999999996</v>
      </c>
      <c r="R1071">
        <v>0.90693999999999997</v>
      </c>
      <c r="S1071">
        <v>0.77309000000000005</v>
      </c>
      <c r="T1071">
        <v>109.51</v>
      </c>
      <c r="U1071">
        <v>1</v>
      </c>
    </row>
    <row r="1072" spans="1:35" hidden="1" outlineLevel="1">
      <c r="A1072" s="8">
        <v>43801</v>
      </c>
      <c r="B1072" s="1860">
        <v>2647.5853999999999</v>
      </c>
      <c r="C1072" s="1860">
        <v>3547.8471</v>
      </c>
      <c r="D1072" s="1860">
        <v>3900.2659800000001</v>
      </c>
      <c r="E1072" s="1860">
        <v>4551.5725300000004</v>
      </c>
      <c r="F1072">
        <v>32.282269999999997</v>
      </c>
      <c r="G1072" s="1863">
        <v>3522.48</v>
      </c>
      <c r="I1072">
        <v>0.75161999999999995</v>
      </c>
      <c r="J1072">
        <v>1.0072000000000001</v>
      </c>
      <c r="K1072">
        <v>1.1072500000000001</v>
      </c>
      <c r="L1072">
        <v>1.2921499999999999</v>
      </c>
      <c r="M1072">
        <v>9.1599999999999997E-3</v>
      </c>
      <c r="N1072">
        <v>1</v>
      </c>
      <c r="P1072">
        <v>1.3304499999999999</v>
      </c>
      <c r="Q1072">
        <v>0.99285000000000001</v>
      </c>
      <c r="R1072">
        <v>0.90312999999999999</v>
      </c>
      <c r="S1072">
        <v>0.77390000000000003</v>
      </c>
      <c r="T1072">
        <v>109.11499999999999</v>
      </c>
      <c r="U1072">
        <v>1</v>
      </c>
    </row>
    <row r="1073" spans="1:26" hidden="1" outlineLevel="1">
      <c r="A1073" s="8">
        <v>43802</v>
      </c>
      <c r="B1073" s="1860">
        <v>2638.7800299999999</v>
      </c>
      <c r="C1073" s="1860">
        <v>3556.5816799999998</v>
      </c>
      <c r="D1073" s="1860">
        <v>3888.52405</v>
      </c>
      <c r="E1073" s="1860">
        <v>4558.6265400000002</v>
      </c>
      <c r="F1073">
        <v>32.321980000000003</v>
      </c>
      <c r="G1073" s="1861">
        <v>3508.39</v>
      </c>
      <c r="I1073">
        <v>0.75212999999999997</v>
      </c>
      <c r="J1073">
        <v>1.01373</v>
      </c>
      <c r="K1073">
        <v>1.1083499999999999</v>
      </c>
      <c r="L1073">
        <v>1.29935</v>
      </c>
      <c r="M1073">
        <v>9.2099999999999994E-3</v>
      </c>
      <c r="N1073">
        <v>1</v>
      </c>
      <c r="P1073">
        <v>1.32955</v>
      </c>
      <c r="Q1073">
        <v>0.98645000000000005</v>
      </c>
      <c r="R1073">
        <v>0.90224000000000004</v>
      </c>
      <c r="S1073">
        <v>0.76961000000000002</v>
      </c>
      <c r="T1073">
        <v>108.545</v>
      </c>
      <c r="U1073">
        <v>1</v>
      </c>
    </row>
    <row r="1074" spans="1:26" hidden="1" outlineLevel="1">
      <c r="A1074" s="8">
        <v>43803</v>
      </c>
      <c r="B1074" s="1860">
        <v>2650.0434500000001</v>
      </c>
      <c r="C1074" s="1860">
        <v>3546.0309400000001</v>
      </c>
      <c r="D1074" s="1860">
        <v>3888.02036</v>
      </c>
      <c r="E1074" s="1860">
        <v>4596.8936999999996</v>
      </c>
      <c r="F1074">
        <v>32.225969999999997</v>
      </c>
      <c r="G1074" s="1861">
        <v>3506.67</v>
      </c>
      <c r="I1074">
        <v>0.75570999999999999</v>
      </c>
      <c r="J1074">
        <v>1.01122</v>
      </c>
      <c r="K1074">
        <v>1.1087499999999999</v>
      </c>
      <c r="L1074">
        <v>1.3109</v>
      </c>
      <c r="M1074">
        <v>9.1800000000000007E-3</v>
      </c>
      <c r="N1074">
        <v>1</v>
      </c>
      <c r="P1074">
        <v>1.32325</v>
      </c>
      <c r="Q1074">
        <v>0.9889</v>
      </c>
      <c r="R1074">
        <v>0.90190999999999999</v>
      </c>
      <c r="S1074">
        <v>0.76283000000000001</v>
      </c>
      <c r="T1074">
        <v>108.815</v>
      </c>
      <c r="U1074">
        <v>1</v>
      </c>
    </row>
    <row r="1075" spans="1:26" hidden="1" outlineLevel="1">
      <c r="A1075" s="8">
        <v>43804</v>
      </c>
      <c r="B1075" s="1860">
        <v>2638.2783399999998</v>
      </c>
      <c r="C1075" s="1860">
        <v>3519.9291600000001</v>
      </c>
      <c r="D1075" s="1860">
        <v>3858.6037700000002</v>
      </c>
      <c r="E1075" s="1860">
        <v>4575.8849</v>
      </c>
      <c r="F1075">
        <v>31.983899999999998</v>
      </c>
      <c r="G1075" s="1861">
        <v>3478.57</v>
      </c>
      <c r="I1075">
        <v>0.75843000000000005</v>
      </c>
      <c r="J1075">
        <v>1.0118799999999999</v>
      </c>
      <c r="K1075">
        <v>1.1092500000000001</v>
      </c>
      <c r="L1075">
        <v>1.31545</v>
      </c>
      <c r="M1075">
        <v>9.1900000000000003E-3</v>
      </c>
      <c r="N1075">
        <v>1</v>
      </c>
      <c r="P1075">
        <v>1.3185</v>
      </c>
      <c r="Q1075">
        <v>0.98824999999999996</v>
      </c>
      <c r="R1075">
        <v>0.90151000000000003</v>
      </c>
      <c r="S1075">
        <v>0.76019000000000003</v>
      </c>
      <c r="T1075">
        <v>108.76</v>
      </c>
      <c r="U1075">
        <v>1</v>
      </c>
    </row>
    <row r="1076" spans="1:26" hidden="1" outlineLevel="1">
      <c r="A1076" s="8">
        <v>43805</v>
      </c>
      <c r="B1076" s="1860">
        <v>2608.1486500000001</v>
      </c>
      <c r="C1076" s="1860">
        <v>3491.04025</v>
      </c>
      <c r="D1076" s="1860">
        <v>3822.92085</v>
      </c>
      <c r="E1076" s="1860">
        <v>4534.8096800000003</v>
      </c>
      <c r="F1076">
        <v>31.84216</v>
      </c>
      <c r="G1076" s="1861">
        <v>3459.97</v>
      </c>
      <c r="I1076">
        <v>0.75380000000000003</v>
      </c>
      <c r="J1076">
        <v>1.0089699999999999</v>
      </c>
      <c r="K1076">
        <v>1.1049</v>
      </c>
      <c r="L1076">
        <v>1.3106500000000001</v>
      </c>
      <c r="M1076">
        <v>9.1999999999999998E-3</v>
      </c>
      <c r="N1076">
        <v>1</v>
      </c>
      <c r="P1076">
        <v>1.3266</v>
      </c>
      <c r="Q1076">
        <v>0.99109999999999998</v>
      </c>
      <c r="R1076">
        <v>0.90505000000000002</v>
      </c>
      <c r="S1076">
        <v>0.76297999999999999</v>
      </c>
      <c r="T1076">
        <v>108.66</v>
      </c>
      <c r="U1076">
        <v>1</v>
      </c>
    </row>
    <row r="1077" spans="1:26" hidden="1" outlineLevel="1">
      <c r="A1077" s="8">
        <v>43806</v>
      </c>
      <c r="B1077" s="1860">
        <v>2585.7907399999999</v>
      </c>
      <c r="C1077" s="1860">
        <v>3461.11391</v>
      </c>
      <c r="D1077" s="1860">
        <v>3790.1495100000002</v>
      </c>
      <c r="E1077" s="1860">
        <v>4495.9358000000002</v>
      </c>
      <c r="F1077">
        <v>31.569199999999999</v>
      </c>
      <c r="G1077" s="1861">
        <v>3430.31</v>
      </c>
      <c r="I1077">
        <v>0.75380000000000003</v>
      </c>
      <c r="J1077">
        <v>1.0089699999999999</v>
      </c>
      <c r="K1077">
        <v>1.1049</v>
      </c>
      <c r="L1077">
        <v>1.3106500000000001</v>
      </c>
      <c r="M1077">
        <v>9.1999999999999998E-3</v>
      </c>
      <c r="N1077">
        <v>1</v>
      </c>
      <c r="P1077">
        <v>1.3266</v>
      </c>
      <c r="Q1077">
        <v>0.99109999999999998</v>
      </c>
      <c r="R1077">
        <v>0.90505000000000002</v>
      </c>
      <c r="S1077">
        <v>0.76297999999999999</v>
      </c>
      <c r="T1077">
        <v>108.66</v>
      </c>
      <c r="U1077">
        <v>1</v>
      </c>
    </row>
    <row r="1078" spans="1:26" hidden="1" outlineLevel="1">
      <c r="A1078" s="8">
        <v>43807</v>
      </c>
      <c r="B1078" s="1860">
        <v>2585.7907399999999</v>
      </c>
      <c r="C1078" s="1860">
        <v>3461.11391</v>
      </c>
      <c r="D1078" s="1860">
        <v>3790.1495100000002</v>
      </c>
      <c r="E1078" s="1860">
        <v>4495.9358000000002</v>
      </c>
      <c r="F1078">
        <v>31.569199999999999</v>
      </c>
      <c r="G1078" s="1861">
        <v>3430.31</v>
      </c>
      <c r="I1078">
        <v>0.75380000000000003</v>
      </c>
      <c r="J1078">
        <v>1.0089699999999999</v>
      </c>
      <c r="K1078">
        <v>1.1049</v>
      </c>
      <c r="L1078">
        <v>1.3106500000000001</v>
      </c>
      <c r="M1078">
        <v>9.1999999999999998E-3</v>
      </c>
      <c r="N1078">
        <v>1</v>
      </c>
      <c r="P1078">
        <v>1.3266</v>
      </c>
      <c r="Q1078">
        <v>0.99109999999999998</v>
      </c>
      <c r="R1078">
        <v>0.90505000000000002</v>
      </c>
      <c r="S1078">
        <v>0.76297999999999999</v>
      </c>
      <c r="T1078">
        <v>108.66</v>
      </c>
      <c r="U1078">
        <v>1</v>
      </c>
    </row>
    <row r="1079" spans="1:26" hidden="1" outlineLevel="1">
      <c r="A1079" s="8">
        <v>43808</v>
      </c>
      <c r="B1079" s="1860">
        <v>2593.2189199999998</v>
      </c>
      <c r="C1079" s="1860">
        <v>3470.7441600000002</v>
      </c>
      <c r="D1079" s="1860">
        <v>3797.18165</v>
      </c>
      <c r="E1079" s="1860">
        <v>4512.5727999999999</v>
      </c>
      <c r="F1079">
        <v>31.585190000000001</v>
      </c>
      <c r="G1079" s="1861">
        <v>3430.31</v>
      </c>
      <c r="I1079">
        <v>0.75597000000000003</v>
      </c>
      <c r="J1079">
        <v>1.0117799999999999</v>
      </c>
      <c r="K1079">
        <v>1.1069500000000001</v>
      </c>
      <c r="L1079">
        <v>1.3154999999999999</v>
      </c>
      <c r="M1079">
        <v>9.1999999999999998E-3</v>
      </c>
      <c r="N1079">
        <v>1</v>
      </c>
      <c r="P1079">
        <v>1.3228</v>
      </c>
      <c r="Q1079">
        <v>0.98834999999999995</v>
      </c>
      <c r="R1079">
        <v>0.90337999999999996</v>
      </c>
      <c r="S1079">
        <v>0.76015999999999995</v>
      </c>
      <c r="T1079">
        <v>108.605</v>
      </c>
      <c r="U1079">
        <v>1</v>
      </c>
    </row>
    <row r="1080" spans="1:26" hidden="1" outlineLevel="1">
      <c r="A1080" s="8">
        <v>43809</v>
      </c>
      <c r="B1080" s="1860">
        <v>2583.20172</v>
      </c>
      <c r="C1080" s="1860">
        <v>3466.3151400000002</v>
      </c>
      <c r="D1080" s="1860">
        <v>3790.7524699999999</v>
      </c>
      <c r="E1080" s="1860">
        <v>4501.7963099999997</v>
      </c>
      <c r="F1080">
        <v>31.44586</v>
      </c>
      <c r="G1080" s="1861">
        <v>3418.48</v>
      </c>
      <c r="I1080">
        <v>0.75565000000000004</v>
      </c>
      <c r="J1080">
        <v>1.0139899999999999</v>
      </c>
      <c r="K1080">
        <v>1.1089</v>
      </c>
      <c r="L1080">
        <v>1.3169</v>
      </c>
      <c r="M1080">
        <v>9.1900000000000003E-3</v>
      </c>
      <c r="N1080">
        <v>1</v>
      </c>
      <c r="P1080">
        <v>1.32335</v>
      </c>
      <c r="Q1080">
        <v>0.98619999999999997</v>
      </c>
      <c r="R1080">
        <v>0.90178999999999998</v>
      </c>
      <c r="S1080">
        <v>0.75934999999999997</v>
      </c>
      <c r="T1080">
        <v>108.71</v>
      </c>
      <c r="U1080">
        <v>1</v>
      </c>
    </row>
    <row r="1081" spans="1:26" hidden="1" outlineLevel="1">
      <c r="A1081" s="8">
        <v>43810</v>
      </c>
      <c r="B1081" s="1860">
        <v>2586.6227800000001</v>
      </c>
      <c r="C1081" s="1860">
        <v>3466.0954999999999</v>
      </c>
      <c r="D1081" s="1860">
        <v>3789.7001100000002</v>
      </c>
      <c r="E1081" s="1860">
        <v>4504.7023900000004</v>
      </c>
      <c r="F1081">
        <v>31.449950000000001</v>
      </c>
      <c r="G1081" s="1861">
        <v>3418.61</v>
      </c>
      <c r="I1081">
        <v>0.75661999999999996</v>
      </c>
      <c r="J1081">
        <v>1.01389</v>
      </c>
      <c r="K1081">
        <v>1.1085499999999999</v>
      </c>
      <c r="L1081">
        <v>1.3177000000000001</v>
      </c>
      <c r="M1081">
        <v>9.1900000000000003E-3</v>
      </c>
      <c r="N1081">
        <v>1</v>
      </c>
      <c r="P1081">
        <v>1.32165</v>
      </c>
      <c r="Q1081">
        <v>0.98629999999999995</v>
      </c>
      <c r="R1081">
        <v>0.90207000000000004</v>
      </c>
      <c r="S1081">
        <v>0.75888999999999995</v>
      </c>
      <c r="T1081">
        <v>108.7</v>
      </c>
      <c r="U1081">
        <v>1</v>
      </c>
    </row>
    <row r="1082" spans="1:26" hidden="1" outlineLevel="1">
      <c r="A1082" s="8">
        <v>43811</v>
      </c>
      <c r="B1082" s="1860">
        <v>2568.1158300000002</v>
      </c>
      <c r="C1082" s="1860">
        <v>3432.17668</v>
      </c>
      <c r="D1082" s="1860">
        <v>3766.3088200000002</v>
      </c>
      <c r="E1082" s="1860">
        <v>4444.5323699999999</v>
      </c>
      <c r="F1082">
        <v>30.997620000000001</v>
      </c>
      <c r="G1082" s="1861">
        <v>3387.73</v>
      </c>
      <c r="I1082">
        <v>0.75805999999999996</v>
      </c>
      <c r="J1082">
        <v>1.01311</v>
      </c>
      <c r="K1082">
        <v>1.11175</v>
      </c>
      <c r="L1082">
        <v>1.3119499999999999</v>
      </c>
      <c r="M1082">
        <v>9.1400000000000006E-3</v>
      </c>
      <c r="N1082">
        <v>1</v>
      </c>
      <c r="P1082">
        <v>1.31915</v>
      </c>
      <c r="Q1082">
        <v>0.98704999999999998</v>
      </c>
      <c r="R1082">
        <v>0.89947999999999995</v>
      </c>
      <c r="S1082">
        <v>0.76222000000000001</v>
      </c>
      <c r="T1082">
        <v>109.29</v>
      </c>
      <c r="U1082">
        <v>1</v>
      </c>
    </row>
    <row r="1083" spans="1:26" hidden="1" outlineLevel="1">
      <c r="A1083" s="8">
        <v>43812</v>
      </c>
      <c r="B1083" s="1860">
        <v>2555.1068300000002</v>
      </c>
      <c r="C1083" s="1860">
        <v>3431.2474499999998</v>
      </c>
      <c r="D1083" s="1860">
        <v>3755.4839299999999</v>
      </c>
      <c r="E1083" s="1860">
        <v>4500.0723200000002</v>
      </c>
      <c r="F1083">
        <v>30.861440000000002</v>
      </c>
      <c r="G1083" s="1861">
        <v>3372.23</v>
      </c>
      <c r="I1083">
        <v>0.75768999999999997</v>
      </c>
      <c r="J1083">
        <v>1.0175000000000001</v>
      </c>
      <c r="K1083">
        <v>1.11365</v>
      </c>
      <c r="L1083">
        <v>1.3344499999999999</v>
      </c>
      <c r="M1083">
        <v>9.1500000000000001E-3</v>
      </c>
      <c r="N1083">
        <v>1</v>
      </c>
      <c r="P1083">
        <v>1.3198000000000001</v>
      </c>
      <c r="Q1083">
        <v>0.98280000000000001</v>
      </c>
      <c r="R1083">
        <v>0.89793999999999996</v>
      </c>
      <c r="S1083">
        <v>0.74936999999999998</v>
      </c>
      <c r="T1083">
        <v>109.27</v>
      </c>
      <c r="U1083">
        <v>1</v>
      </c>
    </row>
    <row r="1084" spans="1:26" hidden="1" outlineLevel="1">
      <c r="A1084" s="8">
        <v>43813</v>
      </c>
      <c r="B1084" s="1860">
        <v>2556.6676699999998</v>
      </c>
      <c r="C1084" s="1860">
        <v>3433.3434999999999</v>
      </c>
      <c r="D1084" s="1860">
        <v>3757.7780499999999</v>
      </c>
      <c r="E1084" s="1860">
        <v>4502.8212899999999</v>
      </c>
      <c r="F1084">
        <v>30.880289999999999</v>
      </c>
      <c r="G1084" s="1861">
        <v>3374.29</v>
      </c>
      <c r="I1084">
        <v>0.75768999999999997</v>
      </c>
      <c r="J1084">
        <v>1.0175000000000001</v>
      </c>
      <c r="K1084">
        <v>1.11365</v>
      </c>
      <c r="L1084">
        <v>1.3344499999999999</v>
      </c>
      <c r="M1084">
        <v>9.1500000000000001E-3</v>
      </c>
      <c r="N1084">
        <v>1</v>
      </c>
      <c r="P1084">
        <v>1.3198000000000001</v>
      </c>
      <c r="Q1084">
        <v>0.98280000000000001</v>
      </c>
      <c r="R1084">
        <v>0.89793999999999996</v>
      </c>
      <c r="S1084">
        <v>0.74936999999999998</v>
      </c>
      <c r="T1084">
        <v>109.27</v>
      </c>
      <c r="U1084">
        <v>1</v>
      </c>
    </row>
    <row r="1085" spans="1:26" hidden="1" outlineLevel="1">
      <c r="A1085" s="8">
        <v>43814</v>
      </c>
      <c r="B1085" s="1860">
        <v>2556.6676699999998</v>
      </c>
      <c r="C1085" s="1860">
        <v>3433.3434999999999</v>
      </c>
      <c r="D1085" s="1860">
        <v>3757.7780499999999</v>
      </c>
      <c r="E1085" s="1860">
        <v>4502.8212899999999</v>
      </c>
      <c r="F1085">
        <v>30.880289999999999</v>
      </c>
      <c r="G1085" s="1861">
        <v>3374.29</v>
      </c>
      <c r="I1085">
        <v>0.75768999999999997</v>
      </c>
      <c r="J1085">
        <v>1.0175000000000001</v>
      </c>
      <c r="K1085">
        <v>1.11365</v>
      </c>
      <c r="L1085">
        <v>1.3344499999999999</v>
      </c>
      <c r="M1085">
        <v>9.1500000000000001E-3</v>
      </c>
      <c r="N1085">
        <v>1</v>
      </c>
      <c r="P1085">
        <v>1.3198000000000001</v>
      </c>
      <c r="Q1085">
        <v>0.98280000000000001</v>
      </c>
      <c r="R1085">
        <v>0.89793999999999996</v>
      </c>
      <c r="S1085">
        <v>0.74936999999999998</v>
      </c>
      <c r="T1085">
        <v>109.27</v>
      </c>
      <c r="U1085">
        <v>1</v>
      </c>
    </row>
    <row r="1086" spans="1:26" hidden="1" outlineLevel="1">
      <c r="A1086" s="8">
        <v>43815</v>
      </c>
      <c r="B1086" s="1860">
        <v>2565.7073300000002</v>
      </c>
      <c r="C1086" s="1860">
        <v>3429.6793200000002</v>
      </c>
      <c r="D1086" s="1860">
        <v>3758.1154799999999</v>
      </c>
      <c r="E1086" s="1860">
        <v>4499.61571</v>
      </c>
      <c r="F1086">
        <v>30.778890000000001</v>
      </c>
      <c r="G1086" s="1861">
        <v>3374.29</v>
      </c>
      <c r="I1086">
        <v>0.76036000000000004</v>
      </c>
      <c r="J1086">
        <v>1.01641</v>
      </c>
      <c r="K1086">
        <v>1.11375</v>
      </c>
      <c r="L1086">
        <v>1.3334999999999999</v>
      </c>
      <c r="M1086">
        <v>9.1199999999999996E-3</v>
      </c>
      <c r="N1086">
        <v>1</v>
      </c>
      <c r="P1086">
        <v>1.31515</v>
      </c>
      <c r="Q1086">
        <v>0.98385</v>
      </c>
      <c r="R1086">
        <v>0.89785999999999999</v>
      </c>
      <c r="S1086">
        <v>0.74990000000000001</v>
      </c>
      <c r="T1086">
        <v>109.63</v>
      </c>
      <c r="U1086">
        <v>1</v>
      </c>
    </row>
    <row r="1087" spans="1:26" hidden="1" outlineLevel="1">
      <c r="A1087" s="8">
        <v>43816</v>
      </c>
      <c r="B1087" s="1860">
        <v>2557.0934499999998</v>
      </c>
      <c r="C1087" s="1860">
        <v>3433.7739200000001</v>
      </c>
      <c r="D1087" s="1860">
        <v>3752.3050800000001</v>
      </c>
      <c r="E1087" s="1860">
        <v>4418.9292400000004</v>
      </c>
      <c r="F1087">
        <v>30.716640000000002</v>
      </c>
      <c r="G1087" s="1861">
        <v>3364.24</v>
      </c>
      <c r="I1087">
        <v>0.76007999999999998</v>
      </c>
      <c r="J1087">
        <v>1.0206599999999999</v>
      </c>
      <c r="K1087">
        <v>1.1153500000000001</v>
      </c>
      <c r="L1087">
        <v>1.3134999999999999</v>
      </c>
      <c r="M1087">
        <v>9.1299999999999992E-3</v>
      </c>
      <c r="N1087">
        <v>1</v>
      </c>
      <c r="P1087">
        <v>1.31565</v>
      </c>
      <c r="Q1087">
        <v>0.97975000000000001</v>
      </c>
      <c r="R1087">
        <v>0.89656999999999998</v>
      </c>
      <c r="S1087">
        <v>0.76132</v>
      </c>
      <c r="T1087">
        <v>109.52500000000001</v>
      </c>
      <c r="U1087">
        <v>1</v>
      </c>
      <c r="W1087">
        <v>27941.74</v>
      </c>
      <c r="Z1087">
        <f>+W1087*D1088</f>
        <v>104078204.3007122</v>
      </c>
    </row>
    <row r="1088" spans="1:26" hidden="1" outlineLevel="1">
      <c r="A1088" s="8">
        <v>43817</v>
      </c>
      <c r="B1088" s="1860">
        <v>2552.59807</v>
      </c>
      <c r="C1088" s="1860">
        <v>3411.8318399999998</v>
      </c>
      <c r="D1088" s="1860">
        <v>3724.8290299999999</v>
      </c>
      <c r="E1088" s="1860">
        <v>4375.9877999999999</v>
      </c>
      <c r="F1088">
        <v>30.548950000000001</v>
      </c>
      <c r="G1088" s="1861">
        <v>3347.86</v>
      </c>
      <c r="I1088">
        <v>0.76244999999999996</v>
      </c>
      <c r="J1088">
        <v>1.0190999999999999</v>
      </c>
      <c r="K1088">
        <v>1.1126</v>
      </c>
      <c r="L1088">
        <v>1.3070999999999999</v>
      </c>
      <c r="M1088">
        <v>9.1199999999999996E-3</v>
      </c>
      <c r="N1088">
        <v>1</v>
      </c>
      <c r="P1088">
        <v>1.31155</v>
      </c>
      <c r="Q1088">
        <v>0.98124999999999996</v>
      </c>
      <c r="R1088">
        <v>0.89878999999999998</v>
      </c>
      <c r="S1088">
        <v>0.76505000000000001</v>
      </c>
      <c r="T1088">
        <v>109.59</v>
      </c>
      <c r="U1088">
        <v>1</v>
      </c>
      <c r="W1088" s="1876">
        <f>+D1088/G1088</f>
        <v>1.1125999982078103</v>
      </c>
      <c r="X1088">
        <v>1.1127</v>
      </c>
      <c r="Y1088" s="1876">
        <f>+X1088-W1088</f>
        <v>1.0000179218971894E-4</v>
      </c>
    </row>
    <row r="1089" spans="1:27" hidden="1" outlineLevel="1">
      <c r="A1089" s="8">
        <v>43818</v>
      </c>
      <c r="B1089" s="1860">
        <v>2536.3546299999998</v>
      </c>
      <c r="C1089" s="1860">
        <v>3403.4955</v>
      </c>
      <c r="D1089" s="1860">
        <v>3701.7722600000002</v>
      </c>
      <c r="E1089" s="1860">
        <v>4338.63094</v>
      </c>
      <c r="F1089">
        <v>30.465019999999999</v>
      </c>
      <c r="G1089" s="1861">
        <v>3329.98</v>
      </c>
      <c r="I1089">
        <v>0.76166999999999996</v>
      </c>
      <c r="J1089">
        <v>1.02207</v>
      </c>
      <c r="K1089">
        <v>1.11165</v>
      </c>
      <c r="L1089">
        <v>1.3028999999999999</v>
      </c>
      <c r="M1089">
        <v>9.1400000000000006E-3</v>
      </c>
      <c r="N1089">
        <v>1</v>
      </c>
      <c r="P1089">
        <v>1.3129</v>
      </c>
      <c r="Q1089">
        <v>0.97840000000000005</v>
      </c>
      <c r="R1089">
        <v>0.89956000000000003</v>
      </c>
      <c r="S1089">
        <v>0.76751000000000003</v>
      </c>
      <c r="T1089">
        <v>109.30500000000001</v>
      </c>
      <c r="U1089">
        <v>1</v>
      </c>
      <c r="W1089" s="1860">
        <f>+W1087*W1088</f>
        <v>31087.979873923105</v>
      </c>
      <c r="X1089" s="1860">
        <f>+W1087*X1088</f>
        <v>31090.774098000002</v>
      </c>
      <c r="Y1089" s="1860">
        <f>+X1089-W1089</f>
        <v>2.7942240768970805</v>
      </c>
      <c r="AA1089" s="1860"/>
    </row>
    <row r="1090" spans="1:27" hidden="1" outlineLevel="1">
      <c r="A1090" s="8">
        <v>43819</v>
      </c>
      <c r="B1090" s="1860">
        <v>2523.0710800000002</v>
      </c>
      <c r="C1090" s="1860">
        <v>3383.9682200000002</v>
      </c>
      <c r="D1090" s="1860">
        <v>3682.8582299999998</v>
      </c>
      <c r="E1090" s="1860">
        <v>4335.2075400000003</v>
      </c>
      <c r="F1090">
        <v>30.353840000000002</v>
      </c>
      <c r="G1090" s="1861">
        <v>3322.38</v>
      </c>
      <c r="I1090">
        <v>0.75941000000000003</v>
      </c>
      <c r="J1090">
        <v>1.0185299999999999</v>
      </c>
      <c r="K1090">
        <v>1.1085</v>
      </c>
      <c r="L1090">
        <v>1.3048500000000001</v>
      </c>
      <c r="M1090">
        <v>9.1299999999999992E-3</v>
      </c>
      <c r="N1090">
        <v>1</v>
      </c>
      <c r="P1090">
        <v>1.3168</v>
      </c>
      <c r="Q1090">
        <v>0.98180000000000001</v>
      </c>
      <c r="R1090">
        <v>0.90210999999999997</v>
      </c>
      <c r="S1090">
        <v>0.76637</v>
      </c>
      <c r="T1090">
        <v>109.455</v>
      </c>
      <c r="U1090">
        <v>1</v>
      </c>
      <c r="W1090" s="1861">
        <f>+W1089*G1088</f>
        <v>104078204.30071221</v>
      </c>
      <c r="X1090" s="1861">
        <f>+X1089*G1088</f>
        <v>104087558.97173029</v>
      </c>
      <c r="Y1090" s="1860">
        <f>+X1090-W1090</f>
        <v>9354.6710180789232</v>
      </c>
    </row>
    <row r="1091" spans="1:27" hidden="1" outlineLevel="1">
      <c r="A1091" s="8">
        <v>43820</v>
      </c>
      <c r="B1091" s="1860">
        <v>2525.4176699999998</v>
      </c>
      <c r="C1091" s="1860">
        <v>3387.1154999999999</v>
      </c>
      <c r="D1091" s="1860">
        <v>3686.2834899999998</v>
      </c>
      <c r="E1091" s="1860">
        <v>4339.2395200000001</v>
      </c>
      <c r="F1091">
        <v>30.382069999999999</v>
      </c>
      <c r="G1091" s="1861">
        <v>3325.47</v>
      </c>
      <c r="I1091">
        <v>0.75941000000000003</v>
      </c>
      <c r="J1091">
        <v>1.0185299999999999</v>
      </c>
      <c r="K1091">
        <v>1.1085</v>
      </c>
      <c r="L1091">
        <v>1.3048500000000001</v>
      </c>
      <c r="M1091">
        <v>9.1299999999999992E-3</v>
      </c>
      <c r="N1091">
        <v>1</v>
      </c>
      <c r="P1091">
        <v>1.3168</v>
      </c>
      <c r="Q1091">
        <v>0.98180000000000001</v>
      </c>
      <c r="R1091">
        <v>0.90210999999999997</v>
      </c>
      <c r="S1091">
        <v>0.76637</v>
      </c>
      <c r="T1091">
        <v>109.455</v>
      </c>
      <c r="U1091">
        <v>1</v>
      </c>
    </row>
    <row r="1092" spans="1:27" hidden="1" outlineLevel="1">
      <c r="A1092" s="8">
        <v>43821</v>
      </c>
      <c r="B1092" s="1860">
        <v>2525.4176699999998</v>
      </c>
      <c r="C1092" s="1860">
        <v>3387.1154999999999</v>
      </c>
      <c r="D1092" s="1860">
        <v>3686.2834899999998</v>
      </c>
      <c r="E1092" s="1860">
        <v>4339.2395200000001</v>
      </c>
      <c r="F1092">
        <v>30.382069999999999</v>
      </c>
      <c r="G1092" s="1861">
        <v>3325.47</v>
      </c>
      <c r="I1092">
        <v>0.75941000000000003</v>
      </c>
      <c r="J1092">
        <v>1.0185299999999999</v>
      </c>
      <c r="K1092">
        <v>1.1085</v>
      </c>
      <c r="L1092">
        <v>1.3048500000000001</v>
      </c>
      <c r="M1092">
        <v>9.1299999999999992E-3</v>
      </c>
      <c r="N1092">
        <v>1</v>
      </c>
      <c r="P1092">
        <v>1.3168</v>
      </c>
      <c r="Q1092">
        <v>0.98180000000000001</v>
      </c>
      <c r="R1092">
        <v>0.90210999999999997</v>
      </c>
      <c r="S1092">
        <v>0.76637</v>
      </c>
      <c r="T1092">
        <v>109.455</v>
      </c>
      <c r="U1092">
        <v>1</v>
      </c>
      <c r="X1092">
        <v>1.1089</v>
      </c>
    </row>
    <row r="1093" spans="1:27" hidden="1" outlineLevel="1">
      <c r="A1093" s="8">
        <v>43822</v>
      </c>
      <c r="B1093" s="1860">
        <v>2524.45912</v>
      </c>
      <c r="C1093" s="1860">
        <v>3385.9084600000001</v>
      </c>
      <c r="D1093" s="1860">
        <v>3687.1148600000001</v>
      </c>
      <c r="E1093" s="1860">
        <v>4298.1699699999999</v>
      </c>
      <c r="F1093">
        <v>30.40429</v>
      </c>
      <c r="G1093" s="1861">
        <v>3325.47</v>
      </c>
      <c r="I1093">
        <v>0.75912000000000002</v>
      </c>
      <c r="J1093">
        <v>1.01817</v>
      </c>
      <c r="K1093">
        <v>1.1087499999999999</v>
      </c>
      <c r="L1093">
        <v>1.2925</v>
      </c>
      <c r="M1093">
        <v>9.1400000000000006E-3</v>
      </c>
      <c r="N1093">
        <v>1</v>
      </c>
      <c r="P1093">
        <v>1.3172999999999999</v>
      </c>
      <c r="Q1093">
        <v>0.98214999999999997</v>
      </c>
      <c r="R1093">
        <v>0.90190999999999999</v>
      </c>
      <c r="S1093">
        <v>0.77368999999999999</v>
      </c>
      <c r="T1093">
        <v>109.375</v>
      </c>
      <c r="U1093">
        <v>1</v>
      </c>
      <c r="W1093" s="1860">
        <f>+W1087*K1093</f>
        <v>30980.404224999998</v>
      </c>
      <c r="X1093" s="1860">
        <f>+W1087*X1092</f>
        <v>30984.595486000002</v>
      </c>
      <c r="Y1093" s="1860">
        <f>+X1093-W1093</f>
        <v>4.1912610000035784</v>
      </c>
    </row>
    <row r="1094" spans="1:27" hidden="1" outlineLevel="1">
      <c r="A1094" s="8">
        <v>43823</v>
      </c>
      <c r="B1094" s="1860">
        <v>2521.2222499999998</v>
      </c>
      <c r="C1094" s="1860">
        <v>3382.8862800000002</v>
      </c>
      <c r="D1094" s="1860">
        <v>3678.4642800000001</v>
      </c>
      <c r="E1094" s="1860">
        <v>4299.7233900000001</v>
      </c>
      <c r="F1094">
        <v>30.335830000000001</v>
      </c>
      <c r="G1094" s="1861">
        <v>3316.92</v>
      </c>
      <c r="I1094">
        <v>0.7601</v>
      </c>
      <c r="J1094">
        <v>1.0198799999999999</v>
      </c>
      <c r="K1094">
        <v>1.109</v>
      </c>
      <c r="L1094">
        <v>1.2963</v>
      </c>
      <c r="M1094">
        <v>9.1400000000000006E-3</v>
      </c>
      <c r="N1094">
        <v>1</v>
      </c>
      <c r="P1094">
        <v>1.3156000000000001</v>
      </c>
      <c r="Q1094">
        <v>0.98050000000000004</v>
      </c>
      <c r="R1094">
        <v>0.90171000000000001</v>
      </c>
      <c r="S1094">
        <v>0.77141999999999999</v>
      </c>
      <c r="T1094">
        <v>109.34</v>
      </c>
      <c r="U1094">
        <v>1</v>
      </c>
      <c r="W1094" s="1861">
        <f>+W1093*G1093</f>
        <v>103024404.83811074</v>
      </c>
      <c r="X1094" s="1861">
        <f>+X1093*G1093</f>
        <v>103038342.75082842</v>
      </c>
      <c r="Y1094" s="1860">
        <f>+X1094-W1094</f>
        <v>13937.912717670202</v>
      </c>
    </row>
    <row r="1095" spans="1:27" hidden="1" outlineLevel="1">
      <c r="A1095" s="8">
        <v>43824</v>
      </c>
      <c r="B1095" s="1860">
        <v>2512.80024</v>
      </c>
      <c r="C1095" s="1860">
        <v>3371.58592</v>
      </c>
      <c r="D1095" s="1860">
        <v>3666.1765599999999</v>
      </c>
      <c r="E1095" s="1860">
        <v>4285.3603899999998</v>
      </c>
      <c r="F1095">
        <v>30.234490000000001</v>
      </c>
      <c r="G1095" s="1861">
        <v>3305.84</v>
      </c>
      <c r="I1095">
        <v>0.7601</v>
      </c>
      <c r="J1095">
        <v>1.0198799999999999</v>
      </c>
      <c r="K1095">
        <v>1.109</v>
      </c>
      <c r="L1095">
        <v>1.2963</v>
      </c>
      <c r="M1095">
        <v>9.1400000000000006E-3</v>
      </c>
      <c r="N1095">
        <v>1</v>
      </c>
      <c r="P1095">
        <v>1.3156000000000001</v>
      </c>
      <c r="Q1095">
        <v>0.98050000000000004</v>
      </c>
      <c r="R1095">
        <v>0.90171000000000001</v>
      </c>
      <c r="S1095">
        <v>0.77141999999999999</v>
      </c>
      <c r="T1095">
        <v>109.34</v>
      </c>
      <c r="U1095">
        <v>1</v>
      </c>
      <c r="W1095" s="1860">
        <f>+W1094-W1090</f>
        <v>-1053799.462601468</v>
      </c>
      <c r="X1095" s="1860">
        <f>+X1094-X1090</f>
        <v>-1049216.2209018767</v>
      </c>
      <c r="Y1095" s="1860"/>
    </row>
    <row r="1096" spans="1:27" hidden="1" outlineLevel="1">
      <c r="A1096" s="8">
        <v>43825</v>
      </c>
      <c r="B1096" s="1860">
        <v>2519.6951199999999</v>
      </c>
      <c r="C1096" s="1860">
        <v>3368.4939800000002</v>
      </c>
      <c r="D1096" s="1860">
        <v>3668.9865199999999</v>
      </c>
      <c r="E1096" s="1860">
        <v>4297.4267</v>
      </c>
      <c r="F1096">
        <v>30.151759999999999</v>
      </c>
      <c r="G1096" s="1861">
        <v>3305.84</v>
      </c>
      <c r="I1096">
        <v>0.76219000000000003</v>
      </c>
      <c r="J1096">
        <v>1.01895</v>
      </c>
      <c r="K1096">
        <v>1.10985</v>
      </c>
      <c r="L1096">
        <v>1.2999499999999999</v>
      </c>
      <c r="M1096">
        <v>9.1199999999999996E-3</v>
      </c>
      <c r="N1096">
        <v>1</v>
      </c>
      <c r="P1096">
        <v>1.3120000000000001</v>
      </c>
      <c r="Q1096">
        <v>0.98140000000000005</v>
      </c>
      <c r="R1096">
        <v>0.90102000000000004</v>
      </c>
      <c r="S1096">
        <v>0.76926000000000005</v>
      </c>
      <c r="T1096">
        <v>109.64</v>
      </c>
      <c r="U1096">
        <v>1</v>
      </c>
      <c r="W1096" s="1861">
        <f>+W1089*G1093</f>
        <v>103382144.43133506</v>
      </c>
      <c r="Y1096" s="1860"/>
    </row>
    <row r="1097" spans="1:27" hidden="1" outlineLevel="1">
      <c r="A1097" s="8">
        <v>43826</v>
      </c>
      <c r="B1097" s="1860">
        <v>2507.5653299999999</v>
      </c>
      <c r="C1097" s="1860">
        <v>3362.6069499999999</v>
      </c>
      <c r="D1097" s="1860">
        <v>3663.02682</v>
      </c>
      <c r="E1097" s="1860">
        <v>4295.3526000000002</v>
      </c>
      <c r="F1097">
        <v>29.94387</v>
      </c>
      <c r="G1097" s="1861">
        <v>3281.4</v>
      </c>
      <c r="I1097">
        <v>0.76417000000000002</v>
      </c>
      <c r="J1097">
        <v>1.02474</v>
      </c>
      <c r="K1097">
        <v>1.1163000000000001</v>
      </c>
      <c r="L1097">
        <v>1.3089999999999999</v>
      </c>
      <c r="M1097">
        <v>9.1199999999999996E-3</v>
      </c>
      <c r="N1097">
        <v>1</v>
      </c>
      <c r="P1097">
        <v>1.3086</v>
      </c>
      <c r="Q1097">
        <v>0.97585</v>
      </c>
      <c r="R1097">
        <v>0.89581</v>
      </c>
      <c r="S1097">
        <v>0.76393999999999995</v>
      </c>
      <c r="T1097">
        <v>109.58499999999999</v>
      </c>
      <c r="U1097">
        <v>1</v>
      </c>
      <c r="W1097" s="1860">
        <f>+W1096-W1090</f>
        <v>-696059.86937715113</v>
      </c>
      <c r="Y1097" s="1860"/>
      <c r="Z1097">
        <f>+W1087*D1093</f>
        <v>103024404.76825641</v>
      </c>
    </row>
    <row r="1098" spans="1:27" hidden="1" outlineLevel="1">
      <c r="A1098" s="8">
        <v>43827</v>
      </c>
      <c r="B1098" s="1860">
        <v>2517.2321499999998</v>
      </c>
      <c r="C1098" s="1860">
        <v>3375.5700099999999</v>
      </c>
      <c r="D1098" s="1860">
        <v>3677.1480099999999</v>
      </c>
      <c r="E1098" s="1860">
        <v>4311.9114499999996</v>
      </c>
      <c r="F1098">
        <v>30.05931</v>
      </c>
      <c r="G1098" s="1861">
        <v>3294.05</v>
      </c>
      <c r="I1098">
        <v>0.76417000000000002</v>
      </c>
      <c r="J1098">
        <v>1.02474</v>
      </c>
      <c r="K1098">
        <v>1.1163000000000001</v>
      </c>
      <c r="L1098">
        <v>1.3089999999999999</v>
      </c>
      <c r="M1098">
        <v>9.1199999999999996E-3</v>
      </c>
      <c r="N1098">
        <v>1</v>
      </c>
      <c r="P1098">
        <v>1.3086</v>
      </c>
      <c r="Q1098">
        <v>0.97585</v>
      </c>
      <c r="R1098">
        <v>0.89581</v>
      </c>
      <c r="S1098">
        <v>0.76393999999999995</v>
      </c>
      <c r="T1098">
        <v>109.58499999999999</v>
      </c>
      <c r="U1098">
        <v>1</v>
      </c>
      <c r="W1098" s="1860">
        <f>+W1097-W1095</f>
        <v>357739.59322431684</v>
      </c>
      <c r="Z1098">
        <f>+Z1087-Z1097</f>
        <v>1053799.5324557871</v>
      </c>
    </row>
    <row r="1099" spans="1:27" hidden="1" outlineLevel="1">
      <c r="A1099" s="8">
        <v>43828</v>
      </c>
      <c r="B1099" s="1860">
        <v>2517.2321499999998</v>
      </c>
      <c r="C1099" s="1860">
        <v>3375.5700099999999</v>
      </c>
      <c r="D1099" s="1860">
        <v>3677.1480099999999</v>
      </c>
      <c r="E1099" s="1860">
        <v>4311.9114499999996</v>
      </c>
      <c r="F1099">
        <v>30.05931</v>
      </c>
      <c r="G1099" s="1861">
        <v>3294.05</v>
      </c>
      <c r="I1099">
        <v>0.76417000000000002</v>
      </c>
      <c r="J1099">
        <v>1.02474</v>
      </c>
      <c r="K1099">
        <v>1.1163000000000001</v>
      </c>
      <c r="L1099">
        <v>1.3089999999999999</v>
      </c>
      <c r="M1099">
        <v>9.1199999999999996E-3</v>
      </c>
      <c r="N1099">
        <v>1</v>
      </c>
      <c r="P1099">
        <v>1.3086</v>
      </c>
      <c r="Q1099">
        <v>0.97585</v>
      </c>
      <c r="R1099">
        <v>0.89581</v>
      </c>
      <c r="S1099">
        <v>0.76393999999999995</v>
      </c>
      <c r="T1099">
        <v>109.58499999999999</v>
      </c>
      <c r="U1099">
        <v>1</v>
      </c>
    </row>
    <row r="1100" spans="1:27" hidden="1" outlineLevel="1">
      <c r="A1100" s="8">
        <v>43829</v>
      </c>
      <c r="B1100" s="1860">
        <v>2522.8229999999999</v>
      </c>
      <c r="C1100" s="1860">
        <v>3398.90625</v>
      </c>
      <c r="D1100" s="1860">
        <v>3690.48891</v>
      </c>
      <c r="E1100" s="1860">
        <v>4319.6524600000002</v>
      </c>
      <c r="F1100">
        <v>30.224799999999998</v>
      </c>
      <c r="G1100" s="1861">
        <v>3294.05</v>
      </c>
      <c r="I1100">
        <v>0.76587000000000005</v>
      </c>
      <c r="J1100">
        <v>1.03183</v>
      </c>
      <c r="K1100">
        <v>1.12035</v>
      </c>
      <c r="L1100">
        <v>1.31135</v>
      </c>
      <c r="M1100">
        <v>9.1699999999999993E-3</v>
      </c>
      <c r="N1100">
        <v>1</v>
      </c>
      <c r="P1100">
        <v>1.3057000000000001</v>
      </c>
      <c r="Q1100">
        <v>0.96914999999999996</v>
      </c>
      <c r="R1100">
        <v>0.89256999999999997</v>
      </c>
      <c r="S1100">
        <v>0.76256999999999997</v>
      </c>
      <c r="T1100">
        <v>108.985</v>
      </c>
      <c r="U1100">
        <v>1</v>
      </c>
    </row>
    <row r="1101" spans="1:27" ht="15.75" collapsed="1" thickBot="1">
      <c r="A1101" s="1877">
        <v>43830</v>
      </c>
      <c r="B1101" s="1878">
        <v>2527.1949100000002</v>
      </c>
      <c r="C1101" s="1878">
        <v>3384.2515600000002</v>
      </c>
      <c r="D1101" s="1878">
        <v>3678.5896499999999</v>
      </c>
      <c r="E1101" s="1878">
        <v>4341.3912099999998</v>
      </c>
      <c r="F1101" s="1879">
        <v>30.15541</v>
      </c>
      <c r="G1101" s="1880">
        <v>3277.14</v>
      </c>
      <c r="H1101" s="1881"/>
      <c r="I1101" s="1879">
        <v>0.77115</v>
      </c>
      <c r="J1101" s="1879">
        <v>1.03268</v>
      </c>
      <c r="K1101" s="1879">
        <v>1.1225000000000001</v>
      </c>
      <c r="L1101" s="1879">
        <v>1.3247500000000001</v>
      </c>
      <c r="M1101" s="1879">
        <v>9.1999999999999998E-3</v>
      </c>
      <c r="N1101" s="1879">
        <v>1</v>
      </c>
      <c r="O1101" s="1881"/>
      <c r="P1101" s="1879">
        <v>1.2967500000000001</v>
      </c>
      <c r="Q1101" s="1879">
        <v>0.96835000000000004</v>
      </c>
      <c r="R1101" s="1879">
        <v>0.89085999999999999</v>
      </c>
      <c r="S1101" s="1879">
        <v>0.75485000000000002</v>
      </c>
      <c r="T1101" s="1879">
        <v>108.675</v>
      </c>
      <c r="U1101" s="1879">
        <v>1</v>
      </c>
      <c r="V1101" s="1881"/>
    </row>
    <row r="1102" spans="1:27" ht="15.75" thickTop="1">
      <c r="A1102" s="8"/>
      <c r="B1102" s="1860"/>
      <c r="C1102" s="1860"/>
      <c r="D1102" s="1860"/>
      <c r="E1102" s="1860"/>
      <c r="G1102" s="1861"/>
    </row>
    <row r="1103" spans="1:27" hidden="1" outlineLevel="1">
      <c r="A1103" s="8">
        <v>43831</v>
      </c>
      <c r="B1103" s="1860">
        <v>2527.1949100000002</v>
      </c>
      <c r="C1103" s="1860">
        <v>3384.2515600000002</v>
      </c>
      <c r="D1103" s="1860">
        <v>3678.5896499999999</v>
      </c>
      <c r="E1103" s="1860">
        <v>4341.3912099999998</v>
      </c>
      <c r="F1103">
        <v>30.15541</v>
      </c>
      <c r="G1103" s="1861">
        <v>3277.14</v>
      </c>
      <c r="I1103">
        <v>0.77115</v>
      </c>
      <c r="J1103">
        <v>1.03268</v>
      </c>
      <c r="K1103">
        <v>1.1225000000000001</v>
      </c>
      <c r="L1103">
        <v>1.3247500000000001</v>
      </c>
      <c r="M1103">
        <v>9.1999999999999998E-3</v>
      </c>
      <c r="N1103">
        <v>1</v>
      </c>
      <c r="P1103">
        <v>1.2967500000000001</v>
      </c>
      <c r="Q1103">
        <v>0.96835000000000004</v>
      </c>
      <c r="R1103">
        <v>0.89085999999999999</v>
      </c>
      <c r="S1103">
        <v>0.75485000000000002</v>
      </c>
      <c r="T1103">
        <v>108.675</v>
      </c>
      <c r="U1103">
        <v>1</v>
      </c>
    </row>
    <row r="1104" spans="1:27" hidden="1" outlineLevel="1">
      <c r="A1104" s="8">
        <v>43832</v>
      </c>
      <c r="B1104" s="1860">
        <v>2524.6639100000002</v>
      </c>
      <c r="C1104" s="1860">
        <v>3381.6324399999999</v>
      </c>
      <c r="D1104" s="1860">
        <v>3670.72451</v>
      </c>
      <c r="E1104" s="1860">
        <v>4321.7283699999998</v>
      </c>
      <c r="F1104">
        <v>30.266819999999999</v>
      </c>
      <c r="G1104" s="1861">
        <v>3277.14</v>
      </c>
      <c r="I1104">
        <v>0.77037999999999995</v>
      </c>
      <c r="J1104">
        <v>1.0318799999999999</v>
      </c>
      <c r="K1104">
        <v>1.1201000000000001</v>
      </c>
      <c r="L1104">
        <v>1.3187500000000001</v>
      </c>
      <c r="M1104">
        <v>9.2300000000000004E-3</v>
      </c>
      <c r="N1104">
        <v>1</v>
      </c>
      <c r="P1104">
        <v>1.2980499999999999</v>
      </c>
      <c r="Q1104">
        <v>0.96909999999999996</v>
      </c>
      <c r="R1104">
        <v>0.89276999999999995</v>
      </c>
      <c r="S1104">
        <v>0.75829000000000002</v>
      </c>
      <c r="T1104">
        <v>108.27500000000001</v>
      </c>
      <c r="U1104">
        <v>1</v>
      </c>
    </row>
    <row r="1105" spans="1:24" hidden="1" outlineLevel="1">
      <c r="A1105" s="8">
        <v>43833</v>
      </c>
      <c r="B1105" s="1860">
        <v>2510.3724499999998</v>
      </c>
      <c r="C1105" s="1860">
        <v>3357.5520200000001</v>
      </c>
      <c r="D1105" s="1860">
        <v>3638.4948599999998</v>
      </c>
      <c r="E1105" s="1860">
        <v>4259.6297599999998</v>
      </c>
      <c r="F1105">
        <v>30.167459999999998</v>
      </c>
      <c r="G1105" s="1861">
        <v>3258.84</v>
      </c>
      <c r="I1105">
        <v>0.77032</v>
      </c>
      <c r="J1105">
        <v>1.0302899999999999</v>
      </c>
      <c r="K1105">
        <v>1.1165</v>
      </c>
      <c r="L1105">
        <v>1.3070999999999999</v>
      </c>
      <c r="M1105">
        <v>9.2499999999999995E-3</v>
      </c>
      <c r="N1105">
        <v>1</v>
      </c>
      <c r="P1105">
        <v>1.2981499999999999</v>
      </c>
      <c r="Q1105">
        <v>0.97060000000000002</v>
      </c>
      <c r="R1105">
        <v>0.89564999999999995</v>
      </c>
      <c r="S1105">
        <v>0.76505000000000001</v>
      </c>
      <c r="T1105">
        <v>108.02500000000001</v>
      </c>
      <c r="U1105">
        <v>1</v>
      </c>
      <c r="W1105">
        <v>100000</v>
      </c>
      <c r="X1105">
        <f>+W1105*G1105</f>
        <v>325884000</v>
      </c>
    </row>
    <row r="1106" spans="1:24" hidden="1" outlineLevel="1">
      <c r="A1106" s="8">
        <v>43834</v>
      </c>
      <c r="B1106" s="1860">
        <v>2512.8452000000002</v>
      </c>
      <c r="C1106" s="1860">
        <v>3360.8592600000002</v>
      </c>
      <c r="D1106" s="1860">
        <v>3642.0788200000002</v>
      </c>
      <c r="E1106" s="1860">
        <v>4263.8255499999996</v>
      </c>
      <c r="F1106">
        <v>30.19717</v>
      </c>
      <c r="G1106" s="1861">
        <v>3262.05</v>
      </c>
      <c r="I1106">
        <v>0.77032</v>
      </c>
      <c r="J1106">
        <v>1.0302899999999999</v>
      </c>
      <c r="K1106">
        <v>1.1165</v>
      </c>
      <c r="L1106">
        <v>1.3070999999999999</v>
      </c>
      <c r="M1106">
        <v>9.2499999999999995E-3</v>
      </c>
      <c r="N1106">
        <v>1</v>
      </c>
      <c r="P1106">
        <v>1.2981499999999999</v>
      </c>
      <c r="Q1106">
        <v>0.97060000000000002</v>
      </c>
      <c r="R1106">
        <v>0.89564999999999995</v>
      </c>
      <c r="S1106">
        <v>0.76505000000000001</v>
      </c>
      <c r="T1106">
        <v>108.02500000000001</v>
      </c>
      <c r="U1106">
        <v>1</v>
      </c>
    </row>
    <row r="1107" spans="1:24" hidden="1" outlineLevel="1">
      <c r="A1107" s="8">
        <v>43835</v>
      </c>
      <c r="B1107" s="1860">
        <v>2512.8452000000002</v>
      </c>
      <c r="C1107" s="1860">
        <v>3360.8592600000002</v>
      </c>
      <c r="D1107" s="1860">
        <v>3642.0788200000002</v>
      </c>
      <c r="E1107" s="1860">
        <v>4263.8255499999996</v>
      </c>
      <c r="F1107">
        <v>30.19717</v>
      </c>
      <c r="G1107" s="1861">
        <v>3262.05</v>
      </c>
      <c r="I1107">
        <v>0.77032</v>
      </c>
      <c r="J1107">
        <v>1.0302899999999999</v>
      </c>
      <c r="K1107">
        <v>1.1165</v>
      </c>
      <c r="L1107">
        <v>1.3070999999999999</v>
      </c>
      <c r="M1107">
        <v>9.2499999999999995E-3</v>
      </c>
      <c r="N1107">
        <v>1</v>
      </c>
      <c r="P1107">
        <v>1.2981499999999999</v>
      </c>
      <c r="Q1107">
        <v>0.97060000000000002</v>
      </c>
      <c r="R1107">
        <v>0.89564999999999995</v>
      </c>
      <c r="S1107">
        <v>0.76505000000000001</v>
      </c>
      <c r="T1107">
        <v>108.02500000000001</v>
      </c>
      <c r="U1107">
        <v>1</v>
      </c>
    </row>
    <row r="1108" spans="1:24" hidden="1" outlineLevel="1">
      <c r="A1108" s="8">
        <v>43836</v>
      </c>
      <c r="B1108" s="1860">
        <v>2514.3947199999998</v>
      </c>
      <c r="C1108" s="1860">
        <v>3367.2774100000001</v>
      </c>
      <c r="D1108" s="1860">
        <v>3650.0708399999999</v>
      </c>
      <c r="E1108" s="1860">
        <v>4292.8577999999998</v>
      </c>
      <c r="F1108">
        <v>30.116320000000002</v>
      </c>
      <c r="G1108" s="1861">
        <v>3262.05</v>
      </c>
      <c r="I1108">
        <v>0.77080000000000004</v>
      </c>
      <c r="J1108">
        <v>1.0322499999999999</v>
      </c>
      <c r="K1108">
        <v>1.1189499999999999</v>
      </c>
      <c r="L1108">
        <v>1.3160000000000001</v>
      </c>
      <c r="M1108">
        <v>9.2300000000000004E-3</v>
      </c>
      <c r="N1108">
        <v>1</v>
      </c>
      <c r="P1108">
        <v>1.29735</v>
      </c>
      <c r="Q1108">
        <v>0.96875</v>
      </c>
      <c r="R1108">
        <v>0.89368999999999998</v>
      </c>
      <c r="S1108">
        <v>0.75987000000000005</v>
      </c>
      <c r="T1108">
        <v>108.315</v>
      </c>
      <c r="U1108">
        <v>1</v>
      </c>
    </row>
    <row r="1109" spans="1:24" hidden="1" outlineLevel="1">
      <c r="A1109" s="8">
        <v>43837</v>
      </c>
      <c r="B1109" s="1860">
        <v>2505.9921599999998</v>
      </c>
      <c r="C1109" s="1860">
        <v>3356.5365000000002</v>
      </c>
      <c r="D1109" s="1860">
        <v>3634.413</v>
      </c>
      <c r="E1109" s="1860">
        <v>4279.9727000000003</v>
      </c>
      <c r="F1109">
        <v>30.031759999999998</v>
      </c>
      <c r="G1109" s="1861">
        <v>3262.05</v>
      </c>
      <c r="I1109">
        <v>0.76822000000000001</v>
      </c>
      <c r="J1109">
        <v>1.0289600000000001</v>
      </c>
      <c r="K1109">
        <v>1.11415</v>
      </c>
      <c r="L1109">
        <v>1.3120499999999999</v>
      </c>
      <c r="M1109">
        <v>9.1999999999999998E-3</v>
      </c>
      <c r="N1109">
        <v>1</v>
      </c>
      <c r="P1109">
        <v>1.3017000000000001</v>
      </c>
      <c r="Q1109">
        <v>0.97184999999999999</v>
      </c>
      <c r="R1109">
        <v>0.89754</v>
      </c>
      <c r="S1109">
        <v>0.76215999999999995</v>
      </c>
      <c r="T1109">
        <v>108.62</v>
      </c>
      <c r="U1109">
        <v>1</v>
      </c>
      <c r="X1109">
        <f>+W1105*G1109</f>
        <v>326205000</v>
      </c>
    </row>
    <row r="1110" spans="1:24" hidden="1" outlineLevel="1">
      <c r="A1110" s="8">
        <v>43838</v>
      </c>
      <c r="B1110" s="1860">
        <v>2503.93894</v>
      </c>
      <c r="C1110" s="1860">
        <v>3363.8293399999998</v>
      </c>
      <c r="D1110" s="1860">
        <v>3629.6939000000002</v>
      </c>
      <c r="E1110" s="1860">
        <v>4275.8541699999996</v>
      </c>
      <c r="F1110">
        <v>30.04795</v>
      </c>
      <c r="G1110" s="1861">
        <v>3264.26</v>
      </c>
      <c r="I1110">
        <v>0.76707000000000003</v>
      </c>
      <c r="J1110">
        <v>1.0305</v>
      </c>
      <c r="K1110">
        <v>1.11195</v>
      </c>
      <c r="L1110">
        <v>1.3099000000000001</v>
      </c>
      <c r="M1110">
        <v>9.1999999999999998E-3</v>
      </c>
      <c r="N1110">
        <v>1</v>
      </c>
      <c r="P1110">
        <v>1.30365</v>
      </c>
      <c r="Q1110">
        <v>0.97040000000000004</v>
      </c>
      <c r="R1110">
        <v>0.89932000000000001</v>
      </c>
      <c r="S1110">
        <v>0.76341000000000003</v>
      </c>
      <c r="T1110">
        <v>108.63500000000001</v>
      </c>
      <c r="U1110">
        <v>1</v>
      </c>
      <c r="X1110">
        <f>+X1109-X1105</f>
        <v>321000</v>
      </c>
    </row>
    <row r="1111" spans="1:24" hidden="1" outlineLevel="1">
      <c r="A1111" s="8">
        <v>43839</v>
      </c>
      <c r="B1111" s="1860">
        <v>2484.95399</v>
      </c>
      <c r="C1111" s="1860">
        <v>3344.8995300000001</v>
      </c>
      <c r="D1111" s="1860">
        <v>3613.2197999999999</v>
      </c>
      <c r="E1111" s="1860">
        <v>4246.3672100000003</v>
      </c>
      <c r="F1111">
        <v>29.70852</v>
      </c>
      <c r="G1111" s="1861">
        <v>3254.42</v>
      </c>
      <c r="I1111">
        <v>0.76356000000000002</v>
      </c>
      <c r="J1111">
        <v>1.0278</v>
      </c>
      <c r="K1111">
        <v>1.11025</v>
      </c>
      <c r="L1111">
        <v>1.3048</v>
      </c>
      <c r="M1111">
        <v>9.1199999999999996E-3</v>
      </c>
      <c r="N1111">
        <v>1</v>
      </c>
      <c r="P1111">
        <v>1.30965</v>
      </c>
      <c r="Q1111">
        <v>0.97294999999999998</v>
      </c>
      <c r="R1111">
        <v>0.90068999999999999</v>
      </c>
      <c r="S1111">
        <v>0.76639999999999997</v>
      </c>
      <c r="T1111">
        <v>109.545</v>
      </c>
      <c r="U1111">
        <v>1</v>
      </c>
    </row>
    <row r="1112" spans="1:24" hidden="1" outlineLevel="1">
      <c r="A1112" s="8">
        <v>43840</v>
      </c>
      <c r="B1112" s="1860">
        <v>2493.11573</v>
      </c>
      <c r="C1112" s="1860">
        <v>3343.3239100000001</v>
      </c>
      <c r="D1112" s="1860">
        <v>3616.21065</v>
      </c>
      <c r="E1112" s="1860">
        <v>4249.7430299999996</v>
      </c>
      <c r="F1112">
        <v>29.69961</v>
      </c>
      <c r="G1112" s="1861">
        <v>3253.89</v>
      </c>
      <c r="I1112">
        <v>0.76619000000000004</v>
      </c>
      <c r="J1112">
        <v>1.0274799999999999</v>
      </c>
      <c r="K1112">
        <v>1.1113500000000001</v>
      </c>
      <c r="L1112">
        <v>1.3060499999999999</v>
      </c>
      <c r="M1112">
        <v>9.1199999999999996E-3</v>
      </c>
      <c r="N1112">
        <v>1</v>
      </c>
      <c r="P1112">
        <v>1.30515</v>
      </c>
      <c r="Q1112">
        <v>0.97324999999999995</v>
      </c>
      <c r="R1112">
        <v>0.89980000000000004</v>
      </c>
      <c r="S1112">
        <v>0.76566000000000001</v>
      </c>
      <c r="T1112">
        <v>109.56</v>
      </c>
      <c r="U1112">
        <v>1</v>
      </c>
    </row>
    <row r="1113" spans="1:24" hidden="1" outlineLevel="1">
      <c r="A1113" s="8">
        <v>43841</v>
      </c>
      <c r="B1113" s="1860">
        <v>2507.46657</v>
      </c>
      <c r="C1113" s="1860">
        <v>3362.56871</v>
      </c>
      <c r="D1113" s="1860">
        <v>3637.0262299999999</v>
      </c>
      <c r="E1113" s="1860">
        <v>4274.2053500000002</v>
      </c>
      <c r="F1113">
        <v>29.870570000000001</v>
      </c>
      <c r="G1113" s="1861">
        <v>3272.62</v>
      </c>
      <c r="I1113">
        <v>0.76619000000000004</v>
      </c>
      <c r="J1113">
        <v>1.0274799999999999</v>
      </c>
      <c r="K1113">
        <v>1.1113500000000001</v>
      </c>
      <c r="L1113">
        <v>1.3060499999999999</v>
      </c>
      <c r="M1113">
        <v>9.1199999999999996E-3</v>
      </c>
      <c r="N1113">
        <v>1</v>
      </c>
      <c r="P1113">
        <v>1.30515</v>
      </c>
      <c r="Q1113">
        <v>0.97324999999999995</v>
      </c>
      <c r="R1113">
        <v>0.89980000000000004</v>
      </c>
      <c r="S1113">
        <v>0.76566000000000001</v>
      </c>
      <c r="T1113">
        <v>109.56</v>
      </c>
      <c r="U1113">
        <v>1</v>
      </c>
    </row>
    <row r="1114" spans="1:24" hidden="1" outlineLevel="1">
      <c r="A1114" s="8">
        <v>43842</v>
      </c>
      <c r="B1114" s="1860">
        <v>2507.46657</v>
      </c>
      <c r="C1114" s="1860">
        <v>3362.56871</v>
      </c>
      <c r="D1114" s="1860">
        <v>3637.0262299999999</v>
      </c>
      <c r="E1114" s="1860">
        <v>4274.2053500000002</v>
      </c>
      <c r="F1114">
        <v>29.870570000000001</v>
      </c>
      <c r="G1114" s="1861">
        <v>3272.62</v>
      </c>
      <c r="I1114">
        <v>0.76619000000000004</v>
      </c>
      <c r="J1114">
        <v>1.0274799999999999</v>
      </c>
      <c r="K1114">
        <v>1.1113500000000001</v>
      </c>
      <c r="L1114">
        <v>1.3060499999999999</v>
      </c>
      <c r="M1114">
        <v>9.1199999999999996E-3</v>
      </c>
      <c r="N1114">
        <v>1</v>
      </c>
      <c r="P1114">
        <v>1.30515</v>
      </c>
      <c r="Q1114">
        <v>0.97324999999999995</v>
      </c>
      <c r="R1114">
        <v>0.89980000000000004</v>
      </c>
      <c r="S1114">
        <v>0.76566000000000001</v>
      </c>
      <c r="T1114">
        <v>109.56</v>
      </c>
      <c r="U1114">
        <v>1</v>
      </c>
    </row>
    <row r="1115" spans="1:24" hidden="1" outlineLevel="1">
      <c r="A1115" s="8">
        <v>43843</v>
      </c>
      <c r="B1115" s="1860">
        <v>2507.2744600000001</v>
      </c>
      <c r="C1115" s="1860">
        <v>3370.8811799999999</v>
      </c>
      <c r="D1115" s="1860">
        <v>3643.7350999999999</v>
      </c>
      <c r="E1115" s="1860">
        <v>4247.2062299999998</v>
      </c>
      <c r="F1115">
        <v>29.770029999999998</v>
      </c>
      <c r="G1115" s="1861">
        <v>3272.62</v>
      </c>
      <c r="I1115">
        <v>0.76612999999999998</v>
      </c>
      <c r="J1115">
        <v>1.0300199999999999</v>
      </c>
      <c r="K1115">
        <v>1.1133999999999999</v>
      </c>
      <c r="L1115">
        <v>1.2978000000000001</v>
      </c>
      <c r="M1115">
        <v>9.0900000000000009E-3</v>
      </c>
      <c r="N1115">
        <v>1</v>
      </c>
      <c r="P1115">
        <v>1.30525</v>
      </c>
      <c r="Q1115">
        <v>0.97084999999999999</v>
      </c>
      <c r="R1115">
        <v>0.89814000000000005</v>
      </c>
      <c r="S1115">
        <v>0.77053000000000005</v>
      </c>
      <c r="T1115">
        <v>109.93</v>
      </c>
      <c r="U1115">
        <v>1</v>
      </c>
    </row>
    <row r="1116" spans="1:24" hidden="1" outlineLevel="1">
      <c r="A1116" s="8">
        <v>43844</v>
      </c>
      <c r="B1116" s="1860">
        <v>2516.5894899999998</v>
      </c>
      <c r="C1116" s="1860">
        <v>3395.8688299999999</v>
      </c>
      <c r="D1116" s="1860">
        <v>3656.8047999999999</v>
      </c>
      <c r="E1116" s="1860">
        <v>4277.5886399999999</v>
      </c>
      <c r="F1116">
        <v>29.880490000000002</v>
      </c>
      <c r="G1116" s="1861">
        <v>3288.05</v>
      </c>
      <c r="I1116">
        <v>0.76536999999999999</v>
      </c>
      <c r="J1116">
        <v>1.0327900000000001</v>
      </c>
      <c r="K1116">
        <v>1.11215</v>
      </c>
      <c r="L1116">
        <v>1.3009500000000001</v>
      </c>
      <c r="M1116">
        <v>9.0799999999999995E-3</v>
      </c>
      <c r="N1116">
        <v>1</v>
      </c>
      <c r="P1116">
        <v>1.3065500000000001</v>
      </c>
      <c r="Q1116">
        <v>0.96825000000000006</v>
      </c>
      <c r="R1116">
        <v>0.89915</v>
      </c>
      <c r="S1116">
        <v>0.76866000000000001</v>
      </c>
      <c r="T1116">
        <v>110.04</v>
      </c>
      <c r="U1116">
        <v>1</v>
      </c>
    </row>
    <row r="1117" spans="1:24" hidden="1" outlineLevel="1">
      <c r="A1117" s="8">
        <v>43845</v>
      </c>
      <c r="B1117" s="1860">
        <v>2512.9948199999999</v>
      </c>
      <c r="C1117" s="1860">
        <v>3397.5752499999999</v>
      </c>
      <c r="D1117" s="1860">
        <v>3656.3872700000002</v>
      </c>
      <c r="E1117" s="1860">
        <v>4270.5121300000001</v>
      </c>
      <c r="F1117">
        <v>29.808900000000001</v>
      </c>
      <c r="G1117" s="1861">
        <v>3278.83</v>
      </c>
      <c r="I1117">
        <v>0.76642999999999994</v>
      </c>
      <c r="J1117">
        <v>1.0362100000000001</v>
      </c>
      <c r="K1117">
        <v>1.1151500000000001</v>
      </c>
      <c r="L1117">
        <v>1.3024500000000001</v>
      </c>
      <c r="M1117">
        <v>9.0900000000000009E-3</v>
      </c>
      <c r="N1117">
        <v>1</v>
      </c>
      <c r="P1117">
        <v>1.3047500000000001</v>
      </c>
      <c r="Q1117">
        <v>0.96504999999999996</v>
      </c>
      <c r="R1117">
        <v>0.89673999999999998</v>
      </c>
      <c r="S1117">
        <v>0.76778000000000002</v>
      </c>
      <c r="T1117">
        <v>109.995</v>
      </c>
      <c r="U1117">
        <v>1</v>
      </c>
    </row>
    <row r="1118" spans="1:24" hidden="1" outlineLevel="1">
      <c r="A1118" s="8">
        <v>43846</v>
      </c>
      <c r="B1118" s="1860">
        <v>2527.6902399999999</v>
      </c>
      <c r="C1118" s="1860">
        <v>3419.3227099999999</v>
      </c>
      <c r="D1118" s="1860">
        <v>3673.0628700000002</v>
      </c>
      <c r="E1118" s="1860">
        <v>4307.5204800000001</v>
      </c>
      <c r="F1118">
        <v>29.934979999999999</v>
      </c>
      <c r="G1118" s="1861">
        <v>3296.74</v>
      </c>
      <c r="I1118">
        <v>0.76671999999999996</v>
      </c>
      <c r="J1118">
        <v>1.03718</v>
      </c>
      <c r="K1118">
        <v>1.11415</v>
      </c>
      <c r="L1118">
        <v>1.3066</v>
      </c>
      <c r="M1118">
        <v>9.0799999999999995E-3</v>
      </c>
      <c r="N1118">
        <v>1</v>
      </c>
      <c r="P1118">
        <v>1.3042499999999999</v>
      </c>
      <c r="Q1118">
        <v>0.96414999999999995</v>
      </c>
      <c r="R1118">
        <v>0.89754</v>
      </c>
      <c r="S1118">
        <v>0.76534000000000002</v>
      </c>
      <c r="T1118">
        <v>110.13</v>
      </c>
      <c r="U1118">
        <v>1</v>
      </c>
    </row>
    <row r="1119" spans="1:24" hidden="1" outlineLevel="1">
      <c r="A1119" s="8">
        <v>43847</v>
      </c>
      <c r="B1119" s="1860">
        <v>2537.2539999999999</v>
      </c>
      <c r="C1119" s="1860">
        <v>3423.4643700000001</v>
      </c>
      <c r="D1119" s="1860">
        <v>3676.2172999999998</v>
      </c>
      <c r="E1119" s="1860">
        <v>4317.6915399999998</v>
      </c>
      <c r="F1119">
        <v>30.073969999999999</v>
      </c>
      <c r="G1119" s="1861">
        <v>3313.4</v>
      </c>
      <c r="I1119">
        <v>0.76575000000000004</v>
      </c>
      <c r="J1119">
        <v>1.03321</v>
      </c>
      <c r="K1119">
        <v>1.1094999999999999</v>
      </c>
      <c r="L1119">
        <v>1.3030999999999999</v>
      </c>
      <c r="M1119">
        <v>9.0699999999999999E-3</v>
      </c>
      <c r="N1119">
        <v>1</v>
      </c>
      <c r="P1119">
        <v>1.3059000000000001</v>
      </c>
      <c r="Q1119">
        <v>0.96784999999999999</v>
      </c>
      <c r="R1119">
        <v>0.90129999999999999</v>
      </c>
      <c r="S1119">
        <v>0.76739999999999997</v>
      </c>
      <c r="T1119">
        <v>110.175</v>
      </c>
      <c r="U1119">
        <v>1</v>
      </c>
    </row>
    <row r="1120" spans="1:24" hidden="1" outlineLevel="1">
      <c r="A1120" s="8">
        <v>43848</v>
      </c>
      <c r="B1120" s="1860">
        <v>2542.89761</v>
      </c>
      <c r="C1120" s="1860">
        <v>3431.0791899999999</v>
      </c>
      <c r="D1120" s="1860">
        <v>3684.3943100000001</v>
      </c>
      <c r="E1120" s="1860">
        <v>4327.2953799999996</v>
      </c>
      <c r="F1120">
        <v>30.14086</v>
      </c>
      <c r="G1120" s="1861">
        <v>3320.77</v>
      </c>
      <c r="I1120">
        <v>0.76575000000000004</v>
      </c>
      <c r="J1120">
        <v>1.03321</v>
      </c>
      <c r="K1120">
        <v>1.1094999999999999</v>
      </c>
      <c r="L1120">
        <v>1.3030999999999999</v>
      </c>
      <c r="M1120">
        <v>9.0699999999999999E-3</v>
      </c>
      <c r="N1120">
        <v>1</v>
      </c>
      <c r="P1120">
        <v>1.3059000000000001</v>
      </c>
      <c r="Q1120">
        <v>0.96784999999999999</v>
      </c>
      <c r="R1120">
        <v>0.90129999999999999</v>
      </c>
      <c r="S1120">
        <v>0.76739999999999997</v>
      </c>
      <c r="T1120">
        <v>110.175</v>
      </c>
      <c r="U1120">
        <v>1</v>
      </c>
    </row>
    <row r="1121" spans="1:22" hidden="1" outlineLevel="1">
      <c r="A1121" s="8">
        <v>43849</v>
      </c>
      <c r="B1121" s="1860">
        <v>2542.89761</v>
      </c>
      <c r="C1121" s="1860">
        <v>3431.0791899999999</v>
      </c>
      <c r="D1121" s="1860">
        <v>3684.3943100000001</v>
      </c>
      <c r="E1121" s="1860">
        <v>4327.2953799999996</v>
      </c>
      <c r="F1121">
        <v>30.14086</v>
      </c>
      <c r="G1121" s="1861">
        <v>3320.77</v>
      </c>
      <c r="I1121">
        <v>0.76575000000000004</v>
      </c>
      <c r="J1121">
        <v>1.03321</v>
      </c>
      <c r="K1121">
        <v>1.1094999999999999</v>
      </c>
      <c r="L1121">
        <v>1.3030999999999999</v>
      </c>
      <c r="M1121">
        <v>9.0699999999999999E-3</v>
      </c>
      <c r="N1121">
        <v>1</v>
      </c>
      <c r="P1121">
        <v>1.3059000000000001</v>
      </c>
      <c r="Q1121">
        <v>0.96784999999999999</v>
      </c>
      <c r="R1121">
        <v>0.90129999999999999</v>
      </c>
      <c r="S1121">
        <v>0.76739999999999997</v>
      </c>
      <c r="T1121">
        <v>110.175</v>
      </c>
      <c r="U1121">
        <v>1</v>
      </c>
    </row>
    <row r="1122" spans="1:22" hidden="1" outlineLevel="1">
      <c r="A1122" s="8">
        <v>43850</v>
      </c>
      <c r="B1122" s="1860">
        <v>2543.0923499999999</v>
      </c>
      <c r="C1122" s="1860">
        <v>3424.8865500000002</v>
      </c>
      <c r="D1122" s="1860">
        <v>3680.2433500000002</v>
      </c>
      <c r="E1122" s="1860">
        <v>4316.1707999999999</v>
      </c>
      <c r="F1122">
        <v>30.144970000000001</v>
      </c>
      <c r="G1122" s="1861">
        <v>3320.77</v>
      </c>
      <c r="I1122">
        <v>0.76580999999999999</v>
      </c>
      <c r="J1122">
        <v>1.03135</v>
      </c>
      <c r="K1122">
        <v>1.10825</v>
      </c>
      <c r="L1122">
        <v>1.29975</v>
      </c>
      <c r="M1122">
        <v>9.0699999999999999E-3</v>
      </c>
      <c r="N1122">
        <v>1</v>
      </c>
      <c r="P1122">
        <v>1.3058000000000001</v>
      </c>
      <c r="Q1122">
        <v>0.96960000000000002</v>
      </c>
      <c r="R1122">
        <v>0.90232000000000001</v>
      </c>
      <c r="S1122">
        <v>0.76937</v>
      </c>
      <c r="T1122">
        <v>110.16</v>
      </c>
      <c r="U1122">
        <v>1</v>
      </c>
    </row>
    <row r="1123" spans="1:22" hidden="1" outlineLevel="1">
      <c r="A1123" s="8">
        <v>43851</v>
      </c>
      <c r="B1123" s="1860">
        <v>2541.7298099999998</v>
      </c>
      <c r="C1123" s="1860">
        <v>3431.61103</v>
      </c>
      <c r="D1123" s="1860">
        <v>3685.3905399999999</v>
      </c>
      <c r="E1123" s="1860">
        <v>4336.92562</v>
      </c>
      <c r="F1123">
        <v>30.213529999999999</v>
      </c>
      <c r="G1123" s="1861">
        <v>3320.77</v>
      </c>
      <c r="I1123">
        <v>0.76539999999999997</v>
      </c>
      <c r="J1123">
        <v>1.0333699999999999</v>
      </c>
      <c r="K1123">
        <v>1.1097999999999999</v>
      </c>
      <c r="L1123">
        <v>1.306</v>
      </c>
      <c r="M1123">
        <v>9.0900000000000009E-3</v>
      </c>
      <c r="N1123">
        <v>1</v>
      </c>
      <c r="P1123">
        <v>1.3065</v>
      </c>
      <c r="Q1123">
        <v>0.9677</v>
      </c>
      <c r="R1123">
        <v>0.90105999999999997</v>
      </c>
      <c r="S1123">
        <v>0.76568999999999998</v>
      </c>
      <c r="T1123">
        <v>109.91</v>
      </c>
      <c r="U1123">
        <v>1</v>
      </c>
    </row>
    <row r="1124" spans="1:22" hidden="1" outlineLevel="1">
      <c r="A1124" s="8">
        <v>43852</v>
      </c>
      <c r="B1124" s="1860">
        <v>2551.9551700000002</v>
      </c>
      <c r="C1124" s="1860">
        <v>3451.09782</v>
      </c>
      <c r="D1124" s="1860">
        <v>3707.9777199999999</v>
      </c>
      <c r="E1124" s="1860">
        <v>4399.3211300000003</v>
      </c>
      <c r="F1124">
        <v>30.460460000000001</v>
      </c>
      <c r="G1124" s="1861">
        <v>3347.91</v>
      </c>
      <c r="I1124">
        <v>0.76224999999999998</v>
      </c>
      <c r="J1124">
        <v>1.0308200000000001</v>
      </c>
      <c r="K1124">
        <v>1.10755</v>
      </c>
      <c r="L1124">
        <v>1.3140499999999999</v>
      </c>
      <c r="M1124">
        <v>9.0900000000000009E-3</v>
      </c>
      <c r="N1124">
        <v>1</v>
      </c>
      <c r="P1124">
        <v>1.3119000000000001</v>
      </c>
      <c r="Q1124">
        <v>0.97009999999999996</v>
      </c>
      <c r="R1124">
        <v>0.90288999999999997</v>
      </c>
      <c r="S1124">
        <v>0.76100000000000001</v>
      </c>
      <c r="T1124">
        <v>109.91</v>
      </c>
      <c r="U1124">
        <v>1</v>
      </c>
    </row>
    <row r="1125" spans="1:22" hidden="1" outlineLevel="1">
      <c r="A1125" s="8">
        <v>43853</v>
      </c>
      <c r="B1125" s="1860">
        <v>2539.00045</v>
      </c>
      <c r="C1125" s="1860">
        <v>3443.4849800000002</v>
      </c>
      <c r="D1125" s="1860">
        <v>3686.7338500000001</v>
      </c>
      <c r="E1125" s="1860">
        <v>4378.9873500000003</v>
      </c>
      <c r="F1125">
        <v>30.518139999999999</v>
      </c>
      <c r="G1125" s="1861">
        <v>3337.77</v>
      </c>
      <c r="I1125">
        <v>0.76068000000000002</v>
      </c>
      <c r="J1125">
        <v>1.0316700000000001</v>
      </c>
      <c r="K1125">
        <v>1.1045499999999999</v>
      </c>
      <c r="L1125">
        <v>1.3119499999999999</v>
      </c>
      <c r="M1125">
        <v>9.1400000000000006E-3</v>
      </c>
      <c r="N1125">
        <v>1</v>
      </c>
      <c r="P1125">
        <v>1.3146</v>
      </c>
      <c r="Q1125">
        <v>0.96930000000000005</v>
      </c>
      <c r="R1125">
        <v>0.90534000000000003</v>
      </c>
      <c r="S1125">
        <v>0.76222000000000001</v>
      </c>
      <c r="T1125">
        <v>109.37</v>
      </c>
      <c r="U1125">
        <v>1</v>
      </c>
    </row>
    <row r="1126" spans="1:22" hidden="1" outlineLevel="1">
      <c r="A1126" s="8">
        <v>43854</v>
      </c>
      <c r="B1126" s="1860">
        <v>2552.42589</v>
      </c>
      <c r="C1126" s="1860">
        <v>3454.63535</v>
      </c>
      <c r="D1126" s="1860">
        <v>3697.5203999999999</v>
      </c>
      <c r="E1126" s="1860">
        <v>4382.6935599999997</v>
      </c>
      <c r="F1126">
        <v>30.646129999999999</v>
      </c>
      <c r="G1126" s="1861">
        <v>3353.76</v>
      </c>
      <c r="I1126">
        <v>0.76105999999999996</v>
      </c>
      <c r="J1126">
        <v>1.03007</v>
      </c>
      <c r="K1126">
        <v>1.1025</v>
      </c>
      <c r="L1126">
        <v>1.3068</v>
      </c>
      <c r="M1126">
        <v>9.1299999999999992E-3</v>
      </c>
      <c r="N1126">
        <v>1</v>
      </c>
      <c r="P1126">
        <v>1.31395</v>
      </c>
      <c r="Q1126">
        <v>0.9708</v>
      </c>
      <c r="R1126">
        <v>0.90702000000000005</v>
      </c>
      <c r="S1126">
        <v>0.76522000000000001</v>
      </c>
      <c r="T1126">
        <v>109.435</v>
      </c>
      <c r="U1126">
        <v>1</v>
      </c>
    </row>
    <row r="1127" spans="1:22" hidden="1" outlineLevel="1">
      <c r="A1127" s="8">
        <v>43855</v>
      </c>
      <c r="B1127" s="1860">
        <v>2561.74892</v>
      </c>
      <c r="C1127" s="1860">
        <v>3467.2538100000002</v>
      </c>
      <c r="D1127" s="1860">
        <v>3711.0260199999998</v>
      </c>
      <c r="E1127" s="1860">
        <v>4398.7018600000001</v>
      </c>
      <c r="F1127">
        <v>30.75807</v>
      </c>
      <c r="G1127" s="1861">
        <v>3366.01</v>
      </c>
      <c r="I1127">
        <v>0.76105999999999996</v>
      </c>
      <c r="J1127">
        <v>1.03007</v>
      </c>
      <c r="K1127">
        <v>1.1025</v>
      </c>
      <c r="L1127">
        <v>1.3068</v>
      </c>
      <c r="M1127">
        <v>9.1299999999999992E-3</v>
      </c>
      <c r="N1127">
        <v>1</v>
      </c>
      <c r="P1127">
        <v>1.31395</v>
      </c>
      <c r="Q1127">
        <v>0.9708</v>
      </c>
      <c r="R1127">
        <v>0.90702000000000005</v>
      </c>
      <c r="S1127">
        <v>0.76522000000000001</v>
      </c>
      <c r="T1127">
        <v>109.435</v>
      </c>
      <c r="U1127">
        <v>1</v>
      </c>
    </row>
    <row r="1128" spans="1:22" hidden="1" outlineLevel="1">
      <c r="A1128" s="8">
        <v>43856</v>
      </c>
      <c r="B1128" s="1860">
        <v>2561.74892</v>
      </c>
      <c r="C1128" s="1860">
        <v>3467.2538100000002</v>
      </c>
      <c r="D1128" s="1860">
        <v>3711.0260199999998</v>
      </c>
      <c r="E1128" s="1860">
        <v>4398.7018600000001</v>
      </c>
      <c r="F1128">
        <v>30.75807</v>
      </c>
      <c r="G1128" s="1861">
        <v>3366.01</v>
      </c>
      <c r="I1128">
        <v>0.76105999999999996</v>
      </c>
      <c r="J1128">
        <v>1.03007</v>
      </c>
      <c r="K1128">
        <v>1.1025</v>
      </c>
      <c r="L1128">
        <v>1.3068</v>
      </c>
      <c r="M1128">
        <v>9.1299999999999992E-3</v>
      </c>
      <c r="N1128">
        <v>1</v>
      </c>
      <c r="P1128">
        <v>1.31395</v>
      </c>
      <c r="Q1128">
        <v>0.9708</v>
      </c>
      <c r="R1128">
        <v>0.90702000000000005</v>
      </c>
      <c r="S1128">
        <v>0.76522000000000001</v>
      </c>
      <c r="T1128">
        <v>109.435</v>
      </c>
      <c r="U1128">
        <v>1</v>
      </c>
    </row>
    <row r="1129" spans="1:22" hidden="1" outlineLevel="1">
      <c r="A1129" s="8">
        <v>43857</v>
      </c>
      <c r="B1129" s="1860">
        <v>2553.6833299999998</v>
      </c>
      <c r="C1129" s="1860">
        <v>3471.0079900000001</v>
      </c>
      <c r="D1129" s="1860">
        <v>3706.8185100000001</v>
      </c>
      <c r="E1129" s="1860">
        <v>4394.4943499999999</v>
      </c>
      <c r="F1129">
        <v>30.90776</v>
      </c>
      <c r="G1129" s="1861">
        <v>3366.01</v>
      </c>
      <c r="I1129">
        <v>0.75866</v>
      </c>
      <c r="J1129">
        <v>1.0311900000000001</v>
      </c>
      <c r="K1129">
        <v>1.1012500000000001</v>
      </c>
      <c r="L1129">
        <v>1.30555</v>
      </c>
      <c r="M1129">
        <v>9.1800000000000007E-3</v>
      </c>
      <c r="N1129">
        <v>1</v>
      </c>
      <c r="P1129">
        <v>1.3181</v>
      </c>
      <c r="Q1129">
        <v>0.96975</v>
      </c>
      <c r="R1129">
        <v>0.90805000000000002</v>
      </c>
      <c r="S1129">
        <v>0.76595999999999997</v>
      </c>
      <c r="T1129">
        <v>108.905</v>
      </c>
      <c r="U1129">
        <v>1</v>
      </c>
    </row>
    <row r="1130" spans="1:22" hidden="1" outlineLevel="1">
      <c r="A1130" s="8">
        <v>43858</v>
      </c>
      <c r="B1130" s="1860">
        <v>2577.9632000000001</v>
      </c>
      <c r="C1130" s="1860">
        <v>3489.6544600000002</v>
      </c>
      <c r="D1130" s="1860">
        <v>3738.4099200000001</v>
      </c>
      <c r="E1130" s="1860">
        <v>4411.8028800000002</v>
      </c>
      <c r="F1130">
        <v>31.137979999999999</v>
      </c>
      <c r="G1130" s="1861">
        <v>3398.4</v>
      </c>
      <c r="I1130">
        <v>0.75858000000000003</v>
      </c>
      <c r="J1130">
        <v>1.02685</v>
      </c>
      <c r="K1130">
        <v>1.10005</v>
      </c>
      <c r="L1130">
        <v>1.2982</v>
      </c>
      <c r="M1130">
        <v>9.1599999999999997E-3</v>
      </c>
      <c r="N1130">
        <v>1</v>
      </c>
      <c r="P1130">
        <v>1.3182499999999999</v>
      </c>
      <c r="Q1130">
        <v>0.97384999999999999</v>
      </c>
      <c r="R1130">
        <v>0.90903999999999996</v>
      </c>
      <c r="S1130">
        <v>0.77029000000000003</v>
      </c>
      <c r="T1130">
        <v>109.14</v>
      </c>
      <c r="U1130">
        <v>1</v>
      </c>
    </row>
    <row r="1131" spans="1:22" hidden="1" outlineLevel="1">
      <c r="A1131" s="8">
        <v>43859</v>
      </c>
      <c r="B1131" s="1860">
        <v>2569.08106</v>
      </c>
      <c r="C1131" s="1860">
        <v>3479.2328900000002</v>
      </c>
      <c r="D1131" s="1860">
        <v>3731.3511100000001</v>
      </c>
      <c r="E1131" s="1860">
        <v>4411.0585199999996</v>
      </c>
      <c r="F1131">
        <v>31.073450000000001</v>
      </c>
      <c r="G1131" s="1861">
        <v>3392.6</v>
      </c>
      <c r="I1131">
        <v>0.75726000000000004</v>
      </c>
      <c r="J1131">
        <v>1.0255300000000001</v>
      </c>
      <c r="K1131">
        <v>1.09985</v>
      </c>
      <c r="L1131">
        <v>1.3002</v>
      </c>
      <c r="M1131">
        <v>9.1500000000000001E-3</v>
      </c>
      <c r="N1131">
        <v>1</v>
      </c>
      <c r="P1131">
        <v>1.3205499999999999</v>
      </c>
      <c r="Q1131">
        <v>0.97509999999999997</v>
      </c>
      <c r="R1131">
        <v>0.90920999999999996</v>
      </c>
      <c r="S1131">
        <v>0.76910999999999996</v>
      </c>
      <c r="T1131">
        <v>109.18</v>
      </c>
      <c r="U1131">
        <v>1</v>
      </c>
    </row>
    <row r="1132" spans="1:22" hidden="1" outlineLevel="1">
      <c r="A1132" s="8">
        <v>43860</v>
      </c>
      <c r="B1132" s="1860">
        <v>2567.4745699999999</v>
      </c>
      <c r="C1132" s="1860">
        <v>3506.06702</v>
      </c>
      <c r="D1132" s="1860">
        <v>3746.4928500000001</v>
      </c>
      <c r="E1132" s="1860">
        <v>4448.0902599999999</v>
      </c>
      <c r="F1132">
        <v>31.240849999999998</v>
      </c>
      <c r="G1132" s="1861">
        <v>3395.1</v>
      </c>
      <c r="I1132">
        <v>0.75622</v>
      </c>
      <c r="J1132">
        <v>1.03268</v>
      </c>
      <c r="K1132">
        <v>1.1034999999999999</v>
      </c>
      <c r="L1132">
        <v>1.3101499999999999</v>
      </c>
      <c r="M1132">
        <v>9.1999999999999998E-3</v>
      </c>
      <c r="N1132">
        <v>1</v>
      </c>
      <c r="P1132">
        <v>1.3223499999999999</v>
      </c>
      <c r="Q1132">
        <v>0.96835000000000004</v>
      </c>
      <c r="R1132">
        <v>0.90620000000000001</v>
      </c>
      <c r="S1132">
        <v>0.76327</v>
      </c>
      <c r="T1132">
        <v>108.675</v>
      </c>
      <c r="U1132">
        <v>1</v>
      </c>
    </row>
    <row r="1133" spans="1:22" ht="15.75" hidden="1" outlineLevel="1" thickBot="1">
      <c r="A1133" s="1868">
        <v>43861</v>
      </c>
      <c r="B1133" s="1869">
        <v>2579.4487899999999</v>
      </c>
      <c r="C1133" s="1869">
        <v>3537.1973600000001</v>
      </c>
      <c r="D1133" s="1869">
        <v>3780.56889</v>
      </c>
      <c r="E1133" s="1869">
        <v>4496.9733900000001</v>
      </c>
      <c r="F1133" s="1870">
        <v>31.475290000000001</v>
      </c>
      <c r="G1133" s="1871">
        <v>3411.45</v>
      </c>
      <c r="H1133" s="1872"/>
      <c r="I1133" s="1870">
        <v>0.75610999999999995</v>
      </c>
      <c r="J1133" s="1870">
        <v>1.0368599999999999</v>
      </c>
      <c r="K1133" s="1870">
        <v>1.1082000000000001</v>
      </c>
      <c r="L1133" s="1870">
        <v>1.3182</v>
      </c>
      <c r="M1133" s="1870">
        <v>9.2200000000000008E-3</v>
      </c>
      <c r="N1133" s="1870">
        <v>1</v>
      </c>
      <c r="O1133" s="1872"/>
      <c r="P1133" s="1870">
        <v>1.3225499999999999</v>
      </c>
      <c r="Q1133" s="1870">
        <v>0.96445000000000003</v>
      </c>
      <c r="R1133" s="1870">
        <v>0.90236000000000005</v>
      </c>
      <c r="S1133" s="1870">
        <v>0.75861000000000001</v>
      </c>
      <c r="T1133" s="1870">
        <v>108.38500000000001</v>
      </c>
      <c r="U1133" s="1870">
        <v>1</v>
      </c>
      <c r="V1133" s="1872"/>
    </row>
    <row r="1134" spans="1:22" hidden="1" outlineLevel="1">
      <c r="A1134" s="8">
        <v>43862</v>
      </c>
      <c r="B1134" s="1860">
        <v>2588.3633799999998</v>
      </c>
      <c r="C1134" s="1860">
        <v>3549.4219499999999</v>
      </c>
      <c r="D1134" s="1860">
        <v>3793.63456</v>
      </c>
      <c r="E1134" s="1860">
        <v>4512.5149600000004</v>
      </c>
      <c r="F1134">
        <v>31.584070000000001</v>
      </c>
      <c r="G1134" s="1861">
        <v>3423.24</v>
      </c>
      <c r="I1134">
        <v>0.75610999999999995</v>
      </c>
      <c r="J1134">
        <v>1.0368599999999999</v>
      </c>
      <c r="K1134">
        <v>1.1082000000000001</v>
      </c>
      <c r="L1134">
        <v>1.3182</v>
      </c>
      <c r="M1134">
        <v>9.2200000000000008E-3</v>
      </c>
      <c r="N1134">
        <v>1</v>
      </c>
      <c r="P1134">
        <v>1.3225499999999999</v>
      </c>
      <c r="Q1134">
        <v>0.96445000000000003</v>
      </c>
      <c r="R1134">
        <v>0.90236000000000005</v>
      </c>
      <c r="S1134">
        <v>0.75861000000000001</v>
      </c>
      <c r="T1134">
        <v>108.38500000000001</v>
      </c>
      <c r="U1134">
        <v>1</v>
      </c>
    </row>
    <row r="1135" spans="1:22" hidden="1" outlineLevel="1">
      <c r="A1135" s="8">
        <v>43863</v>
      </c>
      <c r="B1135" s="1860">
        <v>2588.3633799999998</v>
      </c>
      <c r="C1135" s="1860">
        <v>3549.4219499999999</v>
      </c>
      <c r="D1135" s="1860">
        <v>3793.63456</v>
      </c>
      <c r="E1135" s="1860">
        <v>4512.5149600000004</v>
      </c>
      <c r="F1135">
        <v>31.584070000000001</v>
      </c>
      <c r="G1135" s="1861">
        <v>3423.24</v>
      </c>
      <c r="I1135">
        <v>0.75610999999999995</v>
      </c>
      <c r="J1135">
        <v>1.0368599999999999</v>
      </c>
      <c r="K1135">
        <v>1.1082000000000001</v>
      </c>
      <c r="L1135">
        <v>1.3182</v>
      </c>
      <c r="M1135">
        <v>9.2200000000000008E-3</v>
      </c>
      <c r="N1135">
        <v>1</v>
      </c>
      <c r="P1135">
        <v>1.3225499999999999</v>
      </c>
      <c r="Q1135">
        <v>0.96445000000000003</v>
      </c>
      <c r="R1135">
        <v>0.90236000000000005</v>
      </c>
      <c r="S1135">
        <v>0.75861000000000001</v>
      </c>
      <c r="T1135">
        <v>108.38500000000001</v>
      </c>
      <c r="U1135">
        <v>1</v>
      </c>
    </row>
    <row r="1136" spans="1:22" hidden="1" outlineLevel="1">
      <c r="A1136" s="8">
        <v>43864</v>
      </c>
      <c r="B1136" s="1860">
        <v>2580.8504200000002</v>
      </c>
      <c r="C1136" s="1860">
        <v>3544.0935899999999</v>
      </c>
      <c r="D1136" s="1860">
        <v>3785.2476299999998</v>
      </c>
      <c r="E1136" s="1860">
        <v>4454.8333700000003</v>
      </c>
      <c r="F1136">
        <v>31.489650000000001</v>
      </c>
      <c r="G1136" s="1861">
        <v>3423.24</v>
      </c>
      <c r="I1136">
        <v>0.75392000000000003</v>
      </c>
      <c r="J1136">
        <v>1.0353000000000001</v>
      </c>
      <c r="K1136">
        <v>1.10575</v>
      </c>
      <c r="L1136">
        <v>1.30135</v>
      </c>
      <c r="M1136">
        <v>9.1900000000000003E-3</v>
      </c>
      <c r="N1136">
        <v>1</v>
      </c>
      <c r="P1136">
        <v>1.3264</v>
      </c>
      <c r="Q1136">
        <v>0.96589999999999998</v>
      </c>
      <c r="R1136">
        <v>0.90436000000000005</v>
      </c>
      <c r="S1136">
        <v>0.76842999999999995</v>
      </c>
      <c r="T1136">
        <v>108.71</v>
      </c>
      <c r="U1136">
        <v>1</v>
      </c>
    </row>
    <row r="1137" spans="1:35" hidden="1" outlineLevel="1">
      <c r="A1137" s="8">
        <v>43865</v>
      </c>
      <c r="B1137" s="1860">
        <v>2561.7050100000001</v>
      </c>
      <c r="C1137" s="1860">
        <v>3507.3052499999999</v>
      </c>
      <c r="D1137" s="1860">
        <v>3754.8119999999999</v>
      </c>
      <c r="E1137" s="1860">
        <v>4430.3618200000001</v>
      </c>
      <c r="F1137">
        <v>31.111350000000002</v>
      </c>
      <c r="G1137" s="1861">
        <v>3401.56</v>
      </c>
      <c r="I1137">
        <v>0.75309000000000004</v>
      </c>
      <c r="J1137">
        <v>1.03108</v>
      </c>
      <c r="K1137">
        <v>1.10385</v>
      </c>
      <c r="L1137">
        <v>1.3024500000000001</v>
      </c>
      <c r="M1137">
        <v>9.1400000000000006E-3</v>
      </c>
      <c r="N1137">
        <v>1</v>
      </c>
      <c r="P1137">
        <v>1.32785</v>
      </c>
      <c r="Q1137">
        <v>0.96984999999999999</v>
      </c>
      <c r="R1137">
        <v>0.90591999999999995</v>
      </c>
      <c r="S1137">
        <v>0.76778000000000002</v>
      </c>
      <c r="T1137">
        <v>109.33499999999999</v>
      </c>
      <c r="U1137">
        <v>1</v>
      </c>
    </row>
    <row r="1138" spans="1:35" hidden="1" outlineLevel="1">
      <c r="A1138" s="8">
        <v>43866</v>
      </c>
      <c r="B1138" s="1860">
        <v>2534.2234899999999</v>
      </c>
      <c r="C1138" s="1860">
        <v>3461.99773</v>
      </c>
      <c r="D1138" s="1860">
        <v>3706.4307699999999</v>
      </c>
      <c r="E1138" s="1860">
        <v>4373.6354700000002</v>
      </c>
      <c r="F1138">
        <v>30.69445</v>
      </c>
      <c r="G1138" s="1861">
        <v>3368.87</v>
      </c>
      <c r="I1138">
        <v>0.75224000000000002</v>
      </c>
      <c r="J1138">
        <v>1.0276400000000001</v>
      </c>
      <c r="K1138">
        <v>1.1002000000000001</v>
      </c>
      <c r="L1138">
        <v>1.2982499999999999</v>
      </c>
      <c r="M1138">
        <v>9.11E-3</v>
      </c>
      <c r="N1138">
        <v>1</v>
      </c>
      <c r="P1138">
        <v>1.32935</v>
      </c>
      <c r="Q1138">
        <v>0.97309999999999997</v>
      </c>
      <c r="R1138">
        <v>0.90891999999999995</v>
      </c>
      <c r="S1138">
        <v>0.77025999999999994</v>
      </c>
      <c r="T1138">
        <v>109.755</v>
      </c>
      <c r="U1138">
        <v>1</v>
      </c>
    </row>
    <row r="1139" spans="1:35" hidden="1" outlineLevel="1">
      <c r="A1139" s="8">
        <v>43867</v>
      </c>
      <c r="B1139" s="1860">
        <v>2523.5513099999998</v>
      </c>
      <c r="C1139" s="1860">
        <v>3442.3595700000001</v>
      </c>
      <c r="D1139" s="1860">
        <v>3683.43426</v>
      </c>
      <c r="E1139" s="1860">
        <v>4338.58392</v>
      </c>
      <c r="F1139">
        <v>30.510929999999998</v>
      </c>
      <c r="G1139" s="1861">
        <v>3355.44</v>
      </c>
      <c r="I1139">
        <v>0.75207000000000002</v>
      </c>
      <c r="J1139">
        <v>1.0259</v>
      </c>
      <c r="K1139">
        <v>1.09775</v>
      </c>
      <c r="L1139">
        <v>1.2929999999999999</v>
      </c>
      <c r="M1139">
        <v>9.0900000000000009E-3</v>
      </c>
      <c r="N1139">
        <v>1</v>
      </c>
      <c r="P1139">
        <v>1.32965</v>
      </c>
      <c r="Q1139">
        <v>0.97475000000000001</v>
      </c>
      <c r="R1139">
        <v>0.91095000000000004</v>
      </c>
      <c r="S1139">
        <v>0.77339000000000002</v>
      </c>
      <c r="T1139">
        <v>109.97499999999999</v>
      </c>
      <c r="U1139">
        <v>1</v>
      </c>
    </row>
    <row r="1140" spans="1:35" hidden="1" outlineLevel="1">
      <c r="A1140" s="8">
        <v>43868</v>
      </c>
      <c r="B1140" s="1860">
        <v>2539.31376</v>
      </c>
      <c r="C1140" s="1860">
        <v>3460.6197099999999</v>
      </c>
      <c r="D1140" s="1860">
        <v>3704.1106500000001</v>
      </c>
      <c r="E1140" s="1860">
        <v>4371.1816500000004</v>
      </c>
      <c r="F1140">
        <v>30.775950000000002</v>
      </c>
      <c r="G1140" s="1861">
        <v>3378.43</v>
      </c>
      <c r="I1140">
        <v>0.75161999999999995</v>
      </c>
      <c r="J1140">
        <v>1.0243199999999999</v>
      </c>
      <c r="K1140">
        <v>1.0964</v>
      </c>
      <c r="L1140">
        <v>1.2938499999999999</v>
      </c>
      <c r="M1140">
        <v>9.1000000000000004E-3</v>
      </c>
      <c r="N1140">
        <v>1</v>
      </c>
      <c r="P1140">
        <v>1.3304499999999999</v>
      </c>
      <c r="Q1140">
        <v>0.97624999999999995</v>
      </c>
      <c r="R1140">
        <v>0.91207000000000005</v>
      </c>
      <c r="S1140">
        <v>0.77288000000000001</v>
      </c>
      <c r="T1140">
        <v>109.77500000000001</v>
      </c>
      <c r="U1140">
        <v>1</v>
      </c>
    </row>
    <row r="1141" spans="1:35" s="1857" customFormat="1" hidden="1" outlineLevel="1">
      <c r="A1141" s="8">
        <v>43869</v>
      </c>
      <c r="B1141" s="1860">
        <v>2561.8023899999998</v>
      </c>
      <c r="C1141" s="1860">
        <v>3491.2676000000001</v>
      </c>
      <c r="D1141" s="1860">
        <v>3736.9149400000001</v>
      </c>
      <c r="E1141" s="1860">
        <v>4409.8936400000002</v>
      </c>
      <c r="F1141">
        <v>31.048500000000001</v>
      </c>
      <c r="G1141" s="1861">
        <v>3408.35</v>
      </c>
      <c r="I1141">
        <v>0.75161999999999995</v>
      </c>
      <c r="J1141">
        <v>1.0243199999999999</v>
      </c>
      <c r="K1141">
        <v>1.0964</v>
      </c>
      <c r="L1141">
        <v>1.2938499999999999</v>
      </c>
      <c r="M1141">
        <v>9.1000000000000004E-3</v>
      </c>
      <c r="N1141">
        <v>1</v>
      </c>
      <c r="P1141">
        <v>1.3304499999999999</v>
      </c>
      <c r="Q1141">
        <v>0.97624999999999995</v>
      </c>
      <c r="R1141">
        <v>0.91207000000000005</v>
      </c>
      <c r="S1141">
        <v>0.77288000000000001</v>
      </c>
      <c r="T1141">
        <v>109.77500000000001</v>
      </c>
      <c r="U1141">
        <v>1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</row>
    <row r="1142" spans="1:35" s="1857" customFormat="1" hidden="1" outlineLevel="1">
      <c r="A1142" s="8">
        <v>43870</v>
      </c>
      <c r="B1142" s="1860">
        <v>2561.8023899999998</v>
      </c>
      <c r="C1142" s="1860">
        <v>3491.2676000000001</v>
      </c>
      <c r="D1142" s="1860">
        <v>3736.9149400000001</v>
      </c>
      <c r="E1142" s="1860">
        <v>4409.8936400000002</v>
      </c>
      <c r="F1142">
        <v>31.048500000000001</v>
      </c>
      <c r="G1142" s="1861">
        <v>3408.35</v>
      </c>
      <c r="I1142">
        <v>0.75161999999999995</v>
      </c>
      <c r="J1142">
        <v>1.0243199999999999</v>
      </c>
      <c r="K1142">
        <v>1.0964</v>
      </c>
      <c r="L1142">
        <v>1.2938499999999999</v>
      </c>
      <c r="M1142">
        <v>9.1000000000000004E-3</v>
      </c>
      <c r="N1142">
        <v>1</v>
      </c>
      <c r="P1142">
        <v>1.3304499999999999</v>
      </c>
      <c r="Q1142">
        <v>0.97624999999999995</v>
      </c>
      <c r="R1142">
        <v>0.91207000000000005</v>
      </c>
      <c r="S1142">
        <v>0.77288000000000001</v>
      </c>
      <c r="T1142">
        <v>109.77500000000001</v>
      </c>
      <c r="U1142">
        <v>1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</row>
    <row r="1143" spans="1:35" s="1857" customFormat="1" hidden="1" outlineLevel="1">
      <c r="A1143" s="8">
        <v>43871</v>
      </c>
      <c r="B1143" s="1860">
        <v>2559.01343</v>
      </c>
      <c r="C1143" s="1860">
        <v>3488.4089800000002</v>
      </c>
      <c r="D1143" s="1860">
        <v>3723.2815399999999</v>
      </c>
      <c r="E1143" s="1860">
        <v>4404.7811199999996</v>
      </c>
      <c r="F1143">
        <v>31.061240000000002</v>
      </c>
      <c r="G1143" s="1861">
        <v>3408.35</v>
      </c>
      <c r="I1143">
        <v>0.75080000000000002</v>
      </c>
      <c r="J1143">
        <v>1.0234799999999999</v>
      </c>
      <c r="K1143">
        <v>1.0924</v>
      </c>
      <c r="L1143">
        <v>1.2923500000000001</v>
      </c>
      <c r="M1143">
        <v>9.11E-3</v>
      </c>
      <c r="N1143">
        <v>1</v>
      </c>
      <c r="P1143">
        <v>1.3319000000000001</v>
      </c>
      <c r="Q1143">
        <v>0.97704999999999997</v>
      </c>
      <c r="R1143">
        <v>0.91540999999999995</v>
      </c>
      <c r="S1143">
        <v>0.77378000000000002</v>
      </c>
      <c r="T1143">
        <v>109.73</v>
      </c>
      <c r="U1143">
        <v>1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</row>
    <row r="1144" spans="1:35" s="1857" customFormat="1" hidden="1" outlineLevel="1">
      <c r="A1144" s="8">
        <v>43872</v>
      </c>
      <c r="B1144" s="1860">
        <v>2589.4269399999998</v>
      </c>
      <c r="C1144" s="1860">
        <v>3521.4245500000002</v>
      </c>
      <c r="D1144" s="1860">
        <v>3755.9798799999999</v>
      </c>
      <c r="E1144" s="1860">
        <v>4453.9786199999999</v>
      </c>
      <c r="F1144">
        <v>31.30564</v>
      </c>
      <c r="G1144" s="1861">
        <v>3440.96</v>
      </c>
      <c r="I1144">
        <v>0.75253000000000003</v>
      </c>
      <c r="J1144">
        <v>1.02338</v>
      </c>
      <c r="K1144">
        <v>1.09155</v>
      </c>
      <c r="L1144">
        <v>1.2944</v>
      </c>
      <c r="M1144">
        <v>9.0900000000000009E-3</v>
      </c>
      <c r="N1144">
        <v>1</v>
      </c>
      <c r="P1144">
        <v>1.3288500000000001</v>
      </c>
      <c r="Q1144">
        <v>0.97714999999999996</v>
      </c>
      <c r="R1144">
        <v>0.91612000000000005</v>
      </c>
      <c r="S1144">
        <v>0.77254999999999996</v>
      </c>
      <c r="T1144">
        <v>109.91500000000001</v>
      </c>
      <c r="U1144">
        <v>1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</row>
    <row r="1145" spans="1:35" s="1857" customFormat="1" hidden="1" outlineLevel="1">
      <c r="A1145" s="8">
        <v>43873</v>
      </c>
      <c r="B1145" s="1860">
        <v>2589.0041099999999</v>
      </c>
      <c r="C1145" s="1860">
        <v>3515.14437</v>
      </c>
      <c r="D1145" s="1860">
        <v>3740.3052899999998</v>
      </c>
      <c r="E1145" s="1860">
        <v>4454.5180600000003</v>
      </c>
      <c r="F1145">
        <v>31.20383</v>
      </c>
      <c r="G1145" s="1861">
        <v>3432.89</v>
      </c>
      <c r="I1145">
        <v>0.75417000000000001</v>
      </c>
      <c r="J1145">
        <v>1.02396</v>
      </c>
      <c r="K1145">
        <v>1.08955</v>
      </c>
      <c r="L1145">
        <v>1.2976000000000001</v>
      </c>
      <c r="M1145">
        <v>9.0799999999999995E-3</v>
      </c>
      <c r="N1145">
        <v>1</v>
      </c>
      <c r="P1145">
        <v>1.32595</v>
      </c>
      <c r="Q1145">
        <v>0.97660000000000002</v>
      </c>
      <c r="R1145">
        <v>0.91781000000000001</v>
      </c>
      <c r="S1145">
        <v>0.77064999999999995</v>
      </c>
      <c r="T1145">
        <v>110.015</v>
      </c>
      <c r="U1145">
        <v>1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</row>
    <row r="1146" spans="1:35" s="1857" customFormat="1" hidden="1" outlineLevel="1">
      <c r="A1146" s="8">
        <v>43874</v>
      </c>
      <c r="B1146" s="1860">
        <v>2561.2433500000002</v>
      </c>
      <c r="C1146" s="1860">
        <v>3469.9238500000001</v>
      </c>
      <c r="D1146" s="1860">
        <v>3682.8487799999998</v>
      </c>
      <c r="E1146" s="1860">
        <v>4431.5719200000003</v>
      </c>
      <c r="F1146">
        <v>30.913799999999998</v>
      </c>
      <c r="G1146" s="1861">
        <v>3394.8</v>
      </c>
      <c r="I1146">
        <v>0.75446000000000002</v>
      </c>
      <c r="J1146">
        <v>1.0221199999999999</v>
      </c>
      <c r="K1146">
        <v>1.0848500000000001</v>
      </c>
      <c r="L1146">
        <v>1.3053999999999999</v>
      </c>
      <c r="M1146">
        <v>9.1000000000000004E-3</v>
      </c>
      <c r="N1146">
        <v>1</v>
      </c>
      <c r="P1146">
        <v>1.32545</v>
      </c>
      <c r="Q1146">
        <v>0.97835000000000005</v>
      </c>
      <c r="R1146">
        <v>0.92178000000000004</v>
      </c>
      <c r="S1146">
        <v>0.76604000000000005</v>
      </c>
      <c r="T1146">
        <v>109.815</v>
      </c>
      <c r="U1146">
        <v>1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</row>
    <row r="1147" spans="1:35" s="1857" customFormat="1" hidden="1" outlineLevel="1">
      <c r="A1147" s="8">
        <v>43875</v>
      </c>
      <c r="B1147" s="1860">
        <v>2553.5473099999999</v>
      </c>
      <c r="C1147" s="1860">
        <v>3449.0906300000001</v>
      </c>
      <c r="D1147" s="1860">
        <v>3671.32105</v>
      </c>
      <c r="E1147" s="1860">
        <v>4405.5514000000003</v>
      </c>
      <c r="F1147">
        <v>30.841010000000001</v>
      </c>
      <c r="G1147" s="1861">
        <v>3385.11</v>
      </c>
      <c r="I1147">
        <v>0.75434000000000001</v>
      </c>
      <c r="J1147">
        <v>1.0188999999999999</v>
      </c>
      <c r="K1147">
        <v>1.0845499999999999</v>
      </c>
      <c r="L1147">
        <v>1.30145</v>
      </c>
      <c r="M1147">
        <v>9.11E-3</v>
      </c>
      <c r="N1147">
        <v>1</v>
      </c>
      <c r="P1147">
        <v>1.32565</v>
      </c>
      <c r="Q1147">
        <v>0.98145000000000004</v>
      </c>
      <c r="R1147">
        <v>0.92203999999999997</v>
      </c>
      <c r="S1147">
        <v>0.76837</v>
      </c>
      <c r="T1147">
        <v>109.76</v>
      </c>
      <c r="U1147">
        <v>1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</row>
    <row r="1148" spans="1:35" s="1857" customFormat="1" hidden="1" outlineLevel="1">
      <c r="A1148" s="8">
        <v>43876</v>
      </c>
      <c r="B1148" s="1860">
        <v>2548.4026699999999</v>
      </c>
      <c r="C1148" s="1860">
        <v>3442.1417200000001</v>
      </c>
      <c r="D1148" s="1860">
        <v>3663.9244100000001</v>
      </c>
      <c r="E1148" s="1860">
        <v>4396.6755199999998</v>
      </c>
      <c r="F1148">
        <v>30.778880000000001</v>
      </c>
      <c r="G1148" s="1861">
        <v>3378.29</v>
      </c>
      <c r="I1148">
        <v>0.75434000000000001</v>
      </c>
      <c r="J1148">
        <v>1.0188999999999999</v>
      </c>
      <c r="K1148">
        <v>1.0845499999999999</v>
      </c>
      <c r="L1148">
        <v>1.30145</v>
      </c>
      <c r="M1148">
        <v>9.11E-3</v>
      </c>
      <c r="N1148">
        <v>1</v>
      </c>
      <c r="P1148">
        <v>1.32565</v>
      </c>
      <c r="Q1148">
        <v>0.98145000000000004</v>
      </c>
      <c r="R1148">
        <v>0.92203999999999997</v>
      </c>
      <c r="S1148">
        <v>0.76837</v>
      </c>
      <c r="T1148">
        <v>109.76</v>
      </c>
      <c r="U1148">
        <v>1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</row>
    <row r="1149" spans="1:35" s="1857" customFormat="1" hidden="1" outlineLevel="1">
      <c r="A1149" s="8">
        <v>43877</v>
      </c>
      <c r="B1149" s="1860">
        <v>2548.4026699999999</v>
      </c>
      <c r="C1149" s="1860">
        <v>3442.1417200000001</v>
      </c>
      <c r="D1149" s="1860">
        <v>3663.9244100000001</v>
      </c>
      <c r="E1149" s="1860">
        <v>4396.6755199999998</v>
      </c>
      <c r="F1149">
        <v>30.778880000000001</v>
      </c>
      <c r="G1149" s="1861">
        <v>3378.29</v>
      </c>
      <c r="I1149">
        <v>0.75434000000000001</v>
      </c>
      <c r="J1149">
        <v>1.0188999999999999</v>
      </c>
      <c r="K1149">
        <v>1.0845499999999999</v>
      </c>
      <c r="L1149">
        <v>1.30145</v>
      </c>
      <c r="M1149">
        <v>9.11E-3</v>
      </c>
      <c r="N1149">
        <v>1</v>
      </c>
      <c r="P1149">
        <v>1.32565</v>
      </c>
      <c r="Q1149">
        <v>0.98145000000000004</v>
      </c>
      <c r="R1149">
        <v>0.92203999999999997</v>
      </c>
      <c r="S1149">
        <v>0.76837</v>
      </c>
      <c r="T1149">
        <v>109.76</v>
      </c>
      <c r="U1149">
        <v>1</v>
      </c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</row>
    <row r="1150" spans="1:35" s="1857" customFormat="1" hidden="1" outlineLevel="1">
      <c r="A1150" s="8">
        <v>43878</v>
      </c>
      <c r="B1150" s="1860">
        <v>2551.7712799999999</v>
      </c>
      <c r="C1150" s="1860">
        <v>3440.91464</v>
      </c>
      <c r="D1150" s="1860">
        <v>3658.85698</v>
      </c>
      <c r="E1150" s="1860">
        <v>4394.1418000000003</v>
      </c>
      <c r="F1150">
        <v>30.72429</v>
      </c>
      <c r="G1150" s="1861">
        <v>3378.29</v>
      </c>
      <c r="I1150">
        <v>0.75534000000000001</v>
      </c>
      <c r="J1150">
        <v>1.0185299999999999</v>
      </c>
      <c r="K1150">
        <v>1.0830500000000001</v>
      </c>
      <c r="L1150">
        <v>1.3007</v>
      </c>
      <c r="M1150">
        <v>9.0900000000000009E-3</v>
      </c>
      <c r="N1150">
        <v>1</v>
      </c>
      <c r="P1150">
        <v>1.3239000000000001</v>
      </c>
      <c r="Q1150">
        <v>0.98180000000000001</v>
      </c>
      <c r="R1150">
        <v>0.92330999999999996</v>
      </c>
      <c r="S1150">
        <v>0.76880999999999999</v>
      </c>
      <c r="T1150">
        <v>109.955</v>
      </c>
      <c r="U1150">
        <v>1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</row>
    <row r="1151" spans="1:35" s="1857" customFormat="1" hidden="1" outlineLevel="1">
      <c r="A1151" s="8">
        <v>43879</v>
      </c>
      <c r="B1151" s="1860">
        <v>2548.7872000000002</v>
      </c>
      <c r="C1151" s="1860">
        <v>3442.31709</v>
      </c>
      <c r="D1151" s="1860">
        <v>3656.3232600000001</v>
      </c>
      <c r="E1151" s="1860">
        <v>4404.4455799999996</v>
      </c>
      <c r="F1151">
        <v>30.764859999999999</v>
      </c>
      <c r="G1151" s="1861">
        <v>3378.29</v>
      </c>
      <c r="I1151">
        <v>0.75446000000000002</v>
      </c>
      <c r="J1151">
        <v>1.01895</v>
      </c>
      <c r="K1151">
        <v>1.0823</v>
      </c>
      <c r="L1151">
        <v>1.30375</v>
      </c>
      <c r="M1151">
        <v>9.1000000000000004E-3</v>
      </c>
      <c r="N1151">
        <v>1</v>
      </c>
      <c r="P1151">
        <v>1.32545</v>
      </c>
      <c r="Q1151">
        <v>0.98140000000000005</v>
      </c>
      <c r="R1151">
        <v>0.92395000000000005</v>
      </c>
      <c r="S1151">
        <v>0.76700999999999997</v>
      </c>
      <c r="T1151">
        <v>109.81</v>
      </c>
      <c r="U1151">
        <v>1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</row>
    <row r="1152" spans="1:35" s="1857" customFormat="1" hidden="1" outlineLevel="1">
      <c r="A1152" s="8">
        <v>43880</v>
      </c>
      <c r="B1152" s="1860">
        <v>2576.3910299999998</v>
      </c>
      <c r="C1152" s="1860">
        <v>3467.80557</v>
      </c>
      <c r="D1152" s="1860">
        <v>3680.5015199999998</v>
      </c>
      <c r="E1152" s="1860">
        <v>4416.7723299999998</v>
      </c>
      <c r="F1152">
        <v>30.736719999999998</v>
      </c>
      <c r="G1152" s="1861">
        <v>3410.24</v>
      </c>
      <c r="I1152">
        <v>0.75548000000000004</v>
      </c>
      <c r="J1152">
        <v>1.01688</v>
      </c>
      <c r="K1152">
        <v>1.07925</v>
      </c>
      <c r="L1152">
        <v>1.29515</v>
      </c>
      <c r="M1152">
        <v>9.0100000000000006E-3</v>
      </c>
      <c r="N1152">
        <v>1</v>
      </c>
      <c r="P1152">
        <v>1.32365</v>
      </c>
      <c r="Q1152">
        <v>0.98340000000000005</v>
      </c>
      <c r="R1152">
        <v>0.92656000000000005</v>
      </c>
      <c r="S1152">
        <v>0.77210999999999996</v>
      </c>
      <c r="T1152">
        <v>110.95</v>
      </c>
      <c r="U1152">
        <v>1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</row>
    <row r="1153" spans="1:35" s="1857" customFormat="1" hidden="1" outlineLevel="1">
      <c r="A1153" s="8">
        <v>43881</v>
      </c>
      <c r="B1153" s="1860">
        <v>2570.1719199999998</v>
      </c>
      <c r="C1153" s="1860">
        <v>3461.9096</v>
      </c>
      <c r="D1153" s="1860">
        <v>3674.24874</v>
      </c>
      <c r="E1153" s="1860">
        <v>4380.2921900000001</v>
      </c>
      <c r="F1153">
        <v>30.34151</v>
      </c>
      <c r="G1153" s="1861">
        <v>3400.98</v>
      </c>
      <c r="I1153">
        <v>0.75570999999999999</v>
      </c>
      <c r="J1153">
        <v>1.0179100000000001</v>
      </c>
      <c r="K1153">
        <v>1.0803499999999999</v>
      </c>
      <c r="L1153">
        <v>1.2879499999999999</v>
      </c>
      <c r="M1153">
        <v>8.9200000000000008E-3</v>
      </c>
      <c r="N1153">
        <v>1</v>
      </c>
      <c r="P1153">
        <v>1.32325</v>
      </c>
      <c r="Q1153">
        <v>0.98240000000000005</v>
      </c>
      <c r="R1153">
        <v>0.92562</v>
      </c>
      <c r="S1153">
        <v>0.77642</v>
      </c>
      <c r="T1153">
        <v>112.09</v>
      </c>
      <c r="U1153">
        <v>1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</row>
    <row r="1154" spans="1:35" s="1857" customFormat="1" hidden="1" outlineLevel="1">
      <c r="A1154" s="8">
        <v>43882</v>
      </c>
      <c r="B1154" s="1860">
        <v>2573.7295800000002</v>
      </c>
      <c r="C1154" s="1860">
        <v>3478.46083</v>
      </c>
      <c r="D1154" s="1860">
        <v>3693.4782</v>
      </c>
      <c r="E1154" s="1860">
        <v>4410.5956500000002</v>
      </c>
      <c r="F1154">
        <v>30.468640000000001</v>
      </c>
      <c r="G1154" s="1861">
        <v>3403.5</v>
      </c>
      <c r="I1154">
        <v>0.75619999999999998</v>
      </c>
      <c r="J1154">
        <v>1.0220199999999999</v>
      </c>
      <c r="K1154">
        <v>1.0851999999999999</v>
      </c>
      <c r="L1154">
        <v>1.2959000000000001</v>
      </c>
      <c r="M1154">
        <v>8.9499999999999996E-3</v>
      </c>
      <c r="N1154">
        <v>1</v>
      </c>
      <c r="P1154">
        <v>1.3224</v>
      </c>
      <c r="Q1154">
        <v>0.97845000000000004</v>
      </c>
      <c r="R1154">
        <v>0.92147999999999997</v>
      </c>
      <c r="S1154">
        <v>0.77166000000000001</v>
      </c>
      <c r="T1154">
        <v>111.705</v>
      </c>
      <c r="U1154">
        <v>1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</row>
    <row r="1155" spans="1:35" s="1857" customFormat="1" hidden="1" outlineLevel="1">
      <c r="A1155" s="8">
        <v>43883</v>
      </c>
      <c r="B1155" s="1860">
        <v>2569.6082799999999</v>
      </c>
      <c r="C1155" s="1860">
        <v>3472.8907899999999</v>
      </c>
      <c r="D1155" s="1860">
        <v>3687.5638600000002</v>
      </c>
      <c r="E1155" s="1860">
        <v>4403.5329899999997</v>
      </c>
      <c r="F1155">
        <v>30.41985</v>
      </c>
      <c r="G1155" s="1861">
        <v>3398.05</v>
      </c>
      <c r="I1155">
        <v>0.75619999999999998</v>
      </c>
      <c r="J1155">
        <v>1.0220199999999999</v>
      </c>
      <c r="K1155">
        <v>1.0851999999999999</v>
      </c>
      <c r="L1155">
        <v>1.2959000000000001</v>
      </c>
      <c r="M1155">
        <v>8.9499999999999996E-3</v>
      </c>
      <c r="N1155">
        <v>1</v>
      </c>
      <c r="P1155">
        <v>1.3224</v>
      </c>
      <c r="Q1155">
        <v>0.97845000000000004</v>
      </c>
      <c r="R1155">
        <v>0.92147999999999997</v>
      </c>
      <c r="S1155">
        <v>0.77166000000000001</v>
      </c>
      <c r="T1155">
        <v>111.705</v>
      </c>
      <c r="U1155">
        <v>1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</row>
    <row r="1156" spans="1:35" s="1857" customFormat="1" hidden="1" outlineLevel="1">
      <c r="A1156" s="8">
        <v>43884</v>
      </c>
      <c r="B1156" s="1860">
        <v>2569.6082799999999</v>
      </c>
      <c r="C1156" s="1860">
        <v>3472.8907899999999</v>
      </c>
      <c r="D1156" s="1860">
        <v>3687.5638600000002</v>
      </c>
      <c r="E1156" s="1860">
        <v>4403.5329899999997</v>
      </c>
      <c r="F1156">
        <v>30.41985</v>
      </c>
      <c r="G1156" s="1861">
        <v>3398.05</v>
      </c>
      <c r="I1156">
        <v>0.75619999999999998</v>
      </c>
      <c r="J1156">
        <v>1.0220199999999999</v>
      </c>
      <c r="K1156">
        <v>1.0851999999999999</v>
      </c>
      <c r="L1156">
        <v>1.2959000000000001</v>
      </c>
      <c r="M1156">
        <v>8.9499999999999996E-3</v>
      </c>
      <c r="N1156">
        <v>1</v>
      </c>
      <c r="P1156">
        <v>1.3224</v>
      </c>
      <c r="Q1156">
        <v>0.97845000000000004</v>
      </c>
      <c r="R1156">
        <v>0.92147999999999997</v>
      </c>
      <c r="S1156">
        <v>0.77166000000000001</v>
      </c>
      <c r="T1156">
        <v>111.705</v>
      </c>
      <c r="U1156">
        <v>1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</row>
    <row r="1157" spans="1:35" hidden="1" outlineLevel="1">
      <c r="A1157" s="8">
        <v>43885</v>
      </c>
      <c r="B1157" s="1860">
        <v>2560.9903100000001</v>
      </c>
      <c r="C1157" s="1860">
        <v>3475.1994199999999</v>
      </c>
      <c r="D1157" s="1860">
        <v>3689.0929799999999</v>
      </c>
      <c r="E1157" s="1860">
        <v>4391.9796200000001</v>
      </c>
      <c r="F1157">
        <v>30.705729999999999</v>
      </c>
      <c r="G1157" s="1861">
        <v>3398.05</v>
      </c>
      <c r="I1157">
        <v>0.75366</v>
      </c>
      <c r="J1157">
        <v>1.0226999999999999</v>
      </c>
      <c r="K1157">
        <v>1.08565</v>
      </c>
      <c r="L1157">
        <v>1.2925</v>
      </c>
      <c r="M1157">
        <v>9.0299999999999998E-3</v>
      </c>
      <c r="N1157">
        <v>1</v>
      </c>
      <c r="P1157">
        <v>1.3268500000000001</v>
      </c>
      <c r="Q1157">
        <v>0.9778</v>
      </c>
      <c r="R1157">
        <v>0.92110000000000003</v>
      </c>
      <c r="S1157">
        <v>0.77368999999999999</v>
      </c>
      <c r="T1157">
        <v>110.66500000000001</v>
      </c>
      <c r="U1157">
        <v>1</v>
      </c>
    </row>
    <row r="1158" spans="1:35" hidden="1" outlineLevel="1">
      <c r="A1158" s="8">
        <v>43886</v>
      </c>
      <c r="B1158" s="1860">
        <v>2582.96639</v>
      </c>
      <c r="C1158" s="1860">
        <v>3513.8234600000001</v>
      </c>
      <c r="D1158" s="1860">
        <v>3728.2618200000002</v>
      </c>
      <c r="E1158" s="1860">
        <v>4466.5705600000001</v>
      </c>
      <c r="F1158">
        <v>31.15812</v>
      </c>
      <c r="G1158" s="1861">
        <v>3431.6</v>
      </c>
      <c r="I1158">
        <v>0.75270000000000004</v>
      </c>
      <c r="J1158">
        <v>1.02396</v>
      </c>
      <c r="K1158">
        <v>1.0864499999999999</v>
      </c>
      <c r="L1158">
        <v>1.3016000000000001</v>
      </c>
      <c r="M1158">
        <v>9.0699999999999999E-3</v>
      </c>
      <c r="N1158">
        <v>1</v>
      </c>
      <c r="P1158">
        <v>1.3285499999999999</v>
      </c>
      <c r="Q1158">
        <v>0.97660000000000002</v>
      </c>
      <c r="R1158">
        <v>0.92042000000000002</v>
      </c>
      <c r="S1158">
        <v>0.76827999999999996</v>
      </c>
      <c r="T1158">
        <v>110.13500000000001</v>
      </c>
      <c r="U1158">
        <v>1</v>
      </c>
    </row>
    <row r="1159" spans="1:35" hidden="1" outlineLevel="1">
      <c r="A1159" s="8">
        <v>43887</v>
      </c>
      <c r="B1159" s="1860">
        <v>2574.8693800000001</v>
      </c>
      <c r="C1159" s="1860">
        <v>3503.8821499999999</v>
      </c>
      <c r="D1159" s="1860">
        <v>3721.6727900000001</v>
      </c>
      <c r="E1159" s="1860">
        <v>4424.18541</v>
      </c>
      <c r="F1159">
        <v>30.97644</v>
      </c>
      <c r="G1159" s="1861">
        <v>3425.22</v>
      </c>
      <c r="I1159">
        <v>0.75173000000000001</v>
      </c>
      <c r="J1159">
        <v>1.0229600000000001</v>
      </c>
      <c r="K1159">
        <v>1.0865499999999999</v>
      </c>
      <c r="L1159">
        <v>1.29165</v>
      </c>
      <c r="M1159">
        <v>9.0399999999999994E-3</v>
      </c>
      <c r="N1159">
        <v>1</v>
      </c>
      <c r="P1159">
        <v>1.3302499999999999</v>
      </c>
      <c r="Q1159">
        <v>0.97755000000000003</v>
      </c>
      <c r="R1159">
        <v>0.92034000000000005</v>
      </c>
      <c r="S1159">
        <v>0.7742</v>
      </c>
      <c r="T1159">
        <v>110.575</v>
      </c>
      <c r="U1159">
        <v>1</v>
      </c>
    </row>
    <row r="1160" spans="1:35" hidden="1" outlineLevel="1">
      <c r="A1160" s="8">
        <v>43888</v>
      </c>
      <c r="B1160" s="1860">
        <v>2576.9325699999999</v>
      </c>
      <c r="C1160" s="1860">
        <v>3548.6957400000001</v>
      </c>
      <c r="D1160" s="1860">
        <v>3781.2493599999998</v>
      </c>
      <c r="E1160" s="1860">
        <v>4430.9042099999997</v>
      </c>
      <c r="F1160">
        <v>31.292660000000001</v>
      </c>
      <c r="G1160" s="1861">
        <v>3441.88</v>
      </c>
      <c r="I1160">
        <v>0.74868999999999997</v>
      </c>
      <c r="J1160">
        <v>1.0310299999999999</v>
      </c>
      <c r="K1160">
        <v>1.0986</v>
      </c>
      <c r="L1160">
        <v>1.28735</v>
      </c>
      <c r="M1160">
        <v>9.0900000000000009E-3</v>
      </c>
      <c r="N1160">
        <v>1</v>
      </c>
      <c r="P1160">
        <v>1.33565</v>
      </c>
      <c r="Q1160">
        <v>0.96989999999999998</v>
      </c>
      <c r="R1160">
        <v>0.91024000000000005</v>
      </c>
      <c r="S1160">
        <v>0.77678000000000003</v>
      </c>
      <c r="T1160">
        <v>109.99</v>
      </c>
      <c r="U1160">
        <v>1</v>
      </c>
    </row>
    <row r="1161" spans="1:35" hidden="1" outlineLevel="1">
      <c r="A1161" s="8">
        <v>43889</v>
      </c>
      <c r="B1161" s="1860">
        <v>2612.66435</v>
      </c>
      <c r="C1161" s="1860">
        <v>3623.2346699999998</v>
      </c>
      <c r="D1161" s="1860">
        <v>3852.3849700000001</v>
      </c>
      <c r="E1161" s="1860">
        <v>4479.6315999999997</v>
      </c>
      <c r="F1161">
        <v>32.51388</v>
      </c>
      <c r="G1161" s="1861">
        <v>3507.11</v>
      </c>
      <c r="I1161">
        <v>0.74495999999999996</v>
      </c>
      <c r="J1161">
        <v>1.03311</v>
      </c>
      <c r="K1161">
        <v>1.0984499999999999</v>
      </c>
      <c r="L1161">
        <v>1.2773000000000001</v>
      </c>
      <c r="M1161">
        <v>9.2700000000000005E-3</v>
      </c>
      <c r="N1161">
        <v>1</v>
      </c>
      <c r="P1161">
        <v>1.3423499999999999</v>
      </c>
      <c r="Q1161">
        <v>0.96794999999999998</v>
      </c>
      <c r="R1161">
        <v>0.91037000000000001</v>
      </c>
      <c r="S1161">
        <v>0.78290000000000004</v>
      </c>
      <c r="T1161">
        <v>107.86499999999999</v>
      </c>
      <c r="U1161">
        <v>1</v>
      </c>
    </row>
    <row r="1162" spans="1:35" ht="15.75" hidden="1" outlineLevel="1" thickBot="1">
      <c r="A1162" s="1868">
        <v>43890</v>
      </c>
      <c r="B1162" s="1869">
        <v>2637.0618599999998</v>
      </c>
      <c r="C1162" s="1869">
        <v>3657.0690599999998</v>
      </c>
      <c r="D1162" s="1869">
        <v>3888.3592100000001</v>
      </c>
      <c r="E1162" s="1869">
        <v>4521.46317</v>
      </c>
      <c r="F1162" s="1870">
        <v>32.817500000000003</v>
      </c>
      <c r="G1162" s="1871">
        <v>3539.86</v>
      </c>
      <c r="H1162" s="1872"/>
      <c r="I1162" s="1870">
        <v>0.74495999999999996</v>
      </c>
      <c r="J1162" s="1870">
        <v>1.03311</v>
      </c>
      <c r="K1162" s="1870">
        <v>1.0984499999999999</v>
      </c>
      <c r="L1162" s="1870">
        <v>1.2773000000000001</v>
      </c>
      <c r="M1162" s="1870">
        <v>9.2700000000000005E-3</v>
      </c>
      <c r="N1162" s="1870">
        <v>1</v>
      </c>
      <c r="O1162" s="1872"/>
      <c r="P1162" s="1870">
        <v>1.3423499999999999</v>
      </c>
      <c r="Q1162" s="1870">
        <v>0.96794999999999998</v>
      </c>
      <c r="R1162" s="1870">
        <v>0.91037000000000001</v>
      </c>
      <c r="S1162" s="1870">
        <v>0.78290000000000004</v>
      </c>
      <c r="T1162" s="1870">
        <v>107.86499999999999</v>
      </c>
      <c r="U1162" s="1870">
        <v>1</v>
      </c>
      <c r="V1162" s="1872"/>
    </row>
    <row r="1163" spans="1:35" hidden="1" outlineLevel="1">
      <c r="A1163" s="8">
        <v>43891</v>
      </c>
      <c r="B1163" s="1860">
        <v>2637.0618599999998</v>
      </c>
      <c r="C1163" s="1860">
        <v>3657.0690599999998</v>
      </c>
      <c r="D1163" s="1860">
        <v>3888.3592100000001</v>
      </c>
      <c r="E1163" s="1860">
        <v>4521.46317</v>
      </c>
      <c r="F1163">
        <v>32.817500000000003</v>
      </c>
      <c r="G1163" s="1861">
        <v>3539.86</v>
      </c>
      <c r="I1163">
        <v>0.74495999999999996</v>
      </c>
      <c r="J1163">
        <v>1.03311</v>
      </c>
      <c r="K1163">
        <v>1.0984499999999999</v>
      </c>
      <c r="L1163">
        <v>1.2773000000000001</v>
      </c>
      <c r="M1163">
        <v>9.2700000000000005E-3</v>
      </c>
      <c r="N1163">
        <v>1</v>
      </c>
      <c r="P1163">
        <v>1.3423499999999999</v>
      </c>
      <c r="Q1163">
        <v>0.96794999999999998</v>
      </c>
      <c r="R1163">
        <v>0.91037000000000001</v>
      </c>
      <c r="S1163">
        <v>0.78290000000000004</v>
      </c>
      <c r="T1163">
        <v>107.86499999999999</v>
      </c>
      <c r="U1163">
        <v>1</v>
      </c>
    </row>
    <row r="1164" spans="1:35" hidden="1" outlineLevel="1">
      <c r="A1164" s="8">
        <v>43892</v>
      </c>
      <c r="B1164" s="1860">
        <v>2644.2518799999998</v>
      </c>
      <c r="C1164" s="1860">
        <v>3688.31466</v>
      </c>
      <c r="D1164" s="1860">
        <v>3940.3951499999998</v>
      </c>
      <c r="E1164" s="1860">
        <v>4511.9055500000004</v>
      </c>
      <c r="F1164">
        <v>32.799250000000001</v>
      </c>
      <c r="G1164" s="1861">
        <v>3539.86</v>
      </c>
      <c r="I1164">
        <v>0.74699000000000004</v>
      </c>
      <c r="J1164">
        <v>1.04193</v>
      </c>
      <c r="K1164">
        <v>1.1131500000000001</v>
      </c>
      <c r="L1164">
        <v>1.2746</v>
      </c>
      <c r="M1164">
        <v>9.2599999999999991E-3</v>
      </c>
      <c r="N1164">
        <v>1</v>
      </c>
      <c r="P1164">
        <v>1.3387</v>
      </c>
      <c r="Q1164">
        <v>0.95974999999999999</v>
      </c>
      <c r="R1164">
        <v>0.89834999999999998</v>
      </c>
      <c r="S1164">
        <v>0.78454999999999997</v>
      </c>
      <c r="T1164">
        <v>107.925</v>
      </c>
      <c r="U1164">
        <v>1</v>
      </c>
    </row>
    <row r="1165" spans="1:35" hidden="1" outlineLevel="1">
      <c r="A1165" s="8">
        <v>43893</v>
      </c>
      <c r="B1165" s="1860">
        <v>2633.3045900000002</v>
      </c>
      <c r="C1165" s="1860">
        <v>3675.5481100000002</v>
      </c>
      <c r="D1165" s="1860">
        <v>3925.90362</v>
      </c>
      <c r="E1165" s="1860">
        <v>4501.54828</v>
      </c>
      <c r="F1165">
        <v>32.654640000000001</v>
      </c>
      <c r="G1165" s="1861">
        <v>3512.17</v>
      </c>
      <c r="I1165">
        <v>0.74975999999999998</v>
      </c>
      <c r="J1165">
        <v>1.0465100000000001</v>
      </c>
      <c r="K1165">
        <v>1.1177999999999999</v>
      </c>
      <c r="L1165">
        <v>1.2817000000000001</v>
      </c>
      <c r="M1165">
        <v>9.2899999999999996E-3</v>
      </c>
      <c r="N1165">
        <v>1</v>
      </c>
      <c r="P1165">
        <v>1.33375</v>
      </c>
      <c r="Q1165">
        <v>0.95555000000000001</v>
      </c>
      <c r="R1165">
        <v>0.89461000000000002</v>
      </c>
      <c r="S1165">
        <v>0.78020999999999996</v>
      </c>
      <c r="T1165">
        <v>107.55500000000001</v>
      </c>
      <c r="U1165">
        <v>1</v>
      </c>
    </row>
    <row r="1166" spans="1:35" hidden="1" outlineLevel="1">
      <c r="A1166" s="8">
        <v>43894</v>
      </c>
      <c r="B1166" s="1860">
        <v>2579.7386999999999</v>
      </c>
      <c r="C1166" s="1860">
        <v>3616.30474</v>
      </c>
      <c r="D1166" s="1860">
        <v>3849.8393900000001</v>
      </c>
      <c r="E1166" s="1860">
        <v>4429.3368</v>
      </c>
      <c r="F1166">
        <v>32.207659999999997</v>
      </c>
      <c r="G1166" s="1861">
        <v>3455.56</v>
      </c>
      <c r="I1166">
        <v>0.74653999999999998</v>
      </c>
      <c r="J1166">
        <v>1.0465100000000001</v>
      </c>
      <c r="K1166">
        <v>1.1141000000000001</v>
      </c>
      <c r="L1166">
        <v>1.2818000000000001</v>
      </c>
      <c r="M1166">
        <v>9.3200000000000002E-3</v>
      </c>
      <c r="N1166">
        <v>1</v>
      </c>
      <c r="P1166">
        <v>1.3394999999999999</v>
      </c>
      <c r="Q1166">
        <v>0.95555000000000001</v>
      </c>
      <c r="R1166">
        <v>0.89758000000000004</v>
      </c>
      <c r="S1166">
        <v>0.78015000000000001</v>
      </c>
      <c r="T1166">
        <v>107.29</v>
      </c>
      <c r="U1166">
        <v>1</v>
      </c>
    </row>
    <row r="1167" spans="1:35" hidden="1" outlineLevel="1">
      <c r="A1167" s="8">
        <v>43895</v>
      </c>
      <c r="B1167" s="1860">
        <v>2580.9328300000002</v>
      </c>
      <c r="C1167" s="1860">
        <v>3638.36726</v>
      </c>
      <c r="D1167" s="1860">
        <v>3869.6597000000002</v>
      </c>
      <c r="E1167" s="1860">
        <v>4469.0090899999996</v>
      </c>
      <c r="F1167">
        <v>32.421950000000002</v>
      </c>
      <c r="G1167" s="1861">
        <v>3458.45</v>
      </c>
      <c r="I1167">
        <v>0.74626000000000003</v>
      </c>
      <c r="J1167">
        <v>1.05202</v>
      </c>
      <c r="K1167">
        <v>1.1189</v>
      </c>
      <c r="L1167">
        <v>1.2922</v>
      </c>
      <c r="M1167">
        <v>9.3699999999999999E-3</v>
      </c>
      <c r="N1167">
        <v>1</v>
      </c>
      <c r="P1167">
        <v>1.34</v>
      </c>
      <c r="Q1167">
        <v>0.95055000000000001</v>
      </c>
      <c r="R1167">
        <v>0.89373000000000002</v>
      </c>
      <c r="S1167">
        <v>0.77386999999999995</v>
      </c>
      <c r="T1167">
        <v>106.67</v>
      </c>
      <c r="U1167">
        <v>1</v>
      </c>
    </row>
    <row r="1168" spans="1:35" hidden="1" outlineLevel="1">
      <c r="A1168" s="8">
        <v>43896</v>
      </c>
      <c r="B1168" s="1860">
        <v>2623.1828999999998</v>
      </c>
      <c r="C1168" s="1860">
        <v>3756.0354000000002</v>
      </c>
      <c r="D1168" s="1860">
        <v>3984.0218300000001</v>
      </c>
      <c r="E1168" s="1860">
        <v>4590.93307</v>
      </c>
      <c r="F1168">
        <v>33.436889999999998</v>
      </c>
      <c r="G1168" s="1861">
        <v>3522.41</v>
      </c>
      <c r="I1168">
        <v>0.74470999999999998</v>
      </c>
      <c r="J1168">
        <v>1.0663199999999999</v>
      </c>
      <c r="K1168">
        <v>1.1310500000000001</v>
      </c>
      <c r="L1168">
        <v>1.30335</v>
      </c>
      <c r="M1168">
        <v>9.4900000000000002E-3</v>
      </c>
      <c r="N1168">
        <v>1</v>
      </c>
      <c r="P1168">
        <v>1.3428</v>
      </c>
      <c r="Q1168">
        <v>0.93779999999999997</v>
      </c>
      <c r="R1168">
        <v>0.88412999999999997</v>
      </c>
      <c r="S1168">
        <v>0.76724999999999999</v>
      </c>
      <c r="T1168">
        <v>105.345</v>
      </c>
      <c r="U1168">
        <v>1</v>
      </c>
    </row>
    <row r="1169" spans="1:35" hidden="1" outlineLevel="1">
      <c r="A1169" s="8">
        <v>43897</v>
      </c>
      <c r="B1169" s="1860">
        <v>2669.4816799999999</v>
      </c>
      <c r="C1169" s="1860">
        <v>3822.3288499999999</v>
      </c>
      <c r="D1169" s="1860">
        <v>4054.3391999999999</v>
      </c>
      <c r="E1169" s="1860">
        <v>4671.96234</v>
      </c>
      <c r="F1169">
        <v>34.027050000000003</v>
      </c>
      <c r="G1169" s="1861">
        <v>3584.58</v>
      </c>
      <c r="I1169">
        <v>0.74470999999999998</v>
      </c>
      <c r="J1169">
        <v>1.0663199999999999</v>
      </c>
      <c r="K1169">
        <v>1.1310500000000001</v>
      </c>
      <c r="L1169">
        <v>1.30335</v>
      </c>
      <c r="M1169">
        <v>9.4900000000000002E-3</v>
      </c>
      <c r="N1169">
        <v>1</v>
      </c>
      <c r="P1169">
        <v>1.3428</v>
      </c>
      <c r="Q1169">
        <v>0.93779999999999997</v>
      </c>
      <c r="R1169">
        <v>0.88412999999999997</v>
      </c>
      <c r="S1169">
        <v>0.76724999999999999</v>
      </c>
      <c r="T1169">
        <v>105.345</v>
      </c>
      <c r="U1169">
        <v>1</v>
      </c>
    </row>
    <row r="1170" spans="1:35" hidden="1" outlineLevel="1">
      <c r="A1170" s="8">
        <v>43898</v>
      </c>
      <c r="B1170" s="1860">
        <v>2669.4816799999999</v>
      </c>
      <c r="C1170" s="1860">
        <v>3822.3288499999999</v>
      </c>
      <c r="D1170" s="1860">
        <v>4054.3391999999999</v>
      </c>
      <c r="E1170" s="1860">
        <v>4671.96234</v>
      </c>
      <c r="F1170">
        <v>34.027050000000003</v>
      </c>
      <c r="G1170" s="1861">
        <v>3584.58</v>
      </c>
      <c r="I1170">
        <v>0.74470999999999998</v>
      </c>
      <c r="J1170">
        <v>1.0663199999999999</v>
      </c>
      <c r="K1170">
        <v>1.1310500000000001</v>
      </c>
      <c r="L1170">
        <v>1.30335</v>
      </c>
      <c r="M1170">
        <v>9.4900000000000002E-3</v>
      </c>
      <c r="N1170">
        <v>1</v>
      </c>
      <c r="P1170">
        <v>1.3428</v>
      </c>
      <c r="Q1170">
        <v>0.93779999999999997</v>
      </c>
      <c r="R1170">
        <v>0.88412999999999997</v>
      </c>
      <c r="S1170">
        <v>0.76724999999999999</v>
      </c>
      <c r="T1170">
        <v>105.345</v>
      </c>
      <c r="U1170">
        <v>1</v>
      </c>
    </row>
    <row r="1171" spans="1:35" hidden="1" outlineLevel="1">
      <c r="A1171" s="8">
        <v>43899</v>
      </c>
      <c r="B1171" s="1860">
        <v>2650.1404699999998</v>
      </c>
      <c r="C1171" s="1860">
        <v>3855.6308399999998</v>
      </c>
      <c r="D1171" s="1860">
        <v>4093.05267</v>
      </c>
      <c r="E1171" s="1860">
        <v>4696.8751700000003</v>
      </c>
      <c r="F1171">
        <v>34.956159999999997</v>
      </c>
      <c r="G1171" s="1861">
        <v>3584.58</v>
      </c>
      <c r="I1171">
        <v>0.73931000000000002</v>
      </c>
      <c r="J1171">
        <v>1.07561</v>
      </c>
      <c r="K1171">
        <v>1.14185</v>
      </c>
      <c r="L1171">
        <v>1.3103</v>
      </c>
      <c r="M1171">
        <v>9.75E-3</v>
      </c>
      <c r="N1171">
        <v>1</v>
      </c>
      <c r="P1171">
        <v>1.3526</v>
      </c>
      <c r="Q1171">
        <v>0.92969999999999997</v>
      </c>
      <c r="R1171">
        <v>0.87577000000000005</v>
      </c>
      <c r="S1171">
        <v>0.76317999999999997</v>
      </c>
      <c r="T1171">
        <v>102.545</v>
      </c>
      <c r="U1171">
        <v>1</v>
      </c>
    </row>
    <row r="1172" spans="1:35" hidden="1" outlineLevel="1">
      <c r="A1172" s="8">
        <v>43900</v>
      </c>
      <c r="B1172" s="1860">
        <v>2761.8355999999999</v>
      </c>
      <c r="C1172" s="1860">
        <v>4075.4312599999998</v>
      </c>
      <c r="D1172" s="1860">
        <v>4314.9940200000001</v>
      </c>
      <c r="E1172" s="1860">
        <v>4921.2878600000004</v>
      </c>
      <c r="F1172">
        <v>36.661200000000001</v>
      </c>
      <c r="G1172" s="1861">
        <v>3803.6</v>
      </c>
      <c r="I1172">
        <v>0.72611000000000003</v>
      </c>
      <c r="J1172">
        <v>1.0714600000000001</v>
      </c>
      <c r="K1172">
        <v>1.13445</v>
      </c>
      <c r="L1172">
        <v>1.2938499999999999</v>
      </c>
      <c r="M1172">
        <v>9.6299999999999997E-3</v>
      </c>
      <c r="N1172">
        <v>1</v>
      </c>
      <c r="P1172">
        <v>1.3772</v>
      </c>
      <c r="Q1172">
        <v>0.93330000000000002</v>
      </c>
      <c r="R1172">
        <v>0.88148000000000004</v>
      </c>
      <c r="S1172">
        <v>0.77288000000000001</v>
      </c>
      <c r="T1172">
        <v>103.75</v>
      </c>
      <c r="U1172">
        <v>1</v>
      </c>
    </row>
    <row r="1173" spans="1:35" s="1857" customFormat="1" hidden="1" outlineLevel="1">
      <c r="A1173" s="8">
        <v>43901</v>
      </c>
      <c r="B1173" s="1860">
        <v>2749.6745000000001</v>
      </c>
      <c r="C1173" s="1860">
        <v>4028.76325</v>
      </c>
      <c r="D1173" s="1860">
        <v>4263.33482</v>
      </c>
      <c r="E1173" s="1860">
        <v>4871.03251</v>
      </c>
      <c r="F1173">
        <v>36.056939999999997</v>
      </c>
      <c r="G1173" s="1861">
        <v>3780.39</v>
      </c>
      <c r="I1173">
        <v>0.72735000000000005</v>
      </c>
      <c r="J1173">
        <v>1.0657000000000001</v>
      </c>
      <c r="K1173">
        <v>1.12775</v>
      </c>
      <c r="L1173">
        <v>1.2885</v>
      </c>
      <c r="M1173">
        <v>9.5300000000000003E-3</v>
      </c>
      <c r="N1173">
        <v>1</v>
      </c>
      <c r="P1173">
        <v>1.3748499999999999</v>
      </c>
      <c r="Q1173">
        <v>0.93835000000000002</v>
      </c>
      <c r="R1173">
        <v>0.88671999999999995</v>
      </c>
      <c r="S1173">
        <v>0.77608999999999995</v>
      </c>
      <c r="T1173">
        <v>104.845</v>
      </c>
      <c r="U1173">
        <v>1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</row>
    <row r="1174" spans="1:35" s="1857" customFormat="1" hidden="1" outlineLevel="1">
      <c r="A1174" s="8">
        <v>43902</v>
      </c>
      <c r="B1174" s="1860">
        <v>2764.7694900000001</v>
      </c>
      <c r="C1174" s="1860">
        <v>4020.91633</v>
      </c>
      <c r="D1174" s="1860">
        <v>4249.9214700000002</v>
      </c>
      <c r="E1174" s="1860">
        <v>4809.8533699999998</v>
      </c>
      <c r="F1174">
        <v>36.290210000000002</v>
      </c>
      <c r="G1174" s="1861">
        <v>3835.15</v>
      </c>
      <c r="I1174">
        <v>0.72089999999999999</v>
      </c>
      <c r="J1174">
        <v>1.04843</v>
      </c>
      <c r="K1174">
        <v>1.10815</v>
      </c>
      <c r="L1174">
        <v>1.2541500000000001</v>
      </c>
      <c r="M1174">
        <v>9.4599999999999997E-3</v>
      </c>
      <c r="N1174">
        <v>1</v>
      </c>
      <c r="P1174">
        <v>1.3871500000000001</v>
      </c>
      <c r="Q1174">
        <v>0.95379999999999998</v>
      </c>
      <c r="R1174">
        <v>0.90239999999999998</v>
      </c>
      <c r="S1174">
        <v>0.79735</v>
      </c>
      <c r="T1174">
        <v>105.68</v>
      </c>
      <c r="U1174">
        <v>1</v>
      </c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</row>
    <row r="1175" spans="1:35" s="1857" customFormat="1" hidden="1" outlineLevel="1">
      <c r="A1175" s="8">
        <v>43903</v>
      </c>
      <c r="B1175" s="1860">
        <v>2884.3723100000002</v>
      </c>
      <c r="C1175" s="1860">
        <v>4228.0953600000003</v>
      </c>
      <c r="D1175" s="1860">
        <v>4465.96515</v>
      </c>
      <c r="E1175" s="1860">
        <v>5003.3818600000004</v>
      </c>
      <c r="F1175">
        <v>37.650799999999997</v>
      </c>
      <c r="G1175" s="1861">
        <v>4034.66</v>
      </c>
      <c r="I1175">
        <v>0.71489000000000003</v>
      </c>
      <c r="J1175">
        <v>1.0479400000000001</v>
      </c>
      <c r="K1175">
        <v>1.1069</v>
      </c>
      <c r="L1175">
        <v>1.2401</v>
      </c>
      <c r="M1175">
        <v>9.3299999999999998E-3</v>
      </c>
      <c r="N1175">
        <v>1</v>
      </c>
      <c r="P1175">
        <v>1.3988</v>
      </c>
      <c r="Q1175">
        <v>0.95425000000000004</v>
      </c>
      <c r="R1175">
        <v>0.90342</v>
      </c>
      <c r="S1175">
        <v>0.80637999999999999</v>
      </c>
      <c r="T1175">
        <v>107.16</v>
      </c>
      <c r="U1175">
        <v>1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</row>
    <row r="1176" spans="1:35" s="1857" customFormat="1" hidden="1" outlineLevel="1">
      <c r="A1176" s="8">
        <v>43904</v>
      </c>
      <c r="B1176" s="1860">
        <v>2818.0726300000001</v>
      </c>
      <c r="C1176" s="1860">
        <v>4130.9090900000001</v>
      </c>
      <c r="D1176" s="1860">
        <v>4363.31124</v>
      </c>
      <c r="E1176" s="1860">
        <v>4888.3749900000003</v>
      </c>
      <c r="F1176">
        <v>36.785359999999997</v>
      </c>
      <c r="G1176" s="1861">
        <v>3941.92</v>
      </c>
      <c r="I1176">
        <v>0.71489000000000003</v>
      </c>
      <c r="J1176">
        <v>1.0479400000000001</v>
      </c>
      <c r="K1176">
        <v>1.1069</v>
      </c>
      <c r="L1176">
        <v>1.2401</v>
      </c>
      <c r="M1176">
        <v>9.3299999999999998E-3</v>
      </c>
      <c r="N1176">
        <v>1</v>
      </c>
      <c r="P1176">
        <v>1.3988</v>
      </c>
      <c r="Q1176">
        <v>0.95425000000000004</v>
      </c>
      <c r="R1176">
        <v>0.90342</v>
      </c>
      <c r="S1176">
        <v>0.80637999999999999</v>
      </c>
      <c r="T1176">
        <v>107.16</v>
      </c>
      <c r="U1176">
        <v>1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</row>
    <row r="1177" spans="1:35" s="1857" customFormat="1" hidden="1" outlineLevel="1">
      <c r="A1177" s="8">
        <v>43905</v>
      </c>
      <c r="B1177" s="1860">
        <v>2818.0726300000001</v>
      </c>
      <c r="C1177" s="1860">
        <v>4130.9090900000001</v>
      </c>
      <c r="D1177" s="1860">
        <v>4363.31124</v>
      </c>
      <c r="E1177" s="1860">
        <v>4888.3749900000003</v>
      </c>
      <c r="F1177">
        <v>36.785359999999997</v>
      </c>
      <c r="G1177" s="1861">
        <v>3941.92</v>
      </c>
      <c r="I1177">
        <v>0.71489000000000003</v>
      </c>
      <c r="J1177">
        <v>1.0479400000000001</v>
      </c>
      <c r="K1177">
        <v>1.1069</v>
      </c>
      <c r="L1177">
        <v>1.2401</v>
      </c>
      <c r="M1177">
        <v>9.3299999999999998E-3</v>
      </c>
      <c r="N1177">
        <v>1</v>
      </c>
      <c r="P1177">
        <v>1.3988</v>
      </c>
      <c r="Q1177">
        <v>0.95425000000000004</v>
      </c>
      <c r="R1177">
        <v>0.90342</v>
      </c>
      <c r="S1177">
        <v>0.80637999999999999</v>
      </c>
      <c r="T1177">
        <v>107.16</v>
      </c>
      <c r="U1177">
        <v>1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</row>
    <row r="1178" spans="1:35" s="1857" customFormat="1" hidden="1" outlineLevel="1">
      <c r="A1178" s="8">
        <v>43906</v>
      </c>
      <c r="B1178" s="1860">
        <v>2820.7950099999998</v>
      </c>
      <c r="C1178" s="1860">
        <v>4164.0733099999998</v>
      </c>
      <c r="D1178" s="1860">
        <v>4390.70759</v>
      </c>
      <c r="E1178" s="1860">
        <v>4839.4951799999999</v>
      </c>
      <c r="F1178">
        <v>37.309350000000002</v>
      </c>
      <c r="G1178" s="1861">
        <v>3941.92</v>
      </c>
      <c r="I1178">
        <v>0.71557999999999999</v>
      </c>
      <c r="J1178">
        <v>1.0563499999999999</v>
      </c>
      <c r="K1178">
        <v>1.11385</v>
      </c>
      <c r="L1178">
        <v>1.2277</v>
      </c>
      <c r="M1178">
        <v>9.4599999999999997E-3</v>
      </c>
      <c r="N1178">
        <v>1</v>
      </c>
      <c r="P1178">
        <v>1.3974500000000001</v>
      </c>
      <c r="Q1178">
        <v>0.94664999999999999</v>
      </c>
      <c r="R1178">
        <v>0.89778000000000002</v>
      </c>
      <c r="S1178">
        <v>0.81452999999999998</v>
      </c>
      <c r="T1178">
        <v>105.655</v>
      </c>
      <c r="U1178">
        <v>1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</row>
    <row r="1179" spans="1:35" s="1857" customFormat="1" hidden="1" outlineLevel="1">
      <c r="A1179" s="8">
        <v>43907</v>
      </c>
      <c r="B1179" s="1860">
        <v>2889.71666</v>
      </c>
      <c r="C1179" s="1860">
        <v>4250.1736300000002</v>
      </c>
      <c r="D1179" s="1860">
        <v>4498.44319</v>
      </c>
      <c r="E1179" s="1860">
        <v>4924.4259199999997</v>
      </c>
      <c r="F1179">
        <v>38.179720000000003</v>
      </c>
      <c r="G1179" s="1861">
        <v>4099.93</v>
      </c>
      <c r="I1179">
        <v>0.70482</v>
      </c>
      <c r="J1179">
        <v>1.03664</v>
      </c>
      <c r="K1179">
        <v>1.0972</v>
      </c>
      <c r="L1179">
        <v>1.2011000000000001</v>
      </c>
      <c r="M1179">
        <v>9.3100000000000006E-3</v>
      </c>
      <c r="N1179">
        <v>1</v>
      </c>
      <c r="P1179">
        <v>1.4188000000000001</v>
      </c>
      <c r="Q1179">
        <v>0.96465000000000001</v>
      </c>
      <c r="R1179">
        <v>0.91141000000000005</v>
      </c>
      <c r="S1179">
        <v>0.83257000000000003</v>
      </c>
      <c r="T1179">
        <v>107.38500000000001</v>
      </c>
      <c r="U1179">
        <v>1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</row>
    <row r="1180" spans="1:35" s="1857" customFormat="1" hidden="1" outlineLevel="1">
      <c r="A1180" s="8">
        <v>43908</v>
      </c>
      <c r="B1180" s="1860">
        <v>2783.29835</v>
      </c>
      <c r="C1180" s="1860">
        <v>4156.3559699999996</v>
      </c>
      <c r="D1180" s="1860">
        <v>4381.6632399999999</v>
      </c>
      <c r="E1180" s="1860">
        <v>4757.8063899999997</v>
      </c>
      <c r="F1180">
        <v>37.282110000000003</v>
      </c>
      <c r="G1180" s="1861">
        <v>4044.55</v>
      </c>
      <c r="I1180">
        <v>0.68815999999999999</v>
      </c>
      <c r="J1180">
        <v>1.0276400000000001</v>
      </c>
      <c r="K1180">
        <v>1.08335</v>
      </c>
      <c r="L1180">
        <v>1.17635</v>
      </c>
      <c r="M1180">
        <v>9.2099999999999994E-3</v>
      </c>
      <c r="N1180">
        <v>1</v>
      </c>
      <c r="P1180">
        <v>1.4531499999999999</v>
      </c>
      <c r="Q1180">
        <v>0.97309999999999997</v>
      </c>
      <c r="R1180">
        <v>0.92305999999999999</v>
      </c>
      <c r="S1180">
        <v>0.85007999999999995</v>
      </c>
      <c r="T1180">
        <v>108.485</v>
      </c>
      <c r="U1180">
        <v>1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</row>
    <row r="1181" spans="1:35" s="1857" customFormat="1" hidden="1" outlineLevel="1">
      <c r="A1181" s="8">
        <v>43909</v>
      </c>
      <c r="B1181" s="1860">
        <v>2854.2450199999998</v>
      </c>
      <c r="C1181" s="1860">
        <v>4193.8033299999997</v>
      </c>
      <c r="D1181" s="1860">
        <v>4417.98585</v>
      </c>
      <c r="E1181" s="1860">
        <v>4813.8974900000003</v>
      </c>
      <c r="F1181">
        <v>37.510260000000002</v>
      </c>
      <c r="G1181" s="1861">
        <v>4128.38</v>
      </c>
      <c r="I1181">
        <v>0.69137000000000004</v>
      </c>
      <c r="J1181">
        <v>1.0158400000000001</v>
      </c>
      <c r="K1181">
        <v>1.0701499999999999</v>
      </c>
      <c r="L1181">
        <v>1.16605</v>
      </c>
      <c r="M1181">
        <v>9.0799999999999995E-3</v>
      </c>
      <c r="N1181">
        <v>1</v>
      </c>
      <c r="P1181">
        <v>1.4463999999999999</v>
      </c>
      <c r="Q1181">
        <v>0.98440000000000005</v>
      </c>
      <c r="R1181">
        <v>0.93444000000000005</v>
      </c>
      <c r="S1181">
        <v>0.85758999999999996</v>
      </c>
      <c r="T1181">
        <v>110.06</v>
      </c>
      <c r="U1181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</row>
    <row r="1182" spans="1:35" s="1857" customFormat="1" hidden="1" outlineLevel="1">
      <c r="A1182" s="8">
        <v>43910</v>
      </c>
      <c r="B1182" s="1860">
        <v>2893.9041299999999</v>
      </c>
      <c r="C1182" s="1860">
        <v>4212.2496499999997</v>
      </c>
      <c r="D1182" s="1860">
        <v>4440.1143899999997</v>
      </c>
      <c r="E1182" s="1860">
        <v>4878.1441999999997</v>
      </c>
      <c r="F1182">
        <v>37.308329999999998</v>
      </c>
      <c r="G1182" s="1882">
        <v>4153.91</v>
      </c>
      <c r="I1182">
        <v>0.69665999999999995</v>
      </c>
      <c r="J1182">
        <v>1.0140400000000001</v>
      </c>
      <c r="K1182">
        <v>1.0689</v>
      </c>
      <c r="L1182">
        <v>1.17435</v>
      </c>
      <c r="M1182">
        <v>8.9800000000000001E-3</v>
      </c>
      <c r="N1182">
        <v>1</v>
      </c>
      <c r="P1182">
        <v>1.4354</v>
      </c>
      <c r="Q1182">
        <v>0.98614999999999997</v>
      </c>
      <c r="R1182">
        <v>0.93554000000000004</v>
      </c>
      <c r="S1182">
        <v>0.85153000000000001</v>
      </c>
      <c r="T1182">
        <v>111.34</v>
      </c>
      <c r="U1182">
        <v>1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</row>
    <row r="1183" spans="1:35" s="1857" customFormat="1" hidden="1" outlineLevel="1">
      <c r="A1183" s="8">
        <v>43911</v>
      </c>
      <c r="B1183" s="1860">
        <v>2842.3853899999999</v>
      </c>
      <c r="C1183" s="1860">
        <v>4137.2610599999998</v>
      </c>
      <c r="D1183" s="1860">
        <v>4361.0692399999998</v>
      </c>
      <c r="E1183" s="1860">
        <v>4791.3010199999999</v>
      </c>
      <c r="F1183">
        <v>36.644150000000003</v>
      </c>
      <c r="G1183" s="1861">
        <v>4079.96</v>
      </c>
      <c r="I1183">
        <v>0.69665999999999995</v>
      </c>
      <c r="J1183">
        <v>1.0140400000000001</v>
      </c>
      <c r="K1183">
        <v>1.0689</v>
      </c>
      <c r="L1183">
        <v>1.17435</v>
      </c>
      <c r="M1183">
        <v>8.9800000000000001E-3</v>
      </c>
      <c r="N1183">
        <v>1</v>
      </c>
      <c r="P1183">
        <v>1.4354</v>
      </c>
      <c r="Q1183">
        <v>0.98614999999999997</v>
      </c>
      <c r="R1183">
        <v>0.93554000000000004</v>
      </c>
      <c r="S1183">
        <v>0.85153000000000001</v>
      </c>
      <c r="T1183">
        <v>111.34</v>
      </c>
      <c r="U1183">
        <v>1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</row>
    <row r="1184" spans="1:35" s="1857" customFormat="1" hidden="1" outlineLevel="1">
      <c r="A1184" s="8">
        <v>43912</v>
      </c>
      <c r="B1184" s="1860">
        <v>2842.3853899999999</v>
      </c>
      <c r="C1184" s="1860">
        <v>4137.2610599999998</v>
      </c>
      <c r="D1184" s="1860">
        <v>4361.0692399999998</v>
      </c>
      <c r="E1184" s="1860">
        <v>4791.3010199999999</v>
      </c>
      <c r="F1184">
        <v>36.644150000000003</v>
      </c>
      <c r="G1184" s="1861">
        <v>4079.96</v>
      </c>
      <c r="I1184">
        <v>0.69665999999999995</v>
      </c>
      <c r="J1184">
        <v>1.0140400000000001</v>
      </c>
      <c r="K1184">
        <v>1.0689</v>
      </c>
      <c r="L1184">
        <v>1.17435</v>
      </c>
      <c r="M1184">
        <v>8.9800000000000001E-3</v>
      </c>
      <c r="N1184">
        <v>1</v>
      </c>
      <c r="P1184">
        <v>1.4354</v>
      </c>
      <c r="Q1184">
        <v>0.98614999999999997</v>
      </c>
      <c r="R1184">
        <v>0.93554000000000004</v>
      </c>
      <c r="S1184">
        <v>0.85153000000000001</v>
      </c>
      <c r="T1184">
        <v>111.34</v>
      </c>
      <c r="U1184">
        <v>1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</row>
    <row r="1185" spans="1:35" s="1857" customFormat="1" hidden="1" outlineLevel="1">
      <c r="A1185" s="8">
        <v>43913</v>
      </c>
      <c r="B1185" s="1860">
        <v>2806.3142600000001</v>
      </c>
      <c r="C1185" s="1860">
        <v>4152.2084199999999</v>
      </c>
      <c r="D1185" s="1860">
        <v>4389.8329599999997</v>
      </c>
      <c r="E1185" s="1860">
        <v>4688.0780299999997</v>
      </c>
      <c r="F1185">
        <v>36.639209999999999</v>
      </c>
      <c r="G1185" s="1861">
        <v>4079.96</v>
      </c>
      <c r="I1185">
        <v>0.68781999999999999</v>
      </c>
      <c r="J1185">
        <v>1.0177</v>
      </c>
      <c r="K1185">
        <v>1.07595</v>
      </c>
      <c r="L1185">
        <v>1.1490499999999999</v>
      </c>
      <c r="M1185">
        <v>8.9800000000000001E-3</v>
      </c>
      <c r="N1185">
        <v>1</v>
      </c>
      <c r="P1185">
        <v>1.4538500000000001</v>
      </c>
      <c r="Q1185">
        <v>0.98260000000000003</v>
      </c>
      <c r="R1185">
        <v>0.92940999999999996</v>
      </c>
      <c r="S1185">
        <v>0.87028000000000005</v>
      </c>
      <c r="T1185">
        <v>111.355</v>
      </c>
      <c r="U1185">
        <v>1</v>
      </c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</row>
    <row r="1186" spans="1:35" s="1857" customFormat="1" hidden="1" outlineLevel="1">
      <c r="A1186" s="8">
        <v>43914</v>
      </c>
      <c r="B1186" s="1860">
        <v>2817.65193</v>
      </c>
      <c r="C1186" s="1860">
        <v>4158.1328899999999</v>
      </c>
      <c r="D1186" s="1860">
        <v>4404.9288100000003</v>
      </c>
      <c r="E1186" s="1860">
        <v>4806.8048699999999</v>
      </c>
      <c r="F1186">
        <v>36.596490000000003</v>
      </c>
      <c r="G1186" s="1861">
        <v>4079.96</v>
      </c>
      <c r="I1186">
        <v>0.69059999999999999</v>
      </c>
      <c r="J1186">
        <v>1.0191600000000001</v>
      </c>
      <c r="K1186">
        <v>1.07965</v>
      </c>
      <c r="L1186">
        <v>1.17815</v>
      </c>
      <c r="M1186">
        <v>8.9599999999999992E-3</v>
      </c>
      <c r="N1186">
        <v>1</v>
      </c>
      <c r="P1186">
        <v>1.448</v>
      </c>
      <c r="Q1186">
        <v>0.98119999999999996</v>
      </c>
      <c r="R1186">
        <v>0.92622000000000004</v>
      </c>
      <c r="S1186">
        <v>0.84877999999999998</v>
      </c>
      <c r="T1186">
        <v>111.485</v>
      </c>
      <c r="U1186">
        <v>1</v>
      </c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</row>
    <row r="1187" spans="1:35" s="1857" customFormat="1" hidden="1" outlineLevel="1">
      <c r="A1187" s="8">
        <v>43915</v>
      </c>
      <c r="B1187" s="1860">
        <v>2863.4508700000001</v>
      </c>
      <c r="C1187" s="1860">
        <v>4195.9521599999998</v>
      </c>
      <c r="D1187" s="1860">
        <v>4446.63292</v>
      </c>
      <c r="E1187" s="1860">
        <v>4827.3624</v>
      </c>
      <c r="F1187">
        <v>36.83672</v>
      </c>
      <c r="G1187" s="1861">
        <v>4104.8999999999996</v>
      </c>
      <c r="I1187">
        <v>0.69755999999999996</v>
      </c>
      <c r="J1187">
        <v>1.0221800000000001</v>
      </c>
      <c r="K1187">
        <v>1.08325</v>
      </c>
      <c r="L1187">
        <v>1.1759999999999999</v>
      </c>
      <c r="M1187">
        <v>8.9700000000000005E-3</v>
      </c>
      <c r="N1187">
        <v>1</v>
      </c>
      <c r="P1187">
        <v>1.4335500000000001</v>
      </c>
      <c r="Q1187">
        <v>0.97829999999999995</v>
      </c>
      <c r="R1187">
        <v>0.92313999999999996</v>
      </c>
      <c r="S1187">
        <v>0.85033999999999998</v>
      </c>
      <c r="T1187">
        <v>111.435</v>
      </c>
      <c r="U1187">
        <v>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</row>
    <row r="1188" spans="1:35" s="1857" customFormat="1" hidden="1" outlineLevel="1">
      <c r="A1188" s="8">
        <v>43916</v>
      </c>
      <c r="B1188" s="1860">
        <v>2909.04819</v>
      </c>
      <c r="C1188" s="1860">
        <v>4236.5248000000001</v>
      </c>
      <c r="D1188" s="1860">
        <v>4504.7812100000001</v>
      </c>
      <c r="E1188" s="1860">
        <v>4958.9778999999999</v>
      </c>
      <c r="F1188">
        <v>37.326689999999999</v>
      </c>
      <c r="G1188" s="1861">
        <v>4086.34</v>
      </c>
      <c r="I1188">
        <v>0.71189000000000002</v>
      </c>
      <c r="J1188">
        <v>1.0367500000000001</v>
      </c>
      <c r="K1188">
        <v>1.1024</v>
      </c>
      <c r="L1188">
        <v>1.2135499999999999</v>
      </c>
      <c r="M1188">
        <v>9.1299999999999992E-3</v>
      </c>
      <c r="N1188">
        <v>1</v>
      </c>
      <c r="P1188">
        <v>1.4047000000000001</v>
      </c>
      <c r="Q1188">
        <v>0.96455000000000002</v>
      </c>
      <c r="R1188">
        <v>0.90710999999999997</v>
      </c>
      <c r="S1188">
        <v>0.82401999999999997</v>
      </c>
      <c r="T1188">
        <v>109.47499999999999</v>
      </c>
      <c r="U1188">
        <v>1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</row>
    <row r="1189" spans="1:35" hidden="1" outlineLevel="1">
      <c r="A1189" s="8">
        <v>43917</v>
      </c>
      <c r="B1189" s="1860">
        <v>2838.6530699999998</v>
      </c>
      <c r="C1189" s="1860">
        <v>4179.5198899999996</v>
      </c>
      <c r="D1189" s="1860">
        <v>4418.5888100000002</v>
      </c>
      <c r="E1189" s="1860">
        <v>4936.4483799999998</v>
      </c>
      <c r="F1189">
        <v>36.933450000000001</v>
      </c>
      <c r="G1189" s="1861">
        <v>3995.83</v>
      </c>
      <c r="I1189">
        <v>0.71040000000000003</v>
      </c>
      <c r="J1189">
        <v>1.0459700000000001</v>
      </c>
      <c r="K1189">
        <v>1.1057999999999999</v>
      </c>
      <c r="L1189">
        <v>1.2354000000000001</v>
      </c>
      <c r="M1189">
        <v>9.2399999999999999E-3</v>
      </c>
      <c r="N1189">
        <v>1</v>
      </c>
      <c r="P1189">
        <v>1.4076500000000001</v>
      </c>
      <c r="Q1189">
        <v>0.95604999999999996</v>
      </c>
      <c r="R1189">
        <v>0.90432000000000001</v>
      </c>
      <c r="S1189">
        <v>0.80945</v>
      </c>
      <c r="T1189">
        <v>108.19</v>
      </c>
      <c r="U1189">
        <v>1</v>
      </c>
    </row>
    <row r="1190" spans="1:35" hidden="1" outlineLevel="1">
      <c r="A1190" s="8">
        <v>43918</v>
      </c>
      <c r="B1190" s="1860">
        <v>2872.0207399999999</v>
      </c>
      <c r="C1190" s="1860">
        <v>4228.64912</v>
      </c>
      <c r="D1190" s="1860">
        <v>4470.5282399999996</v>
      </c>
      <c r="E1190" s="1860">
        <v>4994.4751200000001</v>
      </c>
      <c r="F1190">
        <v>37.36759</v>
      </c>
      <c r="G1190" s="1861">
        <v>4042.8</v>
      </c>
      <c r="I1190">
        <v>0.71040000000000003</v>
      </c>
      <c r="J1190">
        <v>1.0459700000000001</v>
      </c>
      <c r="K1190">
        <v>1.1057999999999999</v>
      </c>
      <c r="L1190">
        <v>1.2354000000000001</v>
      </c>
      <c r="M1190">
        <v>9.2399999999999999E-3</v>
      </c>
      <c r="N1190">
        <v>1</v>
      </c>
      <c r="P1190">
        <v>1.4076500000000001</v>
      </c>
      <c r="Q1190">
        <v>0.95604999999999996</v>
      </c>
      <c r="R1190">
        <v>0.90432000000000001</v>
      </c>
      <c r="S1190">
        <v>0.80945</v>
      </c>
      <c r="T1190">
        <v>108.19</v>
      </c>
      <c r="U1190">
        <v>1</v>
      </c>
    </row>
    <row r="1191" spans="1:35" hidden="1" outlineLevel="1">
      <c r="A1191" s="8">
        <v>43919</v>
      </c>
      <c r="B1191" s="1860">
        <v>2872.0207399999999</v>
      </c>
      <c r="C1191" s="1860">
        <v>4228.64912</v>
      </c>
      <c r="D1191" s="1860">
        <v>4470.5282399999996</v>
      </c>
      <c r="E1191" s="1860">
        <v>4994.4751200000001</v>
      </c>
      <c r="F1191">
        <v>37.36759</v>
      </c>
      <c r="G1191" s="1861">
        <v>4042.8</v>
      </c>
      <c r="I1191">
        <v>0.71040000000000003</v>
      </c>
      <c r="J1191">
        <v>1.0459700000000001</v>
      </c>
      <c r="K1191">
        <v>1.1057999999999999</v>
      </c>
      <c r="L1191">
        <v>1.2354000000000001</v>
      </c>
      <c r="M1191">
        <v>9.2399999999999999E-3</v>
      </c>
      <c r="N1191">
        <v>1</v>
      </c>
      <c r="P1191">
        <v>1.4076500000000001</v>
      </c>
      <c r="Q1191">
        <v>0.95604999999999996</v>
      </c>
      <c r="R1191">
        <v>0.90432000000000001</v>
      </c>
      <c r="S1191">
        <v>0.80945</v>
      </c>
      <c r="T1191">
        <v>108.19</v>
      </c>
      <c r="U1191">
        <v>1</v>
      </c>
    </row>
    <row r="1192" spans="1:35" hidden="1" outlineLevel="1">
      <c r="A1192" s="8">
        <v>43920</v>
      </c>
      <c r="B1192" s="1860">
        <v>2854.0769500000001</v>
      </c>
      <c r="C1192" s="1860">
        <v>4211.9081100000003</v>
      </c>
      <c r="D1192" s="1860">
        <v>4459.0062600000001</v>
      </c>
      <c r="E1192" s="1860">
        <v>5018.1255000000001</v>
      </c>
      <c r="F1192">
        <v>37.403889999999997</v>
      </c>
      <c r="G1192" s="1861">
        <v>4042.8</v>
      </c>
      <c r="I1192">
        <v>0.70596000000000003</v>
      </c>
      <c r="J1192">
        <v>1.04182</v>
      </c>
      <c r="K1192">
        <v>1.1029500000000001</v>
      </c>
      <c r="L1192">
        <v>1.24125</v>
      </c>
      <c r="M1192">
        <v>9.2499999999999995E-3</v>
      </c>
      <c r="N1192">
        <v>1</v>
      </c>
      <c r="P1192">
        <v>1.4165000000000001</v>
      </c>
      <c r="Q1192">
        <v>0.95984999999999998</v>
      </c>
      <c r="R1192">
        <v>0.90664999999999996</v>
      </c>
      <c r="S1192">
        <v>0.80562999999999996</v>
      </c>
      <c r="T1192">
        <v>108.08499999999999</v>
      </c>
      <c r="U1192">
        <v>1</v>
      </c>
    </row>
    <row r="1193" spans="1:35" ht="15.75" hidden="1" outlineLevel="1" thickBot="1">
      <c r="A1193" s="1868">
        <v>43921</v>
      </c>
      <c r="B1193" s="1869">
        <v>2855.8049599999999</v>
      </c>
      <c r="C1193" s="1869">
        <v>4201.1368899999998</v>
      </c>
      <c r="D1193" s="1869">
        <v>4460.1127699999997</v>
      </c>
      <c r="E1193" s="1869">
        <v>5040.1611499999999</v>
      </c>
      <c r="F1193" s="1870">
        <v>37.652810000000002</v>
      </c>
      <c r="G1193" s="1871">
        <v>4064.81</v>
      </c>
      <c r="H1193" s="1872"/>
      <c r="I1193" s="1870">
        <v>0.70255999999999996</v>
      </c>
      <c r="J1193" s="1870">
        <v>1.0335300000000001</v>
      </c>
      <c r="K1193" s="1870">
        <v>1.0972500000000001</v>
      </c>
      <c r="L1193" s="1870">
        <v>1.2399500000000001</v>
      </c>
      <c r="M1193" s="1870">
        <v>9.2599999999999991E-3</v>
      </c>
      <c r="N1193" s="1870">
        <v>1</v>
      </c>
      <c r="O1193" s="1872"/>
      <c r="P1193" s="1870">
        <v>1.4233499999999999</v>
      </c>
      <c r="Q1193" s="1870">
        <v>0.96755000000000002</v>
      </c>
      <c r="R1193" s="1870">
        <v>0.91135999999999995</v>
      </c>
      <c r="S1193" s="1870">
        <v>0.80647999999999997</v>
      </c>
      <c r="T1193" s="1870">
        <v>107.955</v>
      </c>
      <c r="U1193" s="1870">
        <v>1</v>
      </c>
      <c r="V1193" s="1872"/>
    </row>
    <row r="1194" spans="1:35" hidden="1" outlineLevel="1">
      <c r="A1194" s="8">
        <v>43922</v>
      </c>
      <c r="B1194" s="1860">
        <v>2853.5012999999999</v>
      </c>
      <c r="C1194" s="1860">
        <v>4186.1958500000001</v>
      </c>
      <c r="D1194" s="1860">
        <v>4429.1794900000004</v>
      </c>
      <c r="E1194" s="1860">
        <v>5037.56322</v>
      </c>
      <c r="F1194">
        <v>37.852209999999999</v>
      </c>
      <c r="G1194" s="1861">
        <v>4054.54</v>
      </c>
      <c r="I1194">
        <v>0.70377000000000001</v>
      </c>
      <c r="J1194">
        <v>1.03247</v>
      </c>
      <c r="K1194">
        <v>1.0924</v>
      </c>
      <c r="L1194">
        <v>1.2424500000000001</v>
      </c>
      <c r="M1194">
        <v>9.3299999999999998E-3</v>
      </c>
      <c r="N1194">
        <v>1</v>
      </c>
      <c r="P1194">
        <v>1.4209000000000001</v>
      </c>
      <c r="Q1194">
        <v>0.96855000000000002</v>
      </c>
      <c r="R1194">
        <v>0.91540999999999995</v>
      </c>
      <c r="S1194">
        <v>0.80486000000000002</v>
      </c>
      <c r="T1194">
        <v>107.11499999999999</v>
      </c>
      <c r="U1194">
        <v>1</v>
      </c>
      <c r="W1194">
        <v>0.70377000000000001</v>
      </c>
      <c r="X1194">
        <v>1.03247</v>
      </c>
      <c r="Y1194">
        <v>1.0924</v>
      </c>
      <c r="Z1194">
        <v>1.2424500000000001</v>
      </c>
      <c r="AA1194">
        <v>9.3299999999999998E-3</v>
      </c>
      <c r="AB1194">
        <v>1</v>
      </c>
      <c r="AC1194" s="1857"/>
      <c r="AD1194">
        <v>1.4209000000000001</v>
      </c>
      <c r="AE1194">
        <v>0.96855000000000002</v>
      </c>
      <c r="AF1194">
        <v>0.91540999999999995</v>
      </c>
      <c r="AG1194">
        <v>0.80486000000000002</v>
      </c>
      <c r="AH1194">
        <v>107.11499999999999</v>
      </c>
      <c r="AI1194">
        <v>1</v>
      </c>
    </row>
    <row r="1195" spans="1:35" hidden="1" outlineLevel="1">
      <c r="A1195" s="8">
        <v>43923</v>
      </c>
      <c r="B1195" s="1860">
        <v>2889.85979</v>
      </c>
      <c r="C1195" s="1860">
        <v>4196.8942800000004</v>
      </c>
      <c r="D1195" s="1860">
        <v>4433.4595300000001</v>
      </c>
      <c r="E1195" s="1860">
        <v>5051.9441699999998</v>
      </c>
      <c r="F1195">
        <v>37.796340000000001</v>
      </c>
      <c r="G1195" s="1861">
        <v>4081.06</v>
      </c>
      <c r="I1195">
        <v>0.70811000000000002</v>
      </c>
      <c r="J1195">
        <v>1.0283800000000001</v>
      </c>
      <c r="K1195">
        <v>1.0863499999999999</v>
      </c>
      <c r="L1195">
        <v>1.2379</v>
      </c>
      <c r="M1195">
        <v>9.2599999999999991E-3</v>
      </c>
      <c r="N1195">
        <v>1</v>
      </c>
      <c r="P1195">
        <v>1.4121999999999999</v>
      </c>
      <c r="Q1195">
        <v>0.97240000000000004</v>
      </c>
      <c r="R1195">
        <v>0.92051000000000005</v>
      </c>
      <c r="S1195">
        <v>0.80781000000000003</v>
      </c>
      <c r="T1195">
        <v>107.97499999999999</v>
      </c>
      <c r="U1195">
        <v>1</v>
      </c>
    </row>
    <row r="1196" spans="1:35" hidden="1" outlineLevel="1">
      <c r="A1196" s="8">
        <v>43924</v>
      </c>
      <c r="B1196" s="1860">
        <v>2882.8221899999999</v>
      </c>
      <c r="C1196" s="1860">
        <v>4158.6538399999999</v>
      </c>
      <c r="D1196" s="1860">
        <v>4390.1301700000004</v>
      </c>
      <c r="E1196" s="1860">
        <v>4983.8964500000002</v>
      </c>
      <c r="F1196">
        <v>37.468310000000002</v>
      </c>
      <c r="G1196" s="1861">
        <v>4065.5</v>
      </c>
      <c r="I1196">
        <v>0.70909</v>
      </c>
      <c r="J1196">
        <v>1.02291</v>
      </c>
      <c r="K1196">
        <v>1.07985</v>
      </c>
      <c r="L1196">
        <v>1.2259</v>
      </c>
      <c r="M1196">
        <v>9.2099999999999994E-3</v>
      </c>
      <c r="N1196">
        <v>1</v>
      </c>
      <c r="P1196">
        <v>1.41025</v>
      </c>
      <c r="Q1196">
        <v>0.97760000000000002</v>
      </c>
      <c r="R1196">
        <v>0.92605000000000004</v>
      </c>
      <c r="S1196">
        <v>0.81572</v>
      </c>
      <c r="T1196">
        <v>108.505</v>
      </c>
      <c r="U1196">
        <v>1</v>
      </c>
    </row>
    <row r="1197" spans="1:35" hidden="1" outlineLevel="1">
      <c r="A1197" s="8">
        <v>43925</v>
      </c>
      <c r="B1197" s="1860">
        <v>2842.6023700000001</v>
      </c>
      <c r="C1197" s="1860">
        <v>4100.6342000000004</v>
      </c>
      <c r="D1197" s="1860">
        <v>4328.8810800000001</v>
      </c>
      <c r="E1197" s="1860">
        <v>4914.3634000000002</v>
      </c>
      <c r="F1197">
        <v>36.945569999999996</v>
      </c>
      <c r="G1197" s="1861">
        <v>4008.78</v>
      </c>
      <c r="I1197">
        <v>0.70909</v>
      </c>
      <c r="J1197">
        <v>1.02291</v>
      </c>
      <c r="K1197">
        <v>1.07985</v>
      </c>
      <c r="L1197">
        <v>1.2259</v>
      </c>
      <c r="M1197">
        <v>9.2099999999999994E-3</v>
      </c>
      <c r="N1197">
        <v>1</v>
      </c>
      <c r="P1197">
        <v>1.41025</v>
      </c>
      <c r="Q1197">
        <v>0.97760000000000002</v>
      </c>
      <c r="R1197">
        <v>0.92605000000000004</v>
      </c>
      <c r="S1197">
        <v>0.81572</v>
      </c>
      <c r="T1197">
        <v>108.505</v>
      </c>
      <c r="U1197">
        <v>1</v>
      </c>
    </row>
    <row r="1198" spans="1:35" hidden="1" outlineLevel="1">
      <c r="A1198" s="8">
        <v>43926</v>
      </c>
      <c r="B1198" s="1860">
        <v>2842.6023700000001</v>
      </c>
      <c r="C1198" s="1860">
        <v>4100.6342000000004</v>
      </c>
      <c r="D1198" s="1860">
        <v>4328.8810800000001</v>
      </c>
      <c r="E1198" s="1860">
        <v>4914.3634000000002</v>
      </c>
      <c r="F1198">
        <v>36.945569999999996</v>
      </c>
      <c r="G1198" s="1861">
        <v>4008.78</v>
      </c>
      <c r="I1198">
        <v>0.70909</v>
      </c>
      <c r="J1198">
        <v>1.02291</v>
      </c>
      <c r="K1198">
        <v>1.07985</v>
      </c>
      <c r="L1198">
        <v>1.2259</v>
      </c>
      <c r="M1198">
        <v>9.2099999999999994E-3</v>
      </c>
      <c r="N1198">
        <v>1</v>
      </c>
      <c r="P1198">
        <v>1.41025</v>
      </c>
      <c r="Q1198">
        <v>0.97760000000000002</v>
      </c>
      <c r="R1198">
        <v>0.92605000000000004</v>
      </c>
      <c r="S1198">
        <v>0.81572</v>
      </c>
      <c r="T1198">
        <v>108.505</v>
      </c>
      <c r="U1198">
        <v>1</v>
      </c>
    </row>
    <row r="1199" spans="1:35" hidden="1" outlineLevel="1">
      <c r="A1199" s="8">
        <v>43927</v>
      </c>
      <c r="B1199" s="1860">
        <v>2834.46227</v>
      </c>
      <c r="C1199" s="1860">
        <v>4096.4438899999996</v>
      </c>
      <c r="D1199" s="1860">
        <v>4322.8679099999999</v>
      </c>
      <c r="E1199" s="1860">
        <v>4912.9603200000001</v>
      </c>
      <c r="F1199">
        <v>36.733980000000003</v>
      </c>
      <c r="G1199" s="1861">
        <v>4008.78</v>
      </c>
      <c r="I1199">
        <v>0.70706000000000002</v>
      </c>
      <c r="J1199">
        <v>1.02186</v>
      </c>
      <c r="K1199">
        <v>1.0783499999999999</v>
      </c>
      <c r="L1199">
        <v>1.2255499999999999</v>
      </c>
      <c r="M1199">
        <v>9.1599999999999997E-3</v>
      </c>
      <c r="N1199">
        <v>1</v>
      </c>
      <c r="P1199">
        <v>1.4142999999999999</v>
      </c>
      <c r="Q1199">
        <v>0.97860000000000003</v>
      </c>
      <c r="R1199">
        <v>0.92734000000000005</v>
      </c>
      <c r="S1199">
        <v>0.81596000000000002</v>
      </c>
      <c r="T1199">
        <v>109.13</v>
      </c>
      <c r="U1199">
        <v>1</v>
      </c>
    </row>
    <row r="1200" spans="1:35" hidden="1" outlineLevel="1">
      <c r="A1200" s="8">
        <v>43928</v>
      </c>
      <c r="B1200" s="1860">
        <v>2839.1650300000001</v>
      </c>
      <c r="C1200" s="1860">
        <v>4095.72244</v>
      </c>
      <c r="D1200" s="1860">
        <v>4329.2731100000001</v>
      </c>
      <c r="E1200" s="1860">
        <v>4895.5955000000004</v>
      </c>
      <c r="F1200">
        <v>36.500570000000003</v>
      </c>
      <c r="G1200" s="1861">
        <v>3978.38</v>
      </c>
      <c r="I1200">
        <v>0.71364000000000005</v>
      </c>
      <c r="J1200">
        <v>1.02949</v>
      </c>
      <c r="K1200">
        <v>1.0882000000000001</v>
      </c>
      <c r="L1200">
        <v>1.23055</v>
      </c>
      <c r="M1200">
        <v>9.1699999999999993E-3</v>
      </c>
      <c r="N1200">
        <v>1</v>
      </c>
      <c r="P1200">
        <v>1.4012500000000001</v>
      </c>
      <c r="Q1200">
        <v>0.97135000000000005</v>
      </c>
      <c r="R1200">
        <v>0.91893999999999998</v>
      </c>
      <c r="S1200">
        <v>0.81264000000000003</v>
      </c>
      <c r="T1200">
        <v>108.995</v>
      </c>
      <c r="U1200">
        <v>1</v>
      </c>
    </row>
    <row r="1201" spans="1:35" hidden="1" outlineLevel="1">
      <c r="A1201" s="8">
        <v>43929</v>
      </c>
      <c r="B1201" s="1860">
        <v>2781.4411700000001</v>
      </c>
      <c r="C1201" s="1860">
        <v>4026.1017200000001</v>
      </c>
      <c r="D1201" s="1860">
        <v>4247.7914499999997</v>
      </c>
      <c r="E1201" s="1860">
        <v>4841.74323</v>
      </c>
      <c r="F1201">
        <v>35.957050000000002</v>
      </c>
      <c r="G1201" s="1861">
        <v>3910.15</v>
      </c>
      <c r="I1201">
        <v>0.71133000000000002</v>
      </c>
      <c r="J1201">
        <v>1.02965</v>
      </c>
      <c r="K1201">
        <v>1.0863499999999999</v>
      </c>
      <c r="L1201">
        <v>1.2382500000000001</v>
      </c>
      <c r="M1201">
        <v>9.1900000000000003E-3</v>
      </c>
      <c r="N1201">
        <v>1</v>
      </c>
      <c r="P1201">
        <v>1.4057999999999999</v>
      </c>
      <c r="Q1201">
        <v>0.97119999999999995</v>
      </c>
      <c r="R1201">
        <v>0.92051000000000005</v>
      </c>
      <c r="S1201">
        <v>0.80759000000000003</v>
      </c>
      <c r="T1201">
        <v>108.745</v>
      </c>
      <c r="U1201">
        <v>1</v>
      </c>
    </row>
    <row r="1202" spans="1:35" hidden="1" outlineLevel="1">
      <c r="A1202" s="8">
        <v>43930</v>
      </c>
      <c r="B1202" s="1860">
        <v>2784.9317500000002</v>
      </c>
      <c r="C1202" s="1860">
        <v>4024.2170099999998</v>
      </c>
      <c r="D1202" s="1860">
        <v>4251.5652399999999</v>
      </c>
      <c r="E1202" s="1860">
        <v>4846.2441099999996</v>
      </c>
      <c r="F1202">
        <v>35.821289999999998</v>
      </c>
      <c r="G1202" s="1861">
        <v>3886.79</v>
      </c>
      <c r="I1202">
        <v>0.71650999999999998</v>
      </c>
      <c r="J1202">
        <v>1.03535</v>
      </c>
      <c r="K1202">
        <v>1.09385</v>
      </c>
      <c r="L1202">
        <v>1.24685</v>
      </c>
      <c r="M1202">
        <v>9.2099999999999994E-3</v>
      </c>
      <c r="N1202">
        <v>1</v>
      </c>
      <c r="P1202">
        <v>1.3956500000000001</v>
      </c>
      <c r="Q1202">
        <v>0.96584999999999999</v>
      </c>
      <c r="R1202">
        <v>0.91420000000000001</v>
      </c>
      <c r="S1202">
        <v>0.80201999999999996</v>
      </c>
      <c r="T1202">
        <v>108.505</v>
      </c>
      <c r="U1202">
        <v>1</v>
      </c>
    </row>
    <row r="1203" spans="1:35" hidden="1" outlineLevel="1">
      <c r="A1203" s="8">
        <v>43931</v>
      </c>
      <c r="B1203" s="1860">
        <v>2784.9317500000002</v>
      </c>
      <c r="C1203" s="1860">
        <v>4024.2170099999998</v>
      </c>
      <c r="D1203" s="1860">
        <v>4251.5652399999999</v>
      </c>
      <c r="E1203" s="1860">
        <v>4846.2441099999996</v>
      </c>
      <c r="F1203">
        <v>35.821289999999998</v>
      </c>
      <c r="G1203" s="1861">
        <v>3886.79</v>
      </c>
      <c r="I1203">
        <v>0.71650999999999998</v>
      </c>
      <c r="J1203">
        <v>1.03535</v>
      </c>
      <c r="K1203">
        <v>1.09385</v>
      </c>
      <c r="L1203">
        <v>1.24685</v>
      </c>
      <c r="M1203">
        <v>9.2099999999999994E-3</v>
      </c>
      <c r="N1203">
        <v>1</v>
      </c>
      <c r="P1203">
        <v>1.3956500000000001</v>
      </c>
      <c r="Q1203">
        <v>0.96584999999999999</v>
      </c>
      <c r="R1203">
        <v>0.91420000000000001</v>
      </c>
      <c r="S1203">
        <v>0.80201999999999996</v>
      </c>
      <c r="T1203">
        <v>108.505</v>
      </c>
      <c r="U1203">
        <v>1</v>
      </c>
    </row>
    <row r="1204" spans="1:35" hidden="1" outlineLevel="1">
      <c r="A1204" s="8">
        <v>43932</v>
      </c>
      <c r="B1204" s="1860">
        <v>2784.9317500000002</v>
      </c>
      <c r="C1204" s="1860">
        <v>4024.2170099999998</v>
      </c>
      <c r="D1204" s="1860">
        <v>4251.5652399999999</v>
      </c>
      <c r="E1204" s="1860">
        <v>4846.2441099999996</v>
      </c>
      <c r="F1204">
        <v>35.821289999999998</v>
      </c>
      <c r="G1204" s="1861">
        <v>3886.79</v>
      </c>
      <c r="I1204">
        <v>0.71650999999999998</v>
      </c>
      <c r="J1204">
        <v>1.03535</v>
      </c>
      <c r="K1204">
        <v>1.09385</v>
      </c>
      <c r="L1204">
        <v>1.24685</v>
      </c>
      <c r="M1204">
        <v>9.2099999999999994E-3</v>
      </c>
      <c r="N1204">
        <v>1</v>
      </c>
      <c r="P1204">
        <v>1.3956500000000001</v>
      </c>
      <c r="Q1204">
        <v>0.96584999999999999</v>
      </c>
      <c r="R1204">
        <v>0.91420000000000001</v>
      </c>
      <c r="S1204">
        <v>0.80201999999999996</v>
      </c>
      <c r="T1204">
        <v>108.505</v>
      </c>
      <c r="U1204">
        <v>1</v>
      </c>
    </row>
    <row r="1205" spans="1:35" s="1857" customFormat="1" hidden="1" outlineLevel="1">
      <c r="A1205" s="8">
        <v>43933</v>
      </c>
      <c r="B1205" s="1860">
        <v>2784.9317500000002</v>
      </c>
      <c r="C1205" s="1860">
        <v>4024.2170099999998</v>
      </c>
      <c r="D1205" s="1860">
        <v>4251.5652399999999</v>
      </c>
      <c r="E1205" s="1860">
        <v>4846.2441099999996</v>
      </c>
      <c r="F1205">
        <v>35.821289999999998</v>
      </c>
      <c r="G1205" s="1861">
        <v>3886.79</v>
      </c>
      <c r="I1205">
        <v>0.71650999999999998</v>
      </c>
      <c r="J1205">
        <v>1.03535</v>
      </c>
      <c r="K1205">
        <v>1.09385</v>
      </c>
      <c r="L1205">
        <v>1.24685</v>
      </c>
      <c r="M1205">
        <v>9.2099999999999994E-3</v>
      </c>
      <c r="N1205">
        <v>1</v>
      </c>
      <c r="P1205">
        <v>1.3956500000000001</v>
      </c>
      <c r="Q1205">
        <v>0.96584999999999999</v>
      </c>
      <c r="R1205">
        <v>0.91420000000000001</v>
      </c>
      <c r="S1205">
        <v>0.80201999999999996</v>
      </c>
      <c r="T1205">
        <v>108.505</v>
      </c>
      <c r="U1205">
        <v>1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</row>
    <row r="1206" spans="1:35" s="1857" customFormat="1" hidden="1" outlineLevel="1">
      <c r="A1206" s="8">
        <v>43934</v>
      </c>
      <c r="B1206" s="1860">
        <v>2781.8422500000001</v>
      </c>
      <c r="C1206" s="1860">
        <v>4014.65681</v>
      </c>
      <c r="D1206" s="1860">
        <v>4236.7954300000001</v>
      </c>
      <c r="E1206" s="1860">
        <v>4859.8478699999996</v>
      </c>
      <c r="F1206">
        <v>36.077309999999997</v>
      </c>
      <c r="G1206" s="1861">
        <v>3886.79</v>
      </c>
      <c r="I1206">
        <v>0.71570999999999996</v>
      </c>
      <c r="J1206">
        <v>1.0328900000000001</v>
      </c>
      <c r="K1206">
        <v>1.09005</v>
      </c>
      <c r="L1206">
        <v>1.2503500000000001</v>
      </c>
      <c r="M1206">
        <v>9.2800000000000001E-3</v>
      </c>
      <c r="N1206">
        <v>1</v>
      </c>
      <c r="P1206">
        <v>1.3972</v>
      </c>
      <c r="Q1206">
        <v>0.96814999999999996</v>
      </c>
      <c r="R1206">
        <v>0.91737999999999997</v>
      </c>
      <c r="S1206">
        <v>0.79976999999999998</v>
      </c>
      <c r="T1206">
        <v>107.735</v>
      </c>
      <c r="U1206">
        <v>1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</row>
    <row r="1207" spans="1:35" s="1857" customFormat="1" hidden="1" outlineLevel="1">
      <c r="A1207" s="8">
        <v>43935</v>
      </c>
      <c r="B1207" s="1860">
        <v>2786.6008999999999</v>
      </c>
      <c r="C1207" s="1860">
        <v>4028.4256999999998</v>
      </c>
      <c r="D1207" s="1860">
        <v>4245.34303</v>
      </c>
      <c r="E1207" s="1860">
        <v>4875.8165300000001</v>
      </c>
      <c r="F1207">
        <v>36.096899999999998</v>
      </c>
      <c r="G1207" s="1861">
        <v>3870.31</v>
      </c>
      <c r="I1207">
        <v>0.71999000000000002</v>
      </c>
      <c r="J1207">
        <v>1.0408500000000001</v>
      </c>
      <c r="K1207">
        <v>1.0969</v>
      </c>
      <c r="L1207">
        <v>1.2598</v>
      </c>
      <c r="M1207">
        <v>9.3200000000000002E-3</v>
      </c>
      <c r="N1207">
        <v>1</v>
      </c>
      <c r="P1207">
        <v>1.3889</v>
      </c>
      <c r="Q1207">
        <v>0.96074999999999999</v>
      </c>
      <c r="R1207">
        <v>0.91166000000000003</v>
      </c>
      <c r="S1207">
        <v>0.79376999999999998</v>
      </c>
      <c r="T1207">
        <v>107.22</v>
      </c>
      <c r="U1207">
        <v>1</v>
      </c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</row>
    <row r="1208" spans="1:35" s="1857" customFormat="1" hidden="1" outlineLevel="1">
      <c r="A1208" s="8">
        <v>43936</v>
      </c>
      <c r="B1208" s="1860">
        <v>2740.9846499999999</v>
      </c>
      <c r="C1208" s="1860">
        <v>3996.28152</v>
      </c>
      <c r="D1208" s="1860">
        <v>4207.3779999999997</v>
      </c>
      <c r="E1208" s="1860">
        <v>4821.7979400000004</v>
      </c>
      <c r="F1208">
        <v>35.91872</v>
      </c>
      <c r="G1208" s="1861">
        <v>3858.21</v>
      </c>
      <c r="I1208">
        <v>0.71042000000000005</v>
      </c>
      <c r="J1208">
        <v>1.0357799999999999</v>
      </c>
      <c r="K1208">
        <v>1.0905</v>
      </c>
      <c r="L1208">
        <v>1.2497499999999999</v>
      </c>
      <c r="M1208">
        <v>9.2999999999999992E-3</v>
      </c>
      <c r="N1208">
        <v>1</v>
      </c>
      <c r="P1208">
        <v>1.4076</v>
      </c>
      <c r="Q1208">
        <v>0.96545000000000003</v>
      </c>
      <c r="R1208">
        <v>0.91700999999999999</v>
      </c>
      <c r="S1208">
        <v>0.80015999999999998</v>
      </c>
      <c r="T1208">
        <v>107.41500000000001</v>
      </c>
      <c r="U1208">
        <v>1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</row>
    <row r="1209" spans="1:35" s="1857" customFormat="1" hidden="1" outlineLevel="1">
      <c r="A1209" s="8">
        <v>43937</v>
      </c>
      <c r="B1209" s="1860">
        <v>2775.8088400000001</v>
      </c>
      <c r="C1209" s="1860">
        <v>4046.47298</v>
      </c>
      <c r="D1209" s="1860">
        <v>4253.9044999999996</v>
      </c>
      <c r="E1209" s="1860">
        <v>4879.8650100000004</v>
      </c>
      <c r="F1209">
        <v>36.450789999999998</v>
      </c>
      <c r="G1209" s="1861">
        <v>3920.83</v>
      </c>
      <c r="I1209">
        <v>0.70796000000000003</v>
      </c>
      <c r="J1209">
        <v>1.0320400000000001</v>
      </c>
      <c r="K1209">
        <v>1.0849500000000001</v>
      </c>
      <c r="L1209">
        <v>1.2445999999999999</v>
      </c>
      <c r="M1209">
        <v>9.2899999999999996E-3</v>
      </c>
      <c r="N1209">
        <v>1</v>
      </c>
      <c r="P1209">
        <v>1.4125000000000001</v>
      </c>
      <c r="Q1209">
        <v>0.96894999999999998</v>
      </c>
      <c r="R1209">
        <v>0.92169999999999996</v>
      </c>
      <c r="S1209">
        <v>0.80347000000000002</v>
      </c>
      <c r="T1209">
        <v>107.565</v>
      </c>
      <c r="U1209">
        <v>1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</row>
    <row r="1210" spans="1:35" s="1857" customFormat="1" hidden="1" outlineLevel="1">
      <c r="A1210" s="8">
        <v>43938</v>
      </c>
      <c r="B1210" s="1860">
        <v>2809.1478999999999</v>
      </c>
      <c r="C1210" s="1860">
        <v>4081.9090000000001</v>
      </c>
      <c r="D1210" s="1860">
        <v>4293.4455799999996</v>
      </c>
      <c r="E1210" s="1860">
        <v>4930.2271600000004</v>
      </c>
      <c r="F1210">
        <v>36.669789999999999</v>
      </c>
      <c r="G1210" s="1861">
        <v>3942.92</v>
      </c>
      <c r="I1210">
        <v>0.71245000000000003</v>
      </c>
      <c r="J1210">
        <v>1.03525</v>
      </c>
      <c r="K1210">
        <v>1.0889</v>
      </c>
      <c r="L1210">
        <v>1.2504</v>
      </c>
      <c r="M1210">
        <v>9.2999999999999992E-3</v>
      </c>
      <c r="N1210">
        <v>1</v>
      </c>
      <c r="P1210">
        <v>1.4036</v>
      </c>
      <c r="Q1210">
        <v>0.96594999999999998</v>
      </c>
      <c r="R1210">
        <v>0.91835</v>
      </c>
      <c r="S1210">
        <v>0.79974000000000001</v>
      </c>
      <c r="T1210">
        <v>107.52500000000001</v>
      </c>
      <c r="U1210">
        <v>1</v>
      </c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</row>
    <row r="1211" spans="1:35" s="1857" customFormat="1" hidden="1" outlineLevel="1">
      <c r="A1211" s="8">
        <v>43939</v>
      </c>
      <c r="B1211" s="1860">
        <v>2830.6212500000001</v>
      </c>
      <c r="C1211" s="1860">
        <v>4113.1114399999997</v>
      </c>
      <c r="D1211" s="1860">
        <v>4326.2650299999996</v>
      </c>
      <c r="E1211" s="1860">
        <v>4967.9142199999997</v>
      </c>
      <c r="F1211">
        <v>36.950099999999999</v>
      </c>
      <c r="G1211" s="1861">
        <v>3973.06</v>
      </c>
      <c r="I1211">
        <v>0.71245000000000003</v>
      </c>
      <c r="J1211">
        <v>1.03525</v>
      </c>
      <c r="K1211">
        <v>1.0889</v>
      </c>
      <c r="L1211">
        <v>1.2504</v>
      </c>
      <c r="M1211">
        <v>9.2999999999999992E-3</v>
      </c>
      <c r="N1211">
        <v>1</v>
      </c>
      <c r="P1211">
        <v>1.4036</v>
      </c>
      <c r="Q1211">
        <v>0.96594999999999998</v>
      </c>
      <c r="R1211">
        <v>0.91835</v>
      </c>
      <c r="S1211">
        <v>0.79974000000000001</v>
      </c>
      <c r="T1211">
        <v>107.52500000000001</v>
      </c>
      <c r="U1211">
        <v>1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</row>
    <row r="1212" spans="1:35" s="1857" customFormat="1" hidden="1" outlineLevel="1">
      <c r="A1212" s="8">
        <v>43940</v>
      </c>
      <c r="B1212" s="1860">
        <v>2830.6212500000001</v>
      </c>
      <c r="C1212" s="1860">
        <v>4113.1114399999997</v>
      </c>
      <c r="D1212" s="1860">
        <v>4326.2650299999996</v>
      </c>
      <c r="E1212" s="1860">
        <v>4967.9142199999997</v>
      </c>
      <c r="F1212">
        <v>36.950099999999999</v>
      </c>
      <c r="G1212" s="1861">
        <v>3973.06</v>
      </c>
      <c r="I1212">
        <v>0.71245000000000003</v>
      </c>
      <c r="J1212">
        <v>1.03525</v>
      </c>
      <c r="K1212">
        <v>1.0889</v>
      </c>
      <c r="L1212">
        <v>1.2504</v>
      </c>
      <c r="M1212">
        <v>9.2999999999999992E-3</v>
      </c>
      <c r="N1212">
        <v>1</v>
      </c>
      <c r="P1212">
        <v>1.4036</v>
      </c>
      <c r="Q1212">
        <v>0.96594999999999998</v>
      </c>
      <c r="R1212">
        <v>0.91835</v>
      </c>
      <c r="S1212">
        <v>0.79974000000000001</v>
      </c>
      <c r="T1212">
        <v>107.52500000000001</v>
      </c>
      <c r="U1212">
        <v>1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</row>
    <row r="1213" spans="1:35" s="1857" customFormat="1" hidden="1" outlineLevel="1">
      <c r="A1213" s="8">
        <v>43941</v>
      </c>
      <c r="B1213" s="1860">
        <v>2826.7947300000001</v>
      </c>
      <c r="C1213" s="1860">
        <v>4111.6216400000003</v>
      </c>
      <c r="D1213" s="1860">
        <v>4323.2852300000004</v>
      </c>
      <c r="E1213" s="1860">
        <v>4955.9950399999998</v>
      </c>
      <c r="F1213">
        <v>36.91234</v>
      </c>
      <c r="G1213" s="1861">
        <v>3973.06</v>
      </c>
      <c r="I1213">
        <v>0.71148999999999996</v>
      </c>
      <c r="J1213">
        <v>1.03487</v>
      </c>
      <c r="K1213">
        <v>1.08815</v>
      </c>
      <c r="L1213">
        <v>1.2474000000000001</v>
      </c>
      <c r="M1213">
        <v>9.2899999999999996E-3</v>
      </c>
      <c r="N1213">
        <v>1</v>
      </c>
      <c r="P1213">
        <v>1.4055</v>
      </c>
      <c r="Q1213">
        <v>0.96630000000000005</v>
      </c>
      <c r="R1213">
        <v>0.91898999999999997</v>
      </c>
      <c r="S1213">
        <v>0.80166000000000004</v>
      </c>
      <c r="T1213">
        <v>107.63500000000001</v>
      </c>
      <c r="U1213">
        <v>1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</row>
    <row r="1214" spans="1:35" s="1857" customFormat="1" hidden="1" outlineLevel="1">
      <c r="A1214" s="8">
        <v>43942</v>
      </c>
      <c r="B1214" s="1860">
        <v>2794.09879</v>
      </c>
      <c r="C1214" s="1860">
        <v>4096.3865299999998</v>
      </c>
      <c r="D1214" s="1860">
        <v>4309.5825199999999</v>
      </c>
      <c r="E1214" s="1860">
        <v>4870.02862</v>
      </c>
      <c r="F1214">
        <v>36.859670000000001</v>
      </c>
      <c r="G1214" s="1861">
        <v>3967.76</v>
      </c>
      <c r="I1214">
        <v>0.70420000000000005</v>
      </c>
      <c r="J1214">
        <v>1.03241</v>
      </c>
      <c r="K1214">
        <v>1.0861499999999999</v>
      </c>
      <c r="L1214">
        <v>1.2274</v>
      </c>
      <c r="M1214">
        <v>9.2800000000000001E-3</v>
      </c>
      <c r="N1214">
        <v>1</v>
      </c>
      <c r="P1214">
        <v>1.42005</v>
      </c>
      <c r="Q1214">
        <v>0.96860000000000002</v>
      </c>
      <c r="R1214">
        <v>0.92068000000000005</v>
      </c>
      <c r="S1214">
        <v>0.81472999999999995</v>
      </c>
      <c r="T1214">
        <v>107.645</v>
      </c>
      <c r="U1214">
        <v>1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</row>
    <row r="1215" spans="1:35" s="1857" customFormat="1" hidden="1" outlineLevel="1">
      <c r="A1215" s="8">
        <v>43943</v>
      </c>
      <c r="B1215" s="1860">
        <v>2858.15933</v>
      </c>
      <c r="C1215" s="1860">
        <v>4164.3176999999996</v>
      </c>
      <c r="D1215" s="1860">
        <v>4379.7345699999996</v>
      </c>
      <c r="E1215" s="1860">
        <v>4986.2838199999997</v>
      </c>
      <c r="F1215">
        <v>37.52328</v>
      </c>
      <c r="G1215" s="1861">
        <v>4045.01</v>
      </c>
      <c r="I1215">
        <v>0.70657999999999999</v>
      </c>
      <c r="J1215">
        <v>1.02949</v>
      </c>
      <c r="K1215">
        <v>1.0827500000000001</v>
      </c>
      <c r="L1215">
        <v>1.2326999999999999</v>
      </c>
      <c r="M1215">
        <v>9.2700000000000005E-3</v>
      </c>
      <c r="N1215">
        <v>1</v>
      </c>
      <c r="P1215">
        <v>1.4152499999999999</v>
      </c>
      <c r="Q1215">
        <v>0.97135000000000005</v>
      </c>
      <c r="R1215">
        <v>0.92357</v>
      </c>
      <c r="S1215">
        <v>0.81122000000000005</v>
      </c>
      <c r="T1215">
        <v>107.8</v>
      </c>
      <c r="U1215">
        <v>1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</row>
    <row r="1216" spans="1:35" s="1857" customFormat="1" hidden="1" outlineLevel="1">
      <c r="A1216" s="8">
        <v>43944</v>
      </c>
      <c r="B1216" s="1860">
        <v>2880.0328</v>
      </c>
      <c r="C1216" s="1860">
        <v>4153.6285500000004</v>
      </c>
      <c r="D1216" s="1860">
        <v>4372.2922600000002</v>
      </c>
      <c r="E1216" s="1860">
        <v>5001.8086599999997</v>
      </c>
      <c r="F1216">
        <v>37.522179999999999</v>
      </c>
      <c r="G1216" s="1861">
        <v>4037.95</v>
      </c>
      <c r="I1216">
        <v>0.71323999999999999</v>
      </c>
      <c r="J1216">
        <v>1.02864</v>
      </c>
      <c r="K1216">
        <v>1.0828</v>
      </c>
      <c r="L1216">
        <v>1.2386999999999999</v>
      </c>
      <c r="M1216">
        <v>9.2899999999999996E-3</v>
      </c>
      <c r="N1216">
        <v>1</v>
      </c>
      <c r="P1216">
        <v>1.40205</v>
      </c>
      <c r="Q1216">
        <v>0.97214999999999996</v>
      </c>
      <c r="R1216">
        <v>0.92352999999999996</v>
      </c>
      <c r="S1216">
        <v>0.80728999999999995</v>
      </c>
      <c r="T1216">
        <v>107.61499999999999</v>
      </c>
      <c r="U1216">
        <v>1</v>
      </c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</row>
    <row r="1217" spans="1:35" s="1857" customFormat="1" hidden="1" outlineLevel="1">
      <c r="A1217" s="8">
        <v>43945</v>
      </c>
      <c r="B1217" s="1860">
        <v>2854.4634900000001</v>
      </c>
      <c r="C1217" s="1860">
        <v>4129.12302</v>
      </c>
      <c r="D1217" s="1860">
        <v>4347.6413700000003</v>
      </c>
      <c r="E1217" s="1860">
        <v>4960.8347199999998</v>
      </c>
      <c r="F1217">
        <v>37.426720000000003</v>
      </c>
      <c r="G1217" s="1861">
        <v>4020.94</v>
      </c>
      <c r="I1217">
        <v>0.70989000000000002</v>
      </c>
      <c r="J1217">
        <v>1.0268999999999999</v>
      </c>
      <c r="K1217">
        <v>1.08125</v>
      </c>
      <c r="L1217">
        <v>1.2337499999999999</v>
      </c>
      <c r="M1217">
        <v>9.2999999999999992E-3</v>
      </c>
      <c r="N1217">
        <v>1</v>
      </c>
      <c r="P1217">
        <v>1.40865</v>
      </c>
      <c r="Q1217">
        <v>0.9738</v>
      </c>
      <c r="R1217">
        <v>0.92484999999999995</v>
      </c>
      <c r="S1217">
        <v>0.81052999999999997</v>
      </c>
      <c r="T1217">
        <v>107.435</v>
      </c>
      <c r="U1217">
        <v>1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</row>
    <row r="1218" spans="1:35" s="1857" customFormat="1" hidden="1" outlineLevel="1">
      <c r="A1218" s="8">
        <v>43946</v>
      </c>
      <c r="B1218" s="1860">
        <v>2867.9018900000001</v>
      </c>
      <c r="C1218" s="1860">
        <v>4148.5623299999997</v>
      </c>
      <c r="D1218" s="1860">
        <v>4368.1094300000004</v>
      </c>
      <c r="E1218" s="1860">
        <v>4984.1896100000004</v>
      </c>
      <c r="F1218">
        <v>37.602919999999997</v>
      </c>
      <c r="G1218" s="1861">
        <v>4039.87</v>
      </c>
      <c r="I1218">
        <v>0.70989000000000002</v>
      </c>
      <c r="J1218">
        <v>1.0268999999999999</v>
      </c>
      <c r="K1218">
        <v>1.08125</v>
      </c>
      <c r="L1218">
        <v>1.2337499999999999</v>
      </c>
      <c r="M1218">
        <v>9.2999999999999992E-3</v>
      </c>
      <c r="N1218">
        <v>1</v>
      </c>
      <c r="P1218">
        <v>1.40865</v>
      </c>
      <c r="Q1218">
        <v>0.9738</v>
      </c>
      <c r="R1218">
        <v>0.92484999999999995</v>
      </c>
      <c r="S1218">
        <v>0.81052999999999997</v>
      </c>
      <c r="T1218">
        <v>107.435</v>
      </c>
      <c r="U1218">
        <v>1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</row>
    <row r="1219" spans="1:35" s="1857" customFormat="1" hidden="1" outlineLevel="1">
      <c r="A1219" s="8">
        <v>43947</v>
      </c>
      <c r="B1219" s="1860">
        <v>2867.9018900000001</v>
      </c>
      <c r="C1219" s="1860">
        <v>4148.5623299999997</v>
      </c>
      <c r="D1219" s="1860">
        <v>4368.1094300000004</v>
      </c>
      <c r="E1219" s="1860">
        <v>4984.1896100000004</v>
      </c>
      <c r="F1219">
        <v>37.602919999999997</v>
      </c>
      <c r="G1219" s="1861">
        <v>4039.87</v>
      </c>
      <c r="I1219">
        <v>0.70989000000000002</v>
      </c>
      <c r="J1219">
        <v>1.0268999999999999</v>
      </c>
      <c r="K1219">
        <v>1.08125</v>
      </c>
      <c r="L1219">
        <v>1.2337499999999999</v>
      </c>
      <c r="M1219">
        <v>9.2999999999999992E-3</v>
      </c>
      <c r="N1219">
        <v>1</v>
      </c>
      <c r="P1219">
        <v>1.40865</v>
      </c>
      <c r="Q1219">
        <v>0.9738</v>
      </c>
      <c r="R1219">
        <v>0.92484999999999995</v>
      </c>
      <c r="S1219">
        <v>0.81052999999999997</v>
      </c>
      <c r="T1219">
        <v>107.435</v>
      </c>
      <c r="U1219">
        <v>1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</row>
    <row r="1220" spans="1:35" s="1857" customFormat="1" hidden="1" outlineLevel="1">
      <c r="A1220" s="8">
        <v>43948</v>
      </c>
      <c r="B1220" s="1860">
        <v>2875.7616699999999</v>
      </c>
      <c r="C1220" s="1860">
        <v>4140.2715799999996</v>
      </c>
      <c r="D1220" s="1860">
        <v>4379.4210700000003</v>
      </c>
      <c r="E1220" s="1860">
        <v>5013.2766700000002</v>
      </c>
      <c r="F1220">
        <v>37.687109999999997</v>
      </c>
      <c r="G1220" s="1861">
        <v>4039.87</v>
      </c>
      <c r="I1220">
        <v>0.71184000000000003</v>
      </c>
      <c r="J1220">
        <v>1.02485</v>
      </c>
      <c r="K1220">
        <v>1.08405</v>
      </c>
      <c r="L1220">
        <v>1.24095</v>
      </c>
      <c r="M1220">
        <v>9.3200000000000002E-3</v>
      </c>
      <c r="N1220">
        <v>1</v>
      </c>
      <c r="P1220">
        <v>1.4048</v>
      </c>
      <c r="Q1220">
        <v>0.97575000000000001</v>
      </c>
      <c r="R1220">
        <v>0.92245999999999995</v>
      </c>
      <c r="S1220">
        <v>0.80583000000000005</v>
      </c>
      <c r="T1220">
        <v>107.19499999999999</v>
      </c>
      <c r="U1220">
        <v>1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</row>
    <row r="1221" spans="1:35" hidden="1" outlineLevel="1">
      <c r="A1221" s="8">
        <v>43949</v>
      </c>
      <c r="B1221" s="1860">
        <v>2886.0051400000002</v>
      </c>
      <c r="C1221" s="1860">
        <v>4143.20291</v>
      </c>
      <c r="D1221" s="1860">
        <v>4375.9438499999997</v>
      </c>
      <c r="E1221" s="1860">
        <v>5024.3365700000004</v>
      </c>
      <c r="F1221">
        <v>37.773069999999997</v>
      </c>
      <c r="G1221" s="1861">
        <v>4039.83</v>
      </c>
      <c r="I1221">
        <v>0.71438000000000001</v>
      </c>
      <c r="J1221">
        <v>1.0255799999999999</v>
      </c>
      <c r="K1221">
        <v>1.0831999999999999</v>
      </c>
      <c r="L1221">
        <v>1.2437</v>
      </c>
      <c r="M1221">
        <v>9.3500000000000007E-3</v>
      </c>
      <c r="N1221">
        <v>1</v>
      </c>
      <c r="P1221">
        <v>1.3997999999999999</v>
      </c>
      <c r="Q1221">
        <v>0.97504999999999997</v>
      </c>
      <c r="R1221">
        <v>0.92318999999999996</v>
      </c>
      <c r="S1221">
        <v>0.80405000000000004</v>
      </c>
      <c r="T1221">
        <v>106.95</v>
      </c>
      <c r="U1221">
        <v>1</v>
      </c>
    </row>
    <row r="1222" spans="1:35" hidden="1" outlineLevel="1">
      <c r="A1222" s="8">
        <v>43950</v>
      </c>
      <c r="B1222" s="1860">
        <v>2904.8641200000002</v>
      </c>
      <c r="C1222" s="1860">
        <v>4155.9652800000003</v>
      </c>
      <c r="D1222" s="1860">
        <v>4391.3695100000004</v>
      </c>
      <c r="E1222" s="1860">
        <v>5031.8576400000002</v>
      </c>
      <c r="F1222">
        <v>37.957120000000003</v>
      </c>
      <c r="G1222" s="1861">
        <v>4046.04</v>
      </c>
      <c r="I1222">
        <v>0.71794999999999998</v>
      </c>
      <c r="J1222">
        <v>1.0271600000000001</v>
      </c>
      <c r="K1222">
        <v>1.08535</v>
      </c>
      <c r="L1222">
        <v>1.2436499999999999</v>
      </c>
      <c r="M1222">
        <v>9.3799999999999994E-3</v>
      </c>
      <c r="N1222">
        <v>1</v>
      </c>
      <c r="P1222">
        <v>1.3928499999999999</v>
      </c>
      <c r="Q1222">
        <v>0.97355000000000003</v>
      </c>
      <c r="R1222">
        <v>0.92135999999999996</v>
      </c>
      <c r="S1222">
        <v>0.80408000000000002</v>
      </c>
      <c r="T1222">
        <v>106.595</v>
      </c>
      <c r="U1222">
        <v>1</v>
      </c>
    </row>
    <row r="1223" spans="1:35" ht="15.75" hidden="1" outlineLevel="1" thickBot="1">
      <c r="A1223" s="1868">
        <v>43951</v>
      </c>
      <c r="B1223" s="1869">
        <v>2867.8426100000001</v>
      </c>
      <c r="C1223" s="1869">
        <v>4127.1201300000002</v>
      </c>
      <c r="D1223" s="1869">
        <v>4362.8975300000002</v>
      </c>
      <c r="E1223" s="1869">
        <v>5024.3228399999998</v>
      </c>
      <c r="F1223" s="1870">
        <v>37.249630000000003</v>
      </c>
      <c r="G1223" s="1871">
        <v>3983.29</v>
      </c>
      <c r="H1223" s="1872"/>
      <c r="I1223" s="1870">
        <v>0.71996000000000004</v>
      </c>
      <c r="J1223" s="1870">
        <v>1.0361</v>
      </c>
      <c r="K1223" s="1870">
        <v>1.0952999999999999</v>
      </c>
      <c r="L1223" s="1870">
        <v>1.26135</v>
      </c>
      <c r="M1223" s="1870">
        <v>9.3500000000000007E-3</v>
      </c>
      <c r="N1223" s="1870">
        <v>1</v>
      </c>
      <c r="O1223" s="1872"/>
      <c r="P1223" s="1870">
        <v>1.3889499999999999</v>
      </c>
      <c r="Q1223" s="1870">
        <v>0.96514999999999995</v>
      </c>
      <c r="R1223" s="1870">
        <v>0.91298999999999997</v>
      </c>
      <c r="S1223" s="1870">
        <v>0.79279999999999995</v>
      </c>
      <c r="T1223" s="1870">
        <v>106.935</v>
      </c>
      <c r="U1223" s="1870">
        <v>1</v>
      </c>
      <c r="V1223" s="1872"/>
    </row>
    <row r="1224" spans="1:35" hidden="1" outlineLevel="1">
      <c r="A1224" s="8">
        <v>43952</v>
      </c>
      <c r="B1224" s="1860">
        <v>2793.7202499999999</v>
      </c>
      <c r="C1224" s="1860">
        <v>4098.7180799999996</v>
      </c>
      <c r="D1224" s="1860">
        <v>4329.3348100000003</v>
      </c>
      <c r="E1224" s="1860">
        <v>4932.6140599999999</v>
      </c>
      <c r="F1224">
        <v>36.787050000000001</v>
      </c>
      <c r="G1224" s="1861">
        <v>3932.72</v>
      </c>
      <c r="I1224">
        <v>0.71036999999999995</v>
      </c>
      <c r="J1224">
        <v>1.0422</v>
      </c>
      <c r="K1224">
        <v>1.1008500000000001</v>
      </c>
      <c r="L1224">
        <v>1.2542500000000001</v>
      </c>
      <c r="M1224">
        <v>9.3500000000000007E-3</v>
      </c>
      <c r="N1224">
        <v>1</v>
      </c>
      <c r="P1224">
        <v>1.4077</v>
      </c>
      <c r="Q1224">
        <v>0.95950000000000002</v>
      </c>
      <c r="R1224">
        <v>0.90837999999999997</v>
      </c>
      <c r="S1224">
        <v>0.79727999999999999</v>
      </c>
      <c r="T1224">
        <v>106.905</v>
      </c>
      <c r="U1224">
        <v>1</v>
      </c>
      <c r="AC1224" s="1857"/>
    </row>
    <row r="1225" spans="1:35" hidden="1" outlineLevel="1">
      <c r="A1225" s="8">
        <v>43953</v>
      </c>
      <c r="B1225" s="1860">
        <v>2793.7202499999999</v>
      </c>
      <c r="C1225" s="1860">
        <v>4098.7180799999996</v>
      </c>
      <c r="D1225" s="1860">
        <v>4329.3348100000003</v>
      </c>
      <c r="E1225" s="1860">
        <v>4932.6140599999999</v>
      </c>
      <c r="F1225">
        <v>36.787050000000001</v>
      </c>
      <c r="G1225" s="1861">
        <v>3932.72</v>
      </c>
      <c r="I1225">
        <v>0.71036999999999995</v>
      </c>
      <c r="J1225">
        <v>1.0422</v>
      </c>
      <c r="K1225">
        <v>1.1008500000000001</v>
      </c>
      <c r="L1225">
        <v>1.2542500000000001</v>
      </c>
      <c r="M1225">
        <v>9.3500000000000007E-3</v>
      </c>
      <c r="N1225">
        <v>1</v>
      </c>
      <c r="P1225">
        <v>1.4077</v>
      </c>
      <c r="Q1225">
        <v>0.95950000000000002</v>
      </c>
      <c r="R1225">
        <v>0.90837999999999997</v>
      </c>
      <c r="S1225">
        <v>0.79727999999999999</v>
      </c>
      <c r="T1225">
        <v>106.905</v>
      </c>
      <c r="U1225">
        <v>1</v>
      </c>
    </row>
    <row r="1226" spans="1:35" hidden="1" outlineLevel="1">
      <c r="A1226" s="8">
        <v>43954</v>
      </c>
      <c r="B1226" s="1860">
        <v>2793.7202499999999</v>
      </c>
      <c r="C1226" s="1860">
        <v>4098.7180799999996</v>
      </c>
      <c r="D1226" s="1860">
        <v>4329.3348100000003</v>
      </c>
      <c r="E1226" s="1860">
        <v>4932.6140599999999</v>
      </c>
      <c r="F1226">
        <v>36.787050000000001</v>
      </c>
      <c r="G1226" s="1861">
        <v>3932.72</v>
      </c>
      <c r="I1226">
        <v>0.71036999999999995</v>
      </c>
      <c r="J1226">
        <v>1.0422</v>
      </c>
      <c r="K1226">
        <v>1.1008500000000001</v>
      </c>
      <c r="L1226">
        <v>1.2542500000000001</v>
      </c>
      <c r="M1226">
        <v>9.3500000000000007E-3</v>
      </c>
      <c r="N1226">
        <v>1</v>
      </c>
      <c r="P1226">
        <v>1.4077</v>
      </c>
      <c r="Q1226">
        <v>0.95950000000000002</v>
      </c>
      <c r="R1226">
        <v>0.90837999999999997</v>
      </c>
      <c r="S1226">
        <v>0.79727999999999999</v>
      </c>
      <c r="T1226">
        <v>106.905</v>
      </c>
      <c r="U1226">
        <v>1</v>
      </c>
    </row>
    <row r="1227" spans="1:35" hidden="1" outlineLevel="1">
      <c r="A1227" s="8">
        <v>43955</v>
      </c>
      <c r="B1227" s="1860">
        <v>2792.62914</v>
      </c>
      <c r="C1227" s="1860">
        <v>4077.0474800000002</v>
      </c>
      <c r="D1227" s="1860">
        <v>4293.1537799999996</v>
      </c>
      <c r="E1227" s="1860">
        <v>4884.83151</v>
      </c>
      <c r="F1227">
        <v>36.780169999999998</v>
      </c>
      <c r="G1227" s="1861">
        <v>3932.72</v>
      </c>
      <c r="I1227">
        <v>0.71009999999999995</v>
      </c>
      <c r="J1227">
        <v>1.0366899999999999</v>
      </c>
      <c r="K1227">
        <v>1.09165</v>
      </c>
      <c r="L1227">
        <v>1.2421</v>
      </c>
      <c r="M1227">
        <v>9.3500000000000007E-3</v>
      </c>
      <c r="N1227">
        <v>1</v>
      </c>
      <c r="P1227">
        <v>1.40825</v>
      </c>
      <c r="Q1227">
        <v>0.96460000000000001</v>
      </c>
      <c r="R1227">
        <v>0.91603999999999997</v>
      </c>
      <c r="S1227">
        <v>0.80508000000000002</v>
      </c>
      <c r="T1227">
        <v>106.925</v>
      </c>
      <c r="U1227">
        <v>1</v>
      </c>
    </row>
    <row r="1228" spans="1:35" hidden="1" outlineLevel="1">
      <c r="A1228" s="8">
        <v>43956</v>
      </c>
      <c r="B1228" s="1860">
        <v>2838.41365</v>
      </c>
      <c r="C1228" s="1860">
        <v>4103.3525200000004</v>
      </c>
      <c r="D1228" s="1860">
        <v>4325.4678999999996</v>
      </c>
      <c r="E1228" s="1860">
        <v>4969.6695499999996</v>
      </c>
      <c r="F1228">
        <v>37.428820000000002</v>
      </c>
      <c r="G1228" s="1861">
        <v>3990.1</v>
      </c>
      <c r="I1228">
        <v>0.71135999999999999</v>
      </c>
      <c r="J1228">
        <v>1.0283800000000001</v>
      </c>
      <c r="K1228">
        <v>1.08405</v>
      </c>
      <c r="L1228">
        <v>1.2455000000000001</v>
      </c>
      <c r="M1228">
        <v>9.3799999999999994E-3</v>
      </c>
      <c r="N1228">
        <v>1</v>
      </c>
      <c r="P1228">
        <v>1.4057500000000001</v>
      </c>
      <c r="Q1228">
        <v>0.97240000000000004</v>
      </c>
      <c r="R1228">
        <v>0.92245999999999995</v>
      </c>
      <c r="S1228">
        <v>0.80288999999999999</v>
      </c>
      <c r="T1228">
        <v>106.605</v>
      </c>
      <c r="U1228">
        <v>1</v>
      </c>
    </row>
    <row r="1229" spans="1:35" hidden="1" outlineLevel="1">
      <c r="A1229" s="8">
        <v>43957</v>
      </c>
      <c r="B1229" s="1860">
        <v>2777.7486899999999</v>
      </c>
      <c r="C1229" s="1860">
        <v>4026.73846</v>
      </c>
      <c r="D1229" s="1860">
        <v>4239.1740799999998</v>
      </c>
      <c r="E1229" s="1860">
        <v>4853.4077299999999</v>
      </c>
      <c r="F1229">
        <v>37.02093</v>
      </c>
      <c r="G1229" s="1861">
        <v>3926.07</v>
      </c>
      <c r="I1229">
        <v>0.70750999999999997</v>
      </c>
      <c r="J1229">
        <v>1.0256400000000001</v>
      </c>
      <c r="K1229">
        <v>1.07975</v>
      </c>
      <c r="L1229">
        <v>1.2362</v>
      </c>
      <c r="M1229">
        <v>9.4199999999999996E-3</v>
      </c>
      <c r="N1229">
        <v>1</v>
      </c>
      <c r="P1229">
        <v>1.4134</v>
      </c>
      <c r="Q1229">
        <v>0.97499999999999998</v>
      </c>
      <c r="R1229">
        <v>0.92613999999999996</v>
      </c>
      <c r="S1229">
        <v>0.80893000000000004</v>
      </c>
      <c r="T1229">
        <v>106.05</v>
      </c>
      <c r="U1229">
        <v>1</v>
      </c>
    </row>
    <row r="1230" spans="1:35" hidden="1" outlineLevel="1">
      <c r="A1230" s="8">
        <v>43958</v>
      </c>
      <c r="B1230" s="1860">
        <v>2824.7130099999999</v>
      </c>
      <c r="C1230" s="1860">
        <v>4051.8128299999998</v>
      </c>
      <c r="D1230" s="1860">
        <v>4269.6790600000004</v>
      </c>
      <c r="E1230" s="1860">
        <v>4867.0973899999999</v>
      </c>
      <c r="F1230">
        <v>37.175989999999999</v>
      </c>
      <c r="G1230" s="1861">
        <v>3961.66</v>
      </c>
      <c r="I1230">
        <v>0.71301000000000003</v>
      </c>
      <c r="J1230">
        <v>1.02275</v>
      </c>
      <c r="K1230">
        <v>1.07775</v>
      </c>
      <c r="L1230">
        <v>1.22855</v>
      </c>
      <c r="M1230">
        <v>9.3799999999999994E-3</v>
      </c>
      <c r="N1230">
        <v>1</v>
      </c>
      <c r="P1230">
        <v>1.4025000000000001</v>
      </c>
      <c r="Q1230">
        <v>0.97775000000000001</v>
      </c>
      <c r="R1230">
        <v>0.92784999999999995</v>
      </c>
      <c r="S1230">
        <v>0.81396000000000002</v>
      </c>
      <c r="T1230">
        <v>106.565</v>
      </c>
      <c r="U1230">
        <v>1</v>
      </c>
    </row>
    <row r="1231" spans="1:35" hidden="1" outlineLevel="1">
      <c r="A1231" s="8">
        <v>43959</v>
      </c>
      <c r="B1231" s="1860">
        <v>2818.03755</v>
      </c>
      <c r="C1231" s="1860">
        <v>4052.8114799999998</v>
      </c>
      <c r="D1231" s="1860">
        <v>4266.9561100000001</v>
      </c>
      <c r="E1231" s="1860">
        <v>4887.22966</v>
      </c>
      <c r="F1231">
        <v>36.874369999999999</v>
      </c>
      <c r="G1231" s="1861">
        <v>3924.54</v>
      </c>
      <c r="I1231">
        <v>0.71804999999999997</v>
      </c>
      <c r="J1231">
        <v>1.03268</v>
      </c>
      <c r="K1231">
        <v>1.08725</v>
      </c>
      <c r="L1231">
        <v>1.2453000000000001</v>
      </c>
      <c r="M1231">
        <v>9.3900000000000008E-3</v>
      </c>
      <c r="N1231">
        <v>1</v>
      </c>
      <c r="P1231">
        <v>1.3926499999999999</v>
      </c>
      <c r="Q1231">
        <v>0.96835000000000004</v>
      </c>
      <c r="R1231">
        <v>0.91974999999999996</v>
      </c>
      <c r="S1231">
        <v>0.80301</v>
      </c>
      <c r="T1231">
        <v>106.43</v>
      </c>
      <c r="U1231">
        <v>1</v>
      </c>
    </row>
    <row r="1232" spans="1:35" hidden="1" outlineLevel="1">
      <c r="A1232" s="8">
        <v>43960</v>
      </c>
      <c r="B1232" s="1860">
        <v>2787.68534</v>
      </c>
      <c r="C1232" s="1860">
        <v>4009.1599099999999</v>
      </c>
      <c r="D1232" s="1860">
        <v>4220.9980500000001</v>
      </c>
      <c r="E1232" s="1860">
        <v>4834.5908300000001</v>
      </c>
      <c r="F1232">
        <v>36.477209999999999</v>
      </c>
      <c r="G1232" s="1861">
        <v>3882.27</v>
      </c>
      <c r="I1232">
        <v>0.71804999999999997</v>
      </c>
      <c r="J1232">
        <v>1.03268</v>
      </c>
      <c r="K1232">
        <v>1.08725</v>
      </c>
      <c r="L1232">
        <v>1.2453000000000001</v>
      </c>
      <c r="M1232">
        <v>9.3900000000000008E-3</v>
      </c>
      <c r="N1232">
        <v>1</v>
      </c>
      <c r="P1232">
        <v>1.3926499999999999</v>
      </c>
      <c r="Q1232">
        <v>0.96835000000000004</v>
      </c>
      <c r="R1232">
        <v>0.91974999999999996</v>
      </c>
      <c r="S1232">
        <v>0.80301</v>
      </c>
      <c r="T1232">
        <v>106.43</v>
      </c>
      <c r="U1232">
        <v>1</v>
      </c>
    </row>
    <row r="1233" spans="1:35" hidden="1" outlineLevel="1">
      <c r="A1233" s="8">
        <v>43961</v>
      </c>
      <c r="B1233" s="1860">
        <v>2787.68534</v>
      </c>
      <c r="C1233" s="1860">
        <v>4009.1599099999999</v>
      </c>
      <c r="D1233" s="1860">
        <v>4220.9980500000001</v>
      </c>
      <c r="E1233" s="1860">
        <v>4834.5908300000001</v>
      </c>
      <c r="F1233">
        <v>36.477209999999999</v>
      </c>
      <c r="G1233" s="1861">
        <v>3882.27</v>
      </c>
      <c r="I1233">
        <v>0.71804999999999997</v>
      </c>
      <c r="J1233">
        <v>1.03268</v>
      </c>
      <c r="K1233">
        <v>1.08725</v>
      </c>
      <c r="L1233">
        <v>1.2453000000000001</v>
      </c>
      <c r="M1233">
        <v>9.3900000000000008E-3</v>
      </c>
      <c r="N1233">
        <v>1</v>
      </c>
      <c r="P1233">
        <v>1.3926499999999999</v>
      </c>
      <c r="Q1233">
        <v>0.96835000000000004</v>
      </c>
      <c r="R1233">
        <v>0.91974999999999996</v>
      </c>
      <c r="S1233">
        <v>0.80301</v>
      </c>
      <c r="T1233">
        <v>106.43</v>
      </c>
      <c r="U1233">
        <v>1</v>
      </c>
    </row>
    <row r="1234" spans="1:35" hidden="1" outlineLevel="1">
      <c r="A1234" s="8">
        <v>43962</v>
      </c>
      <c r="B1234" s="1860">
        <v>2769.2916700000001</v>
      </c>
      <c r="C1234" s="1860">
        <v>3995.5436599999998</v>
      </c>
      <c r="D1234" s="1860">
        <v>4202.5572700000002</v>
      </c>
      <c r="E1234" s="1860">
        <v>4796.9328100000002</v>
      </c>
      <c r="F1234">
        <v>36.109099999999998</v>
      </c>
      <c r="G1234" s="1861">
        <v>3882.27</v>
      </c>
      <c r="I1234">
        <v>0.71331</v>
      </c>
      <c r="J1234">
        <v>1.0291699999999999</v>
      </c>
      <c r="K1234">
        <v>1.0825</v>
      </c>
      <c r="L1234">
        <v>1.2356</v>
      </c>
      <c r="M1234">
        <v>9.2999999999999992E-3</v>
      </c>
      <c r="N1234">
        <v>1</v>
      </c>
      <c r="P1234">
        <v>1.4018999999999999</v>
      </c>
      <c r="Q1234">
        <v>0.97165000000000001</v>
      </c>
      <c r="R1234">
        <v>0.92378000000000005</v>
      </c>
      <c r="S1234">
        <v>0.80932000000000004</v>
      </c>
      <c r="T1234">
        <v>107.515</v>
      </c>
      <c r="U1234">
        <v>1</v>
      </c>
    </row>
    <row r="1235" spans="1:35" hidden="1" outlineLevel="1">
      <c r="A1235" s="8">
        <v>43963</v>
      </c>
      <c r="B1235" s="1860">
        <v>2788.0654599999998</v>
      </c>
      <c r="C1235" s="1860">
        <v>4034.4777600000002</v>
      </c>
      <c r="D1235" s="1860">
        <v>4242.5121799999997</v>
      </c>
      <c r="E1235" s="1860">
        <v>4810.7423500000004</v>
      </c>
      <c r="F1235">
        <v>36.381210000000003</v>
      </c>
      <c r="G1235" s="1861">
        <v>3901.34</v>
      </c>
      <c r="I1235">
        <v>0.71464000000000005</v>
      </c>
      <c r="J1235">
        <v>1.0341199999999999</v>
      </c>
      <c r="K1235">
        <v>1.08745</v>
      </c>
      <c r="L1235">
        <v>1.2331000000000001</v>
      </c>
      <c r="M1235">
        <v>9.3200000000000002E-3</v>
      </c>
      <c r="N1235">
        <v>1</v>
      </c>
      <c r="P1235">
        <v>1.3993</v>
      </c>
      <c r="Q1235">
        <v>0.96699999999999997</v>
      </c>
      <c r="R1235">
        <v>0.91957999999999995</v>
      </c>
      <c r="S1235">
        <v>0.81096000000000001</v>
      </c>
      <c r="T1235">
        <v>107.235</v>
      </c>
      <c r="U1235">
        <v>1</v>
      </c>
    </row>
    <row r="1236" spans="1:35" hidden="1" outlineLevel="1">
      <c r="A1236" s="8">
        <v>43964</v>
      </c>
      <c r="B1236" s="1860">
        <v>2758.9619600000001</v>
      </c>
      <c r="C1236" s="1860">
        <v>3998.0218399999999</v>
      </c>
      <c r="D1236" s="1860">
        <v>4206.0522700000001</v>
      </c>
      <c r="E1236" s="1860">
        <v>4744.27484</v>
      </c>
      <c r="F1236">
        <v>36.227229999999999</v>
      </c>
      <c r="G1236" s="1861">
        <v>3880.48</v>
      </c>
      <c r="I1236">
        <v>0.71097999999999995</v>
      </c>
      <c r="J1236">
        <v>1.0302899999999999</v>
      </c>
      <c r="K1236">
        <v>1.0839000000000001</v>
      </c>
      <c r="L1236">
        <v>1.2225999999999999</v>
      </c>
      <c r="M1236">
        <v>9.3299999999999998E-3</v>
      </c>
      <c r="N1236">
        <v>1</v>
      </c>
      <c r="P1236">
        <v>1.4065000000000001</v>
      </c>
      <c r="Q1236">
        <v>0.97060000000000002</v>
      </c>
      <c r="R1236">
        <v>0.92259000000000002</v>
      </c>
      <c r="S1236">
        <v>0.81791999999999998</v>
      </c>
      <c r="T1236">
        <v>107.11499999999999</v>
      </c>
      <c r="U1236">
        <v>1</v>
      </c>
    </row>
    <row r="1237" spans="1:35" s="1857" customFormat="1" hidden="1" outlineLevel="1">
      <c r="A1237" s="8">
        <v>43965</v>
      </c>
      <c r="B1237" s="1860">
        <v>2767.0756700000002</v>
      </c>
      <c r="C1237" s="1860">
        <v>4015.3355200000001</v>
      </c>
      <c r="D1237" s="1860">
        <v>4218.6707500000002</v>
      </c>
      <c r="E1237" s="1860">
        <v>4759.3909299999996</v>
      </c>
      <c r="F1237">
        <v>36.445419999999999</v>
      </c>
      <c r="G1237" s="1861">
        <v>3901.3</v>
      </c>
      <c r="I1237">
        <v>0.70926999999999996</v>
      </c>
      <c r="J1237">
        <v>1.0292300000000001</v>
      </c>
      <c r="K1237">
        <v>1.08135</v>
      </c>
      <c r="L1237">
        <v>1.2199500000000001</v>
      </c>
      <c r="M1237">
        <v>9.3399999999999993E-3</v>
      </c>
      <c r="N1237">
        <v>1</v>
      </c>
      <c r="P1237">
        <v>1.4098999999999999</v>
      </c>
      <c r="Q1237">
        <v>0.97160000000000002</v>
      </c>
      <c r="R1237">
        <v>0.92476000000000003</v>
      </c>
      <c r="S1237">
        <v>0.81969999999999998</v>
      </c>
      <c r="T1237">
        <v>107.045</v>
      </c>
      <c r="U1237">
        <v>1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</row>
    <row r="1238" spans="1:35" s="1857" customFormat="1" hidden="1" outlineLevel="1">
      <c r="A1238" s="8">
        <v>43966</v>
      </c>
      <c r="B1238" s="1860">
        <v>2804.5252700000001</v>
      </c>
      <c r="C1238" s="1860">
        <v>4058.38087</v>
      </c>
      <c r="D1238" s="1860">
        <v>4270.9166100000002</v>
      </c>
      <c r="E1238" s="1860">
        <v>4786.6953700000004</v>
      </c>
      <c r="F1238">
        <v>36.79036</v>
      </c>
      <c r="G1238" s="1861">
        <v>3947.79</v>
      </c>
      <c r="I1238">
        <v>0.71040000000000003</v>
      </c>
      <c r="J1238">
        <v>1.0280100000000001</v>
      </c>
      <c r="K1238">
        <v>1.08185</v>
      </c>
      <c r="L1238">
        <v>1.2124999999999999</v>
      </c>
      <c r="M1238">
        <v>9.3100000000000006E-3</v>
      </c>
      <c r="N1238">
        <v>1</v>
      </c>
      <c r="P1238">
        <v>1.4076500000000001</v>
      </c>
      <c r="Q1238">
        <v>0.97275</v>
      </c>
      <c r="R1238">
        <v>0.92434000000000005</v>
      </c>
      <c r="S1238">
        <v>0.82474000000000003</v>
      </c>
      <c r="T1238">
        <v>107.30500000000001</v>
      </c>
      <c r="U1238">
        <v>1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</row>
    <row r="1239" spans="1:35" s="1857" customFormat="1" hidden="1" outlineLevel="1">
      <c r="A1239" s="8">
        <v>43967</v>
      </c>
      <c r="B1239" s="1860">
        <v>2789.0881899999999</v>
      </c>
      <c r="C1239" s="1860">
        <v>4036.04214</v>
      </c>
      <c r="D1239" s="1860">
        <v>4247.4080100000001</v>
      </c>
      <c r="E1239" s="1860">
        <v>4760.3477499999999</v>
      </c>
      <c r="F1239">
        <v>36.587850000000003</v>
      </c>
      <c r="G1239" s="1861">
        <v>3926.06</v>
      </c>
      <c r="I1239">
        <v>0.71040000000000003</v>
      </c>
      <c r="J1239">
        <v>1.0280100000000001</v>
      </c>
      <c r="K1239">
        <v>1.08185</v>
      </c>
      <c r="L1239">
        <v>1.2124999999999999</v>
      </c>
      <c r="M1239">
        <v>9.3100000000000006E-3</v>
      </c>
      <c r="N1239">
        <v>1</v>
      </c>
      <c r="P1239">
        <v>1.4076500000000001</v>
      </c>
      <c r="Q1239">
        <v>0.97275</v>
      </c>
      <c r="R1239">
        <v>0.92434000000000005</v>
      </c>
      <c r="S1239">
        <v>0.82474000000000003</v>
      </c>
      <c r="T1239">
        <v>107.30500000000001</v>
      </c>
      <c r="U1239">
        <v>1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</row>
    <row r="1240" spans="1:35" s="1857" customFormat="1" hidden="1" outlineLevel="1">
      <c r="A1240" s="8">
        <v>43968</v>
      </c>
      <c r="B1240" s="1860">
        <v>2789.0881899999999</v>
      </c>
      <c r="C1240" s="1860">
        <v>4036.04214</v>
      </c>
      <c r="D1240" s="1860">
        <v>4247.4080100000001</v>
      </c>
      <c r="E1240" s="1860">
        <v>4760.3477499999999</v>
      </c>
      <c r="F1240">
        <v>36.587850000000003</v>
      </c>
      <c r="G1240" s="1861">
        <v>3926.06</v>
      </c>
      <c r="I1240">
        <v>0.71040000000000003</v>
      </c>
      <c r="J1240">
        <v>1.0280100000000001</v>
      </c>
      <c r="K1240">
        <v>1.08185</v>
      </c>
      <c r="L1240">
        <v>1.2124999999999999</v>
      </c>
      <c r="M1240">
        <v>9.3100000000000006E-3</v>
      </c>
      <c r="N1240">
        <v>1</v>
      </c>
      <c r="P1240">
        <v>1.4076500000000001</v>
      </c>
      <c r="Q1240">
        <v>0.97275</v>
      </c>
      <c r="R1240">
        <v>0.92434000000000005</v>
      </c>
      <c r="S1240">
        <v>0.82474000000000003</v>
      </c>
      <c r="T1240">
        <v>107.30500000000001</v>
      </c>
      <c r="U1240">
        <v>1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</row>
    <row r="1241" spans="1:35" s="1857" customFormat="1" hidden="1" outlineLevel="1">
      <c r="A1241" s="8">
        <v>43969</v>
      </c>
      <c r="B1241" s="1860">
        <v>2805.7314299999998</v>
      </c>
      <c r="C1241" s="1860">
        <v>4049.1542899999999</v>
      </c>
      <c r="D1241" s="1860">
        <v>4262.7196400000003</v>
      </c>
      <c r="E1241" s="1860">
        <v>4786.8486499999999</v>
      </c>
      <c r="F1241">
        <v>36.548679999999997</v>
      </c>
      <c r="G1241" s="1861">
        <v>3926.06</v>
      </c>
      <c r="I1241">
        <v>0.71464000000000005</v>
      </c>
      <c r="J1241">
        <v>1.03135</v>
      </c>
      <c r="K1241">
        <v>1.08575</v>
      </c>
      <c r="L1241">
        <v>1.2192499999999999</v>
      </c>
      <c r="M1241">
        <v>9.2999999999999992E-3</v>
      </c>
      <c r="N1241">
        <v>1</v>
      </c>
      <c r="P1241">
        <v>1.3993</v>
      </c>
      <c r="Q1241">
        <v>0.96960000000000002</v>
      </c>
      <c r="R1241">
        <v>0.92101999999999995</v>
      </c>
      <c r="S1241">
        <v>0.82016999999999995</v>
      </c>
      <c r="T1241">
        <v>107.42</v>
      </c>
      <c r="U1241">
        <v>1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</row>
    <row r="1242" spans="1:35" s="1857" customFormat="1" hidden="1" outlineLevel="1">
      <c r="A1242" s="8">
        <v>43970</v>
      </c>
      <c r="B1242" s="1860">
        <v>2775.2459100000001</v>
      </c>
      <c r="C1242" s="1860">
        <v>3964.45336</v>
      </c>
      <c r="D1242" s="1860">
        <v>4215.9588800000001</v>
      </c>
      <c r="E1242" s="1860">
        <v>4717.7533000000003</v>
      </c>
      <c r="F1242">
        <v>35.679519999999997</v>
      </c>
      <c r="G1242" s="1861">
        <v>3851.07</v>
      </c>
      <c r="I1242">
        <v>0.72063999999999995</v>
      </c>
      <c r="J1242">
        <v>1.0294399999999999</v>
      </c>
      <c r="K1242">
        <v>1.0947499999999999</v>
      </c>
      <c r="L1242">
        <v>1.22505</v>
      </c>
      <c r="M1242">
        <v>9.2599999999999991E-3</v>
      </c>
      <c r="N1242">
        <v>1</v>
      </c>
      <c r="P1242">
        <v>1.3876500000000001</v>
      </c>
      <c r="Q1242">
        <v>0.97140000000000004</v>
      </c>
      <c r="R1242">
        <v>0.91344999999999998</v>
      </c>
      <c r="S1242">
        <v>0.81628999999999996</v>
      </c>
      <c r="T1242">
        <v>107.935</v>
      </c>
      <c r="U1242">
        <v>1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</row>
    <row r="1243" spans="1:35" s="1857" customFormat="1" hidden="1" outlineLevel="1">
      <c r="A1243" s="8">
        <v>43971</v>
      </c>
      <c r="B1243" s="1860">
        <v>2755.25936</v>
      </c>
      <c r="C1243" s="1860">
        <v>3966.4989799999998</v>
      </c>
      <c r="D1243" s="1860">
        <v>4203.8617700000004</v>
      </c>
      <c r="E1243" s="1860">
        <v>4692.4161000000004</v>
      </c>
      <c r="F1243">
        <v>35.596400000000003</v>
      </c>
      <c r="G1243" s="1861">
        <v>3824.3</v>
      </c>
      <c r="I1243">
        <v>0.72045999999999999</v>
      </c>
      <c r="J1243">
        <v>1.03718</v>
      </c>
      <c r="K1243">
        <v>1.0992500000000001</v>
      </c>
      <c r="L1243">
        <v>1.2270000000000001</v>
      </c>
      <c r="M1243">
        <v>9.2999999999999992E-3</v>
      </c>
      <c r="N1243">
        <v>1</v>
      </c>
      <c r="P1243">
        <v>1.3879999999999999</v>
      </c>
      <c r="Q1243">
        <v>0.96414999999999995</v>
      </c>
      <c r="R1243">
        <v>0.90971000000000002</v>
      </c>
      <c r="S1243">
        <v>0.81498999999999999</v>
      </c>
      <c r="T1243">
        <v>107.435</v>
      </c>
      <c r="U1243">
        <v>1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</row>
    <row r="1244" spans="1:35" s="1857" customFormat="1" hidden="1" outlineLevel="1">
      <c r="A1244" s="8">
        <v>43972</v>
      </c>
      <c r="B1244" s="1860">
        <v>2728.14113</v>
      </c>
      <c r="C1244" s="1860">
        <v>3918.74323</v>
      </c>
      <c r="D1244" s="1860">
        <v>4162.2778900000003</v>
      </c>
      <c r="E1244" s="1860">
        <v>4646.7325799999999</v>
      </c>
      <c r="F1244">
        <v>35.282130000000002</v>
      </c>
      <c r="G1244" s="1861">
        <v>3804.12</v>
      </c>
      <c r="I1244">
        <v>0.71714999999999995</v>
      </c>
      <c r="J1244">
        <v>1.03013</v>
      </c>
      <c r="K1244">
        <v>1.09415</v>
      </c>
      <c r="L1244">
        <v>1.2215</v>
      </c>
      <c r="M1244">
        <v>9.2700000000000005E-3</v>
      </c>
      <c r="N1244">
        <v>1</v>
      </c>
      <c r="P1244">
        <v>1.3944000000000001</v>
      </c>
      <c r="Q1244">
        <v>0.97075</v>
      </c>
      <c r="R1244">
        <v>0.91395000000000004</v>
      </c>
      <c r="S1244">
        <v>0.81866000000000005</v>
      </c>
      <c r="T1244">
        <v>107.82</v>
      </c>
      <c r="U1244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</row>
    <row r="1245" spans="1:35" s="1857" customFormat="1" hidden="1" outlineLevel="1">
      <c r="A1245" s="8">
        <v>43973</v>
      </c>
      <c r="B1245" s="1860">
        <v>2689.7448599999998</v>
      </c>
      <c r="C1245" s="1860">
        <v>3881.7751699999999</v>
      </c>
      <c r="D1245" s="1860">
        <v>4110.3469599999999</v>
      </c>
      <c r="E1245" s="1860">
        <v>4600.6220300000004</v>
      </c>
      <c r="F1245">
        <v>35.117460000000001</v>
      </c>
      <c r="G1245" s="1861">
        <v>3774.25</v>
      </c>
      <c r="I1245">
        <v>0.71265000000000001</v>
      </c>
      <c r="J1245">
        <v>1.0284800000000001</v>
      </c>
      <c r="K1245">
        <v>1.0890500000000001</v>
      </c>
      <c r="L1245">
        <v>1.21895</v>
      </c>
      <c r="M1245">
        <v>9.2999999999999992E-3</v>
      </c>
      <c r="N1245">
        <v>1</v>
      </c>
      <c r="P1245">
        <v>1.4032</v>
      </c>
      <c r="Q1245">
        <v>0.97230000000000005</v>
      </c>
      <c r="R1245">
        <v>0.91822999999999999</v>
      </c>
      <c r="S1245">
        <v>0.82037000000000004</v>
      </c>
      <c r="T1245">
        <v>107.47499999999999</v>
      </c>
      <c r="U1245">
        <v>1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</row>
    <row r="1246" spans="1:35" s="1857" customFormat="1" hidden="1" outlineLevel="1">
      <c r="A1246" s="8">
        <v>43974</v>
      </c>
      <c r="B1246" s="1860">
        <v>2695.7383100000002</v>
      </c>
      <c r="C1246" s="1860">
        <v>3890.4247599999999</v>
      </c>
      <c r="D1246" s="1860">
        <v>4119.50587</v>
      </c>
      <c r="E1246" s="1860">
        <v>4610.8734000000004</v>
      </c>
      <c r="F1246">
        <v>35.195709999999998</v>
      </c>
      <c r="G1246" s="1861">
        <v>3782.66</v>
      </c>
      <c r="I1246">
        <v>0.71265000000000001</v>
      </c>
      <c r="J1246">
        <v>1.0284800000000001</v>
      </c>
      <c r="K1246">
        <v>1.0890500000000001</v>
      </c>
      <c r="L1246">
        <v>1.21895</v>
      </c>
      <c r="M1246">
        <v>9.2999999999999992E-3</v>
      </c>
      <c r="N1246">
        <v>1</v>
      </c>
      <c r="P1246">
        <v>1.4032</v>
      </c>
      <c r="Q1246">
        <v>0.97230000000000005</v>
      </c>
      <c r="R1246">
        <v>0.91822999999999999</v>
      </c>
      <c r="S1246">
        <v>0.82037000000000004</v>
      </c>
      <c r="T1246">
        <v>107.47499999999999</v>
      </c>
      <c r="U1246">
        <v>1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</row>
    <row r="1247" spans="1:35" s="1857" customFormat="1" hidden="1" outlineLevel="1">
      <c r="A1247" s="8">
        <v>43975</v>
      </c>
      <c r="B1247" s="1860">
        <v>2695.7383100000002</v>
      </c>
      <c r="C1247" s="1860">
        <v>3890.4247599999999</v>
      </c>
      <c r="D1247" s="1860">
        <v>4119.50587</v>
      </c>
      <c r="E1247" s="1860">
        <v>4610.8734000000004</v>
      </c>
      <c r="F1247">
        <v>35.195709999999998</v>
      </c>
      <c r="G1247" s="1861">
        <v>3782.66</v>
      </c>
      <c r="I1247">
        <v>0.71265000000000001</v>
      </c>
      <c r="J1247">
        <v>1.0284800000000001</v>
      </c>
      <c r="K1247">
        <v>1.0890500000000001</v>
      </c>
      <c r="L1247">
        <v>1.21895</v>
      </c>
      <c r="M1247">
        <v>9.2999999999999992E-3</v>
      </c>
      <c r="N1247">
        <v>1</v>
      </c>
      <c r="P1247">
        <v>1.4032</v>
      </c>
      <c r="Q1247">
        <v>0.97230000000000005</v>
      </c>
      <c r="R1247">
        <v>0.91822999999999999</v>
      </c>
      <c r="S1247">
        <v>0.82037000000000004</v>
      </c>
      <c r="T1247">
        <v>107.47499999999999</v>
      </c>
      <c r="U1247">
        <v>1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</row>
    <row r="1248" spans="1:35" s="1857" customFormat="1" hidden="1" outlineLevel="1">
      <c r="A1248" s="8">
        <v>43976</v>
      </c>
      <c r="B1248" s="1860">
        <v>2705.5718400000001</v>
      </c>
      <c r="C1248" s="1860">
        <v>3893.82881</v>
      </c>
      <c r="D1248" s="1860">
        <v>4120.6406699999998</v>
      </c>
      <c r="E1248" s="1860">
        <v>4613.3321299999998</v>
      </c>
      <c r="F1248">
        <v>35.122190000000003</v>
      </c>
      <c r="G1248" s="1861">
        <v>3782.66</v>
      </c>
      <c r="I1248">
        <v>0.71525000000000005</v>
      </c>
      <c r="J1248">
        <v>1.02938</v>
      </c>
      <c r="K1248">
        <v>1.08935</v>
      </c>
      <c r="L1248">
        <v>1.2196</v>
      </c>
      <c r="M1248">
        <v>9.2800000000000001E-3</v>
      </c>
      <c r="N1248">
        <v>1</v>
      </c>
      <c r="P1248">
        <v>1.3980999999999999</v>
      </c>
      <c r="Q1248">
        <v>0.97145000000000004</v>
      </c>
      <c r="R1248">
        <v>0.91796999999999995</v>
      </c>
      <c r="S1248">
        <v>0.81994</v>
      </c>
      <c r="T1248">
        <v>107.7</v>
      </c>
      <c r="U1248">
        <v>1</v>
      </c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</row>
    <row r="1249" spans="1:35" s="1857" customFormat="1" hidden="1" outlineLevel="1">
      <c r="A1249" s="8">
        <v>43977</v>
      </c>
      <c r="B1249" s="1860">
        <v>2740.2636900000002</v>
      </c>
      <c r="C1249" s="1860">
        <v>3908.9180500000002</v>
      </c>
      <c r="D1249" s="1860">
        <v>4155.0628699999997</v>
      </c>
      <c r="E1249" s="1860">
        <v>4674.8003600000002</v>
      </c>
      <c r="F1249">
        <v>35.156460000000003</v>
      </c>
      <c r="G1249" s="1861">
        <v>3782.66</v>
      </c>
      <c r="I1249">
        <v>0.72441999999999995</v>
      </c>
      <c r="J1249">
        <v>1.0333699999999999</v>
      </c>
      <c r="K1249">
        <v>1.0984499999999999</v>
      </c>
      <c r="L1249">
        <v>1.2358499999999999</v>
      </c>
      <c r="M1249">
        <v>9.2899999999999996E-3</v>
      </c>
      <c r="N1249">
        <v>1</v>
      </c>
      <c r="P1249">
        <v>1.3804000000000001</v>
      </c>
      <c r="Q1249">
        <v>0.9677</v>
      </c>
      <c r="R1249">
        <v>0.91037000000000001</v>
      </c>
      <c r="S1249">
        <v>0.80915000000000004</v>
      </c>
      <c r="T1249">
        <v>107.595</v>
      </c>
      <c r="U1249">
        <v>1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</row>
    <row r="1250" spans="1:35" s="1857" customFormat="1" hidden="1" outlineLevel="1">
      <c r="A1250" s="8">
        <v>43978</v>
      </c>
      <c r="B1250" s="1860">
        <v>2695.7742400000002</v>
      </c>
      <c r="C1250" s="1860">
        <v>3840.9814900000001</v>
      </c>
      <c r="D1250" s="1860">
        <v>4088.0569799999998</v>
      </c>
      <c r="E1250" s="1860">
        <v>4550.0264200000001</v>
      </c>
      <c r="F1250">
        <v>34.548699999999997</v>
      </c>
      <c r="G1250" s="1861">
        <v>3725.56</v>
      </c>
      <c r="I1250">
        <v>0.72358</v>
      </c>
      <c r="J1250">
        <v>1.03098</v>
      </c>
      <c r="K1250">
        <v>1.0972999999999999</v>
      </c>
      <c r="L1250">
        <v>1.2213000000000001</v>
      </c>
      <c r="M1250">
        <v>9.2700000000000005E-3</v>
      </c>
      <c r="N1250">
        <v>1</v>
      </c>
      <c r="P1250">
        <v>1.3819999999999999</v>
      </c>
      <c r="Q1250">
        <v>0.96994999999999998</v>
      </c>
      <c r="R1250">
        <v>0.91132000000000002</v>
      </c>
      <c r="S1250">
        <v>0.81879000000000002</v>
      </c>
      <c r="T1250">
        <v>107.83499999999999</v>
      </c>
      <c r="U1250">
        <v>1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</row>
    <row r="1251" spans="1:35" s="1857" customFormat="1" hidden="1" outlineLevel="1">
      <c r="A1251" s="8">
        <v>43979</v>
      </c>
      <c r="B1251" s="1860">
        <v>2720.57989</v>
      </c>
      <c r="C1251" s="1860">
        <v>3876.9636999999998</v>
      </c>
      <c r="D1251" s="1860">
        <v>4138.9470300000003</v>
      </c>
      <c r="E1251" s="1860">
        <v>4612.3492800000004</v>
      </c>
      <c r="F1251">
        <v>34.785499999999999</v>
      </c>
      <c r="G1251" s="1861">
        <v>3743.79</v>
      </c>
      <c r="I1251">
        <v>0.72668999999999995</v>
      </c>
      <c r="J1251">
        <v>1.0355700000000001</v>
      </c>
      <c r="K1251">
        <v>1.10555</v>
      </c>
      <c r="L1251">
        <v>1.232</v>
      </c>
      <c r="M1251">
        <v>9.2899999999999996E-3</v>
      </c>
      <c r="N1251">
        <v>1</v>
      </c>
      <c r="P1251">
        <v>1.3761000000000001</v>
      </c>
      <c r="Q1251">
        <v>0.96565000000000001</v>
      </c>
      <c r="R1251">
        <v>0.90451999999999999</v>
      </c>
      <c r="S1251">
        <v>0.81167999999999996</v>
      </c>
      <c r="T1251">
        <v>107.625</v>
      </c>
      <c r="U1251">
        <v>1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</row>
    <row r="1252" spans="1:35" s="1857" customFormat="1" hidden="1" outlineLevel="1">
      <c r="A1252" s="8">
        <v>43980</v>
      </c>
      <c r="B1252" s="1860">
        <v>2693.8359099999998</v>
      </c>
      <c r="C1252" s="1860">
        <v>3875.7364400000001</v>
      </c>
      <c r="D1252" s="1860">
        <v>4141.7462299999997</v>
      </c>
      <c r="E1252" s="1860">
        <v>4603.2641400000002</v>
      </c>
      <c r="F1252">
        <v>34.56091</v>
      </c>
      <c r="G1252" s="1861">
        <v>3723.42</v>
      </c>
      <c r="I1252">
        <v>0.72348000000000001</v>
      </c>
      <c r="J1252">
        <v>1.0408999999999999</v>
      </c>
      <c r="K1252">
        <v>1.1123499999999999</v>
      </c>
      <c r="L1252">
        <v>1.2363</v>
      </c>
      <c r="M1252">
        <v>9.2800000000000001E-3</v>
      </c>
      <c r="N1252">
        <v>1</v>
      </c>
      <c r="P1252">
        <v>1.3822000000000001</v>
      </c>
      <c r="Q1252">
        <v>0.9607</v>
      </c>
      <c r="R1252">
        <v>0.89898999999999996</v>
      </c>
      <c r="S1252">
        <v>0.80886000000000002</v>
      </c>
      <c r="T1252">
        <v>107.735</v>
      </c>
      <c r="U1252">
        <v>1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</row>
    <row r="1253" spans="1:35" hidden="1" outlineLevel="1">
      <c r="A1253" s="8">
        <v>43981</v>
      </c>
      <c r="B1253" s="1860">
        <v>2690.5078800000001</v>
      </c>
      <c r="C1253" s="1860">
        <v>3870.9482600000001</v>
      </c>
      <c r="D1253" s="1860">
        <v>4136.6294200000002</v>
      </c>
      <c r="E1253" s="1860">
        <v>4597.5771599999998</v>
      </c>
      <c r="F1253">
        <v>34.518210000000003</v>
      </c>
      <c r="G1253" s="1861">
        <v>3718.82</v>
      </c>
      <c r="I1253">
        <v>0.72348000000000001</v>
      </c>
      <c r="J1253">
        <v>1.0408999999999999</v>
      </c>
      <c r="K1253">
        <v>1.1123499999999999</v>
      </c>
      <c r="L1253">
        <v>1.2363</v>
      </c>
      <c r="M1253">
        <v>9.2800000000000001E-3</v>
      </c>
      <c r="N1253">
        <v>1</v>
      </c>
      <c r="P1253">
        <v>1.3822000000000001</v>
      </c>
      <c r="Q1253">
        <v>0.9607</v>
      </c>
      <c r="R1253">
        <v>0.89898999999999996</v>
      </c>
      <c r="S1253">
        <v>0.80886000000000002</v>
      </c>
      <c r="T1253">
        <v>107.735</v>
      </c>
      <c r="U1253">
        <v>1</v>
      </c>
    </row>
    <row r="1254" spans="1:35" ht="15.75" hidden="1" outlineLevel="1" thickBot="1">
      <c r="A1254" s="1868">
        <v>43982</v>
      </c>
      <c r="B1254" s="1869">
        <v>2690.5078800000001</v>
      </c>
      <c r="C1254" s="1869">
        <v>3870.9482600000001</v>
      </c>
      <c r="D1254" s="1869">
        <v>4136.6294200000002</v>
      </c>
      <c r="E1254" s="1869">
        <v>4597.5771599999998</v>
      </c>
      <c r="F1254" s="1870">
        <v>34.518210000000003</v>
      </c>
      <c r="G1254" s="1871">
        <v>3718.82</v>
      </c>
      <c r="H1254" s="1872"/>
      <c r="I1254" s="1870">
        <v>0.72348000000000001</v>
      </c>
      <c r="J1254" s="1870">
        <v>1.0408999999999999</v>
      </c>
      <c r="K1254" s="1870">
        <v>1.1123499999999999</v>
      </c>
      <c r="L1254" s="1870">
        <v>1.2363</v>
      </c>
      <c r="M1254" s="1870">
        <v>9.2800000000000001E-3</v>
      </c>
      <c r="N1254" s="1870">
        <v>1</v>
      </c>
      <c r="O1254" s="1872"/>
      <c r="P1254" s="1870">
        <v>1.3822000000000001</v>
      </c>
      <c r="Q1254" s="1870">
        <v>0.9607</v>
      </c>
      <c r="R1254" s="1870">
        <v>0.89898999999999996</v>
      </c>
      <c r="S1254" s="1870">
        <v>0.80886000000000002</v>
      </c>
      <c r="T1254" s="1870">
        <v>107.735</v>
      </c>
      <c r="U1254" s="1870">
        <v>1</v>
      </c>
      <c r="V1254" s="1872"/>
    </row>
    <row r="1255" spans="1:35" hidden="1" outlineLevel="1">
      <c r="A1255" s="8">
        <v>43983</v>
      </c>
      <c r="B1255" s="1860">
        <v>2730.4111600000001</v>
      </c>
      <c r="C1255" s="1860">
        <v>3871.9558499999998</v>
      </c>
      <c r="D1255" s="1860">
        <v>4141.8357699999997</v>
      </c>
      <c r="E1255" s="1860">
        <v>4642.2030000000004</v>
      </c>
      <c r="F1255">
        <v>34.575980000000001</v>
      </c>
      <c r="G1255" s="1861">
        <v>3718.82</v>
      </c>
      <c r="I1255">
        <v>0.73421000000000003</v>
      </c>
      <c r="J1255">
        <v>1.0411699999999999</v>
      </c>
      <c r="K1255">
        <v>1.11375</v>
      </c>
      <c r="L1255">
        <v>1.2483</v>
      </c>
      <c r="M1255">
        <v>9.2899999999999996E-3</v>
      </c>
      <c r="N1255">
        <v>1</v>
      </c>
      <c r="P1255">
        <v>1.3620000000000001</v>
      </c>
      <c r="Q1255">
        <v>0.96045000000000003</v>
      </c>
      <c r="R1255">
        <v>0.89785999999999999</v>
      </c>
      <c r="S1255">
        <v>0.80108000000000001</v>
      </c>
      <c r="T1255">
        <v>107.55500000000001</v>
      </c>
      <c r="U1255">
        <v>1</v>
      </c>
    </row>
    <row r="1256" spans="1:35" hidden="1" outlineLevel="1">
      <c r="A1256" s="8">
        <v>43984</v>
      </c>
      <c r="B1256" s="1860">
        <v>2755.4031500000001</v>
      </c>
      <c r="C1256" s="1860">
        <v>3868.7799199999999</v>
      </c>
      <c r="D1256" s="1860">
        <v>4155.9942000000001</v>
      </c>
      <c r="E1256" s="1860">
        <v>4666.6206899999997</v>
      </c>
      <c r="F1256">
        <v>34.225259999999999</v>
      </c>
      <c r="G1256" s="1861">
        <v>3716.35</v>
      </c>
      <c r="I1256">
        <v>0.74141999999999997</v>
      </c>
      <c r="J1256">
        <v>1.04101</v>
      </c>
      <c r="K1256">
        <v>1.1183000000000001</v>
      </c>
      <c r="L1256">
        <v>1.2557</v>
      </c>
      <c r="M1256">
        <v>9.1999999999999998E-3</v>
      </c>
      <c r="N1256">
        <v>1</v>
      </c>
      <c r="P1256">
        <v>1.3487499999999999</v>
      </c>
      <c r="Q1256">
        <v>0.96060000000000001</v>
      </c>
      <c r="R1256">
        <v>0.89420999999999995</v>
      </c>
      <c r="S1256">
        <v>0.79635999999999996</v>
      </c>
      <c r="T1256">
        <v>108.58499999999999</v>
      </c>
      <c r="U1256">
        <v>1</v>
      </c>
    </row>
    <row r="1257" spans="1:35" hidden="1" outlineLevel="1">
      <c r="A1257" s="8">
        <v>43985</v>
      </c>
      <c r="B1257" s="1860">
        <v>2707.0615699999998</v>
      </c>
      <c r="C1257" s="1860">
        <v>3795.4576099999999</v>
      </c>
      <c r="D1257" s="1860">
        <v>4096.7106599999997</v>
      </c>
      <c r="E1257" s="1860">
        <v>4599.5111999999999</v>
      </c>
      <c r="F1257">
        <v>33.553130000000003</v>
      </c>
      <c r="G1257" s="1861">
        <v>3651.42</v>
      </c>
      <c r="I1257">
        <v>0.74136999999999997</v>
      </c>
      <c r="J1257">
        <v>1.0394399999999999</v>
      </c>
      <c r="K1257">
        <v>1.12195</v>
      </c>
      <c r="L1257">
        <v>1.2596499999999999</v>
      </c>
      <c r="M1257">
        <v>9.1800000000000007E-3</v>
      </c>
      <c r="N1257">
        <v>1</v>
      </c>
      <c r="P1257">
        <v>1.3488500000000001</v>
      </c>
      <c r="Q1257">
        <v>0.96204999999999996</v>
      </c>
      <c r="R1257">
        <v>0.89129999999999998</v>
      </c>
      <c r="S1257">
        <v>0.79386999999999996</v>
      </c>
      <c r="T1257">
        <v>108.825</v>
      </c>
      <c r="U1257">
        <v>1</v>
      </c>
    </row>
    <row r="1258" spans="1:35" hidden="1" outlineLevel="1">
      <c r="A1258" s="8">
        <v>43986</v>
      </c>
      <c r="B1258" s="1860">
        <v>2661.19679</v>
      </c>
      <c r="C1258" s="1860">
        <v>3750.1462900000001</v>
      </c>
      <c r="D1258" s="1860">
        <v>4071.2368099999999</v>
      </c>
      <c r="E1258" s="1860">
        <v>4524.6930599999996</v>
      </c>
      <c r="F1258">
        <v>32.924079999999996</v>
      </c>
      <c r="G1258" s="1861">
        <v>3588.89</v>
      </c>
      <c r="I1258">
        <v>0.74150000000000005</v>
      </c>
      <c r="J1258">
        <v>1.0449299999999999</v>
      </c>
      <c r="K1258">
        <v>1.1344000000000001</v>
      </c>
      <c r="L1258">
        <v>1.26075</v>
      </c>
      <c r="M1258">
        <v>9.1699999999999993E-3</v>
      </c>
      <c r="N1258">
        <v>1</v>
      </c>
      <c r="P1258">
        <v>1.3486</v>
      </c>
      <c r="Q1258">
        <v>0.95699999999999996</v>
      </c>
      <c r="R1258">
        <v>0.88151999999999997</v>
      </c>
      <c r="S1258">
        <v>0.79317000000000004</v>
      </c>
      <c r="T1258">
        <v>109.005</v>
      </c>
      <c r="U1258">
        <v>1</v>
      </c>
    </row>
    <row r="1259" spans="1:35" hidden="1" outlineLevel="1">
      <c r="A1259" s="8">
        <v>43987</v>
      </c>
      <c r="B1259" s="1860">
        <v>2682.7771299999999</v>
      </c>
      <c r="C1259" s="1860">
        <v>3737.8253399999999</v>
      </c>
      <c r="D1259" s="1860">
        <v>4069.9976799999999</v>
      </c>
      <c r="E1259" s="1860">
        <v>4577.9604399999998</v>
      </c>
      <c r="F1259">
        <v>32.780259999999998</v>
      </c>
      <c r="G1259" s="1861">
        <v>3597.47</v>
      </c>
      <c r="I1259">
        <v>0.74573</v>
      </c>
      <c r="J1259">
        <v>1.03901</v>
      </c>
      <c r="K1259">
        <v>1.1313500000000001</v>
      </c>
      <c r="L1259">
        <v>1.2725500000000001</v>
      </c>
      <c r="M1259">
        <v>9.11E-3</v>
      </c>
      <c r="N1259">
        <v>1</v>
      </c>
      <c r="P1259">
        <v>1.3409500000000001</v>
      </c>
      <c r="Q1259">
        <v>0.96245000000000003</v>
      </c>
      <c r="R1259">
        <v>0.88388999999999995</v>
      </c>
      <c r="S1259">
        <v>0.78581999999999996</v>
      </c>
      <c r="T1259">
        <v>109.745</v>
      </c>
      <c r="U1259">
        <v>1</v>
      </c>
    </row>
    <row r="1260" spans="1:35" hidden="1" outlineLevel="1">
      <c r="A1260" s="8">
        <v>43988</v>
      </c>
      <c r="B1260" s="1860">
        <v>2658.6077</v>
      </c>
      <c r="C1260" s="1860">
        <v>3704.1508600000002</v>
      </c>
      <c r="D1260" s="1860">
        <v>4033.3306299999999</v>
      </c>
      <c r="E1260" s="1860">
        <v>4536.7170999999998</v>
      </c>
      <c r="F1260">
        <v>32.484940000000002</v>
      </c>
      <c r="G1260" s="1861">
        <v>3565.06</v>
      </c>
      <c r="I1260">
        <v>0.74573</v>
      </c>
      <c r="J1260">
        <v>1.03901</v>
      </c>
      <c r="K1260">
        <v>1.1313500000000001</v>
      </c>
      <c r="L1260">
        <v>1.2725500000000001</v>
      </c>
      <c r="M1260">
        <v>9.11E-3</v>
      </c>
      <c r="N1260">
        <v>1</v>
      </c>
      <c r="P1260">
        <v>1.3409500000000001</v>
      </c>
      <c r="Q1260">
        <v>0.96245000000000003</v>
      </c>
      <c r="R1260">
        <v>0.88388999999999995</v>
      </c>
      <c r="S1260">
        <v>0.78581999999999996</v>
      </c>
      <c r="T1260">
        <v>109.745</v>
      </c>
      <c r="U1260">
        <v>1</v>
      </c>
    </row>
    <row r="1261" spans="1:35" hidden="1" outlineLevel="1">
      <c r="A1261" s="8">
        <v>43989</v>
      </c>
      <c r="B1261" s="1860">
        <v>2658.6077</v>
      </c>
      <c r="C1261" s="1860">
        <v>3704.1508600000002</v>
      </c>
      <c r="D1261" s="1860">
        <v>4033.3306299999999</v>
      </c>
      <c r="E1261" s="1860">
        <v>4536.7170999999998</v>
      </c>
      <c r="F1261">
        <v>32.484940000000002</v>
      </c>
      <c r="G1261" s="1861">
        <v>3565.06</v>
      </c>
      <c r="I1261">
        <v>0.74573</v>
      </c>
      <c r="J1261">
        <v>1.03901</v>
      </c>
      <c r="K1261">
        <v>1.1313500000000001</v>
      </c>
      <c r="L1261">
        <v>1.2725500000000001</v>
      </c>
      <c r="M1261">
        <v>9.11E-3</v>
      </c>
      <c r="N1261">
        <v>1</v>
      </c>
      <c r="P1261">
        <v>1.3409500000000001</v>
      </c>
      <c r="Q1261">
        <v>0.96245000000000003</v>
      </c>
      <c r="R1261">
        <v>0.88388999999999995</v>
      </c>
      <c r="S1261">
        <v>0.78581999999999996</v>
      </c>
      <c r="T1261">
        <v>109.745</v>
      </c>
      <c r="U1261">
        <v>1</v>
      </c>
    </row>
    <row r="1262" spans="1:35" hidden="1" outlineLevel="1">
      <c r="A1262" s="8">
        <v>43990</v>
      </c>
      <c r="B1262" s="1860">
        <v>2662.8771999999999</v>
      </c>
      <c r="C1262" s="1860">
        <v>3729.1422499999999</v>
      </c>
      <c r="D1262" s="1860">
        <v>4028.8742999999999</v>
      </c>
      <c r="E1262" s="1860">
        <v>4526.9131799999996</v>
      </c>
      <c r="F1262">
        <v>32.831969999999998</v>
      </c>
      <c r="G1262" s="1861">
        <v>3565.06</v>
      </c>
      <c r="I1262">
        <v>0.74692999999999998</v>
      </c>
      <c r="J1262">
        <v>1.0460199999999999</v>
      </c>
      <c r="K1262">
        <v>1.1301000000000001</v>
      </c>
      <c r="L1262">
        <v>1.2698</v>
      </c>
      <c r="M1262">
        <v>9.1999999999999998E-3</v>
      </c>
      <c r="N1262">
        <v>1</v>
      </c>
      <c r="P1262">
        <v>1.3388</v>
      </c>
      <c r="Q1262">
        <v>0.95599999999999996</v>
      </c>
      <c r="R1262">
        <v>0.88487000000000005</v>
      </c>
      <c r="S1262">
        <v>0.78752</v>
      </c>
      <c r="T1262">
        <v>108.58499999999999</v>
      </c>
      <c r="U1262">
        <v>1</v>
      </c>
    </row>
    <row r="1263" spans="1:35" hidden="1" outlineLevel="1">
      <c r="A1263" s="8">
        <v>43991</v>
      </c>
      <c r="B1263" s="1860">
        <v>2680.81936</v>
      </c>
      <c r="C1263" s="1860">
        <v>3792.0134800000001</v>
      </c>
      <c r="D1263" s="1860">
        <v>4086.4845500000001</v>
      </c>
      <c r="E1263" s="1860">
        <v>4578.8277500000004</v>
      </c>
      <c r="F1263">
        <v>33.412239999999997</v>
      </c>
      <c r="G1263" s="1861">
        <v>3599</v>
      </c>
      <c r="I1263">
        <v>0.74487000000000003</v>
      </c>
      <c r="J1263">
        <v>1.05362</v>
      </c>
      <c r="K1263">
        <v>1.1354500000000001</v>
      </c>
      <c r="L1263">
        <v>1.2722500000000001</v>
      </c>
      <c r="M1263">
        <v>9.2800000000000001E-3</v>
      </c>
      <c r="N1263">
        <v>1</v>
      </c>
      <c r="P1263">
        <v>1.3425</v>
      </c>
      <c r="Q1263">
        <v>0.94910000000000005</v>
      </c>
      <c r="R1263">
        <v>0.88070000000000004</v>
      </c>
      <c r="S1263">
        <v>0.78600000000000003</v>
      </c>
      <c r="T1263">
        <v>107.715</v>
      </c>
      <c r="U1263">
        <v>1</v>
      </c>
    </row>
    <row r="1264" spans="1:35" hidden="1" outlineLevel="1">
      <c r="A1264" s="8">
        <v>43992</v>
      </c>
      <c r="B1264" s="1860">
        <v>2712.5986499999999</v>
      </c>
      <c r="C1264" s="1860">
        <v>3852.8052400000001</v>
      </c>
      <c r="D1264" s="1860">
        <v>4135.5563000000002</v>
      </c>
      <c r="E1264" s="1860">
        <v>4646.6720100000002</v>
      </c>
      <c r="F1264">
        <v>33.96913</v>
      </c>
      <c r="G1264" s="1861">
        <v>3643.02</v>
      </c>
      <c r="I1264">
        <v>0.74460000000000004</v>
      </c>
      <c r="J1264">
        <v>1.05758</v>
      </c>
      <c r="K1264">
        <v>1.1352</v>
      </c>
      <c r="L1264">
        <v>1.2755000000000001</v>
      </c>
      <c r="M1264">
        <v>9.3200000000000002E-3</v>
      </c>
      <c r="N1264">
        <v>1</v>
      </c>
      <c r="P1264">
        <v>1.343</v>
      </c>
      <c r="Q1264">
        <v>0.94555</v>
      </c>
      <c r="R1264">
        <v>0.88090000000000002</v>
      </c>
      <c r="S1264">
        <v>0.78400000000000003</v>
      </c>
      <c r="T1264">
        <v>107.245</v>
      </c>
      <c r="U1264">
        <v>1</v>
      </c>
    </row>
    <row r="1265" spans="1:21" hidden="1" outlineLevel="1">
      <c r="A1265" s="8">
        <v>43993</v>
      </c>
      <c r="B1265" s="1860">
        <v>2712.4372600000002</v>
      </c>
      <c r="C1265" s="1860">
        <v>3912.9106099999999</v>
      </c>
      <c r="D1265" s="1860">
        <v>4182.3012600000002</v>
      </c>
      <c r="E1265" s="1860">
        <v>4646.0622800000001</v>
      </c>
      <c r="F1265">
        <v>34.45834</v>
      </c>
      <c r="G1265" s="1861">
        <v>3674.81</v>
      </c>
      <c r="I1265">
        <v>0.73811000000000004</v>
      </c>
      <c r="J1265">
        <v>1.0647899999999999</v>
      </c>
      <c r="K1265">
        <v>1.1380999999999999</v>
      </c>
      <c r="L1265">
        <v>1.2643</v>
      </c>
      <c r="M1265">
        <v>9.3699999999999999E-3</v>
      </c>
      <c r="N1265">
        <v>1</v>
      </c>
      <c r="P1265">
        <v>1.3548</v>
      </c>
      <c r="Q1265">
        <v>0.93915000000000004</v>
      </c>
      <c r="R1265">
        <v>0.87865000000000004</v>
      </c>
      <c r="S1265">
        <v>0.79095000000000004</v>
      </c>
      <c r="T1265">
        <v>106.645</v>
      </c>
      <c r="U1265">
        <v>1</v>
      </c>
    </row>
    <row r="1266" spans="1:21" hidden="1" outlineLevel="1">
      <c r="A1266" s="8">
        <v>43994</v>
      </c>
      <c r="B1266" s="1860">
        <v>2752.9281999999998</v>
      </c>
      <c r="C1266" s="1860">
        <v>3938.4599199999998</v>
      </c>
      <c r="D1266" s="1860">
        <v>4213.4562299999998</v>
      </c>
      <c r="E1266" s="1860">
        <v>4698.0608400000001</v>
      </c>
      <c r="F1266">
        <v>34.905990000000003</v>
      </c>
      <c r="G1266" s="1861">
        <v>3746.46</v>
      </c>
      <c r="I1266">
        <v>0.73480000000000001</v>
      </c>
      <c r="J1266">
        <v>1.05124</v>
      </c>
      <c r="K1266">
        <v>1.1246499999999999</v>
      </c>
      <c r="L1266">
        <v>1.254</v>
      </c>
      <c r="M1266">
        <v>9.3100000000000006E-3</v>
      </c>
      <c r="N1266">
        <v>1</v>
      </c>
      <c r="P1266">
        <v>1.3609</v>
      </c>
      <c r="Q1266">
        <v>0.95125000000000004</v>
      </c>
      <c r="R1266">
        <v>0.88915999999999995</v>
      </c>
      <c r="S1266">
        <v>0.79744000000000004</v>
      </c>
      <c r="T1266">
        <v>107.33</v>
      </c>
      <c r="U1266">
        <v>1</v>
      </c>
    </row>
    <row r="1267" spans="1:21" hidden="1" outlineLevel="1">
      <c r="A1267" s="8">
        <v>43995</v>
      </c>
      <c r="B1267" s="1860">
        <v>2761.51811</v>
      </c>
      <c r="C1267" s="1860">
        <v>3950.74901</v>
      </c>
      <c r="D1267" s="1860">
        <v>4226.6033900000002</v>
      </c>
      <c r="E1267" s="1860">
        <v>4712.7200999999995</v>
      </c>
      <c r="F1267">
        <v>35.014899999999997</v>
      </c>
      <c r="G1267" s="1861">
        <v>3758.15</v>
      </c>
      <c r="I1267">
        <v>0.73480000000000001</v>
      </c>
      <c r="J1267">
        <v>1.05124</v>
      </c>
      <c r="K1267">
        <v>1.1246499999999999</v>
      </c>
      <c r="L1267">
        <v>1.254</v>
      </c>
      <c r="M1267">
        <v>9.3100000000000006E-3</v>
      </c>
      <c r="N1267">
        <v>1</v>
      </c>
      <c r="P1267">
        <v>1.3609</v>
      </c>
      <c r="Q1267">
        <v>0.95125000000000004</v>
      </c>
      <c r="R1267">
        <v>0.88915999999999995</v>
      </c>
      <c r="S1267">
        <v>0.79744000000000004</v>
      </c>
      <c r="T1267">
        <v>107.33</v>
      </c>
      <c r="U1267">
        <v>1</v>
      </c>
    </row>
    <row r="1268" spans="1:21" hidden="1" outlineLevel="1">
      <c r="A1268" s="8">
        <v>43996</v>
      </c>
      <c r="B1268" s="1860">
        <v>2761.51811</v>
      </c>
      <c r="C1268" s="1860">
        <v>3950.74901</v>
      </c>
      <c r="D1268" s="1860">
        <v>4226.6033900000002</v>
      </c>
      <c r="E1268" s="1860">
        <v>4712.7200999999995</v>
      </c>
      <c r="F1268">
        <v>35.014899999999997</v>
      </c>
      <c r="G1268" s="1861">
        <v>3758.15</v>
      </c>
      <c r="I1268">
        <v>0.73480000000000001</v>
      </c>
      <c r="J1268">
        <v>1.05124</v>
      </c>
      <c r="K1268">
        <v>1.1246499999999999</v>
      </c>
      <c r="L1268">
        <v>1.254</v>
      </c>
      <c r="M1268">
        <v>9.3100000000000006E-3</v>
      </c>
      <c r="N1268">
        <v>1</v>
      </c>
      <c r="P1268">
        <v>1.3609</v>
      </c>
      <c r="Q1268">
        <v>0.95125000000000004</v>
      </c>
      <c r="R1268">
        <v>0.88915999999999995</v>
      </c>
      <c r="S1268">
        <v>0.79744000000000004</v>
      </c>
      <c r="T1268">
        <v>107.33</v>
      </c>
      <c r="U1268">
        <v>1</v>
      </c>
    </row>
    <row r="1269" spans="1:21" hidden="1" outlineLevel="1">
      <c r="A1269" s="8">
        <v>43997</v>
      </c>
      <c r="B1269" s="1860">
        <v>2758.7814199999998</v>
      </c>
      <c r="C1269" s="1860">
        <v>3956.36382</v>
      </c>
      <c r="D1269" s="1860">
        <v>4237.1262100000004</v>
      </c>
      <c r="E1269" s="1860">
        <v>4722.6791899999998</v>
      </c>
      <c r="F1269">
        <v>34.990450000000003</v>
      </c>
      <c r="G1269" s="1861">
        <v>3758.15</v>
      </c>
      <c r="I1269">
        <v>0.73407</v>
      </c>
      <c r="J1269">
        <v>1.05274</v>
      </c>
      <c r="K1269">
        <v>1.1274500000000001</v>
      </c>
      <c r="L1269">
        <v>1.25665</v>
      </c>
      <c r="M1269">
        <v>9.3100000000000006E-3</v>
      </c>
      <c r="N1269">
        <v>1</v>
      </c>
      <c r="P1269">
        <v>1.36225</v>
      </c>
      <c r="Q1269">
        <v>0.94989999999999997</v>
      </c>
      <c r="R1269">
        <v>0.88695000000000002</v>
      </c>
      <c r="S1269">
        <v>0.79576000000000002</v>
      </c>
      <c r="T1269">
        <v>107.405</v>
      </c>
      <c r="U1269">
        <v>1</v>
      </c>
    </row>
    <row r="1270" spans="1:21" hidden="1" outlineLevel="1">
      <c r="A1270" s="8">
        <v>43998</v>
      </c>
      <c r="B1270" s="1860">
        <v>2761.0109000000002</v>
      </c>
      <c r="C1270" s="1860">
        <v>3950.74901</v>
      </c>
      <c r="D1270" s="1860">
        <v>4223.2210599999999</v>
      </c>
      <c r="E1270" s="1860">
        <v>4723.05501</v>
      </c>
      <c r="F1270">
        <v>35.003489999999999</v>
      </c>
      <c r="G1270" s="1861">
        <v>3758.15</v>
      </c>
      <c r="I1270">
        <v>0.73467000000000005</v>
      </c>
      <c r="J1270">
        <v>1.05124</v>
      </c>
      <c r="K1270">
        <v>1.12375</v>
      </c>
      <c r="L1270">
        <v>1.25675</v>
      </c>
      <c r="M1270">
        <v>9.3100000000000006E-3</v>
      </c>
      <c r="N1270">
        <v>1</v>
      </c>
      <c r="P1270">
        <v>1.3611500000000001</v>
      </c>
      <c r="Q1270">
        <v>0.95125000000000004</v>
      </c>
      <c r="R1270">
        <v>0.88987000000000005</v>
      </c>
      <c r="S1270">
        <v>0.79569999999999996</v>
      </c>
      <c r="T1270">
        <v>107.36499999999999</v>
      </c>
      <c r="U1270">
        <v>1</v>
      </c>
    </row>
    <row r="1271" spans="1:21" hidden="1" outlineLevel="1">
      <c r="A1271" s="8">
        <v>43999</v>
      </c>
      <c r="B1271" s="1860">
        <v>2760.6182399999998</v>
      </c>
      <c r="C1271" s="1860">
        <v>3928.4829300000001</v>
      </c>
      <c r="D1271" s="1860">
        <v>4199.3248299999996</v>
      </c>
      <c r="E1271" s="1860">
        <v>4692.3175199999996</v>
      </c>
      <c r="F1271">
        <v>34.890949999999997</v>
      </c>
      <c r="G1271" s="1861">
        <v>3741.88</v>
      </c>
      <c r="I1271">
        <v>0.73775999999999997</v>
      </c>
      <c r="J1271">
        <v>1.04986</v>
      </c>
      <c r="K1271">
        <v>1.12225</v>
      </c>
      <c r="L1271">
        <v>1.254</v>
      </c>
      <c r="M1271">
        <v>9.3200000000000002E-3</v>
      </c>
      <c r="N1271">
        <v>1</v>
      </c>
      <c r="P1271">
        <v>1.35545</v>
      </c>
      <c r="Q1271">
        <v>0.95250000000000001</v>
      </c>
      <c r="R1271">
        <v>0.89105999999999996</v>
      </c>
      <c r="S1271">
        <v>0.79744000000000004</v>
      </c>
      <c r="T1271">
        <v>107.245</v>
      </c>
      <c r="U1271">
        <v>1</v>
      </c>
    </row>
    <row r="1272" spans="1:21" hidden="1" outlineLevel="1">
      <c r="A1272" s="8">
        <v>44000</v>
      </c>
      <c r="B1272" s="1860">
        <v>2762.1233299999999</v>
      </c>
      <c r="C1272" s="1860">
        <v>3942.8195799999999</v>
      </c>
      <c r="D1272" s="1860">
        <v>4206.2241999999997</v>
      </c>
      <c r="E1272" s="1860">
        <v>4655.1705499999998</v>
      </c>
      <c r="F1272">
        <v>35.113140000000001</v>
      </c>
      <c r="G1272" s="1861">
        <v>3749.03</v>
      </c>
      <c r="I1272">
        <v>0.73675000000000002</v>
      </c>
      <c r="J1272">
        <v>1.05169</v>
      </c>
      <c r="K1272">
        <v>1.12195</v>
      </c>
      <c r="L1272">
        <v>1.2417</v>
      </c>
      <c r="M1272">
        <v>9.3600000000000003E-3</v>
      </c>
      <c r="N1272">
        <v>1</v>
      </c>
      <c r="P1272">
        <v>1.3573</v>
      </c>
      <c r="Q1272">
        <v>0.95084999999999997</v>
      </c>
      <c r="R1272">
        <v>0.89129999999999998</v>
      </c>
      <c r="S1272">
        <v>0.80533999999999994</v>
      </c>
      <c r="T1272">
        <v>106.77</v>
      </c>
      <c r="U1272">
        <v>1</v>
      </c>
    </row>
    <row r="1273" spans="1:21" hidden="1" outlineLevel="1">
      <c r="A1273" s="8">
        <v>44001</v>
      </c>
      <c r="B1273" s="1860">
        <v>2771.6949800000002</v>
      </c>
      <c r="C1273" s="1860">
        <v>3950.84843</v>
      </c>
      <c r="D1273" s="1860">
        <v>4205.2420300000003</v>
      </c>
      <c r="E1273" s="1860">
        <v>4649.1360000000004</v>
      </c>
      <c r="F1273">
        <v>35.150449999999999</v>
      </c>
      <c r="G1273" s="1861">
        <v>3760.22</v>
      </c>
      <c r="I1273">
        <v>0.73709999999999998</v>
      </c>
      <c r="J1273">
        <v>1.0506899999999999</v>
      </c>
      <c r="K1273">
        <v>1.11835</v>
      </c>
      <c r="L1273">
        <v>1.2363999999999999</v>
      </c>
      <c r="M1273">
        <v>9.3399999999999993E-3</v>
      </c>
      <c r="N1273">
        <v>1</v>
      </c>
      <c r="P1273">
        <v>1.3566499999999999</v>
      </c>
      <c r="Q1273">
        <v>0.95174999999999998</v>
      </c>
      <c r="R1273">
        <v>0.89417000000000002</v>
      </c>
      <c r="S1273">
        <v>0.80879000000000001</v>
      </c>
      <c r="T1273">
        <v>106.97499999999999</v>
      </c>
      <c r="U1273">
        <v>1</v>
      </c>
    </row>
    <row r="1274" spans="1:21" hidden="1" outlineLevel="1">
      <c r="A1274" s="8">
        <v>44002</v>
      </c>
      <c r="B1274" s="1860">
        <v>2751.82987</v>
      </c>
      <c r="C1274" s="1860">
        <v>3922.53217</v>
      </c>
      <c r="D1274" s="1860">
        <v>4175.1025</v>
      </c>
      <c r="E1274" s="1860">
        <v>4615.81502</v>
      </c>
      <c r="F1274">
        <v>34.898519999999998</v>
      </c>
      <c r="G1274" s="1861">
        <v>3733.27</v>
      </c>
      <c r="I1274">
        <v>0.73709999999999998</v>
      </c>
      <c r="J1274">
        <v>1.0506899999999999</v>
      </c>
      <c r="K1274">
        <v>1.11835</v>
      </c>
      <c r="L1274">
        <v>1.2363999999999999</v>
      </c>
      <c r="M1274">
        <v>9.3399999999999993E-3</v>
      </c>
      <c r="N1274">
        <v>1</v>
      </c>
      <c r="P1274">
        <v>1.3566499999999999</v>
      </c>
      <c r="Q1274">
        <v>0.95174999999999998</v>
      </c>
      <c r="R1274">
        <v>0.89417000000000002</v>
      </c>
      <c r="S1274">
        <v>0.80879000000000001</v>
      </c>
      <c r="T1274">
        <v>106.97499999999999</v>
      </c>
      <c r="U1274">
        <v>1</v>
      </c>
    </row>
    <row r="1275" spans="1:21" hidden="1" outlineLevel="1">
      <c r="A1275" s="8">
        <v>44003</v>
      </c>
      <c r="B1275" s="1860">
        <v>2751.82987</v>
      </c>
      <c r="C1275" s="1860">
        <v>3922.53217</v>
      </c>
      <c r="D1275" s="1860">
        <v>4175.1025</v>
      </c>
      <c r="E1275" s="1860">
        <v>4615.81502</v>
      </c>
      <c r="F1275">
        <v>34.898519999999998</v>
      </c>
      <c r="G1275" s="1861">
        <v>3733.27</v>
      </c>
      <c r="I1275">
        <v>0.73709999999999998</v>
      </c>
      <c r="J1275">
        <v>1.0506899999999999</v>
      </c>
      <c r="K1275">
        <v>1.11835</v>
      </c>
      <c r="L1275">
        <v>1.2363999999999999</v>
      </c>
      <c r="M1275">
        <v>9.3399999999999993E-3</v>
      </c>
      <c r="N1275">
        <v>1</v>
      </c>
      <c r="P1275">
        <v>1.3566499999999999</v>
      </c>
      <c r="Q1275">
        <v>0.95174999999999998</v>
      </c>
      <c r="R1275">
        <v>0.89417000000000002</v>
      </c>
      <c r="S1275">
        <v>0.80879000000000001</v>
      </c>
      <c r="T1275">
        <v>106.97499999999999</v>
      </c>
      <c r="U1275">
        <v>1</v>
      </c>
    </row>
    <row r="1276" spans="1:21" hidden="1" outlineLevel="1">
      <c r="A1276" s="8">
        <v>44004</v>
      </c>
      <c r="B1276" s="1860">
        <v>2754.36771</v>
      </c>
      <c r="C1276" s="1860">
        <v>3936.80269</v>
      </c>
      <c r="D1276" s="1860">
        <v>4199.3687499999996</v>
      </c>
      <c r="E1276" s="1860">
        <v>4646.6144999999997</v>
      </c>
      <c r="F1276">
        <v>34.924639999999997</v>
      </c>
      <c r="G1276" s="1861">
        <v>3733.27</v>
      </c>
      <c r="I1276">
        <v>0.73777999999999999</v>
      </c>
      <c r="J1276">
        <v>1.0545100000000001</v>
      </c>
      <c r="K1276">
        <v>1.1248499999999999</v>
      </c>
      <c r="L1276">
        <v>1.24465</v>
      </c>
      <c r="M1276">
        <v>9.3500000000000007E-3</v>
      </c>
      <c r="N1276">
        <v>1</v>
      </c>
      <c r="P1276">
        <v>1.3553999999999999</v>
      </c>
      <c r="Q1276">
        <v>0.94830000000000003</v>
      </c>
      <c r="R1276">
        <v>0.88900000000000001</v>
      </c>
      <c r="S1276">
        <v>0.80342999999999998</v>
      </c>
      <c r="T1276">
        <v>106.895</v>
      </c>
      <c r="U1276">
        <v>1</v>
      </c>
    </row>
    <row r="1277" spans="1:21" hidden="1" outlineLevel="1">
      <c r="A1277" s="8">
        <v>44005</v>
      </c>
      <c r="B1277" s="1860">
        <v>2764.77079</v>
      </c>
      <c r="C1277" s="1860">
        <v>3959.7687700000001</v>
      </c>
      <c r="D1277" s="1860">
        <v>4231.1015500000003</v>
      </c>
      <c r="E1277" s="1860">
        <v>4675.5473400000001</v>
      </c>
      <c r="F1277">
        <v>35.14161</v>
      </c>
      <c r="G1277" s="1861">
        <v>3733.27</v>
      </c>
      <c r="I1277">
        <v>0.74056999999999995</v>
      </c>
      <c r="J1277">
        <v>1.06067</v>
      </c>
      <c r="K1277">
        <v>1.1333500000000001</v>
      </c>
      <c r="L1277">
        <v>1.2524</v>
      </c>
      <c r="M1277">
        <v>9.41E-3</v>
      </c>
      <c r="N1277">
        <v>1</v>
      </c>
      <c r="P1277">
        <v>1.3503000000000001</v>
      </c>
      <c r="Q1277">
        <v>0.94279999999999997</v>
      </c>
      <c r="R1277">
        <v>0.88232999999999995</v>
      </c>
      <c r="S1277">
        <v>0.79845999999999995</v>
      </c>
      <c r="T1277">
        <v>106.235</v>
      </c>
      <c r="U1277">
        <v>1</v>
      </c>
    </row>
    <row r="1278" spans="1:21" hidden="1" outlineLevel="1">
      <c r="A1278" s="8">
        <v>44006</v>
      </c>
      <c r="B1278" s="1860">
        <v>2731.2698</v>
      </c>
      <c r="C1278" s="1860">
        <v>3912.4412699999998</v>
      </c>
      <c r="D1278" s="1860">
        <v>4178.7679500000004</v>
      </c>
      <c r="E1278" s="1860">
        <v>4613.6740900000004</v>
      </c>
      <c r="F1278">
        <v>34.666849999999997</v>
      </c>
      <c r="G1278" s="1861">
        <v>3706.06</v>
      </c>
      <c r="I1278">
        <v>0.73697000000000001</v>
      </c>
      <c r="J1278">
        <v>1.05568</v>
      </c>
      <c r="K1278">
        <v>1.1275500000000001</v>
      </c>
      <c r="L1278">
        <v>1.2448999999999999</v>
      </c>
      <c r="M1278">
        <v>9.3500000000000007E-3</v>
      </c>
      <c r="N1278">
        <v>1</v>
      </c>
      <c r="P1278">
        <v>1.3569</v>
      </c>
      <c r="Q1278">
        <v>0.94725000000000004</v>
      </c>
      <c r="R1278">
        <v>0.88687000000000005</v>
      </c>
      <c r="S1278">
        <v>0.80327000000000004</v>
      </c>
      <c r="T1278">
        <v>106.905</v>
      </c>
      <c r="U1278">
        <v>1</v>
      </c>
    </row>
    <row r="1279" spans="1:21" hidden="1" outlineLevel="1">
      <c r="A1279" s="8">
        <v>44007</v>
      </c>
      <c r="B1279" s="1860">
        <v>2726.2386900000001</v>
      </c>
      <c r="C1279" s="1860">
        <v>3922.7210399999999</v>
      </c>
      <c r="D1279" s="1860">
        <v>4173.9674599999998</v>
      </c>
      <c r="E1279" s="1860">
        <v>4617.4759299999996</v>
      </c>
      <c r="F1279">
        <v>34.727519999999998</v>
      </c>
      <c r="G1279" s="1861">
        <v>3722.27</v>
      </c>
      <c r="I1279">
        <v>0.73241000000000001</v>
      </c>
      <c r="J1279">
        <v>1.05385</v>
      </c>
      <c r="K1279">
        <v>1.1213500000000001</v>
      </c>
      <c r="L1279">
        <v>1.2404999999999999</v>
      </c>
      <c r="M1279">
        <v>9.3200000000000002E-3</v>
      </c>
      <c r="N1279">
        <v>1</v>
      </c>
      <c r="P1279">
        <v>1.3653500000000001</v>
      </c>
      <c r="Q1279">
        <v>0.94889999999999997</v>
      </c>
      <c r="R1279">
        <v>0.89178000000000002</v>
      </c>
      <c r="S1279">
        <v>0.80611999999999995</v>
      </c>
      <c r="T1279">
        <v>107.185</v>
      </c>
      <c r="U1279">
        <v>1</v>
      </c>
    </row>
    <row r="1280" spans="1:21" hidden="1" outlineLevel="1">
      <c r="A1280" s="8">
        <v>44008</v>
      </c>
      <c r="B1280" s="1860">
        <v>2724.0730600000002</v>
      </c>
      <c r="C1280" s="1860">
        <v>3935.0431800000001</v>
      </c>
      <c r="D1280" s="1860">
        <v>4184.9887799999997</v>
      </c>
      <c r="E1280" s="1860">
        <v>4601.7317700000003</v>
      </c>
      <c r="F1280">
        <v>34.806260000000002</v>
      </c>
      <c r="G1280" s="1861">
        <v>3735.93</v>
      </c>
      <c r="I1280">
        <v>0.72914999999999996</v>
      </c>
      <c r="J1280">
        <v>1.0532900000000001</v>
      </c>
      <c r="K1280">
        <v>1.1202000000000001</v>
      </c>
      <c r="L1280">
        <v>1.2317499999999999</v>
      </c>
      <c r="M1280">
        <v>9.3100000000000006E-3</v>
      </c>
      <c r="N1280">
        <v>1</v>
      </c>
      <c r="P1280">
        <v>1.3714500000000001</v>
      </c>
      <c r="Q1280">
        <v>0.94940000000000002</v>
      </c>
      <c r="R1280">
        <v>0.89268999999999998</v>
      </c>
      <c r="S1280">
        <v>0.81184999999999996</v>
      </c>
      <c r="T1280">
        <v>107.33499999999999</v>
      </c>
      <c r="U1280">
        <v>1</v>
      </c>
    </row>
    <row r="1281" spans="1:35" hidden="1" outlineLevel="1">
      <c r="A1281" s="8">
        <v>44009</v>
      </c>
      <c r="B1281" s="1860">
        <v>2740.8290400000001</v>
      </c>
      <c r="C1281" s="1860">
        <v>3959.2479400000002</v>
      </c>
      <c r="D1281" s="1860">
        <v>4210.7309800000003</v>
      </c>
      <c r="E1281" s="1860">
        <v>4630.0373900000004</v>
      </c>
      <c r="F1281">
        <v>35.020350000000001</v>
      </c>
      <c r="G1281" s="1861">
        <v>3758.91</v>
      </c>
      <c r="I1281">
        <v>0.72914999999999996</v>
      </c>
      <c r="J1281">
        <v>1.0532900000000001</v>
      </c>
      <c r="K1281">
        <v>1.1202000000000001</v>
      </c>
      <c r="L1281">
        <v>1.2317499999999999</v>
      </c>
      <c r="M1281">
        <v>9.3100000000000006E-3</v>
      </c>
      <c r="N1281">
        <v>1</v>
      </c>
      <c r="P1281">
        <v>1.3714500000000001</v>
      </c>
      <c r="Q1281">
        <v>0.94940000000000002</v>
      </c>
      <c r="R1281">
        <v>0.89268999999999998</v>
      </c>
      <c r="S1281">
        <v>0.81184999999999996</v>
      </c>
      <c r="T1281">
        <v>107.33499999999999</v>
      </c>
      <c r="U1281">
        <v>1</v>
      </c>
    </row>
    <row r="1282" spans="1:35" hidden="1" outlineLevel="1">
      <c r="A1282" s="8">
        <v>44010</v>
      </c>
      <c r="B1282" s="1860">
        <v>2740.8290400000001</v>
      </c>
      <c r="C1282" s="1860">
        <v>3959.2479400000002</v>
      </c>
      <c r="D1282" s="1860">
        <v>4210.7309800000003</v>
      </c>
      <c r="E1282" s="1860">
        <v>4630.0373900000004</v>
      </c>
      <c r="F1282">
        <v>35.020350000000001</v>
      </c>
      <c r="G1282" s="1861">
        <v>3758.91</v>
      </c>
      <c r="I1282">
        <v>0.72914999999999996</v>
      </c>
      <c r="J1282">
        <v>1.0532900000000001</v>
      </c>
      <c r="K1282">
        <v>1.1202000000000001</v>
      </c>
      <c r="L1282">
        <v>1.2317499999999999</v>
      </c>
      <c r="M1282">
        <v>9.3100000000000006E-3</v>
      </c>
      <c r="N1282">
        <v>1</v>
      </c>
      <c r="P1282">
        <v>1.3714500000000001</v>
      </c>
      <c r="Q1282">
        <v>0.94940000000000002</v>
      </c>
      <c r="R1282">
        <v>0.89268999999999998</v>
      </c>
      <c r="S1282">
        <v>0.81184999999999996</v>
      </c>
      <c r="T1282">
        <v>107.33499999999999</v>
      </c>
      <c r="U1282">
        <v>1</v>
      </c>
    </row>
    <row r="1283" spans="1:35" hidden="1" outlineLevel="1">
      <c r="A1283" s="8">
        <v>44011</v>
      </c>
      <c r="B1283" s="1860">
        <v>2743.93021</v>
      </c>
      <c r="C1283" s="1860">
        <v>3956.9556200000002</v>
      </c>
      <c r="D1283" s="1860">
        <v>4227.2701800000004</v>
      </c>
      <c r="E1283" s="1860">
        <v>4611.4307799999997</v>
      </c>
      <c r="F1283">
        <v>34.896810000000002</v>
      </c>
      <c r="G1283" s="1861">
        <v>3758.91</v>
      </c>
      <c r="I1283">
        <v>0.72997999999999996</v>
      </c>
      <c r="J1283">
        <v>1.0526800000000001</v>
      </c>
      <c r="K1283">
        <v>1.1246</v>
      </c>
      <c r="L1283">
        <v>1.2267999999999999</v>
      </c>
      <c r="M1283">
        <v>9.2800000000000001E-3</v>
      </c>
      <c r="N1283">
        <v>1</v>
      </c>
      <c r="P1283">
        <v>1.3698999999999999</v>
      </c>
      <c r="Q1283">
        <v>0.94994999999999996</v>
      </c>
      <c r="R1283">
        <v>0.88919999999999999</v>
      </c>
      <c r="S1283">
        <v>0.81511999999999996</v>
      </c>
      <c r="T1283">
        <v>107.715</v>
      </c>
      <c r="U1283">
        <v>1</v>
      </c>
    </row>
    <row r="1284" spans="1:35" ht="15.75" hidden="1" outlineLevel="1" thickBot="1">
      <c r="A1284" s="1868">
        <v>44012</v>
      </c>
      <c r="B1284" s="1869">
        <v>2759.8458099999998</v>
      </c>
      <c r="C1284" s="1869">
        <v>3966.9779899999999</v>
      </c>
      <c r="D1284" s="1869">
        <v>4221.8197600000003</v>
      </c>
      <c r="E1284" s="1869">
        <v>4644.5091899999998</v>
      </c>
      <c r="F1284" s="1870">
        <v>34.841819999999998</v>
      </c>
      <c r="G1284" s="1871">
        <v>3758.91</v>
      </c>
      <c r="H1284" s="1872"/>
      <c r="I1284" s="1870">
        <v>0.73421000000000003</v>
      </c>
      <c r="J1284" s="1870">
        <v>1.05535</v>
      </c>
      <c r="K1284" s="1870">
        <v>1.1231500000000001</v>
      </c>
      <c r="L1284" s="1870">
        <v>1.2356</v>
      </c>
      <c r="M1284" s="1870">
        <v>9.2599999999999991E-3</v>
      </c>
      <c r="N1284" s="1870">
        <v>1</v>
      </c>
      <c r="O1284" s="1872"/>
      <c r="P1284" s="1870">
        <v>1.3620000000000001</v>
      </c>
      <c r="Q1284" s="1870">
        <v>0.94755</v>
      </c>
      <c r="R1284" s="1870">
        <v>0.89034999999999997</v>
      </c>
      <c r="S1284" s="1870">
        <v>0.80932000000000004</v>
      </c>
      <c r="T1284" s="1870">
        <v>107.88500000000001</v>
      </c>
      <c r="U1284" s="1870">
        <v>1</v>
      </c>
      <c r="V1284" s="1872"/>
    </row>
    <row r="1285" spans="1:35" s="1857" customFormat="1" hidden="1" outlineLevel="1">
      <c r="A1285" s="8">
        <v>44013</v>
      </c>
      <c r="B1285" s="1860">
        <v>2769.1990099999998</v>
      </c>
      <c r="C1285" s="1860">
        <v>3974.8994699999998</v>
      </c>
      <c r="D1285" s="1860">
        <v>4229.9468999999999</v>
      </c>
      <c r="E1285" s="1860">
        <v>4679.5736200000001</v>
      </c>
      <c r="F1285">
        <v>34.934010000000001</v>
      </c>
      <c r="G1285" s="1861">
        <v>3756.28</v>
      </c>
      <c r="I1285">
        <v>0.73721000000000003</v>
      </c>
      <c r="J1285">
        <v>1.0582</v>
      </c>
      <c r="K1285">
        <v>1.1261000000000001</v>
      </c>
      <c r="L1285">
        <v>1.2458</v>
      </c>
      <c r="M1285">
        <v>9.2999999999999992E-3</v>
      </c>
      <c r="N1285">
        <v>1</v>
      </c>
      <c r="P1285">
        <v>0.73721000000000003</v>
      </c>
      <c r="Q1285">
        <v>1.0582</v>
      </c>
      <c r="R1285">
        <v>1.1261000000000001</v>
      </c>
      <c r="S1285">
        <v>1.2458</v>
      </c>
      <c r="T1285">
        <v>9.2999999999999992E-3</v>
      </c>
      <c r="U1285">
        <v>1</v>
      </c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</row>
    <row r="1286" spans="1:35" s="1857" customFormat="1" hidden="1" outlineLevel="1">
      <c r="A1286" s="8">
        <v>44014</v>
      </c>
      <c r="B1286" s="1860">
        <v>2736.4835499999999</v>
      </c>
      <c r="C1286" s="1860">
        <v>3936.8504499999999</v>
      </c>
      <c r="D1286" s="1860">
        <v>4181.1228499999997</v>
      </c>
      <c r="E1286" s="1860">
        <v>4641.9270200000001</v>
      </c>
      <c r="F1286">
        <v>34.598550000000003</v>
      </c>
      <c r="G1286" s="1861">
        <v>3723.67</v>
      </c>
      <c r="I1286">
        <v>0.73487999999999998</v>
      </c>
      <c r="J1286">
        <v>1.05725</v>
      </c>
      <c r="K1286">
        <v>1.1228499999999999</v>
      </c>
      <c r="L1286">
        <v>1.2465999999999999</v>
      </c>
      <c r="M1286">
        <v>9.2899999999999996E-3</v>
      </c>
      <c r="N1286">
        <v>1</v>
      </c>
      <c r="P1286">
        <v>0.73487999999999998</v>
      </c>
      <c r="Q1286">
        <v>1.05725</v>
      </c>
      <c r="R1286">
        <v>1.1228499999999999</v>
      </c>
      <c r="S1286">
        <v>1.2465999999999999</v>
      </c>
      <c r="T1286">
        <v>9.2899999999999996E-3</v>
      </c>
      <c r="U1286">
        <v>1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</row>
    <row r="1287" spans="1:35" s="1857" customFormat="1" hidden="1" outlineLevel="1">
      <c r="A1287" s="8">
        <v>44015</v>
      </c>
      <c r="B1287" s="1860">
        <v>2695.8680100000001</v>
      </c>
      <c r="C1287" s="1860">
        <v>3873.0014200000001</v>
      </c>
      <c r="D1287" s="1860">
        <v>4114.9573600000003</v>
      </c>
      <c r="E1287" s="1860">
        <v>4563.3294100000003</v>
      </c>
      <c r="F1287">
        <v>34.038679999999999</v>
      </c>
      <c r="G1287" s="1861">
        <v>3660.18</v>
      </c>
      <c r="I1287">
        <v>0.73653000000000002</v>
      </c>
      <c r="J1287">
        <v>1.0581400000000001</v>
      </c>
      <c r="K1287">
        <v>1.12425</v>
      </c>
      <c r="L1287">
        <v>1.24675</v>
      </c>
      <c r="M1287">
        <v>9.2899999999999996E-3</v>
      </c>
      <c r="N1287">
        <v>1</v>
      </c>
      <c r="P1287">
        <v>0.73653000000000002</v>
      </c>
      <c r="Q1287">
        <v>1.0581400000000001</v>
      </c>
      <c r="R1287">
        <v>1.12425</v>
      </c>
      <c r="S1287">
        <v>1.24675</v>
      </c>
      <c r="T1287">
        <v>9.2899999999999996E-3</v>
      </c>
      <c r="U1287">
        <v>1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</row>
    <row r="1288" spans="1:35" s="1857" customFormat="1" hidden="1" outlineLevel="1">
      <c r="A1288" s="8">
        <v>44016</v>
      </c>
      <c r="B1288" s="1860">
        <v>2685.3502199999998</v>
      </c>
      <c r="C1288" s="1860">
        <v>3857.89111</v>
      </c>
      <c r="D1288" s="1860">
        <v>4098.9030700000003</v>
      </c>
      <c r="E1288" s="1860">
        <v>4545.5258199999998</v>
      </c>
      <c r="F1288">
        <v>33.905880000000003</v>
      </c>
      <c r="G1288" s="1861">
        <v>3645.9</v>
      </c>
      <c r="I1288">
        <v>0.73653000000000002</v>
      </c>
      <c r="J1288">
        <v>1.0581400000000001</v>
      </c>
      <c r="K1288">
        <v>1.12425</v>
      </c>
      <c r="L1288">
        <v>1.24675</v>
      </c>
      <c r="M1288">
        <v>9.2899999999999996E-3</v>
      </c>
      <c r="N1288">
        <v>1</v>
      </c>
      <c r="P1288">
        <v>0.73653000000000002</v>
      </c>
      <c r="Q1288">
        <v>1.0581400000000001</v>
      </c>
      <c r="R1288">
        <v>1.12425</v>
      </c>
      <c r="S1288">
        <v>1.24675</v>
      </c>
      <c r="T1288">
        <v>9.2899999999999996E-3</v>
      </c>
      <c r="U1288">
        <v>1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</row>
    <row r="1289" spans="1:35" s="1857" customFormat="1" hidden="1" outlineLevel="1">
      <c r="A1289" s="8">
        <v>44017</v>
      </c>
      <c r="B1289" s="1860">
        <v>2685.3502199999998</v>
      </c>
      <c r="C1289" s="1860">
        <v>3857.89111</v>
      </c>
      <c r="D1289" s="1860">
        <v>4098.9030700000003</v>
      </c>
      <c r="E1289" s="1860">
        <v>4545.5258199999998</v>
      </c>
      <c r="F1289">
        <v>33.905880000000003</v>
      </c>
      <c r="G1289" s="1861">
        <v>3645.9</v>
      </c>
      <c r="I1289">
        <v>0.73653000000000002</v>
      </c>
      <c r="J1289">
        <v>1.0581400000000001</v>
      </c>
      <c r="K1289">
        <v>1.12425</v>
      </c>
      <c r="L1289">
        <v>1.24675</v>
      </c>
      <c r="M1289">
        <v>9.2899999999999996E-3</v>
      </c>
      <c r="N1289">
        <v>1</v>
      </c>
      <c r="P1289">
        <v>0.73653000000000002</v>
      </c>
      <c r="Q1289">
        <v>1.0581400000000001</v>
      </c>
      <c r="R1289">
        <v>1.12425</v>
      </c>
      <c r="S1289">
        <v>1.24675</v>
      </c>
      <c r="T1289">
        <v>9.2899999999999996E-3</v>
      </c>
      <c r="U1289">
        <v>1</v>
      </c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</row>
    <row r="1290" spans="1:35" s="1857" customFormat="1" hidden="1" outlineLevel="1">
      <c r="A1290" s="8">
        <v>44018</v>
      </c>
      <c r="B1290" s="1860">
        <v>2693.9816000000001</v>
      </c>
      <c r="C1290" s="1860">
        <v>3879.6488399999998</v>
      </c>
      <c r="D1290" s="1860">
        <v>4126.2473200000004</v>
      </c>
      <c r="E1290" s="1860">
        <v>4561.0209000000004</v>
      </c>
      <c r="F1290">
        <v>33.923229999999997</v>
      </c>
      <c r="G1290" s="1861">
        <v>3645.9</v>
      </c>
      <c r="I1290">
        <v>0.7389</v>
      </c>
      <c r="J1290">
        <v>1.0641099999999999</v>
      </c>
      <c r="K1290">
        <v>1.13175</v>
      </c>
      <c r="L1290">
        <v>1.2509999999999999</v>
      </c>
      <c r="M1290">
        <v>9.2999999999999992E-3</v>
      </c>
      <c r="N1290">
        <v>1</v>
      </c>
      <c r="P1290">
        <v>0.7389</v>
      </c>
      <c r="Q1290">
        <v>1.0641099999999999</v>
      </c>
      <c r="R1290">
        <v>1.13175</v>
      </c>
      <c r="S1290">
        <v>1.2509999999999999</v>
      </c>
      <c r="T1290">
        <v>9.2999999999999992E-3</v>
      </c>
      <c r="U1290">
        <v>1</v>
      </c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</row>
    <row r="1291" spans="1:35" s="1857" customFormat="1" hidden="1" outlineLevel="1">
      <c r="A1291" s="8">
        <v>44019</v>
      </c>
      <c r="B1291" s="1860">
        <v>2674.7055300000002</v>
      </c>
      <c r="C1291" s="1860">
        <v>3858.6660999999999</v>
      </c>
      <c r="D1291" s="1860">
        <v>4100.38328</v>
      </c>
      <c r="E1291" s="1860">
        <v>4568.8999000000003</v>
      </c>
      <c r="F1291">
        <v>33.781039999999997</v>
      </c>
      <c r="G1291" s="1861">
        <v>3633.32</v>
      </c>
      <c r="I1291">
        <v>0.73616000000000004</v>
      </c>
      <c r="J1291">
        <v>1.06202</v>
      </c>
      <c r="K1291">
        <v>1.1285499999999999</v>
      </c>
      <c r="L1291">
        <v>1.2575000000000001</v>
      </c>
      <c r="M1291">
        <v>9.2899999999999996E-3</v>
      </c>
      <c r="N1291">
        <v>1</v>
      </c>
      <c r="P1291">
        <v>0.73616000000000004</v>
      </c>
      <c r="Q1291">
        <v>1.06202</v>
      </c>
      <c r="R1291">
        <v>1.1285499999999999</v>
      </c>
      <c r="S1291">
        <v>1.2575000000000001</v>
      </c>
      <c r="T1291">
        <v>9.2899999999999996E-3</v>
      </c>
      <c r="U1291">
        <v>1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</row>
    <row r="1292" spans="1:35" s="1857" customFormat="1" hidden="1" outlineLevel="1">
      <c r="A1292" s="8">
        <v>44020</v>
      </c>
      <c r="B1292" s="1860">
        <v>2682.6770999999999</v>
      </c>
      <c r="C1292" s="1860">
        <v>3870.9587999999999</v>
      </c>
      <c r="D1292" s="1860">
        <v>4113.6269300000004</v>
      </c>
      <c r="E1292" s="1860">
        <v>4573.5614699999996</v>
      </c>
      <c r="F1292">
        <v>33.775480000000002</v>
      </c>
      <c r="G1292" s="1861">
        <v>3631.54</v>
      </c>
      <c r="I1292">
        <v>0.73870999999999998</v>
      </c>
      <c r="J1292">
        <v>1.06592</v>
      </c>
      <c r="K1292">
        <v>1.1327499999999999</v>
      </c>
      <c r="L1292">
        <v>1.2594000000000001</v>
      </c>
      <c r="M1292">
        <v>9.2999999999999992E-3</v>
      </c>
      <c r="N1292">
        <v>1</v>
      </c>
      <c r="P1292">
        <v>0.73870999999999998</v>
      </c>
      <c r="Q1292">
        <v>1.06592</v>
      </c>
      <c r="R1292">
        <v>1.1327499999999999</v>
      </c>
      <c r="S1292">
        <v>1.2594000000000001</v>
      </c>
      <c r="T1292">
        <v>9.2999999999999992E-3</v>
      </c>
      <c r="U1292">
        <v>1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</row>
    <row r="1293" spans="1:35" s="1857" customFormat="1" hidden="1" outlineLevel="1">
      <c r="A1293" s="8">
        <v>44021</v>
      </c>
      <c r="B1293" s="1860">
        <v>2671.78334</v>
      </c>
      <c r="C1293" s="1860">
        <v>3857.2370799999999</v>
      </c>
      <c r="D1293" s="1860">
        <v>4094.5826499999998</v>
      </c>
      <c r="E1293" s="1860">
        <v>4573.8882899999999</v>
      </c>
      <c r="F1293">
        <v>33.79419</v>
      </c>
      <c r="G1293" s="1861">
        <v>3625.61</v>
      </c>
      <c r="I1293">
        <v>0.73690999999999995</v>
      </c>
      <c r="J1293">
        <v>1.0638799999999999</v>
      </c>
      <c r="K1293">
        <v>1.1293500000000001</v>
      </c>
      <c r="L1293">
        <v>1.2615499999999999</v>
      </c>
      <c r="M1293">
        <v>9.3200000000000002E-3</v>
      </c>
      <c r="N1293">
        <v>1</v>
      </c>
      <c r="P1293">
        <v>0.73690999999999995</v>
      </c>
      <c r="Q1293">
        <v>1.0638799999999999</v>
      </c>
      <c r="R1293">
        <v>1.1293500000000001</v>
      </c>
      <c r="S1293">
        <v>1.2615499999999999</v>
      </c>
      <c r="T1293">
        <v>9.3200000000000002E-3</v>
      </c>
      <c r="U1293">
        <v>1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</row>
    <row r="1294" spans="1:35" s="1857" customFormat="1" hidden="1" outlineLevel="1">
      <c r="A1294" s="8">
        <v>44022</v>
      </c>
      <c r="B1294" s="1860">
        <v>2674.3853899999999</v>
      </c>
      <c r="C1294" s="1860">
        <v>3868.2210100000002</v>
      </c>
      <c r="D1294" s="1860">
        <v>4112.4864200000002</v>
      </c>
      <c r="E1294" s="1860">
        <v>4600.2730600000004</v>
      </c>
      <c r="F1294">
        <v>34.035119999999999</v>
      </c>
      <c r="G1294" s="1861">
        <v>3633.42</v>
      </c>
      <c r="I1294">
        <v>0.73604999999999998</v>
      </c>
      <c r="J1294">
        <v>1.0646199999999999</v>
      </c>
      <c r="K1294">
        <v>1.13185</v>
      </c>
      <c r="L1294">
        <v>1.2661</v>
      </c>
      <c r="M1294">
        <v>9.3600000000000003E-3</v>
      </c>
      <c r="N1294">
        <v>1</v>
      </c>
      <c r="P1294">
        <v>0.73604999999999998</v>
      </c>
      <c r="Q1294">
        <v>1.0646199999999999</v>
      </c>
      <c r="R1294">
        <v>1.13185</v>
      </c>
      <c r="S1294">
        <v>1.2661</v>
      </c>
      <c r="T1294">
        <v>9.3600000000000003E-3</v>
      </c>
      <c r="U1294">
        <v>1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</row>
    <row r="1295" spans="1:35" s="1857" customFormat="1" hidden="1" outlineLevel="1">
      <c r="A1295" s="8">
        <v>44023</v>
      </c>
      <c r="B1295" s="1860">
        <v>2661.3793599999999</v>
      </c>
      <c r="C1295" s="1860">
        <v>3849.40913</v>
      </c>
      <c r="D1295" s="1860">
        <v>4092.4866299999999</v>
      </c>
      <c r="E1295" s="1860">
        <v>4577.9010699999999</v>
      </c>
      <c r="F1295">
        <v>33.869599999999998</v>
      </c>
      <c r="G1295" s="1861">
        <v>3615.75</v>
      </c>
      <c r="I1295">
        <v>0.73604999999999998</v>
      </c>
      <c r="J1295">
        <v>1.0646199999999999</v>
      </c>
      <c r="K1295">
        <v>1.13185</v>
      </c>
      <c r="L1295">
        <v>1.2661</v>
      </c>
      <c r="M1295">
        <v>9.3600000000000003E-3</v>
      </c>
      <c r="N1295">
        <v>1</v>
      </c>
      <c r="P1295">
        <v>0.73604999999999998</v>
      </c>
      <c r="Q1295">
        <v>1.0646199999999999</v>
      </c>
      <c r="R1295">
        <v>1.13185</v>
      </c>
      <c r="S1295">
        <v>1.2661</v>
      </c>
      <c r="T1295">
        <v>9.3600000000000003E-3</v>
      </c>
      <c r="U1295">
        <v>1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</row>
    <row r="1296" spans="1:35" s="1857" customFormat="1" hidden="1" outlineLevel="1">
      <c r="A1296" s="8">
        <v>44024</v>
      </c>
      <c r="B1296" s="1860">
        <v>2661.3793599999999</v>
      </c>
      <c r="C1296" s="1860">
        <v>3849.40913</v>
      </c>
      <c r="D1296" s="1860">
        <v>4092.4866299999999</v>
      </c>
      <c r="E1296" s="1860">
        <v>4577.9010699999999</v>
      </c>
      <c r="F1296">
        <v>33.869599999999998</v>
      </c>
      <c r="G1296" s="1861">
        <v>3615.75</v>
      </c>
      <c r="I1296">
        <v>0.73604999999999998</v>
      </c>
      <c r="J1296">
        <v>1.0646199999999999</v>
      </c>
      <c r="K1296">
        <v>1.13185</v>
      </c>
      <c r="L1296">
        <v>1.2661</v>
      </c>
      <c r="M1296">
        <v>9.3600000000000003E-3</v>
      </c>
      <c r="N1296">
        <v>1</v>
      </c>
      <c r="P1296">
        <v>0.73604999999999998</v>
      </c>
      <c r="Q1296">
        <v>1.0646199999999999</v>
      </c>
      <c r="R1296">
        <v>1.13185</v>
      </c>
      <c r="S1296">
        <v>1.2661</v>
      </c>
      <c r="T1296">
        <v>9.3600000000000003E-3</v>
      </c>
      <c r="U1296">
        <v>1</v>
      </c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</row>
    <row r="1297" spans="1:35" s="1857" customFormat="1" hidden="1" outlineLevel="1">
      <c r="A1297" s="8">
        <v>44025</v>
      </c>
      <c r="B1297" s="1860">
        <v>2668.0563699999998</v>
      </c>
      <c r="C1297" s="1860">
        <v>3841.43426</v>
      </c>
      <c r="D1297" s="1860">
        <v>4110.56538</v>
      </c>
      <c r="E1297" s="1860">
        <v>4562.17256</v>
      </c>
      <c r="F1297">
        <v>33.705419999999997</v>
      </c>
      <c r="G1297" s="1861">
        <v>3615.75</v>
      </c>
      <c r="I1297">
        <v>0.73789000000000005</v>
      </c>
      <c r="J1297">
        <v>1.0624100000000001</v>
      </c>
      <c r="K1297">
        <v>1.1368499999999999</v>
      </c>
      <c r="L1297">
        <v>1.2617499999999999</v>
      </c>
      <c r="M1297">
        <v>9.3200000000000002E-3</v>
      </c>
      <c r="N1297">
        <v>1</v>
      </c>
      <c r="P1297">
        <v>0.73789000000000005</v>
      </c>
      <c r="Q1297">
        <v>1.0624100000000001</v>
      </c>
      <c r="R1297">
        <v>1.1368499999999999</v>
      </c>
      <c r="S1297">
        <v>1.2617499999999999</v>
      </c>
      <c r="T1297">
        <v>9.3200000000000002E-3</v>
      </c>
      <c r="U1297">
        <v>1</v>
      </c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</row>
    <row r="1298" spans="1:35" s="1857" customFormat="1" hidden="1" outlineLevel="1">
      <c r="A1298" s="8">
        <v>44026</v>
      </c>
      <c r="B1298" s="1860">
        <v>2656.4000799999999</v>
      </c>
      <c r="C1298" s="1860">
        <v>3852.2044700000001</v>
      </c>
      <c r="D1298" s="1860">
        <v>4122.9073500000004</v>
      </c>
      <c r="E1298" s="1860">
        <v>4532.0149300000003</v>
      </c>
      <c r="F1298">
        <v>33.72542</v>
      </c>
      <c r="G1298" s="1861">
        <v>3617.22</v>
      </c>
      <c r="I1298">
        <v>0.73436999999999997</v>
      </c>
      <c r="J1298">
        <v>1.0649599999999999</v>
      </c>
      <c r="K1298">
        <v>1.1397999999999999</v>
      </c>
      <c r="L1298">
        <v>1.2528999999999999</v>
      </c>
      <c r="M1298">
        <v>9.3200000000000002E-3</v>
      </c>
      <c r="N1298">
        <v>1</v>
      </c>
      <c r="P1298">
        <v>0.73436999999999997</v>
      </c>
      <c r="Q1298">
        <v>1.0649599999999999</v>
      </c>
      <c r="R1298">
        <v>1.1397999999999999</v>
      </c>
      <c r="S1298">
        <v>1.2528999999999999</v>
      </c>
      <c r="T1298">
        <v>9.3200000000000002E-3</v>
      </c>
      <c r="U1298">
        <v>1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</row>
    <row r="1299" spans="1:35" s="1857" customFormat="1" hidden="1" outlineLevel="1">
      <c r="A1299" s="8">
        <v>44027</v>
      </c>
      <c r="B1299" s="1860">
        <v>2687.8102800000001</v>
      </c>
      <c r="C1299" s="1860">
        <v>3854.8633100000002</v>
      </c>
      <c r="D1299" s="1860">
        <v>4154.1195900000002</v>
      </c>
      <c r="E1299" s="1860">
        <v>4592.1612800000003</v>
      </c>
      <c r="F1299">
        <v>34.052970000000002</v>
      </c>
      <c r="G1299" s="1861">
        <v>3638.22</v>
      </c>
      <c r="I1299">
        <v>0.73877000000000004</v>
      </c>
      <c r="J1299">
        <v>1.0595399999999999</v>
      </c>
      <c r="K1299">
        <v>1.1417999999999999</v>
      </c>
      <c r="L1299">
        <v>1.2622</v>
      </c>
      <c r="M1299">
        <v>9.3500000000000007E-3</v>
      </c>
      <c r="N1299">
        <v>1</v>
      </c>
      <c r="P1299">
        <v>0.73877000000000004</v>
      </c>
      <c r="Q1299">
        <v>1.0595399999999999</v>
      </c>
      <c r="R1299">
        <v>1.1417999999999999</v>
      </c>
      <c r="S1299">
        <v>1.2622</v>
      </c>
      <c r="T1299">
        <v>9.3500000000000007E-3</v>
      </c>
      <c r="U1299">
        <v>1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</row>
    <row r="1300" spans="1:35" s="1857" customFormat="1" hidden="1" outlineLevel="1">
      <c r="A1300" s="8">
        <v>44028</v>
      </c>
      <c r="B1300" s="1860">
        <v>2668.9402799999998</v>
      </c>
      <c r="C1300" s="1860">
        <v>3827.88553</v>
      </c>
      <c r="D1300" s="1860">
        <v>4128.6119699999999</v>
      </c>
      <c r="E1300" s="1860">
        <v>4550.9897600000004</v>
      </c>
      <c r="F1300">
        <v>33.71555</v>
      </c>
      <c r="G1300" s="1861">
        <v>3611.61</v>
      </c>
      <c r="I1300">
        <v>0.73897999999999997</v>
      </c>
      <c r="J1300">
        <v>1.0598799999999999</v>
      </c>
      <c r="K1300">
        <v>1.1431500000000001</v>
      </c>
      <c r="L1300">
        <v>1.2601</v>
      </c>
      <c r="M1300">
        <v>9.3299999999999998E-3</v>
      </c>
      <c r="N1300">
        <v>1</v>
      </c>
      <c r="P1300">
        <v>0.73897999999999997</v>
      </c>
      <c r="Q1300">
        <v>1.0598799999999999</v>
      </c>
      <c r="R1300">
        <v>1.1431500000000001</v>
      </c>
      <c r="S1300">
        <v>1.2601</v>
      </c>
      <c r="T1300">
        <v>9.3299999999999998E-3</v>
      </c>
      <c r="U1300">
        <v>1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</row>
    <row r="1301" spans="1:35" hidden="1" outlineLevel="1">
      <c r="A1301" s="8">
        <v>44029</v>
      </c>
      <c r="B1301" s="1860">
        <v>2671.0793600000002</v>
      </c>
      <c r="C1301" s="1860">
        <v>3860.0414900000001</v>
      </c>
      <c r="D1301" s="1860">
        <v>4143.7416899999998</v>
      </c>
      <c r="E1301" s="1860">
        <v>4547.5225099999998</v>
      </c>
      <c r="F1301">
        <v>33.859340000000003</v>
      </c>
      <c r="G1301" s="1861">
        <v>3627.86</v>
      </c>
      <c r="I1301">
        <v>0.73626000000000003</v>
      </c>
      <c r="J1301">
        <v>1.06399</v>
      </c>
      <c r="K1301">
        <v>1.1422000000000001</v>
      </c>
      <c r="L1301">
        <v>1.2535000000000001</v>
      </c>
      <c r="M1301">
        <v>9.3299999999999998E-3</v>
      </c>
      <c r="N1301">
        <v>1</v>
      </c>
      <c r="P1301">
        <v>0.73626000000000003</v>
      </c>
      <c r="Q1301">
        <v>1.06399</v>
      </c>
      <c r="R1301">
        <v>1.1422000000000001</v>
      </c>
      <c r="S1301">
        <v>1.2535000000000001</v>
      </c>
      <c r="T1301">
        <v>9.3299999999999998E-3</v>
      </c>
      <c r="U1301">
        <v>1</v>
      </c>
    </row>
    <row r="1302" spans="1:35" hidden="1" outlineLevel="1">
      <c r="A1302" s="8">
        <v>44030</v>
      </c>
      <c r="B1302" s="1860">
        <v>2688.8013500000002</v>
      </c>
      <c r="C1302" s="1860">
        <v>3885.6519600000001</v>
      </c>
      <c r="D1302" s="1860">
        <v>4171.2344400000002</v>
      </c>
      <c r="E1302" s="1860">
        <v>4577.6942499999996</v>
      </c>
      <c r="F1302">
        <v>34.08399</v>
      </c>
      <c r="G1302" s="1861">
        <v>3651.93</v>
      </c>
      <c r="I1302">
        <v>0.73626000000000003</v>
      </c>
      <c r="J1302">
        <v>1.06399</v>
      </c>
      <c r="K1302">
        <v>1.1422000000000001</v>
      </c>
      <c r="L1302">
        <v>1.2535000000000001</v>
      </c>
      <c r="M1302">
        <v>9.3299999999999998E-3</v>
      </c>
      <c r="N1302">
        <v>1</v>
      </c>
      <c r="P1302">
        <v>0.73626000000000003</v>
      </c>
      <c r="Q1302">
        <v>1.06399</v>
      </c>
      <c r="R1302">
        <v>1.1422000000000001</v>
      </c>
      <c r="S1302">
        <v>1.2535000000000001</v>
      </c>
      <c r="T1302">
        <v>9.3299999999999998E-3</v>
      </c>
      <c r="U1302">
        <v>1</v>
      </c>
    </row>
    <row r="1303" spans="1:35" hidden="1" outlineLevel="1">
      <c r="A1303" s="8">
        <v>44031</v>
      </c>
      <c r="B1303" s="1860">
        <v>2688.8013500000002</v>
      </c>
      <c r="C1303" s="1860">
        <v>3885.6519600000001</v>
      </c>
      <c r="D1303" s="1860">
        <v>4171.2344400000002</v>
      </c>
      <c r="E1303" s="1860">
        <v>4577.6942499999996</v>
      </c>
      <c r="F1303">
        <v>34.08399</v>
      </c>
      <c r="G1303" s="1861">
        <v>3651.93</v>
      </c>
      <c r="I1303">
        <v>0.73626000000000003</v>
      </c>
      <c r="J1303">
        <v>1.06399</v>
      </c>
      <c r="K1303">
        <v>1.1422000000000001</v>
      </c>
      <c r="L1303">
        <v>1.2535000000000001</v>
      </c>
      <c r="M1303">
        <v>9.3299999999999998E-3</v>
      </c>
      <c r="N1303">
        <v>1</v>
      </c>
      <c r="P1303">
        <v>0.73626000000000003</v>
      </c>
      <c r="Q1303">
        <v>1.06399</v>
      </c>
      <c r="R1303">
        <v>1.1422000000000001</v>
      </c>
      <c r="S1303">
        <v>1.2535000000000001</v>
      </c>
      <c r="T1303">
        <v>9.3299999999999998E-3</v>
      </c>
      <c r="U1303">
        <v>1</v>
      </c>
    </row>
    <row r="1304" spans="1:35" hidden="1" outlineLevel="1">
      <c r="A1304" s="8">
        <v>44032</v>
      </c>
      <c r="B1304" s="1860">
        <v>2696.5443399999999</v>
      </c>
      <c r="C1304" s="1860">
        <v>3887.0995200000002</v>
      </c>
      <c r="D1304" s="1860">
        <v>4177.8079200000002</v>
      </c>
      <c r="E1304" s="1860">
        <v>4618.5958700000001</v>
      </c>
      <c r="F1304">
        <v>34.068100000000001</v>
      </c>
      <c r="G1304" s="1861">
        <v>3651.93</v>
      </c>
      <c r="I1304">
        <v>0.73838000000000004</v>
      </c>
      <c r="J1304">
        <v>1.0643899999999999</v>
      </c>
      <c r="K1304">
        <v>1.1439999999999999</v>
      </c>
      <c r="L1304">
        <v>1.2646999999999999</v>
      </c>
      <c r="M1304">
        <v>9.3200000000000002E-3</v>
      </c>
      <c r="N1304">
        <v>1</v>
      </c>
      <c r="P1304">
        <v>0.73838000000000004</v>
      </c>
      <c r="Q1304">
        <v>1.0643899999999999</v>
      </c>
      <c r="R1304">
        <v>1.1439999999999999</v>
      </c>
      <c r="S1304">
        <v>1.2646999999999999</v>
      </c>
      <c r="T1304">
        <v>9.3200000000000002E-3</v>
      </c>
      <c r="U1304">
        <v>1</v>
      </c>
    </row>
    <row r="1305" spans="1:35" hidden="1" outlineLevel="1">
      <c r="A1305" s="8">
        <v>44033</v>
      </c>
      <c r="B1305" s="1860">
        <v>2715.9973199999999</v>
      </c>
      <c r="C1305" s="1860">
        <v>3901.8430400000002</v>
      </c>
      <c r="D1305" s="1860">
        <v>4195.3371800000004</v>
      </c>
      <c r="E1305" s="1860">
        <v>4656.2107500000002</v>
      </c>
      <c r="F1305">
        <v>34.160510000000002</v>
      </c>
      <c r="G1305" s="1861">
        <v>3651.93</v>
      </c>
      <c r="I1305">
        <v>0.74370999999999998</v>
      </c>
      <c r="J1305">
        <v>1.06843</v>
      </c>
      <c r="K1305">
        <v>1.1488</v>
      </c>
      <c r="L1305">
        <v>1.2749999999999999</v>
      </c>
      <c r="M1305">
        <v>9.3500000000000007E-3</v>
      </c>
      <c r="N1305">
        <v>1</v>
      </c>
      <c r="P1305">
        <v>0.74370999999999998</v>
      </c>
      <c r="Q1305">
        <v>1.06843</v>
      </c>
      <c r="R1305">
        <v>1.1488</v>
      </c>
      <c r="S1305">
        <v>1.2749999999999999</v>
      </c>
      <c r="T1305">
        <v>9.3500000000000007E-3</v>
      </c>
      <c r="U1305">
        <v>1</v>
      </c>
    </row>
    <row r="1306" spans="1:35" hidden="1" outlineLevel="1">
      <c r="A1306" s="8">
        <v>44034</v>
      </c>
      <c r="B1306" s="1860">
        <v>2701.5636599999998</v>
      </c>
      <c r="C1306" s="1860">
        <v>3905.0694199999998</v>
      </c>
      <c r="D1306" s="1860">
        <v>4206.1722600000003</v>
      </c>
      <c r="E1306" s="1860">
        <v>4619.2428300000001</v>
      </c>
      <c r="F1306">
        <v>33.848300000000002</v>
      </c>
      <c r="G1306" s="1861">
        <v>3628.2</v>
      </c>
      <c r="I1306">
        <v>0.74460000000000004</v>
      </c>
      <c r="J1306">
        <v>1.0763100000000001</v>
      </c>
      <c r="K1306">
        <v>1.1593</v>
      </c>
      <c r="L1306">
        <v>1.27315</v>
      </c>
      <c r="M1306">
        <v>9.3200000000000002E-3</v>
      </c>
      <c r="N1306">
        <v>1</v>
      </c>
      <c r="P1306">
        <v>0.74460000000000004</v>
      </c>
      <c r="Q1306">
        <v>1.0763100000000001</v>
      </c>
      <c r="R1306">
        <v>1.1593</v>
      </c>
      <c r="S1306">
        <v>1.27315</v>
      </c>
      <c r="T1306">
        <v>9.3200000000000002E-3</v>
      </c>
      <c r="U1306">
        <v>1</v>
      </c>
    </row>
    <row r="1307" spans="1:35" hidden="1" outlineLevel="1">
      <c r="A1307" s="8">
        <v>44035</v>
      </c>
      <c r="B1307" s="1860">
        <v>2707.2284199999999</v>
      </c>
      <c r="C1307" s="1860">
        <v>3918.41849</v>
      </c>
      <c r="D1307" s="1860">
        <v>4205.8311599999997</v>
      </c>
      <c r="E1307" s="1860">
        <v>4622.7869899999996</v>
      </c>
      <c r="F1307">
        <v>33.901389999999999</v>
      </c>
      <c r="G1307" s="1861">
        <v>3627.28</v>
      </c>
      <c r="I1307">
        <v>0.74634999999999996</v>
      </c>
      <c r="J1307">
        <v>1.08026</v>
      </c>
      <c r="K1307">
        <v>1.1595</v>
      </c>
      <c r="L1307">
        <v>1.2744500000000001</v>
      </c>
      <c r="M1307">
        <v>9.3399999999999993E-3</v>
      </c>
      <c r="N1307">
        <v>1</v>
      </c>
      <c r="P1307">
        <v>0.74634999999999996</v>
      </c>
      <c r="Q1307">
        <v>1.08026</v>
      </c>
      <c r="R1307">
        <v>1.1595</v>
      </c>
      <c r="S1307">
        <v>1.2744500000000001</v>
      </c>
      <c r="T1307">
        <v>9.3399999999999993E-3</v>
      </c>
      <c r="U1307">
        <v>1</v>
      </c>
    </row>
    <row r="1308" spans="1:35" hidden="1" outlineLevel="1">
      <c r="A1308" s="8">
        <v>44036</v>
      </c>
      <c r="B1308" s="1860">
        <v>2730.84384</v>
      </c>
      <c r="C1308" s="1860">
        <v>3965.2781500000001</v>
      </c>
      <c r="D1308" s="1860">
        <v>4254.74136</v>
      </c>
      <c r="E1308" s="1860">
        <v>4680.5998200000004</v>
      </c>
      <c r="F1308">
        <v>34.577010000000001</v>
      </c>
      <c r="G1308" s="1861">
        <v>3660.15</v>
      </c>
      <c r="I1308">
        <v>0.74609999999999999</v>
      </c>
      <c r="J1308">
        <v>1.0833600000000001</v>
      </c>
      <c r="K1308">
        <v>1.16245</v>
      </c>
      <c r="L1308">
        <v>1.2787999999999999</v>
      </c>
      <c r="M1308">
        <v>9.4400000000000005E-3</v>
      </c>
      <c r="N1308">
        <v>1</v>
      </c>
      <c r="P1308">
        <v>0.74609999999999999</v>
      </c>
      <c r="Q1308">
        <v>1.0833600000000001</v>
      </c>
      <c r="R1308">
        <v>1.16245</v>
      </c>
      <c r="S1308">
        <v>1.2787999999999999</v>
      </c>
      <c r="T1308">
        <v>9.4400000000000005E-3</v>
      </c>
      <c r="U1308">
        <v>1</v>
      </c>
    </row>
    <row r="1309" spans="1:35" hidden="1" outlineLevel="1">
      <c r="A1309" s="8">
        <v>44037</v>
      </c>
      <c r="B1309" s="1860">
        <v>2753.7118500000001</v>
      </c>
      <c r="C1309" s="1860">
        <v>3998.4832799999999</v>
      </c>
      <c r="D1309" s="1860">
        <v>4290.3704600000001</v>
      </c>
      <c r="E1309" s="1860">
        <v>4719.79504</v>
      </c>
      <c r="F1309">
        <v>34.86656</v>
      </c>
      <c r="G1309" s="1861">
        <v>3690.8</v>
      </c>
      <c r="I1309">
        <v>0.74609999999999999</v>
      </c>
      <c r="J1309">
        <v>1.0833600000000001</v>
      </c>
      <c r="K1309">
        <v>1.16245</v>
      </c>
      <c r="L1309">
        <v>1.2787999999999999</v>
      </c>
      <c r="M1309">
        <v>9.4400000000000005E-3</v>
      </c>
      <c r="N1309">
        <v>1</v>
      </c>
      <c r="P1309">
        <v>0.74609999999999999</v>
      </c>
      <c r="Q1309">
        <v>1.0833600000000001</v>
      </c>
      <c r="R1309">
        <v>1.16245</v>
      </c>
      <c r="S1309">
        <v>1.2787999999999999</v>
      </c>
      <c r="T1309">
        <v>9.4400000000000005E-3</v>
      </c>
      <c r="U1309">
        <v>1</v>
      </c>
    </row>
    <row r="1310" spans="1:35" hidden="1" outlineLevel="1">
      <c r="A1310" s="8">
        <v>44038</v>
      </c>
      <c r="B1310" s="1860">
        <v>2753.7118500000001</v>
      </c>
      <c r="C1310" s="1860">
        <v>3998.4832799999999</v>
      </c>
      <c r="D1310" s="1860">
        <v>4290.3704600000001</v>
      </c>
      <c r="E1310" s="1860">
        <v>4719.79504</v>
      </c>
      <c r="F1310">
        <v>34.86656</v>
      </c>
      <c r="G1310" s="1861">
        <v>3690.8</v>
      </c>
      <c r="I1310">
        <v>0.74609999999999999</v>
      </c>
      <c r="J1310">
        <v>1.0833600000000001</v>
      </c>
      <c r="K1310">
        <v>1.16245</v>
      </c>
      <c r="L1310">
        <v>1.2787999999999999</v>
      </c>
      <c r="M1310">
        <v>9.4400000000000005E-3</v>
      </c>
      <c r="N1310">
        <v>1</v>
      </c>
      <c r="P1310">
        <v>0.74609999999999999</v>
      </c>
      <c r="Q1310">
        <v>1.0833600000000001</v>
      </c>
      <c r="R1310">
        <v>1.16245</v>
      </c>
      <c r="S1310">
        <v>1.2787999999999999</v>
      </c>
      <c r="T1310">
        <v>9.4400000000000005E-3</v>
      </c>
      <c r="U1310">
        <v>1</v>
      </c>
    </row>
    <row r="1311" spans="1:35" hidden="1" outlineLevel="1">
      <c r="A1311" s="8">
        <v>44039</v>
      </c>
      <c r="B1311" s="1860">
        <v>2760.61184</v>
      </c>
      <c r="C1311" s="1860">
        <v>4015.8859600000001</v>
      </c>
      <c r="D1311" s="1860">
        <v>4346.8397000000004</v>
      </c>
      <c r="E1311" s="1860">
        <v>4759.6556799999998</v>
      </c>
      <c r="F1311">
        <v>35.101999999999997</v>
      </c>
      <c r="G1311" s="1861">
        <v>3690.8</v>
      </c>
      <c r="I1311">
        <v>0.74797000000000002</v>
      </c>
      <c r="J1311">
        <v>1.0880799999999999</v>
      </c>
      <c r="K1311">
        <v>1.1777500000000001</v>
      </c>
      <c r="L1311">
        <v>1.2896000000000001</v>
      </c>
      <c r="M1311">
        <v>9.5099999999999994E-3</v>
      </c>
      <c r="N1311">
        <v>1</v>
      </c>
      <c r="P1311">
        <v>0.74797000000000002</v>
      </c>
      <c r="Q1311">
        <v>1.0880799999999999</v>
      </c>
      <c r="R1311">
        <v>1.1777500000000001</v>
      </c>
      <c r="S1311">
        <v>1.2896000000000001</v>
      </c>
      <c r="T1311">
        <v>9.5099999999999994E-3</v>
      </c>
      <c r="U1311">
        <v>1</v>
      </c>
    </row>
    <row r="1312" spans="1:35" hidden="1" outlineLevel="1">
      <c r="A1312" s="8">
        <v>44040</v>
      </c>
      <c r="B1312" s="1860">
        <v>2746.2640799999999</v>
      </c>
      <c r="C1312" s="1860">
        <v>4010.8688499999998</v>
      </c>
      <c r="D1312" s="1860">
        <v>4315.1145299999998</v>
      </c>
      <c r="E1312" s="1860">
        <v>4762.5015999999996</v>
      </c>
      <c r="F1312">
        <v>35.048050000000003</v>
      </c>
      <c r="G1312" s="1861">
        <v>3679.17</v>
      </c>
      <c r="I1312">
        <v>0.74643000000000004</v>
      </c>
      <c r="J1312">
        <v>1.09015</v>
      </c>
      <c r="K1312">
        <v>1.1728499999999999</v>
      </c>
      <c r="L1312">
        <v>1.2944500000000001</v>
      </c>
      <c r="M1312">
        <v>9.5200000000000007E-3</v>
      </c>
      <c r="N1312">
        <v>1</v>
      </c>
      <c r="P1312">
        <v>0.74643000000000004</v>
      </c>
      <c r="Q1312">
        <v>1.09015</v>
      </c>
      <c r="R1312">
        <v>1.1728499999999999</v>
      </c>
      <c r="S1312">
        <v>1.2944500000000001</v>
      </c>
      <c r="T1312">
        <v>9.5200000000000007E-3</v>
      </c>
      <c r="U1312">
        <v>1</v>
      </c>
    </row>
    <row r="1313" spans="1:35" hidden="1" outlineLevel="1">
      <c r="A1313" s="8">
        <v>44041</v>
      </c>
      <c r="B1313" s="1860">
        <v>2784.5969500000001</v>
      </c>
      <c r="C1313" s="1860">
        <v>4066.3641299999999</v>
      </c>
      <c r="D1313" s="1860">
        <v>4378.5715399999999</v>
      </c>
      <c r="E1313" s="1860">
        <v>4820.7237800000003</v>
      </c>
      <c r="F1313">
        <v>35.380710000000001</v>
      </c>
      <c r="G1313" s="1861">
        <v>3718.69</v>
      </c>
      <c r="I1313">
        <v>0.74880999999999998</v>
      </c>
      <c r="J1313">
        <v>1.0934900000000001</v>
      </c>
      <c r="K1313">
        <v>1.1774500000000001</v>
      </c>
      <c r="L1313">
        <v>1.2963499999999999</v>
      </c>
      <c r="M1313">
        <v>9.5099999999999994E-3</v>
      </c>
      <c r="N1313">
        <v>1</v>
      </c>
      <c r="P1313">
        <v>0.74880999999999998</v>
      </c>
      <c r="Q1313">
        <v>1.0934900000000001</v>
      </c>
      <c r="R1313">
        <v>1.1774500000000001</v>
      </c>
      <c r="S1313">
        <v>1.2963499999999999</v>
      </c>
      <c r="T1313">
        <v>9.5099999999999994E-3</v>
      </c>
      <c r="U1313">
        <v>1</v>
      </c>
    </row>
    <row r="1314" spans="1:35" hidden="1" outlineLevel="1">
      <c r="A1314" s="8">
        <v>44042</v>
      </c>
      <c r="B1314" s="1860">
        <v>2765.1316700000002</v>
      </c>
      <c r="C1314" s="1860">
        <v>4076.2076999999999</v>
      </c>
      <c r="D1314" s="1860">
        <v>4383.88591</v>
      </c>
      <c r="E1314" s="1860">
        <v>4847.1962400000002</v>
      </c>
      <c r="F1314">
        <v>35.390520000000002</v>
      </c>
      <c r="G1314" s="1861">
        <v>3716.89</v>
      </c>
      <c r="I1314">
        <v>0.74392999999999998</v>
      </c>
      <c r="J1314">
        <v>1.09667</v>
      </c>
      <c r="K1314">
        <v>1.1794500000000001</v>
      </c>
      <c r="L1314">
        <v>1.3041</v>
      </c>
      <c r="M1314">
        <v>9.5200000000000007E-3</v>
      </c>
      <c r="N1314">
        <v>1</v>
      </c>
      <c r="P1314">
        <v>0.74392999999999998</v>
      </c>
      <c r="Q1314">
        <v>1.09667</v>
      </c>
      <c r="R1314">
        <v>1.1794500000000001</v>
      </c>
      <c r="S1314">
        <v>1.3041</v>
      </c>
      <c r="T1314">
        <v>9.5200000000000007E-3</v>
      </c>
      <c r="U1314">
        <v>1</v>
      </c>
    </row>
    <row r="1315" spans="1:35" ht="15.75" hidden="1" outlineLevel="1" thickBot="1">
      <c r="A1315" s="1868">
        <v>44043</v>
      </c>
      <c r="B1315" s="1869">
        <v>2791.70586</v>
      </c>
      <c r="C1315" s="1869">
        <v>4110.6848399999999</v>
      </c>
      <c r="D1315" s="1869">
        <v>4421.9469200000003</v>
      </c>
      <c r="E1315" s="1869">
        <v>4908.0806199999997</v>
      </c>
      <c r="F1315" s="1870">
        <v>35.368290000000002</v>
      </c>
      <c r="G1315" s="1871">
        <v>3739.49</v>
      </c>
      <c r="H1315" s="1872"/>
      <c r="I1315" s="1870">
        <v>0.74653999999999998</v>
      </c>
      <c r="J1315" s="1870">
        <v>1.0992599999999999</v>
      </c>
      <c r="K1315" s="1870">
        <v>1.1825000000000001</v>
      </c>
      <c r="L1315" s="1870">
        <v>1.3125</v>
      </c>
      <c r="M1315" s="1870">
        <v>9.4500000000000001E-3</v>
      </c>
      <c r="N1315" s="1870">
        <v>1</v>
      </c>
      <c r="O1315" s="1872"/>
      <c r="P1315" s="1870">
        <v>0.74653999999999998</v>
      </c>
      <c r="Q1315" s="1870">
        <v>1.0992599999999999</v>
      </c>
      <c r="R1315" s="1870">
        <v>1.1825000000000001</v>
      </c>
      <c r="S1315" s="1870">
        <v>1.3125</v>
      </c>
      <c r="T1315" s="1870">
        <v>9.4500000000000001E-3</v>
      </c>
      <c r="U1315" s="1870">
        <v>1</v>
      </c>
      <c r="V1315" s="1872"/>
    </row>
    <row r="1316" spans="1:35" hidden="1" outlineLevel="1">
      <c r="A1316" s="8">
        <v>44044</v>
      </c>
      <c r="B1316" s="1860">
        <v>2786.92049</v>
      </c>
      <c r="C1316" s="1860">
        <v>4103.6385600000003</v>
      </c>
      <c r="D1316" s="1860">
        <v>4414.3671000000004</v>
      </c>
      <c r="E1316" s="1860">
        <v>4899.6674999999996</v>
      </c>
      <c r="F1316">
        <v>35.307670000000002</v>
      </c>
      <c r="G1316" s="1861">
        <v>3733.08</v>
      </c>
      <c r="I1316">
        <v>0.74653999999999998</v>
      </c>
      <c r="J1316">
        <v>1.0992599999999999</v>
      </c>
      <c r="K1316">
        <v>1.1825000000000001</v>
      </c>
      <c r="L1316">
        <v>1.3125</v>
      </c>
      <c r="M1316">
        <v>9.4500000000000001E-3</v>
      </c>
      <c r="N1316">
        <v>1</v>
      </c>
      <c r="P1316">
        <v>1.3394999999999999</v>
      </c>
      <c r="Q1316">
        <v>0.90969999999999995</v>
      </c>
      <c r="R1316">
        <v>0.84565999999999997</v>
      </c>
      <c r="S1316">
        <v>0.76190000000000002</v>
      </c>
      <c r="T1316">
        <v>105.73</v>
      </c>
      <c r="U1316">
        <v>1</v>
      </c>
    </row>
    <row r="1317" spans="1:35" s="1857" customFormat="1" hidden="1" outlineLevel="1">
      <c r="A1317" s="8">
        <v>44045</v>
      </c>
      <c r="B1317" s="1860">
        <v>2786.92049</v>
      </c>
      <c r="C1317" s="1860">
        <v>4103.6385600000003</v>
      </c>
      <c r="D1317" s="1860">
        <v>4414.3671000000004</v>
      </c>
      <c r="E1317" s="1860">
        <v>4899.6674999999996</v>
      </c>
      <c r="F1317">
        <v>35.307670000000002</v>
      </c>
      <c r="G1317" s="1861">
        <v>3733.08</v>
      </c>
      <c r="I1317">
        <v>0.74653999999999998</v>
      </c>
      <c r="J1317">
        <v>1.0992599999999999</v>
      </c>
      <c r="K1317">
        <v>1.1825000000000001</v>
      </c>
      <c r="L1317">
        <v>1.3125</v>
      </c>
      <c r="M1317">
        <v>9.4500000000000001E-3</v>
      </c>
      <c r="N1317">
        <v>1</v>
      </c>
      <c r="P1317">
        <v>1.3394999999999999</v>
      </c>
      <c r="Q1317">
        <v>0.90969999999999995</v>
      </c>
      <c r="R1317">
        <v>0.84565999999999997</v>
      </c>
      <c r="S1317">
        <v>0.76190000000000002</v>
      </c>
      <c r="T1317">
        <v>105.73</v>
      </c>
      <c r="U1317">
        <v>1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</row>
    <row r="1318" spans="1:35" s="1857" customFormat="1" hidden="1" outlineLevel="1">
      <c r="A1318" s="8">
        <v>44046</v>
      </c>
      <c r="B1318" s="1860">
        <v>2780.6927300000002</v>
      </c>
      <c r="C1318" s="1860">
        <v>4051.9700400000002</v>
      </c>
      <c r="D1318" s="1860">
        <v>4381.8892999999998</v>
      </c>
      <c r="E1318" s="1860">
        <v>4864.57654</v>
      </c>
      <c r="F1318">
        <v>35.186199999999999</v>
      </c>
      <c r="G1318" s="1861">
        <v>3733.08</v>
      </c>
      <c r="I1318">
        <v>0.74487000000000003</v>
      </c>
      <c r="J1318">
        <v>1.0854200000000001</v>
      </c>
      <c r="K1318">
        <v>1.1738</v>
      </c>
      <c r="L1318">
        <v>1.3030999999999999</v>
      </c>
      <c r="M1318">
        <v>9.4199999999999996E-3</v>
      </c>
      <c r="N1318">
        <v>1</v>
      </c>
      <c r="P1318">
        <v>1.3425</v>
      </c>
      <c r="Q1318">
        <v>0.92130000000000001</v>
      </c>
      <c r="R1318">
        <v>0.85192999999999997</v>
      </c>
      <c r="S1318">
        <v>0.76739999999999997</v>
      </c>
      <c r="T1318">
        <v>106.095</v>
      </c>
      <c r="U1318">
        <v>1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</row>
    <row r="1319" spans="1:35" s="1857" customFormat="1" hidden="1" outlineLevel="1">
      <c r="A1319" s="8">
        <v>44047</v>
      </c>
      <c r="B1319" s="1860">
        <v>2818.6469200000001</v>
      </c>
      <c r="C1319" s="1860">
        <v>4114.1874500000004</v>
      </c>
      <c r="D1319" s="1860">
        <v>4429.9308600000004</v>
      </c>
      <c r="E1319" s="1860">
        <v>4915.4879099999998</v>
      </c>
      <c r="F1319">
        <v>35.569299999999998</v>
      </c>
      <c r="G1319" s="1861">
        <v>3768.39</v>
      </c>
      <c r="I1319">
        <v>0.74797000000000002</v>
      </c>
      <c r="J1319">
        <v>1.0917600000000001</v>
      </c>
      <c r="K1319">
        <v>1.1755500000000001</v>
      </c>
      <c r="L1319">
        <v>1.3044</v>
      </c>
      <c r="M1319">
        <v>9.4299999999999991E-3</v>
      </c>
      <c r="N1319">
        <v>1</v>
      </c>
      <c r="P1319">
        <v>1.3369500000000001</v>
      </c>
      <c r="Q1319">
        <v>0.91595000000000004</v>
      </c>
      <c r="R1319">
        <v>0.85065999999999997</v>
      </c>
      <c r="S1319">
        <v>0.76663000000000003</v>
      </c>
      <c r="T1319">
        <v>105.94499999999999</v>
      </c>
      <c r="U1319">
        <v>1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</row>
    <row r="1320" spans="1:35" s="1857" customFormat="1" hidden="1" outlineLevel="1">
      <c r="A1320" s="8">
        <v>44048</v>
      </c>
      <c r="B1320" s="1860">
        <v>2863.2746999999999</v>
      </c>
      <c r="C1320" s="1860">
        <v>4183.9722000000002</v>
      </c>
      <c r="D1320" s="1860">
        <v>4507.0084800000004</v>
      </c>
      <c r="E1320" s="1860">
        <v>4984.9239600000001</v>
      </c>
      <c r="F1320">
        <v>35.93027</v>
      </c>
      <c r="G1320" s="1861">
        <v>3792.98</v>
      </c>
      <c r="I1320">
        <v>0.75488</v>
      </c>
      <c r="J1320">
        <v>1.1030800000000001</v>
      </c>
      <c r="K1320">
        <v>1.18825</v>
      </c>
      <c r="L1320">
        <v>1.3142499999999999</v>
      </c>
      <c r="M1320">
        <v>9.4699999999999993E-3</v>
      </c>
      <c r="N1320">
        <v>1</v>
      </c>
      <c r="P1320">
        <v>1.3247</v>
      </c>
      <c r="Q1320">
        <v>0.90654999999999997</v>
      </c>
      <c r="R1320">
        <v>0.84157000000000004</v>
      </c>
      <c r="S1320">
        <v>0.76088999999999996</v>
      </c>
      <c r="T1320">
        <v>105.565</v>
      </c>
      <c r="U1320">
        <v>1</v>
      </c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</row>
    <row r="1321" spans="1:35" s="1857" customFormat="1" hidden="1" outlineLevel="1">
      <c r="A1321" s="8">
        <v>44049</v>
      </c>
      <c r="B1321" s="1860">
        <v>2839.0601499999998</v>
      </c>
      <c r="C1321" s="1860">
        <v>4145.2958600000002</v>
      </c>
      <c r="D1321" s="1860">
        <v>4471.8575799999999</v>
      </c>
      <c r="E1321" s="1860">
        <v>4962.7310799999996</v>
      </c>
      <c r="F1321">
        <v>35.782510000000002</v>
      </c>
      <c r="G1321" s="1861">
        <v>3775.95</v>
      </c>
      <c r="I1321">
        <v>0.75187000000000004</v>
      </c>
      <c r="J1321">
        <v>1.09781</v>
      </c>
      <c r="K1321">
        <v>1.1842999999999999</v>
      </c>
      <c r="L1321">
        <v>1.3143</v>
      </c>
      <c r="M1321">
        <v>9.4699999999999993E-3</v>
      </c>
      <c r="N1321">
        <v>1</v>
      </c>
      <c r="P1321">
        <v>1.33</v>
      </c>
      <c r="Q1321">
        <v>0.91090000000000004</v>
      </c>
      <c r="R1321">
        <v>0.84438000000000002</v>
      </c>
      <c r="S1321">
        <v>0.76085999999999998</v>
      </c>
      <c r="T1321">
        <v>105.52500000000001</v>
      </c>
      <c r="U1321">
        <v>1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</row>
    <row r="1322" spans="1:35" s="1857" customFormat="1" hidden="1" outlineLevel="1">
      <c r="A1322" s="8">
        <v>44050</v>
      </c>
      <c r="B1322" s="1860">
        <v>2816.97055</v>
      </c>
      <c r="C1322" s="1860">
        <v>4130.2399400000004</v>
      </c>
      <c r="D1322" s="1860">
        <v>4443.87547</v>
      </c>
      <c r="E1322" s="1860">
        <v>4919.7963099999997</v>
      </c>
      <c r="F1322">
        <v>35.60154</v>
      </c>
      <c r="G1322" s="1861">
        <v>3769.67</v>
      </c>
      <c r="I1322">
        <v>0.74726999999999999</v>
      </c>
      <c r="J1322">
        <v>1.09565</v>
      </c>
      <c r="K1322">
        <v>1.17885</v>
      </c>
      <c r="L1322">
        <v>1.3050999999999999</v>
      </c>
      <c r="M1322">
        <v>9.4400000000000005E-3</v>
      </c>
      <c r="N1322">
        <v>1</v>
      </c>
      <c r="P1322">
        <v>1.3382000000000001</v>
      </c>
      <c r="Q1322">
        <v>0.91269999999999996</v>
      </c>
      <c r="R1322">
        <v>0.84828000000000003</v>
      </c>
      <c r="S1322">
        <v>0.76622000000000001</v>
      </c>
      <c r="T1322">
        <v>105.88500000000001</v>
      </c>
      <c r="U1322">
        <v>1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</row>
    <row r="1323" spans="1:35" s="1857" customFormat="1" hidden="1" outlineLevel="1">
      <c r="A1323" s="8">
        <v>44051</v>
      </c>
      <c r="B1323" s="1860">
        <v>2816.97055</v>
      </c>
      <c r="C1323" s="1860">
        <v>4130.2399400000004</v>
      </c>
      <c r="D1323" s="1860">
        <v>4443.87547</v>
      </c>
      <c r="E1323" s="1860">
        <v>4919.7963099999997</v>
      </c>
      <c r="F1323">
        <v>35.60154</v>
      </c>
      <c r="G1323" s="1861">
        <v>3769.67</v>
      </c>
      <c r="I1323">
        <v>0.74726999999999999</v>
      </c>
      <c r="J1323">
        <v>1.09565</v>
      </c>
      <c r="K1323">
        <v>1.17885</v>
      </c>
      <c r="L1323">
        <v>1.3050999999999999</v>
      </c>
      <c r="M1323">
        <v>9.4400000000000005E-3</v>
      </c>
      <c r="N1323">
        <v>1</v>
      </c>
      <c r="P1323">
        <v>1.3382000000000001</v>
      </c>
      <c r="Q1323">
        <v>0.91269999999999996</v>
      </c>
      <c r="R1323">
        <v>0.84828000000000003</v>
      </c>
      <c r="S1323">
        <v>0.76622000000000001</v>
      </c>
      <c r="T1323">
        <v>105.88500000000001</v>
      </c>
      <c r="U1323">
        <v>1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</row>
    <row r="1324" spans="1:35" s="1857" customFormat="1" hidden="1" outlineLevel="1">
      <c r="A1324" s="8">
        <v>44052</v>
      </c>
      <c r="B1324" s="1860">
        <v>2816.97055</v>
      </c>
      <c r="C1324" s="1860">
        <v>4130.2399400000004</v>
      </c>
      <c r="D1324" s="1860">
        <v>4443.87547</v>
      </c>
      <c r="E1324" s="1860">
        <v>4919.7963099999997</v>
      </c>
      <c r="F1324">
        <v>35.60154</v>
      </c>
      <c r="G1324" s="1861">
        <v>3769.67</v>
      </c>
      <c r="I1324">
        <v>0.74726999999999999</v>
      </c>
      <c r="J1324">
        <v>1.09565</v>
      </c>
      <c r="K1324">
        <v>1.17885</v>
      </c>
      <c r="L1324">
        <v>1.3050999999999999</v>
      </c>
      <c r="M1324">
        <v>9.4400000000000005E-3</v>
      </c>
      <c r="N1324">
        <v>1</v>
      </c>
      <c r="P1324">
        <v>1.3382000000000001</v>
      </c>
      <c r="Q1324">
        <v>0.91269999999999996</v>
      </c>
      <c r="R1324">
        <v>0.84828000000000003</v>
      </c>
      <c r="S1324">
        <v>0.76622000000000001</v>
      </c>
      <c r="T1324">
        <v>105.88500000000001</v>
      </c>
      <c r="U1324">
        <v>1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</row>
    <row r="1325" spans="1:35" s="1857" customFormat="1" hidden="1" outlineLevel="1">
      <c r="A1325" s="8">
        <v>44053</v>
      </c>
      <c r="B1325" s="1860">
        <v>2823.8285999999998</v>
      </c>
      <c r="C1325" s="1860">
        <v>4122.1104400000004</v>
      </c>
      <c r="D1325" s="1860">
        <v>4435.5821999999998</v>
      </c>
      <c r="E1325" s="1860">
        <v>4934.1210600000004</v>
      </c>
      <c r="F1325">
        <v>35.638570000000001</v>
      </c>
      <c r="G1325" s="1861">
        <v>3769.67</v>
      </c>
      <c r="I1325">
        <v>0.74909000000000003</v>
      </c>
      <c r="J1325">
        <v>1.0934900000000001</v>
      </c>
      <c r="K1325">
        <v>1.17665</v>
      </c>
      <c r="L1325">
        <v>1.3089</v>
      </c>
      <c r="M1325">
        <v>9.4500000000000001E-3</v>
      </c>
      <c r="N1325">
        <v>1</v>
      </c>
      <c r="P1325">
        <v>1.3349500000000001</v>
      </c>
      <c r="Q1325">
        <v>0.91449999999999998</v>
      </c>
      <c r="R1325">
        <v>0.84987000000000001</v>
      </c>
      <c r="S1325">
        <v>0.76400000000000001</v>
      </c>
      <c r="T1325">
        <v>105.77500000000001</v>
      </c>
      <c r="U1325">
        <v>1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</row>
    <row r="1326" spans="1:35" s="1857" customFormat="1" hidden="1" outlineLevel="1">
      <c r="A1326" s="8">
        <v>44054</v>
      </c>
      <c r="B1326" s="1860">
        <v>2834.7518700000001</v>
      </c>
      <c r="C1326" s="1860">
        <v>4115.2867900000001</v>
      </c>
      <c r="D1326" s="1860">
        <v>4435.8523400000004</v>
      </c>
      <c r="E1326" s="1860">
        <v>4933.3328700000002</v>
      </c>
      <c r="F1326">
        <v>35.412759999999999</v>
      </c>
      <c r="G1326" s="1861">
        <v>3770.22</v>
      </c>
      <c r="I1326">
        <v>0.75187000000000004</v>
      </c>
      <c r="J1326">
        <v>1.09152</v>
      </c>
      <c r="K1326">
        <v>1.17655</v>
      </c>
      <c r="L1326">
        <v>1.3085</v>
      </c>
      <c r="M1326">
        <v>9.3900000000000008E-3</v>
      </c>
      <c r="N1326">
        <v>1</v>
      </c>
      <c r="P1326">
        <v>1.33</v>
      </c>
      <c r="Q1326">
        <v>0.91615000000000002</v>
      </c>
      <c r="R1326">
        <v>0.84994000000000003</v>
      </c>
      <c r="S1326">
        <v>0.76422999999999996</v>
      </c>
      <c r="T1326">
        <v>106.465</v>
      </c>
      <c r="U1326">
        <v>1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</row>
    <row r="1327" spans="1:35" s="1857" customFormat="1" hidden="1" outlineLevel="1">
      <c r="A1327" s="8">
        <v>44055</v>
      </c>
      <c r="B1327" s="1860">
        <v>2833.18849</v>
      </c>
      <c r="C1327" s="1860">
        <v>4118.07348</v>
      </c>
      <c r="D1327" s="1860">
        <v>4425.8611799999999</v>
      </c>
      <c r="E1327" s="1860">
        <v>4894.3362200000001</v>
      </c>
      <c r="F1327">
        <v>35.072960000000002</v>
      </c>
      <c r="G1327" s="1861">
        <v>3749.3</v>
      </c>
      <c r="I1327">
        <v>0.75565000000000004</v>
      </c>
      <c r="J1327">
        <v>1.0983499999999999</v>
      </c>
      <c r="K1327">
        <v>1.18045</v>
      </c>
      <c r="L1327">
        <v>1.3053999999999999</v>
      </c>
      <c r="M1327">
        <v>9.3500000000000007E-3</v>
      </c>
      <c r="N1327">
        <v>1</v>
      </c>
      <c r="P1327">
        <v>1.32335</v>
      </c>
      <c r="Q1327">
        <v>0.91044999999999998</v>
      </c>
      <c r="R1327">
        <v>0.84713000000000005</v>
      </c>
      <c r="S1327">
        <v>0.76604000000000005</v>
      </c>
      <c r="T1327">
        <v>106.9</v>
      </c>
      <c r="U1327">
        <v>1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</row>
    <row r="1328" spans="1:35" s="1857" customFormat="1" hidden="1" outlineLevel="1">
      <c r="A1328" s="8">
        <v>44056</v>
      </c>
      <c r="B1328" s="1860">
        <v>2842.79009</v>
      </c>
      <c r="C1328" s="1860">
        <v>4127.4975199999999</v>
      </c>
      <c r="D1328" s="1860">
        <v>4445.7033300000003</v>
      </c>
      <c r="E1328" s="1860">
        <v>4917.7835100000002</v>
      </c>
      <c r="F1328">
        <v>35.136920000000003</v>
      </c>
      <c r="G1328" s="1861">
        <v>3755.61</v>
      </c>
      <c r="I1328">
        <v>0.75693999999999995</v>
      </c>
      <c r="J1328">
        <v>1.0990200000000001</v>
      </c>
      <c r="K1328">
        <v>1.1837500000000001</v>
      </c>
      <c r="L1328">
        <v>1.30945</v>
      </c>
      <c r="M1328">
        <v>9.3500000000000007E-3</v>
      </c>
      <c r="N1328">
        <v>1</v>
      </c>
      <c r="P1328">
        <v>1.3210999999999999</v>
      </c>
      <c r="Q1328">
        <v>0.90990000000000004</v>
      </c>
      <c r="R1328">
        <v>0.84477000000000002</v>
      </c>
      <c r="S1328">
        <v>0.76366999999999996</v>
      </c>
      <c r="T1328">
        <v>106.88500000000001</v>
      </c>
      <c r="U1328">
        <v>1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</row>
    <row r="1329" spans="1:35" s="1857" customFormat="1" hidden="1" outlineLevel="1">
      <c r="A1329" s="8">
        <v>44057</v>
      </c>
      <c r="B1329" s="1860">
        <v>2843.2711899999999</v>
      </c>
      <c r="C1329" s="1860">
        <v>4141.4357900000005</v>
      </c>
      <c r="D1329" s="1860">
        <v>4456.0434400000004</v>
      </c>
      <c r="E1329" s="1860">
        <v>4938.2258400000001</v>
      </c>
      <c r="F1329">
        <v>35.386310000000002</v>
      </c>
      <c r="G1329" s="1861">
        <v>3767.05</v>
      </c>
      <c r="I1329">
        <v>0.75477000000000005</v>
      </c>
      <c r="J1329">
        <v>1.09938</v>
      </c>
      <c r="K1329">
        <v>1.1829000000000001</v>
      </c>
      <c r="L1329">
        <v>1.3109</v>
      </c>
      <c r="M1329">
        <v>9.3900000000000008E-3</v>
      </c>
      <c r="N1329">
        <v>1</v>
      </c>
      <c r="P1329">
        <v>1.3249</v>
      </c>
      <c r="Q1329">
        <v>0.90959999999999996</v>
      </c>
      <c r="R1329">
        <v>0.84536999999999995</v>
      </c>
      <c r="S1329">
        <v>0.76283000000000001</v>
      </c>
      <c r="T1329">
        <v>106.455</v>
      </c>
      <c r="U1329">
        <v>1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</row>
    <row r="1330" spans="1:35" s="1857" customFormat="1" hidden="1" outlineLevel="1">
      <c r="A1330" s="8">
        <v>44058</v>
      </c>
      <c r="B1330" s="1860">
        <v>2855.4230499999999</v>
      </c>
      <c r="C1330" s="1860">
        <v>4159.1358799999998</v>
      </c>
      <c r="D1330" s="1860">
        <v>4475.0881300000001</v>
      </c>
      <c r="E1330" s="1860">
        <v>4959.33133</v>
      </c>
      <c r="F1330">
        <v>35.537550000000003</v>
      </c>
      <c r="G1330" s="1861">
        <v>3783.15</v>
      </c>
      <c r="I1330">
        <v>0.75477000000000005</v>
      </c>
      <c r="J1330">
        <v>1.09938</v>
      </c>
      <c r="K1330">
        <v>1.1829000000000001</v>
      </c>
      <c r="L1330">
        <v>1.3109</v>
      </c>
      <c r="M1330">
        <v>9.3900000000000008E-3</v>
      </c>
      <c r="N1330">
        <v>1</v>
      </c>
      <c r="P1330">
        <v>1.3249</v>
      </c>
      <c r="Q1330">
        <v>0.90959999999999996</v>
      </c>
      <c r="R1330">
        <v>0.84536999999999995</v>
      </c>
      <c r="S1330">
        <v>0.76283000000000001</v>
      </c>
      <c r="T1330">
        <v>106.455</v>
      </c>
      <c r="U1330">
        <v>1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</row>
    <row r="1331" spans="1:35" s="1857" customFormat="1" hidden="1" outlineLevel="1">
      <c r="A1331" s="8">
        <v>44059</v>
      </c>
      <c r="B1331" s="1860">
        <v>2855.4230499999999</v>
      </c>
      <c r="C1331" s="1860">
        <v>4159.1358799999998</v>
      </c>
      <c r="D1331" s="1860">
        <v>4475.0881300000001</v>
      </c>
      <c r="E1331" s="1860">
        <v>4959.33133</v>
      </c>
      <c r="F1331">
        <v>35.537550000000003</v>
      </c>
      <c r="G1331" s="1861">
        <v>3783.15</v>
      </c>
      <c r="I1331">
        <v>0.75477000000000005</v>
      </c>
      <c r="J1331">
        <v>1.09938</v>
      </c>
      <c r="K1331">
        <v>1.1829000000000001</v>
      </c>
      <c r="L1331">
        <v>1.3109</v>
      </c>
      <c r="M1331">
        <v>9.3900000000000008E-3</v>
      </c>
      <c r="N1331">
        <v>1</v>
      </c>
      <c r="P1331">
        <v>1.3249</v>
      </c>
      <c r="Q1331">
        <v>0.90959999999999996</v>
      </c>
      <c r="R1331">
        <v>0.84536999999999995</v>
      </c>
      <c r="S1331">
        <v>0.76283000000000001</v>
      </c>
      <c r="T1331">
        <v>106.455</v>
      </c>
      <c r="U1331">
        <v>1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</row>
    <row r="1332" spans="1:35" s="1857" customFormat="1" hidden="1" outlineLevel="1">
      <c r="A1332" s="8">
        <v>44060</v>
      </c>
      <c r="B1332" s="1860">
        <v>2864.1783599999999</v>
      </c>
      <c r="C1332" s="1860">
        <v>4172.6686099999997</v>
      </c>
      <c r="D1332" s="1860">
        <v>4489.65326</v>
      </c>
      <c r="E1332" s="1860">
        <v>4955.5481799999998</v>
      </c>
      <c r="F1332">
        <v>35.666539999999998</v>
      </c>
      <c r="G1332" s="1861">
        <v>3783.15</v>
      </c>
      <c r="I1332">
        <v>0.75707999999999998</v>
      </c>
      <c r="J1332">
        <v>1.1029599999999999</v>
      </c>
      <c r="K1332">
        <v>1.18675</v>
      </c>
      <c r="L1332">
        <v>1.3099000000000001</v>
      </c>
      <c r="M1332">
        <v>9.4199999999999996E-3</v>
      </c>
      <c r="N1332">
        <v>1</v>
      </c>
      <c r="P1332">
        <v>1.3208500000000001</v>
      </c>
      <c r="Q1332">
        <v>0.90664999999999996</v>
      </c>
      <c r="R1332">
        <v>0.84262999999999999</v>
      </c>
      <c r="S1332">
        <v>0.76341000000000003</v>
      </c>
      <c r="T1332">
        <v>106.07</v>
      </c>
      <c r="U1332">
        <v>1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</row>
    <row r="1333" spans="1:35" hidden="1" outlineLevel="1">
      <c r="A1333" s="8">
        <v>44061</v>
      </c>
      <c r="B1333" s="1860">
        <v>2869.9362700000001</v>
      </c>
      <c r="C1333" s="1860">
        <v>4186.0580900000004</v>
      </c>
      <c r="D1333" s="1860">
        <v>4509.7039500000001</v>
      </c>
      <c r="E1333" s="1860">
        <v>5000.5676700000004</v>
      </c>
      <c r="F1333">
        <v>35.876240000000003</v>
      </c>
      <c r="G1333" s="1861">
        <v>3783.15</v>
      </c>
      <c r="I1333">
        <v>0.75861000000000001</v>
      </c>
      <c r="J1333">
        <v>1.1065</v>
      </c>
      <c r="K1333">
        <v>1.1920500000000001</v>
      </c>
      <c r="L1333">
        <v>1.3218000000000001</v>
      </c>
      <c r="M1333">
        <v>9.4800000000000006E-3</v>
      </c>
      <c r="N1333">
        <v>1</v>
      </c>
      <c r="P1333">
        <v>1.3182</v>
      </c>
      <c r="Q1333">
        <v>0.90375000000000005</v>
      </c>
      <c r="R1333">
        <v>0.83889000000000002</v>
      </c>
      <c r="S1333">
        <v>0.75653999999999999</v>
      </c>
      <c r="T1333">
        <v>105.45</v>
      </c>
      <c r="U1333">
        <v>1</v>
      </c>
    </row>
    <row r="1334" spans="1:35" hidden="1" outlineLevel="1">
      <c r="A1334" s="8">
        <v>44062</v>
      </c>
      <c r="B1334" s="1860">
        <v>2875.1662000000001</v>
      </c>
      <c r="C1334" s="1860">
        <v>4158.1781199999996</v>
      </c>
      <c r="D1334" s="1860">
        <v>4503.3276999999998</v>
      </c>
      <c r="E1334" s="1860">
        <v>4989.0233600000001</v>
      </c>
      <c r="F1334">
        <v>35.817790000000002</v>
      </c>
      <c r="G1334" s="1861">
        <v>3784.15</v>
      </c>
      <c r="I1334">
        <v>0.75978999999999997</v>
      </c>
      <c r="J1334">
        <v>1.09884</v>
      </c>
      <c r="K1334">
        <v>1.1900500000000001</v>
      </c>
      <c r="L1334">
        <v>1.3184</v>
      </c>
      <c r="M1334">
        <v>9.4599999999999997E-3</v>
      </c>
      <c r="N1334">
        <v>1</v>
      </c>
      <c r="P1334">
        <v>1.3161499999999999</v>
      </c>
      <c r="Q1334">
        <v>0.91005000000000003</v>
      </c>
      <c r="R1334">
        <v>0.84030000000000005</v>
      </c>
      <c r="S1334">
        <v>0.75849</v>
      </c>
      <c r="T1334">
        <v>105.65</v>
      </c>
      <c r="U1334">
        <v>1</v>
      </c>
    </row>
    <row r="1335" spans="1:35" hidden="1" outlineLevel="1">
      <c r="A1335" s="8">
        <v>44063</v>
      </c>
      <c r="B1335" s="1860">
        <v>2850.7757499999998</v>
      </c>
      <c r="C1335" s="1860">
        <v>4140.6287700000003</v>
      </c>
      <c r="D1335" s="1860">
        <v>4460.3733199999997</v>
      </c>
      <c r="E1335" s="1860">
        <v>4949.1065399999998</v>
      </c>
      <c r="F1335">
        <v>35.553629999999998</v>
      </c>
      <c r="G1335" s="1861">
        <v>3766.73</v>
      </c>
      <c r="I1335">
        <v>0.75683</v>
      </c>
      <c r="J1335">
        <v>1.0992599999999999</v>
      </c>
      <c r="K1335">
        <v>1.18415</v>
      </c>
      <c r="L1335">
        <v>1.3139000000000001</v>
      </c>
      <c r="M1335">
        <v>9.4299999999999991E-3</v>
      </c>
      <c r="N1335">
        <v>1</v>
      </c>
      <c r="P1335">
        <v>1.3212999999999999</v>
      </c>
      <c r="Q1335">
        <v>0.90969999999999995</v>
      </c>
      <c r="R1335">
        <v>0.84448000000000001</v>
      </c>
      <c r="S1335">
        <v>0.76109000000000004</v>
      </c>
      <c r="T1335">
        <v>105.94499999999999</v>
      </c>
      <c r="U1335">
        <v>1</v>
      </c>
    </row>
    <row r="1336" spans="1:35" hidden="1" outlineLevel="1">
      <c r="A1336" s="8">
        <v>44064</v>
      </c>
      <c r="B1336" s="1860">
        <v>2873.1522500000001</v>
      </c>
      <c r="C1336" s="1860">
        <v>4155.5312000000004</v>
      </c>
      <c r="D1336" s="1860">
        <v>4466.9395299999996</v>
      </c>
      <c r="E1336" s="1860">
        <v>4957.2619400000003</v>
      </c>
      <c r="F1336">
        <v>35.79</v>
      </c>
      <c r="G1336" s="1861">
        <v>3792.13</v>
      </c>
      <c r="I1336">
        <v>0.75766</v>
      </c>
      <c r="J1336">
        <v>1.0958300000000001</v>
      </c>
      <c r="K1336">
        <v>1.1779500000000001</v>
      </c>
      <c r="L1336">
        <v>1.30725</v>
      </c>
      <c r="M1336">
        <v>9.4299999999999991E-3</v>
      </c>
      <c r="N1336">
        <v>1</v>
      </c>
      <c r="P1336">
        <v>1.31985</v>
      </c>
      <c r="Q1336">
        <v>0.91254999999999997</v>
      </c>
      <c r="R1336">
        <v>0.84892999999999996</v>
      </c>
      <c r="S1336">
        <v>0.76495999999999997</v>
      </c>
      <c r="T1336">
        <v>105.955</v>
      </c>
      <c r="U1336">
        <v>1</v>
      </c>
    </row>
    <row r="1337" spans="1:35" hidden="1" outlineLevel="1">
      <c r="A1337" s="8">
        <v>44065</v>
      </c>
      <c r="B1337" s="1860">
        <v>2899.77648</v>
      </c>
      <c r="C1337" s="1860">
        <v>4194.0386799999997</v>
      </c>
      <c r="D1337" s="1860">
        <v>4508.3326900000002</v>
      </c>
      <c r="E1337" s="1860">
        <v>5003.1986999999999</v>
      </c>
      <c r="F1337">
        <v>36.121650000000002</v>
      </c>
      <c r="G1337" s="1861">
        <v>3827.27</v>
      </c>
      <c r="I1337">
        <v>0.75766</v>
      </c>
      <c r="J1337">
        <v>1.0958300000000001</v>
      </c>
      <c r="K1337">
        <v>1.1779500000000001</v>
      </c>
      <c r="L1337">
        <v>1.30725</v>
      </c>
      <c r="M1337">
        <v>9.4299999999999991E-3</v>
      </c>
      <c r="N1337">
        <v>1</v>
      </c>
      <c r="P1337">
        <v>1.31985</v>
      </c>
      <c r="Q1337">
        <v>0.91254999999999997</v>
      </c>
      <c r="R1337">
        <v>0.84892999999999996</v>
      </c>
      <c r="S1337">
        <v>0.76495999999999997</v>
      </c>
      <c r="T1337">
        <v>105.955</v>
      </c>
      <c r="U1337">
        <v>1</v>
      </c>
    </row>
    <row r="1338" spans="1:35" hidden="1" outlineLevel="1">
      <c r="A1338" s="8">
        <v>44066</v>
      </c>
      <c r="B1338" s="1860">
        <v>2899.77648</v>
      </c>
      <c r="C1338" s="1860">
        <v>4194.0386799999997</v>
      </c>
      <c r="D1338" s="1860">
        <v>4508.3326900000002</v>
      </c>
      <c r="E1338" s="1860">
        <v>5003.1986999999999</v>
      </c>
      <c r="F1338">
        <v>36.121650000000002</v>
      </c>
      <c r="G1338" s="1861">
        <v>3827.27</v>
      </c>
      <c r="I1338">
        <v>0.75766</v>
      </c>
      <c r="J1338">
        <v>1.0958300000000001</v>
      </c>
      <c r="K1338">
        <v>1.1779500000000001</v>
      </c>
      <c r="L1338">
        <v>1.30725</v>
      </c>
      <c r="M1338">
        <v>9.4299999999999991E-3</v>
      </c>
      <c r="N1338">
        <v>1</v>
      </c>
      <c r="P1338">
        <v>1.31985</v>
      </c>
      <c r="Q1338">
        <v>0.91254999999999997</v>
      </c>
      <c r="R1338">
        <v>0.84892999999999996</v>
      </c>
      <c r="S1338">
        <v>0.76495999999999997</v>
      </c>
      <c r="T1338">
        <v>105.955</v>
      </c>
      <c r="U1338">
        <v>1</v>
      </c>
    </row>
    <row r="1339" spans="1:35" hidden="1" outlineLevel="1">
      <c r="A1339" s="8">
        <v>44067</v>
      </c>
      <c r="B1339" s="1860">
        <v>2897.6907900000001</v>
      </c>
      <c r="C1339" s="1860">
        <v>4203.2507800000003</v>
      </c>
      <c r="D1339" s="1860">
        <v>4521.3454099999999</v>
      </c>
      <c r="E1339" s="1860">
        <v>5001.85916</v>
      </c>
      <c r="F1339">
        <v>36.154069999999997</v>
      </c>
      <c r="G1339" s="1861">
        <v>3827.27</v>
      </c>
      <c r="I1339">
        <v>0.75710999999999995</v>
      </c>
      <c r="J1339">
        <v>1.09823</v>
      </c>
      <c r="K1339">
        <v>1.1813499999999999</v>
      </c>
      <c r="L1339">
        <v>1.3069</v>
      </c>
      <c r="M1339">
        <v>9.4400000000000005E-3</v>
      </c>
      <c r="N1339">
        <v>1</v>
      </c>
      <c r="P1339">
        <v>1.3208</v>
      </c>
      <c r="Q1339">
        <v>0.91054999999999997</v>
      </c>
      <c r="R1339">
        <v>0.84648000000000001</v>
      </c>
      <c r="S1339">
        <v>0.76515999999999995</v>
      </c>
      <c r="T1339">
        <v>105.86</v>
      </c>
      <c r="U1339">
        <v>1</v>
      </c>
    </row>
    <row r="1340" spans="1:35" hidden="1" outlineLevel="1">
      <c r="A1340" s="8">
        <v>44068</v>
      </c>
      <c r="B1340" s="1860">
        <v>2910.5633800000001</v>
      </c>
      <c r="C1340" s="1860">
        <v>4226.3895700000003</v>
      </c>
      <c r="D1340" s="1860">
        <v>4544.5868700000001</v>
      </c>
      <c r="E1340" s="1860">
        <v>5041.9603500000003</v>
      </c>
      <c r="F1340">
        <v>36.074039999999997</v>
      </c>
      <c r="G1340" s="1861">
        <v>3843.69</v>
      </c>
      <c r="I1340">
        <v>0.75722999999999996</v>
      </c>
      <c r="J1340">
        <v>1.0995600000000001</v>
      </c>
      <c r="K1340">
        <v>1.18235</v>
      </c>
      <c r="L1340">
        <v>1.31175</v>
      </c>
      <c r="M1340">
        <v>9.3799999999999994E-3</v>
      </c>
      <c r="N1340">
        <v>1</v>
      </c>
      <c r="P1340">
        <v>1.3206</v>
      </c>
      <c r="Q1340">
        <v>0.90944999999999998</v>
      </c>
      <c r="R1340">
        <v>0.84577000000000002</v>
      </c>
      <c r="S1340">
        <v>0.76234000000000002</v>
      </c>
      <c r="T1340">
        <v>106.55</v>
      </c>
      <c r="U1340">
        <v>1</v>
      </c>
    </row>
    <row r="1341" spans="1:35" hidden="1" outlineLevel="1">
      <c r="A1341" s="8">
        <v>44069</v>
      </c>
      <c r="B1341" s="1860">
        <v>2942.7179999999998</v>
      </c>
      <c r="C1341" s="1860">
        <v>4256.8189300000004</v>
      </c>
      <c r="D1341" s="1860">
        <v>4570.2054099999996</v>
      </c>
      <c r="E1341" s="1860">
        <v>5101.76854</v>
      </c>
      <c r="F1341">
        <v>36.434310000000004</v>
      </c>
      <c r="G1341" s="1861">
        <v>3867.32</v>
      </c>
      <c r="I1341">
        <v>0.76090999999999998</v>
      </c>
      <c r="J1341">
        <v>1.1007100000000001</v>
      </c>
      <c r="K1341">
        <v>1.1817500000000001</v>
      </c>
      <c r="L1341">
        <v>1.3191999999999999</v>
      </c>
      <c r="M1341">
        <v>9.4199999999999996E-3</v>
      </c>
      <c r="N1341">
        <v>1</v>
      </c>
      <c r="P1341">
        <v>1.3142</v>
      </c>
      <c r="Q1341">
        <v>0.90849999999999997</v>
      </c>
      <c r="R1341">
        <v>0.84619999999999995</v>
      </c>
      <c r="S1341">
        <v>0.75802999999999998</v>
      </c>
      <c r="T1341">
        <v>106.145</v>
      </c>
      <c r="U1341">
        <v>1</v>
      </c>
    </row>
    <row r="1342" spans="1:35" hidden="1" outlineLevel="1">
      <c r="A1342" s="8">
        <v>44070</v>
      </c>
      <c r="B1342" s="1860">
        <v>2925.8690099999999</v>
      </c>
      <c r="C1342" s="1860">
        <v>4228.4709199999998</v>
      </c>
      <c r="D1342" s="1860">
        <v>4535.1885599999996</v>
      </c>
      <c r="E1342" s="1860">
        <v>5073.7181600000004</v>
      </c>
      <c r="F1342">
        <v>36.137340000000002</v>
      </c>
      <c r="G1342" s="1861">
        <v>3846.64</v>
      </c>
      <c r="I1342">
        <v>0.76061999999999996</v>
      </c>
      <c r="J1342">
        <v>1.0992599999999999</v>
      </c>
      <c r="K1342">
        <v>1.179</v>
      </c>
      <c r="L1342">
        <v>1.319</v>
      </c>
      <c r="M1342">
        <v>9.3900000000000008E-3</v>
      </c>
      <c r="N1342">
        <v>1</v>
      </c>
      <c r="P1342">
        <v>1.3147</v>
      </c>
      <c r="Q1342">
        <v>0.90969999999999995</v>
      </c>
      <c r="R1342">
        <v>0.84816999999999998</v>
      </c>
      <c r="S1342">
        <v>0.75814999999999999</v>
      </c>
      <c r="T1342">
        <v>106.44499999999999</v>
      </c>
      <c r="U1342">
        <v>1</v>
      </c>
    </row>
    <row r="1343" spans="1:35" hidden="1" outlineLevel="1">
      <c r="A1343" s="8">
        <v>44071</v>
      </c>
      <c r="B1343" s="1860">
        <v>2915.2701400000001</v>
      </c>
      <c r="C1343" s="1860">
        <v>4225.38436</v>
      </c>
      <c r="D1343" s="1860">
        <v>4545.2382600000001</v>
      </c>
      <c r="E1343" s="1860">
        <v>5092.6686200000004</v>
      </c>
      <c r="F1343">
        <v>36.277189999999997</v>
      </c>
      <c r="G1343" s="1861">
        <v>3820.17</v>
      </c>
      <c r="I1343">
        <v>0.76312000000000002</v>
      </c>
      <c r="J1343">
        <v>1.1060700000000001</v>
      </c>
      <c r="K1343">
        <v>1.1898</v>
      </c>
      <c r="L1343">
        <v>1.3331</v>
      </c>
      <c r="M1343">
        <v>9.4900000000000002E-3</v>
      </c>
      <c r="N1343">
        <v>1</v>
      </c>
      <c r="P1343">
        <v>1.3104</v>
      </c>
      <c r="Q1343">
        <v>0.90410000000000001</v>
      </c>
      <c r="R1343">
        <v>0.84047000000000005</v>
      </c>
      <c r="S1343">
        <v>0.75012999999999996</v>
      </c>
      <c r="T1343">
        <v>105.30500000000001</v>
      </c>
      <c r="U1343">
        <v>1</v>
      </c>
    </row>
    <row r="1344" spans="1:35" hidden="1" outlineLevel="1">
      <c r="A1344" s="8">
        <v>44072</v>
      </c>
      <c r="B1344" s="1860">
        <v>2869.6428500000002</v>
      </c>
      <c r="C1344" s="1860">
        <v>4159.2522900000004</v>
      </c>
      <c r="D1344" s="1860">
        <v>4474.1001200000001</v>
      </c>
      <c r="E1344" s="1860">
        <v>5012.9625699999997</v>
      </c>
      <c r="F1344">
        <v>35.709409999999998</v>
      </c>
      <c r="G1344" s="1861">
        <v>3760.38</v>
      </c>
      <c r="I1344">
        <v>0.76312000000000002</v>
      </c>
      <c r="J1344">
        <v>1.1060700000000001</v>
      </c>
      <c r="K1344">
        <v>1.1898</v>
      </c>
      <c r="L1344">
        <v>1.3331</v>
      </c>
      <c r="M1344">
        <v>9.4900000000000002E-3</v>
      </c>
      <c r="N1344">
        <v>1</v>
      </c>
      <c r="P1344">
        <v>1.3104</v>
      </c>
      <c r="Q1344">
        <v>0.90410000000000001</v>
      </c>
      <c r="R1344">
        <v>0.84047000000000005</v>
      </c>
      <c r="S1344">
        <v>0.75012999999999996</v>
      </c>
      <c r="T1344">
        <v>105.30500000000001</v>
      </c>
      <c r="U1344">
        <v>1</v>
      </c>
    </row>
    <row r="1345" spans="1:35" hidden="1" outlineLevel="1">
      <c r="A1345" s="8">
        <v>44073</v>
      </c>
      <c r="B1345" s="1860">
        <v>2869.6428500000002</v>
      </c>
      <c r="C1345" s="1860">
        <v>4159.2522900000004</v>
      </c>
      <c r="D1345" s="1860">
        <v>4474.1001200000001</v>
      </c>
      <c r="E1345" s="1860">
        <v>5012.9625699999997</v>
      </c>
      <c r="F1345">
        <v>35.709409999999998</v>
      </c>
      <c r="G1345" s="1861">
        <v>3760.38</v>
      </c>
      <c r="I1345">
        <v>0.76312000000000002</v>
      </c>
      <c r="J1345">
        <v>1.1060700000000001</v>
      </c>
      <c r="K1345">
        <v>1.1898</v>
      </c>
      <c r="L1345">
        <v>1.3331</v>
      </c>
      <c r="M1345">
        <v>9.4900000000000002E-3</v>
      </c>
      <c r="N1345">
        <v>1</v>
      </c>
      <c r="P1345">
        <v>1.3104</v>
      </c>
      <c r="Q1345">
        <v>0.90410000000000001</v>
      </c>
      <c r="R1345">
        <v>0.84047000000000005</v>
      </c>
      <c r="S1345">
        <v>0.75012999999999996</v>
      </c>
      <c r="T1345">
        <v>105.30500000000001</v>
      </c>
      <c r="U1345">
        <v>1</v>
      </c>
    </row>
    <row r="1346" spans="1:35" ht="15.75" hidden="1" outlineLevel="1" thickBot="1">
      <c r="A1346" s="1868">
        <v>44074</v>
      </c>
      <c r="B1346" s="1869">
        <v>2886.0508799999998</v>
      </c>
      <c r="C1346" s="1869">
        <v>4176.1119399999998</v>
      </c>
      <c r="D1346" s="1869">
        <v>4497.2264599999999</v>
      </c>
      <c r="E1346" s="1869">
        <v>5034.9607999999998</v>
      </c>
      <c r="F1346" s="1870">
        <v>35.46022</v>
      </c>
      <c r="G1346" s="1871">
        <v>3760.38</v>
      </c>
      <c r="H1346" s="1872"/>
      <c r="I1346" s="1870">
        <v>0.76748000000000005</v>
      </c>
      <c r="J1346" s="1870">
        <v>1.1105499999999999</v>
      </c>
      <c r="K1346" s="1870">
        <v>1.1959500000000001</v>
      </c>
      <c r="L1346" s="1870">
        <v>1.3389500000000001</v>
      </c>
      <c r="M1346" s="1870">
        <v>9.4199999999999996E-3</v>
      </c>
      <c r="N1346" s="1870">
        <v>1</v>
      </c>
      <c r="O1346" s="1872"/>
      <c r="P1346" s="1870">
        <v>1.3029500000000001</v>
      </c>
      <c r="Q1346" s="1870">
        <v>0.90044999999999997</v>
      </c>
      <c r="R1346" s="1870">
        <v>0.83614999999999995</v>
      </c>
      <c r="S1346" s="1870">
        <v>0.74685000000000001</v>
      </c>
      <c r="T1346" s="1870">
        <v>106.045</v>
      </c>
      <c r="U1346" s="1870">
        <v>1</v>
      </c>
      <c r="V1346" s="1872"/>
    </row>
    <row r="1347" spans="1:35" hidden="1" outlineLevel="1">
      <c r="A1347" s="8">
        <v>44075</v>
      </c>
      <c r="B1347" s="1860">
        <v>2870.2659199999998</v>
      </c>
      <c r="C1347" s="1860">
        <v>4127.8558400000002</v>
      </c>
      <c r="D1347" s="1860">
        <v>4480.82125</v>
      </c>
      <c r="E1347" s="1860">
        <v>5036.6400899999999</v>
      </c>
      <c r="F1347">
        <v>35.335720000000002</v>
      </c>
      <c r="G1347" s="1861">
        <v>3745.41</v>
      </c>
      <c r="I1347">
        <v>0.76634000000000002</v>
      </c>
      <c r="J1347">
        <v>1.1021099999999999</v>
      </c>
      <c r="K1347">
        <v>1.19635</v>
      </c>
      <c r="L1347">
        <v>1.3447499999999999</v>
      </c>
      <c r="M1347">
        <v>9.4299999999999991E-3</v>
      </c>
      <c r="N1347">
        <v>1</v>
      </c>
      <c r="P1347">
        <v>1.3048999999999999</v>
      </c>
      <c r="Q1347">
        <v>0.90734999999999999</v>
      </c>
      <c r="R1347">
        <v>0.83587</v>
      </c>
      <c r="S1347">
        <v>0.74363000000000001</v>
      </c>
      <c r="T1347">
        <v>105.995</v>
      </c>
      <c r="U1347">
        <v>1</v>
      </c>
    </row>
    <row r="1348" spans="1:35" hidden="1" outlineLevel="1">
      <c r="A1348" s="8">
        <v>44076</v>
      </c>
      <c r="B1348" s="1860">
        <v>2819.8438200000001</v>
      </c>
      <c r="C1348" s="1860">
        <v>4044.6713800000002</v>
      </c>
      <c r="D1348" s="1860">
        <v>4361.18768</v>
      </c>
      <c r="E1348" s="1860">
        <v>4899.8673799999997</v>
      </c>
      <c r="F1348">
        <v>34.698819999999998</v>
      </c>
      <c r="G1348" s="1861">
        <v>3683.28</v>
      </c>
      <c r="I1348">
        <v>0.76556999999999997</v>
      </c>
      <c r="J1348">
        <v>1.0981099999999999</v>
      </c>
      <c r="K1348">
        <v>1.18405</v>
      </c>
      <c r="L1348">
        <v>1.3303</v>
      </c>
      <c r="M1348">
        <v>9.4199999999999996E-3</v>
      </c>
      <c r="N1348">
        <v>1</v>
      </c>
      <c r="P1348">
        <v>1.3062</v>
      </c>
      <c r="Q1348">
        <v>0.91064999999999996</v>
      </c>
      <c r="R1348">
        <v>0.84455000000000002</v>
      </c>
      <c r="S1348">
        <v>0.75170999999999999</v>
      </c>
      <c r="T1348">
        <v>106.15</v>
      </c>
      <c r="U1348">
        <v>1</v>
      </c>
    </row>
    <row r="1349" spans="1:35" s="1857" customFormat="1" hidden="1" outlineLevel="1">
      <c r="A1349" s="8">
        <v>44077</v>
      </c>
      <c r="B1349" s="1860">
        <v>2783.3472900000002</v>
      </c>
      <c r="C1349" s="1860">
        <v>4017.9248899999998</v>
      </c>
      <c r="D1349" s="1860">
        <v>4325.0673699999998</v>
      </c>
      <c r="E1349" s="1860">
        <v>4849.3733199999997</v>
      </c>
      <c r="F1349">
        <v>34.392620000000001</v>
      </c>
      <c r="G1349" s="1861">
        <v>3653.7</v>
      </c>
      <c r="I1349">
        <v>0.76178000000000001</v>
      </c>
      <c r="J1349">
        <v>1.09968</v>
      </c>
      <c r="K1349">
        <v>1.1837500000000001</v>
      </c>
      <c r="L1349">
        <v>1.32725</v>
      </c>
      <c r="M1349">
        <v>9.41E-3</v>
      </c>
      <c r="N1349">
        <v>1</v>
      </c>
      <c r="P1349">
        <v>1.3127</v>
      </c>
      <c r="Q1349">
        <v>0.90934999999999999</v>
      </c>
      <c r="R1349">
        <v>0.84477000000000002</v>
      </c>
      <c r="S1349">
        <v>0.75343000000000004</v>
      </c>
      <c r="T1349">
        <v>106.235</v>
      </c>
      <c r="U1349">
        <v>1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</row>
    <row r="1350" spans="1:35" s="1857" customFormat="1" hidden="1" outlineLevel="1">
      <c r="A1350" s="8">
        <v>44078</v>
      </c>
      <c r="B1350" s="1860">
        <v>2785.0047599999998</v>
      </c>
      <c r="C1350" s="1860">
        <v>3991.0744500000001</v>
      </c>
      <c r="D1350" s="1860">
        <v>4309.8980899999997</v>
      </c>
      <c r="E1350" s="1860">
        <v>4825.1861799999997</v>
      </c>
      <c r="F1350">
        <v>34.359079999999999</v>
      </c>
      <c r="G1350" s="1861">
        <v>3653.23</v>
      </c>
      <c r="I1350">
        <v>0.76234000000000002</v>
      </c>
      <c r="J1350">
        <v>1.0924700000000001</v>
      </c>
      <c r="K1350">
        <v>1.1797500000000001</v>
      </c>
      <c r="L1350">
        <v>1.3208</v>
      </c>
      <c r="M1350">
        <v>9.4000000000000004E-3</v>
      </c>
      <c r="N1350">
        <v>1</v>
      </c>
      <c r="P1350">
        <v>1.31175</v>
      </c>
      <c r="Q1350">
        <v>0.91535</v>
      </c>
      <c r="R1350">
        <v>0.84762999999999999</v>
      </c>
      <c r="S1350">
        <v>0.75710999999999995</v>
      </c>
      <c r="T1350">
        <v>106.325</v>
      </c>
      <c r="U1350">
        <v>1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</row>
    <row r="1351" spans="1:35" s="1857" customFormat="1" hidden="1" outlineLevel="1">
      <c r="A1351" s="8">
        <v>44079</v>
      </c>
      <c r="B1351" s="1860">
        <v>2822.6567500000001</v>
      </c>
      <c r="C1351" s="1860">
        <v>4045.0319500000001</v>
      </c>
      <c r="D1351" s="1860">
        <v>4368.1659399999999</v>
      </c>
      <c r="E1351" s="1860">
        <v>4890.4204900000004</v>
      </c>
      <c r="F1351">
        <v>34.823599999999999</v>
      </c>
      <c r="G1351" s="1861">
        <v>3702.62</v>
      </c>
      <c r="I1351">
        <v>0.76234000000000002</v>
      </c>
      <c r="J1351">
        <v>1.0924700000000001</v>
      </c>
      <c r="K1351">
        <v>1.1797500000000001</v>
      </c>
      <c r="L1351">
        <v>1.3208</v>
      </c>
      <c r="M1351">
        <v>9.4000000000000004E-3</v>
      </c>
      <c r="N1351">
        <v>1</v>
      </c>
      <c r="P1351">
        <v>1.31175</v>
      </c>
      <c r="Q1351">
        <v>0.91535</v>
      </c>
      <c r="R1351">
        <v>0.84762999999999999</v>
      </c>
      <c r="S1351">
        <v>0.75710999999999995</v>
      </c>
      <c r="T1351">
        <v>106.325</v>
      </c>
      <c r="U1351">
        <v>1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</row>
    <row r="1352" spans="1:35" s="1857" customFormat="1" hidden="1" outlineLevel="1">
      <c r="A1352" s="8">
        <v>44080</v>
      </c>
      <c r="B1352" s="1860">
        <v>2822.6567500000001</v>
      </c>
      <c r="C1352" s="1860">
        <v>4045.0319500000001</v>
      </c>
      <c r="D1352" s="1860">
        <v>4368.1659399999999</v>
      </c>
      <c r="E1352" s="1860">
        <v>4890.4204900000004</v>
      </c>
      <c r="F1352">
        <v>34.823599999999999</v>
      </c>
      <c r="G1352" s="1861">
        <v>3702.62</v>
      </c>
      <c r="I1352">
        <v>0.76234000000000002</v>
      </c>
      <c r="J1352">
        <v>1.0924700000000001</v>
      </c>
      <c r="K1352">
        <v>1.1797500000000001</v>
      </c>
      <c r="L1352">
        <v>1.3208</v>
      </c>
      <c r="M1352">
        <v>9.4000000000000004E-3</v>
      </c>
      <c r="N1352">
        <v>1</v>
      </c>
      <c r="P1352">
        <v>1.31175</v>
      </c>
      <c r="Q1352">
        <v>0.91535</v>
      </c>
      <c r="R1352">
        <v>0.84762999999999999</v>
      </c>
      <c r="S1352">
        <v>0.75710999999999995</v>
      </c>
      <c r="T1352">
        <v>106.325</v>
      </c>
      <c r="U1352">
        <v>1</v>
      </c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</row>
    <row r="1353" spans="1:35" s="1857" customFormat="1" hidden="1" outlineLevel="1">
      <c r="A1353" s="8">
        <v>44081</v>
      </c>
      <c r="B1353" s="1860">
        <v>2830.5328300000001</v>
      </c>
      <c r="C1353" s="1860">
        <v>4046.3581199999999</v>
      </c>
      <c r="D1353" s="1860">
        <v>4378.9035400000002</v>
      </c>
      <c r="E1353" s="1860">
        <v>4879.4977600000002</v>
      </c>
      <c r="F1353">
        <v>34.838349999999998</v>
      </c>
      <c r="G1353" s="1861">
        <v>3702.62</v>
      </c>
      <c r="I1353">
        <v>0.76446000000000003</v>
      </c>
      <c r="J1353">
        <v>1.09283</v>
      </c>
      <c r="K1353">
        <v>1.18265</v>
      </c>
      <c r="L1353">
        <v>1.31785</v>
      </c>
      <c r="M1353">
        <v>9.4000000000000004E-3</v>
      </c>
      <c r="N1353">
        <v>1</v>
      </c>
      <c r="P1353">
        <v>1.3081</v>
      </c>
      <c r="Q1353">
        <v>0.91505000000000003</v>
      </c>
      <c r="R1353">
        <v>0.84555000000000002</v>
      </c>
      <c r="S1353">
        <v>0.75880999999999998</v>
      </c>
      <c r="T1353">
        <v>106.28</v>
      </c>
      <c r="U1353">
        <v>1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</row>
    <row r="1354" spans="1:35" s="1857" customFormat="1" hidden="1" outlineLevel="1">
      <c r="A1354" s="8">
        <v>44082</v>
      </c>
      <c r="B1354" s="1860">
        <v>2806.2907300000002</v>
      </c>
      <c r="C1354" s="1860">
        <v>4037.5333900000001</v>
      </c>
      <c r="D1354" s="1860">
        <v>4366.3146299999999</v>
      </c>
      <c r="E1354" s="1860">
        <v>4822.66255</v>
      </c>
      <c r="F1354">
        <v>34.948509999999999</v>
      </c>
      <c r="G1354" s="1861">
        <v>3702.62</v>
      </c>
      <c r="I1354">
        <v>0.75792000000000004</v>
      </c>
      <c r="J1354">
        <v>1.0904499999999999</v>
      </c>
      <c r="K1354">
        <v>1.1792499999999999</v>
      </c>
      <c r="L1354">
        <v>1.3025</v>
      </c>
      <c r="M1354">
        <v>9.4299999999999991E-3</v>
      </c>
      <c r="N1354">
        <v>1</v>
      </c>
      <c r="P1354">
        <v>1.3193999999999999</v>
      </c>
      <c r="Q1354">
        <v>0.91705000000000003</v>
      </c>
      <c r="R1354">
        <v>0.84799000000000002</v>
      </c>
      <c r="S1354">
        <v>0.76775000000000004</v>
      </c>
      <c r="T1354">
        <v>105.94499999999999</v>
      </c>
      <c r="U1354">
        <v>1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</row>
    <row r="1355" spans="1:35" s="1857" customFormat="1" hidden="1" outlineLevel="1">
      <c r="A1355" s="8">
        <v>44083</v>
      </c>
      <c r="B1355" s="1860">
        <v>2851.9887600000002</v>
      </c>
      <c r="C1355" s="1860">
        <v>4112.5328300000001</v>
      </c>
      <c r="D1355" s="1860">
        <v>4436.8892800000003</v>
      </c>
      <c r="E1355" s="1860">
        <v>4884.1851299999998</v>
      </c>
      <c r="F1355">
        <v>35.366959999999999</v>
      </c>
      <c r="G1355" s="1861">
        <v>3757.21</v>
      </c>
      <c r="I1355">
        <v>0.75907000000000002</v>
      </c>
      <c r="J1355">
        <v>1.09457</v>
      </c>
      <c r="K1355">
        <v>1.1809000000000001</v>
      </c>
      <c r="L1355">
        <v>1.2999499999999999</v>
      </c>
      <c r="M1355">
        <v>9.41E-3</v>
      </c>
      <c r="N1355">
        <v>1</v>
      </c>
      <c r="P1355">
        <v>1.3173999999999999</v>
      </c>
      <c r="Q1355">
        <v>0.91359999999999997</v>
      </c>
      <c r="R1355">
        <v>0.84680999999999995</v>
      </c>
      <c r="S1355">
        <v>0.76926000000000005</v>
      </c>
      <c r="T1355">
        <v>106.235</v>
      </c>
      <c r="U1355">
        <v>1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</row>
    <row r="1356" spans="1:35" s="1857" customFormat="1" hidden="1" outlineLevel="1">
      <c r="A1356" s="8">
        <v>44084</v>
      </c>
      <c r="B1356" s="1860">
        <v>2823.9070099999999</v>
      </c>
      <c r="C1356" s="1860">
        <v>4095.4663099999998</v>
      </c>
      <c r="D1356" s="1860">
        <v>4412.5616099999997</v>
      </c>
      <c r="E1356" s="1860">
        <v>4782.2421199999999</v>
      </c>
      <c r="F1356">
        <v>35.008940000000003</v>
      </c>
      <c r="G1356" s="1861">
        <v>3717.25</v>
      </c>
      <c r="I1356">
        <v>0.75966999999999996</v>
      </c>
      <c r="J1356">
        <v>1.1017399999999999</v>
      </c>
      <c r="K1356">
        <v>1.1870499999999999</v>
      </c>
      <c r="L1356">
        <v>1.2865</v>
      </c>
      <c r="M1356">
        <v>9.41E-3</v>
      </c>
      <c r="N1356">
        <v>1</v>
      </c>
      <c r="P1356">
        <v>1.3163499999999999</v>
      </c>
      <c r="Q1356">
        <v>0.90764999999999996</v>
      </c>
      <c r="R1356">
        <v>0.84241999999999995</v>
      </c>
      <c r="S1356">
        <v>0.77729999999999999</v>
      </c>
      <c r="T1356">
        <v>106.18</v>
      </c>
      <c r="U1356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</row>
    <row r="1357" spans="1:35" s="1857" customFormat="1" hidden="1" outlineLevel="1">
      <c r="A1357" s="8">
        <v>44085</v>
      </c>
      <c r="B1357" s="1860">
        <v>2805.4740499999998</v>
      </c>
      <c r="C1357" s="1860">
        <v>4069.1482900000001</v>
      </c>
      <c r="D1357" s="1860">
        <v>4377.8012600000002</v>
      </c>
      <c r="E1357" s="1860">
        <v>4730.0679200000004</v>
      </c>
      <c r="F1357">
        <v>34.842559999999999</v>
      </c>
      <c r="G1357" s="1861">
        <v>3700.28</v>
      </c>
      <c r="I1357">
        <v>0.75817000000000001</v>
      </c>
      <c r="J1357">
        <v>1.09968</v>
      </c>
      <c r="K1357">
        <v>1.1831</v>
      </c>
      <c r="L1357">
        <v>1.2783</v>
      </c>
      <c r="M1357">
        <v>9.41E-3</v>
      </c>
      <c r="N1357">
        <v>1</v>
      </c>
      <c r="P1357">
        <v>1.3189500000000001</v>
      </c>
      <c r="Q1357">
        <v>0.90934999999999999</v>
      </c>
      <c r="R1357">
        <v>0.84523000000000004</v>
      </c>
      <c r="S1357">
        <v>0.78227999999999998</v>
      </c>
      <c r="T1357">
        <v>106.2</v>
      </c>
      <c r="U1357">
        <v>1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</row>
    <row r="1358" spans="1:35" s="1857" customFormat="1" hidden="1" outlineLevel="1">
      <c r="A1358" s="8">
        <v>44086</v>
      </c>
      <c r="B1358" s="1860">
        <v>2812.0853699999998</v>
      </c>
      <c r="C1358" s="1860">
        <v>4078.7375499999998</v>
      </c>
      <c r="D1358" s="1860">
        <v>4388.1179000000002</v>
      </c>
      <c r="E1358" s="1860">
        <v>4741.2147000000004</v>
      </c>
      <c r="F1358">
        <v>34.924669999999999</v>
      </c>
      <c r="G1358" s="1861">
        <v>3709</v>
      </c>
      <c r="I1358">
        <v>0.75817000000000001</v>
      </c>
      <c r="J1358">
        <v>1.09968</v>
      </c>
      <c r="K1358">
        <v>1.1831</v>
      </c>
      <c r="L1358">
        <v>1.2783</v>
      </c>
      <c r="M1358">
        <v>9.41E-3</v>
      </c>
      <c r="N1358">
        <v>1</v>
      </c>
      <c r="P1358">
        <v>1.3189500000000001</v>
      </c>
      <c r="Q1358">
        <v>0.90934999999999999</v>
      </c>
      <c r="R1358">
        <v>0.84523000000000004</v>
      </c>
      <c r="S1358">
        <v>0.78227999999999998</v>
      </c>
      <c r="T1358">
        <v>106.2</v>
      </c>
      <c r="U1358">
        <v>1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</row>
    <row r="1359" spans="1:35" s="1857" customFormat="1" hidden="1" outlineLevel="1">
      <c r="A1359" s="8">
        <v>44087</v>
      </c>
      <c r="B1359" s="1860">
        <v>2812.0853699999998</v>
      </c>
      <c r="C1359" s="1860">
        <v>4078.7375499999998</v>
      </c>
      <c r="D1359" s="1860">
        <v>4388.1179000000002</v>
      </c>
      <c r="E1359" s="1860">
        <v>4741.2147000000004</v>
      </c>
      <c r="F1359">
        <v>34.924669999999999</v>
      </c>
      <c r="G1359" s="1861">
        <v>3709</v>
      </c>
      <c r="I1359">
        <v>0.75817000000000001</v>
      </c>
      <c r="J1359">
        <v>1.09968</v>
      </c>
      <c r="K1359">
        <v>1.1831</v>
      </c>
      <c r="L1359">
        <v>1.2783</v>
      </c>
      <c r="M1359">
        <v>9.41E-3</v>
      </c>
      <c r="N1359">
        <v>1</v>
      </c>
      <c r="P1359">
        <v>1.3189500000000001</v>
      </c>
      <c r="Q1359">
        <v>0.90934999999999999</v>
      </c>
      <c r="R1359">
        <v>0.84523000000000004</v>
      </c>
      <c r="S1359">
        <v>0.78227999999999998</v>
      </c>
      <c r="T1359">
        <v>106.2</v>
      </c>
      <c r="U1359">
        <v>1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</row>
    <row r="1360" spans="1:35" s="1857" customFormat="1" hidden="1" outlineLevel="1">
      <c r="A1360" s="8">
        <v>44088</v>
      </c>
      <c r="B1360" s="1860">
        <v>2815.3939500000001</v>
      </c>
      <c r="C1360" s="1860">
        <v>4091.3352799999998</v>
      </c>
      <c r="D1360" s="1860">
        <v>4403.3248000000003</v>
      </c>
      <c r="E1360" s="1860">
        <v>4777.9337999999998</v>
      </c>
      <c r="F1360">
        <v>35.104819999999997</v>
      </c>
      <c r="G1360" s="1861">
        <v>3709</v>
      </c>
      <c r="I1360">
        <v>0.75907000000000002</v>
      </c>
      <c r="J1360">
        <v>1.1030800000000001</v>
      </c>
      <c r="K1360">
        <v>1.1872</v>
      </c>
      <c r="L1360">
        <v>1.2882</v>
      </c>
      <c r="M1360">
        <v>9.4599999999999997E-3</v>
      </c>
      <c r="N1360">
        <v>1</v>
      </c>
      <c r="P1360">
        <v>1.3173999999999999</v>
      </c>
      <c r="Q1360">
        <v>0.90654999999999997</v>
      </c>
      <c r="R1360">
        <v>0.84231</v>
      </c>
      <c r="S1360">
        <v>0.77627000000000002</v>
      </c>
      <c r="T1360">
        <v>105.655</v>
      </c>
      <c r="U1360">
        <v>1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</row>
    <row r="1361" spans="1:35" s="1857" customFormat="1" hidden="1" outlineLevel="1">
      <c r="A1361" s="8">
        <v>44089</v>
      </c>
      <c r="B1361" s="1860">
        <v>2805.6462000000001</v>
      </c>
      <c r="C1361" s="1860">
        <v>4071.8101200000001</v>
      </c>
      <c r="D1361" s="1860">
        <v>4381.1298500000003</v>
      </c>
      <c r="E1361" s="1860">
        <v>4751.7541000000001</v>
      </c>
      <c r="F1361">
        <v>35.049289999999999</v>
      </c>
      <c r="G1361" s="1861">
        <v>3697</v>
      </c>
      <c r="I1361">
        <v>0.75888999999999995</v>
      </c>
      <c r="J1361">
        <v>1.10138</v>
      </c>
      <c r="K1361">
        <v>1.1850499999999999</v>
      </c>
      <c r="L1361">
        <v>1.2853000000000001</v>
      </c>
      <c r="M1361">
        <v>9.4800000000000006E-3</v>
      </c>
      <c r="N1361">
        <v>1</v>
      </c>
      <c r="P1361">
        <v>1.3177000000000001</v>
      </c>
      <c r="Q1361">
        <v>0.90795000000000003</v>
      </c>
      <c r="R1361">
        <v>0.84384000000000003</v>
      </c>
      <c r="S1361">
        <v>0.77802000000000004</v>
      </c>
      <c r="T1361">
        <v>105.48</v>
      </c>
      <c r="U1361">
        <v>1</v>
      </c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</row>
    <row r="1362" spans="1:35" s="1857" customFormat="1" hidden="1" outlineLevel="1">
      <c r="A1362" s="8">
        <v>44090</v>
      </c>
      <c r="B1362" s="1860">
        <v>2796.13618</v>
      </c>
      <c r="C1362" s="1860">
        <v>4056.4836700000001</v>
      </c>
      <c r="D1362" s="1860">
        <v>4357.0161399999997</v>
      </c>
      <c r="E1362" s="1860">
        <v>4789.27369</v>
      </c>
      <c r="F1362">
        <v>35.136069999999997</v>
      </c>
      <c r="G1362" s="1861">
        <v>3683.49</v>
      </c>
      <c r="I1362">
        <v>0.75909000000000004</v>
      </c>
      <c r="J1362">
        <v>1.1012599999999999</v>
      </c>
      <c r="K1362">
        <v>1.18285</v>
      </c>
      <c r="L1362">
        <v>1.3002</v>
      </c>
      <c r="M1362">
        <v>9.5300000000000003E-3</v>
      </c>
      <c r="N1362">
        <v>1</v>
      </c>
      <c r="P1362">
        <v>1.31735</v>
      </c>
      <c r="Q1362">
        <v>0.90805000000000002</v>
      </c>
      <c r="R1362">
        <v>0.84540999999999999</v>
      </c>
      <c r="S1362">
        <v>0.76910999999999996</v>
      </c>
      <c r="T1362">
        <v>104.83499999999999</v>
      </c>
      <c r="U1362">
        <v>1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</row>
    <row r="1363" spans="1:35" s="1857" customFormat="1" hidden="1" outlineLevel="1">
      <c r="A1363" s="8">
        <v>44091</v>
      </c>
      <c r="B1363" s="1860">
        <v>2803.4059900000002</v>
      </c>
      <c r="C1363" s="1860">
        <v>4069.0579499999999</v>
      </c>
      <c r="D1363" s="1860">
        <v>4373.3326900000002</v>
      </c>
      <c r="E1363" s="1860">
        <v>4796.1283100000001</v>
      </c>
      <c r="F1363">
        <v>35.37086</v>
      </c>
      <c r="G1363" s="1861">
        <v>3703.86</v>
      </c>
      <c r="I1363">
        <v>0.75688</v>
      </c>
      <c r="J1363">
        <v>1.09859</v>
      </c>
      <c r="K1363">
        <v>1.18075</v>
      </c>
      <c r="L1363">
        <v>1.2948999999999999</v>
      </c>
      <c r="M1363">
        <v>9.5399999999999999E-3</v>
      </c>
      <c r="N1363">
        <v>1</v>
      </c>
      <c r="P1363">
        <v>1.3211999999999999</v>
      </c>
      <c r="Q1363">
        <v>0.91025</v>
      </c>
      <c r="R1363">
        <v>0.84691000000000005</v>
      </c>
      <c r="S1363">
        <v>0.77225999999999995</v>
      </c>
      <c r="T1363">
        <v>104.715</v>
      </c>
      <c r="U1363">
        <v>1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</row>
    <row r="1364" spans="1:35" s="1857" customFormat="1" hidden="1" outlineLevel="1">
      <c r="A1364" s="8">
        <v>44092</v>
      </c>
      <c r="B1364" s="1860">
        <v>2817.97147</v>
      </c>
      <c r="C1364" s="1860">
        <v>4083.3791299999998</v>
      </c>
      <c r="D1364" s="1860">
        <v>4405.5748999999996</v>
      </c>
      <c r="E1364" s="1860">
        <v>4814.3721299999997</v>
      </c>
      <c r="F1364">
        <v>35.60651</v>
      </c>
      <c r="G1364" s="1861">
        <v>3714.65</v>
      </c>
      <c r="I1364">
        <v>0.75861000000000001</v>
      </c>
      <c r="J1364">
        <v>1.0992599999999999</v>
      </c>
      <c r="K1364">
        <v>1.1859999999999999</v>
      </c>
      <c r="L1364">
        <v>1.2960499999999999</v>
      </c>
      <c r="M1364">
        <v>9.58E-3</v>
      </c>
      <c r="N1364">
        <v>1</v>
      </c>
      <c r="P1364">
        <v>1.3182</v>
      </c>
      <c r="Q1364">
        <v>0.90969999999999995</v>
      </c>
      <c r="R1364">
        <v>0.84316999999999998</v>
      </c>
      <c r="S1364">
        <v>0.77156999999999998</v>
      </c>
      <c r="T1364">
        <v>104.325</v>
      </c>
      <c r="U1364">
        <v>1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</row>
    <row r="1365" spans="1:35" hidden="1" outlineLevel="1">
      <c r="A1365" s="8">
        <v>44093</v>
      </c>
      <c r="B1365" s="1860">
        <v>2826.1037700000002</v>
      </c>
      <c r="C1365" s="1860">
        <v>4095.1632399999999</v>
      </c>
      <c r="D1365" s="1860">
        <v>4418.2888199999998</v>
      </c>
      <c r="E1365" s="1860">
        <v>4828.2657799999997</v>
      </c>
      <c r="F1365">
        <v>35.709269999999997</v>
      </c>
      <c r="G1365" s="1861">
        <v>3725.37</v>
      </c>
      <c r="I1365">
        <v>0.75861000000000001</v>
      </c>
      <c r="J1365">
        <v>1.0992599999999999</v>
      </c>
      <c r="K1365">
        <v>1.1859999999999999</v>
      </c>
      <c r="L1365">
        <v>1.2960499999999999</v>
      </c>
      <c r="M1365">
        <v>9.58E-3</v>
      </c>
      <c r="N1365">
        <v>1</v>
      </c>
      <c r="P1365">
        <v>1.3182</v>
      </c>
      <c r="Q1365">
        <v>0.90969999999999995</v>
      </c>
      <c r="R1365">
        <v>0.84316999999999998</v>
      </c>
      <c r="S1365">
        <v>0.77156999999999998</v>
      </c>
      <c r="T1365">
        <v>104.325</v>
      </c>
      <c r="U1365">
        <v>1</v>
      </c>
    </row>
    <row r="1366" spans="1:35" hidden="1" outlineLevel="1">
      <c r="A1366" s="8">
        <v>44094</v>
      </c>
      <c r="B1366" s="1860">
        <v>2826.1037700000002</v>
      </c>
      <c r="C1366" s="1860">
        <v>4095.1632399999999</v>
      </c>
      <c r="D1366" s="1860">
        <v>4418.2888199999998</v>
      </c>
      <c r="E1366" s="1860">
        <v>4828.2657799999997</v>
      </c>
      <c r="F1366">
        <v>35.709269999999997</v>
      </c>
      <c r="G1366" s="1861">
        <v>3725.37</v>
      </c>
      <c r="I1366">
        <v>0.75861000000000001</v>
      </c>
      <c r="J1366">
        <v>1.0992599999999999</v>
      </c>
      <c r="K1366">
        <v>1.1859999999999999</v>
      </c>
      <c r="L1366">
        <v>1.2960499999999999</v>
      </c>
      <c r="M1366">
        <v>9.58E-3</v>
      </c>
      <c r="N1366">
        <v>1</v>
      </c>
      <c r="P1366">
        <v>1.3182</v>
      </c>
      <c r="Q1366">
        <v>0.90969999999999995</v>
      </c>
      <c r="R1366">
        <v>0.84316999999999998</v>
      </c>
      <c r="S1366">
        <v>0.77156999999999998</v>
      </c>
      <c r="T1366">
        <v>104.325</v>
      </c>
      <c r="U1366">
        <v>1</v>
      </c>
    </row>
    <row r="1367" spans="1:35" hidden="1" outlineLevel="1">
      <c r="A1367" s="8">
        <v>44095</v>
      </c>
      <c r="B1367" s="1860">
        <v>2800.6089299999999</v>
      </c>
      <c r="C1367" s="1860">
        <v>4067.4418599999999</v>
      </c>
      <c r="D1367" s="1860">
        <v>4374.7019899999996</v>
      </c>
      <c r="E1367" s="1860">
        <v>4766.7971799999996</v>
      </c>
      <c r="F1367">
        <v>35.627310000000001</v>
      </c>
      <c r="G1367" s="1861">
        <v>3725.37</v>
      </c>
      <c r="I1367">
        <v>0.75175999999999998</v>
      </c>
      <c r="J1367">
        <v>1.09182</v>
      </c>
      <c r="K1367">
        <v>1.1742999999999999</v>
      </c>
      <c r="L1367">
        <v>1.27955</v>
      </c>
      <c r="M1367">
        <v>9.5600000000000008E-3</v>
      </c>
      <c r="N1367">
        <v>1</v>
      </c>
      <c r="P1367">
        <v>1.3302</v>
      </c>
      <c r="Q1367">
        <v>0.91590000000000005</v>
      </c>
      <c r="R1367">
        <v>0.85157000000000005</v>
      </c>
      <c r="S1367">
        <v>0.78151999999999999</v>
      </c>
      <c r="T1367">
        <v>104.565</v>
      </c>
      <c r="U1367">
        <v>1</v>
      </c>
    </row>
    <row r="1368" spans="1:35" hidden="1" outlineLevel="1">
      <c r="A1368" s="8">
        <v>44096</v>
      </c>
      <c r="B1368" s="1860">
        <v>2842.7628599999998</v>
      </c>
      <c r="C1368" s="1860">
        <v>4122.6167800000003</v>
      </c>
      <c r="D1368" s="1860">
        <v>4437.0165900000002</v>
      </c>
      <c r="E1368" s="1860">
        <v>4823.0830900000001</v>
      </c>
      <c r="F1368">
        <v>36.105530000000002</v>
      </c>
      <c r="G1368" s="1861">
        <v>3790.54</v>
      </c>
      <c r="I1368">
        <v>0.74995999999999996</v>
      </c>
      <c r="J1368">
        <v>1.0875999999999999</v>
      </c>
      <c r="K1368">
        <v>1.17055</v>
      </c>
      <c r="L1368">
        <v>1.2724</v>
      </c>
      <c r="M1368">
        <v>9.5200000000000007E-3</v>
      </c>
      <c r="N1368">
        <v>1</v>
      </c>
      <c r="P1368">
        <v>1.3333999999999999</v>
      </c>
      <c r="Q1368">
        <v>0.91944999999999999</v>
      </c>
      <c r="R1368">
        <v>0.85428999999999999</v>
      </c>
      <c r="S1368">
        <v>0.78591</v>
      </c>
      <c r="T1368">
        <v>104.985</v>
      </c>
      <c r="U1368">
        <v>1</v>
      </c>
    </row>
    <row r="1369" spans="1:35" hidden="1" outlineLevel="1">
      <c r="A1369" s="8">
        <v>44097</v>
      </c>
      <c r="B1369" s="1860">
        <v>2853.6256800000001</v>
      </c>
      <c r="C1369" s="1860">
        <v>4128.7353800000001</v>
      </c>
      <c r="D1369" s="1860">
        <v>4451.4557500000001</v>
      </c>
      <c r="E1369" s="1860">
        <v>4866.9147899999998</v>
      </c>
      <c r="F1369">
        <v>36.218829999999997</v>
      </c>
      <c r="G1369" s="1861">
        <v>3813.3</v>
      </c>
      <c r="I1369">
        <v>0.74833000000000005</v>
      </c>
      <c r="J1369">
        <v>1.0827100000000001</v>
      </c>
      <c r="K1369">
        <v>1.1673500000000001</v>
      </c>
      <c r="L1369">
        <v>1.2763</v>
      </c>
      <c r="M1369">
        <v>9.4900000000000002E-3</v>
      </c>
      <c r="N1369">
        <v>1</v>
      </c>
      <c r="P1369">
        <v>1.3363</v>
      </c>
      <c r="Q1369">
        <v>0.92359999999999998</v>
      </c>
      <c r="R1369">
        <v>0.85663999999999996</v>
      </c>
      <c r="S1369">
        <v>0.78351000000000004</v>
      </c>
      <c r="T1369">
        <v>105.285</v>
      </c>
      <c r="U1369">
        <v>1</v>
      </c>
    </row>
    <row r="1370" spans="1:35" hidden="1" outlineLevel="1">
      <c r="A1370" s="8">
        <v>44098</v>
      </c>
      <c r="B1370" s="1860">
        <v>2882.1006299999999</v>
      </c>
      <c r="C1370" s="1860">
        <v>4164.4839599999996</v>
      </c>
      <c r="D1370" s="1860">
        <v>4497.4235799999997</v>
      </c>
      <c r="E1370" s="1860">
        <v>4912.5673999999999</v>
      </c>
      <c r="F1370">
        <v>36.630479999999999</v>
      </c>
      <c r="G1370" s="1861">
        <v>3863.6</v>
      </c>
      <c r="I1370">
        <v>0.74595999999999996</v>
      </c>
      <c r="J1370">
        <v>1.0778700000000001</v>
      </c>
      <c r="K1370">
        <v>1.16405</v>
      </c>
      <c r="L1370">
        <v>1.2715000000000001</v>
      </c>
      <c r="M1370">
        <v>9.4800000000000006E-3</v>
      </c>
      <c r="N1370">
        <v>1</v>
      </c>
      <c r="P1370">
        <v>1.3405499999999999</v>
      </c>
      <c r="Q1370">
        <v>0.92774999999999996</v>
      </c>
      <c r="R1370">
        <v>0.85906000000000005</v>
      </c>
      <c r="S1370">
        <v>0.78647</v>
      </c>
      <c r="T1370">
        <v>105.47499999999999</v>
      </c>
      <c r="U1370">
        <v>1</v>
      </c>
    </row>
    <row r="1371" spans="1:35" hidden="1" outlineLevel="1">
      <c r="A1371" s="8">
        <v>44099</v>
      </c>
      <c r="B1371" s="1860">
        <v>2889.2783800000002</v>
      </c>
      <c r="C1371" s="1860">
        <v>4169.86006</v>
      </c>
      <c r="D1371" s="1860">
        <v>4500.9682199999997</v>
      </c>
      <c r="E1371" s="1860">
        <v>4921.4692100000002</v>
      </c>
      <c r="F1371">
        <v>36.669820000000001</v>
      </c>
      <c r="G1371" s="1861">
        <v>3873.8</v>
      </c>
      <c r="I1371">
        <v>0.74585000000000001</v>
      </c>
      <c r="J1371">
        <v>1.0764199999999999</v>
      </c>
      <c r="K1371">
        <v>1.1618999999999999</v>
      </c>
      <c r="L1371">
        <v>1.2704500000000001</v>
      </c>
      <c r="M1371">
        <v>9.4599999999999997E-3</v>
      </c>
      <c r="N1371">
        <v>1</v>
      </c>
      <c r="P1371">
        <v>1.3407500000000001</v>
      </c>
      <c r="Q1371">
        <v>0.92900000000000005</v>
      </c>
      <c r="R1371">
        <v>0.86065000000000003</v>
      </c>
      <c r="S1371">
        <v>0.78712000000000004</v>
      </c>
      <c r="T1371">
        <v>105.64</v>
      </c>
      <c r="U1371">
        <v>1</v>
      </c>
    </row>
    <row r="1372" spans="1:35" hidden="1" outlineLevel="1">
      <c r="A1372" s="8">
        <v>44100</v>
      </c>
      <c r="B1372" s="1860">
        <v>2884.8107399999999</v>
      </c>
      <c r="C1372" s="1860">
        <v>4163.4122699999998</v>
      </c>
      <c r="D1372" s="1860">
        <v>4494.0084299999999</v>
      </c>
      <c r="E1372" s="1860">
        <v>4913.8592099999996</v>
      </c>
      <c r="F1372">
        <v>36.613120000000002</v>
      </c>
      <c r="G1372" s="1861">
        <v>3867.81</v>
      </c>
      <c r="I1372">
        <v>0.74585000000000001</v>
      </c>
      <c r="J1372">
        <v>1.0764199999999999</v>
      </c>
      <c r="K1372">
        <v>1.1618999999999999</v>
      </c>
      <c r="L1372">
        <v>1.2704500000000001</v>
      </c>
      <c r="M1372">
        <v>9.4599999999999997E-3</v>
      </c>
      <c r="N1372">
        <v>1</v>
      </c>
      <c r="P1372">
        <v>1.3407500000000001</v>
      </c>
      <c r="Q1372">
        <v>0.92900000000000005</v>
      </c>
      <c r="R1372">
        <v>0.86065000000000003</v>
      </c>
      <c r="S1372">
        <v>0.78712000000000004</v>
      </c>
      <c r="T1372">
        <v>105.64</v>
      </c>
      <c r="U1372">
        <v>1</v>
      </c>
    </row>
    <row r="1373" spans="1:35" hidden="1" outlineLevel="1">
      <c r="A1373" s="8">
        <v>44101</v>
      </c>
      <c r="B1373" s="1860">
        <v>2884.8107399999999</v>
      </c>
      <c r="C1373" s="1860">
        <v>4163.4122699999998</v>
      </c>
      <c r="D1373" s="1860">
        <v>4494.0084299999999</v>
      </c>
      <c r="E1373" s="1860">
        <v>4913.8592099999996</v>
      </c>
      <c r="F1373">
        <v>36.613120000000002</v>
      </c>
      <c r="G1373" s="1861">
        <v>3867.81</v>
      </c>
      <c r="I1373">
        <v>0.74585000000000001</v>
      </c>
      <c r="J1373">
        <v>1.0764199999999999</v>
      </c>
      <c r="K1373">
        <v>1.1618999999999999</v>
      </c>
      <c r="L1373">
        <v>1.2704500000000001</v>
      </c>
      <c r="M1373">
        <v>9.4599999999999997E-3</v>
      </c>
      <c r="N1373">
        <v>1</v>
      </c>
      <c r="P1373">
        <v>1.3407500000000001</v>
      </c>
      <c r="Q1373">
        <v>0.92900000000000005</v>
      </c>
      <c r="R1373">
        <v>0.86065000000000003</v>
      </c>
      <c r="S1373">
        <v>0.78712000000000004</v>
      </c>
      <c r="T1373">
        <v>105.64</v>
      </c>
      <c r="U1373">
        <v>1</v>
      </c>
    </row>
    <row r="1374" spans="1:35" hidden="1" outlineLevel="1">
      <c r="A1374" s="8">
        <v>44102</v>
      </c>
      <c r="B1374" s="1860">
        <v>2888.1496400000001</v>
      </c>
      <c r="C1374" s="1860">
        <v>4170.5952100000004</v>
      </c>
      <c r="D1374" s="1860">
        <v>4504.0647399999998</v>
      </c>
      <c r="E1374" s="1860">
        <v>4966.8482100000001</v>
      </c>
      <c r="F1374">
        <v>36.618310000000001</v>
      </c>
      <c r="G1374" s="1861">
        <v>3867.81</v>
      </c>
      <c r="I1374">
        <v>0.74670999999999998</v>
      </c>
      <c r="J1374">
        <v>1.0782799999999999</v>
      </c>
      <c r="K1374">
        <v>1.1645000000000001</v>
      </c>
      <c r="L1374">
        <v>1.2841499999999999</v>
      </c>
      <c r="M1374">
        <v>9.4599999999999997E-3</v>
      </c>
      <c r="N1374">
        <v>1</v>
      </c>
      <c r="P1374">
        <v>1.3391999999999999</v>
      </c>
      <c r="Q1374">
        <v>0.9274</v>
      </c>
      <c r="R1374">
        <v>0.85872999999999999</v>
      </c>
      <c r="S1374">
        <v>0.77871999999999997</v>
      </c>
      <c r="T1374">
        <v>105.625</v>
      </c>
      <c r="U1374">
        <v>1</v>
      </c>
    </row>
    <row r="1375" spans="1:35" hidden="1" outlineLevel="1">
      <c r="A1375" s="8">
        <v>44103</v>
      </c>
      <c r="B1375" s="1860">
        <v>2878.8036900000002</v>
      </c>
      <c r="C1375" s="1860">
        <v>4188.03233</v>
      </c>
      <c r="D1375" s="1860">
        <v>4528.0486899999996</v>
      </c>
      <c r="E1375" s="1860">
        <v>4956.3045899999997</v>
      </c>
      <c r="F1375">
        <v>36.520949999999999</v>
      </c>
      <c r="G1375" s="1861">
        <v>3859.9</v>
      </c>
      <c r="I1375">
        <v>0.74582000000000004</v>
      </c>
      <c r="J1375">
        <v>1.08501</v>
      </c>
      <c r="K1375">
        <v>1.1731</v>
      </c>
      <c r="L1375">
        <v>1.2840499999999999</v>
      </c>
      <c r="M1375">
        <v>9.4599999999999997E-3</v>
      </c>
      <c r="N1375">
        <v>1</v>
      </c>
      <c r="P1375">
        <v>1.3408</v>
      </c>
      <c r="Q1375">
        <v>0.92164999999999997</v>
      </c>
      <c r="R1375">
        <v>0.85243999999999998</v>
      </c>
      <c r="S1375">
        <v>0.77878000000000003</v>
      </c>
      <c r="T1375">
        <v>105.69</v>
      </c>
      <c r="U1375">
        <v>1</v>
      </c>
    </row>
    <row r="1376" spans="1:35" ht="15.75" hidden="1" outlineLevel="1" thickBot="1">
      <c r="A1376" s="1868">
        <v>44104</v>
      </c>
      <c r="B1376" s="1869">
        <v>2903.9416000000001</v>
      </c>
      <c r="C1376" s="1869">
        <v>4221.9755100000002</v>
      </c>
      <c r="D1376" s="1869">
        <v>4548.6389900000004</v>
      </c>
      <c r="E1376" s="1869">
        <v>5014.6936299999998</v>
      </c>
      <c r="F1376" s="1870">
        <v>36.756749999999997</v>
      </c>
      <c r="G1376" s="1871">
        <v>3878.94</v>
      </c>
      <c r="H1376" s="1872"/>
      <c r="I1376" s="1870">
        <v>0.74863999999999997</v>
      </c>
      <c r="J1376" s="1870">
        <v>1.08843</v>
      </c>
      <c r="K1376" s="1870">
        <v>1.17265</v>
      </c>
      <c r="L1376" s="1870">
        <v>1.2927999999999999</v>
      </c>
      <c r="M1376" s="1870">
        <v>9.4699999999999993E-3</v>
      </c>
      <c r="N1376" s="1870">
        <v>1</v>
      </c>
      <c r="O1376" s="1872"/>
      <c r="P1376" s="1870">
        <v>1.33575</v>
      </c>
      <c r="Q1376" s="1870">
        <v>0.91874999999999996</v>
      </c>
      <c r="R1376" s="1870">
        <v>0.85275999999999996</v>
      </c>
      <c r="S1376" s="1870">
        <v>0.77351000000000003</v>
      </c>
      <c r="T1376" s="1870">
        <v>105.53</v>
      </c>
      <c r="U1376" s="1870">
        <v>1</v>
      </c>
      <c r="V1376" s="1872"/>
    </row>
    <row r="1377" spans="1:35" hidden="1" outlineLevel="1">
      <c r="A1377" s="8">
        <v>44105</v>
      </c>
      <c r="B1377" s="1860">
        <v>2906.3684199999998</v>
      </c>
      <c r="C1377" s="1860">
        <v>4203.6539599999996</v>
      </c>
      <c r="D1377" s="1860">
        <v>4536.3223099999996</v>
      </c>
      <c r="E1377" s="1860">
        <v>4973.7002400000001</v>
      </c>
      <c r="F1377">
        <v>36.590960000000003</v>
      </c>
      <c r="G1377" s="1861">
        <v>3865.47</v>
      </c>
      <c r="I1377">
        <v>0.75187000000000004</v>
      </c>
      <c r="J1377">
        <v>1.08748</v>
      </c>
      <c r="K1377">
        <v>1.1735500000000001</v>
      </c>
      <c r="L1377">
        <v>1.2867</v>
      </c>
      <c r="M1377">
        <v>9.4599999999999997E-3</v>
      </c>
      <c r="N1377">
        <v>1</v>
      </c>
      <c r="P1377">
        <v>1.33</v>
      </c>
      <c r="Q1377">
        <v>0.91954999999999998</v>
      </c>
      <c r="R1377">
        <v>0.85211000000000003</v>
      </c>
      <c r="S1377">
        <v>0.77717999999999998</v>
      </c>
      <c r="T1377">
        <v>105.64</v>
      </c>
      <c r="U1377">
        <v>1</v>
      </c>
    </row>
    <row r="1378" spans="1:35" hidden="1" outlineLevel="1">
      <c r="A1378" s="8">
        <v>44106</v>
      </c>
      <c r="B1378" s="1860">
        <v>2884.6396300000001</v>
      </c>
      <c r="C1378" s="1860">
        <v>4176.6835099999998</v>
      </c>
      <c r="D1378" s="1860">
        <v>4501.1091900000001</v>
      </c>
      <c r="E1378" s="1860">
        <v>4969.8746700000002</v>
      </c>
      <c r="F1378">
        <v>36.470399999999998</v>
      </c>
      <c r="G1378" s="1861">
        <v>3842.34</v>
      </c>
      <c r="I1378">
        <v>0.75075000000000003</v>
      </c>
      <c r="J1378">
        <v>1.08701</v>
      </c>
      <c r="K1378">
        <v>1.1714500000000001</v>
      </c>
      <c r="L1378">
        <v>1.29345</v>
      </c>
      <c r="M1378">
        <v>9.4900000000000002E-3</v>
      </c>
      <c r="N1378">
        <v>1</v>
      </c>
      <c r="P1378">
        <v>1.3320000000000001</v>
      </c>
      <c r="Q1378">
        <v>0.91995000000000005</v>
      </c>
      <c r="R1378">
        <v>0.85363999999999995</v>
      </c>
      <c r="S1378">
        <v>0.77312000000000003</v>
      </c>
      <c r="T1378">
        <v>105.355</v>
      </c>
      <c r="U1378">
        <v>1</v>
      </c>
    </row>
    <row r="1379" spans="1:35" hidden="1" outlineLevel="1">
      <c r="A1379" s="8">
        <v>44107</v>
      </c>
      <c r="B1379" s="1860">
        <v>2914.2642599999999</v>
      </c>
      <c r="C1379" s="1860">
        <v>4219.5771500000001</v>
      </c>
      <c r="D1379" s="1860">
        <v>4547.3346099999999</v>
      </c>
      <c r="E1379" s="1860">
        <v>5020.9142099999999</v>
      </c>
      <c r="F1379">
        <v>36.844949999999997</v>
      </c>
      <c r="G1379" s="1861">
        <v>3881.8</v>
      </c>
      <c r="I1379">
        <v>0.75075000000000003</v>
      </c>
      <c r="J1379">
        <v>1.08701</v>
      </c>
      <c r="K1379">
        <v>1.1714500000000001</v>
      </c>
      <c r="L1379">
        <v>1.29345</v>
      </c>
      <c r="M1379">
        <v>9.4900000000000002E-3</v>
      </c>
      <c r="N1379">
        <v>1</v>
      </c>
      <c r="P1379">
        <v>1.3320000000000001</v>
      </c>
      <c r="Q1379">
        <v>0.91995000000000005</v>
      </c>
      <c r="R1379">
        <v>0.85363999999999995</v>
      </c>
      <c r="S1379">
        <v>0.77312000000000003</v>
      </c>
      <c r="T1379">
        <v>105.355</v>
      </c>
      <c r="U1379">
        <v>1</v>
      </c>
    </row>
    <row r="1380" spans="1:35" hidden="1" outlineLevel="1">
      <c r="A1380" s="8">
        <v>44108</v>
      </c>
      <c r="B1380" s="1860">
        <v>2914.2642599999999</v>
      </c>
      <c r="C1380" s="1860">
        <v>4219.5771500000001</v>
      </c>
      <c r="D1380" s="1860">
        <v>4547.3346099999999</v>
      </c>
      <c r="E1380" s="1860">
        <v>5020.9142099999999</v>
      </c>
      <c r="F1380">
        <v>36.844949999999997</v>
      </c>
      <c r="G1380" s="1861">
        <v>3881.8</v>
      </c>
      <c r="I1380">
        <v>0.75075000000000003</v>
      </c>
      <c r="J1380">
        <v>1.08701</v>
      </c>
      <c r="K1380">
        <v>1.1714500000000001</v>
      </c>
      <c r="L1380">
        <v>1.29345</v>
      </c>
      <c r="M1380">
        <v>9.4900000000000002E-3</v>
      </c>
      <c r="N1380">
        <v>1</v>
      </c>
      <c r="P1380">
        <v>1.3320000000000001</v>
      </c>
      <c r="Q1380">
        <v>0.91995000000000005</v>
      </c>
      <c r="R1380">
        <v>0.85363999999999995</v>
      </c>
      <c r="S1380">
        <v>0.77312000000000003</v>
      </c>
      <c r="T1380">
        <v>105.355</v>
      </c>
      <c r="U1380">
        <v>1</v>
      </c>
    </row>
    <row r="1381" spans="1:35" s="1857" customFormat="1" hidden="1" outlineLevel="1">
      <c r="A1381" s="8">
        <v>44109</v>
      </c>
      <c r="B1381" s="1860">
        <v>2926.34753</v>
      </c>
      <c r="C1381" s="1860">
        <v>4242.8680700000004</v>
      </c>
      <c r="D1381" s="1860">
        <v>4577.61265</v>
      </c>
      <c r="E1381" s="1860">
        <v>5037.8000400000001</v>
      </c>
      <c r="F1381">
        <v>36.743810000000003</v>
      </c>
      <c r="G1381" s="1861">
        <v>3881.8</v>
      </c>
      <c r="I1381">
        <v>0.75385999999999997</v>
      </c>
      <c r="J1381">
        <v>1.09301</v>
      </c>
      <c r="K1381">
        <v>1.1792499999999999</v>
      </c>
      <c r="L1381">
        <v>1.2978000000000001</v>
      </c>
      <c r="M1381">
        <v>9.4599999999999997E-3</v>
      </c>
      <c r="N1381">
        <v>1</v>
      </c>
      <c r="P1381">
        <v>1.3265</v>
      </c>
      <c r="Q1381">
        <v>0.91490000000000005</v>
      </c>
      <c r="R1381">
        <v>0.84799000000000002</v>
      </c>
      <c r="S1381">
        <v>0.77053000000000005</v>
      </c>
      <c r="T1381">
        <v>105.645</v>
      </c>
      <c r="U1381">
        <v>1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</row>
    <row r="1382" spans="1:35" s="1857" customFormat="1" hidden="1" outlineLevel="1">
      <c r="A1382" s="8">
        <v>44110</v>
      </c>
      <c r="B1382" s="1860">
        <v>2897.88148</v>
      </c>
      <c r="C1382" s="1860">
        <v>4204.9556899999998</v>
      </c>
      <c r="D1382" s="1860">
        <v>4532.3578100000004</v>
      </c>
      <c r="E1382" s="1860">
        <v>4986.1125000000002</v>
      </c>
      <c r="F1382">
        <v>36.393970000000003</v>
      </c>
      <c r="G1382" s="1861">
        <v>3843.75</v>
      </c>
      <c r="I1382">
        <v>0.75392000000000003</v>
      </c>
      <c r="J1382">
        <v>1.0939700000000001</v>
      </c>
      <c r="K1382">
        <v>1.1791499999999999</v>
      </c>
      <c r="L1382">
        <v>1.2971999999999999</v>
      </c>
      <c r="M1382">
        <v>9.4599999999999997E-3</v>
      </c>
      <c r="N1382">
        <v>1</v>
      </c>
      <c r="P1382">
        <v>1.3264</v>
      </c>
      <c r="Q1382">
        <v>0.91410000000000002</v>
      </c>
      <c r="R1382">
        <v>0.84806000000000004</v>
      </c>
      <c r="S1382">
        <v>0.77088999999999996</v>
      </c>
      <c r="T1382">
        <v>105.61499999999999</v>
      </c>
      <c r="U1382">
        <v>1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</row>
    <row r="1383" spans="1:35" s="1857" customFormat="1" hidden="1" outlineLevel="1">
      <c r="A1383" s="8">
        <v>44111</v>
      </c>
      <c r="B1383" s="1860">
        <v>2880.4109699999999</v>
      </c>
      <c r="C1383" s="1860">
        <v>4172.9131399999997</v>
      </c>
      <c r="D1383" s="1860">
        <v>4500.8555299999998</v>
      </c>
      <c r="E1383" s="1860">
        <v>4936.1506200000003</v>
      </c>
      <c r="F1383">
        <v>36.093089999999997</v>
      </c>
      <c r="G1383" s="1861">
        <v>3826.77</v>
      </c>
      <c r="I1383">
        <v>0.75270000000000004</v>
      </c>
      <c r="J1383">
        <v>1.0904499999999999</v>
      </c>
      <c r="K1383">
        <v>1.17615</v>
      </c>
      <c r="L1383">
        <v>1.2899</v>
      </c>
      <c r="M1383">
        <v>9.4299999999999991E-3</v>
      </c>
      <c r="N1383">
        <v>1</v>
      </c>
      <c r="P1383">
        <v>1.3285499999999999</v>
      </c>
      <c r="Q1383">
        <v>0.91705000000000003</v>
      </c>
      <c r="R1383">
        <v>0.85023000000000004</v>
      </c>
      <c r="S1383">
        <v>0.77524999999999999</v>
      </c>
      <c r="T1383">
        <v>106.02500000000001</v>
      </c>
      <c r="U1383">
        <v>1</v>
      </c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</row>
    <row r="1384" spans="1:35" s="1857" customFormat="1" hidden="1" outlineLevel="1">
      <c r="A1384" s="8">
        <v>44112</v>
      </c>
      <c r="B1384" s="1860">
        <v>2902.0303199999998</v>
      </c>
      <c r="C1384" s="1860">
        <v>4181.73794</v>
      </c>
      <c r="D1384" s="1860">
        <v>4508.8275800000001</v>
      </c>
      <c r="E1384" s="1860">
        <v>4961.8786899999996</v>
      </c>
      <c r="F1384">
        <v>36.197020000000002</v>
      </c>
      <c r="G1384" s="1861">
        <v>3837.79</v>
      </c>
      <c r="I1384">
        <v>0.75617000000000001</v>
      </c>
      <c r="J1384">
        <v>1.08962</v>
      </c>
      <c r="K1384">
        <v>1.1748499999999999</v>
      </c>
      <c r="L1384">
        <v>1.2928999999999999</v>
      </c>
      <c r="M1384">
        <v>9.4299999999999991E-3</v>
      </c>
      <c r="N1384">
        <v>1</v>
      </c>
      <c r="P1384">
        <v>1.3224499999999999</v>
      </c>
      <c r="Q1384">
        <v>0.91774999999999995</v>
      </c>
      <c r="R1384">
        <v>0.85116999999999998</v>
      </c>
      <c r="S1384">
        <v>0.77344999999999997</v>
      </c>
      <c r="T1384">
        <v>106.02500000000001</v>
      </c>
      <c r="U1384">
        <v>1</v>
      </c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</row>
    <row r="1385" spans="1:35" s="1857" customFormat="1" hidden="1" outlineLevel="1">
      <c r="A1385" s="8">
        <v>44113</v>
      </c>
      <c r="B1385" s="1860">
        <v>2923.3925899999999</v>
      </c>
      <c r="C1385" s="1860">
        <v>4211.6156600000004</v>
      </c>
      <c r="D1385" s="1860">
        <v>4536.4489999999996</v>
      </c>
      <c r="E1385" s="1860">
        <v>4990.88105</v>
      </c>
      <c r="F1385">
        <v>36.342149999999997</v>
      </c>
      <c r="G1385" s="1861">
        <v>3839.73</v>
      </c>
      <c r="I1385">
        <v>0.76134999999999997</v>
      </c>
      <c r="J1385">
        <v>1.0968500000000001</v>
      </c>
      <c r="K1385">
        <v>1.1814499999999999</v>
      </c>
      <c r="L1385">
        <v>1.2998000000000001</v>
      </c>
      <c r="M1385">
        <v>9.4599999999999997E-3</v>
      </c>
      <c r="N1385">
        <v>1</v>
      </c>
      <c r="P1385">
        <v>1.31345</v>
      </c>
      <c r="Q1385">
        <v>0.91169999999999995</v>
      </c>
      <c r="R1385">
        <v>0.84641</v>
      </c>
      <c r="S1385">
        <v>0.76934000000000002</v>
      </c>
      <c r="T1385">
        <v>105.655</v>
      </c>
      <c r="U1385">
        <v>1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</row>
    <row r="1386" spans="1:35" s="1857" customFormat="1" hidden="1" outlineLevel="1">
      <c r="A1386" s="8">
        <v>44114</v>
      </c>
      <c r="B1386" s="1860">
        <v>2911.6068300000002</v>
      </c>
      <c r="C1386" s="1860">
        <v>4194.6363899999997</v>
      </c>
      <c r="D1386" s="1860">
        <v>4518.1601600000004</v>
      </c>
      <c r="E1386" s="1860">
        <v>4970.7601500000001</v>
      </c>
      <c r="F1386">
        <v>36.195630000000001</v>
      </c>
      <c r="G1386" s="1861">
        <v>3824.25</v>
      </c>
      <c r="I1386">
        <v>0.76134999999999997</v>
      </c>
      <c r="J1386">
        <v>1.0968500000000001</v>
      </c>
      <c r="K1386">
        <v>1.1814499999999999</v>
      </c>
      <c r="L1386">
        <v>1.2998000000000001</v>
      </c>
      <c r="M1386">
        <v>9.4599999999999997E-3</v>
      </c>
      <c r="N1386">
        <v>1</v>
      </c>
      <c r="P1386">
        <v>1.31345</v>
      </c>
      <c r="Q1386">
        <v>0.91169999999999995</v>
      </c>
      <c r="R1386">
        <v>0.84641</v>
      </c>
      <c r="S1386">
        <v>0.76934000000000002</v>
      </c>
      <c r="T1386">
        <v>105.655</v>
      </c>
      <c r="U1386">
        <v>1</v>
      </c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</row>
    <row r="1387" spans="1:35" s="1857" customFormat="1" hidden="1" outlineLevel="1">
      <c r="A1387" s="8">
        <v>44115</v>
      </c>
      <c r="B1387" s="1860">
        <v>2911.6068300000002</v>
      </c>
      <c r="C1387" s="1860">
        <v>4194.6363899999997</v>
      </c>
      <c r="D1387" s="1860">
        <v>4518.1601600000004</v>
      </c>
      <c r="E1387" s="1860">
        <v>4970.7601500000001</v>
      </c>
      <c r="F1387">
        <v>36.195630000000001</v>
      </c>
      <c r="G1387" s="1861">
        <v>3824.25</v>
      </c>
      <c r="I1387">
        <v>0.76134999999999997</v>
      </c>
      <c r="J1387">
        <v>1.0968500000000001</v>
      </c>
      <c r="K1387">
        <v>1.1814499999999999</v>
      </c>
      <c r="L1387">
        <v>1.2998000000000001</v>
      </c>
      <c r="M1387">
        <v>9.4599999999999997E-3</v>
      </c>
      <c r="N1387">
        <v>1</v>
      </c>
      <c r="P1387">
        <v>1.31345</v>
      </c>
      <c r="Q1387">
        <v>0.91169999999999995</v>
      </c>
      <c r="R1387">
        <v>0.84641</v>
      </c>
      <c r="S1387">
        <v>0.76934000000000002</v>
      </c>
      <c r="T1387">
        <v>105.655</v>
      </c>
      <c r="U1387">
        <v>1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</row>
    <row r="1388" spans="1:35" s="1857" customFormat="1" hidden="1" outlineLevel="1">
      <c r="A1388" s="8">
        <v>44116</v>
      </c>
      <c r="B1388" s="1860">
        <v>2918.1610000000001</v>
      </c>
      <c r="C1388" s="1860">
        <v>4207.7900600000003</v>
      </c>
      <c r="D1388" s="1860">
        <v>4517.3953099999999</v>
      </c>
      <c r="E1388" s="1860">
        <v>4996.9562599999999</v>
      </c>
      <c r="F1388">
        <v>36.326279999999997</v>
      </c>
      <c r="G1388" s="1861">
        <v>3824.25</v>
      </c>
      <c r="I1388">
        <v>0.76305999999999996</v>
      </c>
      <c r="J1388">
        <v>1.10029</v>
      </c>
      <c r="K1388">
        <v>1.1812499999999999</v>
      </c>
      <c r="L1388">
        <v>1.3066500000000001</v>
      </c>
      <c r="M1388">
        <v>9.4900000000000002E-3</v>
      </c>
      <c r="N1388">
        <v>1</v>
      </c>
      <c r="P1388">
        <v>1.3105</v>
      </c>
      <c r="Q1388">
        <v>0.90885000000000005</v>
      </c>
      <c r="R1388">
        <v>0.84655999999999998</v>
      </c>
      <c r="S1388">
        <v>0.76531000000000005</v>
      </c>
      <c r="T1388">
        <v>105.27500000000001</v>
      </c>
      <c r="U1388">
        <v>1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</row>
    <row r="1389" spans="1:35" s="1857" customFormat="1" hidden="1" outlineLevel="1">
      <c r="A1389" s="8">
        <v>44117</v>
      </c>
      <c r="B1389" s="1860">
        <v>2910.6096299999999</v>
      </c>
      <c r="C1389" s="1860">
        <v>4184.9967100000003</v>
      </c>
      <c r="D1389" s="1860">
        <v>4491.1992</v>
      </c>
      <c r="E1389" s="1860">
        <v>4966.1710499999999</v>
      </c>
      <c r="F1389">
        <v>36.236789999999999</v>
      </c>
      <c r="G1389" s="1861">
        <v>3824.25</v>
      </c>
      <c r="I1389">
        <v>0.76109000000000004</v>
      </c>
      <c r="J1389">
        <v>1.09433</v>
      </c>
      <c r="K1389">
        <v>1.1744000000000001</v>
      </c>
      <c r="L1389">
        <v>1.2986</v>
      </c>
      <c r="M1389">
        <v>9.4699999999999993E-3</v>
      </c>
      <c r="N1389">
        <v>1</v>
      </c>
      <c r="P1389">
        <v>1.3139000000000001</v>
      </c>
      <c r="Q1389">
        <v>0.91379999999999995</v>
      </c>
      <c r="R1389">
        <v>0.85148999999999997</v>
      </c>
      <c r="S1389">
        <v>0.77005999999999997</v>
      </c>
      <c r="T1389">
        <v>105.535</v>
      </c>
      <c r="U1389">
        <v>1</v>
      </c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</row>
    <row r="1390" spans="1:35" s="1857" customFormat="1" hidden="1" outlineLevel="1">
      <c r="A1390" s="8">
        <v>44118</v>
      </c>
      <c r="B1390" s="1860">
        <v>2935.5764399999998</v>
      </c>
      <c r="C1390" s="1860">
        <v>4227.7257</v>
      </c>
      <c r="D1390" s="1860">
        <v>4534.8395</v>
      </c>
      <c r="E1390" s="1860">
        <v>5028.6412799999998</v>
      </c>
      <c r="F1390">
        <v>36.690159999999999</v>
      </c>
      <c r="G1390" s="1861">
        <v>3856.32</v>
      </c>
      <c r="I1390">
        <v>0.76122999999999996</v>
      </c>
      <c r="J1390">
        <v>1.0963099999999999</v>
      </c>
      <c r="K1390">
        <v>1.1759500000000001</v>
      </c>
      <c r="L1390">
        <v>1.304</v>
      </c>
      <c r="M1390">
        <v>9.5099999999999994E-3</v>
      </c>
      <c r="N1390">
        <v>1</v>
      </c>
      <c r="P1390">
        <v>1.31365</v>
      </c>
      <c r="Q1390">
        <v>0.91215000000000002</v>
      </c>
      <c r="R1390">
        <v>0.85036999999999996</v>
      </c>
      <c r="S1390">
        <v>0.76687000000000005</v>
      </c>
      <c r="T1390">
        <v>105.105</v>
      </c>
      <c r="U1390">
        <v>1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</row>
    <row r="1391" spans="1:35" s="1857" customFormat="1" hidden="1" outlineLevel="1">
      <c r="A1391" s="8">
        <v>44119</v>
      </c>
      <c r="B1391" s="1860">
        <v>2901.2605600000002</v>
      </c>
      <c r="C1391" s="1860">
        <v>4206.3912399999999</v>
      </c>
      <c r="D1391" s="1860">
        <v>4496.8081199999997</v>
      </c>
      <c r="E1391" s="1860">
        <v>4961.4981500000004</v>
      </c>
      <c r="F1391">
        <v>36.506520000000002</v>
      </c>
      <c r="G1391" s="1861">
        <v>3843.59</v>
      </c>
      <c r="I1391">
        <v>0.75483</v>
      </c>
      <c r="J1391">
        <v>1.09439</v>
      </c>
      <c r="K1391">
        <v>1.16995</v>
      </c>
      <c r="L1391">
        <v>1.2908500000000001</v>
      </c>
      <c r="M1391">
        <v>9.4900000000000002E-3</v>
      </c>
      <c r="N1391">
        <v>1</v>
      </c>
      <c r="P1391">
        <v>1.3248</v>
      </c>
      <c r="Q1391">
        <v>0.91374999999999995</v>
      </c>
      <c r="R1391">
        <v>0.85472999999999999</v>
      </c>
      <c r="S1391">
        <v>0.77468000000000004</v>
      </c>
      <c r="T1391">
        <v>105.285</v>
      </c>
      <c r="U1391">
        <v>1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</row>
    <row r="1392" spans="1:35" s="1857" customFormat="1" hidden="1" outlineLevel="1">
      <c r="A1392" s="8">
        <v>44120</v>
      </c>
      <c r="B1392" s="1860">
        <v>2920.4955199999999</v>
      </c>
      <c r="C1392" s="1860">
        <v>4214.6082699999997</v>
      </c>
      <c r="D1392" s="1860">
        <v>4517.4388399999998</v>
      </c>
      <c r="E1392" s="1860">
        <v>4983.2515299999995</v>
      </c>
      <c r="F1392">
        <v>36.564720000000001</v>
      </c>
      <c r="G1392" s="1861">
        <v>3854.47</v>
      </c>
      <c r="I1392">
        <v>0.75768999999999997</v>
      </c>
      <c r="J1392">
        <v>1.0934299999999999</v>
      </c>
      <c r="K1392">
        <v>1.1719999999999999</v>
      </c>
      <c r="L1392">
        <v>1.2928500000000001</v>
      </c>
      <c r="M1392">
        <v>9.4800000000000006E-3</v>
      </c>
      <c r="N1392">
        <v>1</v>
      </c>
      <c r="P1392">
        <v>1.3198000000000001</v>
      </c>
      <c r="Q1392">
        <v>0.91454999999999997</v>
      </c>
      <c r="R1392">
        <v>0.85324</v>
      </c>
      <c r="S1392">
        <v>0.77347999999999995</v>
      </c>
      <c r="T1392">
        <v>105.41500000000001</v>
      </c>
      <c r="U1392">
        <v>1</v>
      </c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</row>
    <row r="1393" spans="1:35" s="1857" customFormat="1" hidden="1" outlineLevel="1">
      <c r="A1393" s="8">
        <v>44121</v>
      </c>
      <c r="B1393" s="1860">
        <v>2914.4415800000002</v>
      </c>
      <c r="C1393" s="1860">
        <v>4205.8717399999996</v>
      </c>
      <c r="D1393" s="1860">
        <v>4508.07456</v>
      </c>
      <c r="E1393" s="1860">
        <v>4972.92166</v>
      </c>
      <c r="F1393">
        <v>36.48892</v>
      </c>
      <c r="G1393" s="1861">
        <v>3846.48</v>
      </c>
      <c r="I1393">
        <v>0.75768999999999997</v>
      </c>
      <c r="J1393">
        <v>1.0934299999999999</v>
      </c>
      <c r="K1393">
        <v>1.1719999999999999</v>
      </c>
      <c r="L1393">
        <v>1.2928500000000001</v>
      </c>
      <c r="M1393">
        <v>9.4800000000000006E-3</v>
      </c>
      <c r="N1393">
        <v>1</v>
      </c>
      <c r="P1393">
        <v>1.3198000000000001</v>
      </c>
      <c r="Q1393">
        <v>0.91454999999999997</v>
      </c>
      <c r="R1393">
        <v>0.85324</v>
      </c>
      <c r="S1393">
        <v>0.77347999999999995</v>
      </c>
      <c r="T1393">
        <v>105.41500000000001</v>
      </c>
      <c r="U1393">
        <v>1</v>
      </c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</row>
    <row r="1394" spans="1:35" s="1857" customFormat="1" hidden="1" outlineLevel="1">
      <c r="A1394" s="8">
        <v>44122</v>
      </c>
      <c r="B1394" s="1860">
        <v>2914.4415800000002</v>
      </c>
      <c r="C1394" s="1860">
        <v>4205.8717399999996</v>
      </c>
      <c r="D1394" s="1860">
        <v>4508.07456</v>
      </c>
      <c r="E1394" s="1860">
        <v>4972.92166</v>
      </c>
      <c r="F1394">
        <v>36.48892</v>
      </c>
      <c r="G1394" s="1861">
        <v>3846.48</v>
      </c>
      <c r="I1394">
        <v>0.75768999999999997</v>
      </c>
      <c r="J1394">
        <v>1.0934299999999999</v>
      </c>
      <c r="K1394">
        <v>1.1719999999999999</v>
      </c>
      <c r="L1394">
        <v>1.2928500000000001</v>
      </c>
      <c r="M1394">
        <v>9.4800000000000006E-3</v>
      </c>
      <c r="N1394">
        <v>1</v>
      </c>
      <c r="P1394">
        <v>1.3198000000000001</v>
      </c>
      <c r="Q1394">
        <v>0.91454999999999997</v>
      </c>
      <c r="R1394">
        <v>0.85324</v>
      </c>
      <c r="S1394">
        <v>0.77347999999999995</v>
      </c>
      <c r="T1394">
        <v>105.41500000000001</v>
      </c>
      <c r="U1394">
        <v>1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</row>
    <row r="1395" spans="1:35" s="1857" customFormat="1" hidden="1" outlineLevel="1">
      <c r="A1395" s="8">
        <v>44123</v>
      </c>
      <c r="B1395" s="1860">
        <v>2924.4126799999999</v>
      </c>
      <c r="C1395" s="1860">
        <v>4229.2248399999999</v>
      </c>
      <c r="D1395" s="1860">
        <v>4532.3073800000002</v>
      </c>
      <c r="E1395" s="1860">
        <v>4999.8470200000002</v>
      </c>
      <c r="F1395">
        <v>36.469889999999999</v>
      </c>
      <c r="G1395" s="1861">
        <v>3846.48</v>
      </c>
      <c r="I1395">
        <v>0.76027999999999996</v>
      </c>
      <c r="J1395">
        <v>1.0994999999999999</v>
      </c>
      <c r="K1395">
        <v>1.1782999999999999</v>
      </c>
      <c r="L1395">
        <v>1.2998499999999999</v>
      </c>
      <c r="M1395">
        <v>9.4800000000000006E-3</v>
      </c>
      <c r="N1395">
        <v>1</v>
      </c>
      <c r="P1395">
        <v>1.3152999999999999</v>
      </c>
      <c r="Q1395">
        <v>0.90949999999999998</v>
      </c>
      <c r="R1395">
        <v>0.84867999999999999</v>
      </c>
      <c r="S1395">
        <v>0.76931000000000005</v>
      </c>
      <c r="T1395">
        <v>105.47</v>
      </c>
      <c r="U1395">
        <v>1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</row>
    <row r="1396" spans="1:35" s="1857" customFormat="1" hidden="1" outlineLevel="1">
      <c r="A1396" s="8">
        <v>44124</v>
      </c>
      <c r="B1396" s="1860">
        <v>2926.0336499999999</v>
      </c>
      <c r="C1396" s="1860">
        <v>4237.9487099999997</v>
      </c>
      <c r="D1396" s="1860">
        <v>4546.1772099999998</v>
      </c>
      <c r="E1396" s="1860">
        <v>4981.1776499999996</v>
      </c>
      <c r="F1396">
        <v>36.403559999999999</v>
      </c>
      <c r="G1396" s="1861">
        <v>3842.76</v>
      </c>
      <c r="I1396">
        <v>0.76144000000000001</v>
      </c>
      <c r="J1396">
        <v>1.10283</v>
      </c>
      <c r="K1396">
        <v>1.1830499999999999</v>
      </c>
      <c r="L1396">
        <v>1.2962499999999999</v>
      </c>
      <c r="M1396">
        <v>9.4699999999999993E-3</v>
      </c>
      <c r="N1396">
        <v>1</v>
      </c>
      <c r="P1396">
        <v>1.3132999999999999</v>
      </c>
      <c r="Q1396">
        <v>0.90674999999999994</v>
      </c>
      <c r="R1396">
        <v>0.84526999999999997</v>
      </c>
      <c r="S1396">
        <v>0.77144999999999997</v>
      </c>
      <c r="T1396">
        <v>105.56</v>
      </c>
      <c r="U1396">
        <v>1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</row>
    <row r="1397" spans="1:35" hidden="1" outlineLevel="1">
      <c r="A1397" s="8">
        <v>44125</v>
      </c>
      <c r="B1397" s="1860">
        <v>2922.0366100000001</v>
      </c>
      <c r="C1397" s="1860">
        <v>4239.9446500000004</v>
      </c>
      <c r="D1397" s="1860">
        <v>4548.87158</v>
      </c>
      <c r="E1397" s="1860">
        <v>5042.2773299999999</v>
      </c>
      <c r="F1397">
        <v>36.686360000000001</v>
      </c>
      <c r="G1397" s="1861">
        <v>3830.79</v>
      </c>
      <c r="I1397">
        <v>0.76276999999999995</v>
      </c>
      <c r="J1397">
        <v>1.1068</v>
      </c>
      <c r="K1397">
        <v>1.1874499999999999</v>
      </c>
      <c r="L1397">
        <v>1.3162499999999999</v>
      </c>
      <c r="M1397">
        <v>9.5700000000000004E-3</v>
      </c>
      <c r="N1397">
        <v>1</v>
      </c>
      <c r="P1397">
        <v>1.3109999999999999</v>
      </c>
      <c r="Q1397">
        <v>0.90349999999999997</v>
      </c>
      <c r="R1397">
        <v>0.84214</v>
      </c>
      <c r="S1397">
        <v>0.75973000000000002</v>
      </c>
      <c r="T1397">
        <v>104.42</v>
      </c>
      <c r="U1397">
        <v>1</v>
      </c>
    </row>
    <row r="1398" spans="1:35" hidden="1" outlineLevel="1">
      <c r="A1398" s="8">
        <v>44126</v>
      </c>
      <c r="B1398" s="1860">
        <v>2883.1066900000001</v>
      </c>
      <c r="C1398" s="1860">
        <v>4172.5578800000003</v>
      </c>
      <c r="D1398" s="1860">
        <v>4476.1292000000003</v>
      </c>
      <c r="E1398" s="1860">
        <v>4955.4373900000001</v>
      </c>
      <c r="F1398">
        <v>36.110010000000003</v>
      </c>
      <c r="G1398" s="1861">
        <v>3784.51</v>
      </c>
      <c r="I1398">
        <v>0.76180999999999999</v>
      </c>
      <c r="J1398">
        <v>1.10253</v>
      </c>
      <c r="K1398">
        <v>1.18275</v>
      </c>
      <c r="L1398">
        <v>1.3093999999999999</v>
      </c>
      <c r="M1398">
        <v>9.5399999999999999E-3</v>
      </c>
      <c r="N1398">
        <v>1</v>
      </c>
      <c r="P1398">
        <v>1.3126500000000001</v>
      </c>
      <c r="Q1398">
        <v>0.90700000000000003</v>
      </c>
      <c r="R1398">
        <v>0.84548000000000001</v>
      </c>
      <c r="S1398">
        <v>0.76370000000000005</v>
      </c>
      <c r="T1398">
        <v>104.80500000000001</v>
      </c>
      <c r="U1398">
        <v>1</v>
      </c>
    </row>
    <row r="1399" spans="1:35" hidden="1" outlineLevel="1">
      <c r="A1399" s="8">
        <v>44127</v>
      </c>
      <c r="B1399" s="1860">
        <v>2871.6012700000001</v>
      </c>
      <c r="C1399" s="1860">
        <v>4166.9664000000002</v>
      </c>
      <c r="D1399" s="1860">
        <v>4469.9487900000004</v>
      </c>
      <c r="E1399" s="1860">
        <v>4925.9889300000004</v>
      </c>
      <c r="F1399">
        <v>36.025460000000002</v>
      </c>
      <c r="G1399" s="1861">
        <v>3776.73</v>
      </c>
      <c r="I1399">
        <v>0.76034000000000002</v>
      </c>
      <c r="J1399">
        <v>1.1033200000000001</v>
      </c>
      <c r="K1399">
        <v>1.1835500000000001</v>
      </c>
      <c r="L1399">
        <v>1.3043</v>
      </c>
      <c r="M1399">
        <v>9.5300000000000003E-3</v>
      </c>
      <c r="N1399">
        <v>1</v>
      </c>
      <c r="P1399">
        <v>1.3151999999999999</v>
      </c>
      <c r="Q1399">
        <v>0.90634999999999999</v>
      </c>
      <c r="R1399">
        <v>0.84491000000000005</v>
      </c>
      <c r="S1399">
        <v>0.76668999999999998</v>
      </c>
      <c r="T1399">
        <v>104.83499999999999</v>
      </c>
      <c r="U1399">
        <v>1</v>
      </c>
    </row>
    <row r="1400" spans="1:35" hidden="1" outlineLevel="1">
      <c r="A1400" s="8">
        <v>44128</v>
      </c>
      <c r="B1400" s="1860">
        <v>2876.1100900000001</v>
      </c>
      <c r="C1400" s="1860">
        <v>4173.5091300000004</v>
      </c>
      <c r="D1400" s="1860">
        <v>4476.9672399999999</v>
      </c>
      <c r="E1400" s="1860">
        <v>4933.72343</v>
      </c>
      <c r="F1400">
        <v>36.082030000000003</v>
      </c>
      <c r="G1400" s="1861">
        <v>3782.66</v>
      </c>
      <c r="I1400">
        <v>0.76034000000000002</v>
      </c>
      <c r="J1400">
        <v>1.1033200000000001</v>
      </c>
      <c r="K1400">
        <v>1.1835500000000001</v>
      </c>
      <c r="L1400">
        <v>1.3043</v>
      </c>
      <c r="M1400">
        <v>9.5300000000000003E-3</v>
      </c>
      <c r="N1400">
        <v>1</v>
      </c>
      <c r="P1400">
        <v>1.3151999999999999</v>
      </c>
      <c r="Q1400">
        <v>0.90634999999999999</v>
      </c>
      <c r="R1400">
        <v>0.84491000000000005</v>
      </c>
      <c r="S1400">
        <v>0.76668999999999998</v>
      </c>
      <c r="T1400">
        <v>104.83499999999999</v>
      </c>
      <c r="U1400">
        <v>1</v>
      </c>
    </row>
    <row r="1401" spans="1:35" hidden="1" outlineLevel="1">
      <c r="A1401" s="8">
        <v>44129</v>
      </c>
      <c r="B1401" s="1860">
        <v>2876.1100900000001</v>
      </c>
      <c r="C1401" s="1860">
        <v>4173.5091300000004</v>
      </c>
      <c r="D1401" s="1860">
        <v>4476.9672399999999</v>
      </c>
      <c r="E1401" s="1860">
        <v>4933.72343</v>
      </c>
      <c r="F1401">
        <v>36.082030000000003</v>
      </c>
      <c r="G1401" s="1861">
        <v>3782.66</v>
      </c>
      <c r="I1401">
        <v>0.76034000000000002</v>
      </c>
      <c r="J1401">
        <v>1.1033200000000001</v>
      </c>
      <c r="K1401">
        <v>1.1835500000000001</v>
      </c>
      <c r="L1401">
        <v>1.3043</v>
      </c>
      <c r="M1401">
        <v>9.5300000000000003E-3</v>
      </c>
      <c r="N1401">
        <v>1</v>
      </c>
      <c r="P1401">
        <v>1.3151999999999999</v>
      </c>
      <c r="Q1401">
        <v>0.90634999999999999</v>
      </c>
      <c r="R1401">
        <v>0.84491000000000005</v>
      </c>
      <c r="S1401">
        <v>0.76668999999999998</v>
      </c>
      <c r="T1401">
        <v>104.83499999999999</v>
      </c>
      <c r="U1401">
        <v>1</v>
      </c>
    </row>
    <row r="1402" spans="1:35" hidden="1" outlineLevel="1">
      <c r="A1402" s="8">
        <v>44130</v>
      </c>
      <c r="B1402" s="1860">
        <v>2862.5070900000001</v>
      </c>
      <c r="C1402" s="1860">
        <v>4169.1391999999996</v>
      </c>
      <c r="D1402" s="1860">
        <v>4470.1584499999999</v>
      </c>
      <c r="E1402" s="1860">
        <v>4926.1581100000003</v>
      </c>
      <c r="F1402">
        <v>36.071710000000003</v>
      </c>
      <c r="G1402" s="1861">
        <v>3782.66</v>
      </c>
      <c r="I1402">
        <v>0.75673999999999997</v>
      </c>
      <c r="J1402">
        <v>1.1021700000000001</v>
      </c>
      <c r="K1402">
        <v>1.1817500000000001</v>
      </c>
      <c r="L1402">
        <v>1.3023</v>
      </c>
      <c r="M1402">
        <v>9.5300000000000003E-3</v>
      </c>
      <c r="N1402">
        <v>1</v>
      </c>
      <c r="P1402">
        <v>1.32145</v>
      </c>
      <c r="Q1402">
        <v>0.9073</v>
      </c>
      <c r="R1402">
        <v>0.84619999999999995</v>
      </c>
      <c r="S1402">
        <v>0.76787000000000005</v>
      </c>
      <c r="T1402">
        <v>104.86499999999999</v>
      </c>
      <c r="U1402">
        <v>1</v>
      </c>
    </row>
    <row r="1403" spans="1:35" hidden="1" outlineLevel="1">
      <c r="A1403" s="8">
        <v>44131</v>
      </c>
      <c r="B1403" s="1860">
        <v>2897.72001</v>
      </c>
      <c r="C1403" s="1860">
        <v>4205.3934799999997</v>
      </c>
      <c r="D1403" s="1860">
        <v>4511.7098999999998</v>
      </c>
      <c r="E1403" s="1860">
        <v>4981.2586799999999</v>
      </c>
      <c r="F1403">
        <v>36.498539999999998</v>
      </c>
      <c r="G1403" s="1861">
        <v>3812.82</v>
      </c>
      <c r="I1403">
        <v>0.75999000000000005</v>
      </c>
      <c r="J1403">
        <v>1.1029599999999999</v>
      </c>
      <c r="K1403">
        <v>1.1833</v>
      </c>
      <c r="L1403">
        <v>1.3064499999999999</v>
      </c>
      <c r="M1403">
        <v>9.5700000000000004E-3</v>
      </c>
      <c r="N1403">
        <v>1</v>
      </c>
      <c r="P1403">
        <v>1.3158000000000001</v>
      </c>
      <c r="Q1403">
        <v>0.90664999999999996</v>
      </c>
      <c r="R1403">
        <v>0.84509000000000001</v>
      </c>
      <c r="S1403">
        <v>0.76543000000000005</v>
      </c>
      <c r="T1403">
        <v>104.465</v>
      </c>
      <c r="U1403">
        <v>1</v>
      </c>
    </row>
    <row r="1404" spans="1:35" hidden="1" outlineLevel="1">
      <c r="A1404" s="8">
        <v>44132</v>
      </c>
      <c r="B1404" s="1860">
        <v>2860.4256500000001</v>
      </c>
      <c r="C1404" s="1860">
        <v>4188.4467400000003</v>
      </c>
      <c r="D1404" s="1860">
        <v>4477.5917799999997</v>
      </c>
      <c r="E1404" s="1860">
        <v>4951.7749000000003</v>
      </c>
      <c r="F1404">
        <v>36.519190000000002</v>
      </c>
      <c r="G1404" s="1861">
        <v>3810.23</v>
      </c>
      <c r="I1404">
        <v>0.75072000000000005</v>
      </c>
      <c r="J1404">
        <v>1.0992599999999999</v>
      </c>
      <c r="K1404">
        <v>1.1751499999999999</v>
      </c>
      <c r="L1404">
        <v>1.2996000000000001</v>
      </c>
      <c r="M1404">
        <v>9.58E-3</v>
      </c>
      <c r="N1404">
        <v>1</v>
      </c>
      <c r="P1404">
        <v>1.33205</v>
      </c>
      <c r="Q1404">
        <v>0.90969999999999995</v>
      </c>
      <c r="R1404">
        <v>0.85094999999999998</v>
      </c>
      <c r="S1404">
        <v>0.76946000000000003</v>
      </c>
      <c r="T1404">
        <v>104.33499999999999</v>
      </c>
      <c r="U1404">
        <v>1</v>
      </c>
    </row>
    <row r="1405" spans="1:35" hidden="1" outlineLevel="1">
      <c r="A1405" s="8">
        <v>44133</v>
      </c>
      <c r="B1405" s="1860">
        <v>2874.0535599999998</v>
      </c>
      <c r="C1405" s="1860">
        <v>4189.3887299999997</v>
      </c>
      <c r="D1405" s="1860">
        <v>4478.18199</v>
      </c>
      <c r="E1405" s="1860">
        <v>4951.6419400000004</v>
      </c>
      <c r="F1405">
        <v>36.69191</v>
      </c>
      <c r="G1405" s="1861">
        <v>3841.46</v>
      </c>
      <c r="I1405">
        <v>0.74816000000000005</v>
      </c>
      <c r="J1405">
        <v>1.09057</v>
      </c>
      <c r="K1405">
        <v>1.1657500000000001</v>
      </c>
      <c r="L1405">
        <v>1.2889999999999999</v>
      </c>
      <c r="M1405">
        <v>9.5499999999999995E-3</v>
      </c>
      <c r="N1405">
        <v>1</v>
      </c>
      <c r="P1405">
        <v>1.3366</v>
      </c>
      <c r="Q1405">
        <v>0.91695000000000004</v>
      </c>
      <c r="R1405">
        <v>0.85780999999999996</v>
      </c>
      <c r="S1405">
        <v>0.77578999999999998</v>
      </c>
      <c r="T1405">
        <v>104.69499999999999</v>
      </c>
      <c r="U1405">
        <v>1</v>
      </c>
    </row>
    <row r="1406" spans="1:35" hidden="1" outlineLevel="1">
      <c r="A1406" s="8">
        <v>44134</v>
      </c>
      <c r="B1406" s="1860">
        <v>2887.11141</v>
      </c>
      <c r="C1406" s="1860">
        <v>4200.0218199999999</v>
      </c>
      <c r="D1406" s="1860">
        <v>4484.1250200000004</v>
      </c>
      <c r="E1406" s="1860">
        <v>4977.44229</v>
      </c>
      <c r="F1406">
        <v>36.823509999999999</v>
      </c>
      <c r="G1406" s="1861">
        <v>3849.53</v>
      </c>
      <c r="I1406">
        <v>0.74999000000000005</v>
      </c>
      <c r="J1406">
        <v>1.09104</v>
      </c>
      <c r="K1406">
        <v>1.1648499999999999</v>
      </c>
      <c r="L1406">
        <v>1.2929999999999999</v>
      </c>
      <c r="M1406">
        <v>9.5600000000000008E-3</v>
      </c>
      <c r="N1406">
        <v>1</v>
      </c>
      <c r="P1406">
        <v>1.33335</v>
      </c>
      <c r="Q1406">
        <v>0.91654999999999998</v>
      </c>
      <c r="R1406">
        <v>0.85846999999999996</v>
      </c>
      <c r="S1406">
        <v>0.77339000000000002</v>
      </c>
      <c r="T1406">
        <v>104.54</v>
      </c>
      <c r="U1406">
        <v>1</v>
      </c>
    </row>
    <row r="1407" spans="1:35" ht="15.75" hidden="1" outlineLevel="1" thickBot="1">
      <c r="A1407" s="1868">
        <v>44135</v>
      </c>
      <c r="B1407" s="1869">
        <v>2893.88382</v>
      </c>
      <c r="C1407" s="1869">
        <v>4209.8739800000003</v>
      </c>
      <c r="D1407" s="1869">
        <v>4494.6436100000001</v>
      </c>
      <c r="E1407" s="1869">
        <v>4989.1180800000002</v>
      </c>
      <c r="F1407" s="1870">
        <v>36.909889999999997</v>
      </c>
      <c r="G1407" s="1871">
        <v>3858.56</v>
      </c>
      <c r="H1407" s="1872"/>
      <c r="I1407" s="1870">
        <v>0.74999000000000005</v>
      </c>
      <c r="J1407" s="1870">
        <v>1.09104</v>
      </c>
      <c r="K1407" s="1870">
        <v>1.1648499999999999</v>
      </c>
      <c r="L1407" s="1870">
        <v>1.2929999999999999</v>
      </c>
      <c r="M1407" s="1870">
        <v>9.5600000000000008E-3</v>
      </c>
      <c r="N1407" s="1870">
        <v>1</v>
      </c>
      <c r="O1407" s="1872"/>
      <c r="P1407" s="1870">
        <v>1.33335</v>
      </c>
      <c r="Q1407" s="1870">
        <v>0.91654999999999998</v>
      </c>
      <c r="R1407" s="1870">
        <v>0.85846999999999996</v>
      </c>
      <c r="S1407" s="1870">
        <v>0.77339000000000002</v>
      </c>
      <c r="T1407" s="1870">
        <v>104.54</v>
      </c>
      <c r="U1407" s="1870">
        <v>1</v>
      </c>
      <c r="V1407" s="1872"/>
    </row>
    <row r="1408" spans="1:35" hidden="1" outlineLevel="1">
      <c r="A1408" s="8">
        <v>44136</v>
      </c>
      <c r="B1408" s="1860">
        <v>2893.88382</v>
      </c>
      <c r="C1408" s="1860">
        <v>4209.8739800000003</v>
      </c>
      <c r="D1408" s="1860">
        <v>4494.6436100000001</v>
      </c>
      <c r="E1408" s="1860">
        <v>4989.1180800000002</v>
      </c>
      <c r="F1408">
        <v>36.909889999999997</v>
      </c>
      <c r="G1408" s="1861">
        <v>3858.56</v>
      </c>
      <c r="I1408">
        <v>0.74999000000000005</v>
      </c>
      <c r="J1408">
        <v>1.09104</v>
      </c>
      <c r="K1408">
        <v>1.1648499999999999</v>
      </c>
      <c r="L1408">
        <v>1.2929999999999999</v>
      </c>
      <c r="M1408">
        <v>9.5600000000000008E-3</v>
      </c>
      <c r="N1408">
        <v>1</v>
      </c>
      <c r="P1408">
        <v>1.33335</v>
      </c>
      <c r="Q1408">
        <v>0.91654999999999998</v>
      </c>
      <c r="R1408">
        <v>0.85846999999999996</v>
      </c>
      <c r="S1408">
        <v>0.77339000000000002</v>
      </c>
      <c r="T1408">
        <v>104.54</v>
      </c>
      <c r="U1408">
        <v>1</v>
      </c>
    </row>
    <row r="1409" spans="1:35" hidden="1" outlineLevel="1">
      <c r="A1409" s="8">
        <v>44137</v>
      </c>
      <c r="B1409" s="1860">
        <v>2906.41759</v>
      </c>
      <c r="C1409" s="1860">
        <v>4196.5957900000003</v>
      </c>
      <c r="D1409" s="1860">
        <v>4490.0133400000004</v>
      </c>
      <c r="E1409" s="1860">
        <v>4981.4009599999999</v>
      </c>
      <c r="F1409">
        <v>36.81832</v>
      </c>
      <c r="G1409" s="1861">
        <v>3858.56</v>
      </c>
      <c r="I1409">
        <v>0.75322999999999996</v>
      </c>
      <c r="J1409">
        <v>1.0875999999999999</v>
      </c>
      <c r="K1409">
        <v>1.1636500000000001</v>
      </c>
      <c r="L1409">
        <v>1.2909999999999999</v>
      </c>
      <c r="M1409">
        <v>9.5399999999999999E-3</v>
      </c>
      <c r="N1409">
        <v>1</v>
      </c>
      <c r="P1409">
        <v>1.3275999999999999</v>
      </c>
      <c r="Q1409">
        <v>0.91944999999999999</v>
      </c>
      <c r="R1409">
        <v>0.85936000000000001</v>
      </c>
      <c r="S1409">
        <v>0.77459</v>
      </c>
      <c r="T1409">
        <v>104.8</v>
      </c>
      <c r="U1409">
        <v>1</v>
      </c>
    </row>
    <row r="1410" spans="1:35" hidden="1" outlineLevel="1">
      <c r="A1410" s="8">
        <v>44138</v>
      </c>
      <c r="B1410" s="1860">
        <v>2943.89257</v>
      </c>
      <c r="C1410" s="1860">
        <v>4229.2541199999996</v>
      </c>
      <c r="D1410" s="1860">
        <v>4526.2838000000002</v>
      </c>
      <c r="E1410" s="1860">
        <v>5043.1379200000001</v>
      </c>
      <c r="F1410">
        <v>36.901060000000001</v>
      </c>
      <c r="G1410" s="1861">
        <v>3858.56</v>
      </c>
      <c r="I1410">
        <v>0.76295000000000002</v>
      </c>
      <c r="J1410">
        <v>1.0960700000000001</v>
      </c>
      <c r="K1410">
        <v>1.1730499999999999</v>
      </c>
      <c r="L1410">
        <v>1.3069999999999999</v>
      </c>
      <c r="M1410">
        <v>9.5600000000000008E-3</v>
      </c>
      <c r="N1410">
        <v>1</v>
      </c>
      <c r="P1410">
        <v>1.3107</v>
      </c>
      <c r="Q1410">
        <v>0.91234999999999999</v>
      </c>
      <c r="R1410">
        <v>0.85246999999999995</v>
      </c>
      <c r="S1410">
        <v>0.76510999999999996</v>
      </c>
      <c r="T1410">
        <v>104.565</v>
      </c>
      <c r="U1410">
        <v>1</v>
      </c>
    </row>
    <row r="1411" spans="1:35" hidden="1" outlineLevel="1">
      <c r="A1411" s="8">
        <v>44139</v>
      </c>
      <c r="B1411" s="1860">
        <v>2910.99775</v>
      </c>
      <c r="C1411" s="1860">
        <v>4192.6092399999998</v>
      </c>
      <c r="D1411" s="1860">
        <v>4476.6864299999997</v>
      </c>
      <c r="E1411" s="1860">
        <v>4966.2791999999999</v>
      </c>
      <c r="F1411">
        <v>36.593290000000003</v>
      </c>
      <c r="G1411" s="1861">
        <v>3823.45</v>
      </c>
      <c r="I1411">
        <v>0.76134999999999997</v>
      </c>
      <c r="J1411">
        <v>1.0965499999999999</v>
      </c>
      <c r="K1411">
        <v>1.1708499999999999</v>
      </c>
      <c r="L1411">
        <v>1.2988999999999999</v>
      </c>
      <c r="M1411">
        <v>9.5700000000000004E-3</v>
      </c>
      <c r="N1411">
        <v>1</v>
      </c>
      <c r="P1411">
        <v>1.31345</v>
      </c>
      <c r="Q1411">
        <v>0.91195000000000004</v>
      </c>
      <c r="R1411">
        <v>0.85407999999999995</v>
      </c>
      <c r="S1411">
        <v>0.76988000000000001</v>
      </c>
      <c r="T1411">
        <v>104.485</v>
      </c>
      <c r="U1411">
        <v>1</v>
      </c>
    </row>
    <row r="1412" spans="1:35" hidden="1" outlineLevel="1">
      <c r="A1412" s="8">
        <v>44140</v>
      </c>
      <c r="B1412" s="1860">
        <v>2921.4825599999999</v>
      </c>
      <c r="C1412" s="1860">
        <v>4201.2028200000004</v>
      </c>
      <c r="D1412" s="1860">
        <v>4502.5022900000004</v>
      </c>
      <c r="E1412" s="1860">
        <v>4991.5281400000003</v>
      </c>
      <c r="F1412">
        <v>36.728859999999997</v>
      </c>
      <c r="G1412" s="1861">
        <v>3807.13</v>
      </c>
      <c r="I1412">
        <v>0.76737</v>
      </c>
      <c r="J1412">
        <v>1.1034999999999999</v>
      </c>
      <c r="K1412">
        <v>1.18265</v>
      </c>
      <c r="L1412">
        <v>1.3110999999999999</v>
      </c>
      <c r="M1412">
        <v>9.6399999999999993E-3</v>
      </c>
      <c r="N1412">
        <v>1</v>
      </c>
      <c r="P1412">
        <v>1.30315</v>
      </c>
      <c r="Q1412">
        <v>0.90620000000000001</v>
      </c>
      <c r="R1412">
        <v>0.84555000000000002</v>
      </c>
      <c r="S1412">
        <v>0.76271</v>
      </c>
      <c r="T1412">
        <v>103.655</v>
      </c>
      <c r="U1412">
        <v>1</v>
      </c>
    </row>
    <row r="1413" spans="1:35" s="1857" customFormat="1" hidden="1" outlineLevel="1">
      <c r="A1413" s="8">
        <v>44141</v>
      </c>
      <c r="B1413" s="1860">
        <v>2888.5801900000001</v>
      </c>
      <c r="C1413" s="1860">
        <v>4185.04475</v>
      </c>
      <c r="D1413" s="1860">
        <v>4469.3480499999996</v>
      </c>
      <c r="E1413" s="1860">
        <v>4947.3531899999998</v>
      </c>
      <c r="F1413">
        <v>36.434049999999999</v>
      </c>
      <c r="G1413" s="1861">
        <v>3763.82</v>
      </c>
      <c r="I1413">
        <v>0.76744999999999997</v>
      </c>
      <c r="J1413">
        <v>1.11191</v>
      </c>
      <c r="K1413">
        <v>1.1874499999999999</v>
      </c>
      <c r="L1413">
        <v>1.3144499999999999</v>
      </c>
      <c r="M1413">
        <v>9.6799999999999994E-3</v>
      </c>
      <c r="N1413">
        <v>1</v>
      </c>
      <c r="P1413">
        <v>1.3029999999999999</v>
      </c>
      <c r="Q1413">
        <v>0.89934999999999998</v>
      </c>
      <c r="R1413">
        <v>0.84214</v>
      </c>
      <c r="S1413">
        <v>0.76076999999999995</v>
      </c>
      <c r="T1413">
        <v>103.30500000000001</v>
      </c>
      <c r="U1413">
        <v>1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</row>
    <row r="1414" spans="1:35" s="1857" customFormat="1" hidden="1" outlineLevel="1">
      <c r="A1414" s="8">
        <v>44142</v>
      </c>
      <c r="B1414" s="1860">
        <v>2868.9101999999998</v>
      </c>
      <c r="C1414" s="1860">
        <v>4156.5463900000004</v>
      </c>
      <c r="D1414" s="1860">
        <v>4438.9137099999998</v>
      </c>
      <c r="E1414" s="1860">
        <v>4913.6638400000002</v>
      </c>
      <c r="F1414">
        <v>36.185949999999998</v>
      </c>
      <c r="G1414" s="1861">
        <v>3738.19</v>
      </c>
      <c r="I1414">
        <v>0.76744999999999997</v>
      </c>
      <c r="J1414">
        <v>1.11191</v>
      </c>
      <c r="K1414">
        <v>1.1874499999999999</v>
      </c>
      <c r="L1414">
        <v>1.3144499999999999</v>
      </c>
      <c r="M1414">
        <v>9.6799999999999994E-3</v>
      </c>
      <c r="N1414">
        <v>1</v>
      </c>
      <c r="P1414">
        <v>1.3029999999999999</v>
      </c>
      <c r="Q1414">
        <v>0.89934999999999998</v>
      </c>
      <c r="R1414">
        <v>0.84214</v>
      </c>
      <c r="S1414">
        <v>0.76076999999999995</v>
      </c>
      <c r="T1414">
        <v>103.30500000000001</v>
      </c>
      <c r="U1414">
        <v>1</v>
      </c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</row>
    <row r="1415" spans="1:35" s="1857" customFormat="1" hidden="1" outlineLevel="1">
      <c r="A1415" s="8">
        <v>44143</v>
      </c>
      <c r="B1415" s="1860">
        <v>2868.9101999999998</v>
      </c>
      <c r="C1415" s="1860">
        <v>4156.5463900000004</v>
      </c>
      <c r="D1415" s="1860">
        <v>4438.9137099999998</v>
      </c>
      <c r="E1415" s="1860">
        <v>4913.6638400000002</v>
      </c>
      <c r="F1415">
        <v>36.185949999999998</v>
      </c>
      <c r="G1415" s="1861">
        <v>3738.19</v>
      </c>
      <c r="I1415">
        <v>0.76744999999999997</v>
      </c>
      <c r="J1415">
        <v>1.11191</v>
      </c>
      <c r="K1415">
        <v>1.1874499999999999</v>
      </c>
      <c r="L1415">
        <v>1.3144499999999999</v>
      </c>
      <c r="M1415">
        <v>9.6799999999999994E-3</v>
      </c>
      <c r="N1415">
        <v>1</v>
      </c>
      <c r="P1415">
        <v>1.3029999999999999</v>
      </c>
      <c r="Q1415">
        <v>0.89934999999999998</v>
      </c>
      <c r="R1415">
        <v>0.84214</v>
      </c>
      <c r="S1415">
        <v>0.76076999999999995</v>
      </c>
      <c r="T1415">
        <v>103.30500000000001</v>
      </c>
      <c r="U1415">
        <v>1</v>
      </c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</row>
    <row r="1416" spans="1:35" s="1857" customFormat="1" hidden="1" outlineLevel="1">
      <c r="A1416" s="8">
        <v>44144</v>
      </c>
      <c r="B1416" s="1860">
        <v>2882.1819500000001</v>
      </c>
      <c r="C1416" s="1860">
        <v>4101.8159800000003</v>
      </c>
      <c r="D1416" s="1860">
        <v>4420.0358500000002</v>
      </c>
      <c r="E1416" s="1860">
        <v>4914.9722099999999</v>
      </c>
      <c r="F1416">
        <v>35.461649999999999</v>
      </c>
      <c r="G1416" s="1861">
        <v>3738.19</v>
      </c>
      <c r="I1416">
        <v>0.77100999999999997</v>
      </c>
      <c r="J1416">
        <v>1.09727</v>
      </c>
      <c r="K1416">
        <v>1.1823999999999999</v>
      </c>
      <c r="L1416">
        <v>1.3148</v>
      </c>
      <c r="M1416">
        <v>9.4800000000000006E-3</v>
      </c>
      <c r="N1416">
        <v>1</v>
      </c>
      <c r="P1416">
        <v>1.2969999999999999</v>
      </c>
      <c r="Q1416">
        <v>0.91134999999999999</v>
      </c>
      <c r="R1416">
        <v>0.84572999999999998</v>
      </c>
      <c r="S1416">
        <v>0.76056999999999997</v>
      </c>
      <c r="T1416">
        <v>105.41500000000001</v>
      </c>
      <c r="U1416">
        <v>1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</row>
    <row r="1417" spans="1:35" s="1857" customFormat="1" hidden="1" outlineLevel="1">
      <c r="A1417" s="8">
        <v>44145</v>
      </c>
      <c r="B1417" s="1860">
        <v>2801.6059</v>
      </c>
      <c r="C1417" s="1860">
        <v>3992.9365299999999</v>
      </c>
      <c r="D1417" s="1860">
        <v>4309.9315999999999</v>
      </c>
      <c r="E1417" s="1860">
        <v>4830.4195200000004</v>
      </c>
      <c r="F1417">
        <v>34.65757</v>
      </c>
      <c r="G1417" s="1861">
        <v>3646.15</v>
      </c>
      <c r="I1417">
        <v>0.76837</v>
      </c>
      <c r="J1417">
        <v>1.09511</v>
      </c>
      <c r="K1417">
        <v>1.18205</v>
      </c>
      <c r="L1417">
        <v>1.3248</v>
      </c>
      <c r="M1417">
        <v>9.4999999999999998E-3</v>
      </c>
      <c r="N1417">
        <v>1</v>
      </c>
      <c r="P1417">
        <v>1.30145</v>
      </c>
      <c r="Q1417">
        <v>0.91315000000000002</v>
      </c>
      <c r="R1417">
        <v>0.84597999999999995</v>
      </c>
      <c r="S1417">
        <v>0.75483</v>
      </c>
      <c r="T1417">
        <v>105.205</v>
      </c>
      <c r="U1417">
        <v>1</v>
      </c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</row>
    <row r="1418" spans="1:35" s="1857" customFormat="1" hidden="1" outlineLevel="1">
      <c r="A1418" s="8">
        <v>44146</v>
      </c>
      <c r="B1418" s="1860">
        <v>2793.0374900000002</v>
      </c>
      <c r="C1418" s="1860">
        <v>3975.4968600000002</v>
      </c>
      <c r="D1418" s="1860">
        <v>4292.2578999999996</v>
      </c>
      <c r="E1418" s="1860">
        <v>4817.3823199999997</v>
      </c>
      <c r="F1418">
        <v>34.559310000000004</v>
      </c>
      <c r="G1418" s="1861">
        <v>3650.5</v>
      </c>
      <c r="I1418">
        <v>0.76510999999999996</v>
      </c>
      <c r="J1418">
        <v>1.0890200000000001</v>
      </c>
      <c r="K1418">
        <v>1.1758</v>
      </c>
      <c r="L1418">
        <v>1.31965</v>
      </c>
      <c r="M1418">
        <v>9.4599999999999997E-3</v>
      </c>
      <c r="N1418">
        <v>1</v>
      </c>
      <c r="P1418">
        <v>1.3069999999999999</v>
      </c>
      <c r="Q1418">
        <v>0.91825000000000001</v>
      </c>
      <c r="R1418">
        <v>0.85048000000000001</v>
      </c>
      <c r="S1418">
        <v>0.75777000000000005</v>
      </c>
      <c r="T1418">
        <v>105.63</v>
      </c>
      <c r="U1418">
        <v>1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</row>
    <row r="1419" spans="1:35" s="1857" customFormat="1" hidden="1" outlineLevel="1">
      <c r="A1419" s="8">
        <v>44147</v>
      </c>
      <c r="B1419" s="1860">
        <v>2782.9235699999999</v>
      </c>
      <c r="C1419" s="1860">
        <v>3994.2009899999998</v>
      </c>
      <c r="D1419" s="1860">
        <v>4311.4230200000002</v>
      </c>
      <c r="E1419" s="1860">
        <v>4793.4715500000002</v>
      </c>
      <c r="F1419">
        <v>34.723669999999998</v>
      </c>
      <c r="G1419" s="1861">
        <v>3650.5</v>
      </c>
      <c r="I1419">
        <v>0.76234000000000002</v>
      </c>
      <c r="J1419">
        <v>1.09415</v>
      </c>
      <c r="K1419">
        <v>1.1810499999999999</v>
      </c>
      <c r="L1419">
        <v>1.3130999999999999</v>
      </c>
      <c r="M1419">
        <v>9.5099999999999994E-3</v>
      </c>
      <c r="N1419">
        <v>1</v>
      </c>
      <c r="P1419">
        <v>1.31175</v>
      </c>
      <c r="Q1419">
        <v>0.91395000000000004</v>
      </c>
      <c r="R1419">
        <v>0.84670000000000001</v>
      </c>
      <c r="S1419">
        <v>0.76154999999999995</v>
      </c>
      <c r="T1419">
        <v>105.13</v>
      </c>
      <c r="U1419">
        <v>1</v>
      </c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</row>
    <row r="1420" spans="1:35" s="1857" customFormat="1" hidden="1" outlineLevel="1">
      <c r="A1420" s="8">
        <v>44148</v>
      </c>
      <c r="B1420" s="1860">
        <v>2769.9472000000001</v>
      </c>
      <c r="C1420" s="1860">
        <v>3990.3912399999999</v>
      </c>
      <c r="D1420" s="1860">
        <v>4309.8320400000002</v>
      </c>
      <c r="E1420" s="1860">
        <v>4798.7901400000001</v>
      </c>
      <c r="F1420">
        <v>34.845370000000003</v>
      </c>
      <c r="G1420" s="1861">
        <v>3646.22</v>
      </c>
      <c r="I1420">
        <v>0.75966999999999996</v>
      </c>
      <c r="J1420">
        <v>1.09439</v>
      </c>
      <c r="K1420">
        <v>1.1819999999999999</v>
      </c>
      <c r="L1420">
        <v>1.3161</v>
      </c>
      <c r="M1420">
        <v>9.5499999999999995E-3</v>
      </c>
      <c r="N1420">
        <v>1</v>
      </c>
      <c r="P1420">
        <v>1.3163499999999999</v>
      </c>
      <c r="Q1420">
        <v>0.91374999999999995</v>
      </c>
      <c r="R1420">
        <v>0.84601999999999999</v>
      </c>
      <c r="S1420">
        <v>0.75982000000000005</v>
      </c>
      <c r="T1420">
        <v>104.64</v>
      </c>
      <c r="U1420">
        <v>1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</row>
    <row r="1421" spans="1:35" s="1857" customFormat="1" hidden="1" outlineLevel="1">
      <c r="A1421" s="8">
        <v>44149</v>
      </c>
      <c r="B1421" s="1860">
        <v>2765.1840299999999</v>
      </c>
      <c r="C1421" s="1860">
        <v>3983.5294100000001</v>
      </c>
      <c r="D1421" s="1860">
        <v>4302.4209000000001</v>
      </c>
      <c r="E1421" s="1860">
        <v>4790.5381900000002</v>
      </c>
      <c r="F1421">
        <v>34.785449999999997</v>
      </c>
      <c r="G1421" s="1861">
        <v>3639.95</v>
      </c>
      <c r="I1421">
        <v>0.75966999999999996</v>
      </c>
      <c r="J1421">
        <v>1.09439</v>
      </c>
      <c r="K1421">
        <v>1.1819999999999999</v>
      </c>
      <c r="L1421">
        <v>1.3161</v>
      </c>
      <c r="M1421">
        <v>9.5499999999999995E-3</v>
      </c>
      <c r="N1421">
        <v>1</v>
      </c>
      <c r="P1421">
        <v>1.3163499999999999</v>
      </c>
      <c r="Q1421">
        <v>0.91374999999999995</v>
      </c>
      <c r="R1421">
        <v>0.84601999999999999</v>
      </c>
      <c r="S1421">
        <v>0.75982000000000005</v>
      </c>
      <c r="T1421">
        <v>104.64</v>
      </c>
      <c r="U1421">
        <v>1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</row>
    <row r="1422" spans="1:35" s="1857" customFormat="1" hidden="1" outlineLevel="1">
      <c r="A1422" s="8">
        <v>44150</v>
      </c>
      <c r="B1422" s="1860">
        <v>2765.1840299999999</v>
      </c>
      <c r="C1422" s="1860">
        <v>3983.5294100000001</v>
      </c>
      <c r="D1422" s="1860">
        <v>4302.4209000000001</v>
      </c>
      <c r="E1422" s="1860">
        <v>4790.5381900000002</v>
      </c>
      <c r="F1422">
        <v>34.785449999999997</v>
      </c>
      <c r="G1422" s="1861">
        <v>3639.95</v>
      </c>
      <c r="I1422">
        <v>0.75966999999999996</v>
      </c>
      <c r="J1422">
        <v>1.09439</v>
      </c>
      <c r="K1422">
        <v>1.1819999999999999</v>
      </c>
      <c r="L1422">
        <v>1.3161</v>
      </c>
      <c r="M1422">
        <v>9.5499999999999995E-3</v>
      </c>
      <c r="N1422">
        <v>1</v>
      </c>
      <c r="P1422">
        <v>1.3163499999999999</v>
      </c>
      <c r="Q1422">
        <v>0.91374999999999995</v>
      </c>
      <c r="R1422">
        <v>0.84601999999999999</v>
      </c>
      <c r="S1422">
        <v>0.75982000000000005</v>
      </c>
      <c r="T1422">
        <v>104.64</v>
      </c>
      <c r="U1422">
        <v>1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</row>
    <row r="1423" spans="1:35" s="1857" customFormat="1" hidden="1" outlineLevel="1">
      <c r="A1423" s="8">
        <v>44151</v>
      </c>
      <c r="B1423" s="1860">
        <v>2784.5394700000002</v>
      </c>
      <c r="C1423" s="1860">
        <v>3989.2048799999998</v>
      </c>
      <c r="D1423" s="1860">
        <v>4308.4268099999999</v>
      </c>
      <c r="E1423" s="1860">
        <v>4796.36211</v>
      </c>
      <c r="F1423">
        <v>34.800420000000003</v>
      </c>
      <c r="G1423" s="1861">
        <v>3639.95</v>
      </c>
      <c r="I1423">
        <v>0.76498999999999995</v>
      </c>
      <c r="J1423">
        <v>1.09595</v>
      </c>
      <c r="K1423">
        <v>1.1836500000000001</v>
      </c>
      <c r="L1423">
        <v>1.3177000000000001</v>
      </c>
      <c r="M1423">
        <v>9.5600000000000008E-3</v>
      </c>
      <c r="N1423">
        <v>1</v>
      </c>
      <c r="P1423">
        <v>1.3071999999999999</v>
      </c>
      <c r="Q1423">
        <v>0.91244999999999998</v>
      </c>
      <c r="R1423">
        <v>0.84484000000000004</v>
      </c>
      <c r="S1423">
        <v>0.75888999999999995</v>
      </c>
      <c r="T1423">
        <v>104.595</v>
      </c>
      <c r="U1423">
        <v>1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</row>
    <row r="1424" spans="1:35" s="1857" customFormat="1" hidden="1" outlineLevel="1">
      <c r="A1424" s="8">
        <v>44152</v>
      </c>
      <c r="B1424" s="1860">
        <v>2779.54259</v>
      </c>
      <c r="C1424" s="1860">
        <v>3997.3094599999999</v>
      </c>
      <c r="D1424" s="1860">
        <v>4322.6226200000001</v>
      </c>
      <c r="E1424" s="1860">
        <v>4826.2097000000003</v>
      </c>
      <c r="F1424">
        <v>34.927309999999999</v>
      </c>
      <c r="G1424" s="1861">
        <v>3639.95</v>
      </c>
      <c r="I1424">
        <v>0.76361999999999997</v>
      </c>
      <c r="J1424">
        <v>1.0981700000000001</v>
      </c>
      <c r="K1424">
        <v>1.1875500000000001</v>
      </c>
      <c r="L1424">
        <v>1.3259000000000001</v>
      </c>
      <c r="M1424">
        <v>9.5899999999999996E-3</v>
      </c>
      <c r="N1424">
        <v>1</v>
      </c>
      <c r="P1424">
        <v>1.30955</v>
      </c>
      <c r="Q1424">
        <v>0.91059999999999997</v>
      </c>
      <c r="R1424">
        <v>0.84206000000000003</v>
      </c>
      <c r="S1424">
        <v>0.75419999999999998</v>
      </c>
      <c r="T1424">
        <v>104.215</v>
      </c>
      <c r="U1424">
        <v>1</v>
      </c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</row>
    <row r="1425" spans="1:35" s="1857" customFormat="1" hidden="1" outlineLevel="1">
      <c r="A1425" s="8">
        <v>44153</v>
      </c>
      <c r="B1425" s="1860">
        <v>2782.1751100000001</v>
      </c>
      <c r="C1425" s="1860">
        <v>3997.3499000000002</v>
      </c>
      <c r="D1425" s="1860">
        <v>4317.15164</v>
      </c>
      <c r="E1425" s="1860">
        <v>4835.8932500000001</v>
      </c>
      <c r="F1425">
        <v>35.065010000000001</v>
      </c>
      <c r="G1425" s="1861">
        <v>3635.19</v>
      </c>
      <c r="I1425">
        <v>0.76534000000000002</v>
      </c>
      <c r="J1425">
        <v>1.09962</v>
      </c>
      <c r="K1425">
        <v>1.1876</v>
      </c>
      <c r="L1425">
        <v>1.3303</v>
      </c>
      <c r="M1425">
        <v>9.6399999999999993E-3</v>
      </c>
      <c r="N1425">
        <v>1</v>
      </c>
      <c r="P1425">
        <v>1.3066</v>
      </c>
      <c r="Q1425">
        <v>0.90939999999999999</v>
      </c>
      <c r="R1425">
        <v>0.84202999999999995</v>
      </c>
      <c r="S1425">
        <v>0.75170999999999999</v>
      </c>
      <c r="T1425">
        <v>103.67</v>
      </c>
      <c r="U1425">
        <v>1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</row>
    <row r="1426" spans="1:35" s="1857" customFormat="1" hidden="1" outlineLevel="1">
      <c r="A1426" s="8">
        <v>44154</v>
      </c>
      <c r="B1426" s="1860">
        <v>2787.2927300000001</v>
      </c>
      <c r="C1426" s="1860">
        <v>3999.2654299999999</v>
      </c>
      <c r="D1426" s="1860">
        <v>4318.9123200000004</v>
      </c>
      <c r="E1426" s="1860">
        <v>4823.3933699999998</v>
      </c>
      <c r="F1426">
        <v>35.109769999999997</v>
      </c>
      <c r="G1426" s="1861">
        <v>3647.73</v>
      </c>
      <c r="I1426">
        <v>0.76410999999999996</v>
      </c>
      <c r="J1426">
        <v>1.0963700000000001</v>
      </c>
      <c r="K1426">
        <v>1.1839999999999999</v>
      </c>
      <c r="L1426">
        <v>1.3223</v>
      </c>
      <c r="M1426">
        <v>9.6200000000000001E-3</v>
      </c>
      <c r="N1426">
        <v>1</v>
      </c>
      <c r="P1426">
        <v>1.3087</v>
      </c>
      <c r="Q1426">
        <v>0.91210000000000002</v>
      </c>
      <c r="R1426">
        <v>0.84458999999999995</v>
      </c>
      <c r="S1426">
        <v>0.75624999999999998</v>
      </c>
      <c r="T1426">
        <v>103.895</v>
      </c>
      <c r="U1426">
        <v>1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</row>
    <row r="1427" spans="1:35" s="1857" customFormat="1" hidden="1" outlineLevel="1">
      <c r="A1427" s="8">
        <v>44155</v>
      </c>
      <c r="B1427" s="1860">
        <v>2791.1835599999999</v>
      </c>
      <c r="C1427" s="1860">
        <v>4001.2067999999999</v>
      </c>
      <c r="D1427" s="1860">
        <v>4323.2723400000004</v>
      </c>
      <c r="E1427" s="1860">
        <v>4845.9017700000004</v>
      </c>
      <c r="F1427">
        <v>35.130760000000002</v>
      </c>
      <c r="G1427" s="1861">
        <v>3647.1</v>
      </c>
      <c r="I1427">
        <v>0.76531000000000005</v>
      </c>
      <c r="J1427">
        <v>1.0970899999999999</v>
      </c>
      <c r="K1427">
        <v>1.1854</v>
      </c>
      <c r="L1427">
        <v>1.3287</v>
      </c>
      <c r="M1427">
        <v>9.6299999999999997E-3</v>
      </c>
      <c r="N1427">
        <v>1</v>
      </c>
      <c r="P1427">
        <v>1.3066500000000001</v>
      </c>
      <c r="Q1427">
        <v>0.91149999999999998</v>
      </c>
      <c r="R1427">
        <v>0.84358999999999995</v>
      </c>
      <c r="S1427">
        <v>0.75261</v>
      </c>
      <c r="T1427">
        <v>103.815</v>
      </c>
      <c r="U1427">
        <v>1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</row>
    <row r="1428" spans="1:35" s="1857" customFormat="1" hidden="1" outlineLevel="1">
      <c r="A1428" s="8">
        <v>44156</v>
      </c>
      <c r="B1428" s="1860">
        <v>2793.3264399999998</v>
      </c>
      <c r="C1428" s="1860">
        <v>4004.2786599999999</v>
      </c>
      <c r="D1428" s="1860">
        <v>4326.5914599999996</v>
      </c>
      <c r="E1428" s="1860">
        <v>4849.6221299999997</v>
      </c>
      <c r="F1428">
        <v>35.157730000000001</v>
      </c>
      <c r="G1428" s="1861">
        <v>3649.9</v>
      </c>
      <c r="I1428">
        <v>0.76531000000000005</v>
      </c>
      <c r="J1428">
        <v>1.0970899999999999</v>
      </c>
      <c r="K1428">
        <v>1.1854</v>
      </c>
      <c r="L1428">
        <v>1.3287</v>
      </c>
      <c r="M1428">
        <v>9.6299999999999997E-3</v>
      </c>
      <c r="N1428">
        <v>1</v>
      </c>
      <c r="P1428">
        <v>1.3066500000000001</v>
      </c>
      <c r="Q1428">
        <v>0.91149999999999998</v>
      </c>
      <c r="R1428">
        <v>0.84358999999999995</v>
      </c>
      <c r="S1428">
        <v>0.75261</v>
      </c>
      <c r="T1428">
        <v>103.815</v>
      </c>
      <c r="U1428">
        <v>1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</row>
    <row r="1429" spans="1:35" hidden="1" outlineLevel="1">
      <c r="A1429" s="8">
        <v>44157</v>
      </c>
      <c r="B1429" s="1860">
        <v>2793.3264399999998</v>
      </c>
      <c r="C1429" s="1860">
        <v>4004.2786599999999</v>
      </c>
      <c r="D1429" s="1860">
        <v>4326.5914599999996</v>
      </c>
      <c r="E1429" s="1860">
        <v>4849.6221299999997</v>
      </c>
      <c r="F1429">
        <v>35.157730000000001</v>
      </c>
      <c r="G1429" s="1861">
        <v>3649.9</v>
      </c>
      <c r="I1429">
        <v>0.76531000000000005</v>
      </c>
      <c r="J1429">
        <v>1.0970899999999999</v>
      </c>
      <c r="K1429">
        <v>1.1854</v>
      </c>
      <c r="L1429">
        <v>1.3287</v>
      </c>
      <c r="M1429">
        <v>9.6299999999999997E-3</v>
      </c>
      <c r="N1429">
        <v>1</v>
      </c>
      <c r="P1429">
        <v>1.3066500000000001</v>
      </c>
      <c r="Q1429">
        <v>0.91149999999999998</v>
      </c>
      <c r="R1429">
        <v>0.84358999999999995</v>
      </c>
      <c r="S1429">
        <v>0.75261</v>
      </c>
      <c r="T1429">
        <v>103.815</v>
      </c>
      <c r="U1429">
        <v>1</v>
      </c>
    </row>
    <row r="1430" spans="1:35" hidden="1" outlineLevel="1">
      <c r="A1430" s="8">
        <v>44158</v>
      </c>
      <c r="B1430" s="1860">
        <v>2788.0986899999998</v>
      </c>
      <c r="C1430" s="1860">
        <v>3995.0744300000001</v>
      </c>
      <c r="D1430" s="1860">
        <v>4313.6343100000004</v>
      </c>
      <c r="E1430" s="1860">
        <v>4852.54205</v>
      </c>
      <c r="F1430">
        <v>34.935630000000003</v>
      </c>
      <c r="G1430" s="1861">
        <v>3649.9</v>
      </c>
      <c r="I1430">
        <v>0.76388</v>
      </c>
      <c r="J1430">
        <v>1.09457</v>
      </c>
      <c r="K1430">
        <v>1.1818500000000001</v>
      </c>
      <c r="L1430">
        <v>1.3294999999999999</v>
      </c>
      <c r="M1430">
        <v>9.5700000000000004E-3</v>
      </c>
      <c r="N1430">
        <v>1</v>
      </c>
      <c r="P1430">
        <v>1.3090999999999999</v>
      </c>
      <c r="Q1430">
        <v>0.91359999999999997</v>
      </c>
      <c r="R1430">
        <v>0.84613000000000005</v>
      </c>
      <c r="S1430">
        <v>0.75216000000000005</v>
      </c>
      <c r="T1430">
        <v>104.47499999999999</v>
      </c>
      <c r="U1430">
        <v>1</v>
      </c>
    </row>
    <row r="1431" spans="1:35" hidden="1" outlineLevel="1">
      <c r="A1431" s="8">
        <v>44159</v>
      </c>
      <c r="B1431" s="1860">
        <v>2787.2640700000002</v>
      </c>
      <c r="C1431" s="1860">
        <v>3983.6833099999999</v>
      </c>
      <c r="D1431" s="1860">
        <v>4313.1842699999997</v>
      </c>
      <c r="E1431" s="1860">
        <v>4852.4912400000003</v>
      </c>
      <c r="F1431">
        <v>34.709969999999998</v>
      </c>
      <c r="G1431" s="1861">
        <v>3632.92</v>
      </c>
      <c r="I1431">
        <v>0.76722000000000001</v>
      </c>
      <c r="J1431">
        <v>1.0965499999999999</v>
      </c>
      <c r="K1431">
        <v>1.1872499999999999</v>
      </c>
      <c r="L1431">
        <v>1.3357000000000001</v>
      </c>
      <c r="M1431">
        <v>9.5499999999999995E-3</v>
      </c>
      <c r="N1431">
        <v>1</v>
      </c>
      <c r="P1431">
        <v>1.3033999999999999</v>
      </c>
      <c r="Q1431">
        <v>0.91195000000000004</v>
      </c>
      <c r="R1431">
        <v>0.84228000000000003</v>
      </c>
      <c r="S1431">
        <v>0.74866999999999995</v>
      </c>
      <c r="T1431">
        <v>104.66500000000001</v>
      </c>
      <c r="U1431">
        <v>1</v>
      </c>
    </row>
    <row r="1432" spans="1:35" hidden="1" outlineLevel="1">
      <c r="A1432" s="8">
        <v>44160</v>
      </c>
      <c r="B1432" s="1860">
        <v>2799.8001899999999</v>
      </c>
      <c r="C1432" s="1860">
        <v>4004.8807200000001</v>
      </c>
      <c r="D1432" s="1860">
        <v>4335.6377599999996</v>
      </c>
      <c r="E1432" s="1860">
        <v>4875.01944</v>
      </c>
      <c r="F1432">
        <v>34.893590000000003</v>
      </c>
      <c r="G1432" s="1861">
        <v>3643.24</v>
      </c>
      <c r="I1432">
        <v>0.76849000000000001</v>
      </c>
      <c r="J1432">
        <v>1.0992599999999999</v>
      </c>
      <c r="K1432">
        <v>1.1900500000000001</v>
      </c>
      <c r="L1432">
        <v>1.3381000000000001</v>
      </c>
      <c r="M1432">
        <v>9.5700000000000004E-3</v>
      </c>
      <c r="N1432">
        <v>1</v>
      </c>
      <c r="P1432">
        <v>1.30125</v>
      </c>
      <c r="Q1432">
        <v>0.90969999999999995</v>
      </c>
      <c r="R1432">
        <v>0.84030000000000005</v>
      </c>
      <c r="S1432">
        <v>0.74731999999999998</v>
      </c>
      <c r="T1432">
        <v>104.41</v>
      </c>
      <c r="U1432">
        <v>1</v>
      </c>
    </row>
    <row r="1433" spans="1:35" hidden="1" outlineLevel="1">
      <c r="A1433" s="8">
        <v>44161</v>
      </c>
      <c r="B1433" s="1860">
        <v>2781.0646700000002</v>
      </c>
      <c r="C1433" s="1860">
        <v>3991.16966</v>
      </c>
      <c r="D1433" s="1860">
        <v>4308.9881699999996</v>
      </c>
      <c r="E1433" s="1860">
        <v>4825.7988500000001</v>
      </c>
      <c r="F1433">
        <v>34.717970000000001</v>
      </c>
      <c r="G1433" s="1861">
        <v>3620.39</v>
      </c>
      <c r="I1433">
        <v>0.76815999999999995</v>
      </c>
      <c r="J1433">
        <v>1.1024099999999999</v>
      </c>
      <c r="K1433">
        <v>1.1901999999999999</v>
      </c>
      <c r="L1433">
        <v>1.3329500000000001</v>
      </c>
      <c r="M1433">
        <v>9.58E-3</v>
      </c>
      <c r="N1433">
        <v>1</v>
      </c>
      <c r="P1433">
        <v>1.3018000000000001</v>
      </c>
      <c r="Q1433">
        <v>0.90710000000000002</v>
      </c>
      <c r="R1433">
        <v>0.84018999999999999</v>
      </c>
      <c r="S1433">
        <v>0.75021000000000004</v>
      </c>
      <c r="T1433">
        <v>104.28</v>
      </c>
      <c r="U1433">
        <v>1</v>
      </c>
    </row>
    <row r="1434" spans="1:35" hidden="1" outlineLevel="1">
      <c r="A1434" s="8">
        <v>44162</v>
      </c>
      <c r="B1434" s="1860">
        <v>2790.1737800000001</v>
      </c>
      <c r="C1434" s="1860">
        <v>4001.3152</v>
      </c>
      <c r="D1434" s="1860">
        <v>4325.8229899999997</v>
      </c>
      <c r="E1434" s="1860">
        <v>4831.4104500000003</v>
      </c>
      <c r="F1434">
        <v>34.809759999999997</v>
      </c>
      <c r="G1434" s="1861">
        <v>3620.39</v>
      </c>
      <c r="I1434">
        <v>0.77068000000000003</v>
      </c>
      <c r="J1434">
        <v>1.10521</v>
      </c>
      <c r="K1434">
        <v>1.19485</v>
      </c>
      <c r="L1434">
        <v>1.3345</v>
      </c>
      <c r="M1434">
        <v>9.6100000000000005E-3</v>
      </c>
      <c r="N1434">
        <v>1</v>
      </c>
      <c r="P1434">
        <v>1.29755</v>
      </c>
      <c r="Q1434">
        <v>0.90480000000000005</v>
      </c>
      <c r="R1434">
        <v>0.83692</v>
      </c>
      <c r="S1434">
        <v>0.74934000000000001</v>
      </c>
      <c r="T1434">
        <v>104.005</v>
      </c>
      <c r="U1434">
        <v>1</v>
      </c>
    </row>
    <row r="1435" spans="1:35" hidden="1" outlineLevel="1">
      <c r="A1435" s="8">
        <v>44163</v>
      </c>
      <c r="B1435" s="1860">
        <v>2783.2761700000001</v>
      </c>
      <c r="C1435" s="1860">
        <v>3991.4235100000001</v>
      </c>
      <c r="D1435" s="1860">
        <v>4315.1290799999997</v>
      </c>
      <c r="E1435" s="1860">
        <v>4819.4666800000005</v>
      </c>
      <c r="F1435">
        <v>34.723709999999997</v>
      </c>
      <c r="G1435" s="1861">
        <v>3611.44</v>
      </c>
      <c r="I1435">
        <v>0.77068000000000003</v>
      </c>
      <c r="J1435">
        <v>1.10521</v>
      </c>
      <c r="K1435">
        <v>1.19485</v>
      </c>
      <c r="L1435">
        <v>1.3345</v>
      </c>
      <c r="M1435">
        <v>9.6100000000000005E-3</v>
      </c>
      <c r="N1435">
        <v>1</v>
      </c>
      <c r="P1435">
        <v>1.29755</v>
      </c>
      <c r="Q1435">
        <v>0.90480000000000005</v>
      </c>
      <c r="R1435">
        <v>0.83692</v>
      </c>
      <c r="S1435">
        <v>0.74934000000000001</v>
      </c>
      <c r="T1435">
        <v>104.005</v>
      </c>
      <c r="U1435">
        <v>1</v>
      </c>
    </row>
    <row r="1436" spans="1:35" hidden="1" outlineLevel="1">
      <c r="A1436" s="8">
        <v>44164</v>
      </c>
      <c r="B1436" s="1860">
        <v>2783.2761700000001</v>
      </c>
      <c r="C1436" s="1860">
        <v>3991.4235100000001</v>
      </c>
      <c r="D1436" s="1860">
        <v>4315.1290799999997</v>
      </c>
      <c r="E1436" s="1860">
        <v>4819.4666800000005</v>
      </c>
      <c r="F1436">
        <v>34.723709999999997</v>
      </c>
      <c r="G1436" s="1861">
        <v>3611.44</v>
      </c>
      <c r="I1436">
        <v>0.77068000000000003</v>
      </c>
      <c r="J1436">
        <v>1.10521</v>
      </c>
      <c r="K1436">
        <v>1.19485</v>
      </c>
      <c r="L1436">
        <v>1.3345</v>
      </c>
      <c r="M1436">
        <v>9.6100000000000005E-3</v>
      </c>
      <c r="N1436">
        <v>1</v>
      </c>
      <c r="P1436">
        <v>1.29755</v>
      </c>
      <c r="Q1436">
        <v>0.90480000000000005</v>
      </c>
      <c r="R1436">
        <v>0.83692</v>
      </c>
      <c r="S1436">
        <v>0.74934000000000001</v>
      </c>
      <c r="T1436">
        <v>104.005</v>
      </c>
      <c r="U1436">
        <v>1</v>
      </c>
    </row>
    <row r="1437" spans="1:35" ht="15.75" hidden="1" outlineLevel="1" thickBot="1">
      <c r="A1437" s="1868">
        <v>44165</v>
      </c>
      <c r="B1437" s="1869">
        <v>2786.81997</v>
      </c>
      <c r="C1437" s="1869">
        <v>3989.2190399999999</v>
      </c>
      <c r="D1437" s="1869">
        <v>4320.0045200000004</v>
      </c>
      <c r="E1437" s="1869">
        <v>4821.4529700000003</v>
      </c>
      <c r="F1437" s="1870">
        <v>34.633800000000001</v>
      </c>
      <c r="G1437" s="1874">
        <v>3611.44</v>
      </c>
      <c r="H1437" s="1872"/>
      <c r="I1437" s="1870">
        <v>0.77166000000000001</v>
      </c>
      <c r="J1437" s="1870">
        <v>1.1046</v>
      </c>
      <c r="K1437" s="1870">
        <v>1.1961999999999999</v>
      </c>
      <c r="L1437" s="1870">
        <v>1.3350500000000001</v>
      </c>
      <c r="M1437" s="1870">
        <v>9.5899999999999996E-3</v>
      </c>
      <c r="N1437" s="1870">
        <v>1</v>
      </c>
      <c r="O1437" s="1872"/>
      <c r="P1437" s="1870">
        <v>1.2959000000000001</v>
      </c>
      <c r="Q1437" s="1870">
        <v>0.90529999999999999</v>
      </c>
      <c r="R1437" s="1870">
        <v>0.83597999999999995</v>
      </c>
      <c r="S1437" s="1870">
        <v>0.74902999999999997</v>
      </c>
      <c r="T1437" s="1870">
        <v>104.27500000000001</v>
      </c>
      <c r="U1437" s="1870">
        <v>1</v>
      </c>
      <c r="V1437" s="1872"/>
    </row>
    <row r="1438" spans="1:35" hidden="1" outlineLevel="1">
      <c r="A1438" s="8">
        <v>44166</v>
      </c>
      <c r="B1438" s="1860">
        <v>2770.9469600000002</v>
      </c>
      <c r="C1438" s="1860">
        <v>3986.2826700000001</v>
      </c>
      <c r="D1438" s="1860">
        <v>4321.88148</v>
      </c>
      <c r="E1438" s="1860">
        <v>4799.7757899999997</v>
      </c>
      <c r="F1438">
        <v>34.376600000000003</v>
      </c>
      <c r="G1438" s="1861">
        <v>3591.84</v>
      </c>
      <c r="I1438">
        <v>0.77144999999999997</v>
      </c>
      <c r="J1438">
        <v>1.10981</v>
      </c>
      <c r="K1438">
        <v>1.2032499999999999</v>
      </c>
      <c r="L1438">
        <v>1.3363</v>
      </c>
      <c r="M1438">
        <v>9.5700000000000004E-3</v>
      </c>
      <c r="N1438">
        <v>1</v>
      </c>
      <c r="P1438">
        <v>1.2962499999999999</v>
      </c>
      <c r="Q1438">
        <v>0.90105000000000002</v>
      </c>
      <c r="R1438">
        <v>0.83108000000000004</v>
      </c>
      <c r="S1438">
        <v>0.74833000000000005</v>
      </c>
      <c r="T1438">
        <v>104.485</v>
      </c>
      <c r="U1438">
        <v>1</v>
      </c>
    </row>
    <row r="1439" spans="1:35" hidden="1" outlineLevel="1">
      <c r="A1439" s="8">
        <v>44167</v>
      </c>
      <c r="B1439" s="1860">
        <v>2749.7353400000002</v>
      </c>
      <c r="C1439" s="1860">
        <v>3969.4032299999999</v>
      </c>
      <c r="D1439" s="1860">
        <v>4298.0408399999997</v>
      </c>
      <c r="E1439" s="1860">
        <v>4741.7945200000004</v>
      </c>
      <c r="F1439">
        <v>34.025620000000004</v>
      </c>
      <c r="G1439" s="1861">
        <v>3558.57</v>
      </c>
      <c r="I1439">
        <v>0.77270000000000005</v>
      </c>
      <c r="J1439">
        <v>1.11544</v>
      </c>
      <c r="K1439">
        <v>1.2078</v>
      </c>
      <c r="L1439">
        <v>1.3325</v>
      </c>
      <c r="M1439">
        <v>9.5600000000000008E-3</v>
      </c>
      <c r="N1439">
        <v>1</v>
      </c>
      <c r="P1439">
        <v>1.2941499999999999</v>
      </c>
      <c r="Q1439">
        <v>0.89649999999999996</v>
      </c>
      <c r="R1439">
        <v>0.82794999999999996</v>
      </c>
      <c r="S1439">
        <v>0.75046000000000002</v>
      </c>
      <c r="T1439">
        <v>104.58499999999999</v>
      </c>
      <c r="U1439">
        <v>1</v>
      </c>
    </row>
    <row r="1440" spans="1:35" hidden="1" outlineLevel="1">
      <c r="A1440" s="8">
        <v>44168</v>
      </c>
      <c r="B1440" s="1860">
        <v>2744.6671299999998</v>
      </c>
      <c r="C1440" s="1860">
        <v>3967.66984</v>
      </c>
      <c r="D1440" s="1860">
        <v>4296.3833599999998</v>
      </c>
      <c r="E1440" s="1860">
        <v>4769.3035099999997</v>
      </c>
      <c r="F1440">
        <v>34.050109999999997</v>
      </c>
      <c r="G1440" s="1861">
        <v>3533.21</v>
      </c>
      <c r="I1440">
        <v>0.77681</v>
      </c>
      <c r="J1440">
        <v>1.12296</v>
      </c>
      <c r="K1440">
        <v>1.216</v>
      </c>
      <c r="L1440">
        <v>1.34985</v>
      </c>
      <c r="M1440">
        <v>9.6299999999999997E-3</v>
      </c>
      <c r="N1440">
        <v>1</v>
      </c>
      <c r="P1440">
        <v>1.2873000000000001</v>
      </c>
      <c r="Q1440">
        <v>0.89049999999999996</v>
      </c>
      <c r="R1440">
        <v>0.82235999999999998</v>
      </c>
      <c r="S1440">
        <v>0.74082000000000003</v>
      </c>
      <c r="T1440">
        <v>103.765</v>
      </c>
      <c r="U1440">
        <v>1</v>
      </c>
    </row>
    <row r="1441" spans="1:35" hidden="1" outlineLevel="1">
      <c r="A1441" s="8">
        <v>44169</v>
      </c>
      <c r="B1441" s="1860">
        <v>2718.91912</v>
      </c>
      <c r="C1441" s="1860">
        <v>3907.34006</v>
      </c>
      <c r="D1441" s="1860">
        <v>4226.9903700000004</v>
      </c>
      <c r="E1441" s="1860">
        <v>4690.5441099999998</v>
      </c>
      <c r="F1441">
        <v>33.412730000000003</v>
      </c>
      <c r="G1441" s="1861">
        <v>3481.44</v>
      </c>
      <c r="I1441">
        <v>0.78097000000000005</v>
      </c>
      <c r="J1441">
        <v>1.12233</v>
      </c>
      <c r="K1441">
        <v>1.2141500000000001</v>
      </c>
      <c r="L1441">
        <v>1.3472999999999999</v>
      </c>
      <c r="M1441">
        <v>9.5899999999999996E-3</v>
      </c>
      <c r="N1441">
        <v>1</v>
      </c>
      <c r="P1441">
        <v>1.2804500000000001</v>
      </c>
      <c r="Q1441">
        <v>0.89100000000000001</v>
      </c>
      <c r="R1441">
        <v>0.82362000000000002</v>
      </c>
      <c r="S1441">
        <v>0.74221999999999999</v>
      </c>
      <c r="T1441">
        <v>104.19499999999999</v>
      </c>
      <c r="U1441">
        <v>1</v>
      </c>
    </row>
    <row r="1442" spans="1:35" hidden="1" outlineLevel="1">
      <c r="A1442" s="8">
        <v>44170</v>
      </c>
      <c r="B1442" s="1860">
        <v>2708.0245199999999</v>
      </c>
      <c r="C1442" s="1860">
        <v>3891.6835000000001</v>
      </c>
      <c r="D1442" s="1860">
        <v>4210.0529800000004</v>
      </c>
      <c r="E1442" s="1860">
        <v>4671.7492700000003</v>
      </c>
      <c r="F1442">
        <v>33.278849999999998</v>
      </c>
      <c r="G1442" s="1861">
        <v>3467.49</v>
      </c>
      <c r="I1442">
        <v>0.78097000000000005</v>
      </c>
      <c r="J1442">
        <v>1.12233</v>
      </c>
      <c r="K1442">
        <v>1.2141500000000001</v>
      </c>
      <c r="L1442">
        <v>1.3472999999999999</v>
      </c>
      <c r="M1442">
        <v>9.5899999999999996E-3</v>
      </c>
      <c r="N1442">
        <v>1</v>
      </c>
      <c r="P1442">
        <v>1.2804500000000001</v>
      </c>
      <c r="Q1442">
        <v>0.89100000000000001</v>
      </c>
      <c r="R1442">
        <v>0.82362000000000002</v>
      </c>
      <c r="S1442">
        <v>0.74221999999999999</v>
      </c>
      <c r="T1442">
        <v>104.19499999999999</v>
      </c>
      <c r="U1442">
        <v>1</v>
      </c>
    </row>
    <row r="1443" spans="1:35" hidden="1" outlineLevel="1">
      <c r="A1443" s="8">
        <v>44171</v>
      </c>
      <c r="B1443" s="1860">
        <v>2708.0245199999999</v>
      </c>
      <c r="C1443" s="1860">
        <v>3891.6835000000001</v>
      </c>
      <c r="D1443" s="1860">
        <v>4210.0529800000004</v>
      </c>
      <c r="E1443" s="1860">
        <v>4671.7492700000003</v>
      </c>
      <c r="F1443">
        <v>33.278849999999998</v>
      </c>
      <c r="G1443" s="1861">
        <v>3467.49</v>
      </c>
      <c r="I1443">
        <v>0.78097000000000005</v>
      </c>
      <c r="J1443">
        <v>1.12233</v>
      </c>
      <c r="K1443">
        <v>1.2141500000000001</v>
      </c>
      <c r="L1443">
        <v>1.3472999999999999</v>
      </c>
      <c r="M1443">
        <v>9.5899999999999996E-3</v>
      </c>
      <c r="N1443">
        <v>1</v>
      </c>
      <c r="P1443">
        <v>1.2804500000000001</v>
      </c>
      <c r="Q1443">
        <v>0.89100000000000001</v>
      </c>
      <c r="R1443">
        <v>0.82362000000000002</v>
      </c>
      <c r="S1443">
        <v>0.74221999999999999</v>
      </c>
      <c r="T1443">
        <v>104.19499999999999</v>
      </c>
      <c r="U1443">
        <v>1</v>
      </c>
    </row>
    <row r="1444" spans="1:35" hidden="1" outlineLevel="1">
      <c r="A1444" s="8">
        <v>44172</v>
      </c>
      <c r="B1444" s="1860">
        <v>2706.4392699999999</v>
      </c>
      <c r="C1444" s="1860">
        <v>3900.8774800000001</v>
      </c>
      <c r="D1444" s="1860">
        <v>4207.2789899999998</v>
      </c>
      <c r="E1444" s="1860">
        <v>4617.65643</v>
      </c>
      <c r="F1444">
        <v>33.328429999999997</v>
      </c>
      <c r="G1444" s="1861">
        <v>3467.49</v>
      </c>
      <c r="I1444">
        <v>0.78051000000000004</v>
      </c>
      <c r="J1444">
        <v>1.1249800000000001</v>
      </c>
      <c r="K1444">
        <v>1.2133499999999999</v>
      </c>
      <c r="L1444">
        <v>1.3317000000000001</v>
      </c>
      <c r="M1444">
        <v>9.6100000000000005E-3</v>
      </c>
      <c r="N1444">
        <v>1</v>
      </c>
      <c r="P1444">
        <v>1.2811999999999999</v>
      </c>
      <c r="Q1444">
        <v>0.88890000000000002</v>
      </c>
      <c r="R1444">
        <v>0.82416</v>
      </c>
      <c r="S1444">
        <v>0.75090999999999997</v>
      </c>
      <c r="T1444">
        <v>104.04</v>
      </c>
      <c r="U1444">
        <v>1</v>
      </c>
    </row>
    <row r="1445" spans="1:35" s="1857" customFormat="1" hidden="1" outlineLevel="1">
      <c r="A1445" s="8">
        <v>44173</v>
      </c>
      <c r="B1445" s="1860">
        <v>2726.5371500000001</v>
      </c>
      <c r="C1445" s="1860">
        <v>3924.2194</v>
      </c>
      <c r="D1445" s="1860">
        <v>4224.7648200000003</v>
      </c>
      <c r="E1445" s="1860">
        <v>4660.0235400000001</v>
      </c>
      <c r="F1445">
        <v>33.49483</v>
      </c>
      <c r="G1445" s="1861">
        <v>3487.65</v>
      </c>
      <c r="I1445">
        <v>0.78176000000000001</v>
      </c>
      <c r="J1445">
        <v>1.12517</v>
      </c>
      <c r="K1445">
        <v>1.2113499999999999</v>
      </c>
      <c r="L1445">
        <v>1.3361499999999999</v>
      </c>
      <c r="M1445">
        <v>9.5999999999999992E-3</v>
      </c>
      <c r="N1445">
        <v>1</v>
      </c>
      <c r="P1445">
        <v>1.27915</v>
      </c>
      <c r="Q1445">
        <v>0.88875000000000004</v>
      </c>
      <c r="R1445">
        <v>0.82552000000000003</v>
      </c>
      <c r="S1445">
        <v>0.74841000000000002</v>
      </c>
      <c r="T1445">
        <v>104.125</v>
      </c>
      <c r="U1445">
        <v>1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</row>
    <row r="1446" spans="1:35" s="1857" customFormat="1" hidden="1" outlineLevel="1">
      <c r="A1446" s="8">
        <v>44174</v>
      </c>
      <c r="B1446" s="1860">
        <v>2723.9817200000002</v>
      </c>
      <c r="C1446" s="1860">
        <v>3918.9280199999998</v>
      </c>
      <c r="D1446" s="1860">
        <v>4213.6043399999999</v>
      </c>
      <c r="E1446" s="1860">
        <v>4671.7071699999997</v>
      </c>
      <c r="F1446">
        <v>33.469119999999997</v>
      </c>
      <c r="G1446" s="1861">
        <v>3487.65</v>
      </c>
      <c r="I1446">
        <v>0.78103</v>
      </c>
      <c r="J1446">
        <v>1.12365</v>
      </c>
      <c r="K1446">
        <v>1.2081500000000001</v>
      </c>
      <c r="L1446">
        <v>1.3394999999999999</v>
      </c>
      <c r="M1446">
        <v>9.5899999999999996E-3</v>
      </c>
      <c r="N1446">
        <v>1</v>
      </c>
      <c r="P1446">
        <v>1.2803500000000001</v>
      </c>
      <c r="Q1446">
        <v>0.88995000000000002</v>
      </c>
      <c r="R1446">
        <v>0.82770999999999995</v>
      </c>
      <c r="S1446">
        <v>0.74653999999999998</v>
      </c>
      <c r="T1446">
        <v>104.205</v>
      </c>
      <c r="U1446">
        <v>1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</row>
    <row r="1447" spans="1:35" s="1857" customFormat="1" hidden="1" outlineLevel="1">
      <c r="A1447" s="8">
        <v>44175</v>
      </c>
      <c r="B1447" s="1860">
        <v>2725.1896900000002</v>
      </c>
      <c r="C1447" s="1860">
        <v>3906.6223199999999</v>
      </c>
      <c r="D1447" s="1860">
        <v>4203.7935900000002</v>
      </c>
      <c r="E1447" s="1860">
        <v>4599.58338</v>
      </c>
      <c r="F1447">
        <v>33.195340000000002</v>
      </c>
      <c r="G1447" s="1861">
        <v>3465.76</v>
      </c>
      <c r="I1447">
        <v>0.78630999999999995</v>
      </c>
      <c r="J1447">
        <v>1.1272</v>
      </c>
      <c r="K1447">
        <v>1.21295</v>
      </c>
      <c r="L1447">
        <v>1.3271500000000001</v>
      </c>
      <c r="M1447">
        <v>9.5700000000000004E-3</v>
      </c>
      <c r="N1447">
        <v>1</v>
      </c>
      <c r="P1447">
        <v>1.2717499999999999</v>
      </c>
      <c r="Q1447">
        <v>0.88714999999999999</v>
      </c>
      <c r="R1447">
        <v>0.82443</v>
      </c>
      <c r="S1447">
        <v>0.75348999999999999</v>
      </c>
      <c r="T1447">
        <v>104.405</v>
      </c>
      <c r="U1447">
        <v>1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</row>
    <row r="1448" spans="1:35" s="1857" customFormat="1" hidden="1" outlineLevel="1">
      <c r="A1448" s="8">
        <v>44176</v>
      </c>
      <c r="B1448" s="1860">
        <v>2700.2466199999999</v>
      </c>
      <c r="C1448" s="1860">
        <v>3871.6771399999998</v>
      </c>
      <c r="D1448" s="1860">
        <v>4175.7435599999999</v>
      </c>
      <c r="E1448" s="1860">
        <v>4556.3285699999997</v>
      </c>
      <c r="F1448">
        <v>33.179949999999998</v>
      </c>
      <c r="G1448" s="1861">
        <v>3448.89</v>
      </c>
      <c r="I1448">
        <v>0.78293000000000001</v>
      </c>
      <c r="J1448">
        <v>1.1225799999999999</v>
      </c>
      <c r="K1448">
        <v>1.21075</v>
      </c>
      <c r="L1448">
        <v>1.3210999999999999</v>
      </c>
      <c r="M1448">
        <v>9.6200000000000001E-3</v>
      </c>
      <c r="N1448">
        <v>1</v>
      </c>
      <c r="P1448">
        <v>1.27725</v>
      </c>
      <c r="Q1448">
        <v>0.89080000000000004</v>
      </c>
      <c r="R1448">
        <v>0.82593000000000005</v>
      </c>
      <c r="S1448">
        <v>0.75693999999999995</v>
      </c>
      <c r="T1448">
        <v>103.94499999999999</v>
      </c>
      <c r="U1448">
        <v>1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</row>
    <row r="1449" spans="1:35" s="1857" customFormat="1" hidden="1" outlineLevel="1">
      <c r="A1449" s="8">
        <v>44177</v>
      </c>
      <c r="B1449" s="1860">
        <v>2688.1581500000002</v>
      </c>
      <c r="C1449" s="1860">
        <v>3854.3444</v>
      </c>
      <c r="D1449" s="1860">
        <v>4157.0495799999999</v>
      </c>
      <c r="E1449" s="1860">
        <v>4535.9307900000003</v>
      </c>
      <c r="F1449">
        <v>33.031410000000001</v>
      </c>
      <c r="G1449" s="1861">
        <v>3433.45</v>
      </c>
      <c r="I1449">
        <v>0.78293000000000001</v>
      </c>
      <c r="J1449">
        <v>1.1225799999999999</v>
      </c>
      <c r="K1449">
        <v>1.21075</v>
      </c>
      <c r="L1449">
        <v>1.3210999999999999</v>
      </c>
      <c r="M1449">
        <v>9.6200000000000001E-3</v>
      </c>
      <c r="N1449">
        <v>1</v>
      </c>
      <c r="P1449">
        <v>1.27725</v>
      </c>
      <c r="Q1449">
        <v>0.89080000000000004</v>
      </c>
      <c r="R1449">
        <v>0.82593000000000005</v>
      </c>
      <c r="S1449">
        <v>0.75693999999999995</v>
      </c>
      <c r="T1449">
        <v>103.94499999999999</v>
      </c>
      <c r="U1449">
        <v>1</v>
      </c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</row>
    <row r="1450" spans="1:35" s="1857" customFormat="1" hidden="1" outlineLevel="1">
      <c r="A1450" s="8">
        <v>44178</v>
      </c>
      <c r="B1450" s="1860">
        <v>2688.1581500000002</v>
      </c>
      <c r="C1450" s="1860">
        <v>3854.3444</v>
      </c>
      <c r="D1450" s="1860">
        <v>4157.0495799999999</v>
      </c>
      <c r="E1450" s="1860">
        <v>4535.9307900000003</v>
      </c>
      <c r="F1450">
        <v>33.031410000000001</v>
      </c>
      <c r="G1450" s="1861">
        <v>3433.45</v>
      </c>
      <c r="I1450">
        <v>0.78293000000000001</v>
      </c>
      <c r="J1450">
        <v>1.1225799999999999</v>
      </c>
      <c r="K1450">
        <v>1.21075</v>
      </c>
      <c r="L1450">
        <v>1.3210999999999999</v>
      </c>
      <c r="M1450">
        <v>9.6200000000000001E-3</v>
      </c>
      <c r="N1450">
        <v>1</v>
      </c>
      <c r="P1450">
        <v>1.27725</v>
      </c>
      <c r="Q1450">
        <v>0.89080000000000004</v>
      </c>
      <c r="R1450">
        <v>0.82593000000000005</v>
      </c>
      <c r="S1450">
        <v>0.75693999999999995</v>
      </c>
      <c r="T1450">
        <v>103.94499999999999</v>
      </c>
      <c r="U1450">
        <v>1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</row>
    <row r="1451" spans="1:35" s="1857" customFormat="1" hidden="1" outlineLevel="1">
      <c r="A1451" s="8">
        <v>44179</v>
      </c>
      <c r="B1451" s="1860">
        <v>2688.0529200000001</v>
      </c>
      <c r="C1451" s="1860">
        <v>3863.6696099999999</v>
      </c>
      <c r="D1451" s="1860">
        <v>4163.0581199999997</v>
      </c>
      <c r="E1451" s="1860">
        <v>4572.1536900000001</v>
      </c>
      <c r="F1451">
        <v>32.98856</v>
      </c>
      <c r="G1451" s="1861">
        <v>3433.45</v>
      </c>
      <c r="I1451">
        <v>0.78290000000000004</v>
      </c>
      <c r="J1451">
        <v>1.1253</v>
      </c>
      <c r="K1451">
        <v>1.2124999999999999</v>
      </c>
      <c r="L1451">
        <v>1.33165</v>
      </c>
      <c r="M1451">
        <v>9.5999999999999992E-3</v>
      </c>
      <c r="N1451">
        <v>1</v>
      </c>
      <c r="P1451">
        <v>1.2773000000000001</v>
      </c>
      <c r="Q1451">
        <v>0.88865000000000005</v>
      </c>
      <c r="R1451">
        <v>0.82474000000000003</v>
      </c>
      <c r="S1451">
        <v>0.75094000000000005</v>
      </c>
      <c r="T1451">
        <v>104.08</v>
      </c>
      <c r="U1451">
        <v>1</v>
      </c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</row>
    <row r="1452" spans="1:35" s="1857" customFormat="1" hidden="1" outlineLevel="1">
      <c r="A1452" s="8">
        <v>44180</v>
      </c>
      <c r="B1452" s="1860">
        <v>2691.0911299999998</v>
      </c>
      <c r="C1452" s="1860">
        <v>3866.3846100000001</v>
      </c>
      <c r="D1452" s="1860">
        <v>4164.6252899999999</v>
      </c>
      <c r="E1452" s="1860">
        <v>4591.9684500000003</v>
      </c>
      <c r="F1452">
        <v>33.035809999999998</v>
      </c>
      <c r="G1452" s="1861">
        <v>3426.97</v>
      </c>
      <c r="I1452">
        <v>0.78525999999999996</v>
      </c>
      <c r="J1452">
        <v>1.12822</v>
      </c>
      <c r="K1452">
        <v>1.2152499999999999</v>
      </c>
      <c r="L1452">
        <v>1.33995</v>
      </c>
      <c r="M1452">
        <v>9.6299999999999997E-3</v>
      </c>
      <c r="N1452">
        <v>1</v>
      </c>
      <c r="P1452">
        <v>1.27345</v>
      </c>
      <c r="Q1452">
        <v>0.88634999999999997</v>
      </c>
      <c r="R1452">
        <v>0.82286999999999999</v>
      </c>
      <c r="S1452">
        <v>0.74629000000000001</v>
      </c>
      <c r="T1452">
        <v>103.735</v>
      </c>
      <c r="U1452">
        <v>1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</row>
    <row r="1453" spans="1:35" s="1857" customFormat="1" hidden="1" outlineLevel="1">
      <c r="A1453" s="8">
        <v>44181</v>
      </c>
      <c r="B1453" s="1860">
        <v>2681.95282</v>
      </c>
      <c r="C1453" s="1860">
        <v>3866.7269200000001</v>
      </c>
      <c r="D1453" s="1860">
        <v>4170.7565000000004</v>
      </c>
      <c r="E1453" s="1860">
        <v>4619.2672599999996</v>
      </c>
      <c r="F1453">
        <v>33.062260000000002</v>
      </c>
      <c r="G1453" s="1861">
        <v>3422.44</v>
      </c>
      <c r="I1453">
        <v>0.78363000000000005</v>
      </c>
      <c r="J1453">
        <v>1.12981</v>
      </c>
      <c r="K1453">
        <v>1.21865</v>
      </c>
      <c r="L1453">
        <v>1.3496999999999999</v>
      </c>
      <c r="M1453">
        <v>9.6600000000000002E-3</v>
      </c>
      <c r="N1453">
        <v>1</v>
      </c>
      <c r="P1453">
        <v>1.2761</v>
      </c>
      <c r="Q1453">
        <v>0.8851</v>
      </c>
      <c r="R1453">
        <v>0.82057999999999998</v>
      </c>
      <c r="S1453">
        <v>0.7409</v>
      </c>
      <c r="T1453">
        <v>103.515</v>
      </c>
      <c r="U1453">
        <v>1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</row>
    <row r="1454" spans="1:35" s="1857" customFormat="1" hidden="1" outlineLevel="1">
      <c r="A1454" s="8">
        <v>44182</v>
      </c>
      <c r="B1454" s="1860">
        <v>2685.38301</v>
      </c>
      <c r="C1454" s="1860">
        <v>3862.5247300000001</v>
      </c>
      <c r="D1454" s="1860">
        <v>4183.1491400000004</v>
      </c>
      <c r="E1454" s="1860">
        <v>4643.6542499999996</v>
      </c>
      <c r="F1454">
        <v>33.155819999999999</v>
      </c>
      <c r="G1454" s="1861">
        <v>3416.21</v>
      </c>
      <c r="I1454">
        <v>0.78607000000000005</v>
      </c>
      <c r="J1454">
        <v>1.1306400000000001</v>
      </c>
      <c r="K1454">
        <v>1.2244999999999999</v>
      </c>
      <c r="L1454">
        <v>1.3593</v>
      </c>
      <c r="M1454">
        <v>9.7000000000000003E-3</v>
      </c>
      <c r="N1454">
        <v>1</v>
      </c>
      <c r="P1454">
        <v>1.2721499999999999</v>
      </c>
      <c r="Q1454">
        <v>0.88444999999999996</v>
      </c>
      <c r="R1454">
        <v>0.81664999999999999</v>
      </c>
      <c r="S1454">
        <v>0.73567000000000005</v>
      </c>
      <c r="T1454">
        <v>103.035</v>
      </c>
      <c r="U1454">
        <v>1</v>
      </c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</row>
    <row r="1455" spans="1:35" s="1857" customFormat="1" hidden="1" outlineLevel="1">
      <c r="A1455" s="8">
        <v>44183</v>
      </c>
      <c r="B1455" s="1860">
        <v>2669.3954199999998</v>
      </c>
      <c r="C1455" s="1860">
        <v>3852.2927399999999</v>
      </c>
      <c r="D1455" s="1860">
        <v>4172.9677199999996</v>
      </c>
      <c r="E1455" s="1860">
        <v>4599.1496800000004</v>
      </c>
      <c r="F1455">
        <v>32.988239999999998</v>
      </c>
      <c r="G1455" s="1861">
        <v>3410.82</v>
      </c>
      <c r="I1455">
        <v>0.78261999999999998</v>
      </c>
      <c r="J1455">
        <v>1.1294299999999999</v>
      </c>
      <c r="K1455">
        <v>1.2234499999999999</v>
      </c>
      <c r="L1455">
        <v>1.3484</v>
      </c>
      <c r="M1455">
        <v>9.6699999999999998E-3</v>
      </c>
      <c r="N1455">
        <v>1</v>
      </c>
      <c r="P1455">
        <v>1.2777499999999999</v>
      </c>
      <c r="Q1455">
        <v>0.88539999999999996</v>
      </c>
      <c r="R1455">
        <v>0.81735999999999998</v>
      </c>
      <c r="S1455">
        <v>0.74160999999999999</v>
      </c>
      <c r="T1455">
        <v>103.395</v>
      </c>
      <c r="U1455">
        <v>1</v>
      </c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</row>
    <row r="1456" spans="1:35" s="1857" customFormat="1" hidden="1" outlineLevel="1">
      <c r="A1456" s="8">
        <v>44184</v>
      </c>
      <c r="B1456" s="1860">
        <v>2676.7833999999998</v>
      </c>
      <c r="C1456" s="1860">
        <v>3862.9545899999998</v>
      </c>
      <c r="D1456" s="1860">
        <v>4184.5170900000003</v>
      </c>
      <c r="E1456" s="1860">
        <v>4611.8785799999996</v>
      </c>
      <c r="F1456">
        <v>33.079540000000001</v>
      </c>
      <c r="G1456" s="1861">
        <v>3420.26</v>
      </c>
      <c r="I1456">
        <v>0.78261999999999998</v>
      </c>
      <c r="J1456">
        <v>1.1294299999999999</v>
      </c>
      <c r="K1456">
        <v>1.2234499999999999</v>
      </c>
      <c r="L1456">
        <v>1.3484</v>
      </c>
      <c r="M1456">
        <v>9.6699999999999998E-3</v>
      </c>
      <c r="N1456">
        <v>1</v>
      </c>
      <c r="P1456">
        <v>1.2777499999999999</v>
      </c>
      <c r="Q1456">
        <v>0.88539999999999996</v>
      </c>
      <c r="R1456">
        <v>0.81735999999999998</v>
      </c>
      <c r="S1456">
        <v>0.74160999999999999</v>
      </c>
      <c r="T1456">
        <v>103.395</v>
      </c>
      <c r="U1456">
        <v>1</v>
      </c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</row>
    <row r="1457" spans="1:35" s="1857" customFormat="1" hidden="1" outlineLevel="1">
      <c r="A1457" s="8">
        <v>44185</v>
      </c>
      <c r="B1457" s="1860">
        <v>2676.7833999999998</v>
      </c>
      <c r="C1457" s="1860">
        <v>3862.9545899999998</v>
      </c>
      <c r="D1457" s="1860">
        <v>4184.5170900000003</v>
      </c>
      <c r="E1457" s="1860">
        <v>4611.8785799999996</v>
      </c>
      <c r="F1457">
        <v>33.079540000000001</v>
      </c>
      <c r="G1457" s="1861">
        <v>3420.26</v>
      </c>
      <c r="I1457">
        <v>0.78261999999999998</v>
      </c>
      <c r="J1457">
        <v>1.1294299999999999</v>
      </c>
      <c r="K1457">
        <v>1.2234499999999999</v>
      </c>
      <c r="L1457">
        <v>1.3484</v>
      </c>
      <c r="M1457">
        <v>9.6699999999999998E-3</v>
      </c>
      <c r="N1457">
        <v>1</v>
      </c>
      <c r="P1457">
        <v>1.2777499999999999</v>
      </c>
      <c r="Q1457">
        <v>0.88539999999999996</v>
      </c>
      <c r="R1457">
        <v>0.81735999999999998</v>
      </c>
      <c r="S1457">
        <v>0.74160999999999999</v>
      </c>
      <c r="T1457">
        <v>103.395</v>
      </c>
      <c r="U1457">
        <v>1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</row>
    <row r="1458" spans="1:35" s="1857" customFormat="1" hidden="1" outlineLevel="1">
      <c r="A1458" s="8">
        <v>44186</v>
      </c>
      <c r="B1458" s="1860">
        <v>2657.7511800000002</v>
      </c>
      <c r="C1458" s="1860">
        <v>3853.8140800000001</v>
      </c>
      <c r="D1458" s="1860">
        <v>4176.9925199999998</v>
      </c>
      <c r="E1458" s="1860">
        <v>4555.6153000000004</v>
      </c>
      <c r="F1458">
        <v>33.045990000000003</v>
      </c>
      <c r="G1458" s="1861">
        <v>3420.26</v>
      </c>
      <c r="I1458">
        <v>0.77705999999999997</v>
      </c>
      <c r="J1458">
        <v>1.12676</v>
      </c>
      <c r="K1458">
        <v>1.2212499999999999</v>
      </c>
      <c r="L1458">
        <v>1.33195</v>
      </c>
      <c r="M1458">
        <v>9.6600000000000002E-3</v>
      </c>
      <c r="N1458">
        <v>1</v>
      </c>
      <c r="P1458">
        <v>1.2868999999999999</v>
      </c>
      <c r="Q1458">
        <v>0.88749999999999996</v>
      </c>
      <c r="R1458">
        <v>0.81882999999999995</v>
      </c>
      <c r="S1458">
        <v>0.75077000000000005</v>
      </c>
      <c r="T1458">
        <v>103.5</v>
      </c>
      <c r="U1458">
        <v>1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</row>
    <row r="1459" spans="1:35" s="1857" customFormat="1" hidden="1" outlineLevel="1">
      <c r="A1459" s="8">
        <v>44187</v>
      </c>
      <c r="B1459" s="1860">
        <v>2662.2404299999998</v>
      </c>
      <c r="C1459" s="1860">
        <v>3870.92094</v>
      </c>
      <c r="D1459" s="1860">
        <v>4188.8966</v>
      </c>
      <c r="E1459" s="1860">
        <v>4584.2573899999998</v>
      </c>
      <c r="F1459">
        <v>33.194249999999997</v>
      </c>
      <c r="G1459" s="1861">
        <v>3442.41</v>
      </c>
      <c r="I1459">
        <v>0.77336000000000005</v>
      </c>
      <c r="J1459">
        <v>1.1244700000000001</v>
      </c>
      <c r="K1459">
        <v>1.21685</v>
      </c>
      <c r="L1459">
        <v>1.3317000000000001</v>
      </c>
      <c r="M1459">
        <v>9.6399999999999993E-3</v>
      </c>
      <c r="N1459">
        <v>1</v>
      </c>
      <c r="P1459">
        <v>1.29305</v>
      </c>
      <c r="Q1459">
        <v>0.88929999999999998</v>
      </c>
      <c r="R1459">
        <v>0.82179000000000002</v>
      </c>
      <c r="S1459">
        <v>0.75090999999999997</v>
      </c>
      <c r="T1459">
        <v>103.705</v>
      </c>
      <c r="U1459">
        <v>1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</row>
    <row r="1460" spans="1:35" s="1857" customFormat="1" hidden="1" outlineLevel="1">
      <c r="A1460" s="8">
        <v>44188</v>
      </c>
      <c r="B1460" s="1860">
        <v>2679.1880500000002</v>
      </c>
      <c r="C1460" s="1860">
        <v>3873.0676199999998</v>
      </c>
      <c r="D1460" s="1860">
        <v>4198.1273799999999</v>
      </c>
      <c r="E1460" s="1860">
        <v>4658.02153</v>
      </c>
      <c r="F1460">
        <v>33.251930000000002</v>
      </c>
      <c r="G1460" s="1861">
        <v>3444.9</v>
      </c>
      <c r="I1460">
        <v>0.77771999999999997</v>
      </c>
      <c r="J1460">
        <v>1.12429</v>
      </c>
      <c r="K1460">
        <v>1.21865</v>
      </c>
      <c r="L1460">
        <v>1.35215</v>
      </c>
      <c r="M1460">
        <v>9.6500000000000006E-3</v>
      </c>
      <c r="N1460">
        <v>1</v>
      </c>
      <c r="P1460">
        <v>1.2858000000000001</v>
      </c>
      <c r="Q1460">
        <v>0.88944999999999996</v>
      </c>
      <c r="R1460">
        <v>0.82057999999999998</v>
      </c>
      <c r="S1460">
        <v>0.73956</v>
      </c>
      <c r="T1460">
        <v>103.6</v>
      </c>
      <c r="U1460">
        <v>1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</row>
    <row r="1461" spans="1:35" hidden="1" outlineLevel="1">
      <c r="A1461" s="8">
        <v>44189</v>
      </c>
      <c r="B1461" s="1860">
        <v>2711.8128000000002</v>
      </c>
      <c r="C1461" s="1860">
        <v>3908.3216400000001</v>
      </c>
      <c r="D1461" s="1860">
        <v>4242.9160499999998</v>
      </c>
      <c r="E1461" s="1860">
        <v>4714.0996599999999</v>
      </c>
      <c r="F1461">
        <v>33.605229999999999</v>
      </c>
      <c r="G1461" s="1861">
        <v>3482.51</v>
      </c>
      <c r="I1461">
        <v>0.77868999999999999</v>
      </c>
      <c r="J1461">
        <v>1.1222700000000001</v>
      </c>
      <c r="K1461">
        <v>1.21835</v>
      </c>
      <c r="L1461">
        <v>1.35365</v>
      </c>
      <c r="M1461">
        <v>9.6399999999999993E-3</v>
      </c>
      <c r="N1461">
        <v>1</v>
      </c>
      <c r="P1461">
        <v>1.2842</v>
      </c>
      <c r="Q1461">
        <v>0.89105000000000001</v>
      </c>
      <c r="R1461">
        <v>0.82077999999999995</v>
      </c>
      <c r="S1461">
        <v>0.73873999999999995</v>
      </c>
      <c r="T1461">
        <v>103.63</v>
      </c>
      <c r="U1461">
        <v>1</v>
      </c>
    </row>
    <row r="1462" spans="1:35" hidden="1" outlineLevel="1">
      <c r="A1462" s="8">
        <v>44190</v>
      </c>
      <c r="B1462" s="1860">
        <v>2720.5808999999999</v>
      </c>
      <c r="C1462" s="1860">
        <v>3920.9584100000002</v>
      </c>
      <c r="D1462" s="1860">
        <v>4256.6346700000004</v>
      </c>
      <c r="E1462" s="1860">
        <v>4729.3417600000002</v>
      </c>
      <c r="F1462">
        <v>33.713880000000003</v>
      </c>
      <c r="G1462" s="1861">
        <v>3493.77</v>
      </c>
      <c r="I1462">
        <v>0.77868999999999999</v>
      </c>
      <c r="J1462">
        <v>1.1222700000000001</v>
      </c>
      <c r="K1462">
        <v>1.21835</v>
      </c>
      <c r="L1462">
        <v>1.35365</v>
      </c>
      <c r="M1462">
        <v>9.6399999999999993E-3</v>
      </c>
      <c r="N1462">
        <v>1</v>
      </c>
      <c r="P1462">
        <v>1.2842</v>
      </c>
      <c r="Q1462">
        <v>0.89105000000000001</v>
      </c>
      <c r="R1462">
        <v>0.82077999999999995</v>
      </c>
      <c r="S1462">
        <v>0.73873999999999995</v>
      </c>
      <c r="T1462">
        <v>103.63</v>
      </c>
      <c r="U1462">
        <v>1</v>
      </c>
    </row>
    <row r="1463" spans="1:35" hidden="1" outlineLevel="1">
      <c r="A1463" s="8">
        <v>44191</v>
      </c>
      <c r="B1463" s="1860">
        <v>2720.5808999999999</v>
      </c>
      <c r="C1463" s="1860">
        <v>3920.9584100000002</v>
      </c>
      <c r="D1463" s="1860">
        <v>4256.6346700000004</v>
      </c>
      <c r="E1463" s="1860">
        <v>4729.3417600000002</v>
      </c>
      <c r="F1463">
        <v>33.713880000000003</v>
      </c>
      <c r="G1463" s="1861">
        <v>3493.77</v>
      </c>
      <c r="I1463">
        <v>0.77868999999999999</v>
      </c>
      <c r="J1463">
        <v>1.1222700000000001</v>
      </c>
      <c r="K1463">
        <v>1.21835</v>
      </c>
      <c r="L1463">
        <v>1.35365</v>
      </c>
      <c r="M1463">
        <v>9.6399999999999993E-3</v>
      </c>
      <c r="N1463">
        <v>1</v>
      </c>
      <c r="P1463">
        <v>1.2842</v>
      </c>
      <c r="Q1463">
        <v>0.89105000000000001</v>
      </c>
      <c r="R1463">
        <v>0.82077999999999995</v>
      </c>
      <c r="S1463">
        <v>0.73873999999999995</v>
      </c>
      <c r="T1463">
        <v>103.63</v>
      </c>
      <c r="U1463">
        <v>1</v>
      </c>
    </row>
    <row r="1464" spans="1:35" hidden="1" outlineLevel="1">
      <c r="A1464" s="8">
        <v>44192</v>
      </c>
      <c r="B1464" s="1860">
        <v>2720.5808999999999</v>
      </c>
      <c r="C1464" s="1860">
        <v>3920.9584100000002</v>
      </c>
      <c r="D1464" s="1860">
        <v>4256.6346700000004</v>
      </c>
      <c r="E1464" s="1860">
        <v>4729.3417600000002</v>
      </c>
      <c r="F1464">
        <v>33.713880000000003</v>
      </c>
      <c r="G1464" s="1861">
        <v>3493.77</v>
      </c>
      <c r="I1464">
        <v>0.77868999999999999</v>
      </c>
      <c r="J1464">
        <v>1.1222700000000001</v>
      </c>
      <c r="K1464">
        <v>1.21835</v>
      </c>
      <c r="L1464">
        <v>1.35365</v>
      </c>
      <c r="M1464">
        <v>9.6399999999999993E-3</v>
      </c>
      <c r="N1464">
        <v>1</v>
      </c>
      <c r="P1464">
        <v>1.2842</v>
      </c>
      <c r="Q1464">
        <v>0.89105000000000001</v>
      </c>
      <c r="R1464">
        <v>0.82077999999999995</v>
      </c>
      <c r="S1464">
        <v>0.73873999999999995</v>
      </c>
      <c r="T1464">
        <v>103.63</v>
      </c>
      <c r="U1464">
        <v>1</v>
      </c>
    </row>
    <row r="1465" spans="1:35" hidden="1" outlineLevel="1">
      <c r="A1465" s="8">
        <v>44193</v>
      </c>
      <c r="B1465" s="1860">
        <v>2715.08392</v>
      </c>
      <c r="C1465" s="1860">
        <v>3928.45336</v>
      </c>
      <c r="D1465" s="1860">
        <v>4267.4653600000001</v>
      </c>
      <c r="E1465" s="1860">
        <v>4697.3737600000004</v>
      </c>
      <c r="F1465">
        <v>33.64246</v>
      </c>
      <c r="G1465" s="1861">
        <v>3493.77</v>
      </c>
      <c r="I1465">
        <v>0.77712000000000003</v>
      </c>
      <c r="J1465">
        <v>1.1244099999999999</v>
      </c>
      <c r="K1465">
        <v>1.2214499999999999</v>
      </c>
      <c r="L1465">
        <v>1.3445</v>
      </c>
      <c r="M1465">
        <v>9.6200000000000001E-3</v>
      </c>
      <c r="N1465">
        <v>1</v>
      </c>
      <c r="P1465">
        <v>1.2867999999999999</v>
      </c>
      <c r="Q1465">
        <v>0.88934999999999997</v>
      </c>
      <c r="R1465">
        <v>0.81869000000000003</v>
      </c>
      <c r="S1465">
        <v>0.74377000000000004</v>
      </c>
      <c r="T1465">
        <v>103.85</v>
      </c>
      <c r="U1465">
        <v>1</v>
      </c>
    </row>
    <row r="1466" spans="1:35" hidden="1" outlineLevel="1">
      <c r="A1466" s="8">
        <v>44194</v>
      </c>
      <c r="B1466" s="1860">
        <v>2730.6667699999998</v>
      </c>
      <c r="C1466" s="1860">
        <v>3949.5932200000002</v>
      </c>
      <c r="D1466" s="1860">
        <v>4278.88166</v>
      </c>
      <c r="E1466" s="1860">
        <v>4715.6306400000003</v>
      </c>
      <c r="F1466">
        <v>33.736020000000003</v>
      </c>
      <c r="G1466" s="1861">
        <v>3495.39</v>
      </c>
      <c r="I1466">
        <v>0.78120999999999996</v>
      </c>
      <c r="J1466">
        <v>1.1299399999999999</v>
      </c>
      <c r="K1466">
        <v>1.2241500000000001</v>
      </c>
      <c r="L1466">
        <v>1.3491</v>
      </c>
      <c r="M1466">
        <v>9.6500000000000006E-3</v>
      </c>
      <c r="N1466">
        <v>1</v>
      </c>
      <c r="P1466">
        <v>1.2800499999999999</v>
      </c>
      <c r="Q1466">
        <v>0.88500000000000001</v>
      </c>
      <c r="R1466">
        <v>0.81689000000000001</v>
      </c>
      <c r="S1466">
        <v>0.74123000000000006</v>
      </c>
      <c r="T1466">
        <v>103.61</v>
      </c>
      <c r="U1466">
        <v>1</v>
      </c>
    </row>
    <row r="1467" spans="1:35" hidden="1" outlineLevel="1">
      <c r="A1467" s="8">
        <v>44195</v>
      </c>
      <c r="B1467" s="1860">
        <v>2729.34629</v>
      </c>
      <c r="C1467" s="1860">
        <v>3943.9347600000001</v>
      </c>
      <c r="D1467" s="1860">
        <v>4283.1571000000004</v>
      </c>
      <c r="E1467" s="1860">
        <v>4738.9639900000002</v>
      </c>
      <c r="F1467">
        <v>33.726570000000002</v>
      </c>
      <c r="G1467" s="1861">
        <v>3482.1</v>
      </c>
      <c r="I1467">
        <v>0.78381999999999996</v>
      </c>
      <c r="J1467">
        <v>1.13263</v>
      </c>
      <c r="K1467">
        <v>1.2300500000000001</v>
      </c>
      <c r="L1467">
        <v>1.3609500000000001</v>
      </c>
      <c r="M1467">
        <v>9.6799999999999994E-3</v>
      </c>
      <c r="N1467">
        <v>1</v>
      </c>
      <c r="P1467">
        <v>1.2758</v>
      </c>
      <c r="Q1467">
        <v>0.88290000000000002</v>
      </c>
      <c r="R1467">
        <v>0.81296999999999997</v>
      </c>
      <c r="S1467">
        <v>0.73477999999999999</v>
      </c>
      <c r="T1467">
        <v>103.245</v>
      </c>
      <c r="U1467">
        <v>1</v>
      </c>
    </row>
    <row r="1468" spans="1:35" ht="15.75" collapsed="1" thickBot="1">
      <c r="A1468" s="1877">
        <v>44196</v>
      </c>
      <c r="B1468" s="1878">
        <v>2694.2700100000002</v>
      </c>
      <c r="C1468" s="1878">
        <v>3883.1381799999999</v>
      </c>
      <c r="D1468" s="1878">
        <v>4199.8353699999998</v>
      </c>
      <c r="E1468" s="1878">
        <v>4692.0558700000001</v>
      </c>
      <c r="F1468" s="1879">
        <v>33.246160000000003</v>
      </c>
      <c r="G1468" s="1885">
        <v>3432.5</v>
      </c>
      <c r="H1468" s="1881"/>
      <c r="I1468" s="1879">
        <v>0.78491999999999995</v>
      </c>
      <c r="J1468" s="1879">
        <v>1.1312800000000001</v>
      </c>
      <c r="K1468" s="1879">
        <v>1.2235499999999999</v>
      </c>
      <c r="L1468" s="1879">
        <v>1.3669500000000001</v>
      </c>
      <c r="M1468" s="1879">
        <v>9.6799999999999994E-3</v>
      </c>
      <c r="N1468" s="1879">
        <v>1</v>
      </c>
      <c r="O1468" s="1881"/>
      <c r="P1468" s="1879">
        <v>1.274</v>
      </c>
      <c r="Q1468" s="1879">
        <v>0.88395000000000001</v>
      </c>
      <c r="R1468" s="1879">
        <v>0.81728999999999996</v>
      </c>
      <c r="S1468" s="1879">
        <v>0.73155000000000003</v>
      </c>
      <c r="T1468" s="1879">
        <v>103.245</v>
      </c>
      <c r="U1468" s="1879">
        <v>1</v>
      </c>
      <c r="V1468" s="1881"/>
    </row>
    <row r="1469" spans="1:35" ht="15.75" thickTop="1">
      <c r="A1469" s="8"/>
      <c r="B1469" s="1860"/>
      <c r="C1469" s="1860"/>
      <c r="D1469" s="1860"/>
      <c r="E1469" s="1860"/>
      <c r="G1469" s="1861"/>
    </row>
    <row r="1470" spans="1:35" hidden="1" outlineLevel="1">
      <c r="A1470" s="8">
        <v>44197</v>
      </c>
      <c r="B1470" s="1860">
        <v>2694.2700100000002</v>
      </c>
      <c r="C1470" s="1860">
        <v>3883.1381799999999</v>
      </c>
      <c r="D1470" s="1860">
        <v>4199.8353699999998</v>
      </c>
      <c r="E1470" s="1860">
        <v>4692.0558700000001</v>
      </c>
      <c r="F1470">
        <v>33.246160000000003</v>
      </c>
      <c r="G1470" s="1861">
        <v>3432.5</v>
      </c>
      <c r="I1470">
        <v>0.78491999999999995</v>
      </c>
      <c r="J1470">
        <v>1.1312800000000001</v>
      </c>
      <c r="K1470">
        <v>1.2235499999999999</v>
      </c>
      <c r="L1470">
        <v>1.3669500000000001</v>
      </c>
      <c r="M1470">
        <v>9.6799999999999994E-3</v>
      </c>
      <c r="N1470">
        <v>1</v>
      </c>
      <c r="P1470">
        <v>1.274</v>
      </c>
      <c r="Q1470">
        <v>0.88395000000000001</v>
      </c>
      <c r="R1470">
        <v>0.81728999999999996</v>
      </c>
      <c r="S1470">
        <v>0.73155000000000003</v>
      </c>
      <c r="T1470">
        <v>103.245</v>
      </c>
      <c r="U1470">
        <v>1</v>
      </c>
    </row>
    <row r="1471" spans="1:35" hidden="1" outlineLevel="1">
      <c r="A1471" s="8">
        <v>44198</v>
      </c>
      <c r="B1471" s="1860">
        <v>2694.2700100000002</v>
      </c>
      <c r="C1471" s="1860">
        <v>3883.1381799999999</v>
      </c>
      <c r="D1471" s="1860">
        <v>4199.8353699999998</v>
      </c>
      <c r="E1471" s="1860">
        <v>4692.0558700000001</v>
      </c>
      <c r="F1471">
        <v>33.246160000000003</v>
      </c>
      <c r="G1471" s="1861">
        <v>3432.5</v>
      </c>
      <c r="I1471">
        <v>0.78491999999999995</v>
      </c>
      <c r="J1471">
        <v>1.1312800000000001</v>
      </c>
      <c r="K1471">
        <v>1.2235499999999999</v>
      </c>
      <c r="L1471">
        <v>1.3669500000000001</v>
      </c>
      <c r="M1471">
        <v>9.6799999999999994E-3</v>
      </c>
      <c r="N1471">
        <v>1</v>
      </c>
      <c r="P1471">
        <v>1.274</v>
      </c>
      <c r="Q1471">
        <v>0.88395000000000001</v>
      </c>
      <c r="R1471">
        <v>0.81728999999999996</v>
      </c>
      <c r="S1471">
        <v>0.73155000000000003</v>
      </c>
      <c r="T1471">
        <v>103.245</v>
      </c>
      <c r="U1471">
        <v>1</v>
      </c>
    </row>
    <row r="1472" spans="1:35" hidden="1" outlineLevel="1">
      <c r="A1472" s="8">
        <v>44199</v>
      </c>
      <c r="B1472" s="1860">
        <v>2694.2700100000002</v>
      </c>
      <c r="C1472" s="1860">
        <v>3883.1381799999999</v>
      </c>
      <c r="D1472" s="1860">
        <v>4199.8353699999998</v>
      </c>
      <c r="E1472" s="1860">
        <v>4692.0558700000001</v>
      </c>
      <c r="F1472">
        <v>33.246160000000003</v>
      </c>
      <c r="G1472" s="1861">
        <v>3432.5</v>
      </c>
      <c r="I1472">
        <v>0.78491999999999995</v>
      </c>
      <c r="J1472">
        <v>1.1312800000000001</v>
      </c>
      <c r="K1472">
        <v>1.2235499999999999</v>
      </c>
      <c r="L1472">
        <v>1.3669500000000001</v>
      </c>
      <c r="M1472">
        <v>9.6799999999999994E-3</v>
      </c>
      <c r="N1472">
        <v>1</v>
      </c>
      <c r="P1472">
        <v>1.274</v>
      </c>
      <c r="Q1472">
        <v>0.88395000000000001</v>
      </c>
      <c r="R1472">
        <v>0.81728999999999996</v>
      </c>
      <c r="S1472">
        <v>0.73155000000000003</v>
      </c>
      <c r="T1472">
        <v>103.245</v>
      </c>
      <c r="U1472">
        <v>1</v>
      </c>
    </row>
    <row r="1473" spans="1:35" hidden="1" outlineLevel="1">
      <c r="A1473" s="8">
        <v>44200</v>
      </c>
      <c r="B1473" s="1860">
        <v>2693.8471100000002</v>
      </c>
      <c r="C1473" s="1860">
        <v>3902.3419699999999</v>
      </c>
      <c r="D1473" s="1860">
        <v>4212.3639999999996</v>
      </c>
      <c r="E1473" s="1860">
        <v>4661.1633700000002</v>
      </c>
      <c r="F1473">
        <v>33.284840000000003</v>
      </c>
      <c r="G1473" s="1861">
        <v>3432.5</v>
      </c>
      <c r="I1473">
        <v>0.78480000000000005</v>
      </c>
      <c r="J1473">
        <v>1.1368799999999999</v>
      </c>
      <c r="K1473">
        <v>1.2272000000000001</v>
      </c>
      <c r="L1473">
        <v>1.35795</v>
      </c>
      <c r="M1473">
        <v>9.6900000000000007E-3</v>
      </c>
      <c r="N1473">
        <v>1</v>
      </c>
      <c r="P1473">
        <v>1.2742</v>
      </c>
      <c r="Q1473">
        <v>0.87960000000000005</v>
      </c>
      <c r="R1473">
        <v>0.81486000000000003</v>
      </c>
      <c r="S1473">
        <v>0.73640000000000005</v>
      </c>
      <c r="T1473">
        <v>103.125</v>
      </c>
      <c r="U1473">
        <v>1</v>
      </c>
    </row>
    <row r="1474" spans="1:35" hidden="1" outlineLevel="1">
      <c r="A1474" s="8">
        <v>44201</v>
      </c>
      <c r="B1474" s="1860">
        <v>2685.9139399999999</v>
      </c>
      <c r="C1474" s="1860">
        <v>3890.12338</v>
      </c>
      <c r="D1474" s="1860">
        <v>4199.5205599999999</v>
      </c>
      <c r="E1474" s="1860">
        <v>4650.5504099999998</v>
      </c>
      <c r="F1474">
        <v>33.279299999999999</v>
      </c>
      <c r="G1474" s="1861">
        <v>3420.78</v>
      </c>
      <c r="I1474">
        <v>0.78517000000000003</v>
      </c>
      <c r="J1474">
        <v>1.1372</v>
      </c>
      <c r="K1474">
        <v>1.2276499999999999</v>
      </c>
      <c r="L1474">
        <v>1.3594999999999999</v>
      </c>
      <c r="M1474">
        <v>9.7199999999999995E-3</v>
      </c>
      <c r="N1474">
        <v>1</v>
      </c>
      <c r="P1474">
        <v>1.2736000000000001</v>
      </c>
      <c r="Q1474">
        <v>0.87934999999999997</v>
      </c>
      <c r="R1474">
        <v>0.81455999999999995</v>
      </c>
      <c r="S1474">
        <v>0.73555999999999999</v>
      </c>
      <c r="T1474">
        <v>102.79</v>
      </c>
      <c r="U1474">
        <v>1</v>
      </c>
    </row>
    <row r="1475" spans="1:35" hidden="1" outlineLevel="1">
      <c r="A1475" s="8">
        <v>44202</v>
      </c>
      <c r="B1475" s="1860">
        <v>2717.3320699999999</v>
      </c>
      <c r="C1475" s="1860">
        <v>3914.84485</v>
      </c>
      <c r="D1475" s="1860">
        <v>4237.8537900000001</v>
      </c>
      <c r="E1475" s="1860">
        <v>4676.0977700000003</v>
      </c>
      <c r="F1475">
        <v>33.375950000000003</v>
      </c>
      <c r="G1475" s="1861">
        <v>3450.74</v>
      </c>
      <c r="I1475">
        <v>0.78746000000000005</v>
      </c>
      <c r="J1475">
        <v>1.13449</v>
      </c>
      <c r="K1475">
        <v>1.2281</v>
      </c>
      <c r="L1475">
        <v>1.3551</v>
      </c>
      <c r="M1475">
        <v>9.6699999999999998E-3</v>
      </c>
      <c r="N1475">
        <v>1</v>
      </c>
      <c r="P1475">
        <v>1.2699</v>
      </c>
      <c r="Q1475">
        <v>0.88144999999999996</v>
      </c>
      <c r="R1475">
        <v>0.81425999999999998</v>
      </c>
      <c r="S1475">
        <v>0.73794999999999999</v>
      </c>
      <c r="T1475">
        <v>103.39</v>
      </c>
      <c r="U1475">
        <v>1</v>
      </c>
    </row>
    <row r="1476" spans="1:35" hidden="1" outlineLevel="1">
      <c r="A1476" s="8">
        <v>44203</v>
      </c>
      <c r="B1476" s="1860">
        <v>2694.6822299999999</v>
      </c>
      <c r="C1476" s="1860">
        <v>3872.3976200000002</v>
      </c>
      <c r="D1476" s="1860">
        <v>4202.60563</v>
      </c>
      <c r="E1476" s="1860">
        <v>4642.5945700000002</v>
      </c>
      <c r="F1476">
        <v>32.982529999999997</v>
      </c>
      <c r="G1476" s="1861">
        <v>3428.04</v>
      </c>
      <c r="I1476">
        <v>0.78607000000000005</v>
      </c>
      <c r="J1476">
        <v>1.1296200000000001</v>
      </c>
      <c r="K1476">
        <v>1.2259500000000001</v>
      </c>
      <c r="L1476">
        <v>1.3543000000000001</v>
      </c>
      <c r="M1476">
        <v>9.6200000000000001E-3</v>
      </c>
      <c r="N1476">
        <v>1</v>
      </c>
      <c r="P1476">
        <v>1.2721499999999999</v>
      </c>
      <c r="Q1476">
        <v>0.88524999999999998</v>
      </c>
      <c r="R1476">
        <v>0.81569000000000003</v>
      </c>
      <c r="S1476">
        <v>0.73838000000000004</v>
      </c>
      <c r="T1476">
        <v>103.935</v>
      </c>
      <c r="U1476">
        <v>1</v>
      </c>
    </row>
    <row r="1477" spans="1:35" hidden="1" outlineLevel="1">
      <c r="A1477" s="8">
        <v>44204</v>
      </c>
      <c r="B1477" s="1860">
        <v>2726.1830599999998</v>
      </c>
      <c r="C1477" s="1860">
        <v>3916.8817899999999</v>
      </c>
      <c r="D1477" s="1860">
        <v>4239.8283799999999</v>
      </c>
      <c r="E1477" s="1860">
        <v>4702.3488200000002</v>
      </c>
      <c r="F1477">
        <v>33.329059999999998</v>
      </c>
      <c r="G1477" s="1861">
        <v>3459.39</v>
      </c>
      <c r="I1477">
        <v>0.78805000000000003</v>
      </c>
      <c r="J1477">
        <v>1.1322399999999999</v>
      </c>
      <c r="K1477">
        <v>1.2256</v>
      </c>
      <c r="L1477">
        <v>1.3593</v>
      </c>
      <c r="M1477">
        <v>9.6299999999999997E-3</v>
      </c>
      <c r="N1477">
        <v>1</v>
      </c>
      <c r="P1477">
        <v>1.26895</v>
      </c>
      <c r="Q1477">
        <v>0.88319999999999999</v>
      </c>
      <c r="R1477">
        <v>0.81591999999999998</v>
      </c>
      <c r="S1477">
        <v>0.73567000000000005</v>
      </c>
      <c r="T1477">
        <v>103.795</v>
      </c>
      <c r="U1477">
        <v>1</v>
      </c>
    </row>
    <row r="1478" spans="1:35" s="1857" customFormat="1" hidden="1" outlineLevel="1">
      <c r="A1478" s="8">
        <v>44205</v>
      </c>
      <c r="B1478" s="1860">
        <v>2740.93541</v>
      </c>
      <c r="C1478" s="1860">
        <v>3938.07744</v>
      </c>
      <c r="D1478" s="1860">
        <v>4262.7716099999998</v>
      </c>
      <c r="E1478" s="1860">
        <v>4727.7949200000003</v>
      </c>
      <c r="F1478">
        <v>33.509410000000003</v>
      </c>
      <c r="G1478" s="1861">
        <v>3478.11</v>
      </c>
      <c r="I1478">
        <v>0.78805000000000003</v>
      </c>
      <c r="J1478">
        <v>1.1322399999999999</v>
      </c>
      <c r="K1478">
        <v>1.2256</v>
      </c>
      <c r="L1478">
        <v>1.3593</v>
      </c>
      <c r="M1478">
        <v>9.6299999999999997E-3</v>
      </c>
      <c r="N1478">
        <v>1</v>
      </c>
      <c r="P1478">
        <v>1.26895</v>
      </c>
      <c r="Q1478">
        <v>0.88319999999999999</v>
      </c>
      <c r="R1478">
        <v>0.81591999999999998</v>
      </c>
      <c r="S1478">
        <v>0.73567000000000005</v>
      </c>
      <c r="T1478">
        <v>103.795</v>
      </c>
      <c r="U1478">
        <v>1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</row>
    <row r="1479" spans="1:35" s="1857" customFormat="1" hidden="1" outlineLevel="1">
      <c r="A1479" s="8">
        <v>44206</v>
      </c>
      <c r="B1479" s="1860">
        <v>2740.93541</v>
      </c>
      <c r="C1479" s="1860">
        <v>3938.07744</v>
      </c>
      <c r="D1479" s="1860">
        <v>4262.7716099999998</v>
      </c>
      <c r="E1479" s="1860">
        <v>4727.7949200000003</v>
      </c>
      <c r="F1479">
        <v>33.509410000000003</v>
      </c>
      <c r="G1479" s="1861">
        <v>3478.11</v>
      </c>
      <c r="I1479">
        <v>0.78805000000000003</v>
      </c>
      <c r="J1479">
        <v>1.1322399999999999</v>
      </c>
      <c r="K1479">
        <v>1.2256</v>
      </c>
      <c r="L1479">
        <v>1.3593</v>
      </c>
      <c r="M1479">
        <v>9.6299999999999997E-3</v>
      </c>
      <c r="N1479">
        <v>1</v>
      </c>
      <c r="P1479">
        <v>1.26895</v>
      </c>
      <c r="Q1479">
        <v>0.88319999999999999</v>
      </c>
      <c r="R1479">
        <v>0.81591999999999998</v>
      </c>
      <c r="S1479">
        <v>0.73567000000000005</v>
      </c>
      <c r="T1479">
        <v>103.795</v>
      </c>
      <c r="U1479">
        <v>1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</row>
    <row r="1480" spans="1:35" s="1857" customFormat="1" hidden="1" outlineLevel="1">
      <c r="A1480" s="8">
        <v>44207</v>
      </c>
      <c r="B1480" s="1860">
        <v>2716.63672</v>
      </c>
      <c r="C1480" s="1860">
        <v>3901.19454</v>
      </c>
      <c r="D1480" s="1860">
        <v>4226.07755</v>
      </c>
      <c r="E1480" s="1860">
        <v>4691.4486699999998</v>
      </c>
      <c r="F1480">
        <v>33.348770000000002</v>
      </c>
      <c r="G1480" s="1861">
        <v>3478.11</v>
      </c>
      <c r="I1480">
        <v>0.78105999999999998</v>
      </c>
      <c r="J1480">
        <v>1.12164</v>
      </c>
      <c r="K1480">
        <v>1.21505</v>
      </c>
      <c r="L1480">
        <v>1.3488500000000001</v>
      </c>
      <c r="M1480">
        <v>9.58E-3</v>
      </c>
      <c r="N1480">
        <v>1</v>
      </c>
      <c r="P1480">
        <v>1.2803</v>
      </c>
      <c r="Q1480">
        <v>0.89154999999999995</v>
      </c>
      <c r="R1480">
        <v>0.82301000000000002</v>
      </c>
      <c r="S1480">
        <v>0.74136999999999997</v>
      </c>
      <c r="T1480">
        <v>104.295</v>
      </c>
      <c r="U1480">
        <v>1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</row>
    <row r="1481" spans="1:35" s="1857" customFormat="1" hidden="1" outlineLevel="1">
      <c r="A1481" s="8">
        <v>44208</v>
      </c>
      <c r="B1481" s="1860">
        <v>2724.40371</v>
      </c>
      <c r="C1481" s="1860">
        <v>3910.4052999999999</v>
      </c>
      <c r="D1481" s="1860">
        <v>4228.8600399999996</v>
      </c>
      <c r="E1481" s="1860">
        <v>4738.0553399999999</v>
      </c>
      <c r="F1481">
        <v>33.379170000000002</v>
      </c>
      <c r="G1481" s="1861">
        <v>3478.11</v>
      </c>
      <c r="I1481">
        <v>0.7833</v>
      </c>
      <c r="J1481">
        <v>1.12429</v>
      </c>
      <c r="K1481">
        <v>1.2158500000000001</v>
      </c>
      <c r="L1481">
        <v>1.36225</v>
      </c>
      <c r="M1481">
        <v>9.5899999999999996E-3</v>
      </c>
      <c r="N1481">
        <v>1</v>
      </c>
      <c r="P1481">
        <v>1.2766500000000001</v>
      </c>
      <c r="Q1481">
        <v>0.88944999999999996</v>
      </c>
      <c r="R1481">
        <v>0.82245999999999997</v>
      </c>
      <c r="S1481">
        <v>0.73407</v>
      </c>
      <c r="T1481">
        <v>104.2</v>
      </c>
      <c r="U1481">
        <v>1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</row>
    <row r="1482" spans="1:35" s="1857" customFormat="1" hidden="1" outlineLevel="1">
      <c r="A1482" s="8">
        <v>44209</v>
      </c>
      <c r="B1482" s="1860">
        <v>2741.9709800000001</v>
      </c>
      <c r="C1482" s="1860">
        <v>3928.6398100000001</v>
      </c>
      <c r="D1482" s="1860">
        <v>4241.1567800000003</v>
      </c>
      <c r="E1482" s="1860">
        <v>4756.4570700000004</v>
      </c>
      <c r="F1482">
        <v>33.556060000000002</v>
      </c>
      <c r="G1482" s="1861">
        <v>3487.65</v>
      </c>
      <c r="I1482">
        <v>0.78619000000000006</v>
      </c>
      <c r="J1482">
        <v>1.1264400000000001</v>
      </c>
      <c r="K1482">
        <v>1.2160500000000001</v>
      </c>
      <c r="L1482">
        <v>1.3637999999999999</v>
      </c>
      <c r="M1482">
        <v>9.6200000000000001E-3</v>
      </c>
      <c r="N1482">
        <v>1</v>
      </c>
      <c r="P1482">
        <v>1.2719499999999999</v>
      </c>
      <c r="Q1482">
        <v>0.88775000000000004</v>
      </c>
      <c r="R1482">
        <v>0.82233000000000001</v>
      </c>
      <c r="S1482">
        <v>0.73324</v>
      </c>
      <c r="T1482">
        <v>103.935</v>
      </c>
      <c r="U1482">
        <v>1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</row>
    <row r="1483" spans="1:35" s="1857" customFormat="1" hidden="1" outlineLevel="1">
      <c r="A1483" s="8">
        <v>44210</v>
      </c>
      <c r="B1483" s="1860">
        <v>2748.60529</v>
      </c>
      <c r="C1483" s="1860">
        <v>3912.88598</v>
      </c>
      <c r="D1483" s="1860">
        <v>4220.9898599999997</v>
      </c>
      <c r="E1483" s="1860">
        <v>4758.04864</v>
      </c>
      <c r="F1483">
        <v>33.502139999999997</v>
      </c>
      <c r="G1483" s="1861">
        <v>3478.36</v>
      </c>
      <c r="I1483">
        <v>0.79020000000000001</v>
      </c>
      <c r="J1483">
        <v>1.1249199999999999</v>
      </c>
      <c r="K1483">
        <v>1.2135</v>
      </c>
      <c r="L1483">
        <v>1.3678999999999999</v>
      </c>
      <c r="M1483">
        <v>9.6299999999999997E-3</v>
      </c>
      <c r="N1483">
        <v>1</v>
      </c>
      <c r="P1483">
        <v>1.2655000000000001</v>
      </c>
      <c r="Q1483">
        <v>0.88895000000000002</v>
      </c>
      <c r="R1483">
        <v>0.82406000000000001</v>
      </c>
      <c r="S1483">
        <v>0.73104000000000002</v>
      </c>
      <c r="T1483">
        <v>103.825</v>
      </c>
      <c r="U1483">
        <v>1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</row>
    <row r="1484" spans="1:35" s="1857" customFormat="1" hidden="1" outlineLevel="1">
      <c r="A1484" s="8">
        <v>44211</v>
      </c>
      <c r="B1484" s="1860">
        <v>2719.4607700000001</v>
      </c>
      <c r="C1484" s="1860">
        <v>3897.7308400000002</v>
      </c>
      <c r="D1484" s="1860">
        <v>4195.80728</v>
      </c>
      <c r="E1484" s="1860">
        <v>4712.2810499999996</v>
      </c>
      <c r="F1484">
        <v>33.403219999999997</v>
      </c>
      <c r="G1484" s="1861">
        <v>3469.76</v>
      </c>
      <c r="I1484">
        <v>0.78376000000000001</v>
      </c>
      <c r="J1484">
        <v>1.12334</v>
      </c>
      <c r="K1484">
        <v>1.2092499999999999</v>
      </c>
      <c r="L1484">
        <v>1.3581000000000001</v>
      </c>
      <c r="M1484">
        <v>9.6200000000000001E-3</v>
      </c>
      <c r="N1484">
        <v>1</v>
      </c>
      <c r="P1484">
        <v>1.2759</v>
      </c>
      <c r="Q1484">
        <v>0.89019999999999999</v>
      </c>
      <c r="R1484">
        <v>0.82694999999999996</v>
      </c>
      <c r="S1484">
        <v>0.73631999999999997</v>
      </c>
      <c r="T1484">
        <v>103.875</v>
      </c>
      <c r="U1484">
        <v>1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</row>
    <row r="1485" spans="1:35" s="1857" customFormat="1" hidden="1" outlineLevel="1">
      <c r="A1485" s="8">
        <v>44212</v>
      </c>
      <c r="B1485" s="1860">
        <v>2717.14084</v>
      </c>
      <c r="C1485" s="1860">
        <v>3894.4057499999999</v>
      </c>
      <c r="D1485" s="1860">
        <v>4192.2278999999999</v>
      </c>
      <c r="E1485" s="1860">
        <v>4708.2610800000002</v>
      </c>
      <c r="F1485">
        <v>33.374720000000003</v>
      </c>
      <c r="G1485" s="1861">
        <v>3466.8</v>
      </c>
      <c r="I1485">
        <v>0.78376000000000001</v>
      </c>
      <c r="J1485">
        <v>1.12334</v>
      </c>
      <c r="K1485">
        <v>1.2092499999999999</v>
      </c>
      <c r="L1485">
        <v>1.3581000000000001</v>
      </c>
      <c r="M1485">
        <v>9.6200000000000001E-3</v>
      </c>
      <c r="N1485">
        <v>1</v>
      </c>
      <c r="P1485">
        <v>1.2759</v>
      </c>
      <c r="Q1485">
        <v>0.89019999999999999</v>
      </c>
      <c r="R1485">
        <v>0.82694999999999996</v>
      </c>
      <c r="S1485">
        <v>0.73631999999999997</v>
      </c>
      <c r="T1485">
        <v>103.875</v>
      </c>
      <c r="U1485">
        <v>1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</row>
    <row r="1486" spans="1:35" s="1857" customFormat="1" hidden="1" outlineLevel="1">
      <c r="A1486" s="8">
        <v>44213</v>
      </c>
      <c r="B1486" s="1860">
        <v>2717.14084</v>
      </c>
      <c r="C1486" s="1860">
        <v>3894.4057499999999</v>
      </c>
      <c r="D1486" s="1860">
        <v>4192.2278999999999</v>
      </c>
      <c r="E1486" s="1860">
        <v>4708.2610800000002</v>
      </c>
      <c r="F1486">
        <v>33.374720000000003</v>
      </c>
      <c r="G1486" s="1861">
        <v>3466.8</v>
      </c>
      <c r="I1486">
        <v>0.78376000000000001</v>
      </c>
      <c r="J1486">
        <v>1.12334</v>
      </c>
      <c r="K1486">
        <v>1.2092499999999999</v>
      </c>
      <c r="L1486">
        <v>1.3581000000000001</v>
      </c>
      <c r="M1486">
        <v>9.6200000000000001E-3</v>
      </c>
      <c r="N1486">
        <v>1</v>
      </c>
      <c r="P1486">
        <v>1.2759</v>
      </c>
      <c r="Q1486">
        <v>0.89019999999999999</v>
      </c>
      <c r="R1486">
        <v>0.82694999999999996</v>
      </c>
      <c r="S1486">
        <v>0.73631999999999997</v>
      </c>
      <c r="T1486">
        <v>103.875</v>
      </c>
      <c r="U1486">
        <v>1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</row>
    <row r="1487" spans="1:35" s="1857" customFormat="1" hidden="1" outlineLevel="1">
      <c r="A1487" s="8">
        <v>44214</v>
      </c>
      <c r="B1487" s="1860">
        <v>2716.5021099999999</v>
      </c>
      <c r="C1487" s="1860">
        <v>3892.65663</v>
      </c>
      <c r="D1487" s="1860">
        <v>4186.1610000000001</v>
      </c>
      <c r="E1487" s="1860">
        <v>4706.3543399999999</v>
      </c>
      <c r="F1487">
        <v>33.431049999999999</v>
      </c>
      <c r="G1487" s="1861">
        <v>3466.8</v>
      </c>
      <c r="I1487">
        <v>0.78356999999999999</v>
      </c>
      <c r="J1487">
        <v>1.12283</v>
      </c>
      <c r="K1487">
        <v>1.2075</v>
      </c>
      <c r="L1487">
        <v>1.35755</v>
      </c>
      <c r="M1487">
        <v>9.6399999999999993E-3</v>
      </c>
      <c r="N1487">
        <v>1</v>
      </c>
      <c r="P1487">
        <v>1.2762</v>
      </c>
      <c r="Q1487">
        <v>0.89059999999999995</v>
      </c>
      <c r="R1487">
        <v>0.82815000000000005</v>
      </c>
      <c r="S1487">
        <v>0.73662000000000005</v>
      </c>
      <c r="T1487">
        <v>103.7</v>
      </c>
      <c r="U1487">
        <v>1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</row>
    <row r="1488" spans="1:35" s="1857" customFormat="1" hidden="1" outlineLevel="1">
      <c r="A1488" s="8">
        <v>44215</v>
      </c>
      <c r="B1488" s="1860">
        <v>2722.0477299999998</v>
      </c>
      <c r="C1488" s="1860">
        <v>3902.07665</v>
      </c>
      <c r="D1488" s="1860">
        <v>4204.3617000000004</v>
      </c>
      <c r="E1488" s="1860">
        <v>4720.3948799999998</v>
      </c>
      <c r="F1488">
        <v>33.365090000000002</v>
      </c>
      <c r="G1488" s="1861">
        <v>3466.8</v>
      </c>
      <c r="I1488">
        <v>0.78517000000000003</v>
      </c>
      <c r="J1488">
        <v>1.1255500000000001</v>
      </c>
      <c r="K1488">
        <v>1.21275</v>
      </c>
      <c r="L1488">
        <v>1.3615999999999999</v>
      </c>
      <c r="M1488">
        <v>9.6200000000000001E-3</v>
      </c>
      <c r="N1488">
        <v>1</v>
      </c>
      <c r="P1488">
        <v>1.2736000000000001</v>
      </c>
      <c r="Q1488">
        <v>0.88844999999999996</v>
      </c>
      <c r="R1488">
        <v>0.82457000000000003</v>
      </c>
      <c r="S1488">
        <v>0.73443000000000003</v>
      </c>
      <c r="T1488">
        <v>103.905</v>
      </c>
      <c r="U1488">
        <v>1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</row>
    <row r="1489" spans="1:35" s="1857" customFormat="1" hidden="1" outlineLevel="1">
      <c r="A1489" s="8">
        <v>44216</v>
      </c>
      <c r="B1489" s="1860">
        <v>2757.17</v>
      </c>
      <c r="C1489" s="1860">
        <v>3909.3185100000001</v>
      </c>
      <c r="D1489" s="1860">
        <v>4214.9973099999997</v>
      </c>
      <c r="E1489" s="1860">
        <v>4746.5291900000002</v>
      </c>
      <c r="F1489">
        <v>33.620060000000002</v>
      </c>
      <c r="G1489" s="1861">
        <v>3482.03</v>
      </c>
      <c r="I1489">
        <v>0.79181999999999997</v>
      </c>
      <c r="J1489">
        <v>1.1227100000000001</v>
      </c>
      <c r="K1489">
        <v>1.2104999999999999</v>
      </c>
      <c r="L1489">
        <v>1.3631500000000001</v>
      </c>
      <c r="M1489">
        <v>9.6500000000000006E-3</v>
      </c>
      <c r="N1489">
        <v>1</v>
      </c>
      <c r="P1489">
        <v>1.2628999999999999</v>
      </c>
      <c r="Q1489">
        <v>0.89070000000000005</v>
      </c>
      <c r="R1489">
        <v>0.82609999999999995</v>
      </c>
      <c r="S1489">
        <v>0.73358999999999996</v>
      </c>
      <c r="T1489">
        <v>103.57</v>
      </c>
      <c r="U1489">
        <v>1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</row>
    <row r="1490" spans="1:35" s="1857" customFormat="1" hidden="1" outlineLevel="1">
      <c r="A1490" s="8">
        <v>44217</v>
      </c>
      <c r="B1490" s="1860">
        <v>2754.5087100000001</v>
      </c>
      <c r="C1490" s="1860">
        <v>3922.3582500000002</v>
      </c>
      <c r="D1490" s="1860">
        <v>4223.7446499999996</v>
      </c>
      <c r="E1490" s="1860">
        <v>4771.4183899999998</v>
      </c>
      <c r="F1490">
        <v>33.563670000000002</v>
      </c>
      <c r="G1490" s="1861">
        <v>3476.19</v>
      </c>
      <c r="I1490">
        <v>0.79239000000000004</v>
      </c>
      <c r="J1490">
        <v>1.1283399999999999</v>
      </c>
      <c r="K1490">
        <v>1.21505</v>
      </c>
      <c r="L1490">
        <v>1.3726</v>
      </c>
      <c r="M1490">
        <v>9.6500000000000006E-3</v>
      </c>
      <c r="N1490">
        <v>1</v>
      </c>
      <c r="P1490">
        <v>1.262</v>
      </c>
      <c r="Q1490">
        <v>0.88624999999999998</v>
      </c>
      <c r="R1490">
        <v>0.82301000000000002</v>
      </c>
      <c r="S1490">
        <v>0.72853999999999997</v>
      </c>
      <c r="T1490">
        <v>103.57</v>
      </c>
      <c r="U1490">
        <v>1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</row>
    <row r="1491" spans="1:35" s="1857" customFormat="1" hidden="1" outlineLevel="1">
      <c r="A1491" s="8">
        <v>44218</v>
      </c>
      <c r="B1491" s="1860">
        <v>2734.5128500000001</v>
      </c>
      <c r="C1491" s="1860">
        <v>3927.8025600000001</v>
      </c>
      <c r="D1491" s="1860">
        <v>4232.9625299999998</v>
      </c>
      <c r="E1491" s="1860">
        <v>4754.2367800000002</v>
      </c>
      <c r="F1491">
        <v>33.501730000000002</v>
      </c>
      <c r="G1491" s="1861">
        <v>3477.48</v>
      </c>
      <c r="I1491">
        <v>0.78634000000000004</v>
      </c>
      <c r="J1491">
        <v>1.1294900000000001</v>
      </c>
      <c r="K1491">
        <v>1.2172499999999999</v>
      </c>
      <c r="L1491">
        <v>1.3671500000000001</v>
      </c>
      <c r="M1491">
        <v>9.6299999999999997E-3</v>
      </c>
      <c r="N1491">
        <v>1</v>
      </c>
      <c r="P1491">
        <v>1.2717000000000001</v>
      </c>
      <c r="Q1491">
        <v>0.88534999999999997</v>
      </c>
      <c r="R1491">
        <v>0.82152000000000003</v>
      </c>
      <c r="S1491">
        <v>0.73143999999999998</v>
      </c>
      <c r="T1491">
        <v>103.8</v>
      </c>
      <c r="U1491">
        <v>1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</row>
    <row r="1492" spans="1:35" s="1857" customFormat="1" hidden="1" outlineLevel="1">
      <c r="A1492" s="8">
        <v>44219</v>
      </c>
      <c r="B1492" s="1860">
        <v>2772.07674</v>
      </c>
      <c r="C1492" s="1860">
        <v>3981.7586200000001</v>
      </c>
      <c r="D1492" s="1860">
        <v>4291.1105600000001</v>
      </c>
      <c r="E1492" s="1860">
        <v>4819.5455300000003</v>
      </c>
      <c r="F1492">
        <v>33.961939999999998</v>
      </c>
      <c r="G1492" s="1861">
        <v>3525.25</v>
      </c>
      <c r="I1492">
        <v>0.78634000000000004</v>
      </c>
      <c r="J1492">
        <v>1.1294900000000001</v>
      </c>
      <c r="K1492">
        <v>1.2172499999999999</v>
      </c>
      <c r="L1492">
        <v>1.3671500000000001</v>
      </c>
      <c r="M1492">
        <v>9.6299999999999997E-3</v>
      </c>
      <c r="N1492">
        <v>1</v>
      </c>
      <c r="P1492">
        <v>1.2717000000000001</v>
      </c>
      <c r="Q1492">
        <v>0.88534999999999997</v>
      </c>
      <c r="R1492">
        <v>0.82152000000000003</v>
      </c>
      <c r="S1492">
        <v>0.73143999999999998</v>
      </c>
      <c r="T1492">
        <v>103.8</v>
      </c>
      <c r="U1492">
        <v>1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</row>
    <row r="1493" spans="1:35" s="1857" customFormat="1" hidden="1" outlineLevel="1">
      <c r="A1493" s="8">
        <v>44220</v>
      </c>
      <c r="B1493" s="1860">
        <v>2772.07674</v>
      </c>
      <c r="C1493" s="1860">
        <v>3981.7586200000001</v>
      </c>
      <c r="D1493" s="1860">
        <v>4291.1105600000001</v>
      </c>
      <c r="E1493" s="1860">
        <v>4819.5455300000003</v>
      </c>
      <c r="F1493">
        <v>33.961939999999998</v>
      </c>
      <c r="G1493" s="1861">
        <v>3525.25</v>
      </c>
      <c r="I1493">
        <v>0.78634000000000004</v>
      </c>
      <c r="J1493">
        <v>1.1294900000000001</v>
      </c>
      <c r="K1493">
        <v>1.2172499999999999</v>
      </c>
      <c r="L1493">
        <v>1.3671500000000001</v>
      </c>
      <c r="M1493">
        <v>9.6299999999999997E-3</v>
      </c>
      <c r="N1493">
        <v>1</v>
      </c>
      <c r="P1493">
        <v>1.2717000000000001</v>
      </c>
      <c r="Q1493">
        <v>0.88534999999999997</v>
      </c>
      <c r="R1493">
        <v>0.82152000000000003</v>
      </c>
      <c r="S1493">
        <v>0.73143999999999998</v>
      </c>
      <c r="T1493">
        <v>103.8</v>
      </c>
      <c r="U1493">
        <v>1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</row>
    <row r="1494" spans="1:35" hidden="1" outlineLevel="1">
      <c r="A1494" s="8">
        <v>44221</v>
      </c>
      <c r="B1494" s="1860">
        <v>2765.55267</v>
      </c>
      <c r="C1494" s="1860">
        <v>3966.7491799999998</v>
      </c>
      <c r="D1494" s="1860">
        <v>4276.1282499999998</v>
      </c>
      <c r="E1494" s="1860">
        <v>4819.3692700000001</v>
      </c>
      <c r="F1494">
        <v>33.968490000000003</v>
      </c>
      <c r="G1494" s="1861">
        <v>3525.25</v>
      </c>
      <c r="I1494">
        <v>0.78449000000000002</v>
      </c>
      <c r="J1494">
        <v>1.12523</v>
      </c>
      <c r="K1494">
        <v>1.2130000000000001</v>
      </c>
      <c r="L1494">
        <v>1.3671</v>
      </c>
      <c r="M1494">
        <v>9.6299999999999997E-3</v>
      </c>
      <c r="N1494">
        <v>1</v>
      </c>
      <c r="P1494">
        <v>1.2746999999999999</v>
      </c>
      <c r="Q1494">
        <v>0.88870000000000005</v>
      </c>
      <c r="R1494">
        <v>0.82440000000000002</v>
      </c>
      <c r="S1494">
        <v>0.73146999999999995</v>
      </c>
      <c r="T1494">
        <v>103.78</v>
      </c>
      <c r="U1494">
        <v>1</v>
      </c>
    </row>
    <row r="1495" spans="1:35" hidden="1" outlineLevel="1">
      <c r="A1495" s="8">
        <v>44222</v>
      </c>
      <c r="B1495" s="1860">
        <v>2819.46324</v>
      </c>
      <c r="C1495" s="1860">
        <v>4036.7457300000001</v>
      </c>
      <c r="D1495" s="1860">
        <v>4358.5391200000004</v>
      </c>
      <c r="E1495" s="1860">
        <v>4922.9478200000003</v>
      </c>
      <c r="F1495">
        <v>34.564230000000002</v>
      </c>
      <c r="G1495" s="1861">
        <v>3582.41</v>
      </c>
      <c r="I1495">
        <v>0.78702000000000005</v>
      </c>
      <c r="J1495">
        <v>1.1268199999999999</v>
      </c>
      <c r="K1495">
        <v>1.21665</v>
      </c>
      <c r="L1495">
        <v>1.3742000000000001</v>
      </c>
      <c r="M1495">
        <v>9.6399999999999993E-3</v>
      </c>
      <c r="N1495">
        <v>1</v>
      </c>
      <c r="P1495">
        <v>1.2706</v>
      </c>
      <c r="Q1495">
        <v>0.88744999999999996</v>
      </c>
      <c r="R1495">
        <v>0.82191999999999998</v>
      </c>
      <c r="S1495">
        <v>0.72768999999999995</v>
      </c>
      <c r="T1495">
        <v>103.645</v>
      </c>
      <c r="U1495">
        <v>1</v>
      </c>
    </row>
    <row r="1496" spans="1:35" hidden="1" outlineLevel="1">
      <c r="A1496" s="8">
        <v>44223</v>
      </c>
      <c r="B1496" s="1860">
        <v>2811.3346299999998</v>
      </c>
      <c r="C1496" s="1860">
        <v>4037.6391199999998</v>
      </c>
      <c r="D1496" s="1860">
        <v>4342.4584599999998</v>
      </c>
      <c r="E1496" s="1860">
        <v>4921.4050399999996</v>
      </c>
      <c r="F1496">
        <v>34.498629999999999</v>
      </c>
      <c r="G1496" s="1861">
        <v>3591.48</v>
      </c>
      <c r="I1496">
        <v>0.78276999999999997</v>
      </c>
      <c r="J1496">
        <v>1.12422</v>
      </c>
      <c r="K1496">
        <v>1.2091000000000001</v>
      </c>
      <c r="L1496">
        <v>1.3703000000000001</v>
      </c>
      <c r="M1496">
        <v>9.5999999999999992E-3</v>
      </c>
      <c r="N1496">
        <v>1</v>
      </c>
      <c r="P1496">
        <v>1.2775000000000001</v>
      </c>
      <c r="Q1496">
        <v>0.88949999999999996</v>
      </c>
      <c r="R1496">
        <v>0.82706000000000002</v>
      </c>
      <c r="S1496">
        <v>0.72975999999999996</v>
      </c>
      <c r="T1496">
        <v>104.105</v>
      </c>
      <c r="U1496">
        <v>1</v>
      </c>
    </row>
    <row r="1497" spans="1:35" hidden="1" outlineLevel="1">
      <c r="A1497" s="8">
        <v>44224</v>
      </c>
      <c r="B1497" s="1860">
        <v>2840.2264700000001</v>
      </c>
      <c r="C1497" s="1860">
        <v>4093.31457</v>
      </c>
      <c r="D1497" s="1860">
        <v>4408.8441400000002</v>
      </c>
      <c r="E1497" s="1860">
        <v>4989.8405199999997</v>
      </c>
      <c r="F1497">
        <v>34.866349999999997</v>
      </c>
      <c r="G1497" s="1861">
        <v>3636.91</v>
      </c>
      <c r="I1497">
        <v>0.78093999999999997</v>
      </c>
      <c r="J1497">
        <v>1.1254900000000001</v>
      </c>
      <c r="K1497">
        <v>1.21225</v>
      </c>
      <c r="L1497">
        <v>1.3720000000000001</v>
      </c>
      <c r="M1497">
        <v>9.58E-3</v>
      </c>
      <c r="N1497">
        <v>1</v>
      </c>
      <c r="P1497">
        <v>1.2805</v>
      </c>
      <c r="Q1497">
        <v>0.88849999999999996</v>
      </c>
      <c r="R1497">
        <v>0.82491000000000003</v>
      </c>
      <c r="S1497">
        <v>0.72885999999999995</v>
      </c>
      <c r="T1497">
        <v>104.31</v>
      </c>
      <c r="U1497">
        <v>1</v>
      </c>
    </row>
    <row r="1498" spans="1:35" hidden="1" outlineLevel="1">
      <c r="A1498" s="8">
        <v>44225</v>
      </c>
      <c r="B1498" s="1860">
        <v>2806.7165</v>
      </c>
      <c r="C1498" s="1860">
        <v>4030.3956800000001</v>
      </c>
      <c r="D1498" s="1860">
        <v>4355.9510499999997</v>
      </c>
      <c r="E1498" s="1860">
        <v>4923.5262000000002</v>
      </c>
      <c r="F1498">
        <v>34.246519999999997</v>
      </c>
      <c r="G1498" s="1861">
        <v>3585.44</v>
      </c>
      <c r="I1498">
        <v>0.78280000000000005</v>
      </c>
      <c r="J1498">
        <v>1.1241000000000001</v>
      </c>
      <c r="K1498">
        <v>1.2149000000000001</v>
      </c>
      <c r="L1498">
        <v>1.3732</v>
      </c>
      <c r="M1498">
        <v>9.5499999999999995E-3</v>
      </c>
      <c r="N1498">
        <v>1</v>
      </c>
      <c r="P1498">
        <v>1.27745</v>
      </c>
      <c r="Q1498">
        <v>0.88959999999999995</v>
      </c>
      <c r="R1498">
        <v>0.82311000000000001</v>
      </c>
      <c r="S1498">
        <v>0.72821999999999998</v>
      </c>
      <c r="T1498">
        <v>104.69499999999999</v>
      </c>
      <c r="U1498">
        <v>1</v>
      </c>
    </row>
    <row r="1499" spans="1:35" hidden="1" outlineLevel="1">
      <c r="A1499" s="8">
        <v>44226</v>
      </c>
      <c r="B1499" s="1860">
        <v>2786.3791099999999</v>
      </c>
      <c r="C1499" s="1860">
        <v>4001.1915399999998</v>
      </c>
      <c r="D1499" s="1860">
        <v>4324.3879500000003</v>
      </c>
      <c r="E1499" s="1860">
        <v>4887.8504700000003</v>
      </c>
      <c r="F1499">
        <v>33.998370000000001</v>
      </c>
      <c r="G1499" s="1861">
        <v>3559.46</v>
      </c>
      <c r="I1499">
        <v>0.78280000000000005</v>
      </c>
      <c r="J1499">
        <v>1.1241000000000001</v>
      </c>
      <c r="K1499">
        <v>1.2149000000000001</v>
      </c>
      <c r="L1499">
        <v>1.3732</v>
      </c>
      <c r="M1499">
        <v>9.5499999999999995E-3</v>
      </c>
      <c r="N1499">
        <v>1</v>
      </c>
      <c r="P1499">
        <v>1.27745</v>
      </c>
      <c r="Q1499">
        <v>0.88959999999999995</v>
      </c>
      <c r="R1499">
        <v>0.82311000000000001</v>
      </c>
      <c r="S1499">
        <v>0.72821999999999998</v>
      </c>
      <c r="T1499">
        <v>104.69499999999999</v>
      </c>
      <c r="U1499">
        <v>1</v>
      </c>
    </row>
    <row r="1500" spans="1:35" ht="15.75" hidden="1" outlineLevel="1" thickBot="1">
      <c r="A1500" s="1868">
        <v>44227</v>
      </c>
      <c r="B1500" s="1869">
        <v>2786.3791099999999</v>
      </c>
      <c r="C1500" s="1869">
        <v>4001.1915399999998</v>
      </c>
      <c r="D1500" s="1869">
        <v>4324.3879500000003</v>
      </c>
      <c r="E1500" s="1869">
        <v>4887.8504700000003</v>
      </c>
      <c r="F1500" s="1870">
        <v>33.998370000000001</v>
      </c>
      <c r="G1500" s="1871">
        <v>3559.46</v>
      </c>
      <c r="H1500" s="1872"/>
      <c r="I1500" s="1870">
        <v>0.78280000000000005</v>
      </c>
      <c r="J1500" s="1870">
        <v>1.1241000000000001</v>
      </c>
      <c r="K1500" s="1870">
        <v>1.2149000000000001</v>
      </c>
      <c r="L1500" s="1870">
        <v>1.3732</v>
      </c>
      <c r="M1500" s="1870">
        <v>9.5499999999999995E-3</v>
      </c>
      <c r="N1500" s="1870">
        <v>1</v>
      </c>
      <c r="O1500" s="1872"/>
      <c r="P1500" s="1870">
        <v>1.27745</v>
      </c>
      <c r="Q1500" s="1870">
        <v>0.88959999999999995</v>
      </c>
      <c r="R1500" s="1870">
        <v>0.82311000000000001</v>
      </c>
      <c r="S1500" s="1870">
        <v>0.72821999999999998</v>
      </c>
      <c r="T1500" s="1870">
        <v>104.69499999999999</v>
      </c>
      <c r="U1500" s="1870">
        <v>1</v>
      </c>
      <c r="V1500" s="1872"/>
    </row>
    <row r="1501" spans="1:35" hidden="1" outlineLevel="1">
      <c r="A1501" s="8">
        <v>44228</v>
      </c>
      <c r="B1501" s="1860">
        <v>2773.02898</v>
      </c>
      <c r="C1501" s="1860">
        <v>3973.7203399999999</v>
      </c>
      <c r="D1501" s="1860">
        <v>4300.7175399999996</v>
      </c>
      <c r="E1501" s="1860">
        <v>4863.11222</v>
      </c>
      <c r="F1501">
        <v>33.910919999999997</v>
      </c>
      <c r="G1501" s="1861">
        <v>3559.46</v>
      </c>
      <c r="I1501">
        <v>0.77905000000000002</v>
      </c>
      <c r="J1501">
        <v>1.1163799999999999</v>
      </c>
      <c r="K1501">
        <v>1.20825</v>
      </c>
      <c r="L1501">
        <v>1.36625</v>
      </c>
      <c r="M1501">
        <v>9.5200000000000007E-3</v>
      </c>
      <c r="N1501">
        <v>1</v>
      </c>
      <c r="P1501">
        <v>1.2836000000000001</v>
      </c>
      <c r="Q1501">
        <v>0.89575000000000005</v>
      </c>
      <c r="R1501">
        <v>0.82764000000000004</v>
      </c>
      <c r="S1501">
        <v>0.73192999999999997</v>
      </c>
      <c r="T1501">
        <v>104.965</v>
      </c>
      <c r="U1501">
        <v>1</v>
      </c>
    </row>
    <row r="1502" spans="1:35" hidden="1" outlineLevel="1">
      <c r="A1502" s="8">
        <v>44229</v>
      </c>
      <c r="B1502" s="1860">
        <v>2775.59816</v>
      </c>
      <c r="C1502" s="1860">
        <v>3962.3609200000001</v>
      </c>
      <c r="D1502" s="1860">
        <v>4283.7938999999997</v>
      </c>
      <c r="E1502" s="1860">
        <v>4853.6130999999996</v>
      </c>
      <c r="F1502">
        <v>33.885530000000003</v>
      </c>
      <c r="G1502" s="1861">
        <v>3561.37</v>
      </c>
      <c r="I1502">
        <v>0.77936000000000005</v>
      </c>
      <c r="J1502">
        <v>1.11259</v>
      </c>
      <c r="K1502">
        <v>1.20285</v>
      </c>
      <c r="L1502">
        <v>1.3628499999999999</v>
      </c>
      <c r="M1502">
        <v>9.5099999999999994E-3</v>
      </c>
      <c r="N1502">
        <v>1</v>
      </c>
      <c r="P1502">
        <v>1.2830999999999999</v>
      </c>
      <c r="Q1502">
        <v>0.89880000000000004</v>
      </c>
      <c r="R1502">
        <v>0.83135000000000003</v>
      </c>
      <c r="S1502">
        <v>0.73375000000000001</v>
      </c>
      <c r="T1502">
        <v>105.1</v>
      </c>
      <c r="U1502">
        <v>1</v>
      </c>
    </row>
    <row r="1503" spans="1:35" hidden="1" outlineLevel="1">
      <c r="A1503" s="8">
        <v>44230</v>
      </c>
      <c r="B1503" s="1860">
        <v>2764.51865</v>
      </c>
      <c r="C1503" s="1860">
        <v>3929.73153</v>
      </c>
      <c r="D1503" s="1860">
        <v>4246.4067299999997</v>
      </c>
      <c r="E1503" s="1860">
        <v>4823.4938499999998</v>
      </c>
      <c r="F1503">
        <v>33.642539999999997</v>
      </c>
      <c r="G1503" s="1861">
        <v>3534.99</v>
      </c>
      <c r="I1503">
        <v>0.78203999999999996</v>
      </c>
      <c r="J1503">
        <v>1.1116600000000001</v>
      </c>
      <c r="K1503">
        <v>1.2012499999999999</v>
      </c>
      <c r="L1503">
        <v>1.3645</v>
      </c>
      <c r="M1503">
        <v>9.5099999999999994E-3</v>
      </c>
      <c r="N1503">
        <v>1</v>
      </c>
      <c r="P1503">
        <v>1.2786999999999999</v>
      </c>
      <c r="Q1503">
        <v>0.89954999999999996</v>
      </c>
      <c r="R1503">
        <v>0.83245999999999998</v>
      </c>
      <c r="S1503">
        <v>0.73285999999999996</v>
      </c>
      <c r="T1503">
        <v>105.075</v>
      </c>
      <c r="U1503">
        <v>1</v>
      </c>
    </row>
    <row r="1504" spans="1:35" hidden="1" outlineLevel="1">
      <c r="A1504" s="8">
        <v>44231</v>
      </c>
      <c r="B1504" s="1860">
        <v>2743.96884</v>
      </c>
      <c r="C1504" s="1860">
        <v>3899.88375</v>
      </c>
      <c r="D1504" s="1860">
        <v>4219.5104700000002</v>
      </c>
      <c r="E1504" s="1860">
        <v>4810.7738399999998</v>
      </c>
      <c r="F1504">
        <v>33.414619999999999</v>
      </c>
      <c r="G1504" s="1861">
        <v>3522.57</v>
      </c>
      <c r="I1504">
        <v>0.77895999999999999</v>
      </c>
      <c r="J1504">
        <v>1.10711</v>
      </c>
      <c r="K1504">
        <v>1.1978500000000001</v>
      </c>
      <c r="L1504">
        <v>1.3656999999999999</v>
      </c>
      <c r="M1504">
        <v>9.4800000000000006E-3</v>
      </c>
      <c r="N1504">
        <v>1</v>
      </c>
      <c r="P1504">
        <v>1.2837499999999999</v>
      </c>
      <c r="Q1504">
        <v>0.90325</v>
      </c>
      <c r="R1504">
        <v>0.83482000000000001</v>
      </c>
      <c r="S1504">
        <v>0.73221999999999998</v>
      </c>
      <c r="T1504">
        <v>105.42</v>
      </c>
      <c r="U1504">
        <v>1</v>
      </c>
    </row>
    <row r="1505" spans="1:35" hidden="1" outlineLevel="1">
      <c r="A1505" s="8">
        <v>44232</v>
      </c>
      <c r="B1505" s="1860">
        <v>2786.0565200000001</v>
      </c>
      <c r="C1505" s="1860">
        <v>3951.8378600000001</v>
      </c>
      <c r="D1505" s="1860">
        <v>4279.4305000000004</v>
      </c>
      <c r="E1505" s="1860">
        <v>4884.3976000000002</v>
      </c>
      <c r="F1505">
        <v>33.742280000000001</v>
      </c>
      <c r="G1505" s="1861">
        <v>3558.63</v>
      </c>
      <c r="I1505">
        <v>0.78290000000000004</v>
      </c>
      <c r="J1505">
        <v>1.11049</v>
      </c>
      <c r="K1505">
        <v>1.20255</v>
      </c>
      <c r="L1505">
        <v>1.3725499999999999</v>
      </c>
      <c r="M1505">
        <v>9.4800000000000006E-3</v>
      </c>
      <c r="N1505">
        <v>1</v>
      </c>
      <c r="P1505">
        <v>1.2773000000000001</v>
      </c>
      <c r="Q1505">
        <v>0.90049999999999997</v>
      </c>
      <c r="R1505">
        <v>0.83155999999999997</v>
      </c>
      <c r="S1505">
        <v>0.72857000000000005</v>
      </c>
      <c r="T1505">
        <v>105.465</v>
      </c>
      <c r="U1505">
        <v>1</v>
      </c>
    </row>
    <row r="1506" spans="1:35" hidden="1" outlineLevel="1">
      <c r="A1506" s="8">
        <v>44233</v>
      </c>
      <c r="B1506" s="1860">
        <v>2774.0389799999998</v>
      </c>
      <c r="C1506" s="1860">
        <v>3934.79178</v>
      </c>
      <c r="D1506" s="1860">
        <v>4260.9713599999995</v>
      </c>
      <c r="E1506" s="1860">
        <v>4863.3289599999998</v>
      </c>
      <c r="F1506">
        <v>33.596730000000001</v>
      </c>
      <c r="G1506" s="1861">
        <v>3543.28</v>
      </c>
      <c r="I1506">
        <v>0.78290000000000004</v>
      </c>
      <c r="J1506">
        <v>1.11049</v>
      </c>
      <c r="K1506">
        <v>1.20255</v>
      </c>
      <c r="L1506">
        <v>1.3725499999999999</v>
      </c>
      <c r="M1506">
        <v>9.4800000000000006E-3</v>
      </c>
      <c r="N1506">
        <v>1</v>
      </c>
      <c r="P1506">
        <v>1.2773000000000001</v>
      </c>
      <c r="Q1506">
        <v>0.90049999999999997</v>
      </c>
      <c r="R1506">
        <v>0.83155999999999997</v>
      </c>
      <c r="S1506">
        <v>0.72857000000000005</v>
      </c>
      <c r="T1506">
        <v>105.465</v>
      </c>
      <c r="U1506">
        <v>1</v>
      </c>
    </row>
    <row r="1507" spans="1:35" hidden="1" outlineLevel="1">
      <c r="A1507" s="8">
        <v>44234</v>
      </c>
      <c r="B1507" s="1860">
        <v>2774.0389799999998</v>
      </c>
      <c r="C1507" s="1860">
        <v>3934.79178</v>
      </c>
      <c r="D1507" s="1860">
        <v>4260.9713599999995</v>
      </c>
      <c r="E1507" s="1860">
        <v>4863.3289599999998</v>
      </c>
      <c r="F1507">
        <v>33.596730000000001</v>
      </c>
      <c r="G1507" s="1861">
        <v>3543.28</v>
      </c>
      <c r="I1507">
        <v>0.78290000000000004</v>
      </c>
      <c r="J1507">
        <v>1.11049</v>
      </c>
      <c r="K1507">
        <v>1.20255</v>
      </c>
      <c r="L1507">
        <v>1.3725499999999999</v>
      </c>
      <c r="M1507">
        <v>9.4800000000000006E-3</v>
      </c>
      <c r="N1507">
        <v>1</v>
      </c>
      <c r="P1507">
        <v>1.2773000000000001</v>
      </c>
      <c r="Q1507">
        <v>0.90049999999999997</v>
      </c>
      <c r="R1507">
        <v>0.83155999999999997</v>
      </c>
      <c r="S1507">
        <v>0.72857000000000005</v>
      </c>
      <c r="T1507">
        <v>105.465</v>
      </c>
      <c r="U1507">
        <v>1</v>
      </c>
    </row>
    <row r="1508" spans="1:35" hidden="1" outlineLevel="1">
      <c r="A1508" s="8">
        <v>44235</v>
      </c>
      <c r="B1508" s="1860">
        <v>2778.7162199999998</v>
      </c>
      <c r="C1508" s="1860">
        <v>3941.3570599999998</v>
      </c>
      <c r="D1508" s="1860">
        <v>4268.7665800000004</v>
      </c>
      <c r="E1508" s="1860">
        <v>4869.3525399999999</v>
      </c>
      <c r="F1508">
        <v>33.682960000000001</v>
      </c>
      <c r="G1508" s="1861">
        <v>3543.28</v>
      </c>
      <c r="I1508">
        <v>0.78422000000000003</v>
      </c>
      <c r="J1508">
        <v>1.1123400000000001</v>
      </c>
      <c r="K1508">
        <v>1.20475</v>
      </c>
      <c r="L1508">
        <v>1.37425</v>
      </c>
      <c r="M1508">
        <v>9.4999999999999998E-3</v>
      </c>
      <c r="N1508">
        <v>1</v>
      </c>
      <c r="P1508">
        <v>1.27515</v>
      </c>
      <c r="Q1508">
        <v>0.89900000000000002</v>
      </c>
      <c r="R1508">
        <v>0.83004</v>
      </c>
      <c r="S1508">
        <v>0.72765999999999997</v>
      </c>
      <c r="T1508">
        <v>105.19499999999999</v>
      </c>
      <c r="U1508">
        <v>1</v>
      </c>
    </row>
    <row r="1509" spans="1:35" hidden="1" outlineLevel="1">
      <c r="A1509" s="8">
        <v>44236</v>
      </c>
      <c r="B1509" s="1860">
        <v>2794.31648</v>
      </c>
      <c r="C1509" s="1860">
        <v>3979.45703</v>
      </c>
      <c r="D1509" s="1860">
        <v>4300.23783</v>
      </c>
      <c r="E1509" s="1860">
        <v>4903.99514</v>
      </c>
      <c r="F1509">
        <v>33.988140000000001</v>
      </c>
      <c r="G1509" s="1861">
        <v>3554.65</v>
      </c>
      <c r="I1509">
        <v>0.78610000000000002</v>
      </c>
      <c r="J1509">
        <v>1.1194999999999999</v>
      </c>
      <c r="K1509">
        <v>1.2097500000000001</v>
      </c>
      <c r="L1509">
        <v>1.3795999999999999</v>
      </c>
      <c r="M1509">
        <v>9.5600000000000008E-3</v>
      </c>
      <c r="N1509">
        <v>1</v>
      </c>
      <c r="P1509">
        <v>1.2721</v>
      </c>
      <c r="Q1509">
        <v>0.89324999999999999</v>
      </c>
      <c r="R1509">
        <v>0.82660999999999996</v>
      </c>
      <c r="S1509">
        <v>0.72484000000000004</v>
      </c>
      <c r="T1509">
        <v>104.58499999999999</v>
      </c>
      <c r="U1509">
        <v>1</v>
      </c>
    </row>
    <row r="1510" spans="1:35" s="1857" customFormat="1" hidden="1" outlineLevel="1">
      <c r="A1510" s="8">
        <v>44237</v>
      </c>
      <c r="B1510" s="1860">
        <v>2824.77729</v>
      </c>
      <c r="C1510" s="1860">
        <v>4024.2924499999999</v>
      </c>
      <c r="D1510" s="1860">
        <v>4346.6371499999996</v>
      </c>
      <c r="E1510" s="1860">
        <v>4960.9819299999999</v>
      </c>
      <c r="F1510">
        <v>34.235219999999998</v>
      </c>
      <c r="G1510" s="1861">
        <v>3583.23</v>
      </c>
      <c r="I1510">
        <v>0.78832999999999998</v>
      </c>
      <c r="J1510">
        <v>1.1230899999999999</v>
      </c>
      <c r="K1510">
        <v>1.21305</v>
      </c>
      <c r="L1510">
        <v>1.3845000000000001</v>
      </c>
      <c r="M1510">
        <v>9.5499999999999995E-3</v>
      </c>
      <c r="N1510">
        <v>1</v>
      </c>
      <c r="P1510">
        <v>1.2685</v>
      </c>
      <c r="Q1510">
        <v>0.89039999999999997</v>
      </c>
      <c r="R1510">
        <v>0.82435999999999998</v>
      </c>
      <c r="S1510">
        <v>0.72228000000000003</v>
      </c>
      <c r="T1510">
        <v>104.66500000000001</v>
      </c>
      <c r="U1510">
        <v>1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</row>
    <row r="1511" spans="1:35" s="1857" customFormat="1" hidden="1" outlineLevel="1">
      <c r="A1511" s="8">
        <v>44238</v>
      </c>
      <c r="B1511" s="1860">
        <v>2804.4465399999999</v>
      </c>
      <c r="C1511" s="1860">
        <v>3995.4621999999999</v>
      </c>
      <c r="D1511" s="1860">
        <v>4315.5465100000001</v>
      </c>
      <c r="E1511" s="1860">
        <v>4915.9951199999996</v>
      </c>
      <c r="F1511">
        <v>33.966670000000001</v>
      </c>
      <c r="G1511" s="1861">
        <v>3557.16</v>
      </c>
      <c r="I1511">
        <v>0.78839000000000004</v>
      </c>
      <c r="J1511">
        <v>1.12321</v>
      </c>
      <c r="K1511">
        <v>1.2132000000000001</v>
      </c>
      <c r="L1511">
        <v>1.3819999999999999</v>
      </c>
      <c r="M1511">
        <v>9.5399999999999999E-3</v>
      </c>
      <c r="N1511">
        <v>1</v>
      </c>
      <c r="P1511">
        <v>1.2684</v>
      </c>
      <c r="Q1511">
        <v>0.89029999999999998</v>
      </c>
      <c r="R1511">
        <v>0.82425999999999999</v>
      </c>
      <c r="S1511">
        <v>0.72358</v>
      </c>
      <c r="T1511">
        <v>104.72499999999999</v>
      </c>
      <c r="U1511">
        <v>1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</row>
    <row r="1512" spans="1:35" s="1857" customFormat="1" hidden="1" outlineLevel="1">
      <c r="A1512" s="8">
        <v>44239</v>
      </c>
      <c r="B1512" s="1860">
        <v>2774.6340300000002</v>
      </c>
      <c r="C1512" s="1860">
        <v>3953.8496</v>
      </c>
      <c r="D1512" s="1860">
        <v>4272.3165799999997</v>
      </c>
      <c r="E1512" s="1860">
        <v>4882.2194300000001</v>
      </c>
      <c r="F1512">
        <v>33.583710000000004</v>
      </c>
      <c r="G1512" s="1861">
        <v>3525.45</v>
      </c>
      <c r="I1512">
        <v>0.78702000000000005</v>
      </c>
      <c r="J1512">
        <v>1.12151</v>
      </c>
      <c r="K1512">
        <v>1.2118500000000001</v>
      </c>
      <c r="L1512">
        <v>1.3848499999999999</v>
      </c>
      <c r="M1512">
        <v>9.5200000000000007E-3</v>
      </c>
      <c r="N1512">
        <v>1</v>
      </c>
      <c r="P1512">
        <v>1.2706</v>
      </c>
      <c r="Q1512">
        <v>0.89165000000000005</v>
      </c>
      <c r="R1512">
        <v>0.82518000000000002</v>
      </c>
      <c r="S1512">
        <v>0.72209000000000001</v>
      </c>
      <c r="T1512">
        <v>104.97499999999999</v>
      </c>
      <c r="U1512">
        <v>1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</row>
    <row r="1513" spans="1:35" s="1857" customFormat="1" hidden="1" outlineLevel="1">
      <c r="A1513" s="8">
        <v>44240</v>
      </c>
      <c r="B1513" s="1860">
        <v>2766.9211300000002</v>
      </c>
      <c r="C1513" s="1860">
        <v>3942.8587400000001</v>
      </c>
      <c r="D1513" s="1860">
        <v>4260.4404500000001</v>
      </c>
      <c r="E1513" s="1860">
        <v>4868.6478999999999</v>
      </c>
      <c r="F1513">
        <v>33.490349999999999</v>
      </c>
      <c r="G1513" s="1861">
        <v>3515.65</v>
      </c>
      <c r="I1513">
        <v>0.78702000000000005</v>
      </c>
      <c r="J1513">
        <v>1.12151</v>
      </c>
      <c r="K1513">
        <v>1.2118500000000001</v>
      </c>
      <c r="L1513">
        <v>1.3848499999999999</v>
      </c>
      <c r="M1513">
        <v>9.5200000000000007E-3</v>
      </c>
      <c r="N1513">
        <v>1</v>
      </c>
      <c r="P1513">
        <v>1.2706</v>
      </c>
      <c r="Q1513">
        <v>0.89165000000000005</v>
      </c>
      <c r="R1513">
        <v>0.82518000000000002</v>
      </c>
      <c r="S1513">
        <v>0.72209000000000001</v>
      </c>
      <c r="T1513">
        <v>104.97499999999999</v>
      </c>
      <c r="U1513">
        <v>1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</row>
    <row r="1514" spans="1:35" s="1857" customFormat="1" hidden="1" outlineLevel="1">
      <c r="A1514" s="8">
        <v>44241</v>
      </c>
      <c r="B1514" s="1860">
        <v>2766.9211300000002</v>
      </c>
      <c r="C1514" s="1860">
        <v>3942.8587400000001</v>
      </c>
      <c r="D1514" s="1860">
        <v>4260.4404500000001</v>
      </c>
      <c r="E1514" s="1860">
        <v>4868.6478999999999</v>
      </c>
      <c r="F1514">
        <v>33.490349999999999</v>
      </c>
      <c r="G1514" s="1861">
        <v>3515.65</v>
      </c>
      <c r="I1514">
        <v>0.78702000000000005</v>
      </c>
      <c r="J1514">
        <v>1.12151</v>
      </c>
      <c r="K1514">
        <v>1.2118500000000001</v>
      </c>
      <c r="L1514">
        <v>1.3848499999999999</v>
      </c>
      <c r="M1514">
        <v>9.5200000000000007E-3</v>
      </c>
      <c r="N1514">
        <v>1</v>
      </c>
      <c r="P1514">
        <v>1.2706</v>
      </c>
      <c r="Q1514">
        <v>0.89165000000000005</v>
      </c>
      <c r="R1514">
        <v>0.82518000000000002</v>
      </c>
      <c r="S1514">
        <v>0.72209000000000001</v>
      </c>
      <c r="T1514">
        <v>104.97499999999999</v>
      </c>
      <c r="U1514">
        <v>1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</row>
    <row r="1515" spans="1:35" s="1857" customFormat="1" hidden="1" outlineLevel="1">
      <c r="A1515" s="8">
        <v>44242</v>
      </c>
      <c r="B1515" s="1860">
        <v>2780.3788199999999</v>
      </c>
      <c r="C1515" s="1860">
        <v>3950.6124199999999</v>
      </c>
      <c r="D1515" s="1860">
        <v>4265.1865799999996</v>
      </c>
      <c r="E1515" s="1860">
        <v>4890.7964899999997</v>
      </c>
      <c r="F1515">
        <v>33.366390000000003</v>
      </c>
      <c r="G1515" s="1861">
        <v>3515.65</v>
      </c>
      <c r="I1515">
        <v>0.79085000000000005</v>
      </c>
      <c r="J1515">
        <v>1.1237200000000001</v>
      </c>
      <c r="K1515">
        <v>1.2132000000000001</v>
      </c>
      <c r="L1515">
        <v>1.3911500000000001</v>
      </c>
      <c r="M1515">
        <v>9.4900000000000002E-3</v>
      </c>
      <c r="N1515">
        <v>1</v>
      </c>
      <c r="P1515">
        <v>1.2644500000000001</v>
      </c>
      <c r="Q1515">
        <v>0.88990000000000002</v>
      </c>
      <c r="R1515">
        <v>0.82425999999999999</v>
      </c>
      <c r="S1515">
        <v>0.71882000000000001</v>
      </c>
      <c r="T1515">
        <v>105.36499999999999</v>
      </c>
      <c r="U1515">
        <v>1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</row>
    <row r="1516" spans="1:35" s="1857" customFormat="1" hidden="1" outlineLevel="1">
      <c r="A1516" s="8">
        <v>44243</v>
      </c>
      <c r="B1516" s="1860">
        <v>2772.37599</v>
      </c>
      <c r="C1516" s="1860">
        <v>3944.4070400000001</v>
      </c>
      <c r="D1516" s="1860">
        <v>4260.6162299999996</v>
      </c>
      <c r="E1516" s="1860">
        <v>4896.5973199999999</v>
      </c>
      <c r="F1516">
        <v>33.255920000000003</v>
      </c>
      <c r="G1516" s="1861">
        <v>3515.65</v>
      </c>
      <c r="I1516">
        <v>0.78857999999999995</v>
      </c>
      <c r="J1516">
        <v>1.12195</v>
      </c>
      <c r="K1516">
        <v>1.2119</v>
      </c>
      <c r="L1516">
        <v>1.3928</v>
      </c>
      <c r="M1516">
        <v>9.4500000000000001E-3</v>
      </c>
      <c r="N1516">
        <v>1</v>
      </c>
      <c r="P1516">
        <v>1.2681</v>
      </c>
      <c r="Q1516">
        <v>0.89129999999999998</v>
      </c>
      <c r="R1516">
        <v>0.82515000000000005</v>
      </c>
      <c r="S1516">
        <v>0.71797</v>
      </c>
      <c r="T1516">
        <v>105.715</v>
      </c>
      <c r="U1516">
        <v>1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</row>
    <row r="1517" spans="1:35" s="1857" customFormat="1" hidden="1" outlineLevel="1">
      <c r="A1517" s="8">
        <v>44244</v>
      </c>
      <c r="B1517" s="1860">
        <v>2764.67722</v>
      </c>
      <c r="C1517" s="1860">
        <v>3915.4081500000002</v>
      </c>
      <c r="D1517" s="1860">
        <v>4233.2621099999997</v>
      </c>
      <c r="E1517" s="1860">
        <v>4874.2763299999997</v>
      </c>
      <c r="F1517">
        <v>33.213970000000003</v>
      </c>
      <c r="G1517" s="1861">
        <v>3518.19</v>
      </c>
      <c r="I1517">
        <v>0.78581999999999996</v>
      </c>
      <c r="J1517">
        <v>1.1129</v>
      </c>
      <c r="K1517">
        <v>1.2032499999999999</v>
      </c>
      <c r="L1517">
        <v>1.3854500000000001</v>
      </c>
      <c r="M1517">
        <v>9.4400000000000005E-3</v>
      </c>
      <c r="N1517">
        <v>1</v>
      </c>
      <c r="P1517">
        <v>1.2725500000000001</v>
      </c>
      <c r="Q1517">
        <v>0.89854999999999996</v>
      </c>
      <c r="R1517">
        <v>0.83108000000000004</v>
      </c>
      <c r="S1517">
        <v>0.72177999999999998</v>
      </c>
      <c r="T1517">
        <v>105.925</v>
      </c>
      <c r="U1517">
        <v>1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</row>
    <row r="1518" spans="1:35" s="1857" customFormat="1" hidden="1" outlineLevel="1">
      <c r="A1518" s="8">
        <v>44245</v>
      </c>
      <c r="B1518" s="1860">
        <v>2787.61006</v>
      </c>
      <c r="C1518" s="1860">
        <v>3951.6772500000002</v>
      </c>
      <c r="D1518" s="1860">
        <v>4280.8926300000003</v>
      </c>
      <c r="E1518" s="1860">
        <v>4945.7376299999996</v>
      </c>
      <c r="F1518">
        <v>33.519300000000001</v>
      </c>
      <c r="G1518" s="1861">
        <v>3545.84</v>
      </c>
      <c r="I1518">
        <v>0.78615999999999997</v>
      </c>
      <c r="J1518">
        <v>1.1144499999999999</v>
      </c>
      <c r="K1518">
        <v>1.2073</v>
      </c>
      <c r="L1518">
        <v>1.3948</v>
      </c>
      <c r="M1518">
        <v>9.4500000000000001E-3</v>
      </c>
      <c r="N1518">
        <v>1</v>
      </c>
      <c r="P1518">
        <v>1.272</v>
      </c>
      <c r="Q1518">
        <v>0.89729999999999999</v>
      </c>
      <c r="R1518">
        <v>0.82828999999999997</v>
      </c>
      <c r="S1518">
        <v>0.71694000000000002</v>
      </c>
      <c r="T1518">
        <v>105.785</v>
      </c>
      <c r="U1518">
        <v>1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</row>
    <row r="1519" spans="1:35" s="1857" customFormat="1" hidden="1" outlineLevel="1">
      <c r="A1519" s="8">
        <v>44246</v>
      </c>
      <c r="B1519" s="1860">
        <v>2805.82123</v>
      </c>
      <c r="C1519" s="1860">
        <v>3952.0330600000002</v>
      </c>
      <c r="D1519" s="1860">
        <v>4290.3628200000003</v>
      </c>
      <c r="E1519" s="1860">
        <v>4957.7801099999997</v>
      </c>
      <c r="F1519">
        <v>33.492939999999997</v>
      </c>
      <c r="G1519" s="1861">
        <v>3537.86</v>
      </c>
      <c r="I1519">
        <v>0.79308000000000001</v>
      </c>
      <c r="J1519">
        <v>1.1170599999999999</v>
      </c>
      <c r="K1519">
        <v>1.2126999999999999</v>
      </c>
      <c r="L1519">
        <v>1.4013500000000001</v>
      </c>
      <c r="M1519">
        <v>9.4599999999999997E-3</v>
      </c>
      <c r="N1519">
        <v>1</v>
      </c>
      <c r="P1519">
        <v>1.2608999999999999</v>
      </c>
      <c r="Q1519">
        <v>0.8952</v>
      </c>
      <c r="R1519">
        <v>0.8246</v>
      </c>
      <c r="S1519">
        <v>0.71358999999999995</v>
      </c>
      <c r="T1519">
        <v>105.63</v>
      </c>
      <c r="U1519">
        <v>1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</row>
    <row r="1520" spans="1:35" s="1857" customFormat="1" hidden="1" outlineLevel="1">
      <c r="A1520" s="8">
        <v>44247</v>
      </c>
      <c r="B1520" s="1860">
        <v>2819.7319299999999</v>
      </c>
      <c r="C1520" s="1860">
        <v>3971.6264500000002</v>
      </c>
      <c r="D1520" s="1860">
        <v>4311.6335799999997</v>
      </c>
      <c r="E1520" s="1860">
        <v>4982.3597900000004</v>
      </c>
      <c r="F1520">
        <v>33.658990000000003</v>
      </c>
      <c r="G1520" s="1861">
        <v>3555.4</v>
      </c>
      <c r="I1520">
        <v>0.79308000000000001</v>
      </c>
      <c r="J1520">
        <v>1.1170599999999999</v>
      </c>
      <c r="K1520">
        <v>1.2126999999999999</v>
      </c>
      <c r="L1520">
        <v>1.4013500000000001</v>
      </c>
      <c r="M1520">
        <v>9.4599999999999997E-3</v>
      </c>
      <c r="N1520">
        <v>1</v>
      </c>
      <c r="P1520">
        <v>1.2608999999999999</v>
      </c>
      <c r="Q1520">
        <v>0.8952</v>
      </c>
      <c r="R1520">
        <v>0.8246</v>
      </c>
      <c r="S1520">
        <v>0.71358999999999995</v>
      </c>
      <c r="T1520">
        <v>105.63</v>
      </c>
      <c r="U1520">
        <v>1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</row>
    <row r="1521" spans="1:35" s="1857" customFormat="1" hidden="1" outlineLevel="1">
      <c r="A1521" s="8">
        <v>44248</v>
      </c>
      <c r="B1521" s="1860">
        <v>2819.7319299999999</v>
      </c>
      <c r="C1521" s="1860">
        <v>3971.6264500000002</v>
      </c>
      <c r="D1521" s="1860">
        <v>4311.6335799999997</v>
      </c>
      <c r="E1521" s="1860">
        <v>4982.3597900000004</v>
      </c>
      <c r="F1521">
        <v>33.658990000000003</v>
      </c>
      <c r="G1521" s="1861">
        <v>3555.4</v>
      </c>
      <c r="I1521">
        <v>0.79308000000000001</v>
      </c>
      <c r="J1521">
        <v>1.1170599999999999</v>
      </c>
      <c r="K1521">
        <v>1.2126999999999999</v>
      </c>
      <c r="L1521">
        <v>1.4013500000000001</v>
      </c>
      <c r="M1521">
        <v>9.4599999999999997E-3</v>
      </c>
      <c r="N1521">
        <v>1</v>
      </c>
      <c r="P1521">
        <v>1.2608999999999999</v>
      </c>
      <c r="Q1521">
        <v>0.8952</v>
      </c>
      <c r="R1521">
        <v>0.8246</v>
      </c>
      <c r="S1521">
        <v>0.71358999999999995</v>
      </c>
      <c r="T1521">
        <v>105.63</v>
      </c>
      <c r="U1521">
        <v>1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</row>
    <row r="1522" spans="1:35" s="1857" customFormat="1" hidden="1" outlineLevel="1">
      <c r="A1522" s="8">
        <v>44249</v>
      </c>
      <c r="B1522" s="1860">
        <v>2818.1673999999998</v>
      </c>
      <c r="C1522" s="1860">
        <v>3963.8775799999999</v>
      </c>
      <c r="D1522" s="1860">
        <v>4315.3667500000001</v>
      </c>
      <c r="E1522" s="1860">
        <v>4995.69254</v>
      </c>
      <c r="F1522">
        <v>33.835169999999998</v>
      </c>
      <c r="G1522" s="1861">
        <v>3555.4</v>
      </c>
      <c r="I1522">
        <v>0.79264000000000001</v>
      </c>
      <c r="J1522">
        <v>1.1148800000000001</v>
      </c>
      <c r="K1522">
        <v>1.2137500000000001</v>
      </c>
      <c r="L1522">
        <v>1.4051</v>
      </c>
      <c r="M1522">
        <v>9.5099999999999994E-3</v>
      </c>
      <c r="N1522">
        <v>1</v>
      </c>
      <c r="P1522">
        <v>1.2616000000000001</v>
      </c>
      <c r="Q1522">
        <v>0.89695000000000003</v>
      </c>
      <c r="R1522">
        <v>0.82389000000000001</v>
      </c>
      <c r="S1522">
        <v>0.71169000000000004</v>
      </c>
      <c r="T1522">
        <v>105.08</v>
      </c>
      <c r="U1522">
        <v>1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</row>
    <row r="1523" spans="1:35" s="1857" customFormat="1" hidden="1" outlineLevel="1">
      <c r="A1523" s="8">
        <v>44250</v>
      </c>
      <c r="B1523" s="1860">
        <v>2859.1690100000001</v>
      </c>
      <c r="C1523" s="1860">
        <v>4001.1217799999999</v>
      </c>
      <c r="D1523" s="1860">
        <v>4380.3504300000004</v>
      </c>
      <c r="E1523" s="1860">
        <v>5081.1993000000002</v>
      </c>
      <c r="F1523">
        <v>34.271129999999999</v>
      </c>
      <c r="G1523" s="1861">
        <v>3602.41</v>
      </c>
      <c r="I1523">
        <v>0.79368000000000005</v>
      </c>
      <c r="J1523">
        <v>1.11067</v>
      </c>
      <c r="K1523">
        <v>1.2159500000000001</v>
      </c>
      <c r="L1523">
        <v>1.4105000000000001</v>
      </c>
      <c r="M1523">
        <v>9.5099999999999994E-3</v>
      </c>
      <c r="N1523">
        <v>1</v>
      </c>
      <c r="P1523">
        <v>1.2599499999999999</v>
      </c>
      <c r="Q1523">
        <v>0.90034999999999998</v>
      </c>
      <c r="R1523">
        <v>0.82240000000000002</v>
      </c>
      <c r="S1523">
        <v>0.70896000000000003</v>
      </c>
      <c r="T1523">
        <v>105.11499999999999</v>
      </c>
      <c r="U1523">
        <v>1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</row>
    <row r="1524" spans="1:35" s="1857" customFormat="1" hidden="1" outlineLevel="1">
      <c r="A1524" s="8">
        <v>44251</v>
      </c>
      <c r="B1524" s="1860">
        <v>2857.3236200000001</v>
      </c>
      <c r="C1524" s="1860">
        <v>3949.3674999999998</v>
      </c>
      <c r="D1524" s="1860">
        <v>4352.4260299999996</v>
      </c>
      <c r="E1524" s="1860">
        <v>5061.7036200000002</v>
      </c>
      <c r="F1524">
        <v>33.892189999999999</v>
      </c>
      <c r="G1524" s="1861">
        <v>3590.37</v>
      </c>
      <c r="I1524">
        <v>0.79581999999999997</v>
      </c>
      <c r="J1524">
        <v>1.09998</v>
      </c>
      <c r="K1524">
        <v>1.21225</v>
      </c>
      <c r="L1524">
        <v>1.4097999999999999</v>
      </c>
      <c r="M1524">
        <v>9.4299999999999991E-3</v>
      </c>
      <c r="N1524">
        <v>1</v>
      </c>
      <c r="P1524">
        <v>1.2565500000000001</v>
      </c>
      <c r="Q1524">
        <v>0.90910000000000002</v>
      </c>
      <c r="R1524">
        <v>0.82491000000000003</v>
      </c>
      <c r="S1524">
        <v>0.70931999999999995</v>
      </c>
      <c r="T1524">
        <v>105.935</v>
      </c>
      <c r="U1524">
        <v>1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</row>
    <row r="1525" spans="1:35" s="1857" customFormat="1" hidden="1" outlineLevel="1">
      <c r="A1525" s="8">
        <v>44252</v>
      </c>
      <c r="B1525" s="1860">
        <v>2858.8582999999999</v>
      </c>
      <c r="C1525" s="1860">
        <v>3961.3528099999999</v>
      </c>
      <c r="D1525" s="1860">
        <v>4374.1016900000004</v>
      </c>
      <c r="E1525" s="1860">
        <v>5057.0183399999996</v>
      </c>
      <c r="F1525">
        <v>33.673259999999999</v>
      </c>
      <c r="G1525" s="1861">
        <v>3578.29</v>
      </c>
      <c r="I1525">
        <v>0.79893999999999998</v>
      </c>
      <c r="J1525">
        <v>1.1070500000000001</v>
      </c>
      <c r="K1525">
        <v>1.2223999999999999</v>
      </c>
      <c r="L1525">
        <v>1.4132499999999999</v>
      </c>
      <c r="M1525">
        <v>9.41E-3</v>
      </c>
      <c r="N1525">
        <v>1</v>
      </c>
      <c r="P1525">
        <v>1.2516499999999999</v>
      </c>
      <c r="Q1525">
        <v>0.90329999999999999</v>
      </c>
      <c r="R1525">
        <v>0.81806000000000001</v>
      </c>
      <c r="S1525">
        <v>0.70757999999999999</v>
      </c>
      <c r="T1525">
        <v>106.265</v>
      </c>
      <c r="U1525">
        <v>1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</row>
    <row r="1526" spans="1:35" hidden="1" outlineLevel="1">
      <c r="A1526" s="8">
        <v>44253</v>
      </c>
      <c r="B1526" s="1860">
        <v>2834.3048899999999</v>
      </c>
      <c r="C1526" s="1860">
        <v>3963.58113</v>
      </c>
      <c r="D1526" s="1860">
        <v>4355.3935700000002</v>
      </c>
      <c r="E1526" s="1860">
        <v>5016.7043599999997</v>
      </c>
      <c r="F1526">
        <v>33.679650000000002</v>
      </c>
      <c r="G1526" s="1861">
        <v>3588.23</v>
      </c>
      <c r="I1526">
        <v>0.78988000000000003</v>
      </c>
      <c r="J1526">
        <v>1.1046</v>
      </c>
      <c r="K1526">
        <v>1.2138</v>
      </c>
      <c r="L1526">
        <v>1.3980999999999999</v>
      </c>
      <c r="M1526">
        <v>9.3799999999999994E-3</v>
      </c>
      <c r="N1526">
        <v>1</v>
      </c>
      <c r="P1526">
        <v>1.266</v>
      </c>
      <c r="Q1526">
        <v>0.90529999999999999</v>
      </c>
      <c r="R1526">
        <v>0.82384999999999997</v>
      </c>
      <c r="S1526">
        <v>0.71525000000000005</v>
      </c>
      <c r="T1526">
        <v>106.54</v>
      </c>
      <c r="U1526">
        <v>1</v>
      </c>
    </row>
    <row r="1527" spans="1:35" hidden="1" outlineLevel="1">
      <c r="A1527" s="8">
        <v>44254</v>
      </c>
      <c r="B1527" s="1860">
        <v>2862.8672900000001</v>
      </c>
      <c r="C1527" s="1860">
        <v>4003.52369</v>
      </c>
      <c r="D1527" s="1860">
        <v>4399.2845799999996</v>
      </c>
      <c r="E1527" s="1860">
        <v>5067.25965</v>
      </c>
      <c r="F1527">
        <v>34.01905</v>
      </c>
      <c r="G1527" s="1861">
        <v>3624.39</v>
      </c>
      <c r="I1527">
        <v>0.78988000000000003</v>
      </c>
      <c r="J1527">
        <v>1.1046</v>
      </c>
      <c r="K1527">
        <v>1.2138</v>
      </c>
      <c r="L1527">
        <v>1.3980999999999999</v>
      </c>
      <c r="M1527">
        <v>9.3799999999999994E-3</v>
      </c>
      <c r="N1527">
        <v>1</v>
      </c>
      <c r="P1527">
        <v>1.266</v>
      </c>
      <c r="Q1527">
        <v>0.90529999999999999</v>
      </c>
      <c r="R1527">
        <v>0.82384999999999997</v>
      </c>
      <c r="S1527">
        <v>0.71525000000000005</v>
      </c>
      <c r="T1527">
        <v>106.54</v>
      </c>
      <c r="U1527">
        <v>1</v>
      </c>
    </row>
    <row r="1528" spans="1:35" ht="15.75" hidden="1" outlineLevel="1" thickBot="1">
      <c r="A1528" s="1868">
        <v>44255</v>
      </c>
      <c r="B1528" s="1869">
        <v>2862.8672900000001</v>
      </c>
      <c r="C1528" s="1869">
        <v>4003.52369</v>
      </c>
      <c r="D1528" s="1869">
        <v>4399.2845799999996</v>
      </c>
      <c r="E1528" s="1869">
        <v>5067.25965</v>
      </c>
      <c r="F1528" s="1870">
        <v>34.01905</v>
      </c>
      <c r="G1528" s="1871">
        <v>3624.39</v>
      </c>
      <c r="H1528" s="1872"/>
      <c r="I1528" s="1870">
        <v>0.78988000000000003</v>
      </c>
      <c r="J1528" s="1870">
        <v>1.1046</v>
      </c>
      <c r="K1528" s="1870">
        <v>1.2138</v>
      </c>
      <c r="L1528" s="1870">
        <v>1.3980999999999999</v>
      </c>
      <c r="M1528" s="1870">
        <v>9.3799999999999994E-3</v>
      </c>
      <c r="N1528" s="1870">
        <v>1</v>
      </c>
      <c r="O1528" s="1872"/>
      <c r="P1528" s="1870">
        <v>1.266</v>
      </c>
      <c r="Q1528" s="1870">
        <v>0.90529999999999999</v>
      </c>
      <c r="R1528" s="1870">
        <v>0.82384999999999997</v>
      </c>
      <c r="S1528" s="1870">
        <v>0.71525000000000005</v>
      </c>
      <c r="T1528" s="1870">
        <v>106.54</v>
      </c>
      <c r="U1528" s="1870">
        <v>1</v>
      </c>
      <c r="V1528" s="1872"/>
    </row>
    <row r="1529" spans="1:35" hidden="1" outlineLevel="1">
      <c r="A1529" s="1883">
        <v>44256</v>
      </c>
      <c r="B1529" s="1860">
        <v>2863.5458600000002</v>
      </c>
      <c r="C1529" s="1860">
        <v>3966.9348199999999</v>
      </c>
      <c r="D1529" s="1860">
        <v>4367.9336000000003</v>
      </c>
      <c r="E1529" s="1860">
        <v>5051.6747800000003</v>
      </c>
      <c r="F1529">
        <v>33.985550000000003</v>
      </c>
      <c r="G1529" s="1861">
        <v>3624.39</v>
      </c>
      <c r="I1529">
        <v>0.79007000000000005</v>
      </c>
      <c r="J1529">
        <v>1.0945100000000001</v>
      </c>
      <c r="K1529">
        <v>1.2051499999999999</v>
      </c>
      <c r="L1529">
        <v>1.3937999999999999</v>
      </c>
      <c r="M1529">
        <v>9.3699999999999999E-3</v>
      </c>
      <c r="N1529" s="1884">
        <v>1</v>
      </c>
      <c r="P1529">
        <v>1.2657</v>
      </c>
      <c r="Q1529">
        <v>0.91364999999999996</v>
      </c>
      <c r="R1529">
        <v>0.82977000000000001</v>
      </c>
      <c r="S1529">
        <v>0.71745999999999999</v>
      </c>
      <c r="T1529">
        <v>106.645</v>
      </c>
      <c r="U1529">
        <v>1</v>
      </c>
      <c r="Y1529">
        <v>0.79007663743383105</v>
      </c>
      <c r="Z1529">
        <v>1.0945110271986001</v>
      </c>
      <c r="AA1529">
        <v>1.2051499999999999</v>
      </c>
      <c r="AB1529">
        <v>1.3937999999999999</v>
      </c>
    </row>
    <row r="1530" spans="1:35" hidden="1" outlineLevel="1">
      <c r="A1530" s="8">
        <v>44257</v>
      </c>
      <c r="B1530" s="1860">
        <v>2869.6506300000001</v>
      </c>
      <c r="C1530" s="1860">
        <v>3958.6470599999998</v>
      </c>
      <c r="D1530" s="1860">
        <v>4369.4717499999997</v>
      </c>
      <c r="E1530" s="1860">
        <v>5053.0110800000002</v>
      </c>
      <c r="F1530">
        <v>33.94106</v>
      </c>
      <c r="G1530" s="1861">
        <v>3622.36</v>
      </c>
      <c r="I1530">
        <v>0.79220000000000002</v>
      </c>
      <c r="J1530">
        <v>1.09283</v>
      </c>
      <c r="K1530">
        <v>1.20625</v>
      </c>
      <c r="L1530">
        <v>1.3949499999999999</v>
      </c>
      <c r="M1530">
        <v>9.3600000000000003E-3</v>
      </c>
      <c r="N1530">
        <v>1</v>
      </c>
      <c r="P1530">
        <v>1.2623</v>
      </c>
      <c r="Q1530">
        <v>0.91505000000000003</v>
      </c>
      <c r="R1530">
        <v>0.82901000000000002</v>
      </c>
      <c r="S1530">
        <v>0.71687000000000001</v>
      </c>
      <c r="T1530">
        <v>106.72499999999999</v>
      </c>
      <c r="U1530">
        <v>1</v>
      </c>
      <c r="Y1530">
        <v>0.79220470569595203</v>
      </c>
      <c r="Z1530">
        <v>1.09283645702421</v>
      </c>
      <c r="AA1530">
        <v>1.20625</v>
      </c>
      <c r="AB1530">
        <v>1.3949499999999999</v>
      </c>
    </row>
    <row r="1531" spans="1:35" hidden="1" outlineLevel="1">
      <c r="A1531" s="8">
        <v>44258</v>
      </c>
      <c r="B1531" s="1860">
        <v>2888.1751899999999</v>
      </c>
      <c r="C1531" s="1860">
        <v>3975.1567</v>
      </c>
      <c r="D1531" s="1860">
        <v>4403.0992399999996</v>
      </c>
      <c r="E1531" s="1860">
        <v>5096.1374699999997</v>
      </c>
      <c r="F1531">
        <v>34.093209999999999</v>
      </c>
      <c r="G1531" s="1861">
        <v>3646.61</v>
      </c>
      <c r="I1531">
        <v>0.79200999999999999</v>
      </c>
      <c r="J1531">
        <v>1.09009</v>
      </c>
      <c r="K1531">
        <v>1.2074499999999999</v>
      </c>
      <c r="L1531">
        <v>1.3975</v>
      </c>
      <c r="M1531">
        <v>9.3399999999999993E-3</v>
      </c>
      <c r="N1531">
        <v>1</v>
      </c>
      <c r="P1531">
        <v>1.2625999999999999</v>
      </c>
      <c r="Q1531">
        <v>0.91735</v>
      </c>
      <c r="R1531">
        <v>0.82818999999999998</v>
      </c>
      <c r="S1531">
        <v>0.71555999999999997</v>
      </c>
      <c r="T1531">
        <v>106.96</v>
      </c>
      <c r="U1531">
        <v>1</v>
      </c>
      <c r="Y1531">
        <v>0.79201647394265795</v>
      </c>
      <c r="Z1531">
        <v>1.0900964735379099</v>
      </c>
      <c r="AA1531">
        <v>1.2074499999999999</v>
      </c>
      <c r="AB1531">
        <v>1.3975</v>
      </c>
    </row>
    <row r="1532" spans="1:35" hidden="1" outlineLevel="1">
      <c r="A1532" s="8">
        <v>44259</v>
      </c>
      <c r="B1532" s="1860">
        <v>2916.4703500000001</v>
      </c>
      <c r="C1532" s="1860">
        <v>3974.4257600000001</v>
      </c>
      <c r="D1532" s="1860">
        <v>4427.4034499999998</v>
      </c>
      <c r="E1532" s="1860">
        <v>5144.4067500000001</v>
      </c>
      <c r="F1532">
        <v>34.1723</v>
      </c>
      <c r="G1532" s="1861">
        <v>3676.94</v>
      </c>
      <c r="I1532">
        <v>0.79317000000000004</v>
      </c>
      <c r="J1532">
        <v>1.0809</v>
      </c>
      <c r="K1532">
        <v>1.2040999999999999</v>
      </c>
      <c r="L1532">
        <v>1.3991</v>
      </c>
      <c r="M1532">
        <v>9.2899999999999996E-3</v>
      </c>
      <c r="N1532">
        <v>1</v>
      </c>
      <c r="P1532">
        <v>1.26075</v>
      </c>
      <c r="Q1532">
        <v>0.92515000000000003</v>
      </c>
      <c r="R1532">
        <v>0.83048999999999995</v>
      </c>
      <c r="S1532">
        <v>0.71474000000000004</v>
      </c>
      <c r="T1532">
        <v>107.6</v>
      </c>
      <c r="U1532">
        <v>1</v>
      </c>
      <c r="Y1532">
        <v>0.79317866349395205</v>
      </c>
      <c r="Z1532">
        <v>1.08090579905961</v>
      </c>
      <c r="AA1532">
        <v>1.2040999999999999</v>
      </c>
      <c r="AB1532">
        <v>1.3991</v>
      </c>
    </row>
    <row r="1533" spans="1:35" hidden="1" outlineLevel="1">
      <c r="A1533" s="8">
        <v>44260</v>
      </c>
      <c r="B1533" s="1860">
        <v>2875.3763600000002</v>
      </c>
      <c r="C1533" s="1860">
        <v>3916.88409</v>
      </c>
      <c r="D1533" s="1860">
        <v>4344.3912899999996</v>
      </c>
      <c r="E1533" s="1860">
        <v>5041.5221799999999</v>
      </c>
      <c r="F1533">
        <v>33.698120000000003</v>
      </c>
      <c r="G1533" s="1861">
        <v>3647.99</v>
      </c>
      <c r="I1533">
        <v>0.78820000000000001</v>
      </c>
      <c r="J1533">
        <v>1.0737099999999999</v>
      </c>
      <c r="K1533">
        <v>1.1909000000000001</v>
      </c>
      <c r="L1533">
        <v>1.3819999999999999</v>
      </c>
      <c r="M1533">
        <v>9.2300000000000004E-3</v>
      </c>
      <c r="N1533">
        <v>1</v>
      </c>
      <c r="P1533">
        <v>1.2686999999999999</v>
      </c>
      <c r="Q1533">
        <v>0.93135000000000001</v>
      </c>
      <c r="R1533">
        <v>0.8397</v>
      </c>
      <c r="S1533">
        <v>0.72358</v>
      </c>
      <c r="T1533">
        <v>108.255</v>
      </c>
      <c r="U1533">
        <v>1</v>
      </c>
      <c r="Y1533">
        <v>0.78820840230156897</v>
      </c>
      <c r="Z1533">
        <v>1.0737102056154999</v>
      </c>
      <c r="AA1533">
        <v>1.1909000000000001</v>
      </c>
      <c r="AB1533">
        <v>1.3819999999999999</v>
      </c>
    </row>
    <row r="1534" spans="1:35" hidden="1" outlineLevel="1">
      <c r="A1534" s="8">
        <v>44261</v>
      </c>
      <c r="B1534" s="1860">
        <v>2869.2362199999998</v>
      </c>
      <c r="C1534" s="1860">
        <v>3908.51989</v>
      </c>
      <c r="D1534" s="1860">
        <v>4335.1141799999996</v>
      </c>
      <c r="E1534" s="1860">
        <v>5030.7564000000002</v>
      </c>
      <c r="F1534">
        <v>33.626159999999999</v>
      </c>
      <c r="G1534" s="1861">
        <v>3640.2</v>
      </c>
      <c r="I1534">
        <v>0.78820000000000001</v>
      </c>
      <c r="J1534">
        <v>1.0737099999999999</v>
      </c>
      <c r="K1534">
        <v>1.1909000000000001</v>
      </c>
      <c r="L1534">
        <v>1.3819999999999999</v>
      </c>
      <c r="M1534">
        <v>9.2300000000000004E-3</v>
      </c>
      <c r="N1534">
        <v>1</v>
      </c>
      <c r="P1534">
        <v>1.2686999999999999</v>
      </c>
      <c r="Q1534">
        <v>0.93135000000000001</v>
      </c>
      <c r="R1534">
        <v>0.8397</v>
      </c>
      <c r="S1534">
        <v>0.72358</v>
      </c>
      <c r="T1534">
        <v>108.255</v>
      </c>
      <c r="U1534">
        <v>1</v>
      </c>
      <c r="Y1534">
        <v>0.78820840230156897</v>
      </c>
      <c r="Z1534">
        <v>1.0737102056154999</v>
      </c>
      <c r="AA1534">
        <v>1.1909000000000001</v>
      </c>
      <c r="AB1534">
        <v>1.3819999999999999</v>
      </c>
    </row>
    <row r="1535" spans="1:35" hidden="1" outlineLevel="1">
      <c r="A1535" s="8">
        <v>44262</v>
      </c>
      <c r="B1535" s="1860">
        <v>2869.2362199999998</v>
      </c>
      <c r="C1535" s="1860">
        <v>3908.51989</v>
      </c>
      <c r="D1535" s="1860">
        <v>4335.1141799999996</v>
      </c>
      <c r="E1535" s="1860">
        <v>5030.7564000000002</v>
      </c>
      <c r="F1535">
        <v>33.626159999999999</v>
      </c>
      <c r="G1535" s="1861">
        <v>3640.2</v>
      </c>
      <c r="I1535">
        <v>0.78820000000000001</v>
      </c>
      <c r="J1535">
        <v>1.0737099999999999</v>
      </c>
      <c r="K1535">
        <v>1.1909000000000001</v>
      </c>
      <c r="L1535">
        <v>1.3819999999999999</v>
      </c>
      <c r="M1535">
        <v>9.2300000000000004E-3</v>
      </c>
      <c r="N1535">
        <v>1</v>
      </c>
      <c r="P1535">
        <v>1.2686999999999999</v>
      </c>
      <c r="Q1535">
        <v>0.93135000000000001</v>
      </c>
      <c r="R1535">
        <v>0.8397</v>
      </c>
      <c r="S1535">
        <v>0.72358</v>
      </c>
      <c r="T1535">
        <v>108.255</v>
      </c>
      <c r="U1535">
        <v>1</v>
      </c>
      <c r="Y1535">
        <v>0.78820840230156897</v>
      </c>
      <c r="Z1535">
        <v>1.0737102056154999</v>
      </c>
      <c r="AA1535">
        <v>1.1909000000000001</v>
      </c>
      <c r="AB1535">
        <v>1.3819999999999999</v>
      </c>
    </row>
    <row r="1536" spans="1:35" hidden="1" outlineLevel="1">
      <c r="A1536" s="8">
        <v>44263</v>
      </c>
      <c r="B1536" s="1860">
        <v>2875.1283400000002</v>
      </c>
      <c r="C1536" s="1860">
        <v>3890.3494700000001</v>
      </c>
      <c r="D1536" s="1860">
        <v>4316.5491599999996</v>
      </c>
      <c r="E1536" s="1860">
        <v>5028.2082600000003</v>
      </c>
      <c r="F1536">
        <v>33.440809999999999</v>
      </c>
      <c r="G1536" s="1861">
        <v>3640.2</v>
      </c>
      <c r="I1536">
        <v>0.78981999999999997</v>
      </c>
      <c r="J1536">
        <v>1.06871</v>
      </c>
      <c r="K1536">
        <v>1.1858</v>
      </c>
      <c r="L1536">
        <v>1.3813</v>
      </c>
      <c r="M1536">
        <v>9.1800000000000007E-3</v>
      </c>
      <c r="N1536">
        <v>1</v>
      </c>
      <c r="P1536">
        <v>1.2661</v>
      </c>
      <c r="Q1536">
        <v>0.93569999999999998</v>
      </c>
      <c r="R1536">
        <v>0.84331</v>
      </c>
      <c r="S1536">
        <v>0.72394999999999998</v>
      </c>
      <c r="T1536">
        <v>108.855</v>
      </c>
      <c r="U1536">
        <v>1</v>
      </c>
      <c r="Y1536">
        <v>0.78982702788089398</v>
      </c>
      <c r="Z1536">
        <v>1.06871860639094</v>
      </c>
      <c r="AA1536">
        <v>1.1858</v>
      </c>
      <c r="AB1536">
        <v>1.3813</v>
      </c>
    </row>
    <row r="1537" spans="1:28" hidden="1" outlineLevel="1">
      <c r="A1537" s="8">
        <v>44264</v>
      </c>
      <c r="B1537" s="1860">
        <v>2865.4198900000001</v>
      </c>
      <c r="C1537" s="1860">
        <v>3894.4704099999999</v>
      </c>
      <c r="D1537" s="1860">
        <v>4306.1169399999999</v>
      </c>
      <c r="E1537" s="1860">
        <v>5034.1001900000001</v>
      </c>
      <c r="F1537">
        <v>33.308300000000003</v>
      </c>
      <c r="G1537" s="1861">
        <v>3623.61</v>
      </c>
      <c r="I1537">
        <v>0.79076000000000002</v>
      </c>
      <c r="J1537">
        <v>1.07474</v>
      </c>
      <c r="K1537">
        <v>1.18835</v>
      </c>
      <c r="L1537">
        <v>1.3892500000000001</v>
      </c>
      <c r="M1537">
        <v>9.1900000000000003E-3</v>
      </c>
      <c r="N1537">
        <v>1</v>
      </c>
      <c r="P1537">
        <v>1.2645999999999999</v>
      </c>
      <c r="Q1537">
        <v>0.93045</v>
      </c>
      <c r="R1537">
        <v>0.84150000000000003</v>
      </c>
      <c r="S1537">
        <v>0.71980999999999995</v>
      </c>
      <c r="T1537">
        <v>108.79</v>
      </c>
      <c r="U1537">
        <v>1</v>
      </c>
      <c r="Y1537">
        <v>0.79076387790605696</v>
      </c>
      <c r="Z1537">
        <v>1.07474877747327</v>
      </c>
      <c r="AA1537">
        <v>1.18835</v>
      </c>
      <c r="AB1537">
        <v>1.3892500000000001</v>
      </c>
    </row>
    <row r="1538" spans="1:28" hidden="1" outlineLevel="1">
      <c r="A1538" s="8">
        <v>44265</v>
      </c>
      <c r="B1538" s="1860">
        <v>2846.3400099999999</v>
      </c>
      <c r="C1538" s="1860">
        <v>3864.0360700000001</v>
      </c>
      <c r="D1538" s="1860">
        <v>4281.2767299999996</v>
      </c>
      <c r="E1538" s="1860">
        <v>5003.7298000000001</v>
      </c>
      <c r="F1538">
        <v>33.130209999999998</v>
      </c>
      <c r="G1538" s="1861">
        <v>3598.77</v>
      </c>
      <c r="I1538">
        <v>0.79091999999999996</v>
      </c>
      <c r="J1538">
        <v>1.0737099999999999</v>
      </c>
      <c r="K1538">
        <v>1.1896500000000001</v>
      </c>
      <c r="L1538">
        <v>1.3904000000000001</v>
      </c>
      <c r="M1538">
        <v>9.1999999999999998E-3</v>
      </c>
      <c r="N1538">
        <v>1</v>
      </c>
      <c r="P1538">
        <v>1.2643500000000001</v>
      </c>
      <c r="Q1538">
        <v>0.93135000000000001</v>
      </c>
      <c r="R1538">
        <v>0.84057999999999999</v>
      </c>
      <c r="S1538">
        <v>0.71921000000000002</v>
      </c>
      <c r="T1538">
        <v>108.625</v>
      </c>
      <c r="U1538">
        <v>1</v>
      </c>
      <c r="Y1538">
        <v>0.79092023569422998</v>
      </c>
      <c r="Z1538">
        <v>1.0737102056154999</v>
      </c>
      <c r="AA1538">
        <v>1.1896500000000001</v>
      </c>
      <c r="AB1538">
        <v>1.3904000000000001</v>
      </c>
    </row>
    <row r="1539" spans="1:28" hidden="1" outlineLevel="1">
      <c r="A1539" s="8">
        <v>44266</v>
      </c>
      <c r="B1539" s="1860">
        <v>2833.9976900000001</v>
      </c>
      <c r="C1539" s="1860">
        <v>3848.42526</v>
      </c>
      <c r="D1539" s="1860">
        <v>4260.2224500000002</v>
      </c>
      <c r="E1539" s="1860">
        <v>4975.6320699999997</v>
      </c>
      <c r="F1539">
        <v>32.831679999999999</v>
      </c>
      <c r="G1539" s="1861">
        <v>3561.91</v>
      </c>
      <c r="I1539">
        <v>0.79562999999999995</v>
      </c>
      <c r="J1539">
        <v>1.08043</v>
      </c>
      <c r="K1539">
        <v>1.1960500000000001</v>
      </c>
      <c r="L1539">
        <v>1.3969</v>
      </c>
      <c r="M1539">
        <v>9.2099999999999994E-3</v>
      </c>
      <c r="N1539">
        <v>1</v>
      </c>
      <c r="P1539">
        <v>1.25685</v>
      </c>
      <c r="Q1539">
        <v>0.92554999999999998</v>
      </c>
      <c r="R1539">
        <v>0.83608000000000005</v>
      </c>
      <c r="S1539">
        <v>0.71587000000000001</v>
      </c>
      <c r="T1539">
        <v>108.49</v>
      </c>
      <c r="U1539">
        <v>1</v>
      </c>
      <c r="Y1539">
        <v>0.795639893384254</v>
      </c>
      <c r="Z1539">
        <v>1.0804386580951899</v>
      </c>
      <c r="AA1539">
        <v>1.1960500000000001</v>
      </c>
      <c r="AB1539">
        <v>1.3969</v>
      </c>
    </row>
    <row r="1540" spans="1:28" hidden="1" outlineLevel="1">
      <c r="A1540" s="8">
        <v>44267</v>
      </c>
      <c r="B1540" s="1860">
        <v>2828.82753</v>
      </c>
      <c r="C1540" s="1860">
        <v>3804.3482899999999</v>
      </c>
      <c r="D1540" s="1860">
        <v>4219.6293500000002</v>
      </c>
      <c r="E1540" s="1860">
        <v>4911.3544899999997</v>
      </c>
      <c r="F1540">
        <v>32.432160000000003</v>
      </c>
      <c r="G1540" s="1861">
        <v>3534.62</v>
      </c>
      <c r="I1540">
        <v>0.80032000000000003</v>
      </c>
      <c r="J1540">
        <v>1.0763100000000001</v>
      </c>
      <c r="K1540">
        <v>1.1938</v>
      </c>
      <c r="L1540">
        <v>1.3895</v>
      </c>
      <c r="M1540">
        <v>9.1699999999999993E-3</v>
      </c>
      <c r="N1540">
        <v>1</v>
      </c>
      <c r="P1540">
        <v>1.2495000000000001</v>
      </c>
      <c r="Q1540">
        <v>0.92910000000000004</v>
      </c>
      <c r="R1540">
        <v>0.83765999999999996</v>
      </c>
      <c r="S1540">
        <v>0.71967999999999999</v>
      </c>
      <c r="T1540">
        <v>108.985</v>
      </c>
      <c r="U1540">
        <v>1</v>
      </c>
      <c r="Y1540">
        <v>0.80032012805121999</v>
      </c>
      <c r="Z1540">
        <v>1.0763104079216399</v>
      </c>
      <c r="AA1540">
        <v>1.1938</v>
      </c>
      <c r="AB1540">
        <v>1.3895</v>
      </c>
    </row>
    <row r="1541" spans="1:28" hidden="1" outlineLevel="1">
      <c r="A1541" s="8">
        <v>44268</v>
      </c>
      <c r="B1541" s="1860">
        <v>2861.3845500000002</v>
      </c>
      <c r="C1541" s="1860">
        <v>3848.1325999999999</v>
      </c>
      <c r="D1541" s="1860">
        <v>4268.1931400000003</v>
      </c>
      <c r="E1541" s="1860">
        <v>4967.8793500000002</v>
      </c>
      <c r="F1541">
        <v>32.805430000000001</v>
      </c>
      <c r="G1541" s="1861">
        <v>3575.3</v>
      </c>
      <c r="I1541">
        <v>0.80032000000000003</v>
      </c>
      <c r="J1541">
        <v>1.0763100000000001</v>
      </c>
      <c r="K1541">
        <v>1.1938</v>
      </c>
      <c r="L1541">
        <v>1.3895</v>
      </c>
      <c r="M1541">
        <v>9.1699999999999993E-3</v>
      </c>
      <c r="N1541">
        <v>1</v>
      </c>
      <c r="P1541">
        <v>1.2495000000000001</v>
      </c>
      <c r="Q1541">
        <v>0.92910000000000004</v>
      </c>
      <c r="R1541">
        <v>0.83765999999999996</v>
      </c>
      <c r="S1541">
        <v>0.71967999999999999</v>
      </c>
      <c r="T1541">
        <v>108.985</v>
      </c>
      <c r="U1541">
        <v>1</v>
      </c>
      <c r="Y1541">
        <v>0.80032012805121999</v>
      </c>
      <c r="Z1541">
        <v>1.0763104079216399</v>
      </c>
      <c r="AA1541">
        <v>1.1938</v>
      </c>
      <c r="AB1541">
        <v>1.3895</v>
      </c>
    </row>
    <row r="1542" spans="1:28" hidden="1" outlineLevel="1">
      <c r="A1542" s="8">
        <v>44269</v>
      </c>
      <c r="B1542" s="1860">
        <v>2861.3845500000002</v>
      </c>
      <c r="C1542" s="1860">
        <v>3848.1325999999999</v>
      </c>
      <c r="D1542" s="1860">
        <v>4268.1931400000003</v>
      </c>
      <c r="E1542" s="1860">
        <v>4967.8793500000002</v>
      </c>
      <c r="F1542">
        <v>32.805430000000001</v>
      </c>
      <c r="G1542" s="1861">
        <v>3575.3</v>
      </c>
      <c r="I1542">
        <v>0.80032000000000003</v>
      </c>
      <c r="J1542">
        <v>1.0763100000000001</v>
      </c>
      <c r="K1542">
        <v>1.1938</v>
      </c>
      <c r="L1542">
        <v>1.3895</v>
      </c>
      <c r="M1542">
        <v>9.1699999999999993E-3</v>
      </c>
      <c r="N1542">
        <v>1</v>
      </c>
      <c r="P1542">
        <v>1.2495000000000001</v>
      </c>
      <c r="Q1542">
        <v>0.92910000000000004</v>
      </c>
      <c r="R1542">
        <v>0.83765999999999996</v>
      </c>
      <c r="S1542">
        <v>0.71967999999999999</v>
      </c>
      <c r="T1542">
        <v>108.985</v>
      </c>
      <c r="U1542">
        <v>1</v>
      </c>
      <c r="Y1542">
        <v>0.80032012805121999</v>
      </c>
      <c r="Z1542">
        <v>1.0763104079216399</v>
      </c>
      <c r="AA1542">
        <v>1.1938</v>
      </c>
      <c r="AB1542">
        <v>1.3895</v>
      </c>
    </row>
    <row r="1543" spans="1:28" hidden="1" outlineLevel="1">
      <c r="A1543" s="8">
        <v>44270</v>
      </c>
      <c r="B1543" s="1860">
        <v>2862.7592199999999</v>
      </c>
      <c r="C1543" s="1860">
        <v>3851.2414399999998</v>
      </c>
      <c r="D1543" s="1860">
        <v>4260.5062399999997</v>
      </c>
      <c r="E1543" s="1860">
        <v>4956.4383900000003</v>
      </c>
      <c r="F1543">
        <v>32.763339999999999</v>
      </c>
      <c r="G1543" s="1861">
        <v>3575.3</v>
      </c>
      <c r="I1543">
        <v>0.80069999999999997</v>
      </c>
      <c r="J1543">
        <v>1.07717</v>
      </c>
      <c r="K1543">
        <v>1.1916500000000001</v>
      </c>
      <c r="L1543">
        <v>1.3863000000000001</v>
      </c>
      <c r="M1543">
        <v>9.1599999999999997E-3</v>
      </c>
      <c r="N1543">
        <v>1</v>
      </c>
      <c r="P1543">
        <v>1.2488999999999999</v>
      </c>
      <c r="Q1543">
        <v>0.92835000000000001</v>
      </c>
      <c r="R1543">
        <v>0.83916999999999997</v>
      </c>
      <c r="S1543">
        <v>0.72133999999999998</v>
      </c>
      <c r="T1543">
        <v>109.125</v>
      </c>
      <c r="U1543">
        <v>1</v>
      </c>
      <c r="Y1543">
        <v>0.80070462006565801</v>
      </c>
      <c r="Z1543">
        <v>1.07717994290946</v>
      </c>
      <c r="AA1543">
        <v>1.1916500000000001</v>
      </c>
      <c r="AB1543">
        <v>1.3863000000000001</v>
      </c>
    </row>
    <row r="1544" spans="1:28" hidden="1" outlineLevel="1">
      <c r="A1544" s="8">
        <v>44271</v>
      </c>
      <c r="B1544" s="1860">
        <v>2871.9919599999998</v>
      </c>
      <c r="C1544" s="1860">
        <v>3861.163</v>
      </c>
      <c r="D1544" s="1860">
        <v>4253.0330999999996</v>
      </c>
      <c r="E1544" s="1860">
        <v>4967.6227500000005</v>
      </c>
      <c r="F1544">
        <v>32.797919999999998</v>
      </c>
      <c r="G1544" s="1861">
        <v>3575.63</v>
      </c>
      <c r="I1544">
        <v>0.80320999999999998</v>
      </c>
      <c r="J1544">
        <v>1.07985</v>
      </c>
      <c r="K1544">
        <v>1.1894499999999999</v>
      </c>
      <c r="L1544">
        <v>1.3893</v>
      </c>
      <c r="M1544">
        <v>9.1699999999999993E-3</v>
      </c>
      <c r="N1544">
        <v>1</v>
      </c>
      <c r="P1544">
        <v>1.2450000000000001</v>
      </c>
      <c r="Q1544">
        <v>0.92605000000000004</v>
      </c>
      <c r="R1544">
        <v>0.84072000000000002</v>
      </c>
      <c r="S1544">
        <v>0.71977999999999998</v>
      </c>
      <c r="T1544">
        <v>109.02</v>
      </c>
      <c r="U1544">
        <v>1</v>
      </c>
      <c r="Y1544">
        <v>0.80321285140562304</v>
      </c>
      <c r="Z1544">
        <v>1.07985529938988</v>
      </c>
      <c r="AA1544">
        <v>1.1894499999999999</v>
      </c>
      <c r="AB1544">
        <v>1.3893</v>
      </c>
    </row>
    <row r="1545" spans="1:28" hidden="1" outlineLevel="1">
      <c r="A1545" s="8">
        <v>44272</v>
      </c>
      <c r="B1545" s="1860">
        <v>2847.8201600000002</v>
      </c>
      <c r="C1545" s="1860">
        <v>3830.6581099999999</v>
      </c>
      <c r="D1545" s="1860">
        <v>4230.2759699999997</v>
      </c>
      <c r="E1545" s="1860">
        <v>4934.40398</v>
      </c>
      <c r="F1545">
        <v>32.535339999999998</v>
      </c>
      <c r="G1545" s="1861">
        <v>3553.51</v>
      </c>
      <c r="I1545">
        <v>0.80140999999999996</v>
      </c>
      <c r="J1545">
        <v>1.07799</v>
      </c>
      <c r="K1545">
        <v>1.19045</v>
      </c>
      <c r="L1545">
        <v>1.3886000000000001</v>
      </c>
      <c r="M1545">
        <v>9.1500000000000001E-3</v>
      </c>
      <c r="N1545">
        <v>1</v>
      </c>
      <c r="P1545">
        <v>1.2478</v>
      </c>
      <c r="Q1545">
        <v>0.92764999999999997</v>
      </c>
      <c r="R1545">
        <v>0.84001000000000003</v>
      </c>
      <c r="S1545">
        <v>0.72014</v>
      </c>
      <c r="T1545">
        <v>109.22</v>
      </c>
      <c r="U1545">
        <v>1</v>
      </c>
      <c r="Y1545">
        <v>0.80141048244910995</v>
      </c>
      <c r="Z1545">
        <v>1.0779927774483899</v>
      </c>
      <c r="AA1545">
        <v>1.19045</v>
      </c>
      <c r="AB1545">
        <v>1.3886000000000001</v>
      </c>
    </row>
    <row r="1546" spans="1:28" hidden="1" outlineLevel="1">
      <c r="A1546" s="8">
        <v>44273</v>
      </c>
      <c r="B1546" s="1860">
        <v>2876.9156499999999</v>
      </c>
      <c r="C1546" s="1860">
        <v>3854.5865800000001</v>
      </c>
      <c r="D1546" s="1860">
        <v>4266.7888499999999</v>
      </c>
      <c r="E1546" s="1860">
        <v>4986.5075699999998</v>
      </c>
      <c r="F1546">
        <v>32.833399999999997</v>
      </c>
      <c r="G1546" s="1861">
        <v>3578.02</v>
      </c>
      <c r="I1546">
        <v>0.80405000000000004</v>
      </c>
      <c r="J1546">
        <v>1.0772900000000001</v>
      </c>
      <c r="K1546">
        <v>1.1924999999999999</v>
      </c>
      <c r="L1546">
        <v>1.3936500000000001</v>
      </c>
      <c r="M1546">
        <v>9.1699999999999993E-3</v>
      </c>
      <c r="N1546">
        <v>1</v>
      </c>
      <c r="P1546">
        <v>1.2437</v>
      </c>
      <c r="Q1546">
        <v>0.92825000000000002</v>
      </c>
      <c r="R1546">
        <v>0.83857000000000004</v>
      </c>
      <c r="S1546">
        <v>0.71753999999999996</v>
      </c>
      <c r="T1546">
        <v>108.97499999999999</v>
      </c>
      <c r="U1546">
        <v>1</v>
      </c>
      <c r="Y1546">
        <v>0.804052424218059</v>
      </c>
      <c r="Z1546">
        <v>1.0772959870724499</v>
      </c>
      <c r="AA1546">
        <v>1.1924999999999999</v>
      </c>
      <c r="AB1546">
        <v>1.3936500000000001</v>
      </c>
    </row>
    <row r="1547" spans="1:28" hidden="1" outlineLevel="1">
      <c r="A1547" s="8">
        <v>44274</v>
      </c>
      <c r="B1547" s="1860">
        <v>2852.8212899999999</v>
      </c>
      <c r="C1547" s="1860">
        <v>3837.91194</v>
      </c>
      <c r="D1547" s="1860">
        <v>4251.03647</v>
      </c>
      <c r="E1547" s="1860">
        <v>4951.3625599999996</v>
      </c>
      <c r="F1547">
        <v>32.790860000000002</v>
      </c>
      <c r="G1547" s="1861">
        <v>3569.45</v>
      </c>
      <c r="I1547">
        <v>0.79923</v>
      </c>
      <c r="J1547">
        <v>1.07521</v>
      </c>
      <c r="K1547">
        <v>1.19095</v>
      </c>
      <c r="L1547">
        <v>1.3871500000000001</v>
      </c>
      <c r="M1547">
        <v>9.1800000000000007E-3</v>
      </c>
      <c r="N1547">
        <v>1</v>
      </c>
      <c r="P1547">
        <v>1.2512000000000001</v>
      </c>
      <c r="Q1547">
        <v>0.93005000000000004</v>
      </c>
      <c r="R1547">
        <v>0.83965999999999996</v>
      </c>
      <c r="S1547">
        <v>0.72089999999999999</v>
      </c>
      <c r="T1547">
        <v>108.855</v>
      </c>
      <c r="U1547">
        <v>1</v>
      </c>
      <c r="Y1547">
        <v>0.79923273657288996</v>
      </c>
      <c r="Z1547">
        <v>1.0752110101607399</v>
      </c>
      <c r="AA1547">
        <v>1.19095</v>
      </c>
      <c r="AB1547">
        <v>1.3871500000000001</v>
      </c>
    </row>
    <row r="1548" spans="1:28" hidden="1" outlineLevel="1">
      <c r="A1548" s="8">
        <v>44275</v>
      </c>
      <c r="B1548" s="1860">
        <v>2839.9456500000001</v>
      </c>
      <c r="C1548" s="1860">
        <v>3820.5902900000001</v>
      </c>
      <c r="D1548" s="1860">
        <v>4231.8502699999999</v>
      </c>
      <c r="E1548" s="1860">
        <v>4929.0155800000002</v>
      </c>
      <c r="F1548">
        <v>32.642870000000002</v>
      </c>
      <c r="G1548" s="1861">
        <v>3553.34</v>
      </c>
      <c r="I1548">
        <v>0.79923</v>
      </c>
      <c r="J1548">
        <v>1.07521</v>
      </c>
      <c r="K1548">
        <v>1.19095</v>
      </c>
      <c r="L1548">
        <v>1.3871500000000001</v>
      </c>
      <c r="M1548">
        <v>9.1800000000000007E-3</v>
      </c>
      <c r="N1548">
        <v>1</v>
      </c>
      <c r="P1548">
        <v>1.2512000000000001</v>
      </c>
      <c r="Q1548">
        <v>0.93005000000000004</v>
      </c>
      <c r="R1548">
        <v>0.83965999999999996</v>
      </c>
      <c r="S1548">
        <v>0.72089999999999999</v>
      </c>
      <c r="T1548">
        <v>108.855</v>
      </c>
      <c r="U1548">
        <v>1</v>
      </c>
      <c r="Y1548">
        <v>0.79923273657288996</v>
      </c>
      <c r="Z1548">
        <v>1.0752110101607399</v>
      </c>
      <c r="AA1548">
        <v>1.19095</v>
      </c>
      <c r="AB1548">
        <v>1.3871500000000001</v>
      </c>
    </row>
    <row r="1549" spans="1:28" hidden="1" outlineLevel="1">
      <c r="A1549" s="8">
        <v>44276</v>
      </c>
      <c r="B1549" s="1860">
        <v>2839.9456500000001</v>
      </c>
      <c r="C1549" s="1860">
        <v>3820.5902900000001</v>
      </c>
      <c r="D1549" s="1860">
        <v>4231.8502699999999</v>
      </c>
      <c r="E1549" s="1860">
        <v>4929.0155800000002</v>
      </c>
      <c r="F1549">
        <v>32.642870000000002</v>
      </c>
      <c r="G1549" s="1861">
        <v>3553.34</v>
      </c>
      <c r="I1549">
        <v>0.79923</v>
      </c>
      <c r="J1549">
        <v>1.07521</v>
      </c>
      <c r="K1549">
        <v>1.19095</v>
      </c>
      <c r="L1549">
        <v>1.3871500000000001</v>
      </c>
      <c r="M1549">
        <v>9.1800000000000007E-3</v>
      </c>
      <c r="N1549">
        <v>1</v>
      </c>
      <c r="P1549">
        <v>1.2512000000000001</v>
      </c>
      <c r="Q1549">
        <v>0.93005000000000004</v>
      </c>
      <c r="R1549">
        <v>0.83965999999999996</v>
      </c>
      <c r="S1549">
        <v>0.72089999999999999</v>
      </c>
      <c r="T1549">
        <v>108.855</v>
      </c>
      <c r="U1549">
        <v>1</v>
      </c>
      <c r="Y1549">
        <v>0.79923273657288996</v>
      </c>
      <c r="Z1549">
        <v>1.0752110101607399</v>
      </c>
      <c r="AA1549">
        <v>1.19095</v>
      </c>
      <c r="AB1549">
        <v>1.3871500000000001</v>
      </c>
    </row>
    <row r="1550" spans="1:28" hidden="1" outlineLevel="1">
      <c r="A1550" s="8">
        <v>44277</v>
      </c>
      <c r="B1550" s="1860">
        <v>2836.2054499999999</v>
      </c>
      <c r="C1550" s="1860">
        <v>3848.3132000000001</v>
      </c>
      <c r="D1550" s="1860">
        <v>4239.8452799999995</v>
      </c>
      <c r="E1550" s="1860">
        <v>4922.7972300000001</v>
      </c>
      <c r="F1550">
        <v>32.695430000000002</v>
      </c>
      <c r="G1550" s="1861">
        <v>3553.34</v>
      </c>
      <c r="I1550">
        <v>0.79818</v>
      </c>
      <c r="J1550">
        <v>1.08301</v>
      </c>
      <c r="K1550">
        <v>1.1932</v>
      </c>
      <c r="L1550">
        <v>1.3854</v>
      </c>
      <c r="M1550">
        <v>9.1999999999999998E-3</v>
      </c>
      <c r="N1550">
        <v>1</v>
      </c>
      <c r="P1550">
        <v>1.25285</v>
      </c>
      <c r="Q1550">
        <v>0.92335</v>
      </c>
      <c r="R1550">
        <v>0.83808000000000005</v>
      </c>
      <c r="S1550">
        <v>0.72180999999999995</v>
      </c>
      <c r="T1550">
        <v>108.68</v>
      </c>
      <c r="U1550">
        <v>1</v>
      </c>
      <c r="Y1550">
        <v>0.79818014925968805</v>
      </c>
      <c r="Z1550">
        <v>1.0830129420046599</v>
      </c>
      <c r="AA1550">
        <v>1.1932</v>
      </c>
      <c r="AB1550">
        <v>1.3854</v>
      </c>
    </row>
    <row r="1551" spans="1:28" hidden="1" outlineLevel="1">
      <c r="A1551" s="8">
        <v>44278</v>
      </c>
      <c r="B1551" s="1860">
        <v>2831.4594200000001</v>
      </c>
      <c r="C1551" s="1860">
        <v>3808.7142899999999</v>
      </c>
      <c r="D1551" s="1860">
        <v>4218.5252399999999</v>
      </c>
      <c r="E1551" s="1860">
        <v>4900.7665200000001</v>
      </c>
      <c r="F1551">
        <v>32.71199</v>
      </c>
      <c r="G1551" s="1861">
        <v>3553.34</v>
      </c>
      <c r="I1551">
        <v>0.79683999999999999</v>
      </c>
      <c r="J1551">
        <v>1.07186</v>
      </c>
      <c r="K1551">
        <v>1.1872</v>
      </c>
      <c r="L1551">
        <v>1.3792</v>
      </c>
      <c r="M1551">
        <v>9.1999999999999998E-3</v>
      </c>
      <c r="N1551">
        <v>1</v>
      </c>
      <c r="P1551">
        <v>1.25495</v>
      </c>
      <c r="Q1551">
        <v>0.93294999999999995</v>
      </c>
      <c r="R1551">
        <v>0.84231</v>
      </c>
      <c r="S1551">
        <v>0.72504999999999997</v>
      </c>
      <c r="T1551">
        <v>108.625</v>
      </c>
      <c r="U1551">
        <v>1</v>
      </c>
      <c r="Y1551">
        <v>0.79684449579664496</v>
      </c>
      <c r="Z1551">
        <v>1.07186880325848</v>
      </c>
      <c r="AA1551">
        <v>1.1872</v>
      </c>
      <c r="AB1551">
        <v>1.3792</v>
      </c>
    </row>
    <row r="1552" spans="1:28" hidden="1" outlineLevel="1">
      <c r="A1552" s="8">
        <v>44279</v>
      </c>
      <c r="B1552" s="1860">
        <v>2859.73074</v>
      </c>
      <c r="C1552" s="1860">
        <v>3837.94301</v>
      </c>
      <c r="D1552" s="1860">
        <v>4246.9365500000004</v>
      </c>
      <c r="E1552" s="1860">
        <v>4925.59202</v>
      </c>
      <c r="F1552">
        <v>32.990119999999997</v>
      </c>
      <c r="G1552" s="1861">
        <v>3589.82</v>
      </c>
      <c r="I1552">
        <v>0.79661999999999999</v>
      </c>
      <c r="J1552">
        <v>1.06911</v>
      </c>
      <c r="K1552">
        <v>1.1830499999999999</v>
      </c>
      <c r="L1552">
        <v>1.3721000000000001</v>
      </c>
      <c r="M1552">
        <v>9.1800000000000007E-3</v>
      </c>
      <c r="N1552">
        <v>1</v>
      </c>
      <c r="P1552">
        <v>1.2553000000000001</v>
      </c>
      <c r="Q1552">
        <v>0.93535000000000001</v>
      </c>
      <c r="R1552">
        <v>0.84526999999999997</v>
      </c>
      <c r="S1552">
        <v>0.7288</v>
      </c>
      <c r="T1552">
        <v>108.815</v>
      </c>
      <c r="U1552">
        <v>1</v>
      </c>
      <c r="Y1552">
        <v>0.79662232135744504</v>
      </c>
      <c r="Z1552">
        <v>1.0691185117870301</v>
      </c>
      <c r="AA1552">
        <v>1.1830499999999999</v>
      </c>
      <c r="AB1552">
        <v>1.3721000000000001</v>
      </c>
    </row>
    <row r="1553" spans="1:28" hidden="1" outlineLevel="1">
      <c r="A1553" s="8">
        <v>44280</v>
      </c>
      <c r="B1553" s="1860">
        <v>2882.0423300000002</v>
      </c>
      <c r="C1553" s="1860">
        <v>3869.8248699999999</v>
      </c>
      <c r="D1553" s="1860">
        <v>4280.5355499999996</v>
      </c>
      <c r="E1553" s="1860">
        <v>4988.1116599999996</v>
      </c>
      <c r="F1553">
        <v>33.30847</v>
      </c>
      <c r="G1553" s="1861">
        <v>3635.12</v>
      </c>
      <c r="I1553">
        <v>0.79283000000000003</v>
      </c>
      <c r="J1553">
        <v>1.06456</v>
      </c>
      <c r="K1553">
        <v>1.1775500000000001</v>
      </c>
      <c r="L1553">
        <v>1.3722000000000001</v>
      </c>
      <c r="M1553">
        <v>9.1599999999999997E-3</v>
      </c>
      <c r="N1553">
        <v>1</v>
      </c>
      <c r="P1553">
        <v>1.2613000000000001</v>
      </c>
      <c r="Q1553">
        <v>0.93935000000000002</v>
      </c>
      <c r="R1553">
        <v>0.84921999999999997</v>
      </c>
      <c r="S1553">
        <v>0.72875000000000001</v>
      </c>
      <c r="T1553">
        <v>109.13500000000001</v>
      </c>
      <c r="U1553">
        <v>1</v>
      </c>
      <c r="Y1553">
        <v>0.79283279156425901</v>
      </c>
      <c r="Z1553">
        <v>1.0645659232447999</v>
      </c>
      <c r="AA1553">
        <v>1.1775500000000001</v>
      </c>
      <c r="AB1553">
        <v>1.3722000000000001</v>
      </c>
    </row>
    <row r="1554" spans="1:28" hidden="1" outlineLevel="1">
      <c r="A1554" s="8">
        <v>44281</v>
      </c>
      <c r="B1554" s="1860">
        <v>2907.7338800000002</v>
      </c>
      <c r="C1554" s="1860">
        <v>3892.1374599999999</v>
      </c>
      <c r="D1554" s="1860">
        <v>4315.6021300000002</v>
      </c>
      <c r="E1554" s="1860">
        <v>5045.2341100000003</v>
      </c>
      <c r="F1554">
        <v>33.391620000000003</v>
      </c>
      <c r="G1554" s="1861">
        <v>3658.22</v>
      </c>
      <c r="I1554">
        <v>0.79483999999999999</v>
      </c>
      <c r="J1554">
        <v>1.0639400000000001</v>
      </c>
      <c r="K1554">
        <v>1.1797</v>
      </c>
      <c r="L1554">
        <v>1.3791500000000001</v>
      </c>
      <c r="M1554">
        <v>9.1199999999999996E-3</v>
      </c>
      <c r="N1554">
        <v>1</v>
      </c>
      <c r="P1554">
        <v>1.2581</v>
      </c>
      <c r="Q1554">
        <v>0.93989999999999996</v>
      </c>
      <c r="R1554">
        <v>0.84767000000000003</v>
      </c>
      <c r="S1554">
        <v>0.72507999999999995</v>
      </c>
      <c r="T1554">
        <v>109.55500000000001</v>
      </c>
      <c r="U1554">
        <v>1</v>
      </c>
      <c r="Y1554">
        <v>0.79484937604324002</v>
      </c>
      <c r="Z1554">
        <v>1.06394297265667</v>
      </c>
      <c r="AA1554">
        <v>1.1797</v>
      </c>
      <c r="AB1554">
        <v>1.3791500000000001</v>
      </c>
    </row>
    <row r="1555" spans="1:28" hidden="1" outlineLevel="1">
      <c r="A1555" s="8">
        <v>44282</v>
      </c>
      <c r="B1555" s="1860">
        <v>2913.4488500000002</v>
      </c>
      <c r="C1555" s="1860">
        <v>3899.78721</v>
      </c>
      <c r="D1555" s="1860">
        <v>4324.0841700000001</v>
      </c>
      <c r="E1555" s="1860">
        <v>5055.1502</v>
      </c>
      <c r="F1555">
        <v>33.457250000000002</v>
      </c>
      <c r="G1555" s="1861">
        <v>3665.41</v>
      </c>
      <c r="I1555">
        <v>0.79483999999999999</v>
      </c>
      <c r="J1555">
        <v>1.0639400000000001</v>
      </c>
      <c r="K1555">
        <v>1.1797</v>
      </c>
      <c r="L1555">
        <v>1.3791500000000001</v>
      </c>
      <c r="M1555">
        <v>9.1199999999999996E-3</v>
      </c>
      <c r="N1555">
        <v>1</v>
      </c>
      <c r="P1555">
        <v>1.2581</v>
      </c>
      <c r="Q1555">
        <v>0.93989999999999996</v>
      </c>
      <c r="R1555">
        <v>0.84767000000000003</v>
      </c>
      <c r="S1555">
        <v>0.72507999999999995</v>
      </c>
      <c r="T1555">
        <v>109.55500000000001</v>
      </c>
      <c r="U1555">
        <v>1</v>
      </c>
      <c r="Y1555">
        <v>0.79484937604324002</v>
      </c>
      <c r="Z1555">
        <v>1.06394297265667</v>
      </c>
      <c r="AA1555">
        <v>1.1797</v>
      </c>
      <c r="AB1555">
        <v>1.3791500000000001</v>
      </c>
    </row>
    <row r="1556" spans="1:28" hidden="1" outlineLevel="1">
      <c r="A1556" s="8">
        <v>44283</v>
      </c>
      <c r="B1556" s="1860">
        <v>2913.4488500000002</v>
      </c>
      <c r="C1556" s="1860">
        <v>3899.78721</v>
      </c>
      <c r="D1556" s="1860">
        <v>4324.0841700000001</v>
      </c>
      <c r="E1556" s="1860">
        <v>5055.1502</v>
      </c>
      <c r="F1556">
        <v>33.457250000000002</v>
      </c>
      <c r="G1556" s="1861">
        <v>3665.41</v>
      </c>
      <c r="I1556">
        <v>0.79483999999999999</v>
      </c>
      <c r="J1556">
        <v>1.0639400000000001</v>
      </c>
      <c r="K1556">
        <v>1.1797</v>
      </c>
      <c r="L1556">
        <v>1.3791500000000001</v>
      </c>
      <c r="M1556">
        <v>9.1199999999999996E-3</v>
      </c>
      <c r="N1556">
        <v>1</v>
      </c>
      <c r="P1556">
        <v>1.2581</v>
      </c>
      <c r="Q1556">
        <v>0.93989999999999996</v>
      </c>
      <c r="R1556">
        <v>0.84767000000000003</v>
      </c>
      <c r="S1556">
        <v>0.72507999999999995</v>
      </c>
      <c r="T1556">
        <v>109.55500000000001</v>
      </c>
      <c r="U1556">
        <v>1</v>
      </c>
      <c r="Y1556">
        <v>0.79484937604324002</v>
      </c>
      <c r="Z1556">
        <v>1.06394297265667</v>
      </c>
      <c r="AA1556">
        <v>1.1797</v>
      </c>
      <c r="AB1556">
        <v>1.3791500000000001</v>
      </c>
    </row>
    <row r="1557" spans="1:28" hidden="1" outlineLevel="1">
      <c r="A1557" s="8">
        <v>44284</v>
      </c>
      <c r="B1557" s="1860">
        <v>2905.48135</v>
      </c>
      <c r="C1557" s="1860">
        <v>3904.14869</v>
      </c>
      <c r="D1557" s="1860">
        <v>4311.8050499999999</v>
      </c>
      <c r="E1557" s="1860">
        <v>5047.4528399999999</v>
      </c>
      <c r="F1557">
        <v>33.391719999999999</v>
      </c>
      <c r="G1557" s="1861">
        <v>3665.41</v>
      </c>
      <c r="I1557">
        <v>0.79266999999999999</v>
      </c>
      <c r="J1557">
        <v>1.0651299999999999</v>
      </c>
      <c r="K1557">
        <v>1.17635</v>
      </c>
      <c r="L1557">
        <v>1.3770500000000001</v>
      </c>
      <c r="M1557">
        <v>9.1000000000000004E-3</v>
      </c>
      <c r="N1557">
        <v>1</v>
      </c>
      <c r="P1557">
        <v>1.2615499999999999</v>
      </c>
      <c r="Q1557">
        <v>0.93884999999999996</v>
      </c>
      <c r="R1557">
        <v>0.85007999999999995</v>
      </c>
      <c r="S1557">
        <v>0.72619</v>
      </c>
      <c r="T1557">
        <v>109.77</v>
      </c>
      <c r="U1557">
        <v>1</v>
      </c>
      <c r="Y1557">
        <v>0.79267567674685901</v>
      </c>
      <c r="Z1557">
        <v>1.0651328753261999</v>
      </c>
      <c r="AA1557">
        <v>1.17635</v>
      </c>
      <c r="AB1557">
        <v>1.3770500000000001</v>
      </c>
    </row>
    <row r="1558" spans="1:28" hidden="1" outlineLevel="1">
      <c r="A1558" s="8">
        <v>44285</v>
      </c>
      <c r="B1558" s="1860">
        <v>2934.3970199999999</v>
      </c>
      <c r="C1558" s="1860">
        <v>3929.2265200000002</v>
      </c>
      <c r="D1558" s="1860">
        <v>4346.0355799999998</v>
      </c>
      <c r="E1558" s="1860">
        <v>5081.2762199999997</v>
      </c>
      <c r="F1558">
        <v>33.59639</v>
      </c>
      <c r="G1558" s="1861">
        <v>3705.85</v>
      </c>
      <c r="I1558">
        <v>0.79181999999999997</v>
      </c>
      <c r="J1558">
        <v>1.06027</v>
      </c>
      <c r="K1558">
        <v>1.17275</v>
      </c>
      <c r="L1558">
        <v>1.3711500000000001</v>
      </c>
      <c r="M1558">
        <v>9.0600000000000003E-3</v>
      </c>
      <c r="N1558">
        <v>1</v>
      </c>
      <c r="P1558">
        <v>1.2628999999999999</v>
      </c>
      <c r="Q1558">
        <v>0.94315000000000004</v>
      </c>
      <c r="R1558">
        <v>0.85268999999999995</v>
      </c>
      <c r="S1558">
        <v>0.72931000000000001</v>
      </c>
      <c r="T1558">
        <v>110.30500000000001</v>
      </c>
      <c r="U1558">
        <v>1</v>
      </c>
      <c r="Y1558">
        <v>0.79182833161770505</v>
      </c>
      <c r="Z1558">
        <v>1.0602767322271101</v>
      </c>
      <c r="AA1558">
        <v>1.17275</v>
      </c>
      <c r="AB1558">
        <v>1.3711500000000001</v>
      </c>
    </row>
    <row r="1559" spans="1:28" ht="15.75" hidden="1" outlineLevel="1" thickBot="1">
      <c r="A1559" s="1868">
        <v>44286</v>
      </c>
      <c r="B1559" s="1869">
        <v>2973.2346699999998</v>
      </c>
      <c r="C1559" s="1869">
        <v>3970.57854</v>
      </c>
      <c r="D1559" s="1869">
        <v>4391.9903199999999</v>
      </c>
      <c r="E1559" s="1869">
        <v>5155.8147200000003</v>
      </c>
      <c r="F1559" s="1870">
        <v>33.818190000000001</v>
      </c>
      <c r="G1559" s="1871">
        <v>3736.91</v>
      </c>
      <c r="H1559" s="1872"/>
      <c r="I1559" s="1870">
        <v>0.79562999999999995</v>
      </c>
      <c r="J1559" s="1870">
        <v>1.0625199999999999</v>
      </c>
      <c r="K1559" s="1870">
        <v>1.1753</v>
      </c>
      <c r="L1559" s="1870">
        <v>1.3796999999999999</v>
      </c>
      <c r="M1559" s="1870">
        <v>9.0399999999999994E-3</v>
      </c>
      <c r="N1559" s="1870">
        <v>1</v>
      </c>
      <c r="O1559" s="1872"/>
      <c r="P1559" s="1870">
        <v>1.25685</v>
      </c>
      <c r="Q1559" s="1870">
        <v>0.94115000000000004</v>
      </c>
      <c r="R1559" s="1870">
        <v>0.85084000000000004</v>
      </c>
      <c r="S1559" s="1870">
        <v>0.72479000000000005</v>
      </c>
      <c r="T1559" s="1870">
        <v>110.5</v>
      </c>
      <c r="U1559" s="1870">
        <v>1</v>
      </c>
      <c r="V1559" s="1872"/>
      <c r="Y1559" s="1870">
        <v>0.795639893384254</v>
      </c>
      <c r="Z1559" s="1870">
        <v>1.06252988365298</v>
      </c>
      <c r="AA1559" s="1870">
        <v>1.1753</v>
      </c>
      <c r="AB1559" s="1870">
        <v>1.3796999999999999</v>
      </c>
    </row>
    <row r="1560" spans="1:28" hidden="1" outlineLevel="1">
      <c r="A1560" s="8">
        <v>44287</v>
      </c>
      <c r="B1560" s="1860">
        <v>2926.0419900000002</v>
      </c>
      <c r="C1560" s="1860">
        <v>3899.9416900000001</v>
      </c>
      <c r="D1560" s="1860">
        <v>4326.2410499999996</v>
      </c>
      <c r="E1560" s="1860">
        <v>5084.2206999999999</v>
      </c>
      <c r="F1560">
        <v>33.260570000000001</v>
      </c>
      <c r="G1560" s="1861">
        <v>3678.62</v>
      </c>
      <c r="I1560">
        <v>0.79540999999999995</v>
      </c>
      <c r="J1560">
        <v>1.06016</v>
      </c>
      <c r="K1560">
        <v>1.17605</v>
      </c>
      <c r="L1560">
        <v>1.3821000000000001</v>
      </c>
      <c r="M1560">
        <v>9.0399999999999994E-3</v>
      </c>
      <c r="N1560">
        <v>1</v>
      </c>
      <c r="P1560">
        <v>1.2572000000000001</v>
      </c>
      <c r="Q1560">
        <v>0.94325000000000003</v>
      </c>
      <c r="R1560">
        <v>0.85029999999999994</v>
      </c>
      <c r="S1560">
        <v>0.72353000000000001</v>
      </c>
      <c r="T1560">
        <v>110.6</v>
      </c>
      <c r="U1560">
        <v>1</v>
      </c>
    </row>
    <row r="1561" spans="1:28" hidden="1" outlineLevel="1">
      <c r="A1561" s="8">
        <v>44288</v>
      </c>
      <c r="B1561" s="1860">
        <v>2926.0419900000002</v>
      </c>
      <c r="C1561" s="1860">
        <v>3899.9416900000001</v>
      </c>
      <c r="D1561" s="1860">
        <v>4326.2410499999996</v>
      </c>
      <c r="E1561" s="1860">
        <v>5084.2206999999999</v>
      </c>
      <c r="F1561">
        <v>33.260570000000001</v>
      </c>
      <c r="G1561" s="1861">
        <v>3678.62</v>
      </c>
      <c r="I1561">
        <v>0.79540999999999995</v>
      </c>
      <c r="J1561">
        <v>1.06016</v>
      </c>
      <c r="K1561">
        <v>1.17605</v>
      </c>
      <c r="L1561">
        <v>1.3821000000000001</v>
      </c>
      <c r="M1561">
        <v>9.0399999999999994E-3</v>
      </c>
      <c r="N1561">
        <v>1</v>
      </c>
      <c r="P1561">
        <v>1.2572000000000001</v>
      </c>
      <c r="Q1561">
        <v>0.94325000000000003</v>
      </c>
      <c r="R1561">
        <v>0.85029999999999994</v>
      </c>
      <c r="S1561">
        <v>0.72353000000000001</v>
      </c>
      <c r="T1561">
        <v>110.6</v>
      </c>
      <c r="U1561">
        <v>1</v>
      </c>
    </row>
    <row r="1562" spans="1:28" hidden="1" outlineLevel="1">
      <c r="A1562" s="8">
        <v>44289</v>
      </c>
      <c r="B1562" s="1860">
        <v>2926.0419900000002</v>
      </c>
      <c r="C1562" s="1860">
        <v>3899.9416900000001</v>
      </c>
      <c r="D1562" s="1860">
        <v>4326.2410499999996</v>
      </c>
      <c r="E1562" s="1860">
        <v>5084.2206999999999</v>
      </c>
      <c r="F1562">
        <v>33.260570000000001</v>
      </c>
      <c r="G1562" s="1861">
        <v>3678.62</v>
      </c>
      <c r="I1562">
        <v>0.79540999999999995</v>
      </c>
      <c r="J1562">
        <v>1.06016</v>
      </c>
      <c r="K1562">
        <v>1.17605</v>
      </c>
      <c r="L1562">
        <v>1.3821000000000001</v>
      </c>
      <c r="M1562">
        <v>9.0399999999999994E-3</v>
      </c>
      <c r="N1562">
        <v>1</v>
      </c>
      <c r="P1562">
        <v>1.2572000000000001</v>
      </c>
      <c r="Q1562">
        <v>0.94325000000000003</v>
      </c>
      <c r="R1562">
        <v>0.85029999999999994</v>
      </c>
      <c r="S1562">
        <v>0.72353000000000001</v>
      </c>
      <c r="T1562">
        <v>110.6</v>
      </c>
      <c r="U1562">
        <v>1</v>
      </c>
    </row>
    <row r="1563" spans="1:28" hidden="1" outlineLevel="1">
      <c r="A1563" s="8">
        <v>44290</v>
      </c>
      <c r="B1563" s="1860">
        <v>2926.0419900000002</v>
      </c>
      <c r="C1563" s="1860">
        <v>3899.9416900000001</v>
      </c>
      <c r="D1563" s="1860">
        <v>4326.2410499999996</v>
      </c>
      <c r="E1563" s="1860">
        <v>5084.2206999999999</v>
      </c>
      <c r="F1563">
        <v>33.260570000000001</v>
      </c>
      <c r="G1563" s="1861">
        <v>3678.62</v>
      </c>
      <c r="I1563">
        <v>0.79540999999999995</v>
      </c>
      <c r="J1563">
        <v>1.06016</v>
      </c>
      <c r="K1563">
        <v>1.17605</v>
      </c>
      <c r="L1563">
        <v>1.3821000000000001</v>
      </c>
      <c r="M1563">
        <v>9.0399999999999994E-3</v>
      </c>
      <c r="N1563">
        <v>1</v>
      </c>
      <c r="P1563">
        <v>1.2572000000000001</v>
      </c>
      <c r="Q1563">
        <v>0.94325000000000003</v>
      </c>
      <c r="R1563">
        <v>0.85029999999999994</v>
      </c>
      <c r="S1563">
        <v>0.72353000000000001</v>
      </c>
      <c r="T1563">
        <v>110.6</v>
      </c>
      <c r="U1563">
        <v>1</v>
      </c>
    </row>
    <row r="1564" spans="1:28" hidden="1" outlineLevel="1">
      <c r="A1564" s="8">
        <v>44291</v>
      </c>
      <c r="B1564" s="1860">
        <v>2938.5469499999999</v>
      </c>
      <c r="C1564" s="1860">
        <v>3926.1646799999999</v>
      </c>
      <c r="D1564" s="1860">
        <v>4340.2197999999999</v>
      </c>
      <c r="E1564" s="1860">
        <v>5110.8906900000002</v>
      </c>
      <c r="F1564">
        <v>33.401000000000003</v>
      </c>
      <c r="G1564" s="1861">
        <v>3678.62</v>
      </c>
      <c r="I1564">
        <v>0.79881000000000002</v>
      </c>
      <c r="J1564">
        <v>1.0672900000000001</v>
      </c>
      <c r="K1564">
        <v>1.1798500000000001</v>
      </c>
      <c r="L1564">
        <v>1.3893500000000001</v>
      </c>
      <c r="M1564">
        <v>9.0699999999999999E-3</v>
      </c>
      <c r="N1564">
        <v>1</v>
      </c>
      <c r="P1564">
        <v>1.2518499999999999</v>
      </c>
      <c r="Q1564">
        <v>0.93694999999999995</v>
      </c>
      <c r="R1564">
        <v>0.84755999999999998</v>
      </c>
      <c r="S1564">
        <v>0.71975999999999996</v>
      </c>
      <c r="T1564">
        <v>110.13500000000001</v>
      </c>
      <c r="U1564">
        <v>1</v>
      </c>
    </row>
    <row r="1565" spans="1:28" hidden="1" outlineLevel="1">
      <c r="A1565" s="8">
        <v>44292</v>
      </c>
      <c r="B1565" s="1860">
        <v>2905.4749700000002</v>
      </c>
      <c r="C1565" s="1860">
        <v>3906.9710100000002</v>
      </c>
      <c r="D1565" s="1860">
        <v>4316.2507800000003</v>
      </c>
      <c r="E1565" s="1860">
        <v>5053.6117999999997</v>
      </c>
      <c r="F1565">
        <v>33.21904</v>
      </c>
      <c r="G1565" s="1861">
        <v>3645.79</v>
      </c>
      <c r="I1565">
        <v>0.79693000000000003</v>
      </c>
      <c r="J1565">
        <v>1.0716300000000001</v>
      </c>
      <c r="K1565">
        <v>1.1839</v>
      </c>
      <c r="L1565">
        <v>1.38615</v>
      </c>
      <c r="M1565">
        <v>9.11E-3</v>
      </c>
      <c r="N1565">
        <v>1</v>
      </c>
      <c r="P1565">
        <v>1.2547999999999999</v>
      </c>
      <c r="Q1565">
        <v>0.93315000000000003</v>
      </c>
      <c r="R1565">
        <v>0.84465999999999997</v>
      </c>
      <c r="S1565">
        <v>0.72141999999999995</v>
      </c>
      <c r="T1565">
        <v>109.75</v>
      </c>
      <c r="U1565">
        <v>1</v>
      </c>
    </row>
    <row r="1566" spans="1:28" hidden="1" outlineLevel="1">
      <c r="A1566" s="8">
        <v>44293</v>
      </c>
      <c r="B1566" s="1860">
        <v>2891.3619399999998</v>
      </c>
      <c r="C1566" s="1860">
        <v>3928.7993099999999</v>
      </c>
      <c r="D1566" s="1860">
        <v>4337.8988499999996</v>
      </c>
      <c r="E1566" s="1860">
        <v>5025.5545099999999</v>
      </c>
      <c r="F1566">
        <v>33.250990000000002</v>
      </c>
      <c r="G1566" s="1861">
        <v>3645.14</v>
      </c>
      <c r="I1566">
        <v>0.79320999999999997</v>
      </c>
      <c r="J1566">
        <v>1.0778099999999999</v>
      </c>
      <c r="K1566">
        <v>1.1900500000000001</v>
      </c>
      <c r="L1566">
        <v>1.3787</v>
      </c>
      <c r="M1566">
        <v>9.1199999999999996E-3</v>
      </c>
      <c r="N1566">
        <v>1</v>
      </c>
      <c r="P1566">
        <v>1.2606999999999999</v>
      </c>
      <c r="Q1566">
        <v>0.92779999999999996</v>
      </c>
      <c r="R1566">
        <v>0.84030000000000005</v>
      </c>
      <c r="S1566">
        <v>0.72531999999999996</v>
      </c>
      <c r="T1566">
        <v>109.625</v>
      </c>
      <c r="U1566">
        <v>1</v>
      </c>
    </row>
    <row r="1567" spans="1:28" hidden="1" outlineLevel="1">
      <c r="A1567" s="8">
        <v>44294</v>
      </c>
      <c r="B1567" s="1860">
        <v>2892.14509</v>
      </c>
      <c r="C1567" s="1860">
        <v>3932.81106</v>
      </c>
      <c r="D1567" s="1860">
        <v>4330.2378900000003</v>
      </c>
      <c r="E1567" s="1860">
        <v>4997.1982600000001</v>
      </c>
      <c r="F1567">
        <v>33.308500000000002</v>
      </c>
      <c r="G1567" s="1861">
        <v>3639.62</v>
      </c>
      <c r="I1567">
        <v>0.79461999999999999</v>
      </c>
      <c r="J1567">
        <v>1.0805499999999999</v>
      </c>
      <c r="K1567">
        <v>1.1897500000000001</v>
      </c>
      <c r="L1567">
        <v>1.373</v>
      </c>
      <c r="M1567">
        <v>9.1500000000000001E-3</v>
      </c>
      <c r="N1567">
        <v>1</v>
      </c>
      <c r="P1567">
        <v>1.2584500000000001</v>
      </c>
      <c r="Q1567">
        <v>0.92544999999999999</v>
      </c>
      <c r="R1567">
        <v>0.84050999999999998</v>
      </c>
      <c r="S1567">
        <v>0.72833000000000003</v>
      </c>
      <c r="T1567">
        <v>109.27</v>
      </c>
      <c r="U1567">
        <v>1</v>
      </c>
    </row>
    <row r="1568" spans="1:28" hidden="1" outlineLevel="1">
      <c r="A1568" s="8">
        <v>44295</v>
      </c>
      <c r="B1568" s="1860">
        <v>2894.8659699999998</v>
      </c>
      <c r="C1568" s="1860">
        <v>3927.6627899999999</v>
      </c>
      <c r="D1568" s="1860">
        <v>4320.7275200000004</v>
      </c>
      <c r="E1568" s="1860">
        <v>4989.5781100000004</v>
      </c>
      <c r="F1568">
        <v>33.160589999999999</v>
      </c>
      <c r="G1568" s="1861">
        <v>3634.07</v>
      </c>
      <c r="I1568">
        <v>0.79659000000000002</v>
      </c>
      <c r="J1568">
        <v>1.0807800000000001</v>
      </c>
      <c r="K1568">
        <v>1.18895</v>
      </c>
      <c r="L1568">
        <v>1.373</v>
      </c>
      <c r="M1568">
        <v>9.1199999999999996E-3</v>
      </c>
      <c r="N1568">
        <v>1</v>
      </c>
      <c r="P1568">
        <v>1.25535</v>
      </c>
      <c r="Q1568">
        <v>0.92525000000000002</v>
      </c>
      <c r="R1568">
        <v>0.84106999999999998</v>
      </c>
      <c r="S1568">
        <v>0.72833000000000003</v>
      </c>
      <c r="T1568">
        <v>109.59</v>
      </c>
      <c r="U1568">
        <v>1</v>
      </c>
    </row>
    <row r="1569" spans="1:21" hidden="1" outlineLevel="1">
      <c r="A1569" s="8">
        <v>44296</v>
      </c>
      <c r="B1569" s="1860">
        <v>2907.7388700000001</v>
      </c>
      <c r="C1569" s="1860">
        <v>3945.1283400000002</v>
      </c>
      <c r="D1569" s="1860">
        <v>4339.9409500000002</v>
      </c>
      <c r="E1569" s="1860">
        <v>5011.7657900000004</v>
      </c>
      <c r="F1569">
        <v>33.308050000000001</v>
      </c>
      <c r="G1569" s="1861">
        <v>3650.23</v>
      </c>
      <c r="I1569">
        <v>0.79659000000000002</v>
      </c>
      <c r="J1569">
        <v>1.0807800000000001</v>
      </c>
      <c r="K1569">
        <v>1.18895</v>
      </c>
      <c r="L1569">
        <v>1.373</v>
      </c>
      <c r="M1569">
        <v>9.1199999999999996E-3</v>
      </c>
      <c r="N1569">
        <v>1</v>
      </c>
      <c r="P1569">
        <v>1.25535</v>
      </c>
      <c r="Q1569">
        <v>0.92525000000000002</v>
      </c>
      <c r="R1569">
        <v>0.84106999999999998</v>
      </c>
      <c r="S1569">
        <v>0.72833000000000003</v>
      </c>
      <c r="T1569">
        <v>109.59</v>
      </c>
      <c r="U1569">
        <v>1</v>
      </c>
    </row>
    <row r="1570" spans="1:21" hidden="1" outlineLevel="1">
      <c r="A1570" s="8">
        <v>44297</v>
      </c>
      <c r="B1570" s="1860">
        <v>2907.7388700000001</v>
      </c>
      <c r="C1570" s="1860">
        <v>3945.1283400000002</v>
      </c>
      <c r="D1570" s="1860">
        <v>4339.9409500000002</v>
      </c>
      <c r="E1570" s="1860">
        <v>5011.7657900000004</v>
      </c>
      <c r="F1570">
        <v>33.308050000000001</v>
      </c>
      <c r="G1570" s="1861">
        <v>3650.23</v>
      </c>
      <c r="I1570">
        <v>0.79659000000000002</v>
      </c>
      <c r="J1570">
        <v>1.0807800000000001</v>
      </c>
      <c r="K1570">
        <v>1.18895</v>
      </c>
      <c r="L1570">
        <v>1.373</v>
      </c>
      <c r="M1570">
        <v>9.1199999999999996E-3</v>
      </c>
      <c r="N1570">
        <v>1</v>
      </c>
      <c r="P1570">
        <v>1.25535</v>
      </c>
      <c r="Q1570">
        <v>0.92525000000000002</v>
      </c>
      <c r="R1570">
        <v>0.84106999999999998</v>
      </c>
      <c r="S1570">
        <v>0.72833000000000003</v>
      </c>
      <c r="T1570">
        <v>109.59</v>
      </c>
      <c r="U1570">
        <v>1</v>
      </c>
    </row>
    <row r="1571" spans="1:21" hidden="1" outlineLevel="1">
      <c r="A1571" s="8">
        <v>44298</v>
      </c>
      <c r="B1571" s="1860">
        <v>2906.4654799999998</v>
      </c>
      <c r="C1571" s="1860">
        <v>3958.1761000000001</v>
      </c>
      <c r="D1571" s="1860">
        <v>4346.5113700000002</v>
      </c>
      <c r="E1571" s="1860">
        <v>5017.2411300000003</v>
      </c>
      <c r="F1571">
        <v>33.365900000000003</v>
      </c>
      <c r="G1571" s="1861">
        <v>3650.23</v>
      </c>
      <c r="I1571">
        <v>0.79623999999999995</v>
      </c>
      <c r="J1571">
        <v>1.08436</v>
      </c>
      <c r="K1571">
        <v>1.19075</v>
      </c>
      <c r="L1571">
        <v>1.3745000000000001</v>
      </c>
      <c r="M1571">
        <v>9.1400000000000006E-3</v>
      </c>
      <c r="N1571">
        <v>1</v>
      </c>
      <c r="P1571">
        <v>1.2559</v>
      </c>
      <c r="Q1571">
        <v>0.92220000000000002</v>
      </c>
      <c r="R1571">
        <v>0.83979999999999999</v>
      </c>
      <c r="S1571">
        <v>0.72753000000000001</v>
      </c>
      <c r="T1571">
        <v>109.4</v>
      </c>
      <c r="U1571">
        <v>1</v>
      </c>
    </row>
    <row r="1572" spans="1:21" hidden="1" outlineLevel="1">
      <c r="A1572" s="8">
        <v>44299</v>
      </c>
      <c r="B1572" s="1860">
        <v>2910.3994899999998</v>
      </c>
      <c r="C1572" s="1860">
        <v>3960.2948299999998</v>
      </c>
      <c r="D1572" s="1860">
        <v>4357.0649000000003</v>
      </c>
      <c r="E1572" s="1860">
        <v>5016.3516099999997</v>
      </c>
      <c r="F1572">
        <v>33.456060000000001</v>
      </c>
      <c r="G1572" s="1861">
        <v>3653.57</v>
      </c>
      <c r="I1572">
        <v>0.79659000000000002</v>
      </c>
      <c r="J1572">
        <v>1.08395</v>
      </c>
      <c r="K1572">
        <v>1.19255</v>
      </c>
      <c r="L1572">
        <v>1.373</v>
      </c>
      <c r="M1572">
        <v>9.1500000000000001E-3</v>
      </c>
      <c r="N1572">
        <v>1</v>
      </c>
      <c r="P1572">
        <v>1.25535</v>
      </c>
      <c r="Q1572">
        <v>0.92254999999999998</v>
      </c>
      <c r="R1572">
        <v>0.83853</v>
      </c>
      <c r="S1572">
        <v>0.72833000000000003</v>
      </c>
      <c r="T1572">
        <v>109.205</v>
      </c>
      <c r="U1572">
        <v>1</v>
      </c>
    </row>
    <row r="1573" spans="1:21" hidden="1" outlineLevel="1">
      <c r="A1573" s="8">
        <v>44300</v>
      </c>
      <c r="B1573" s="1860">
        <v>2924.0468900000001</v>
      </c>
      <c r="C1573" s="1860">
        <v>3971.36976</v>
      </c>
      <c r="D1573" s="1860">
        <v>4387.4889400000002</v>
      </c>
      <c r="E1573" s="1860">
        <v>5051.7989500000003</v>
      </c>
      <c r="F1573">
        <v>33.629950000000001</v>
      </c>
      <c r="G1573" s="1861">
        <v>3666.17</v>
      </c>
      <c r="I1573">
        <v>0.79757</v>
      </c>
      <c r="J1573">
        <v>1.08324</v>
      </c>
      <c r="K1573">
        <v>1.19675</v>
      </c>
      <c r="L1573">
        <v>1.37795</v>
      </c>
      <c r="M1573">
        <v>9.1699999999999993E-3</v>
      </c>
      <c r="N1573">
        <v>1</v>
      </c>
      <c r="P1573">
        <v>1.2538</v>
      </c>
      <c r="Q1573">
        <v>0.92315000000000003</v>
      </c>
      <c r="R1573">
        <v>0.83559000000000005</v>
      </c>
      <c r="S1573">
        <v>0.72570999999999997</v>
      </c>
      <c r="T1573">
        <v>109.015</v>
      </c>
      <c r="U1573">
        <v>1</v>
      </c>
    </row>
    <row r="1574" spans="1:21" hidden="1" outlineLevel="1">
      <c r="A1574" s="8">
        <v>44301</v>
      </c>
      <c r="B1574" s="1860">
        <v>2924.9042399999998</v>
      </c>
      <c r="C1574" s="1860">
        <v>3975.3700899999999</v>
      </c>
      <c r="D1574" s="1860">
        <v>4387.5915299999997</v>
      </c>
      <c r="E1574" s="1860">
        <v>5055.8103499999997</v>
      </c>
      <c r="F1574">
        <v>33.711849999999998</v>
      </c>
      <c r="G1574" s="1861">
        <v>3665.49</v>
      </c>
      <c r="I1574">
        <v>0.79795000000000005</v>
      </c>
      <c r="J1574">
        <v>1.08453</v>
      </c>
      <c r="K1574">
        <v>1.1970000000000001</v>
      </c>
      <c r="L1574">
        <v>1.3793</v>
      </c>
      <c r="M1574">
        <v>9.1900000000000003E-3</v>
      </c>
      <c r="N1574">
        <v>1</v>
      </c>
      <c r="P1574">
        <v>1.2532000000000001</v>
      </c>
      <c r="Q1574">
        <v>0.92205000000000004</v>
      </c>
      <c r="R1574">
        <v>0.83542000000000005</v>
      </c>
      <c r="S1574">
        <v>0.72499999999999998</v>
      </c>
      <c r="T1574">
        <v>108.73</v>
      </c>
      <c r="U1574">
        <v>1</v>
      </c>
    </row>
    <row r="1575" spans="1:21" hidden="1" outlineLevel="1">
      <c r="A1575" s="8">
        <v>44302</v>
      </c>
      <c r="B1575" s="1860">
        <v>2896.7834800000001</v>
      </c>
      <c r="C1575" s="1860">
        <v>3939.7138</v>
      </c>
      <c r="D1575" s="1860">
        <v>4337.05818</v>
      </c>
      <c r="E1575" s="1860">
        <v>5003.3927999999996</v>
      </c>
      <c r="F1575">
        <v>33.271140000000003</v>
      </c>
      <c r="G1575" s="1861">
        <v>3620.4</v>
      </c>
      <c r="I1575">
        <v>0.80012000000000005</v>
      </c>
      <c r="J1575">
        <v>1.08819</v>
      </c>
      <c r="K1575">
        <v>1.1979500000000001</v>
      </c>
      <c r="L1575">
        <v>1.3819999999999999</v>
      </c>
      <c r="M1575">
        <v>9.1800000000000007E-3</v>
      </c>
      <c r="N1575">
        <v>1</v>
      </c>
      <c r="P1575">
        <v>1.2498</v>
      </c>
      <c r="Q1575">
        <v>0.91895000000000004</v>
      </c>
      <c r="R1575">
        <v>0.83474999999999999</v>
      </c>
      <c r="S1575">
        <v>0.72358</v>
      </c>
      <c r="T1575">
        <v>108.815</v>
      </c>
      <c r="U1575">
        <v>1</v>
      </c>
    </row>
    <row r="1576" spans="1:21" hidden="1" outlineLevel="1">
      <c r="A1576" s="8">
        <v>44303</v>
      </c>
      <c r="B1576" s="1860">
        <v>2876.9162999999999</v>
      </c>
      <c r="C1576" s="1860">
        <v>3912.6938300000002</v>
      </c>
      <c r="D1576" s="1860">
        <v>4307.3130799999999</v>
      </c>
      <c r="E1576" s="1860">
        <v>4969.0777399999997</v>
      </c>
      <c r="F1576">
        <v>33.042960000000001</v>
      </c>
      <c r="G1576" s="1861">
        <v>3595.57</v>
      </c>
      <c r="I1576">
        <v>0.80012000000000005</v>
      </c>
      <c r="J1576">
        <v>1.08819</v>
      </c>
      <c r="K1576">
        <v>1.1979500000000001</v>
      </c>
      <c r="L1576">
        <v>1.3819999999999999</v>
      </c>
      <c r="M1576">
        <v>9.1800000000000007E-3</v>
      </c>
      <c r="N1576">
        <v>1</v>
      </c>
      <c r="P1576">
        <v>1.2498</v>
      </c>
      <c r="Q1576">
        <v>0.91895000000000004</v>
      </c>
      <c r="R1576">
        <v>0.83474999999999999</v>
      </c>
      <c r="S1576">
        <v>0.72358</v>
      </c>
      <c r="T1576">
        <v>108.815</v>
      </c>
      <c r="U1576">
        <v>1</v>
      </c>
    </row>
    <row r="1577" spans="1:21" hidden="1" outlineLevel="1">
      <c r="A1577" s="8">
        <v>44304</v>
      </c>
      <c r="B1577" s="1860">
        <v>2876.9162999999999</v>
      </c>
      <c r="C1577" s="1860">
        <v>3912.6938300000002</v>
      </c>
      <c r="D1577" s="1860">
        <v>4307.3130799999999</v>
      </c>
      <c r="E1577" s="1860">
        <v>4969.0777399999997</v>
      </c>
      <c r="F1577">
        <v>33.042960000000001</v>
      </c>
      <c r="G1577" s="1861">
        <v>3595.57</v>
      </c>
      <c r="I1577">
        <v>0.80012000000000005</v>
      </c>
      <c r="J1577">
        <v>1.08819</v>
      </c>
      <c r="K1577">
        <v>1.1979500000000001</v>
      </c>
      <c r="L1577">
        <v>1.3819999999999999</v>
      </c>
      <c r="M1577">
        <v>9.1800000000000007E-3</v>
      </c>
      <c r="N1577">
        <v>1</v>
      </c>
      <c r="P1577">
        <v>1.2498</v>
      </c>
      <c r="Q1577">
        <v>0.91895000000000004</v>
      </c>
      <c r="R1577">
        <v>0.83474999999999999</v>
      </c>
      <c r="S1577">
        <v>0.72358</v>
      </c>
      <c r="T1577">
        <v>108.815</v>
      </c>
      <c r="U1577">
        <v>1</v>
      </c>
    </row>
    <row r="1578" spans="1:21" hidden="1" outlineLevel="1">
      <c r="A1578" s="8">
        <v>44305</v>
      </c>
      <c r="B1578" s="1860">
        <v>2873.6972500000002</v>
      </c>
      <c r="C1578" s="1860">
        <v>3927.6530600000001</v>
      </c>
      <c r="D1578" s="1860">
        <v>4321.6953599999997</v>
      </c>
      <c r="E1578" s="1860">
        <v>5029.1237499999997</v>
      </c>
      <c r="F1578">
        <v>33.283059999999999</v>
      </c>
      <c r="G1578" s="1861">
        <v>3595.57</v>
      </c>
      <c r="I1578">
        <v>0.79923</v>
      </c>
      <c r="J1578">
        <v>1.0923499999999999</v>
      </c>
      <c r="K1578">
        <v>1.2019500000000001</v>
      </c>
      <c r="L1578">
        <v>1.3987000000000001</v>
      </c>
      <c r="M1578">
        <v>9.2499999999999995E-3</v>
      </c>
      <c r="N1578">
        <v>1</v>
      </c>
      <c r="P1578">
        <v>1.2512000000000001</v>
      </c>
      <c r="Q1578">
        <v>0.91544999999999999</v>
      </c>
      <c r="R1578">
        <v>0.83198000000000005</v>
      </c>
      <c r="S1578">
        <v>0.71494000000000002</v>
      </c>
      <c r="T1578">
        <v>108.03</v>
      </c>
      <c r="U1578">
        <v>1</v>
      </c>
    </row>
    <row r="1579" spans="1:21" hidden="1" outlineLevel="1">
      <c r="A1579" s="8">
        <v>44306</v>
      </c>
      <c r="B1579" s="1860">
        <v>2871.6964600000001</v>
      </c>
      <c r="C1579" s="1860">
        <v>3945.7549199999999</v>
      </c>
      <c r="D1579" s="1860">
        <v>4345.1951300000001</v>
      </c>
      <c r="E1579" s="1860">
        <v>5030.9558999999999</v>
      </c>
      <c r="F1579">
        <v>33.354170000000003</v>
      </c>
      <c r="G1579" s="1861">
        <v>3606.42</v>
      </c>
      <c r="I1579">
        <v>0.79627000000000003</v>
      </c>
      <c r="J1579">
        <v>1.09409</v>
      </c>
      <c r="K1579">
        <v>1.20485</v>
      </c>
      <c r="L1579">
        <v>1.395</v>
      </c>
      <c r="M1579">
        <v>9.2399999999999999E-3</v>
      </c>
      <c r="N1579">
        <v>1</v>
      </c>
      <c r="P1579">
        <v>1.2558499999999999</v>
      </c>
      <c r="Q1579">
        <v>0.91400000000000003</v>
      </c>
      <c r="R1579">
        <v>0.82996999999999999</v>
      </c>
      <c r="S1579">
        <v>0.71684000000000003</v>
      </c>
      <c r="T1579">
        <v>108.125</v>
      </c>
      <c r="U1579">
        <v>1</v>
      </c>
    </row>
    <row r="1580" spans="1:21" hidden="1" outlineLevel="1">
      <c r="A1580" s="8">
        <v>44307</v>
      </c>
      <c r="B1580" s="1860">
        <v>2912.6196399999999</v>
      </c>
      <c r="C1580" s="1860">
        <v>3963.01019</v>
      </c>
      <c r="D1580" s="1860">
        <v>4373.8753399999996</v>
      </c>
      <c r="E1580" s="1860">
        <v>5065.1283599999997</v>
      </c>
      <c r="F1580">
        <v>33.617710000000002</v>
      </c>
      <c r="G1580" s="1861">
        <v>3636.26</v>
      </c>
      <c r="I1580">
        <v>0.80098999999999998</v>
      </c>
      <c r="J1580">
        <v>1.08985</v>
      </c>
      <c r="K1580">
        <v>1.20285</v>
      </c>
      <c r="L1580">
        <v>1.3929499999999999</v>
      </c>
      <c r="M1580">
        <v>9.2399999999999999E-3</v>
      </c>
      <c r="N1580">
        <v>1</v>
      </c>
      <c r="P1580">
        <v>1.2484500000000001</v>
      </c>
      <c r="Q1580">
        <v>0.91754999999999998</v>
      </c>
      <c r="R1580">
        <v>0.83135000000000003</v>
      </c>
      <c r="S1580">
        <v>0.71789999999999998</v>
      </c>
      <c r="T1580">
        <v>108.16500000000001</v>
      </c>
      <c r="U1580">
        <v>1</v>
      </c>
    </row>
    <row r="1581" spans="1:21" hidden="1" outlineLevel="1">
      <c r="A1581" s="8">
        <v>44308</v>
      </c>
      <c r="B1581" s="1860">
        <v>2910.4810600000001</v>
      </c>
      <c r="C1581" s="1860">
        <v>3967.8569400000001</v>
      </c>
      <c r="D1581" s="1860">
        <v>4375.13202</v>
      </c>
      <c r="E1581" s="1860">
        <v>5038.5435900000002</v>
      </c>
      <c r="F1581">
        <v>33.695549999999997</v>
      </c>
      <c r="G1581" s="1861">
        <v>3639.12</v>
      </c>
      <c r="I1581">
        <v>0.79976999999999998</v>
      </c>
      <c r="J1581">
        <v>1.09033</v>
      </c>
      <c r="K1581">
        <v>1.20225</v>
      </c>
      <c r="L1581">
        <v>1.3845499999999999</v>
      </c>
      <c r="M1581">
        <v>9.2499999999999995E-3</v>
      </c>
      <c r="N1581">
        <v>1</v>
      </c>
      <c r="P1581">
        <v>1.2503500000000001</v>
      </c>
      <c r="Q1581">
        <v>0.91715000000000002</v>
      </c>
      <c r="R1581">
        <v>0.83177000000000001</v>
      </c>
      <c r="S1581">
        <v>0.72224999999999995</v>
      </c>
      <c r="T1581">
        <v>108</v>
      </c>
      <c r="U1581">
        <v>1</v>
      </c>
    </row>
    <row r="1582" spans="1:21" hidden="1" outlineLevel="1">
      <c r="A1582" s="8">
        <v>44309</v>
      </c>
      <c r="B1582" s="1860">
        <v>2903.8349199999998</v>
      </c>
      <c r="C1582" s="1860">
        <v>3959.8756600000002</v>
      </c>
      <c r="D1582" s="1860">
        <v>4374.9444999999996</v>
      </c>
      <c r="E1582" s="1860">
        <v>5024.6779500000002</v>
      </c>
      <c r="F1582">
        <v>33.592170000000003</v>
      </c>
      <c r="G1582" s="1861">
        <v>3630.81</v>
      </c>
      <c r="I1582">
        <v>0.79976999999999998</v>
      </c>
      <c r="J1582">
        <v>1.09063</v>
      </c>
      <c r="K1582">
        <v>1.20495</v>
      </c>
      <c r="L1582">
        <v>1.3838999999999999</v>
      </c>
      <c r="M1582">
        <v>9.2499999999999995E-3</v>
      </c>
      <c r="N1582">
        <v>1</v>
      </c>
      <c r="P1582">
        <v>1.2503500000000001</v>
      </c>
      <c r="Q1582">
        <v>0.91690000000000005</v>
      </c>
      <c r="R1582">
        <v>0.82989999999999997</v>
      </c>
      <c r="S1582">
        <v>0.72258999999999995</v>
      </c>
      <c r="T1582">
        <v>108.08499999999999</v>
      </c>
      <c r="U1582">
        <v>1</v>
      </c>
    </row>
    <row r="1583" spans="1:21" hidden="1" outlineLevel="1">
      <c r="A1583" s="8">
        <v>44310</v>
      </c>
      <c r="B1583" s="1860">
        <v>2911.2408500000001</v>
      </c>
      <c r="C1583" s="1860">
        <v>3969.9749099999999</v>
      </c>
      <c r="D1583" s="1860">
        <v>4386.1023400000004</v>
      </c>
      <c r="E1583" s="1860">
        <v>5037.49287</v>
      </c>
      <c r="F1583">
        <v>33.677840000000003</v>
      </c>
      <c r="G1583" s="1861">
        <v>3640.07</v>
      </c>
      <c r="I1583">
        <v>0.79976999999999998</v>
      </c>
      <c r="J1583">
        <v>1.09063</v>
      </c>
      <c r="K1583">
        <v>1.20495</v>
      </c>
      <c r="L1583">
        <v>1.3838999999999999</v>
      </c>
      <c r="M1583">
        <v>9.2499999999999995E-3</v>
      </c>
      <c r="N1583">
        <v>1</v>
      </c>
      <c r="P1583">
        <v>1.2503500000000001</v>
      </c>
      <c r="Q1583">
        <v>0.91690000000000005</v>
      </c>
      <c r="R1583">
        <v>0.82989999999999997</v>
      </c>
      <c r="S1583">
        <v>0.72258999999999995</v>
      </c>
      <c r="T1583">
        <v>108.08499999999999</v>
      </c>
      <c r="U1583">
        <v>1</v>
      </c>
    </row>
    <row r="1584" spans="1:21" hidden="1" outlineLevel="1">
      <c r="A1584" s="8">
        <v>44311</v>
      </c>
      <c r="B1584" s="1860">
        <v>2911.2408500000001</v>
      </c>
      <c r="C1584" s="1860">
        <v>3969.9749099999999</v>
      </c>
      <c r="D1584" s="1860">
        <v>4386.1023400000004</v>
      </c>
      <c r="E1584" s="1860">
        <v>5037.49287</v>
      </c>
      <c r="F1584">
        <v>33.677840000000003</v>
      </c>
      <c r="G1584" s="1861">
        <v>3640.07</v>
      </c>
      <c r="I1584">
        <v>0.79976999999999998</v>
      </c>
      <c r="J1584">
        <v>1.09063</v>
      </c>
      <c r="K1584">
        <v>1.20495</v>
      </c>
      <c r="L1584">
        <v>1.3838999999999999</v>
      </c>
      <c r="M1584">
        <v>9.2499999999999995E-3</v>
      </c>
      <c r="N1584">
        <v>1</v>
      </c>
      <c r="P1584">
        <v>1.2503500000000001</v>
      </c>
      <c r="Q1584">
        <v>0.91690000000000005</v>
      </c>
      <c r="R1584">
        <v>0.82989999999999997</v>
      </c>
      <c r="S1584">
        <v>0.72258999999999995</v>
      </c>
      <c r="T1584">
        <v>108.08499999999999</v>
      </c>
      <c r="U1584">
        <v>1</v>
      </c>
    </row>
    <row r="1585" spans="1:35" hidden="1" outlineLevel="1">
      <c r="A1585" s="8">
        <v>44312</v>
      </c>
      <c r="B1585" s="1860">
        <v>2937.9096</v>
      </c>
      <c r="C1585" s="1860">
        <v>3982.3532599999999</v>
      </c>
      <c r="D1585" s="1860">
        <v>4398.1145699999997</v>
      </c>
      <c r="E1585" s="1860">
        <v>5056.9672399999999</v>
      </c>
      <c r="F1585">
        <v>33.677840000000003</v>
      </c>
      <c r="G1585" s="1861">
        <v>3640.07</v>
      </c>
      <c r="I1585">
        <v>0.80710000000000004</v>
      </c>
      <c r="J1585">
        <v>1.0940300000000001</v>
      </c>
      <c r="K1585">
        <v>1.20825</v>
      </c>
      <c r="L1585">
        <v>1.3892500000000001</v>
      </c>
      <c r="M1585">
        <v>9.2499999999999995E-3</v>
      </c>
      <c r="N1585">
        <v>1</v>
      </c>
      <c r="P1585">
        <v>1.2390000000000001</v>
      </c>
      <c r="Q1585">
        <v>0.91405000000000003</v>
      </c>
      <c r="R1585">
        <v>0.82764000000000004</v>
      </c>
      <c r="S1585">
        <v>0.71980999999999995</v>
      </c>
      <c r="T1585">
        <v>108.08499999999999</v>
      </c>
      <c r="U1585">
        <v>1</v>
      </c>
    </row>
    <row r="1586" spans="1:35" hidden="1" outlineLevel="1">
      <c r="A1586" s="8">
        <v>44313</v>
      </c>
      <c r="B1586" s="1860">
        <v>2949.6413299999999</v>
      </c>
      <c r="C1586" s="1860">
        <v>4009.44398</v>
      </c>
      <c r="D1586" s="1860">
        <v>4421.3698999999997</v>
      </c>
      <c r="E1586" s="1860">
        <v>5092.3612300000004</v>
      </c>
      <c r="F1586">
        <v>33.74165</v>
      </c>
      <c r="G1586" s="1861">
        <v>3659.62</v>
      </c>
      <c r="I1586">
        <v>0.80598999999999998</v>
      </c>
      <c r="J1586">
        <v>1.0955900000000001</v>
      </c>
      <c r="K1586">
        <v>1.2081500000000001</v>
      </c>
      <c r="L1586">
        <v>1.3915</v>
      </c>
      <c r="M1586">
        <v>9.2099999999999994E-3</v>
      </c>
      <c r="N1586">
        <v>1</v>
      </c>
      <c r="P1586">
        <v>1.2406999999999999</v>
      </c>
      <c r="Q1586">
        <v>0.91274999999999995</v>
      </c>
      <c r="R1586">
        <v>0.82770999999999995</v>
      </c>
      <c r="S1586">
        <v>0.71863999999999995</v>
      </c>
      <c r="T1586">
        <v>108.46</v>
      </c>
      <c r="U1586">
        <v>1</v>
      </c>
    </row>
    <row r="1587" spans="1:35" hidden="1" outlineLevel="1">
      <c r="A1587" s="8">
        <v>44314</v>
      </c>
      <c r="B1587" s="1860">
        <v>3004.6150699999998</v>
      </c>
      <c r="C1587" s="1860">
        <v>4071.0288500000001</v>
      </c>
      <c r="D1587" s="1860">
        <v>4494.2232599999998</v>
      </c>
      <c r="E1587" s="1860">
        <v>5169.4998699999996</v>
      </c>
      <c r="F1587">
        <v>34.134880000000003</v>
      </c>
      <c r="G1587" s="1861">
        <v>3717.46</v>
      </c>
      <c r="I1587">
        <v>0.80823999999999996</v>
      </c>
      <c r="J1587">
        <v>1.09511</v>
      </c>
      <c r="K1587">
        <v>1.20895</v>
      </c>
      <c r="L1587">
        <v>1.3906000000000001</v>
      </c>
      <c r="M1587">
        <v>9.1800000000000007E-3</v>
      </c>
      <c r="N1587">
        <v>1</v>
      </c>
      <c r="P1587">
        <v>1.23725</v>
      </c>
      <c r="Q1587">
        <v>0.91315000000000002</v>
      </c>
      <c r="R1587">
        <v>0.82716000000000001</v>
      </c>
      <c r="S1587">
        <v>0.71911000000000003</v>
      </c>
      <c r="T1587">
        <v>108.905</v>
      </c>
      <c r="U1587">
        <v>1</v>
      </c>
    </row>
    <row r="1588" spans="1:35" hidden="1" outlineLevel="1">
      <c r="A1588" s="8">
        <v>44315</v>
      </c>
      <c r="B1588" s="1860">
        <v>3009.3866899999998</v>
      </c>
      <c r="C1588" s="1860">
        <v>4060.9626199999998</v>
      </c>
      <c r="D1588" s="1860">
        <v>4481.1250799999998</v>
      </c>
      <c r="E1588" s="1860">
        <v>5159.6574000000001</v>
      </c>
      <c r="F1588">
        <v>33.959699999999998</v>
      </c>
      <c r="G1588" s="1861">
        <v>3699.74</v>
      </c>
      <c r="I1588">
        <v>0.81340000000000001</v>
      </c>
      <c r="J1588">
        <v>1.0976300000000001</v>
      </c>
      <c r="K1588">
        <v>1.2112000000000001</v>
      </c>
      <c r="L1588">
        <v>1.3946000000000001</v>
      </c>
      <c r="M1588">
        <v>9.1699999999999993E-3</v>
      </c>
      <c r="N1588">
        <v>1</v>
      </c>
      <c r="P1588">
        <v>1.2294</v>
      </c>
      <c r="Q1588">
        <v>0.91105000000000003</v>
      </c>
      <c r="R1588">
        <v>0.82562000000000002</v>
      </c>
      <c r="S1588">
        <v>0.71704999999999997</v>
      </c>
      <c r="T1588">
        <v>108.94499999999999</v>
      </c>
      <c r="U1588">
        <v>1</v>
      </c>
    </row>
    <row r="1589" spans="1:35" ht="15.75" hidden="1" outlineLevel="1" thickBot="1">
      <c r="A1589" s="1868">
        <v>44316</v>
      </c>
      <c r="B1589" s="1869">
        <v>3018.1190000000001</v>
      </c>
      <c r="C1589" s="1869">
        <v>4070.92812</v>
      </c>
      <c r="D1589" s="1869">
        <v>4469.5769799999998</v>
      </c>
      <c r="E1589" s="1869">
        <v>5140.6818400000002</v>
      </c>
      <c r="F1589" s="1870">
        <v>33.968159999999997</v>
      </c>
      <c r="G1589" s="1871">
        <v>3712.89</v>
      </c>
      <c r="H1589" s="1872"/>
      <c r="I1589" s="1870">
        <v>0.81286999999999998</v>
      </c>
      <c r="J1589" s="1870">
        <v>1.09643</v>
      </c>
      <c r="K1589" s="1870">
        <v>1.2038</v>
      </c>
      <c r="L1589" s="1870">
        <v>1.3845499999999999</v>
      </c>
      <c r="M1589" s="1870">
        <v>9.1400000000000006E-3</v>
      </c>
      <c r="N1589" s="1870">
        <v>1</v>
      </c>
      <c r="O1589" s="1872"/>
      <c r="P1589" s="1870">
        <v>1.2302</v>
      </c>
      <c r="Q1589" s="1870">
        <v>0.91205000000000003</v>
      </c>
      <c r="R1589" s="1870">
        <v>0.83069999999999999</v>
      </c>
      <c r="S1589" s="1870">
        <v>0.72224999999999995</v>
      </c>
      <c r="T1589" s="1870">
        <v>109.30500000000001</v>
      </c>
      <c r="U1589" s="1870">
        <v>1</v>
      </c>
      <c r="V1589" s="1872"/>
    </row>
    <row r="1590" spans="1:35" s="1857" customFormat="1" hidden="1" outlineLevel="1">
      <c r="A1590" s="8">
        <v>44317</v>
      </c>
      <c r="B1590" s="1860">
        <v>3040.2698700000001</v>
      </c>
      <c r="C1590" s="1860">
        <v>4100.8058700000001</v>
      </c>
      <c r="D1590" s="1860">
        <v>4502.3805300000004</v>
      </c>
      <c r="E1590" s="1860">
        <v>5178.4108299999998</v>
      </c>
      <c r="F1590">
        <v>34.217460000000003</v>
      </c>
      <c r="G1590" s="1861">
        <v>3740.14</v>
      </c>
      <c r="I1590">
        <v>0.81286999999999998</v>
      </c>
      <c r="J1590">
        <v>1.09643</v>
      </c>
      <c r="K1590">
        <v>1.2038</v>
      </c>
      <c r="L1590">
        <v>1.3845499999999999</v>
      </c>
      <c r="M1590">
        <v>9.1400000000000006E-3</v>
      </c>
      <c r="N1590">
        <v>1</v>
      </c>
      <c r="P1590">
        <v>1.2302</v>
      </c>
      <c r="Q1590">
        <v>0.91205000000000003</v>
      </c>
      <c r="R1590">
        <v>0.83069999999999999</v>
      </c>
      <c r="S1590">
        <v>0.72224999999999995</v>
      </c>
      <c r="T1590">
        <v>109.30500000000001</v>
      </c>
      <c r="U1590">
        <v>1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</row>
    <row r="1591" spans="1:35" s="1857" customFormat="1" hidden="1" outlineLevel="1">
      <c r="A1591" s="8">
        <v>44318</v>
      </c>
      <c r="B1591" s="1860">
        <v>3040.2698700000001</v>
      </c>
      <c r="C1591" s="1860">
        <v>4100.8058700000001</v>
      </c>
      <c r="D1591" s="1860">
        <v>4502.3805300000004</v>
      </c>
      <c r="E1591" s="1860">
        <v>5178.4108299999998</v>
      </c>
      <c r="F1591">
        <v>34.217460000000003</v>
      </c>
      <c r="G1591" s="1861">
        <v>3740.14</v>
      </c>
      <c r="I1591">
        <v>0.81286999999999998</v>
      </c>
      <c r="J1591">
        <v>1.09643</v>
      </c>
      <c r="K1591">
        <v>1.2038</v>
      </c>
      <c r="L1591">
        <v>1.3845499999999999</v>
      </c>
      <c r="M1591">
        <v>9.1400000000000006E-3</v>
      </c>
      <c r="N1591">
        <v>1</v>
      </c>
      <c r="P1591">
        <v>1.2302</v>
      </c>
      <c r="Q1591">
        <v>0.91205000000000003</v>
      </c>
      <c r="R1591">
        <v>0.83069999999999999</v>
      </c>
      <c r="S1591">
        <v>0.72224999999999995</v>
      </c>
      <c r="T1591">
        <v>109.30500000000001</v>
      </c>
      <c r="U1591">
        <v>1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</row>
    <row r="1592" spans="1:35" s="1857" customFormat="1" hidden="1" outlineLevel="1">
      <c r="A1592" s="8">
        <v>44319</v>
      </c>
      <c r="B1592" s="1860">
        <v>3048.1988500000002</v>
      </c>
      <c r="C1592" s="1860">
        <v>4109.3665799999999</v>
      </c>
      <c r="D1592" s="1860">
        <v>4516.0320400000001</v>
      </c>
      <c r="E1592" s="1860">
        <v>5209.0799800000004</v>
      </c>
      <c r="F1592">
        <v>34.336829999999999</v>
      </c>
      <c r="G1592" s="1861">
        <v>3740.14</v>
      </c>
      <c r="I1592">
        <v>0.81498999999999999</v>
      </c>
      <c r="J1592">
        <v>1.0987100000000001</v>
      </c>
      <c r="K1592">
        <v>1.2074499999999999</v>
      </c>
      <c r="L1592">
        <v>1.3927499999999999</v>
      </c>
      <c r="M1592">
        <v>9.1800000000000007E-3</v>
      </c>
      <c r="N1592">
        <v>1</v>
      </c>
      <c r="P1592">
        <v>1.2270000000000001</v>
      </c>
      <c r="Q1592">
        <v>0.91015000000000001</v>
      </c>
      <c r="R1592">
        <v>0.82818999999999998</v>
      </c>
      <c r="S1592">
        <v>0.71799999999999997</v>
      </c>
      <c r="T1592">
        <v>108.925</v>
      </c>
      <c r="U1592">
        <v>1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</row>
    <row r="1593" spans="1:35" s="1857" customFormat="1" hidden="1" outlineLevel="1">
      <c r="A1593" s="8">
        <v>44320</v>
      </c>
      <c r="B1593" s="1860">
        <v>3098.3074200000001</v>
      </c>
      <c r="C1593" s="1860">
        <v>4186.5299100000002</v>
      </c>
      <c r="D1593" s="1860">
        <v>4592.1932800000004</v>
      </c>
      <c r="E1593" s="1860">
        <v>5299.2276899999997</v>
      </c>
      <c r="F1593">
        <v>34.951000000000001</v>
      </c>
      <c r="G1593" s="1861">
        <v>3816.65</v>
      </c>
      <c r="I1593">
        <v>0.81177999999999995</v>
      </c>
      <c r="J1593">
        <v>1.0969100000000001</v>
      </c>
      <c r="K1593">
        <v>1.2032</v>
      </c>
      <c r="L1593">
        <v>1.38845</v>
      </c>
      <c r="M1593">
        <v>9.1500000000000001E-3</v>
      </c>
      <c r="N1593">
        <v>1</v>
      </c>
      <c r="P1593">
        <v>1.2318499999999999</v>
      </c>
      <c r="Q1593">
        <v>0.91164999999999996</v>
      </c>
      <c r="R1593">
        <v>0.83111000000000002</v>
      </c>
      <c r="S1593">
        <v>0.72021999999999997</v>
      </c>
      <c r="T1593">
        <v>109.2</v>
      </c>
      <c r="U1593">
        <v>1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</row>
    <row r="1594" spans="1:35" s="1857" customFormat="1" hidden="1" outlineLevel="1">
      <c r="A1594" s="8">
        <v>44321</v>
      </c>
      <c r="B1594" s="1860">
        <v>3125.97397</v>
      </c>
      <c r="C1594" s="1860">
        <v>4195.2915400000002</v>
      </c>
      <c r="D1594" s="1860">
        <v>4599.5356700000002</v>
      </c>
      <c r="E1594" s="1860">
        <v>5329.4078499999996</v>
      </c>
      <c r="F1594">
        <v>35.080800000000004</v>
      </c>
      <c r="G1594" s="1861">
        <v>3831.35</v>
      </c>
      <c r="I1594">
        <v>0.81589</v>
      </c>
      <c r="J1594">
        <v>1.0949899999999999</v>
      </c>
      <c r="K1594">
        <v>1.2004999999999999</v>
      </c>
      <c r="L1594">
        <v>1.391</v>
      </c>
      <c r="M1594">
        <v>9.1500000000000001E-3</v>
      </c>
      <c r="N1594">
        <v>1</v>
      </c>
      <c r="P1594">
        <v>1.2256499999999999</v>
      </c>
      <c r="Q1594">
        <v>0.91325000000000001</v>
      </c>
      <c r="R1594">
        <v>0.83298000000000005</v>
      </c>
      <c r="S1594">
        <v>0.71889999999999998</v>
      </c>
      <c r="T1594">
        <v>109.215</v>
      </c>
      <c r="U1594">
        <v>1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</row>
    <row r="1595" spans="1:35" s="1857" customFormat="1" hidden="1" outlineLevel="1">
      <c r="A1595" s="8">
        <v>44322</v>
      </c>
      <c r="B1595" s="1860">
        <v>3155.1453999999999</v>
      </c>
      <c r="C1595" s="1860">
        <v>4232.9609799999998</v>
      </c>
      <c r="D1595" s="1860">
        <v>4638.2290499999999</v>
      </c>
      <c r="E1595" s="1860">
        <v>5342.4829200000004</v>
      </c>
      <c r="F1595">
        <v>35.262700000000002</v>
      </c>
      <c r="G1595" s="1861">
        <v>3846.28</v>
      </c>
      <c r="I1595">
        <v>0.82030999999999998</v>
      </c>
      <c r="J1595">
        <v>1.10053</v>
      </c>
      <c r="K1595">
        <v>1.2059</v>
      </c>
      <c r="L1595">
        <v>1.389</v>
      </c>
      <c r="M1595">
        <v>9.1599999999999997E-3</v>
      </c>
      <c r="N1595">
        <v>1</v>
      </c>
      <c r="P1595">
        <v>1.21905</v>
      </c>
      <c r="Q1595">
        <v>0.90864999999999996</v>
      </c>
      <c r="R1595">
        <v>0.82925000000000004</v>
      </c>
      <c r="S1595">
        <v>0.71994000000000002</v>
      </c>
      <c r="T1595">
        <v>109.075</v>
      </c>
      <c r="U1595">
        <v>1</v>
      </c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</row>
    <row r="1596" spans="1:35" s="1857" customFormat="1" hidden="1" outlineLevel="1">
      <c r="A1596" s="8">
        <v>44323</v>
      </c>
      <c r="B1596" s="1860">
        <v>3126.9428499999999</v>
      </c>
      <c r="C1596" s="1860">
        <v>4209.7258300000003</v>
      </c>
      <c r="D1596" s="1860">
        <v>4614.3606799999998</v>
      </c>
      <c r="E1596" s="1860">
        <v>5312.4813000000004</v>
      </c>
      <c r="F1596">
        <v>35.005110000000002</v>
      </c>
      <c r="G1596" s="1861">
        <v>3800.33</v>
      </c>
      <c r="I1596">
        <v>0.82279999999999998</v>
      </c>
      <c r="J1596">
        <v>1.10772</v>
      </c>
      <c r="K1596">
        <v>1.2141999999999999</v>
      </c>
      <c r="L1596">
        <v>1.3978999999999999</v>
      </c>
      <c r="M1596">
        <v>9.2099999999999994E-3</v>
      </c>
      <c r="N1596">
        <v>1</v>
      </c>
      <c r="P1596">
        <v>1.2153499999999999</v>
      </c>
      <c r="Q1596">
        <v>0.90275000000000005</v>
      </c>
      <c r="R1596">
        <v>0.82357999999999998</v>
      </c>
      <c r="S1596">
        <v>0.71535000000000004</v>
      </c>
      <c r="T1596">
        <v>108.565</v>
      </c>
      <c r="U1596">
        <v>1</v>
      </c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</row>
    <row r="1597" spans="1:35" s="1857" customFormat="1" hidden="1" outlineLevel="1">
      <c r="A1597" s="8">
        <v>44324</v>
      </c>
      <c r="B1597" s="1860">
        <v>3098.1445600000002</v>
      </c>
      <c r="C1597" s="1860">
        <v>4170.9554099999996</v>
      </c>
      <c r="D1597" s="1860">
        <v>4571.8636800000004</v>
      </c>
      <c r="E1597" s="1860">
        <v>5263.5547999999999</v>
      </c>
      <c r="F1597">
        <v>34.682720000000003</v>
      </c>
      <c r="G1597" s="1861">
        <v>3765.33</v>
      </c>
      <c r="I1597">
        <v>0.82279999999999998</v>
      </c>
      <c r="J1597">
        <v>1.10772</v>
      </c>
      <c r="K1597">
        <v>1.2141999999999999</v>
      </c>
      <c r="L1597">
        <v>1.3978999999999999</v>
      </c>
      <c r="M1597">
        <v>9.2099999999999994E-3</v>
      </c>
      <c r="N1597">
        <v>1</v>
      </c>
      <c r="P1597">
        <v>1.2153499999999999</v>
      </c>
      <c r="Q1597">
        <v>0.90275000000000005</v>
      </c>
      <c r="R1597">
        <v>0.82357999999999998</v>
      </c>
      <c r="S1597">
        <v>0.71535000000000004</v>
      </c>
      <c r="T1597">
        <v>108.565</v>
      </c>
      <c r="U1597">
        <v>1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</row>
    <row r="1598" spans="1:35" s="1857" customFormat="1" hidden="1" outlineLevel="1">
      <c r="A1598" s="8">
        <v>44325</v>
      </c>
      <c r="B1598" s="1860">
        <v>3098.1445600000002</v>
      </c>
      <c r="C1598" s="1860">
        <v>4170.9554099999996</v>
      </c>
      <c r="D1598" s="1860">
        <v>4571.8636800000004</v>
      </c>
      <c r="E1598" s="1860">
        <v>5263.5547999999999</v>
      </c>
      <c r="F1598">
        <v>34.682720000000003</v>
      </c>
      <c r="G1598" s="1861">
        <v>3765.33</v>
      </c>
      <c r="I1598">
        <v>0.82279999999999998</v>
      </c>
      <c r="J1598">
        <v>1.10772</v>
      </c>
      <c r="K1598">
        <v>1.2141999999999999</v>
      </c>
      <c r="L1598">
        <v>1.3978999999999999</v>
      </c>
      <c r="M1598">
        <v>9.2099999999999994E-3</v>
      </c>
      <c r="N1598">
        <v>1</v>
      </c>
      <c r="P1598">
        <v>1.2153499999999999</v>
      </c>
      <c r="Q1598">
        <v>0.90275000000000005</v>
      </c>
      <c r="R1598">
        <v>0.82357999999999998</v>
      </c>
      <c r="S1598">
        <v>0.71535000000000004</v>
      </c>
      <c r="T1598">
        <v>108.565</v>
      </c>
      <c r="U1598">
        <v>1</v>
      </c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</row>
    <row r="1599" spans="1:35" s="1857" customFormat="1" hidden="1" outlineLevel="1">
      <c r="A1599" s="8">
        <v>44326</v>
      </c>
      <c r="B1599" s="1860">
        <v>3113.90175</v>
      </c>
      <c r="C1599" s="1860">
        <v>4185.7928899999997</v>
      </c>
      <c r="D1599" s="1860">
        <v>4578.6412799999998</v>
      </c>
      <c r="E1599" s="1860">
        <v>5324.3648800000001</v>
      </c>
      <c r="F1599">
        <v>34.628500000000003</v>
      </c>
      <c r="G1599" s="1861">
        <v>3765.33</v>
      </c>
      <c r="I1599">
        <v>0.82699</v>
      </c>
      <c r="J1599">
        <v>1.1116600000000001</v>
      </c>
      <c r="K1599">
        <v>1.216</v>
      </c>
      <c r="L1599">
        <v>1.41405</v>
      </c>
      <c r="M1599">
        <v>9.1900000000000003E-3</v>
      </c>
      <c r="N1599">
        <v>1</v>
      </c>
      <c r="P1599">
        <v>1.2092000000000001</v>
      </c>
      <c r="Q1599">
        <v>0.89954999999999996</v>
      </c>
      <c r="R1599">
        <v>0.82235999999999998</v>
      </c>
      <c r="S1599">
        <v>0.70718000000000003</v>
      </c>
      <c r="T1599">
        <v>108.735</v>
      </c>
      <c r="U1599">
        <v>1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</row>
    <row r="1600" spans="1:35" s="1857" customFormat="1" hidden="1" outlineLevel="1">
      <c r="A1600" s="8">
        <v>44327</v>
      </c>
      <c r="B1600" s="1860">
        <v>3070.7058999999999</v>
      </c>
      <c r="C1600" s="1860">
        <v>4117.6457499999997</v>
      </c>
      <c r="D1600" s="1860">
        <v>4517.9242800000002</v>
      </c>
      <c r="E1600" s="1860">
        <v>5254.5968800000001</v>
      </c>
      <c r="F1600">
        <v>34.243810000000003</v>
      </c>
      <c r="G1600" s="1861">
        <v>3714.94</v>
      </c>
      <c r="I1600">
        <v>0.82657999999999998</v>
      </c>
      <c r="J1600">
        <v>1.1084000000000001</v>
      </c>
      <c r="K1600">
        <v>1.2161500000000001</v>
      </c>
      <c r="L1600">
        <v>1.41445</v>
      </c>
      <c r="M1600">
        <v>9.2099999999999994E-3</v>
      </c>
      <c r="N1600">
        <v>1</v>
      </c>
      <c r="P1600">
        <v>1.2098</v>
      </c>
      <c r="Q1600">
        <v>0.9022</v>
      </c>
      <c r="R1600">
        <v>0.82225999999999999</v>
      </c>
      <c r="S1600">
        <v>0.70698000000000005</v>
      </c>
      <c r="T1600">
        <v>108.485</v>
      </c>
      <c r="U1600">
        <v>1</v>
      </c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</row>
    <row r="1601" spans="1:35" s="1857" customFormat="1" hidden="1" outlineLevel="1">
      <c r="A1601" s="8">
        <v>44328</v>
      </c>
      <c r="B1601" s="1860">
        <v>3061.6344899999999</v>
      </c>
      <c r="C1601" s="1860">
        <v>4074.5997600000001</v>
      </c>
      <c r="D1601" s="1860">
        <v>4471.9843199999996</v>
      </c>
      <c r="E1601" s="1860">
        <v>5220.4010399999997</v>
      </c>
      <c r="F1601">
        <v>33.857819999999997</v>
      </c>
      <c r="G1601" s="1861">
        <v>3703.2</v>
      </c>
      <c r="I1601">
        <v>0.82674999999999998</v>
      </c>
      <c r="J1601">
        <v>1.10029</v>
      </c>
      <c r="K1601">
        <v>1.2076</v>
      </c>
      <c r="L1601">
        <v>1.4097</v>
      </c>
      <c r="M1601">
        <v>9.1400000000000006E-3</v>
      </c>
      <c r="N1601">
        <v>1</v>
      </c>
      <c r="P1601">
        <v>1.2095499999999999</v>
      </c>
      <c r="Q1601">
        <v>0.90885000000000005</v>
      </c>
      <c r="R1601">
        <v>0.82808000000000004</v>
      </c>
      <c r="S1601">
        <v>0.70936999999999995</v>
      </c>
      <c r="T1601">
        <v>109.375</v>
      </c>
      <c r="U1601">
        <v>1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</row>
    <row r="1602" spans="1:35" s="1857" customFormat="1" hidden="1" outlineLevel="1">
      <c r="A1602" s="8">
        <v>44329</v>
      </c>
      <c r="B1602" s="1860">
        <v>3078.0117799999998</v>
      </c>
      <c r="C1602" s="1860">
        <v>4119.4660400000002</v>
      </c>
      <c r="D1602" s="1860">
        <v>4508.5402599999998</v>
      </c>
      <c r="E1602" s="1860">
        <v>5244.7160999999996</v>
      </c>
      <c r="F1602">
        <v>34.074820000000003</v>
      </c>
      <c r="G1602" s="1861">
        <v>3734.09</v>
      </c>
      <c r="I1602">
        <v>0.82430000000000003</v>
      </c>
      <c r="J1602">
        <v>1.1032</v>
      </c>
      <c r="K1602">
        <v>1.2074</v>
      </c>
      <c r="L1602">
        <v>1.40455</v>
      </c>
      <c r="M1602">
        <v>9.1199999999999996E-3</v>
      </c>
      <c r="N1602">
        <v>1</v>
      </c>
      <c r="P1602">
        <v>1.21315</v>
      </c>
      <c r="Q1602">
        <v>0.90644999999999998</v>
      </c>
      <c r="R1602">
        <v>0.82821999999999996</v>
      </c>
      <c r="S1602">
        <v>0.71196999999999999</v>
      </c>
      <c r="T1602">
        <v>109.58499999999999</v>
      </c>
      <c r="U1602">
        <v>1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</row>
    <row r="1603" spans="1:35" s="1857" customFormat="1" hidden="1" outlineLevel="1">
      <c r="A1603" s="8">
        <v>44330</v>
      </c>
      <c r="B1603" s="1860">
        <v>3081.1934299999998</v>
      </c>
      <c r="C1603" s="1860">
        <v>4129.2462699999996</v>
      </c>
      <c r="D1603" s="1860">
        <v>4523.4780000000001</v>
      </c>
      <c r="E1603" s="1860">
        <v>5252.1331899999996</v>
      </c>
      <c r="F1603">
        <v>34.066699999999997</v>
      </c>
      <c r="G1603" s="1861">
        <v>3728.09</v>
      </c>
      <c r="I1603">
        <v>0.82647999999999999</v>
      </c>
      <c r="J1603">
        <v>1.1075999999999999</v>
      </c>
      <c r="K1603">
        <v>1.2133499999999999</v>
      </c>
      <c r="L1603">
        <v>1.4088000000000001</v>
      </c>
      <c r="M1603">
        <v>9.1299999999999992E-3</v>
      </c>
      <c r="N1603">
        <v>1</v>
      </c>
      <c r="P1603">
        <v>1.2099500000000001</v>
      </c>
      <c r="Q1603">
        <v>0.90285000000000004</v>
      </c>
      <c r="R1603">
        <v>0.82416</v>
      </c>
      <c r="S1603">
        <v>0.70982000000000001</v>
      </c>
      <c r="T1603">
        <v>109.435</v>
      </c>
      <c r="U1603">
        <v>1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</row>
    <row r="1604" spans="1:35" s="1857" customFormat="1" hidden="1" outlineLevel="1">
      <c r="A1604" s="8">
        <v>44331</v>
      </c>
      <c r="B1604" s="1860">
        <v>3043.7951899999998</v>
      </c>
      <c r="C1604" s="1860">
        <v>4079.1271999999999</v>
      </c>
      <c r="D1604" s="1860">
        <v>4468.5739100000001</v>
      </c>
      <c r="E1604" s="1860">
        <v>5188.3849899999996</v>
      </c>
      <c r="F1604">
        <v>33.653210000000001</v>
      </c>
      <c r="G1604" s="1861">
        <v>3682.84</v>
      </c>
      <c r="I1604">
        <v>0.82647999999999999</v>
      </c>
      <c r="J1604">
        <v>1.1075999999999999</v>
      </c>
      <c r="K1604">
        <v>1.2133499999999999</v>
      </c>
      <c r="L1604">
        <v>1.4088000000000001</v>
      </c>
      <c r="M1604">
        <v>9.1299999999999992E-3</v>
      </c>
      <c r="N1604">
        <v>1</v>
      </c>
      <c r="P1604">
        <v>1.2099500000000001</v>
      </c>
      <c r="Q1604">
        <v>0.90285000000000004</v>
      </c>
      <c r="R1604">
        <v>0.82416</v>
      </c>
      <c r="S1604">
        <v>0.70982000000000001</v>
      </c>
      <c r="T1604">
        <v>109.435</v>
      </c>
      <c r="U1604">
        <v>1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</row>
    <row r="1605" spans="1:35" s="1857" customFormat="1" hidden="1" outlineLevel="1">
      <c r="A1605" s="8">
        <v>44332</v>
      </c>
      <c r="B1605" s="1860">
        <v>3043.7951899999998</v>
      </c>
      <c r="C1605" s="1860">
        <v>4079.1271999999999</v>
      </c>
      <c r="D1605" s="1860">
        <v>4468.5739100000001</v>
      </c>
      <c r="E1605" s="1860">
        <v>5188.3849899999996</v>
      </c>
      <c r="F1605">
        <v>33.653210000000001</v>
      </c>
      <c r="G1605" s="1861">
        <v>3682.84</v>
      </c>
      <c r="I1605">
        <v>0.82647999999999999</v>
      </c>
      <c r="J1605">
        <v>1.1075999999999999</v>
      </c>
      <c r="K1605">
        <v>1.2133499999999999</v>
      </c>
      <c r="L1605">
        <v>1.4088000000000001</v>
      </c>
      <c r="M1605">
        <v>9.1299999999999992E-3</v>
      </c>
      <c r="N1605">
        <v>1</v>
      </c>
      <c r="P1605">
        <v>1.2099500000000001</v>
      </c>
      <c r="Q1605">
        <v>0.90285000000000004</v>
      </c>
      <c r="R1605">
        <v>0.82416</v>
      </c>
      <c r="S1605">
        <v>0.70982000000000001</v>
      </c>
      <c r="T1605">
        <v>109.435</v>
      </c>
      <c r="U1605">
        <v>1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</row>
    <row r="1606" spans="1:35" hidden="1" outlineLevel="1">
      <c r="A1606" s="8">
        <v>44333</v>
      </c>
      <c r="B1606" s="1860">
        <v>3049.21344</v>
      </c>
      <c r="C1606" s="1860">
        <v>4085.9155700000001</v>
      </c>
      <c r="D1606" s="1860">
        <v>4472.8091800000002</v>
      </c>
      <c r="E1606" s="1860">
        <v>5199.9859299999998</v>
      </c>
      <c r="F1606">
        <v>33.730269999999997</v>
      </c>
      <c r="G1606" s="1861">
        <v>3682.84</v>
      </c>
      <c r="I1606">
        <v>0.82794999999999996</v>
      </c>
      <c r="J1606">
        <v>1.10944</v>
      </c>
      <c r="K1606">
        <v>1.2144999999999999</v>
      </c>
      <c r="L1606">
        <v>1.41195</v>
      </c>
      <c r="M1606">
        <v>9.1500000000000001E-3</v>
      </c>
      <c r="N1606">
        <v>1</v>
      </c>
      <c r="P1606">
        <v>1.2078</v>
      </c>
      <c r="Q1606">
        <v>0.90134999999999998</v>
      </c>
      <c r="R1606">
        <v>0.82338</v>
      </c>
      <c r="S1606">
        <v>0.70823999999999998</v>
      </c>
      <c r="T1606">
        <v>109.185</v>
      </c>
      <c r="U1606">
        <v>1</v>
      </c>
    </row>
    <row r="1607" spans="1:35" hidden="1" outlineLevel="1">
      <c r="A1607" s="8">
        <v>44334</v>
      </c>
      <c r="B1607" s="1860">
        <v>3056.1719400000002</v>
      </c>
      <c r="C1607" s="1860">
        <v>4104.5862299999999</v>
      </c>
      <c r="D1607" s="1860">
        <v>4499.8780500000003</v>
      </c>
      <c r="E1607" s="1860">
        <v>5233.4997800000001</v>
      </c>
      <c r="F1607">
        <v>33.820099999999996</v>
      </c>
      <c r="G1607" s="1861">
        <v>3682.84</v>
      </c>
      <c r="I1607">
        <v>0.82984000000000002</v>
      </c>
      <c r="J1607">
        <v>1.1145099999999999</v>
      </c>
      <c r="K1607">
        <v>1.2218500000000001</v>
      </c>
      <c r="L1607">
        <v>1.4210499999999999</v>
      </c>
      <c r="M1607">
        <v>9.1800000000000007E-3</v>
      </c>
      <c r="N1607">
        <v>1</v>
      </c>
      <c r="P1607">
        <v>1.20505</v>
      </c>
      <c r="Q1607">
        <v>0.89724999999999999</v>
      </c>
      <c r="R1607">
        <v>0.81842999999999999</v>
      </c>
      <c r="S1607">
        <v>0.70369999999999999</v>
      </c>
      <c r="T1607">
        <v>108.895</v>
      </c>
      <c r="U1607">
        <v>1</v>
      </c>
    </row>
    <row r="1608" spans="1:35" hidden="1" outlineLevel="1">
      <c r="A1608" s="8">
        <v>44335</v>
      </c>
      <c r="B1608" s="1860">
        <v>3016.6604699999998</v>
      </c>
      <c r="C1608" s="1860">
        <v>4059.0018300000002</v>
      </c>
      <c r="D1608" s="1860">
        <v>4465.6691899999996</v>
      </c>
      <c r="E1608" s="1860">
        <v>5171.2270099999996</v>
      </c>
      <c r="F1608">
        <v>33.663980000000002</v>
      </c>
      <c r="G1608" s="1861">
        <v>3655.74</v>
      </c>
      <c r="I1608">
        <v>0.82518000000000002</v>
      </c>
      <c r="J1608">
        <v>1.1103000000000001</v>
      </c>
      <c r="K1608">
        <v>1.2215499999999999</v>
      </c>
      <c r="L1608">
        <v>1.41455</v>
      </c>
      <c r="M1608">
        <v>9.1999999999999998E-3</v>
      </c>
      <c r="N1608">
        <v>1</v>
      </c>
      <c r="P1608">
        <v>1.2118500000000001</v>
      </c>
      <c r="Q1608">
        <v>0.90064999999999995</v>
      </c>
      <c r="R1608">
        <v>0.81862999999999997</v>
      </c>
      <c r="S1608">
        <v>0.70692999999999995</v>
      </c>
      <c r="T1608">
        <v>108.595</v>
      </c>
      <c r="U1608">
        <v>1</v>
      </c>
    </row>
    <row r="1609" spans="1:35" hidden="1" outlineLevel="1">
      <c r="A1609" s="8">
        <v>44336</v>
      </c>
      <c r="B1609" s="1860">
        <v>3052.2232800000002</v>
      </c>
      <c r="C1609" s="1860">
        <v>4092.0717800000002</v>
      </c>
      <c r="D1609" s="1860">
        <v>4498.55332</v>
      </c>
      <c r="E1609" s="1860">
        <v>5213.7258899999997</v>
      </c>
      <c r="F1609">
        <v>33.832419999999999</v>
      </c>
      <c r="G1609" s="1861">
        <v>3682.66</v>
      </c>
      <c r="I1609">
        <v>0.82879999999999998</v>
      </c>
      <c r="J1609">
        <v>1.11117</v>
      </c>
      <c r="K1609">
        <v>1.2215499999999999</v>
      </c>
      <c r="L1609">
        <v>1.4157500000000001</v>
      </c>
      <c r="M1609">
        <v>9.1800000000000007E-3</v>
      </c>
      <c r="N1609">
        <v>1</v>
      </c>
      <c r="P1609">
        <v>1.20655</v>
      </c>
      <c r="Q1609">
        <v>0.89995000000000003</v>
      </c>
      <c r="R1609">
        <v>0.81862999999999997</v>
      </c>
      <c r="S1609">
        <v>0.70633000000000001</v>
      </c>
      <c r="T1609">
        <v>108.85</v>
      </c>
      <c r="U1609">
        <v>1</v>
      </c>
    </row>
    <row r="1610" spans="1:35" hidden="1" outlineLevel="1">
      <c r="A1610" s="8">
        <v>44337</v>
      </c>
      <c r="B1610" s="1860">
        <v>3088.4398299999998</v>
      </c>
      <c r="C1610" s="1860">
        <v>4143.1338699999997</v>
      </c>
      <c r="D1610" s="1860">
        <v>4536.0355900000004</v>
      </c>
      <c r="E1610" s="1860">
        <v>5270.1152700000002</v>
      </c>
      <c r="F1610">
        <v>34.15381</v>
      </c>
      <c r="G1610" s="1861">
        <v>3721.57</v>
      </c>
      <c r="I1610">
        <v>0.82987</v>
      </c>
      <c r="J1610">
        <v>1.11327</v>
      </c>
      <c r="K1610">
        <v>1.21885</v>
      </c>
      <c r="L1610">
        <v>1.4160999999999999</v>
      </c>
      <c r="M1610">
        <v>9.1699999999999993E-3</v>
      </c>
      <c r="N1610">
        <v>1</v>
      </c>
      <c r="P1610">
        <v>1.2050000000000001</v>
      </c>
      <c r="Q1610">
        <v>0.89824999999999999</v>
      </c>
      <c r="R1610">
        <v>0.82043999999999995</v>
      </c>
      <c r="S1610">
        <v>0.70616000000000001</v>
      </c>
      <c r="T1610">
        <v>108.965</v>
      </c>
      <c r="U1610">
        <v>1</v>
      </c>
    </row>
    <row r="1611" spans="1:35" hidden="1" outlineLevel="1">
      <c r="A1611" s="8">
        <v>44338</v>
      </c>
      <c r="B1611" s="1860">
        <v>3102.23236</v>
      </c>
      <c r="C1611" s="1860">
        <v>4161.6365100000003</v>
      </c>
      <c r="D1611" s="1860">
        <v>4556.29288</v>
      </c>
      <c r="E1611" s="1860">
        <v>5293.65085</v>
      </c>
      <c r="F1611">
        <v>34.306330000000003</v>
      </c>
      <c r="G1611" s="1861">
        <v>3738.19</v>
      </c>
      <c r="I1611">
        <v>0.82987</v>
      </c>
      <c r="J1611">
        <v>1.11327</v>
      </c>
      <c r="K1611">
        <v>1.21885</v>
      </c>
      <c r="L1611">
        <v>1.4160999999999999</v>
      </c>
      <c r="M1611">
        <v>9.1699999999999993E-3</v>
      </c>
      <c r="N1611">
        <v>1</v>
      </c>
      <c r="P1611">
        <v>1.2050000000000001</v>
      </c>
      <c r="Q1611">
        <v>0.89824999999999999</v>
      </c>
      <c r="R1611">
        <v>0.82043999999999995</v>
      </c>
      <c r="S1611">
        <v>0.70616000000000001</v>
      </c>
      <c r="T1611">
        <v>108.965</v>
      </c>
      <c r="U1611">
        <v>1</v>
      </c>
    </row>
    <row r="1612" spans="1:35" hidden="1" outlineLevel="1">
      <c r="A1612" s="8">
        <v>44339</v>
      </c>
      <c r="B1612" s="1860">
        <v>3102.23236</v>
      </c>
      <c r="C1612" s="1860">
        <v>4161.6365100000003</v>
      </c>
      <c r="D1612" s="1860">
        <v>4556.29288</v>
      </c>
      <c r="E1612" s="1860">
        <v>5293.65085</v>
      </c>
      <c r="F1612">
        <v>34.306330000000003</v>
      </c>
      <c r="G1612" s="1861">
        <v>3738.19</v>
      </c>
      <c r="I1612">
        <v>0.82987</v>
      </c>
      <c r="J1612">
        <v>1.11327</v>
      </c>
      <c r="K1612">
        <v>1.21885</v>
      </c>
      <c r="L1612">
        <v>1.4160999999999999</v>
      </c>
      <c r="M1612">
        <v>9.1699999999999993E-3</v>
      </c>
      <c r="N1612">
        <v>1</v>
      </c>
      <c r="P1612">
        <v>1.2050000000000001</v>
      </c>
      <c r="Q1612">
        <v>0.89824999999999999</v>
      </c>
      <c r="R1612">
        <v>0.82043999999999995</v>
      </c>
      <c r="S1612">
        <v>0.70616000000000001</v>
      </c>
      <c r="T1612">
        <v>108.965</v>
      </c>
      <c r="U1612">
        <v>1</v>
      </c>
    </row>
    <row r="1613" spans="1:35" hidden="1" outlineLevel="1">
      <c r="A1613" s="8">
        <v>44340</v>
      </c>
      <c r="B1613" s="1860">
        <v>3096.70712</v>
      </c>
      <c r="C1613" s="1860">
        <v>4170.4579599999997</v>
      </c>
      <c r="D1613" s="1860">
        <v>4567.6943600000004</v>
      </c>
      <c r="E1613" s="1860">
        <v>5292.7163099999998</v>
      </c>
      <c r="F1613">
        <v>34.37574</v>
      </c>
      <c r="G1613" s="1861">
        <v>3738.19</v>
      </c>
      <c r="I1613">
        <v>0.82838999999999996</v>
      </c>
      <c r="J1613">
        <v>1.1156299999999999</v>
      </c>
      <c r="K1613">
        <v>1.2219</v>
      </c>
      <c r="L1613">
        <v>1.4158500000000001</v>
      </c>
      <c r="M1613">
        <v>9.1900000000000003E-3</v>
      </c>
      <c r="N1613">
        <v>1</v>
      </c>
      <c r="P1613">
        <v>1.2071499999999999</v>
      </c>
      <c r="Q1613">
        <v>0.89634999999999998</v>
      </c>
      <c r="R1613">
        <v>0.81838999999999995</v>
      </c>
      <c r="S1613">
        <v>0.70628000000000002</v>
      </c>
      <c r="T1613">
        <v>108.745</v>
      </c>
      <c r="U1613">
        <v>1</v>
      </c>
    </row>
    <row r="1614" spans="1:35" hidden="1" outlineLevel="1">
      <c r="A1614" s="8">
        <v>44341</v>
      </c>
      <c r="B1614" s="1860">
        <v>3107.2946400000001</v>
      </c>
      <c r="C1614" s="1860">
        <v>4183.9031699999996</v>
      </c>
      <c r="D1614" s="1860">
        <v>4592.4956300000003</v>
      </c>
      <c r="E1614" s="1860">
        <v>5300.8077700000003</v>
      </c>
      <c r="F1614">
        <v>34.433410000000002</v>
      </c>
      <c r="G1614" s="1861">
        <v>3750.66</v>
      </c>
      <c r="I1614">
        <v>0.82845999999999997</v>
      </c>
      <c r="J1614">
        <v>1.11551</v>
      </c>
      <c r="K1614">
        <v>1.22445</v>
      </c>
      <c r="L1614">
        <v>1.4133</v>
      </c>
      <c r="M1614">
        <v>9.1800000000000007E-3</v>
      </c>
      <c r="N1614">
        <v>1</v>
      </c>
      <c r="P1614">
        <v>1.20705</v>
      </c>
      <c r="Q1614">
        <v>0.89644999999999997</v>
      </c>
      <c r="R1614">
        <v>0.81669000000000003</v>
      </c>
      <c r="S1614">
        <v>0.70755999999999997</v>
      </c>
      <c r="T1614">
        <v>108.925</v>
      </c>
      <c r="U1614">
        <v>1</v>
      </c>
    </row>
    <row r="1615" spans="1:35" hidden="1" outlineLevel="1">
      <c r="A1615" s="8">
        <v>44342</v>
      </c>
      <c r="B1615" s="1860">
        <v>3083.2934300000002</v>
      </c>
      <c r="C1615" s="1860">
        <v>4167.8214699999999</v>
      </c>
      <c r="D1615" s="1860">
        <v>4563.7371599999997</v>
      </c>
      <c r="E1615" s="1860">
        <v>5275.7063099999996</v>
      </c>
      <c r="F1615">
        <v>34.258809999999997</v>
      </c>
      <c r="G1615" s="1861">
        <v>3735.41</v>
      </c>
      <c r="I1615">
        <v>0.82542000000000004</v>
      </c>
      <c r="J1615">
        <v>1.1157600000000001</v>
      </c>
      <c r="K1615">
        <v>1.2217499999999999</v>
      </c>
      <c r="L1615">
        <v>1.41235</v>
      </c>
      <c r="M1615">
        <v>9.1699999999999993E-3</v>
      </c>
      <c r="N1615">
        <v>1</v>
      </c>
      <c r="P1615">
        <v>1.2115</v>
      </c>
      <c r="Q1615">
        <v>0.89624999999999999</v>
      </c>
      <c r="R1615">
        <v>0.81849000000000005</v>
      </c>
      <c r="S1615">
        <v>0.70803000000000005</v>
      </c>
      <c r="T1615">
        <v>109.035</v>
      </c>
      <c r="U1615">
        <v>1</v>
      </c>
    </row>
    <row r="1616" spans="1:35" hidden="1" outlineLevel="1">
      <c r="A1616" s="8">
        <v>44343</v>
      </c>
      <c r="B1616" s="1860">
        <v>3102.86069</v>
      </c>
      <c r="C1616" s="1860">
        <v>4174.0699400000003</v>
      </c>
      <c r="D1616" s="1860">
        <v>4572.4877200000001</v>
      </c>
      <c r="E1616" s="1860">
        <v>5318.2362400000002</v>
      </c>
      <c r="F1616">
        <v>34.151820000000001</v>
      </c>
      <c r="G1616" s="1861">
        <v>3747.48</v>
      </c>
      <c r="I1616">
        <v>0.82798000000000005</v>
      </c>
      <c r="J1616">
        <v>1.1138300000000001</v>
      </c>
      <c r="K1616">
        <v>1.2201500000000001</v>
      </c>
      <c r="L1616">
        <v>1.4191499999999999</v>
      </c>
      <c r="M1616">
        <v>9.11E-3</v>
      </c>
      <c r="N1616">
        <v>1</v>
      </c>
      <c r="P1616">
        <v>1.2077500000000001</v>
      </c>
      <c r="Q1616">
        <v>0.89780000000000004</v>
      </c>
      <c r="R1616">
        <v>0.81957000000000002</v>
      </c>
      <c r="S1616">
        <v>0.70464000000000004</v>
      </c>
      <c r="T1616">
        <v>109.73</v>
      </c>
      <c r="U1616">
        <v>1</v>
      </c>
    </row>
    <row r="1617" spans="1:35" hidden="1" outlineLevel="1">
      <c r="A1617" s="8">
        <v>44344</v>
      </c>
      <c r="B1617" s="1860">
        <v>3086.9370800000002</v>
      </c>
      <c r="C1617" s="1860">
        <v>4143.1253800000004</v>
      </c>
      <c r="D1617" s="1860">
        <v>4542.5057100000004</v>
      </c>
      <c r="E1617" s="1860">
        <v>5287.1909999999998</v>
      </c>
      <c r="F1617">
        <v>33.907879999999999</v>
      </c>
      <c r="G1617" s="1861">
        <v>3729.02</v>
      </c>
      <c r="I1617">
        <v>0.82781000000000005</v>
      </c>
      <c r="J1617">
        <v>1.11104</v>
      </c>
      <c r="K1617">
        <v>1.2181500000000001</v>
      </c>
      <c r="L1617">
        <v>1.4178500000000001</v>
      </c>
      <c r="M1617">
        <v>9.0900000000000009E-3</v>
      </c>
      <c r="N1617">
        <v>1</v>
      </c>
      <c r="P1617">
        <v>1.208</v>
      </c>
      <c r="Q1617">
        <v>0.90005000000000002</v>
      </c>
      <c r="R1617">
        <v>0.82091000000000003</v>
      </c>
      <c r="S1617">
        <v>0.70528999999999997</v>
      </c>
      <c r="T1617">
        <v>109.97499999999999</v>
      </c>
      <c r="U1617">
        <v>1</v>
      </c>
    </row>
    <row r="1618" spans="1:35" hidden="1" outlineLevel="1">
      <c r="A1618" s="8">
        <v>44345</v>
      </c>
      <c r="B1618" s="1860">
        <v>3075.5629100000001</v>
      </c>
      <c r="C1618" s="1860">
        <v>4127.8595599999999</v>
      </c>
      <c r="D1618" s="1860">
        <v>4525.7683299999999</v>
      </c>
      <c r="E1618" s="1860">
        <v>5267.7097400000002</v>
      </c>
      <c r="F1618">
        <v>33.78295</v>
      </c>
      <c r="G1618" s="1861">
        <v>3715.28</v>
      </c>
      <c r="I1618">
        <v>0.82781000000000005</v>
      </c>
      <c r="J1618">
        <v>1.11104</v>
      </c>
      <c r="K1618">
        <v>1.2181500000000001</v>
      </c>
      <c r="L1618">
        <v>1.4178500000000001</v>
      </c>
      <c r="M1618">
        <v>9.0900000000000009E-3</v>
      </c>
      <c r="N1618">
        <v>1</v>
      </c>
      <c r="P1618">
        <v>1.208</v>
      </c>
      <c r="Q1618">
        <v>0.90005000000000002</v>
      </c>
      <c r="R1618">
        <v>0.82091000000000003</v>
      </c>
      <c r="S1618">
        <v>0.70528999999999997</v>
      </c>
      <c r="T1618">
        <v>109.97499999999999</v>
      </c>
      <c r="U1618">
        <v>1</v>
      </c>
    </row>
    <row r="1619" spans="1:35" hidden="1" outlineLevel="1">
      <c r="A1619" s="8">
        <v>44346</v>
      </c>
      <c r="B1619" s="1860">
        <v>3075.5629100000001</v>
      </c>
      <c r="C1619" s="1860">
        <v>4127.8595599999999</v>
      </c>
      <c r="D1619" s="1860">
        <v>4525.7683299999999</v>
      </c>
      <c r="E1619" s="1860">
        <v>5267.7097400000002</v>
      </c>
      <c r="F1619">
        <v>33.78295</v>
      </c>
      <c r="G1619" s="1861">
        <v>3715.28</v>
      </c>
      <c r="I1619">
        <v>0.82781000000000005</v>
      </c>
      <c r="J1619">
        <v>1.11104</v>
      </c>
      <c r="K1619">
        <v>1.2181500000000001</v>
      </c>
      <c r="L1619">
        <v>1.4178500000000001</v>
      </c>
      <c r="M1619">
        <v>9.0900000000000009E-3</v>
      </c>
      <c r="N1619">
        <v>1</v>
      </c>
      <c r="P1619">
        <v>1.208</v>
      </c>
      <c r="Q1619">
        <v>0.90005000000000002</v>
      </c>
      <c r="R1619">
        <v>0.82091000000000003</v>
      </c>
      <c r="S1619">
        <v>0.70528999999999997</v>
      </c>
      <c r="T1619">
        <v>109.97499999999999</v>
      </c>
      <c r="U1619">
        <v>1</v>
      </c>
    </row>
    <row r="1620" spans="1:35" ht="15.75" hidden="1" outlineLevel="1" thickBot="1">
      <c r="A1620" s="1868">
        <v>44347</v>
      </c>
      <c r="B1620" s="1869">
        <v>3075.3083299999998</v>
      </c>
      <c r="C1620" s="1869">
        <v>4131.0724399999999</v>
      </c>
      <c r="D1620" s="1869">
        <v>4542.4870899999996</v>
      </c>
      <c r="E1620" s="1869">
        <v>5281.27052</v>
      </c>
      <c r="F1620" s="1870">
        <v>33.962060000000001</v>
      </c>
      <c r="G1620" s="1871">
        <v>3715.28</v>
      </c>
      <c r="H1620" s="1872"/>
      <c r="I1620" s="1870">
        <v>0.82774000000000003</v>
      </c>
      <c r="J1620" s="1870">
        <v>1.11191</v>
      </c>
      <c r="K1620" s="1870">
        <v>1.22265</v>
      </c>
      <c r="L1620" s="1870">
        <v>1.4215</v>
      </c>
      <c r="M1620" s="1870">
        <v>9.1400000000000006E-3</v>
      </c>
      <c r="N1620" s="1870">
        <v>1</v>
      </c>
      <c r="O1620" s="1872"/>
      <c r="P1620" s="1870">
        <v>1.2081</v>
      </c>
      <c r="Q1620" s="1870">
        <v>0.89934999999999998</v>
      </c>
      <c r="R1620" s="1870">
        <v>0.81789000000000001</v>
      </c>
      <c r="S1620" s="1870">
        <v>0.70347999999999999</v>
      </c>
      <c r="T1620" s="1870">
        <v>109.395</v>
      </c>
      <c r="U1620" s="1870">
        <v>1</v>
      </c>
      <c r="V1620" s="1872"/>
    </row>
    <row r="1621" spans="1:35" hidden="1" outlineLevel="1">
      <c r="A1621" s="8">
        <v>44348</v>
      </c>
      <c r="B1621" s="1860">
        <v>3091.1723099999999</v>
      </c>
      <c r="C1621" s="1860">
        <v>4149.5281100000002</v>
      </c>
      <c r="D1621" s="1860">
        <v>4549.3603599999997</v>
      </c>
      <c r="E1621" s="1860">
        <v>5265.10905</v>
      </c>
      <c r="F1621">
        <v>33.960509999999999</v>
      </c>
      <c r="G1621" s="1861">
        <v>3715.28</v>
      </c>
      <c r="I1621">
        <v>0.83201000000000003</v>
      </c>
      <c r="J1621">
        <v>1.1168800000000001</v>
      </c>
      <c r="K1621">
        <v>1.2244999999999999</v>
      </c>
      <c r="L1621">
        <v>1.4171499999999999</v>
      </c>
      <c r="M1621">
        <v>9.1400000000000006E-3</v>
      </c>
      <c r="N1621">
        <v>1</v>
      </c>
      <c r="P1621">
        <v>1.2019</v>
      </c>
      <c r="Q1621">
        <v>0.89534999999999998</v>
      </c>
      <c r="R1621">
        <v>0.81664999999999999</v>
      </c>
      <c r="S1621">
        <v>0.70564000000000004</v>
      </c>
      <c r="T1621">
        <v>109.4</v>
      </c>
      <c r="U1621">
        <v>1</v>
      </c>
    </row>
    <row r="1622" spans="1:35" s="1857" customFormat="1" hidden="1" outlineLevel="1">
      <c r="A1622" s="8">
        <v>44349</v>
      </c>
      <c r="B1622" s="1860">
        <v>3043.8834299999999</v>
      </c>
      <c r="C1622" s="1860">
        <v>4085.8939399999999</v>
      </c>
      <c r="D1622" s="1860">
        <v>4481.4699899999996</v>
      </c>
      <c r="E1622" s="1860">
        <v>5200.3262000000004</v>
      </c>
      <c r="F1622">
        <v>33.493400000000001</v>
      </c>
      <c r="G1622" s="1861">
        <v>3671.38</v>
      </c>
      <c r="I1622">
        <v>0.82908000000000004</v>
      </c>
      <c r="J1622">
        <v>1.1129</v>
      </c>
      <c r="K1622">
        <v>1.22065</v>
      </c>
      <c r="L1622">
        <v>1.41645</v>
      </c>
      <c r="M1622">
        <v>9.1199999999999996E-3</v>
      </c>
      <c r="N1622">
        <v>1</v>
      </c>
      <c r="P1622">
        <v>1.2061500000000001</v>
      </c>
      <c r="Q1622">
        <v>0.89854999999999996</v>
      </c>
      <c r="R1622">
        <v>0.81923000000000001</v>
      </c>
      <c r="S1622">
        <v>0.70599000000000001</v>
      </c>
      <c r="T1622">
        <v>109.61499999999999</v>
      </c>
      <c r="U1622">
        <v>1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s="1857" customFormat="1" hidden="1" outlineLevel="1">
      <c r="A1623" s="8">
        <v>44350</v>
      </c>
      <c r="B1623" s="1860">
        <v>3007.7955299999999</v>
      </c>
      <c r="C1623" s="1860">
        <v>4027.0772200000001</v>
      </c>
      <c r="D1623" s="1860">
        <v>4420.6473699999997</v>
      </c>
      <c r="E1623" s="1860">
        <v>5139.99964</v>
      </c>
      <c r="F1623">
        <v>33.059130000000003</v>
      </c>
      <c r="G1623" s="1861">
        <v>3642.29</v>
      </c>
      <c r="I1623">
        <v>0.82579000000000002</v>
      </c>
      <c r="J1623">
        <v>1.10564</v>
      </c>
      <c r="K1623">
        <v>1.2137</v>
      </c>
      <c r="L1623">
        <v>1.4112</v>
      </c>
      <c r="M1623">
        <v>9.0699999999999999E-3</v>
      </c>
      <c r="N1623">
        <v>1</v>
      </c>
      <c r="P1623">
        <v>1.21095</v>
      </c>
      <c r="Q1623">
        <v>0.90444999999999998</v>
      </c>
      <c r="R1623">
        <v>0.82391999999999999</v>
      </c>
      <c r="S1623">
        <v>0.70860999999999996</v>
      </c>
      <c r="T1623">
        <v>110.175</v>
      </c>
      <c r="U1623">
        <v>1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s="1857" customFormat="1" hidden="1" outlineLevel="1">
      <c r="A1624" s="8">
        <v>44351</v>
      </c>
      <c r="B1624" s="1860">
        <v>3025.5283899999999</v>
      </c>
      <c r="C1624" s="1860">
        <v>4066.2738300000001</v>
      </c>
      <c r="D1624" s="1860">
        <v>4448.6906499999996</v>
      </c>
      <c r="E1624" s="1860">
        <v>5183.2814500000004</v>
      </c>
      <c r="F1624">
        <v>33.396419999999999</v>
      </c>
      <c r="G1624" s="1861">
        <v>3657.41</v>
      </c>
      <c r="I1624">
        <v>0.82723000000000002</v>
      </c>
      <c r="J1624">
        <v>1.1117900000000001</v>
      </c>
      <c r="K1624">
        <v>1.21635</v>
      </c>
      <c r="L1624">
        <v>1.4172</v>
      </c>
      <c r="M1624">
        <v>9.1299999999999992E-3</v>
      </c>
      <c r="N1624">
        <v>1</v>
      </c>
      <c r="P1624">
        <v>1.20885</v>
      </c>
      <c r="Q1624">
        <v>0.89944999999999997</v>
      </c>
      <c r="R1624">
        <v>0.82213000000000003</v>
      </c>
      <c r="S1624">
        <v>0.70560999999999996</v>
      </c>
      <c r="T1624">
        <v>109.515</v>
      </c>
      <c r="U1624">
        <v>1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s="1857" customFormat="1" hidden="1" outlineLevel="1">
      <c r="A1625" s="8">
        <v>44352</v>
      </c>
      <c r="B1625" s="1860">
        <v>2985.6475099999998</v>
      </c>
      <c r="C1625" s="1860">
        <v>4012.6744100000001</v>
      </c>
      <c r="D1625" s="1860">
        <v>4390.0504199999996</v>
      </c>
      <c r="E1625" s="1860">
        <v>5114.9582399999999</v>
      </c>
      <c r="F1625">
        <v>32.956209999999999</v>
      </c>
      <c r="G1625" s="1861">
        <v>3609.2</v>
      </c>
      <c r="I1625">
        <v>0.82723000000000002</v>
      </c>
      <c r="J1625">
        <v>1.1117900000000001</v>
      </c>
      <c r="K1625">
        <v>1.21635</v>
      </c>
      <c r="L1625">
        <v>1.4172</v>
      </c>
      <c r="M1625">
        <v>9.1299999999999992E-3</v>
      </c>
      <c r="N1625">
        <v>1</v>
      </c>
      <c r="P1625">
        <v>1.20885</v>
      </c>
      <c r="Q1625">
        <v>0.89944999999999997</v>
      </c>
      <c r="R1625">
        <v>0.82213000000000003</v>
      </c>
      <c r="S1625">
        <v>0.70560999999999996</v>
      </c>
      <c r="T1625">
        <v>109.515</v>
      </c>
      <c r="U1625">
        <v>1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s="1857" customFormat="1" hidden="1" outlineLevel="1">
      <c r="A1626" s="8">
        <v>44353</v>
      </c>
      <c r="B1626" s="1860">
        <v>2985.6475099999998</v>
      </c>
      <c r="C1626" s="1860">
        <v>4012.6744100000001</v>
      </c>
      <c r="D1626" s="1860">
        <v>4390.0504199999996</v>
      </c>
      <c r="E1626" s="1860">
        <v>5114.9582399999999</v>
      </c>
      <c r="F1626">
        <v>32.956209999999999</v>
      </c>
      <c r="G1626" s="1861">
        <v>3609.2</v>
      </c>
      <c r="I1626">
        <v>0.82723000000000002</v>
      </c>
      <c r="J1626">
        <v>1.1117900000000001</v>
      </c>
      <c r="K1626">
        <v>1.21635</v>
      </c>
      <c r="L1626">
        <v>1.4172</v>
      </c>
      <c r="M1626">
        <v>9.1299999999999992E-3</v>
      </c>
      <c r="N1626">
        <v>1</v>
      </c>
      <c r="P1626">
        <v>1.20885</v>
      </c>
      <c r="Q1626">
        <v>0.89944999999999997</v>
      </c>
      <c r="R1626">
        <v>0.82213000000000003</v>
      </c>
      <c r="S1626">
        <v>0.70560999999999996</v>
      </c>
      <c r="T1626">
        <v>109.515</v>
      </c>
      <c r="U1626">
        <v>1</v>
      </c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s="1857" customFormat="1" hidden="1" outlineLevel="1">
      <c r="A1627" s="8">
        <v>44354</v>
      </c>
      <c r="B1627" s="1860">
        <v>2987.87201</v>
      </c>
      <c r="C1627" s="1860">
        <v>4018.9299000000001</v>
      </c>
      <c r="D1627" s="1860">
        <v>4398.5320400000001</v>
      </c>
      <c r="E1627" s="1860">
        <v>5113.3341</v>
      </c>
      <c r="F1627">
        <v>33.022550000000003</v>
      </c>
      <c r="G1627" s="1861">
        <v>3609.2</v>
      </c>
      <c r="I1627">
        <v>0.82784000000000002</v>
      </c>
      <c r="J1627">
        <v>1.1135200000000001</v>
      </c>
      <c r="K1627">
        <v>1.2186999999999999</v>
      </c>
      <c r="L1627">
        <v>1.41675</v>
      </c>
      <c r="M1627">
        <v>9.1400000000000006E-3</v>
      </c>
      <c r="N1627">
        <v>1</v>
      </c>
      <c r="P1627">
        <v>1.2079500000000001</v>
      </c>
      <c r="Q1627">
        <v>0.89805000000000001</v>
      </c>
      <c r="R1627">
        <v>0.82054000000000005</v>
      </c>
      <c r="S1627">
        <v>0.70584000000000002</v>
      </c>
      <c r="T1627">
        <v>109.295</v>
      </c>
      <c r="U1627">
        <v>1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s="1857" customFormat="1" hidden="1" outlineLevel="1">
      <c r="A1628" s="8">
        <v>44355</v>
      </c>
      <c r="B1628" s="1860">
        <v>2985.7710099999999</v>
      </c>
      <c r="C1628" s="1860">
        <v>4027.90022</v>
      </c>
      <c r="D1628" s="1860">
        <v>4398.3515799999996</v>
      </c>
      <c r="E1628" s="1860">
        <v>5107.018</v>
      </c>
      <c r="F1628">
        <v>32.9803</v>
      </c>
      <c r="G1628" s="1861">
        <v>3609.2</v>
      </c>
      <c r="I1628">
        <v>0.82726</v>
      </c>
      <c r="J1628">
        <v>1.1160000000000001</v>
      </c>
      <c r="K1628">
        <v>1.21865</v>
      </c>
      <c r="L1628">
        <v>1.415</v>
      </c>
      <c r="M1628">
        <v>9.1299999999999992E-3</v>
      </c>
      <c r="N1628">
        <v>1</v>
      </c>
      <c r="P1628">
        <v>1.2088000000000001</v>
      </c>
      <c r="Q1628">
        <v>0.89605000000000001</v>
      </c>
      <c r="R1628">
        <v>0.82057999999999998</v>
      </c>
      <c r="S1628">
        <v>0.70670999999999995</v>
      </c>
      <c r="T1628">
        <v>109.435</v>
      </c>
      <c r="U1628">
        <v>1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s="1857" customFormat="1" hidden="1" outlineLevel="1">
      <c r="A1629" s="8">
        <v>44356</v>
      </c>
      <c r="B1629" s="1860">
        <v>2975.2119400000001</v>
      </c>
      <c r="C1629" s="1860">
        <v>4015.3820300000002</v>
      </c>
      <c r="D1629" s="1860">
        <v>4383.3436799999999</v>
      </c>
      <c r="E1629" s="1860">
        <v>5081.1966000000002</v>
      </c>
      <c r="F1629">
        <v>32.820979999999999</v>
      </c>
      <c r="G1629" s="1861">
        <v>3597.18</v>
      </c>
      <c r="I1629">
        <v>0.82708999999999999</v>
      </c>
      <c r="J1629">
        <v>1.11625</v>
      </c>
      <c r="K1629">
        <v>1.21855</v>
      </c>
      <c r="L1629">
        <v>1.41255</v>
      </c>
      <c r="M1629">
        <v>9.1199999999999996E-3</v>
      </c>
      <c r="N1629">
        <v>1</v>
      </c>
      <c r="P1629">
        <v>1.20905</v>
      </c>
      <c r="Q1629">
        <v>0.89585000000000004</v>
      </c>
      <c r="R1629">
        <v>0.82064000000000004</v>
      </c>
      <c r="S1629">
        <v>0.70792999999999995</v>
      </c>
      <c r="T1629">
        <v>109.6</v>
      </c>
      <c r="U1629">
        <v>1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s="1857" customFormat="1" hidden="1" outlineLevel="1">
      <c r="A1630" s="8">
        <v>44357</v>
      </c>
      <c r="B1630" s="1860">
        <v>2965.0154900000002</v>
      </c>
      <c r="C1630" s="1860">
        <v>4005.1453700000002</v>
      </c>
      <c r="D1630" s="1860">
        <v>4367.8126499999998</v>
      </c>
      <c r="E1630" s="1860">
        <v>5075.0882600000004</v>
      </c>
      <c r="F1630">
        <v>32.739469999999997</v>
      </c>
      <c r="G1630" s="1861">
        <v>3588.41</v>
      </c>
      <c r="I1630">
        <v>0.82626999999999995</v>
      </c>
      <c r="J1630">
        <v>1.1161300000000001</v>
      </c>
      <c r="K1630">
        <v>1.2172000000000001</v>
      </c>
      <c r="L1630">
        <v>1.4142999999999999</v>
      </c>
      <c r="M1630">
        <v>9.1199999999999996E-3</v>
      </c>
      <c r="N1630">
        <v>1</v>
      </c>
      <c r="P1630">
        <v>1.21025</v>
      </c>
      <c r="Q1630">
        <v>0.89595000000000002</v>
      </c>
      <c r="R1630">
        <v>0.82155</v>
      </c>
      <c r="S1630">
        <v>0.70706000000000002</v>
      </c>
      <c r="T1630">
        <v>109.605</v>
      </c>
      <c r="U1630">
        <v>1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s="1857" customFormat="1" hidden="1" outlineLevel="1">
      <c r="A1631" s="8">
        <v>44358</v>
      </c>
      <c r="B1631" s="1860">
        <v>2955.7119899999998</v>
      </c>
      <c r="C1631" s="1860">
        <v>3994.2809400000001</v>
      </c>
      <c r="D1631" s="1860">
        <v>4347.4999500000004</v>
      </c>
      <c r="E1631" s="1860">
        <v>5070.4977500000005</v>
      </c>
      <c r="F1631">
        <v>32.70496</v>
      </c>
      <c r="G1631" s="1861">
        <v>3589.86</v>
      </c>
      <c r="I1631">
        <v>0.82335000000000003</v>
      </c>
      <c r="J1631">
        <v>1.1126499999999999</v>
      </c>
      <c r="K1631">
        <v>1.21105</v>
      </c>
      <c r="L1631">
        <v>1.41245</v>
      </c>
      <c r="M1631">
        <v>9.11E-3</v>
      </c>
      <c r="N1631">
        <v>1</v>
      </c>
      <c r="P1631">
        <v>1.21455</v>
      </c>
      <c r="Q1631">
        <v>0.89875000000000005</v>
      </c>
      <c r="R1631">
        <v>0.82572000000000001</v>
      </c>
      <c r="S1631">
        <v>0.70798000000000005</v>
      </c>
      <c r="T1631">
        <v>109.765</v>
      </c>
      <c r="U1631">
        <v>1</v>
      </c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s="1857" customFormat="1" hidden="1" outlineLevel="1">
      <c r="A1632" s="8">
        <v>44359</v>
      </c>
      <c r="B1632" s="1860">
        <v>2985.4843300000002</v>
      </c>
      <c r="C1632" s="1860">
        <v>4034.5146</v>
      </c>
      <c r="D1632" s="1860">
        <v>4391.2915199999998</v>
      </c>
      <c r="E1632" s="1860">
        <v>5121.5719399999998</v>
      </c>
      <c r="F1632">
        <v>33.034390000000002</v>
      </c>
      <c r="G1632" s="1861">
        <v>3626.02</v>
      </c>
      <c r="I1632">
        <v>0.82335000000000003</v>
      </c>
      <c r="J1632">
        <v>1.1126499999999999</v>
      </c>
      <c r="K1632">
        <v>1.21105</v>
      </c>
      <c r="L1632">
        <v>1.41245</v>
      </c>
      <c r="M1632">
        <v>9.11E-3</v>
      </c>
      <c r="N1632">
        <v>1</v>
      </c>
      <c r="P1632">
        <v>1.21455</v>
      </c>
      <c r="Q1632">
        <v>0.89875000000000005</v>
      </c>
      <c r="R1632">
        <v>0.82572000000000001</v>
      </c>
      <c r="S1632">
        <v>0.70798000000000005</v>
      </c>
      <c r="T1632">
        <v>109.765</v>
      </c>
      <c r="U1632">
        <v>1</v>
      </c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s="1857" customFormat="1" hidden="1" outlineLevel="1">
      <c r="A1633" s="8">
        <v>44360</v>
      </c>
      <c r="B1633" s="1860">
        <v>2985.4843300000002</v>
      </c>
      <c r="C1633" s="1860">
        <v>4034.5146</v>
      </c>
      <c r="D1633" s="1860">
        <v>4391.2915199999998</v>
      </c>
      <c r="E1633" s="1860">
        <v>5121.5719399999998</v>
      </c>
      <c r="F1633">
        <v>33.034390000000002</v>
      </c>
      <c r="G1633" s="1861">
        <v>3626.02</v>
      </c>
      <c r="I1633">
        <v>0.82335000000000003</v>
      </c>
      <c r="J1633">
        <v>1.1126499999999999</v>
      </c>
      <c r="K1633">
        <v>1.21105</v>
      </c>
      <c r="L1633">
        <v>1.41245</v>
      </c>
      <c r="M1633">
        <v>9.11E-3</v>
      </c>
      <c r="N1633">
        <v>1</v>
      </c>
      <c r="P1633">
        <v>1.21455</v>
      </c>
      <c r="Q1633">
        <v>0.89875000000000005</v>
      </c>
      <c r="R1633">
        <v>0.82572000000000001</v>
      </c>
      <c r="S1633">
        <v>0.70798000000000005</v>
      </c>
      <c r="T1633">
        <v>109.765</v>
      </c>
      <c r="U1633">
        <v>1</v>
      </c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s="1857" customFormat="1" hidden="1" outlineLevel="1">
      <c r="A1634" s="8">
        <v>44361</v>
      </c>
      <c r="B1634" s="1860">
        <v>2988.1906899999999</v>
      </c>
      <c r="C1634" s="1860">
        <v>4032.9440500000001</v>
      </c>
      <c r="D1634" s="1860">
        <v>4396.3679400000001</v>
      </c>
      <c r="E1634" s="1860">
        <v>5119.75893</v>
      </c>
      <c r="F1634">
        <v>32.968310000000002</v>
      </c>
      <c r="G1634" s="1861">
        <v>3626.02</v>
      </c>
      <c r="I1634">
        <v>0.82408999999999999</v>
      </c>
      <c r="J1634">
        <v>1.11222</v>
      </c>
      <c r="K1634">
        <v>1.21245</v>
      </c>
      <c r="L1634">
        <v>1.41195</v>
      </c>
      <c r="M1634">
        <v>9.0900000000000009E-3</v>
      </c>
      <c r="N1634">
        <v>1</v>
      </c>
      <c r="P1634">
        <v>1.2134499999999999</v>
      </c>
      <c r="Q1634">
        <v>0.89910000000000001</v>
      </c>
      <c r="R1634">
        <v>0.82477</v>
      </c>
      <c r="S1634">
        <v>0.70823999999999998</v>
      </c>
      <c r="T1634">
        <v>109.985</v>
      </c>
      <c r="U1634">
        <v>1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s="1857" customFormat="1" hidden="1" outlineLevel="1">
      <c r="A1635" s="8">
        <v>44362</v>
      </c>
      <c r="B1635" s="1860">
        <v>2976.9056999999998</v>
      </c>
      <c r="C1635" s="1860">
        <v>4035.8617599999998</v>
      </c>
      <c r="D1635" s="1860">
        <v>4397.0931499999997</v>
      </c>
      <c r="E1635" s="1860">
        <v>5108.1556700000001</v>
      </c>
      <c r="F1635">
        <v>32.938360000000003</v>
      </c>
      <c r="G1635" s="1861">
        <v>3626.02</v>
      </c>
      <c r="I1635">
        <v>0.82098000000000004</v>
      </c>
      <c r="J1635">
        <v>1.1130199999999999</v>
      </c>
      <c r="K1635">
        <v>1.21265</v>
      </c>
      <c r="L1635">
        <v>1.4087499999999999</v>
      </c>
      <c r="M1635">
        <v>9.0799999999999995E-3</v>
      </c>
      <c r="N1635">
        <v>1</v>
      </c>
      <c r="P1635">
        <v>1.2180500000000001</v>
      </c>
      <c r="Q1635">
        <v>0.89844999999999997</v>
      </c>
      <c r="R1635">
        <v>0.82464000000000004</v>
      </c>
      <c r="S1635">
        <v>0.70984000000000003</v>
      </c>
      <c r="T1635">
        <v>110.08499999999999</v>
      </c>
      <c r="U1635">
        <v>1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s="1857" customFormat="1" hidden="1" outlineLevel="1">
      <c r="A1636" s="8">
        <v>44363</v>
      </c>
      <c r="B1636" s="1860">
        <v>3032.5560300000002</v>
      </c>
      <c r="C1636" s="1860">
        <v>4108.5154899999998</v>
      </c>
      <c r="D1636" s="1860">
        <v>4475.9708600000004</v>
      </c>
      <c r="E1636" s="1860">
        <v>5208.9161700000004</v>
      </c>
      <c r="F1636">
        <v>33.592700000000001</v>
      </c>
      <c r="G1636" s="1861">
        <v>3693.35</v>
      </c>
      <c r="I1636">
        <v>0.82108000000000003</v>
      </c>
      <c r="J1636">
        <v>1.1124000000000001</v>
      </c>
      <c r="K1636">
        <v>1.2119</v>
      </c>
      <c r="L1636">
        <v>1.41035</v>
      </c>
      <c r="M1636">
        <v>9.0900000000000009E-3</v>
      </c>
      <c r="N1636">
        <v>1</v>
      </c>
      <c r="P1636">
        <v>1.2179</v>
      </c>
      <c r="Q1636">
        <v>0.89895000000000003</v>
      </c>
      <c r="R1636">
        <v>0.82515000000000005</v>
      </c>
      <c r="S1636">
        <v>0.70904</v>
      </c>
      <c r="T1636">
        <v>109.94499999999999</v>
      </c>
      <c r="U1636">
        <v>1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s="1857" customFormat="1" hidden="1" outlineLevel="1">
      <c r="A1637" s="8">
        <v>44364</v>
      </c>
      <c r="B1637" s="1860">
        <v>2994.61213</v>
      </c>
      <c r="C1637" s="1860">
        <v>4032.51748</v>
      </c>
      <c r="D1637" s="1860">
        <v>4407.2667499999998</v>
      </c>
      <c r="E1637" s="1860">
        <v>5148.7002499999999</v>
      </c>
      <c r="F1637">
        <v>33.482050000000001</v>
      </c>
      <c r="G1637" s="1861">
        <v>3690.56</v>
      </c>
      <c r="I1637">
        <v>0.81142000000000003</v>
      </c>
      <c r="J1637">
        <v>1.0926499999999999</v>
      </c>
      <c r="K1637">
        <v>1.1941999999999999</v>
      </c>
      <c r="L1637">
        <v>1.3951</v>
      </c>
      <c r="M1637">
        <v>9.0699999999999999E-3</v>
      </c>
      <c r="N1637">
        <v>1</v>
      </c>
      <c r="P1637">
        <v>1.2323999999999999</v>
      </c>
      <c r="Q1637">
        <v>0.91520000000000001</v>
      </c>
      <c r="R1637">
        <v>0.83738000000000001</v>
      </c>
      <c r="S1637">
        <v>0.71679000000000004</v>
      </c>
      <c r="T1637">
        <v>110.22499999999999</v>
      </c>
      <c r="U1637">
        <v>1</v>
      </c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idden="1" outlineLevel="1">
      <c r="A1638" s="8">
        <v>44365</v>
      </c>
      <c r="B1638" s="1860">
        <v>2996.22505</v>
      </c>
      <c r="C1638" s="1860">
        <v>4042.3145599999998</v>
      </c>
      <c r="D1638" s="1860">
        <v>4422.8215200000004</v>
      </c>
      <c r="E1638" s="1860">
        <v>5150.2592699999996</v>
      </c>
      <c r="F1638">
        <v>33.839350000000003</v>
      </c>
      <c r="G1638" s="1861">
        <v>3730.45</v>
      </c>
      <c r="I1638">
        <v>0.80318000000000001</v>
      </c>
      <c r="J1638">
        <v>1.0835900000000001</v>
      </c>
      <c r="K1638">
        <v>1.1856</v>
      </c>
      <c r="L1638">
        <v>1.3806</v>
      </c>
      <c r="M1638">
        <v>9.0699999999999999E-3</v>
      </c>
      <c r="N1638">
        <v>1</v>
      </c>
      <c r="P1638">
        <v>1.24505</v>
      </c>
      <c r="Q1638">
        <v>0.92284999999999995</v>
      </c>
      <c r="R1638">
        <v>0.84345000000000003</v>
      </c>
      <c r="S1638">
        <v>0.72431999999999996</v>
      </c>
      <c r="T1638">
        <v>110.24</v>
      </c>
      <c r="U1638">
        <v>1</v>
      </c>
    </row>
    <row r="1639" spans="1:35" hidden="1" outlineLevel="1">
      <c r="A1639" s="8">
        <v>44366</v>
      </c>
      <c r="B1639" s="1860">
        <v>3014.9552199999998</v>
      </c>
      <c r="C1639" s="1860">
        <v>4067.5841099999998</v>
      </c>
      <c r="D1639" s="1860">
        <v>4450.4697100000003</v>
      </c>
      <c r="E1639" s="1860">
        <v>5182.4548599999998</v>
      </c>
      <c r="F1639">
        <v>34.050879999999999</v>
      </c>
      <c r="G1639" s="1861">
        <v>3753.77</v>
      </c>
      <c r="I1639">
        <v>0.80318000000000001</v>
      </c>
      <c r="J1639">
        <v>1.0835900000000001</v>
      </c>
      <c r="K1639">
        <v>1.1856</v>
      </c>
      <c r="L1639">
        <v>1.3806</v>
      </c>
      <c r="M1639">
        <v>9.0699999999999999E-3</v>
      </c>
      <c r="N1639">
        <v>1</v>
      </c>
      <c r="P1639">
        <v>1.24505</v>
      </c>
      <c r="Q1639">
        <v>0.92284999999999995</v>
      </c>
      <c r="R1639">
        <v>0.84345000000000003</v>
      </c>
      <c r="S1639">
        <v>0.72431999999999996</v>
      </c>
      <c r="T1639">
        <v>110.24</v>
      </c>
      <c r="U1639">
        <v>1</v>
      </c>
    </row>
    <row r="1640" spans="1:35" hidden="1" outlineLevel="1">
      <c r="A1640" s="8">
        <v>44367</v>
      </c>
      <c r="B1640" s="1860">
        <v>3014.9552199999998</v>
      </c>
      <c r="C1640" s="1860">
        <v>4067.5841099999998</v>
      </c>
      <c r="D1640" s="1860">
        <v>4450.4697100000003</v>
      </c>
      <c r="E1640" s="1860">
        <v>5182.4548599999998</v>
      </c>
      <c r="F1640">
        <v>34.050879999999999</v>
      </c>
      <c r="G1640" s="1861">
        <v>3753.77</v>
      </c>
      <c r="I1640">
        <v>0.80318000000000001</v>
      </c>
      <c r="J1640">
        <v>1.0835900000000001</v>
      </c>
      <c r="K1640">
        <v>1.1856</v>
      </c>
      <c r="L1640">
        <v>1.3806</v>
      </c>
      <c r="M1640">
        <v>9.0699999999999999E-3</v>
      </c>
      <c r="N1640">
        <v>1</v>
      </c>
      <c r="P1640">
        <v>1.24505</v>
      </c>
      <c r="Q1640">
        <v>0.92284999999999995</v>
      </c>
      <c r="R1640">
        <v>0.84345000000000003</v>
      </c>
      <c r="S1640">
        <v>0.72431999999999996</v>
      </c>
      <c r="T1640">
        <v>110.24</v>
      </c>
      <c r="U1640">
        <v>1</v>
      </c>
    </row>
    <row r="1641" spans="1:35" hidden="1" outlineLevel="1">
      <c r="A1641" s="8">
        <v>44368</v>
      </c>
      <c r="B1641" s="1860">
        <v>3031.8794899999998</v>
      </c>
      <c r="C1641" s="1860">
        <v>4087.0706</v>
      </c>
      <c r="D1641" s="1860">
        <v>4471.1154399999996</v>
      </c>
      <c r="E1641" s="1860">
        <v>5219.2417999999998</v>
      </c>
      <c r="F1641">
        <v>34.064790000000002</v>
      </c>
      <c r="G1641" s="1861">
        <v>3753.77</v>
      </c>
      <c r="I1641">
        <v>0.80767999999999995</v>
      </c>
      <c r="J1641">
        <v>1.0887899999999999</v>
      </c>
      <c r="K1641">
        <v>1.1911</v>
      </c>
      <c r="L1641">
        <v>1.3904000000000001</v>
      </c>
      <c r="M1641">
        <v>9.0699999999999999E-3</v>
      </c>
      <c r="N1641">
        <v>1</v>
      </c>
      <c r="P1641">
        <v>1.2381</v>
      </c>
      <c r="Q1641">
        <v>0.91844999999999999</v>
      </c>
      <c r="R1641">
        <v>0.83955999999999997</v>
      </c>
      <c r="S1641">
        <v>0.71921000000000002</v>
      </c>
      <c r="T1641">
        <v>110.19499999999999</v>
      </c>
      <c r="U1641">
        <v>1</v>
      </c>
    </row>
    <row r="1642" spans="1:35" hidden="1" outlineLevel="1">
      <c r="A1642" s="8">
        <v>44369</v>
      </c>
      <c r="B1642" s="1860">
        <v>3034.2577999999999</v>
      </c>
      <c r="C1642" s="1860">
        <v>4082.4289800000001</v>
      </c>
      <c r="D1642" s="1860">
        <v>4471.7393899999997</v>
      </c>
      <c r="E1642" s="1860">
        <v>5230.1199299999998</v>
      </c>
      <c r="F1642">
        <v>33.939129999999999</v>
      </c>
      <c r="G1642" s="1861">
        <v>3758.08</v>
      </c>
      <c r="I1642">
        <v>0.80739000000000005</v>
      </c>
      <c r="J1642">
        <v>1.0863</v>
      </c>
      <c r="K1642">
        <v>1.1899</v>
      </c>
      <c r="L1642">
        <v>1.3916999999999999</v>
      </c>
      <c r="M1642">
        <v>9.0299999999999998E-3</v>
      </c>
      <c r="N1642">
        <v>1</v>
      </c>
      <c r="P1642">
        <v>1.23855</v>
      </c>
      <c r="Q1642">
        <v>0.92054999999999998</v>
      </c>
      <c r="R1642">
        <v>0.84040000000000004</v>
      </c>
      <c r="S1642">
        <v>0.71853999999999996</v>
      </c>
      <c r="T1642">
        <v>110.73</v>
      </c>
      <c r="U1642">
        <v>1</v>
      </c>
    </row>
    <row r="1643" spans="1:35" hidden="1" outlineLevel="1">
      <c r="A1643" s="8">
        <v>44370</v>
      </c>
      <c r="B1643" s="1860">
        <v>3080.67076</v>
      </c>
      <c r="C1643" s="1860">
        <v>4127.4402799999998</v>
      </c>
      <c r="D1643" s="1860">
        <v>4521.66086</v>
      </c>
      <c r="E1643" s="1860">
        <v>5286.4982</v>
      </c>
      <c r="F1643">
        <v>34.155679999999997</v>
      </c>
      <c r="G1643" s="1861">
        <v>3784.45</v>
      </c>
      <c r="I1643">
        <v>0.81403000000000003</v>
      </c>
      <c r="J1643">
        <v>1.09063</v>
      </c>
      <c r="K1643">
        <v>1.1948000000000001</v>
      </c>
      <c r="L1643">
        <v>1.3969</v>
      </c>
      <c r="M1643">
        <v>9.0200000000000002E-3</v>
      </c>
      <c r="N1643">
        <v>1</v>
      </c>
      <c r="P1643">
        <v>1.22845</v>
      </c>
      <c r="Q1643">
        <v>0.91690000000000005</v>
      </c>
      <c r="R1643">
        <v>0.83696000000000004</v>
      </c>
      <c r="S1643">
        <v>0.71587000000000001</v>
      </c>
      <c r="T1643">
        <v>110.8</v>
      </c>
      <c r="U1643">
        <v>1</v>
      </c>
    </row>
    <row r="1644" spans="1:35" hidden="1" outlineLevel="1">
      <c r="A1644" s="8">
        <v>44371</v>
      </c>
      <c r="B1644" s="1860">
        <v>3057.9973199999999</v>
      </c>
      <c r="C1644" s="1860">
        <v>4105.6692000000003</v>
      </c>
      <c r="D1644" s="1860">
        <v>4499.99964</v>
      </c>
      <c r="E1644" s="1860">
        <v>5242.7363400000004</v>
      </c>
      <c r="F1644">
        <v>34.037970000000001</v>
      </c>
      <c r="G1644" s="1861">
        <v>3773.11</v>
      </c>
      <c r="I1644">
        <v>0.81047000000000002</v>
      </c>
      <c r="J1644">
        <v>1.08813</v>
      </c>
      <c r="K1644">
        <v>1.19265</v>
      </c>
      <c r="L1644">
        <v>1.3895</v>
      </c>
      <c r="M1644">
        <v>9.0200000000000002E-3</v>
      </c>
      <c r="N1644">
        <v>1</v>
      </c>
      <c r="P1644">
        <v>1.2338499999999999</v>
      </c>
      <c r="Q1644">
        <v>0.91900000000000004</v>
      </c>
      <c r="R1644">
        <v>0.83845999999999998</v>
      </c>
      <c r="S1644">
        <v>0.71967999999999999</v>
      </c>
      <c r="T1644">
        <v>110.85</v>
      </c>
      <c r="U1644">
        <v>1</v>
      </c>
    </row>
    <row r="1645" spans="1:35" hidden="1" outlineLevel="1">
      <c r="A1645" s="8">
        <v>44372</v>
      </c>
      <c r="B1645" s="1860">
        <v>3070.0675799999999</v>
      </c>
      <c r="C1645" s="1860">
        <v>4114.9795299999996</v>
      </c>
      <c r="D1645" s="1860">
        <v>4505.9452799999999</v>
      </c>
      <c r="E1645" s="1860">
        <v>5246.0649899999999</v>
      </c>
      <c r="F1645">
        <v>34.036099999999998</v>
      </c>
      <c r="G1645" s="1861">
        <v>3770.35</v>
      </c>
      <c r="I1645">
        <v>0.81425999999999998</v>
      </c>
      <c r="J1645">
        <v>1.0913999999999999</v>
      </c>
      <c r="K1645">
        <v>1.1951000000000001</v>
      </c>
      <c r="L1645">
        <v>1.3914</v>
      </c>
      <c r="M1645">
        <v>9.0200000000000002E-3</v>
      </c>
      <c r="N1645">
        <v>1</v>
      </c>
      <c r="P1645">
        <v>1.2281</v>
      </c>
      <c r="Q1645">
        <v>0.91625000000000001</v>
      </c>
      <c r="R1645">
        <v>0.83674999999999999</v>
      </c>
      <c r="S1645">
        <v>0.71870000000000001</v>
      </c>
      <c r="T1645">
        <v>110.77500000000001</v>
      </c>
      <c r="U1645">
        <v>1</v>
      </c>
    </row>
    <row r="1646" spans="1:35" hidden="1" outlineLevel="1">
      <c r="A1646" s="8">
        <v>44373</v>
      </c>
      <c r="B1646" s="1860">
        <v>3044.56477</v>
      </c>
      <c r="C1646" s="1860">
        <v>4080.7967199999998</v>
      </c>
      <c r="D1646" s="1860">
        <v>4468.5147500000003</v>
      </c>
      <c r="E1646" s="1860">
        <v>5202.4863400000004</v>
      </c>
      <c r="F1646">
        <v>33.753369999999997</v>
      </c>
      <c r="G1646" s="1861">
        <v>3739.03</v>
      </c>
      <c r="I1646">
        <v>0.81425999999999998</v>
      </c>
      <c r="J1646">
        <v>1.0913999999999999</v>
      </c>
      <c r="K1646">
        <v>1.1951000000000001</v>
      </c>
      <c r="L1646">
        <v>1.3914</v>
      </c>
      <c r="M1646">
        <v>9.0200000000000002E-3</v>
      </c>
      <c r="N1646">
        <v>1</v>
      </c>
      <c r="P1646">
        <v>1.2281</v>
      </c>
      <c r="Q1646">
        <v>0.91625000000000001</v>
      </c>
      <c r="R1646">
        <v>0.83674999999999999</v>
      </c>
      <c r="S1646">
        <v>0.71870000000000001</v>
      </c>
      <c r="T1646">
        <v>110.77500000000001</v>
      </c>
      <c r="U1646">
        <v>1</v>
      </c>
    </row>
    <row r="1647" spans="1:35" hidden="1" outlineLevel="1">
      <c r="A1647" s="8">
        <v>44374</v>
      </c>
      <c r="B1647" s="1860">
        <v>3044.56477</v>
      </c>
      <c r="C1647" s="1860">
        <v>4080.7967199999998</v>
      </c>
      <c r="D1647" s="1860">
        <v>4468.5147500000003</v>
      </c>
      <c r="E1647" s="1860">
        <v>5202.4863400000004</v>
      </c>
      <c r="F1647">
        <v>33.753369999999997</v>
      </c>
      <c r="G1647" s="1861">
        <v>3739.03</v>
      </c>
      <c r="I1647">
        <v>0.81425999999999998</v>
      </c>
      <c r="J1647">
        <v>1.0913999999999999</v>
      </c>
      <c r="K1647">
        <v>1.1951000000000001</v>
      </c>
      <c r="L1647">
        <v>1.3914</v>
      </c>
      <c r="M1647">
        <v>9.0200000000000002E-3</v>
      </c>
      <c r="N1647">
        <v>1</v>
      </c>
      <c r="P1647">
        <v>1.2281</v>
      </c>
      <c r="Q1647">
        <v>0.91625000000000001</v>
      </c>
      <c r="R1647">
        <v>0.83674999999999999</v>
      </c>
      <c r="S1647">
        <v>0.71870000000000001</v>
      </c>
      <c r="T1647">
        <v>110.77500000000001</v>
      </c>
      <c r="U1647">
        <v>1</v>
      </c>
    </row>
    <row r="1648" spans="1:35" hidden="1" outlineLevel="1">
      <c r="A1648" s="8">
        <v>44375</v>
      </c>
      <c r="B1648" s="1860">
        <v>3030.6220800000001</v>
      </c>
      <c r="C1648" s="1860">
        <v>4067.47892</v>
      </c>
      <c r="D1648" s="1860">
        <v>4459.35412</v>
      </c>
      <c r="E1648" s="1860">
        <v>5192.57791</v>
      </c>
      <c r="F1648">
        <v>33.799140000000001</v>
      </c>
      <c r="G1648" s="1861">
        <v>3739.03</v>
      </c>
      <c r="I1648">
        <v>0.81052999999999997</v>
      </c>
      <c r="J1648">
        <v>1.0878399999999999</v>
      </c>
      <c r="K1648">
        <v>1.19265</v>
      </c>
      <c r="L1648">
        <v>1.3887499999999999</v>
      </c>
      <c r="M1648">
        <v>9.0299999999999998E-3</v>
      </c>
      <c r="N1648">
        <v>1</v>
      </c>
      <c r="P1648">
        <v>1.2337499999999999</v>
      </c>
      <c r="Q1648">
        <v>0.91925000000000001</v>
      </c>
      <c r="R1648">
        <v>0.83845999999999998</v>
      </c>
      <c r="S1648">
        <v>0.72006999999999999</v>
      </c>
      <c r="T1648">
        <v>110.625</v>
      </c>
      <c r="U1648">
        <v>1</v>
      </c>
    </row>
    <row r="1649" spans="1:35" hidden="1" outlineLevel="1">
      <c r="A1649" s="8">
        <v>44376</v>
      </c>
      <c r="B1649" s="1860">
        <v>2996.90879</v>
      </c>
      <c r="C1649" s="1860">
        <v>4032.76676</v>
      </c>
      <c r="D1649" s="1860">
        <v>4420.5288799999998</v>
      </c>
      <c r="E1649" s="1860">
        <v>5136.6137099999996</v>
      </c>
      <c r="F1649">
        <v>33.601819999999996</v>
      </c>
      <c r="G1649" s="1861">
        <v>3713.17</v>
      </c>
      <c r="I1649">
        <v>0.80710000000000004</v>
      </c>
      <c r="J1649">
        <v>1.0860700000000001</v>
      </c>
      <c r="K1649">
        <v>1.1904999999999999</v>
      </c>
      <c r="L1649">
        <v>1.3833500000000001</v>
      </c>
      <c r="M1649">
        <v>9.0399999999999994E-3</v>
      </c>
      <c r="N1649">
        <v>1</v>
      </c>
      <c r="P1649">
        <v>1.2390000000000001</v>
      </c>
      <c r="Q1649">
        <v>0.92074999999999996</v>
      </c>
      <c r="R1649">
        <v>0.83997999999999995</v>
      </c>
      <c r="S1649">
        <v>0.72287999999999997</v>
      </c>
      <c r="T1649">
        <v>110.505</v>
      </c>
      <c r="U1649">
        <v>1</v>
      </c>
    </row>
    <row r="1650" spans="1:35" ht="15.75" hidden="1" outlineLevel="1" thickBot="1">
      <c r="A1650" s="1868">
        <v>44377</v>
      </c>
      <c r="B1650" s="1869">
        <v>3033.7317200000002</v>
      </c>
      <c r="C1650" s="1869">
        <v>4064.1207300000001</v>
      </c>
      <c r="D1650" s="1869">
        <v>4455.0349500000002</v>
      </c>
      <c r="E1650" s="1869">
        <v>5189.6517700000004</v>
      </c>
      <c r="F1650" s="1870">
        <v>33.846919999999997</v>
      </c>
      <c r="G1650" s="1871">
        <v>3756.67</v>
      </c>
      <c r="H1650" s="1872"/>
      <c r="I1650" s="1870">
        <v>0.80754999999999999</v>
      </c>
      <c r="J1650" s="1870">
        <v>1.0818399999999999</v>
      </c>
      <c r="K1650" s="1870">
        <v>1.1859</v>
      </c>
      <c r="L1650" s="1870">
        <v>1.3814500000000001</v>
      </c>
      <c r="M1650" s="1870">
        <v>8.9999999999999993E-3</v>
      </c>
      <c r="N1650" s="1870">
        <v>1</v>
      </c>
      <c r="O1650" s="1872"/>
      <c r="P1650" s="1870">
        <v>1.2383</v>
      </c>
      <c r="Q1650" s="1870">
        <v>0.92435</v>
      </c>
      <c r="R1650" s="1870">
        <v>0.84323999999999999</v>
      </c>
      <c r="S1650" s="1870">
        <v>0.72387000000000001</v>
      </c>
      <c r="T1650" s="1870">
        <v>110.99</v>
      </c>
      <c r="U1650" s="1870">
        <v>1</v>
      </c>
      <c r="V1650" s="1872"/>
    </row>
    <row r="1651" spans="1:35" hidden="1" outlineLevel="1">
      <c r="A1651" s="8">
        <v>44378</v>
      </c>
      <c r="B1651" s="1860">
        <v>3025.17956</v>
      </c>
      <c r="C1651" s="1860">
        <v>4054.8434200000002</v>
      </c>
      <c r="D1651" s="1860">
        <v>4448.7197999999999</v>
      </c>
      <c r="E1651" s="1860">
        <v>5165.433</v>
      </c>
      <c r="F1651">
        <v>33.606769999999997</v>
      </c>
      <c r="G1651" s="1861">
        <v>3748.5</v>
      </c>
      <c r="I1651">
        <v>0.80703000000000003</v>
      </c>
      <c r="J1651">
        <v>1.08172</v>
      </c>
      <c r="K1651">
        <v>1.1868000000000001</v>
      </c>
      <c r="L1651">
        <v>1.3779999999999999</v>
      </c>
      <c r="M1651">
        <v>8.9599999999999992E-3</v>
      </c>
      <c r="N1651">
        <v>1</v>
      </c>
      <c r="P1651">
        <v>1.2391000000000001</v>
      </c>
      <c r="Q1651">
        <v>0.92444999999999999</v>
      </c>
      <c r="R1651">
        <v>0.84260000000000002</v>
      </c>
      <c r="S1651">
        <v>0.72567999999999999</v>
      </c>
      <c r="T1651">
        <v>111.54</v>
      </c>
      <c r="U1651">
        <v>1</v>
      </c>
    </row>
    <row r="1652" spans="1:35" hidden="1" outlineLevel="1">
      <c r="A1652" s="8">
        <v>44379</v>
      </c>
      <c r="B1652" s="1860">
        <v>3052.0431600000002</v>
      </c>
      <c r="C1652" s="1860">
        <v>4088.2837</v>
      </c>
      <c r="D1652" s="1860">
        <v>4471.3601699999999</v>
      </c>
      <c r="E1652" s="1860">
        <v>5204.0017699999999</v>
      </c>
      <c r="F1652">
        <v>33.917529999999999</v>
      </c>
      <c r="G1652" s="1861">
        <v>3775.53</v>
      </c>
      <c r="I1652">
        <v>0.80837000000000003</v>
      </c>
      <c r="J1652">
        <v>1.08283</v>
      </c>
      <c r="K1652">
        <v>1.1842999999999999</v>
      </c>
      <c r="L1652">
        <v>1.37835</v>
      </c>
      <c r="M1652">
        <v>8.9800000000000001E-3</v>
      </c>
      <c r="N1652">
        <v>1</v>
      </c>
      <c r="P1652">
        <v>1.23705</v>
      </c>
      <c r="Q1652">
        <v>0.92349999999999999</v>
      </c>
      <c r="R1652">
        <v>0.84438000000000002</v>
      </c>
      <c r="S1652">
        <v>0.72550000000000003</v>
      </c>
      <c r="T1652">
        <v>111.315</v>
      </c>
      <c r="U1652">
        <v>1</v>
      </c>
    </row>
    <row r="1653" spans="1:35" hidden="1" outlineLevel="1">
      <c r="A1653" s="8">
        <v>44380</v>
      </c>
      <c r="B1653" s="1860">
        <v>3053.3688999999999</v>
      </c>
      <c r="C1653" s="1860">
        <v>4090.0595499999999</v>
      </c>
      <c r="D1653" s="1860">
        <v>4473.3024299999997</v>
      </c>
      <c r="E1653" s="1860">
        <v>5206.2622600000004</v>
      </c>
      <c r="F1653">
        <v>33.932259999999999</v>
      </c>
      <c r="G1653" s="1861">
        <v>3777.17</v>
      </c>
      <c r="I1653">
        <v>0.80837000000000003</v>
      </c>
      <c r="J1653">
        <v>1.08283</v>
      </c>
      <c r="K1653">
        <v>1.1842999999999999</v>
      </c>
      <c r="L1653">
        <v>1.37835</v>
      </c>
      <c r="M1653">
        <v>8.9800000000000001E-3</v>
      </c>
      <c r="N1653">
        <v>1</v>
      </c>
      <c r="P1653">
        <v>1.23705</v>
      </c>
      <c r="Q1653">
        <v>0.92349999999999999</v>
      </c>
      <c r="R1653">
        <v>0.84438000000000002</v>
      </c>
      <c r="S1653">
        <v>0.72550000000000003</v>
      </c>
      <c r="T1653">
        <v>111.315</v>
      </c>
      <c r="U1653">
        <v>1</v>
      </c>
    </row>
    <row r="1654" spans="1:35" s="1857" customFormat="1" hidden="1" outlineLevel="1">
      <c r="A1654" s="8">
        <v>44381</v>
      </c>
      <c r="B1654" s="1860">
        <v>3053.3688999999999</v>
      </c>
      <c r="C1654" s="1860">
        <v>4090.0595499999999</v>
      </c>
      <c r="D1654" s="1860">
        <v>4473.3024299999997</v>
      </c>
      <c r="E1654" s="1860">
        <v>5206.2622600000004</v>
      </c>
      <c r="F1654">
        <v>33.932259999999999</v>
      </c>
      <c r="G1654" s="1861">
        <v>3777.17</v>
      </c>
      <c r="I1654">
        <v>0.80837000000000003</v>
      </c>
      <c r="J1654">
        <v>1.08283</v>
      </c>
      <c r="K1654">
        <v>1.1842999999999999</v>
      </c>
      <c r="L1654">
        <v>1.37835</v>
      </c>
      <c r="M1654">
        <v>8.9800000000000001E-3</v>
      </c>
      <c r="N1654">
        <v>1</v>
      </c>
      <c r="P1654">
        <v>1.23705</v>
      </c>
      <c r="Q1654">
        <v>0.92349999999999999</v>
      </c>
      <c r="R1654">
        <v>0.84438000000000002</v>
      </c>
      <c r="S1654">
        <v>0.72550000000000003</v>
      </c>
      <c r="T1654">
        <v>111.315</v>
      </c>
      <c r="U1654">
        <v>1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s="1857" customFormat="1" hidden="1" outlineLevel="1">
      <c r="A1655" s="8">
        <v>44382</v>
      </c>
      <c r="B1655" s="1860">
        <v>3057.5707200000002</v>
      </c>
      <c r="C1655" s="1860">
        <v>4096.2693799999997</v>
      </c>
      <c r="D1655" s="1860">
        <v>4480.2901899999997</v>
      </c>
      <c r="E1655" s="1860">
        <v>5227.98099</v>
      </c>
      <c r="F1655">
        <v>34.04542</v>
      </c>
      <c r="G1655" s="1861">
        <v>3777.17</v>
      </c>
      <c r="I1655">
        <v>0.80947999999999998</v>
      </c>
      <c r="J1655">
        <v>1.0844800000000001</v>
      </c>
      <c r="K1655">
        <v>1.18615</v>
      </c>
      <c r="L1655">
        <v>1.3841000000000001</v>
      </c>
      <c r="M1655">
        <v>9.0100000000000006E-3</v>
      </c>
      <c r="N1655">
        <v>1</v>
      </c>
      <c r="P1655">
        <v>1.2353499999999999</v>
      </c>
      <c r="Q1655">
        <v>0.92210000000000003</v>
      </c>
      <c r="R1655">
        <v>0.84306000000000003</v>
      </c>
      <c r="S1655">
        <v>0.72248999999999997</v>
      </c>
      <c r="T1655">
        <v>110.94499999999999</v>
      </c>
      <c r="U1655">
        <v>1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s="1857" customFormat="1" hidden="1" outlineLevel="1">
      <c r="A1656" s="8">
        <v>44383</v>
      </c>
      <c r="B1656" s="1860">
        <v>3025.7299600000001</v>
      </c>
      <c r="C1656" s="1860">
        <v>4089.1739699999998</v>
      </c>
      <c r="D1656" s="1860">
        <v>4468.3921099999998</v>
      </c>
      <c r="E1656" s="1860">
        <v>5216.0829100000001</v>
      </c>
      <c r="F1656">
        <v>34.162430000000001</v>
      </c>
      <c r="G1656" s="1861">
        <v>3777.17</v>
      </c>
      <c r="I1656">
        <v>0.80105000000000004</v>
      </c>
      <c r="J1656">
        <v>1.0826</v>
      </c>
      <c r="K1656">
        <v>1.1830000000000001</v>
      </c>
      <c r="L1656">
        <v>1.3809499999999999</v>
      </c>
      <c r="M1656">
        <v>9.0399999999999994E-3</v>
      </c>
      <c r="N1656">
        <v>1</v>
      </c>
      <c r="P1656">
        <v>1.2483500000000001</v>
      </c>
      <c r="Q1656">
        <v>0.92369999999999997</v>
      </c>
      <c r="R1656">
        <v>0.84530000000000005</v>
      </c>
      <c r="S1656">
        <v>0.72413000000000005</v>
      </c>
      <c r="T1656">
        <v>110.565</v>
      </c>
      <c r="U1656">
        <v>1</v>
      </c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s="1857" customFormat="1" hidden="1" outlineLevel="1">
      <c r="A1657" s="8">
        <v>44384</v>
      </c>
      <c r="B1657" s="1860">
        <v>3023.8807099999999</v>
      </c>
      <c r="C1657" s="1860">
        <v>4087.3939500000001</v>
      </c>
      <c r="D1657" s="1860">
        <v>4462.8894799999998</v>
      </c>
      <c r="E1657" s="1860">
        <v>5211.0224900000003</v>
      </c>
      <c r="F1657">
        <v>34.179189999999998</v>
      </c>
      <c r="G1657" s="1861">
        <v>3782.27</v>
      </c>
      <c r="I1657">
        <v>0.79947999999999997</v>
      </c>
      <c r="J1657">
        <v>1.08067</v>
      </c>
      <c r="K1657">
        <v>1.1799500000000001</v>
      </c>
      <c r="L1657">
        <v>1.37775</v>
      </c>
      <c r="M1657">
        <v>9.0299999999999998E-3</v>
      </c>
      <c r="N1657">
        <v>1</v>
      </c>
      <c r="P1657">
        <v>1.2507999999999999</v>
      </c>
      <c r="Q1657">
        <v>0.92535000000000001</v>
      </c>
      <c r="R1657">
        <v>0.84748999999999997</v>
      </c>
      <c r="S1657">
        <v>0.72582000000000002</v>
      </c>
      <c r="T1657">
        <v>110.66</v>
      </c>
      <c r="U1657">
        <v>1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s="1857" customFormat="1" hidden="1" outlineLevel="1">
      <c r="A1658" s="8">
        <v>44385</v>
      </c>
      <c r="B1658" s="1860">
        <v>3040.37932</v>
      </c>
      <c r="C1658" s="1860">
        <v>4174.8864599999997</v>
      </c>
      <c r="D1658" s="1860">
        <v>4522.7525400000004</v>
      </c>
      <c r="E1658" s="1860">
        <v>5250.1242400000001</v>
      </c>
      <c r="F1658">
        <v>34.824689999999997</v>
      </c>
      <c r="G1658" s="1861">
        <v>3815.22</v>
      </c>
      <c r="I1658">
        <v>0.79690000000000005</v>
      </c>
      <c r="J1658">
        <v>1.0942700000000001</v>
      </c>
      <c r="K1658">
        <v>1.1854499999999999</v>
      </c>
      <c r="L1658">
        <v>1.3761000000000001</v>
      </c>
      <c r="M1658">
        <v>9.1199999999999996E-3</v>
      </c>
      <c r="N1658">
        <v>1</v>
      </c>
      <c r="P1658">
        <v>1.25485</v>
      </c>
      <c r="Q1658">
        <v>0.91385000000000005</v>
      </c>
      <c r="R1658">
        <v>0.84355999999999998</v>
      </c>
      <c r="S1658">
        <v>0.72668999999999995</v>
      </c>
      <c r="T1658">
        <v>109.55500000000001</v>
      </c>
      <c r="U1658">
        <v>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s="1857" customFormat="1" hidden="1" outlineLevel="1">
      <c r="A1659" s="8">
        <v>44386</v>
      </c>
      <c r="B1659" s="1860">
        <v>3085.9226600000002</v>
      </c>
      <c r="C1659" s="1860">
        <v>4208.8429699999997</v>
      </c>
      <c r="D1659" s="1860">
        <v>4568.3782600000004</v>
      </c>
      <c r="E1659" s="1860">
        <v>5326.5338400000001</v>
      </c>
      <c r="F1659">
        <v>34.959679999999999</v>
      </c>
      <c r="G1659" s="1861">
        <v>3850.46</v>
      </c>
      <c r="I1659">
        <v>0.80144000000000004</v>
      </c>
      <c r="J1659">
        <v>1.09307</v>
      </c>
      <c r="K1659">
        <v>1.18645</v>
      </c>
      <c r="L1659">
        <v>1.3833500000000001</v>
      </c>
      <c r="M1659">
        <v>9.0699999999999999E-3</v>
      </c>
      <c r="N1659">
        <v>1</v>
      </c>
      <c r="P1659">
        <v>1.2477499999999999</v>
      </c>
      <c r="Q1659">
        <v>0.91485000000000005</v>
      </c>
      <c r="R1659">
        <v>0.84284999999999999</v>
      </c>
      <c r="S1659">
        <v>0.72287999999999997</v>
      </c>
      <c r="T1659">
        <v>110.14</v>
      </c>
      <c r="U1659">
        <v>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s="1857" customFormat="1" hidden="1" outlineLevel="1">
      <c r="A1660" s="8">
        <v>44387</v>
      </c>
      <c r="B1660" s="1860">
        <v>3069.0923600000001</v>
      </c>
      <c r="C1660" s="1860">
        <v>4185.8883900000001</v>
      </c>
      <c r="D1660" s="1860">
        <v>4543.46281</v>
      </c>
      <c r="E1660" s="1860">
        <v>5297.4834899999996</v>
      </c>
      <c r="F1660">
        <v>34.769019999999998</v>
      </c>
      <c r="G1660" s="1861">
        <v>3829.46</v>
      </c>
      <c r="I1660">
        <v>0.80144000000000004</v>
      </c>
      <c r="J1660">
        <v>1.09307</v>
      </c>
      <c r="K1660">
        <v>1.18645</v>
      </c>
      <c r="L1660">
        <v>1.3833500000000001</v>
      </c>
      <c r="M1660">
        <v>9.0699999999999999E-3</v>
      </c>
      <c r="N1660">
        <v>1</v>
      </c>
      <c r="P1660">
        <v>1.2477499999999999</v>
      </c>
      <c r="Q1660">
        <v>0.91485000000000005</v>
      </c>
      <c r="R1660">
        <v>0.84284999999999999</v>
      </c>
      <c r="S1660">
        <v>0.72287999999999997</v>
      </c>
      <c r="T1660">
        <v>110.14</v>
      </c>
      <c r="U1660">
        <v>1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s="1857" customFormat="1" hidden="1" outlineLevel="1">
      <c r="A1661" s="8">
        <v>44388</v>
      </c>
      <c r="B1661" s="1860">
        <v>3069.0923600000001</v>
      </c>
      <c r="C1661" s="1860">
        <v>4185.8883900000001</v>
      </c>
      <c r="D1661" s="1860">
        <v>4543.46281</v>
      </c>
      <c r="E1661" s="1860">
        <v>5297.4834899999996</v>
      </c>
      <c r="F1661">
        <v>34.769019999999998</v>
      </c>
      <c r="G1661" s="1861">
        <v>3829.46</v>
      </c>
      <c r="I1661">
        <v>0.80144000000000004</v>
      </c>
      <c r="J1661">
        <v>1.09307</v>
      </c>
      <c r="K1661">
        <v>1.18645</v>
      </c>
      <c r="L1661">
        <v>1.3833500000000001</v>
      </c>
      <c r="M1661">
        <v>9.0699999999999999E-3</v>
      </c>
      <c r="N1661">
        <v>1</v>
      </c>
      <c r="P1661">
        <v>1.2477499999999999</v>
      </c>
      <c r="Q1661">
        <v>0.91485000000000005</v>
      </c>
      <c r="R1661">
        <v>0.84284999999999999</v>
      </c>
      <c r="S1661">
        <v>0.72287999999999997</v>
      </c>
      <c r="T1661">
        <v>110.14</v>
      </c>
      <c r="U1661">
        <v>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s="1857" customFormat="1" hidden="1" outlineLevel="1">
      <c r="A1662" s="8">
        <v>44389</v>
      </c>
      <c r="B1662" s="1860">
        <v>3074.2664399999999</v>
      </c>
      <c r="C1662" s="1860">
        <v>4186.3459899999998</v>
      </c>
      <c r="D1662" s="1860">
        <v>4544.8031199999996</v>
      </c>
      <c r="E1662" s="1860">
        <v>5320.8431899999996</v>
      </c>
      <c r="F1662">
        <v>34.72645</v>
      </c>
      <c r="G1662" s="1861">
        <v>3829.46</v>
      </c>
      <c r="I1662">
        <v>0.80279</v>
      </c>
      <c r="J1662">
        <v>1.0931900000000001</v>
      </c>
      <c r="K1662">
        <v>1.1868000000000001</v>
      </c>
      <c r="L1662">
        <v>1.3894500000000001</v>
      </c>
      <c r="M1662">
        <v>9.0600000000000003E-3</v>
      </c>
      <c r="N1662">
        <v>1</v>
      </c>
      <c r="P1662">
        <v>1.2456499999999999</v>
      </c>
      <c r="Q1662">
        <v>0.91474999999999995</v>
      </c>
      <c r="R1662">
        <v>0.84260000000000002</v>
      </c>
      <c r="S1662">
        <v>0.71970000000000001</v>
      </c>
      <c r="T1662">
        <v>110.27500000000001</v>
      </c>
      <c r="U1662">
        <v>1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s="1857" customFormat="1" hidden="1" outlineLevel="1">
      <c r="A1663" s="8">
        <v>44390</v>
      </c>
      <c r="B1663" s="1860">
        <v>3052.4265599999999</v>
      </c>
      <c r="C1663" s="1860">
        <v>4174.5319499999996</v>
      </c>
      <c r="D1663" s="1860">
        <v>4521.7833899999996</v>
      </c>
      <c r="E1663" s="1860">
        <v>5294.43876</v>
      </c>
      <c r="F1663">
        <v>34.665089999999999</v>
      </c>
      <c r="G1663" s="1861">
        <v>3824.08</v>
      </c>
      <c r="I1663">
        <v>0.79820999999999998</v>
      </c>
      <c r="J1663">
        <v>1.0916399999999999</v>
      </c>
      <c r="K1663">
        <v>1.18245</v>
      </c>
      <c r="L1663">
        <v>1.3845000000000001</v>
      </c>
      <c r="M1663">
        <v>9.0600000000000003E-3</v>
      </c>
      <c r="N1663">
        <v>1</v>
      </c>
      <c r="P1663">
        <v>1.2527999999999999</v>
      </c>
      <c r="Q1663">
        <v>0.91605000000000003</v>
      </c>
      <c r="R1663">
        <v>0.84570000000000001</v>
      </c>
      <c r="S1663">
        <v>0.72228000000000003</v>
      </c>
      <c r="T1663">
        <v>110.315</v>
      </c>
      <c r="U1663">
        <v>1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s="1857" customFormat="1" hidden="1" outlineLevel="1">
      <c r="A1664" s="8">
        <v>44391</v>
      </c>
      <c r="B1664" s="1860">
        <v>3062.33745</v>
      </c>
      <c r="C1664" s="1860">
        <v>4177.5558099999998</v>
      </c>
      <c r="D1664" s="1860">
        <v>4522.9540100000004</v>
      </c>
      <c r="E1664" s="1860">
        <v>5306.3102099999996</v>
      </c>
      <c r="F1664">
        <v>34.761099999999999</v>
      </c>
      <c r="G1664" s="1861">
        <v>3826.85</v>
      </c>
      <c r="I1664">
        <v>0.80022000000000004</v>
      </c>
      <c r="J1664">
        <v>1.0916399999999999</v>
      </c>
      <c r="K1664">
        <v>1.1819</v>
      </c>
      <c r="L1664">
        <v>1.3866000000000001</v>
      </c>
      <c r="M1664">
        <v>9.0799999999999995E-3</v>
      </c>
      <c r="N1664">
        <v>1</v>
      </c>
      <c r="P1664">
        <v>1.2496499999999999</v>
      </c>
      <c r="Q1664">
        <v>0.91605000000000003</v>
      </c>
      <c r="R1664">
        <v>0.84609000000000001</v>
      </c>
      <c r="S1664">
        <v>0.72118000000000004</v>
      </c>
      <c r="T1664">
        <v>110.09</v>
      </c>
      <c r="U1664">
        <v>1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s="1857" customFormat="1" hidden="1" outlineLevel="1">
      <c r="A1665" s="8">
        <v>44392</v>
      </c>
      <c r="B1665" s="1860">
        <v>3025.1185399999999</v>
      </c>
      <c r="C1665" s="1860">
        <v>4135.6030000000001</v>
      </c>
      <c r="D1665" s="1860">
        <v>4486.3853200000003</v>
      </c>
      <c r="E1665" s="1860">
        <v>5263.2510499999999</v>
      </c>
      <c r="F1665">
        <v>34.498750000000001</v>
      </c>
      <c r="G1665" s="1861">
        <v>3796.07</v>
      </c>
      <c r="I1665">
        <v>0.79690000000000005</v>
      </c>
      <c r="J1665">
        <v>1.08944</v>
      </c>
      <c r="K1665">
        <v>1.1818500000000001</v>
      </c>
      <c r="L1665">
        <v>1.3865000000000001</v>
      </c>
      <c r="M1665">
        <v>9.0799999999999995E-3</v>
      </c>
      <c r="N1665">
        <v>1</v>
      </c>
      <c r="P1665">
        <v>1.25485</v>
      </c>
      <c r="Q1665">
        <v>0.91790000000000005</v>
      </c>
      <c r="R1665">
        <v>0.84613000000000005</v>
      </c>
      <c r="S1665">
        <v>0.72123999999999999</v>
      </c>
      <c r="T1665">
        <v>110.035</v>
      </c>
      <c r="U1665">
        <v>1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s="1857" customFormat="1" hidden="1" outlineLevel="1">
      <c r="A1666" s="8">
        <v>44393</v>
      </c>
      <c r="B1666" s="1860">
        <v>3023.19139</v>
      </c>
      <c r="C1666" s="1860">
        <v>4143.4461000000001</v>
      </c>
      <c r="D1666" s="1860">
        <v>4498.13076</v>
      </c>
      <c r="E1666" s="1860">
        <v>5253.2788899999996</v>
      </c>
      <c r="F1666">
        <v>34.594880000000003</v>
      </c>
      <c r="G1666" s="1861">
        <v>3809.07</v>
      </c>
      <c r="I1666">
        <v>0.79368000000000005</v>
      </c>
      <c r="J1666">
        <v>1.08778</v>
      </c>
      <c r="K1666">
        <v>1.1809000000000001</v>
      </c>
      <c r="L1666">
        <v>1.3791500000000001</v>
      </c>
      <c r="M1666">
        <v>9.0799999999999995E-3</v>
      </c>
      <c r="N1666">
        <v>1</v>
      </c>
      <c r="P1666">
        <v>1.2599499999999999</v>
      </c>
      <c r="Q1666">
        <v>0.91930000000000001</v>
      </c>
      <c r="R1666">
        <v>0.84680999999999995</v>
      </c>
      <c r="S1666">
        <v>0.72507999999999995</v>
      </c>
      <c r="T1666">
        <v>110.105</v>
      </c>
      <c r="U1666">
        <v>1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s="1857" customFormat="1" hidden="1" outlineLevel="1">
      <c r="A1667" s="8">
        <v>44394</v>
      </c>
      <c r="B1667" s="1860">
        <v>3022.7072499999999</v>
      </c>
      <c r="C1667" s="1860">
        <v>4142.7825499999999</v>
      </c>
      <c r="D1667" s="1860">
        <v>4497.4104100000004</v>
      </c>
      <c r="E1667" s="1860">
        <v>5252.4376000000002</v>
      </c>
      <c r="F1667">
        <v>34.58934</v>
      </c>
      <c r="G1667" s="1861">
        <v>3808.46</v>
      </c>
      <c r="I1667">
        <v>0.79368000000000005</v>
      </c>
      <c r="J1667">
        <v>1.08778</v>
      </c>
      <c r="K1667">
        <v>1.1809000000000001</v>
      </c>
      <c r="L1667">
        <v>1.3791500000000001</v>
      </c>
      <c r="M1667">
        <v>9.0799999999999995E-3</v>
      </c>
      <c r="N1667">
        <v>1</v>
      </c>
      <c r="P1667">
        <v>1.2599499999999999</v>
      </c>
      <c r="Q1667">
        <v>0.91930000000000001</v>
      </c>
      <c r="R1667">
        <v>0.84680999999999995</v>
      </c>
      <c r="S1667">
        <v>0.72507999999999995</v>
      </c>
      <c r="T1667">
        <v>110.105</v>
      </c>
      <c r="U1667">
        <v>1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s="1857" customFormat="1" hidden="1" outlineLevel="1">
      <c r="A1668" s="8">
        <v>44395</v>
      </c>
      <c r="B1668" s="1860">
        <v>3022.7072499999999</v>
      </c>
      <c r="C1668" s="1860">
        <v>4142.7825499999999</v>
      </c>
      <c r="D1668" s="1860">
        <v>4497.4104100000004</v>
      </c>
      <c r="E1668" s="1860">
        <v>5252.4376000000002</v>
      </c>
      <c r="F1668">
        <v>34.58934</v>
      </c>
      <c r="G1668" s="1861">
        <v>3808.46</v>
      </c>
      <c r="I1668">
        <v>0.79368000000000005</v>
      </c>
      <c r="J1668">
        <v>1.08778</v>
      </c>
      <c r="K1668">
        <v>1.1809000000000001</v>
      </c>
      <c r="L1668">
        <v>1.3791500000000001</v>
      </c>
      <c r="M1668">
        <v>9.0799999999999995E-3</v>
      </c>
      <c r="N1668">
        <v>1</v>
      </c>
      <c r="P1668">
        <v>1.2599499999999999</v>
      </c>
      <c r="Q1668">
        <v>0.91930000000000001</v>
      </c>
      <c r="R1668">
        <v>0.84680999999999995</v>
      </c>
      <c r="S1668">
        <v>0.72507999999999995</v>
      </c>
      <c r="T1668">
        <v>110.105</v>
      </c>
      <c r="U1668">
        <v>1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s="1857" customFormat="1" hidden="1" outlineLevel="1">
      <c r="A1669" s="8">
        <v>44396</v>
      </c>
      <c r="B1669" s="1860">
        <v>2980.3654499999998</v>
      </c>
      <c r="C1669" s="1860">
        <v>4148.1973600000001</v>
      </c>
      <c r="D1669" s="1860">
        <v>4496.0774499999998</v>
      </c>
      <c r="E1669" s="1860">
        <v>5206.16482</v>
      </c>
      <c r="F1669">
        <v>34.8202</v>
      </c>
      <c r="G1669" s="1861">
        <v>3808.46</v>
      </c>
      <c r="I1669">
        <v>0.78256000000000003</v>
      </c>
      <c r="J1669">
        <v>1.0891999999999999</v>
      </c>
      <c r="K1669">
        <v>1.18055</v>
      </c>
      <c r="L1669">
        <v>1.367</v>
      </c>
      <c r="M1669">
        <v>9.1400000000000006E-3</v>
      </c>
      <c r="N1669">
        <v>1</v>
      </c>
      <c r="P1669">
        <v>1.2778499999999999</v>
      </c>
      <c r="Q1669">
        <v>0.91810000000000003</v>
      </c>
      <c r="R1669">
        <v>0.84706000000000004</v>
      </c>
      <c r="S1669">
        <v>0.73151999999999995</v>
      </c>
      <c r="T1669">
        <v>109.375</v>
      </c>
      <c r="U1669">
        <v>1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idden="1" outlineLevel="1">
      <c r="A1670" s="8">
        <v>44397</v>
      </c>
      <c r="B1670" s="1860">
        <v>3016.2232100000001</v>
      </c>
      <c r="C1670" s="1860">
        <v>4164.6924900000004</v>
      </c>
      <c r="D1670" s="1860">
        <v>4520.2934599999999</v>
      </c>
      <c r="E1670" s="1860">
        <v>5230.8586100000002</v>
      </c>
      <c r="F1670">
        <v>34.956740000000003</v>
      </c>
      <c r="G1670" s="1861">
        <v>3842.97</v>
      </c>
      <c r="I1670">
        <v>0.78486</v>
      </c>
      <c r="J1670">
        <v>1.08371</v>
      </c>
      <c r="K1670">
        <v>1.17625</v>
      </c>
      <c r="L1670">
        <v>1.3611500000000001</v>
      </c>
      <c r="M1670">
        <v>9.0900000000000009E-3</v>
      </c>
      <c r="N1670">
        <v>1</v>
      </c>
      <c r="P1670">
        <v>1.2741</v>
      </c>
      <c r="Q1670">
        <v>0.92274999999999996</v>
      </c>
      <c r="R1670">
        <v>0.85014999999999996</v>
      </c>
      <c r="S1670">
        <v>0.73467000000000005</v>
      </c>
      <c r="T1670">
        <v>109.935</v>
      </c>
      <c r="U1670">
        <v>1</v>
      </c>
    </row>
    <row r="1671" spans="1:35" hidden="1" outlineLevel="1">
      <c r="A1671" s="8">
        <v>44398</v>
      </c>
      <c r="B1671" s="1860">
        <v>3053.9754400000002</v>
      </c>
      <c r="C1671" s="1860">
        <v>4181.9141399999999</v>
      </c>
      <c r="D1671" s="1860">
        <v>4530.2851799999999</v>
      </c>
      <c r="E1671" s="1860">
        <v>5255.0693199999996</v>
      </c>
      <c r="F1671">
        <v>34.830010000000001</v>
      </c>
      <c r="G1671" s="1861">
        <v>3842.97</v>
      </c>
      <c r="I1671">
        <v>0.79469000000000001</v>
      </c>
      <c r="J1671">
        <v>1.08819</v>
      </c>
      <c r="K1671">
        <v>1.17885</v>
      </c>
      <c r="L1671">
        <v>1.3674500000000001</v>
      </c>
      <c r="M1671">
        <v>9.0600000000000003E-3</v>
      </c>
      <c r="N1671">
        <v>1</v>
      </c>
      <c r="P1671">
        <v>1.2583500000000001</v>
      </c>
      <c r="Q1671">
        <v>0.91895000000000004</v>
      </c>
      <c r="R1671">
        <v>0.84828000000000003</v>
      </c>
      <c r="S1671">
        <v>0.73128000000000004</v>
      </c>
      <c r="T1671">
        <v>110.33499999999999</v>
      </c>
      <c r="U1671">
        <v>1</v>
      </c>
    </row>
    <row r="1672" spans="1:35" hidden="1" outlineLevel="1">
      <c r="A1672" s="8">
        <v>44399</v>
      </c>
      <c r="B1672" s="1860">
        <v>3067.3667399999999</v>
      </c>
      <c r="C1672" s="1860">
        <v>4198.4864100000004</v>
      </c>
      <c r="D1672" s="1860">
        <v>4546.8106399999997</v>
      </c>
      <c r="E1672" s="1860">
        <v>5304.2589699999999</v>
      </c>
      <c r="F1672">
        <v>35.008670000000002</v>
      </c>
      <c r="G1672" s="1861">
        <v>3855.68</v>
      </c>
      <c r="I1672">
        <v>0.79554000000000002</v>
      </c>
      <c r="J1672">
        <v>1.0889</v>
      </c>
      <c r="K1672">
        <v>1.1792499999999999</v>
      </c>
      <c r="L1672">
        <v>1.3756999999999999</v>
      </c>
      <c r="M1672">
        <v>9.0699999999999999E-3</v>
      </c>
      <c r="N1672">
        <v>1</v>
      </c>
      <c r="P1672">
        <v>1.2569999999999999</v>
      </c>
      <c r="Q1672">
        <v>0.91835</v>
      </c>
      <c r="R1672">
        <v>0.84799000000000002</v>
      </c>
      <c r="S1672">
        <v>0.72689999999999999</v>
      </c>
      <c r="T1672">
        <v>110.13500000000001</v>
      </c>
      <c r="U1672">
        <v>1</v>
      </c>
    </row>
    <row r="1673" spans="1:35" hidden="1" outlineLevel="1">
      <c r="A1673" s="8">
        <v>44400</v>
      </c>
      <c r="B1673" s="1860">
        <v>3071.74008</v>
      </c>
      <c r="C1673" s="1860">
        <v>4199.4569899999997</v>
      </c>
      <c r="D1673" s="1860">
        <v>4548.00738</v>
      </c>
      <c r="E1673" s="1860">
        <v>5317.5125200000002</v>
      </c>
      <c r="F1673">
        <v>34.972050000000003</v>
      </c>
      <c r="G1673" s="1861">
        <v>3866.86</v>
      </c>
      <c r="I1673">
        <v>0.79437000000000002</v>
      </c>
      <c r="J1673">
        <v>1.0860099999999999</v>
      </c>
      <c r="K1673">
        <v>1.17615</v>
      </c>
      <c r="L1673">
        <v>1.3751500000000001</v>
      </c>
      <c r="M1673">
        <v>9.0399999999999994E-3</v>
      </c>
      <c r="N1673">
        <v>1</v>
      </c>
      <c r="P1673">
        <v>1.25885</v>
      </c>
      <c r="Q1673">
        <v>0.92079999999999995</v>
      </c>
      <c r="R1673">
        <v>0.85023000000000004</v>
      </c>
      <c r="S1673">
        <v>0.72719</v>
      </c>
      <c r="T1673">
        <v>110.57</v>
      </c>
      <c r="U1673">
        <v>1</v>
      </c>
    </row>
    <row r="1674" spans="1:35" hidden="1" outlineLevel="1">
      <c r="A1674" s="8">
        <v>44401</v>
      </c>
      <c r="B1674" s="1860">
        <v>3077.7614400000002</v>
      </c>
      <c r="C1674" s="1860">
        <v>4207.6889600000004</v>
      </c>
      <c r="D1674" s="1860">
        <v>4556.9225999999999</v>
      </c>
      <c r="E1674" s="1860">
        <v>5327.9361600000002</v>
      </c>
      <c r="F1674">
        <v>35.040599999999998</v>
      </c>
      <c r="G1674" s="1861">
        <v>3874.44</v>
      </c>
      <c r="I1674">
        <v>0.79437000000000002</v>
      </c>
      <c r="J1674">
        <v>1.0860099999999999</v>
      </c>
      <c r="K1674">
        <v>1.17615</v>
      </c>
      <c r="L1674">
        <v>1.3751500000000001</v>
      </c>
      <c r="M1674">
        <v>9.0399999999999994E-3</v>
      </c>
      <c r="N1674">
        <v>1</v>
      </c>
      <c r="P1674">
        <v>1.25885</v>
      </c>
      <c r="Q1674">
        <v>0.92079999999999995</v>
      </c>
      <c r="R1674">
        <v>0.85023000000000004</v>
      </c>
      <c r="S1674">
        <v>0.72719</v>
      </c>
      <c r="T1674">
        <v>110.57</v>
      </c>
      <c r="U1674">
        <v>1</v>
      </c>
    </row>
    <row r="1675" spans="1:35" hidden="1" outlineLevel="1">
      <c r="A1675" s="8">
        <v>44402</v>
      </c>
      <c r="B1675" s="1860">
        <v>3077.7614400000002</v>
      </c>
      <c r="C1675" s="1860">
        <v>4207.6889600000004</v>
      </c>
      <c r="D1675" s="1860">
        <v>4556.9225999999999</v>
      </c>
      <c r="E1675" s="1860">
        <v>5327.9361600000002</v>
      </c>
      <c r="F1675">
        <v>35.040599999999998</v>
      </c>
      <c r="G1675" s="1861">
        <v>3874.44</v>
      </c>
      <c r="I1675">
        <v>0.79437000000000002</v>
      </c>
      <c r="J1675">
        <v>1.0860099999999999</v>
      </c>
      <c r="K1675">
        <v>1.17615</v>
      </c>
      <c r="L1675">
        <v>1.3751500000000001</v>
      </c>
      <c r="M1675">
        <v>9.0399999999999994E-3</v>
      </c>
      <c r="N1675">
        <v>1</v>
      </c>
      <c r="P1675">
        <v>1.25885</v>
      </c>
      <c r="Q1675">
        <v>0.92079999999999995</v>
      </c>
      <c r="R1675">
        <v>0.85023000000000004</v>
      </c>
      <c r="S1675">
        <v>0.72719</v>
      </c>
      <c r="T1675">
        <v>110.57</v>
      </c>
      <c r="U1675">
        <v>1</v>
      </c>
    </row>
    <row r="1676" spans="1:35" hidden="1" outlineLevel="1">
      <c r="A1676" s="8">
        <v>44403</v>
      </c>
      <c r="B1676" s="1860">
        <v>3090.03469</v>
      </c>
      <c r="C1676" s="1860">
        <v>4228.5838999999996</v>
      </c>
      <c r="D1676" s="1860">
        <v>4574.9387500000003</v>
      </c>
      <c r="E1676" s="1860">
        <v>5355.2509600000003</v>
      </c>
      <c r="F1676">
        <v>35.124789999999997</v>
      </c>
      <c r="G1676" s="1861">
        <v>3874.44</v>
      </c>
      <c r="I1676">
        <v>0.79754000000000003</v>
      </c>
      <c r="J1676">
        <v>1.0913999999999999</v>
      </c>
      <c r="K1676">
        <v>1.1808000000000001</v>
      </c>
      <c r="L1676">
        <v>1.3822000000000001</v>
      </c>
      <c r="M1676">
        <v>9.0600000000000003E-3</v>
      </c>
      <c r="N1676">
        <v>1</v>
      </c>
      <c r="P1676">
        <v>1.2538499999999999</v>
      </c>
      <c r="Q1676">
        <v>0.91625000000000001</v>
      </c>
      <c r="R1676">
        <v>0.84687999999999997</v>
      </c>
      <c r="S1676">
        <v>0.72348000000000001</v>
      </c>
      <c r="T1676">
        <v>110.30500000000001</v>
      </c>
      <c r="U1676">
        <v>1</v>
      </c>
    </row>
    <row r="1677" spans="1:35" hidden="1" outlineLevel="1">
      <c r="A1677" s="8">
        <v>44404</v>
      </c>
      <c r="B1677" s="1860">
        <v>3106.9313999999999</v>
      </c>
      <c r="C1677" s="1860">
        <v>4270.3527400000003</v>
      </c>
      <c r="D1677" s="1860">
        <v>4616.8762299999999</v>
      </c>
      <c r="E1677" s="1860">
        <v>5419.9639999999999</v>
      </c>
      <c r="F1677">
        <v>35.555480000000003</v>
      </c>
      <c r="G1677" s="1861">
        <v>3904.17</v>
      </c>
      <c r="I1677">
        <v>0.79579</v>
      </c>
      <c r="J1677">
        <v>1.09379</v>
      </c>
      <c r="K1677">
        <v>1.18255</v>
      </c>
      <c r="L1677">
        <v>1.38825</v>
      </c>
      <c r="M1677">
        <v>9.1000000000000004E-3</v>
      </c>
      <c r="N1677">
        <v>1</v>
      </c>
      <c r="P1677">
        <v>1.2565999999999999</v>
      </c>
      <c r="Q1677">
        <v>0.91425000000000001</v>
      </c>
      <c r="R1677">
        <v>0.84562999999999999</v>
      </c>
      <c r="S1677">
        <v>0.72033000000000003</v>
      </c>
      <c r="T1677">
        <v>109.80500000000001</v>
      </c>
      <c r="U1677">
        <v>1</v>
      </c>
    </row>
    <row r="1678" spans="1:35" hidden="1" outlineLevel="1">
      <c r="A1678" s="8">
        <v>44405</v>
      </c>
      <c r="B1678" s="1860">
        <v>3115.47604</v>
      </c>
      <c r="C1678" s="1860">
        <v>4286.2502699999995</v>
      </c>
      <c r="D1678" s="1860">
        <v>4623.6222699999998</v>
      </c>
      <c r="E1678" s="1860">
        <v>5434.5537800000002</v>
      </c>
      <c r="F1678">
        <v>35.587040000000002</v>
      </c>
      <c r="G1678" s="1861">
        <v>3918.49</v>
      </c>
      <c r="I1678">
        <v>0.79507000000000005</v>
      </c>
      <c r="J1678">
        <v>1.09385</v>
      </c>
      <c r="K1678">
        <v>1.1799500000000001</v>
      </c>
      <c r="L1678">
        <v>1.3869</v>
      </c>
      <c r="M1678">
        <v>9.0799999999999995E-3</v>
      </c>
      <c r="N1678">
        <v>1</v>
      </c>
      <c r="P1678">
        <v>1.2577499999999999</v>
      </c>
      <c r="Q1678">
        <v>0.91420000000000001</v>
      </c>
      <c r="R1678">
        <v>0.84748999999999997</v>
      </c>
      <c r="S1678">
        <v>0.72102999999999995</v>
      </c>
      <c r="T1678">
        <v>110.11</v>
      </c>
      <c r="U1678">
        <v>1</v>
      </c>
    </row>
    <row r="1679" spans="1:35" hidden="1" outlineLevel="1">
      <c r="A1679" s="8">
        <v>44406</v>
      </c>
      <c r="B1679" s="1860">
        <v>3135.0365499999998</v>
      </c>
      <c r="C1679" s="1860">
        <v>4307.0419400000001</v>
      </c>
      <c r="D1679" s="1860">
        <v>4637.5458200000003</v>
      </c>
      <c r="E1679" s="1860">
        <v>5453.4916499999999</v>
      </c>
      <c r="F1679">
        <v>35.597329999999999</v>
      </c>
      <c r="G1679" s="1861">
        <v>3902.18</v>
      </c>
      <c r="I1679">
        <v>0.8034</v>
      </c>
      <c r="J1679">
        <v>1.10375</v>
      </c>
      <c r="K1679">
        <v>1.18845</v>
      </c>
      <c r="L1679">
        <v>1.3975500000000001</v>
      </c>
      <c r="M1679">
        <v>9.1199999999999996E-3</v>
      </c>
      <c r="N1679">
        <v>1</v>
      </c>
      <c r="P1679">
        <v>1.2446999999999999</v>
      </c>
      <c r="Q1679">
        <v>0.90600000000000003</v>
      </c>
      <c r="R1679">
        <v>0.84143000000000001</v>
      </c>
      <c r="S1679">
        <v>0.71553</v>
      </c>
      <c r="T1679">
        <v>109.62</v>
      </c>
      <c r="U1679">
        <v>1</v>
      </c>
    </row>
    <row r="1680" spans="1:35" hidden="1" outlineLevel="1">
      <c r="A1680" s="8">
        <v>44407</v>
      </c>
      <c r="B1680" s="1860">
        <v>3073.61717</v>
      </c>
      <c r="C1680" s="1860">
        <v>4233.64228</v>
      </c>
      <c r="D1680" s="1860">
        <v>4549.8553099999999</v>
      </c>
      <c r="E1680" s="1860">
        <v>5334.7034299999996</v>
      </c>
      <c r="F1680">
        <v>34.960819999999998</v>
      </c>
      <c r="G1680" s="1861">
        <v>3836.95</v>
      </c>
      <c r="I1680">
        <v>0.80105000000000004</v>
      </c>
      <c r="J1680">
        <v>1.10338</v>
      </c>
      <c r="K1680">
        <v>1.1858</v>
      </c>
      <c r="L1680">
        <v>1.39035</v>
      </c>
      <c r="M1680">
        <v>9.11E-3</v>
      </c>
      <c r="N1680">
        <v>1</v>
      </c>
      <c r="P1680">
        <v>1.2483500000000001</v>
      </c>
      <c r="Q1680">
        <v>0.90629999999999999</v>
      </c>
      <c r="R1680">
        <v>0.84331</v>
      </c>
      <c r="S1680">
        <v>0.71923999999999999</v>
      </c>
      <c r="T1680">
        <v>109.75</v>
      </c>
      <c r="U1680">
        <v>1</v>
      </c>
    </row>
    <row r="1681" spans="1:35" ht="15.75" hidden="1" outlineLevel="1" thickBot="1">
      <c r="A1681" s="1868">
        <v>44408</v>
      </c>
      <c r="B1681" s="1869">
        <v>3098.3938699999999</v>
      </c>
      <c r="C1681" s="1869">
        <v>4267.7700500000001</v>
      </c>
      <c r="D1681" s="1869">
        <v>4586.5321000000004</v>
      </c>
      <c r="E1681" s="1869">
        <v>5377.7069499999998</v>
      </c>
      <c r="F1681" s="1870">
        <v>35.242640000000002</v>
      </c>
      <c r="G1681" s="1871">
        <v>3867.88</v>
      </c>
      <c r="H1681" s="1872"/>
      <c r="I1681" s="1870">
        <v>0.80105000000000004</v>
      </c>
      <c r="J1681" s="1870">
        <v>1.10338</v>
      </c>
      <c r="K1681" s="1870">
        <v>1.1858</v>
      </c>
      <c r="L1681" s="1870">
        <v>1.39035</v>
      </c>
      <c r="M1681" s="1870">
        <v>9.11E-3</v>
      </c>
      <c r="N1681" s="1870">
        <v>1</v>
      </c>
      <c r="O1681" s="1872"/>
      <c r="P1681" s="1870">
        <v>1.2483500000000001</v>
      </c>
      <c r="Q1681" s="1870">
        <v>0.90629999999999999</v>
      </c>
      <c r="R1681" s="1870">
        <v>0.84331</v>
      </c>
      <c r="S1681" s="1870">
        <v>0.71923999999999999</v>
      </c>
      <c r="T1681" s="1870">
        <v>109.75</v>
      </c>
      <c r="U1681" s="1870">
        <v>1</v>
      </c>
      <c r="V1681" s="1872"/>
    </row>
    <row r="1682" spans="1:35" hidden="1" outlineLevel="1">
      <c r="A1682" s="8">
        <v>44409</v>
      </c>
      <c r="B1682" s="1860">
        <v>3098.3938699999999</v>
      </c>
      <c r="C1682" s="1860">
        <v>4267.7700500000001</v>
      </c>
      <c r="D1682" s="1860">
        <v>4586.5321000000004</v>
      </c>
      <c r="E1682" s="1860">
        <v>5377.7069499999998</v>
      </c>
      <c r="F1682">
        <v>35.242640000000002</v>
      </c>
      <c r="G1682" s="1861">
        <v>3867.88</v>
      </c>
      <c r="I1682">
        <v>0.80105000000000004</v>
      </c>
      <c r="J1682">
        <v>1.10338</v>
      </c>
      <c r="K1682">
        <v>1.1858</v>
      </c>
      <c r="L1682">
        <v>1.39035</v>
      </c>
      <c r="M1682">
        <v>9.11E-3</v>
      </c>
      <c r="N1682">
        <v>1</v>
      </c>
      <c r="P1682">
        <v>1.2483500000000001</v>
      </c>
      <c r="Q1682">
        <v>0.90629999999999999</v>
      </c>
      <c r="R1682">
        <v>0.84331</v>
      </c>
      <c r="S1682">
        <v>0.71923999999999999</v>
      </c>
      <c r="T1682">
        <v>109.75</v>
      </c>
      <c r="U1682">
        <v>1</v>
      </c>
    </row>
    <row r="1683" spans="1:35" hidden="1" outlineLevel="1">
      <c r="A1683" s="8">
        <v>44410</v>
      </c>
      <c r="B1683" s="1860">
        <v>3096.9054000000001</v>
      </c>
      <c r="C1683" s="1860">
        <v>4277.9184800000003</v>
      </c>
      <c r="D1683" s="1860">
        <v>4595.6216199999999</v>
      </c>
      <c r="E1683" s="1860">
        <v>5375.5796200000004</v>
      </c>
      <c r="F1683">
        <v>35.399070000000002</v>
      </c>
      <c r="G1683" s="1861">
        <v>3867.88</v>
      </c>
      <c r="I1683">
        <v>0.80066999999999999</v>
      </c>
      <c r="J1683">
        <v>1.1060099999999999</v>
      </c>
      <c r="K1683">
        <v>1.18815</v>
      </c>
      <c r="L1683">
        <v>1.3897999999999999</v>
      </c>
      <c r="M1683">
        <v>9.1500000000000001E-3</v>
      </c>
      <c r="N1683">
        <v>1</v>
      </c>
      <c r="P1683">
        <v>1.24895</v>
      </c>
      <c r="Q1683">
        <v>0.90415000000000001</v>
      </c>
      <c r="R1683">
        <v>0.84164000000000005</v>
      </c>
      <c r="S1683">
        <v>0.71952000000000005</v>
      </c>
      <c r="T1683">
        <v>109.265</v>
      </c>
      <c r="U1683">
        <v>1</v>
      </c>
    </row>
    <row r="1684" spans="1:35" hidden="1" outlineLevel="1">
      <c r="A1684" s="8">
        <v>44411</v>
      </c>
      <c r="B1684" s="1860">
        <v>3074.5356900000002</v>
      </c>
      <c r="C1684" s="1860">
        <v>4275.2419300000001</v>
      </c>
      <c r="D1684" s="1860">
        <v>4584.2422800000004</v>
      </c>
      <c r="E1684" s="1860">
        <v>5370.8633900000004</v>
      </c>
      <c r="F1684">
        <v>35.480829999999997</v>
      </c>
      <c r="G1684" s="1861">
        <v>3865.46</v>
      </c>
      <c r="I1684">
        <v>0.79537999999999998</v>
      </c>
      <c r="J1684">
        <v>1.1060099999999999</v>
      </c>
      <c r="K1684">
        <v>1.1859500000000001</v>
      </c>
      <c r="L1684">
        <v>1.3894500000000001</v>
      </c>
      <c r="M1684">
        <v>9.1699999999999993E-3</v>
      </c>
      <c r="N1684">
        <v>1</v>
      </c>
      <c r="P1684">
        <v>1.25725</v>
      </c>
      <c r="Q1684">
        <v>0.90415000000000001</v>
      </c>
      <c r="R1684">
        <v>0.84319999999999995</v>
      </c>
      <c r="S1684">
        <v>0.71970000000000001</v>
      </c>
      <c r="T1684">
        <v>108.94499999999999</v>
      </c>
      <c r="U1684">
        <v>1</v>
      </c>
    </row>
    <row r="1685" spans="1:35" hidden="1" outlineLevel="1">
      <c r="A1685" s="8">
        <v>44412</v>
      </c>
      <c r="B1685" s="1860">
        <v>3121.1340599999999</v>
      </c>
      <c r="C1685" s="1860">
        <v>4317.01505</v>
      </c>
      <c r="D1685" s="1860">
        <v>4636.0387099999998</v>
      </c>
      <c r="E1685" s="1860">
        <v>5443.6080099999999</v>
      </c>
      <c r="F1685">
        <v>35.7226</v>
      </c>
      <c r="G1685" s="1861">
        <v>3913.59</v>
      </c>
      <c r="I1685">
        <v>0.79751000000000005</v>
      </c>
      <c r="J1685">
        <v>1.1030800000000001</v>
      </c>
      <c r="K1685">
        <v>1.1846000000000001</v>
      </c>
      <c r="L1685">
        <v>1.3909499999999999</v>
      </c>
      <c r="M1685">
        <v>9.1199999999999996E-3</v>
      </c>
      <c r="N1685">
        <v>1</v>
      </c>
      <c r="P1685">
        <v>1.2539</v>
      </c>
      <c r="Q1685">
        <v>0.90654999999999997</v>
      </c>
      <c r="R1685">
        <v>0.84416000000000002</v>
      </c>
      <c r="S1685">
        <v>0.71892999999999996</v>
      </c>
      <c r="T1685">
        <v>109.55500000000001</v>
      </c>
      <c r="U1685">
        <v>1</v>
      </c>
    </row>
    <row r="1686" spans="1:35" s="1857" customFormat="1" hidden="1" outlineLevel="1">
      <c r="A1686" s="8">
        <v>44413</v>
      </c>
      <c r="B1686" s="1860">
        <v>3134.1025599999998</v>
      </c>
      <c r="C1686" s="1860">
        <v>4313.3656799999999</v>
      </c>
      <c r="D1686" s="1860">
        <v>4630.46353</v>
      </c>
      <c r="E1686" s="1860">
        <v>5449.6978799999997</v>
      </c>
      <c r="F1686">
        <v>35.655050000000003</v>
      </c>
      <c r="G1686" s="1861">
        <v>3911.36</v>
      </c>
      <c r="I1686">
        <v>0.80127999999999999</v>
      </c>
      <c r="J1686">
        <v>1.10277</v>
      </c>
      <c r="K1686">
        <v>1.1838500000000001</v>
      </c>
      <c r="L1686">
        <v>1.3933</v>
      </c>
      <c r="M1686">
        <v>9.11E-3</v>
      </c>
      <c r="N1686">
        <v>1</v>
      </c>
      <c r="P1686">
        <v>1.248</v>
      </c>
      <c r="Q1686">
        <v>0.90680000000000005</v>
      </c>
      <c r="R1686">
        <v>0.84470000000000001</v>
      </c>
      <c r="S1686">
        <v>0.71772000000000002</v>
      </c>
      <c r="T1686">
        <v>109.7</v>
      </c>
      <c r="U1686">
        <v>1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s="1857" customFormat="1" hidden="1" outlineLevel="1">
      <c r="A1687" s="8">
        <v>44414</v>
      </c>
      <c r="B1687" s="1860">
        <v>3109.6171399999998</v>
      </c>
      <c r="C1687" s="1860">
        <v>4275.2773900000002</v>
      </c>
      <c r="D1687" s="1860">
        <v>4599.1125599999996</v>
      </c>
      <c r="E1687" s="1860">
        <v>5422.5335999999998</v>
      </c>
      <c r="F1687">
        <v>35.448079999999997</v>
      </c>
      <c r="G1687" s="1861">
        <v>3910.81</v>
      </c>
      <c r="I1687">
        <v>0.79513</v>
      </c>
      <c r="J1687">
        <v>1.0931900000000001</v>
      </c>
      <c r="K1687">
        <v>1.1759999999999999</v>
      </c>
      <c r="L1687">
        <v>1.3865499999999999</v>
      </c>
      <c r="M1687">
        <v>9.0600000000000003E-3</v>
      </c>
      <c r="N1687">
        <v>1</v>
      </c>
      <c r="P1687">
        <v>1.2576499999999999</v>
      </c>
      <c r="Q1687">
        <v>0.91474999999999995</v>
      </c>
      <c r="R1687">
        <v>0.85033999999999998</v>
      </c>
      <c r="S1687">
        <v>0.72121000000000002</v>
      </c>
      <c r="T1687">
        <v>110.325</v>
      </c>
      <c r="U1687">
        <v>1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s="1857" customFormat="1" hidden="1" outlineLevel="1">
      <c r="A1688" s="8">
        <v>44415</v>
      </c>
      <c r="B1688" s="1860">
        <v>3140.2456900000002</v>
      </c>
      <c r="C1688" s="1860">
        <v>4317.3872600000004</v>
      </c>
      <c r="D1688" s="1860">
        <v>4644.4120800000001</v>
      </c>
      <c r="E1688" s="1860">
        <v>5475.9435100000001</v>
      </c>
      <c r="F1688">
        <v>35.797229999999999</v>
      </c>
      <c r="G1688" s="1861">
        <v>3949.33</v>
      </c>
      <c r="I1688">
        <v>0.79513</v>
      </c>
      <c r="J1688">
        <v>1.0931900000000001</v>
      </c>
      <c r="K1688">
        <v>1.1759999999999999</v>
      </c>
      <c r="L1688">
        <v>1.3865499999999999</v>
      </c>
      <c r="M1688">
        <v>9.0600000000000003E-3</v>
      </c>
      <c r="N1688">
        <v>1</v>
      </c>
      <c r="P1688">
        <v>1.2576499999999999</v>
      </c>
      <c r="Q1688">
        <v>0.91474999999999995</v>
      </c>
      <c r="R1688">
        <v>0.85033999999999998</v>
      </c>
      <c r="S1688">
        <v>0.72121000000000002</v>
      </c>
      <c r="T1688">
        <v>110.325</v>
      </c>
      <c r="U1688">
        <v>1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s="1857" customFormat="1" hidden="1" outlineLevel="1">
      <c r="A1689" s="8">
        <v>44416</v>
      </c>
      <c r="B1689" s="1860">
        <v>3140.2456900000002</v>
      </c>
      <c r="C1689" s="1860">
        <v>4317.3872600000004</v>
      </c>
      <c r="D1689" s="1860">
        <v>4644.4120800000001</v>
      </c>
      <c r="E1689" s="1860">
        <v>5475.9435100000001</v>
      </c>
      <c r="F1689">
        <v>35.797229999999999</v>
      </c>
      <c r="G1689" s="1861">
        <v>3949.33</v>
      </c>
      <c r="I1689">
        <v>0.79513</v>
      </c>
      <c r="J1689">
        <v>1.0931900000000001</v>
      </c>
      <c r="K1689">
        <v>1.1759999999999999</v>
      </c>
      <c r="L1689">
        <v>1.3865499999999999</v>
      </c>
      <c r="M1689">
        <v>9.0600000000000003E-3</v>
      </c>
      <c r="N1689">
        <v>1</v>
      </c>
      <c r="P1689">
        <v>1.2576499999999999</v>
      </c>
      <c r="Q1689">
        <v>0.91474999999999995</v>
      </c>
      <c r="R1689">
        <v>0.85033999999999998</v>
      </c>
      <c r="S1689">
        <v>0.72121000000000002</v>
      </c>
      <c r="T1689">
        <v>110.325</v>
      </c>
      <c r="U1689">
        <v>1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s="1857" customFormat="1" hidden="1" outlineLevel="1">
      <c r="A1690" s="8">
        <v>44417</v>
      </c>
      <c r="B1690" s="1860">
        <v>3138.2494299999998</v>
      </c>
      <c r="C1690" s="1860">
        <v>4294.8507399999999</v>
      </c>
      <c r="D1690" s="1860">
        <v>4638.29061</v>
      </c>
      <c r="E1690" s="1860">
        <v>5469.0321800000002</v>
      </c>
      <c r="F1690">
        <v>35.808590000000002</v>
      </c>
      <c r="G1690" s="1861">
        <v>3949.33</v>
      </c>
      <c r="I1690">
        <v>0.79461999999999999</v>
      </c>
      <c r="J1690">
        <v>1.08748</v>
      </c>
      <c r="K1690">
        <v>1.17445</v>
      </c>
      <c r="L1690">
        <v>1.3848</v>
      </c>
      <c r="M1690">
        <v>9.0600000000000003E-3</v>
      </c>
      <c r="N1690">
        <v>1</v>
      </c>
      <c r="P1690">
        <v>1.2584500000000001</v>
      </c>
      <c r="Q1690">
        <v>0.91954999999999998</v>
      </c>
      <c r="R1690">
        <v>0.85145999999999999</v>
      </c>
      <c r="S1690">
        <v>0.72211999999999998</v>
      </c>
      <c r="T1690">
        <v>110.29</v>
      </c>
      <c r="U1690">
        <v>1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s="1857" customFormat="1" hidden="1" outlineLevel="1">
      <c r="A1691" s="8">
        <v>44418</v>
      </c>
      <c r="B1691" s="1860">
        <v>3184.12039</v>
      </c>
      <c r="C1691" s="1860">
        <v>4323.0935900000004</v>
      </c>
      <c r="D1691" s="1860">
        <v>4674.0530200000003</v>
      </c>
      <c r="E1691" s="1860">
        <v>5522.7568799999999</v>
      </c>
      <c r="F1691">
        <v>36.076610000000002</v>
      </c>
      <c r="G1691" s="1861">
        <v>3988.27</v>
      </c>
      <c r="I1691">
        <v>0.79837000000000002</v>
      </c>
      <c r="J1691">
        <v>1.08395</v>
      </c>
      <c r="K1691">
        <v>1.17195</v>
      </c>
      <c r="L1691">
        <v>1.3847499999999999</v>
      </c>
      <c r="M1691">
        <v>9.0399999999999994E-3</v>
      </c>
      <c r="N1691">
        <v>1</v>
      </c>
      <c r="P1691">
        <v>1.2525500000000001</v>
      </c>
      <c r="Q1691">
        <v>0.92254999999999998</v>
      </c>
      <c r="R1691">
        <v>0.85326999999999997</v>
      </c>
      <c r="S1691">
        <v>0.72214999999999996</v>
      </c>
      <c r="T1691">
        <v>110.55</v>
      </c>
      <c r="U1691">
        <v>1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s="1857" customFormat="1" hidden="1" outlineLevel="1">
      <c r="A1692" s="8">
        <v>44419</v>
      </c>
      <c r="B1692" s="1860">
        <v>3182.94877</v>
      </c>
      <c r="C1692" s="1860">
        <v>4319.0623400000004</v>
      </c>
      <c r="D1692" s="1860">
        <v>4671.8872199999996</v>
      </c>
      <c r="E1692" s="1860">
        <v>5518.98765</v>
      </c>
      <c r="F1692">
        <v>36.026069999999997</v>
      </c>
      <c r="G1692" s="1861">
        <v>3979.8</v>
      </c>
      <c r="I1692">
        <v>0.79976999999999998</v>
      </c>
      <c r="J1692">
        <v>1.08524</v>
      </c>
      <c r="K1692">
        <v>1.1738999999999999</v>
      </c>
      <c r="L1692">
        <v>1.3867499999999999</v>
      </c>
      <c r="M1692">
        <v>9.0500000000000008E-3</v>
      </c>
      <c r="N1692">
        <v>1</v>
      </c>
      <c r="P1692">
        <v>1.2503500000000001</v>
      </c>
      <c r="Q1692">
        <v>0.92144999999999999</v>
      </c>
      <c r="R1692">
        <v>0.85185999999999995</v>
      </c>
      <c r="S1692">
        <v>0.72111000000000003</v>
      </c>
      <c r="T1692">
        <v>110.47</v>
      </c>
      <c r="U1692">
        <v>1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s="1857" customFormat="1" hidden="1" outlineLevel="1">
      <c r="A1693" s="8">
        <v>44420</v>
      </c>
      <c r="B1693" s="1860">
        <v>3155.1695199999999</v>
      </c>
      <c r="C1693" s="1860">
        <v>4277.44031</v>
      </c>
      <c r="D1693" s="1860">
        <v>4633.6568600000001</v>
      </c>
      <c r="E1693" s="1860">
        <v>5465.2223800000002</v>
      </c>
      <c r="F1693">
        <v>35.797469999999997</v>
      </c>
      <c r="G1693" s="1861">
        <v>3950.43</v>
      </c>
      <c r="I1693">
        <v>0.79869000000000001</v>
      </c>
      <c r="J1693">
        <v>1.08277</v>
      </c>
      <c r="K1693">
        <v>1.1729499999999999</v>
      </c>
      <c r="L1693">
        <v>1.3834500000000001</v>
      </c>
      <c r="M1693">
        <v>9.0600000000000003E-3</v>
      </c>
      <c r="N1693">
        <v>1</v>
      </c>
      <c r="P1693">
        <v>1.2520500000000001</v>
      </c>
      <c r="Q1693">
        <v>0.92354999999999998</v>
      </c>
      <c r="R1693">
        <v>0.85255000000000003</v>
      </c>
      <c r="S1693">
        <v>0.72282999999999997</v>
      </c>
      <c r="T1693">
        <v>110.355</v>
      </c>
      <c r="U1693">
        <v>1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s="1857" customFormat="1" hidden="1" outlineLevel="1">
      <c r="A1694" s="8">
        <v>44421</v>
      </c>
      <c r="B1694" s="1860">
        <v>3107.5428700000002</v>
      </c>
      <c r="C1694" s="1860">
        <v>4242.8314099999998</v>
      </c>
      <c r="D1694" s="1860">
        <v>4584.0216499999997</v>
      </c>
      <c r="E1694" s="1860">
        <v>5385.1467700000003</v>
      </c>
      <c r="F1694">
        <v>35.380420000000001</v>
      </c>
      <c r="G1694" s="1861">
        <v>3887.07</v>
      </c>
      <c r="I1694">
        <v>0.79944999999999999</v>
      </c>
      <c r="J1694">
        <v>1.09152</v>
      </c>
      <c r="K1694">
        <v>1.1793</v>
      </c>
      <c r="L1694">
        <v>1.3854</v>
      </c>
      <c r="M1694">
        <v>9.1000000000000004E-3</v>
      </c>
      <c r="N1694">
        <v>1</v>
      </c>
      <c r="P1694">
        <v>1.25085</v>
      </c>
      <c r="Q1694">
        <v>0.91615000000000002</v>
      </c>
      <c r="R1694">
        <v>0.84796000000000005</v>
      </c>
      <c r="S1694">
        <v>0.72180999999999995</v>
      </c>
      <c r="T1694">
        <v>109.86499999999999</v>
      </c>
      <c r="U1694">
        <v>1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s="1857" customFormat="1" hidden="1" outlineLevel="1">
      <c r="A1695" s="8">
        <v>44422</v>
      </c>
      <c r="B1695" s="1860">
        <v>3062.1177499999999</v>
      </c>
      <c r="C1695" s="1860">
        <v>4180.8109999999997</v>
      </c>
      <c r="D1695" s="1860">
        <v>4517.0138200000001</v>
      </c>
      <c r="E1695" s="1860">
        <v>5306.4283500000001</v>
      </c>
      <c r="F1695">
        <v>34.863239999999998</v>
      </c>
      <c r="G1695" s="1861">
        <v>3830.25</v>
      </c>
      <c r="I1695">
        <v>0.79944999999999999</v>
      </c>
      <c r="J1695">
        <v>1.09152</v>
      </c>
      <c r="K1695">
        <v>1.1793</v>
      </c>
      <c r="L1695">
        <v>1.3854</v>
      </c>
      <c r="M1695">
        <v>9.1000000000000004E-3</v>
      </c>
      <c r="N1695">
        <v>1</v>
      </c>
      <c r="P1695">
        <v>1.25085</v>
      </c>
      <c r="Q1695">
        <v>0.91615000000000002</v>
      </c>
      <c r="R1695">
        <v>0.84796000000000005</v>
      </c>
      <c r="S1695">
        <v>0.72180999999999995</v>
      </c>
      <c r="T1695">
        <v>109.86499999999999</v>
      </c>
      <c r="U1695">
        <v>1</v>
      </c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s="1857" customFormat="1" hidden="1" outlineLevel="1">
      <c r="A1696" s="8">
        <v>44423</v>
      </c>
      <c r="B1696" s="1860">
        <v>3062.1177499999999</v>
      </c>
      <c r="C1696" s="1860">
        <v>4180.8109999999997</v>
      </c>
      <c r="D1696" s="1860">
        <v>4517.0138200000001</v>
      </c>
      <c r="E1696" s="1860">
        <v>5306.4283500000001</v>
      </c>
      <c r="F1696">
        <v>34.863239999999998</v>
      </c>
      <c r="G1696" s="1861">
        <v>3830.25</v>
      </c>
      <c r="I1696">
        <v>0.79944999999999999</v>
      </c>
      <c r="J1696">
        <v>1.09152</v>
      </c>
      <c r="K1696">
        <v>1.1793</v>
      </c>
      <c r="L1696">
        <v>1.3854</v>
      </c>
      <c r="M1696">
        <v>9.1000000000000004E-3</v>
      </c>
      <c r="N1696">
        <v>1</v>
      </c>
      <c r="P1696">
        <v>1.25085</v>
      </c>
      <c r="Q1696">
        <v>0.91615000000000002</v>
      </c>
      <c r="R1696">
        <v>0.84796000000000005</v>
      </c>
      <c r="S1696">
        <v>0.72180999999999995</v>
      </c>
      <c r="T1696">
        <v>109.86499999999999</v>
      </c>
      <c r="U1696">
        <v>1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s="1857" customFormat="1" hidden="1" outlineLevel="1">
      <c r="A1697" s="8">
        <v>44424</v>
      </c>
      <c r="B1697" s="1860">
        <v>3045.3190199999999</v>
      </c>
      <c r="C1697" s="1860">
        <v>4203.7534900000001</v>
      </c>
      <c r="D1697" s="1860">
        <v>4515.2902100000001</v>
      </c>
      <c r="E1697" s="1860">
        <v>5308.9180100000003</v>
      </c>
      <c r="F1697">
        <v>35.093220000000002</v>
      </c>
      <c r="G1697" s="1861">
        <v>3830.25</v>
      </c>
      <c r="I1697">
        <v>0.79507000000000005</v>
      </c>
      <c r="J1697">
        <v>1.09751</v>
      </c>
      <c r="K1697">
        <v>1.17885</v>
      </c>
      <c r="L1697">
        <v>1.38605</v>
      </c>
      <c r="M1697">
        <v>9.1599999999999997E-3</v>
      </c>
      <c r="N1697">
        <v>1</v>
      </c>
      <c r="P1697">
        <v>1.2577499999999999</v>
      </c>
      <c r="Q1697">
        <v>0.91115000000000002</v>
      </c>
      <c r="R1697">
        <v>0.84828000000000003</v>
      </c>
      <c r="S1697">
        <v>0.72146999999999994</v>
      </c>
      <c r="T1697">
        <v>109.145</v>
      </c>
      <c r="U1697">
        <v>1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s="1857" customFormat="1" hidden="1" outlineLevel="1">
      <c r="A1698" s="8">
        <v>44425</v>
      </c>
      <c r="B1698" s="1860">
        <v>3032.6603300000002</v>
      </c>
      <c r="C1698" s="1860">
        <v>4188.1252999999997</v>
      </c>
      <c r="D1698" s="1860">
        <v>4487.7124100000001</v>
      </c>
      <c r="E1698" s="1860">
        <v>5261.9974499999998</v>
      </c>
      <c r="F1698">
        <v>34.94753</v>
      </c>
      <c r="G1698" s="1861">
        <v>3830.25</v>
      </c>
      <c r="I1698">
        <v>0.79176000000000002</v>
      </c>
      <c r="J1698">
        <v>1.0934299999999999</v>
      </c>
      <c r="K1698">
        <v>1.1716500000000001</v>
      </c>
      <c r="L1698">
        <v>1.3737999999999999</v>
      </c>
      <c r="M1698">
        <v>9.1199999999999996E-3</v>
      </c>
      <c r="N1698">
        <v>1</v>
      </c>
      <c r="P1698">
        <v>1.2629999999999999</v>
      </c>
      <c r="Q1698">
        <v>0.91454999999999997</v>
      </c>
      <c r="R1698">
        <v>0.85348999999999997</v>
      </c>
      <c r="S1698">
        <v>0.72789999999999999</v>
      </c>
      <c r="T1698">
        <v>109.6</v>
      </c>
      <c r="U1698">
        <v>1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s="1857" customFormat="1" hidden="1" outlineLevel="1">
      <c r="A1699" s="8">
        <v>44426</v>
      </c>
      <c r="B1699" s="1860">
        <v>3063.6017999999999</v>
      </c>
      <c r="C1699" s="1860">
        <v>4215.1021499999997</v>
      </c>
      <c r="D1699" s="1860">
        <v>4530.48837</v>
      </c>
      <c r="E1699" s="1860">
        <v>5321.7716300000002</v>
      </c>
      <c r="F1699">
        <v>35.200960000000002</v>
      </c>
      <c r="G1699" s="1861">
        <v>3868.41</v>
      </c>
      <c r="I1699">
        <v>0.79195000000000004</v>
      </c>
      <c r="J1699">
        <v>1.08962</v>
      </c>
      <c r="K1699">
        <v>1.1711499999999999</v>
      </c>
      <c r="L1699">
        <v>1.3756999999999999</v>
      </c>
      <c r="M1699">
        <v>9.0900000000000009E-3</v>
      </c>
      <c r="N1699">
        <v>1</v>
      </c>
      <c r="P1699">
        <v>1.2626999999999999</v>
      </c>
      <c r="Q1699">
        <v>0.91774999999999995</v>
      </c>
      <c r="R1699">
        <v>0.85385999999999995</v>
      </c>
      <c r="S1699">
        <v>0.72689999999999999</v>
      </c>
      <c r="T1699">
        <v>109.895</v>
      </c>
      <c r="U1699">
        <v>1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s="1857" customFormat="1" hidden="1" outlineLevel="1">
      <c r="A1700" s="8">
        <v>44427</v>
      </c>
      <c r="B1700" s="1860">
        <v>3013.4857699999998</v>
      </c>
      <c r="C1700" s="1860">
        <v>4206.0127400000001</v>
      </c>
      <c r="D1700" s="1860">
        <v>4510.9987700000001</v>
      </c>
      <c r="E1700" s="1860">
        <v>5274.9629100000002</v>
      </c>
      <c r="F1700">
        <v>35.19097</v>
      </c>
      <c r="G1700" s="1861">
        <v>3861.33</v>
      </c>
      <c r="I1700">
        <v>0.78042</v>
      </c>
      <c r="J1700">
        <v>1.0892599999999999</v>
      </c>
      <c r="K1700">
        <v>1.16825</v>
      </c>
      <c r="L1700">
        <v>1.3661000000000001</v>
      </c>
      <c r="M1700">
        <v>9.11E-3</v>
      </c>
      <c r="N1700">
        <v>1</v>
      </c>
      <c r="P1700">
        <v>1.28135</v>
      </c>
      <c r="Q1700">
        <v>0.91805000000000003</v>
      </c>
      <c r="R1700">
        <v>0.85597999999999996</v>
      </c>
      <c r="S1700">
        <v>0.73201000000000005</v>
      </c>
      <c r="T1700">
        <v>109.72499999999999</v>
      </c>
      <c r="U1700">
        <v>1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s="1857" customFormat="1" hidden="1" outlineLevel="1">
      <c r="A1701" s="8">
        <v>44428</v>
      </c>
      <c r="B1701" s="1860">
        <v>3011.6001700000002</v>
      </c>
      <c r="C1701" s="1860">
        <v>4222.3093600000002</v>
      </c>
      <c r="D1701" s="1860">
        <v>4527.0676299999996</v>
      </c>
      <c r="E1701" s="1860">
        <v>5277.2829199999996</v>
      </c>
      <c r="F1701">
        <v>35.299660000000003</v>
      </c>
      <c r="G1701" s="1861">
        <v>3876.08</v>
      </c>
      <c r="I1701">
        <v>0.77697000000000005</v>
      </c>
      <c r="J1701">
        <v>1.0893200000000001</v>
      </c>
      <c r="K1701">
        <v>1.16795</v>
      </c>
      <c r="L1701">
        <v>1.3614999999999999</v>
      </c>
      <c r="M1701">
        <v>9.1000000000000004E-3</v>
      </c>
      <c r="N1701">
        <v>1</v>
      </c>
      <c r="P1701">
        <v>1.28705</v>
      </c>
      <c r="Q1701">
        <v>0.91800000000000004</v>
      </c>
      <c r="R1701">
        <v>0.85619999999999996</v>
      </c>
      <c r="S1701">
        <v>0.73448000000000002</v>
      </c>
      <c r="T1701">
        <v>109.80500000000001</v>
      </c>
      <c r="U1701">
        <v>1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idden="1" outlineLevel="1">
      <c r="A1702" s="8">
        <v>44429</v>
      </c>
      <c r="B1702" s="1860">
        <v>3010.72219</v>
      </c>
      <c r="C1702" s="1860">
        <v>4221.0784299999996</v>
      </c>
      <c r="D1702" s="1860">
        <v>4525.7478499999997</v>
      </c>
      <c r="E1702" s="1860">
        <v>5275.74442</v>
      </c>
      <c r="F1702">
        <v>35.289369999999998</v>
      </c>
      <c r="G1702" s="1861">
        <v>3874.95</v>
      </c>
      <c r="I1702">
        <v>0.77697000000000005</v>
      </c>
      <c r="J1702">
        <v>1.0893200000000001</v>
      </c>
      <c r="K1702">
        <v>1.16795</v>
      </c>
      <c r="L1702">
        <v>1.3614999999999999</v>
      </c>
      <c r="M1702">
        <v>9.1000000000000004E-3</v>
      </c>
      <c r="N1702">
        <v>1</v>
      </c>
      <c r="P1702">
        <v>1.28705</v>
      </c>
      <c r="Q1702">
        <v>0.91800000000000004</v>
      </c>
      <c r="R1702">
        <v>0.85619999999999996</v>
      </c>
      <c r="S1702">
        <v>0.73448000000000002</v>
      </c>
      <c r="T1702">
        <v>109.80500000000001</v>
      </c>
      <c r="U1702">
        <v>1</v>
      </c>
    </row>
    <row r="1703" spans="1:35" hidden="1" outlineLevel="1">
      <c r="A1703" s="8">
        <v>44430</v>
      </c>
      <c r="B1703" s="1860">
        <v>3010.72219</v>
      </c>
      <c r="C1703" s="1860">
        <v>4221.0784299999996</v>
      </c>
      <c r="D1703" s="1860">
        <v>4525.7478499999997</v>
      </c>
      <c r="E1703" s="1860">
        <v>5275.74442</v>
      </c>
      <c r="F1703">
        <v>35.289369999999998</v>
      </c>
      <c r="G1703" s="1861">
        <v>3874.95</v>
      </c>
      <c r="I1703">
        <v>0.77697000000000005</v>
      </c>
      <c r="J1703">
        <v>1.0893200000000001</v>
      </c>
      <c r="K1703">
        <v>1.16795</v>
      </c>
      <c r="L1703">
        <v>1.3614999999999999</v>
      </c>
      <c r="M1703">
        <v>9.1000000000000004E-3</v>
      </c>
      <c r="N1703">
        <v>1</v>
      </c>
      <c r="P1703">
        <v>1.28705</v>
      </c>
      <c r="Q1703">
        <v>0.91800000000000004</v>
      </c>
      <c r="R1703">
        <v>0.85619999999999996</v>
      </c>
      <c r="S1703">
        <v>0.73448000000000002</v>
      </c>
      <c r="T1703">
        <v>109.80500000000001</v>
      </c>
      <c r="U1703">
        <v>1</v>
      </c>
    </row>
    <row r="1704" spans="1:35" hidden="1" outlineLevel="1">
      <c r="A1704" s="8">
        <v>44431</v>
      </c>
      <c r="B1704" s="1860">
        <v>3054.6293000000001</v>
      </c>
      <c r="C1704" s="1860">
        <v>4243.4977799999997</v>
      </c>
      <c r="D1704" s="1860">
        <v>4549.1913000000004</v>
      </c>
      <c r="E1704" s="1860">
        <v>5316.0438999999997</v>
      </c>
      <c r="F1704">
        <v>35.308669999999999</v>
      </c>
      <c r="G1704" s="1861">
        <v>3874.95</v>
      </c>
      <c r="I1704">
        <v>0.7883</v>
      </c>
      <c r="J1704">
        <v>1.09511</v>
      </c>
      <c r="K1704">
        <v>1.1739999999999999</v>
      </c>
      <c r="L1704">
        <v>1.3718999999999999</v>
      </c>
      <c r="M1704">
        <v>9.11E-3</v>
      </c>
      <c r="N1704">
        <v>1</v>
      </c>
      <c r="P1704">
        <v>1.2685500000000001</v>
      </c>
      <c r="Q1704">
        <v>0.91315000000000002</v>
      </c>
      <c r="R1704">
        <v>0.85177999999999998</v>
      </c>
      <c r="S1704">
        <v>0.72890999999999995</v>
      </c>
      <c r="T1704">
        <v>109.745</v>
      </c>
      <c r="U1704">
        <v>1</v>
      </c>
    </row>
    <row r="1705" spans="1:35" hidden="1" outlineLevel="1">
      <c r="A1705" s="8">
        <v>44432</v>
      </c>
      <c r="B1705" s="1860">
        <v>3072.7973299999999</v>
      </c>
      <c r="C1705" s="1860">
        <v>4241.6296499999999</v>
      </c>
      <c r="D1705" s="1860">
        <v>4548.6438600000001</v>
      </c>
      <c r="E1705" s="1860">
        <v>5310.39329</v>
      </c>
      <c r="F1705">
        <v>35.258940000000003</v>
      </c>
      <c r="G1705" s="1861">
        <v>3867.73</v>
      </c>
      <c r="I1705">
        <v>0.79447000000000001</v>
      </c>
      <c r="J1705">
        <v>1.09667</v>
      </c>
      <c r="K1705">
        <v>1.17605</v>
      </c>
      <c r="L1705">
        <v>1.373</v>
      </c>
      <c r="M1705">
        <v>9.11E-3</v>
      </c>
      <c r="N1705">
        <v>1</v>
      </c>
      <c r="P1705">
        <v>1.2586999999999999</v>
      </c>
      <c r="Q1705">
        <v>0.91185000000000005</v>
      </c>
      <c r="R1705">
        <v>0.85029999999999994</v>
      </c>
      <c r="S1705">
        <v>0.72833000000000003</v>
      </c>
      <c r="T1705">
        <v>109.69499999999999</v>
      </c>
      <c r="U1705">
        <v>1</v>
      </c>
    </row>
    <row r="1706" spans="1:35" hidden="1" outlineLevel="1">
      <c r="A1706" s="8">
        <v>44433</v>
      </c>
      <c r="B1706" s="1860">
        <v>3058.0670700000001</v>
      </c>
      <c r="C1706" s="1860">
        <v>4222.7106199999998</v>
      </c>
      <c r="D1706" s="1860">
        <v>4538.2882799999998</v>
      </c>
      <c r="E1706" s="1860">
        <v>5302.9405200000001</v>
      </c>
      <c r="F1706">
        <v>35.07611</v>
      </c>
      <c r="G1706" s="1861">
        <v>3861.88</v>
      </c>
      <c r="I1706">
        <v>0.79185000000000005</v>
      </c>
      <c r="J1706">
        <v>1.0934299999999999</v>
      </c>
      <c r="K1706">
        <v>1.1751499999999999</v>
      </c>
      <c r="L1706">
        <v>1.3731500000000001</v>
      </c>
      <c r="M1706">
        <v>9.0799999999999995E-3</v>
      </c>
      <c r="N1706">
        <v>1</v>
      </c>
      <c r="P1706">
        <v>1.26285</v>
      </c>
      <c r="Q1706">
        <v>0.91454999999999997</v>
      </c>
      <c r="R1706">
        <v>0.85094999999999998</v>
      </c>
      <c r="S1706">
        <v>0.72824999999999995</v>
      </c>
      <c r="T1706">
        <v>110.1</v>
      </c>
      <c r="U1706">
        <v>1</v>
      </c>
    </row>
    <row r="1707" spans="1:35" hidden="1" outlineLevel="1">
      <c r="A1707" s="8">
        <v>44434</v>
      </c>
      <c r="B1707" s="1860">
        <v>3056.4548599999998</v>
      </c>
      <c r="C1707" s="1860">
        <v>4209.3661499999998</v>
      </c>
      <c r="D1707" s="1860">
        <v>4543.1612599999999</v>
      </c>
      <c r="E1707" s="1860">
        <v>5301.0956100000003</v>
      </c>
      <c r="F1707">
        <v>35.120759999999997</v>
      </c>
      <c r="G1707" s="1861">
        <v>3865.04</v>
      </c>
      <c r="I1707">
        <v>0.79078999999999999</v>
      </c>
      <c r="J1707">
        <v>1.08908</v>
      </c>
      <c r="K1707">
        <v>1.1754500000000001</v>
      </c>
      <c r="L1707">
        <v>1.37155</v>
      </c>
      <c r="M1707">
        <v>9.0799999999999995E-3</v>
      </c>
      <c r="N1707">
        <v>1</v>
      </c>
      <c r="P1707">
        <v>1.2645500000000001</v>
      </c>
      <c r="Q1707">
        <v>0.91820000000000002</v>
      </c>
      <c r="R1707">
        <v>0.85072999999999999</v>
      </c>
      <c r="S1707">
        <v>0.72909999999999997</v>
      </c>
      <c r="T1707">
        <v>110.05</v>
      </c>
      <c r="U1707">
        <v>1</v>
      </c>
    </row>
    <row r="1708" spans="1:35" hidden="1" outlineLevel="1">
      <c r="A1708" s="8">
        <v>44435</v>
      </c>
      <c r="B1708" s="1860">
        <v>3064.8269799999998</v>
      </c>
      <c r="C1708" s="1860">
        <v>4237.3091000000004</v>
      </c>
      <c r="D1708" s="1860">
        <v>4561.8537999999999</v>
      </c>
      <c r="E1708" s="1860">
        <v>5319.5178699999997</v>
      </c>
      <c r="F1708">
        <v>35.194989999999997</v>
      </c>
      <c r="G1708" s="1861">
        <v>3870.57</v>
      </c>
      <c r="I1708">
        <v>0.79181999999999997</v>
      </c>
      <c r="J1708">
        <v>1.0947499999999999</v>
      </c>
      <c r="K1708">
        <v>1.1786000000000001</v>
      </c>
      <c r="L1708">
        <v>1.37435</v>
      </c>
      <c r="M1708">
        <v>9.0900000000000009E-3</v>
      </c>
      <c r="N1708">
        <v>1</v>
      </c>
      <c r="P1708">
        <v>1.2628999999999999</v>
      </c>
      <c r="Q1708">
        <v>0.91344999999999998</v>
      </c>
      <c r="R1708">
        <v>0.84845999999999999</v>
      </c>
      <c r="S1708">
        <v>0.72760999999999998</v>
      </c>
      <c r="T1708">
        <v>109.97499999999999</v>
      </c>
      <c r="U1708">
        <v>1</v>
      </c>
    </row>
    <row r="1709" spans="1:35" hidden="1" outlineLevel="1">
      <c r="A1709" s="8">
        <v>44436</v>
      </c>
      <c r="B1709" s="1860">
        <v>3035.9727600000001</v>
      </c>
      <c r="C1709" s="1860">
        <v>4197.4163799999997</v>
      </c>
      <c r="D1709" s="1860">
        <v>4518.9056099999998</v>
      </c>
      <c r="E1709" s="1860">
        <v>5269.4365600000001</v>
      </c>
      <c r="F1709">
        <v>34.86365</v>
      </c>
      <c r="G1709" s="1861">
        <v>3834.13</v>
      </c>
      <c r="I1709">
        <v>0.79181999999999997</v>
      </c>
      <c r="J1709">
        <v>1.0947499999999999</v>
      </c>
      <c r="K1709">
        <v>1.1786000000000001</v>
      </c>
      <c r="L1709">
        <v>1.37435</v>
      </c>
      <c r="M1709">
        <v>9.0900000000000009E-3</v>
      </c>
      <c r="N1709">
        <v>1</v>
      </c>
      <c r="P1709">
        <v>1.2628999999999999</v>
      </c>
      <c r="Q1709">
        <v>0.91344999999999998</v>
      </c>
      <c r="R1709">
        <v>0.84845999999999999</v>
      </c>
      <c r="S1709">
        <v>0.72760999999999998</v>
      </c>
      <c r="T1709">
        <v>109.97499999999999</v>
      </c>
      <c r="U1709">
        <v>1</v>
      </c>
    </row>
    <row r="1710" spans="1:35" hidden="1" outlineLevel="1">
      <c r="A1710" s="8">
        <v>44437</v>
      </c>
      <c r="B1710" s="1860">
        <v>3035.9727600000001</v>
      </c>
      <c r="C1710" s="1860">
        <v>4197.4163799999997</v>
      </c>
      <c r="D1710" s="1860">
        <v>4518.9056099999998</v>
      </c>
      <c r="E1710" s="1860">
        <v>5269.4365600000001</v>
      </c>
      <c r="F1710">
        <v>34.86365</v>
      </c>
      <c r="G1710" s="1861">
        <v>3834.13</v>
      </c>
      <c r="I1710">
        <v>0.79181999999999997</v>
      </c>
      <c r="J1710">
        <v>1.0947499999999999</v>
      </c>
      <c r="K1710">
        <v>1.1786000000000001</v>
      </c>
      <c r="L1710">
        <v>1.37435</v>
      </c>
      <c r="M1710">
        <v>9.0900000000000009E-3</v>
      </c>
      <c r="N1710">
        <v>1</v>
      </c>
      <c r="P1710">
        <v>1.2628999999999999</v>
      </c>
      <c r="Q1710">
        <v>0.91344999999999998</v>
      </c>
      <c r="R1710">
        <v>0.84845999999999999</v>
      </c>
      <c r="S1710">
        <v>0.72760999999999998</v>
      </c>
      <c r="T1710">
        <v>109.97499999999999</v>
      </c>
      <c r="U1710">
        <v>1</v>
      </c>
    </row>
    <row r="1711" spans="1:35" hidden="1" outlineLevel="1">
      <c r="A1711" s="8">
        <v>44438</v>
      </c>
      <c r="B1711" s="1860">
        <v>3045.7401500000001</v>
      </c>
      <c r="C1711" s="1860">
        <v>4185.5029699999996</v>
      </c>
      <c r="D1711" s="1860">
        <v>4523.8899799999999</v>
      </c>
      <c r="E1711" s="1860">
        <v>5274.8043399999997</v>
      </c>
      <c r="F1711">
        <v>34.885849999999998</v>
      </c>
      <c r="G1711" s="1861">
        <v>3834.13</v>
      </c>
      <c r="I1711">
        <v>0.79437000000000002</v>
      </c>
      <c r="J1711">
        <v>1.0916399999999999</v>
      </c>
      <c r="K1711">
        <v>1.1798999999999999</v>
      </c>
      <c r="L1711">
        <v>1.37575</v>
      </c>
      <c r="M1711">
        <v>9.0900000000000009E-3</v>
      </c>
      <c r="N1711">
        <v>1</v>
      </c>
      <c r="P1711">
        <v>1.25885</v>
      </c>
      <c r="Q1711">
        <v>0.91605000000000003</v>
      </c>
      <c r="R1711">
        <v>0.84752000000000005</v>
      </c>
      <c r="S1711">
        <v>0.72687000000000002</v>
      </c>
      <c r="T1711">
        <v>109.905</v>
      </c>
      <c r="U1711">
        <v>1</v>
      </c>
    </row>
    <row r="1712" spans="1:35" ht="15.75" hidden="1" outlineLevel="1" thickBot="1">
      <c r="A1712" s="1868">
        <v>44439</v>
      </c>
      <c r="B1712" s="1869">
        <v>3012.5984199999998</v>
      </c>
      <c r="C1712" s="1869">
        <v>4155.7447700000002</v>
      </c>
      <c r="D1712" s="1869">
        <v>4493.8196900000003</v>
      </c>
      <c r="E1712" s="1869">
        <v>5239.2048299999997</v>
      </c>
      <c r="F1712" s="1870">
        <v>34.652009999999997</v>
      </c>
      <c r="G1712" s="1871">
        <v>3806.87</v>
      </c>
      <c r="H1712" s="1872"/>
      <c r="I1712" s="1870">
        <v>0.79135</v>
      </c>
      <c r="J1712" s="1870">
        <v>1.0916399999999999</v>
      </c>
      <c r="K1712" s="1870">
        <v>1.18045</v>
      </c>
      <c r="L1712" s="1870">
        <v>1.37625</v>
      </c>
      <c r="M1712" s="1870">
        <v>9.1000000000000004E-3</v>
      </c>
      <c r="N1712" s="1870">
        <v>1</v>
      </c>
      <c r="O1712" s="1872"/>
      <c r="P1712" s="1870">
        <v>1.2636499999999999</v>
      </c>
      <c r="Q1712" s="1870">
        <v>0.91605000000000003</v>
      </c>
      <c r="R1712" s="1870">
        <v>0.84713000000000005</v>
      </c>
      <c r="S1712" s="1870">
        <v>0.72660999999999998</v>
      </c>
      <c r="T1712" s="1870">
        <v>109.86</v>
      </c>
      <c r="U1712" s="1870">
        <v>1</v>
      </c>
      <c r="V1712" s="1872"/>
    </row>
    <row r="1713" spans="1:35" hidden="1" outlineLevel="1">
      <c r="A1713" s="8">
        <v>44440</v>
      </c>
      <c r="B1713" s="1860">
        <v>2992.6254800000002</v>
      </c>
      <c r="C1713" s="1860">
        <v>4127.5222800000001</v>
      </c>
      <c r="D1713" s="1860">
        <v>4473.6995999999999</v>
      </c>
      <c r="E1713" s="1860">
        <v>5202.8364000000001</v>
      </c>
      <c r="F1713">
        <v>34.30753</v>
      </c>
      <c r="G1713" s="1861">
        <v>3774</v>
      </c>
      <c r="I1713">
        <v>0.79295000000000004</v>
      </c>
      <c r="J1713">
        <v>1.0936699999999999</v>
      </c>
      <c r="K1713">
        <v>1.1854</v>
      </c>
      <c r="L1713">
        <v>1.3786</v>
      </c>
      <c r="M1713">
        <v>9.0900000000000009E-3</v>
      </c>
      <c r="N1713">
        <v>1</v>
      </c>
      <c r="P1713">
        <v>1.2611000000000001</v>
      </c>
      <c r="Q1713">
        <v>0.91435</v>
      </c>
      <c r="R1713">
        <v>0.84358999999999995</v>
      </c>
      <c r="S1713">
        <v>0.72536999999999996</v>
      </c>
      <c r="T1713">
        <v>110.005</v>
      </c>
      <c r="U1713">
        <v>1</v>
      </c>
    </row>
    <row r="1714" spans="1:35" hidden="1" outlineLevel="1">
      <c r="A1714" s="8">
        <v>44441</v>
      </c>
      <c r="B1714" s="1860">
        <v>2987.5825799999998</v>
      </c>
      <c r="C1714" s="1860">
        <v>4105.1077299999997</v>
      </c>
      <c r="D1714" s="1860">
        <v>4454.2287699999997</v>
      </c>
      <c r="E1714" s="1860">
        <v>5192.3152200000004</v>
      </c>
      <c r="F1714">
        <v>34.128660000000004</v>
      </c>
      <c r="G1714" s="1861">
        <v>3753.3</v>
      </c>
      <c r="I1714">
        <v>0.79598000000000002</v>
      </c>
      <c r="J1714">
        <v>1.0937300000000001</v>
      </c>
      <c r="K1714">
        <v>1.18675</v>
      </c>
      <c r="L1714">
        <v>1.3834</v>
      </c>
      <c r="M1714">
        <v>9.0900000000000009E-3</v>
      </c>
      <c r="N1714">
        <v>1</v>
      </c>
      <c r="P1714">
        <v>1.2563</v>
      </c>
      <c r="Q1714">
        <v>0.9143</v>
      </c>
      <c r="R1714">
        <v>0.84262999999999999</v>
      </c>
      <c r="S1714">
        <v>0.72284999999999999</v>
      </c>
      <c r="T1714">
        <v>109.97499999999999</v>
      </c>
      <c r="U1714">
        <v>1</v>
      </c>
    </row>
    <row r="1715" spans="1:35" hidden="1" outlineLevel="1">
      <c r="A1715" s="8">
        <v>44442</v>
      </c>
      <c r="B1715" s="1860">
        <v>3021.5376000000001</v>
      </c>
      <c r="C1715" s="1860">
        <v>4139.0880699999998</v>
      </c>
      <c r="D1715" s="1860">
        <v>4492.0278799999996</v>
      </c>
      <c r="E1715" s="1860">
        <v>5244.7951199999998</v>
      </c>
      <c r="F1715">
        <v>34.476349999999996</v>
      </c>
      <c r="G1715" s="1861">
        <v>3780.85</v>
      </c>
      <c r="I1715">
        <v>0.79915999999999998</v>
      </c>
      <c r="J1715">
        <v>1.0947499999999999</v>
      </c>
      <c r="K1715">
        <v>1.1880999999999999</v>
      </c>
      <c r="L1715">
        <v>1.3872</v>
      </c>
      <c r="M1715">
        <v>9.11E-3</v>
      </c>
      <c r="N1715">
        <v>1</v>
      </c>
      <c r="P1715">
        <v>1.2513000000000001</v>
      </c>
      <c r="Q1715">
        <v>0.91344999999999998</v>
      </c>
      <c r="R1715">
        <v>0.84167000000000003</v>
      </c>
      <c r="S1715">
        <v>0.72087000000000001</v>
      </c>
      <c r="T1715">
        <v>109.66500000000001</v>
      </c>
      <c r="U1715">
        <v>1</v>
      </c>
    </row>
    <row r="1716" spans="1:35" hidden="1" outlineLevel="1">
      <c r="A1716" s="8">
        <v>44443</v>
      </c>
      <c r="B1716" s="1860">
        <v>3028.8819600000002</v>
      </c>
      <c r="C1716" s="1860">
        <v>4149.1488300000001</v>
      </c>
      <c r="D1716" s="1860">
        <v>4502.9465200000004</v>
      </c>
      <c r="E1716" s="1860">
        <v>5257.5434800000003</v>
      </c>
      <c r="F1716">
        <v>34.560160000000003</v>
      </c>
      <c r="G1716" s="1861">
        <v>3790.04</v>
      </c>
      <c r="I1716">
        <v>0.79915999999999998</v>
      </c>
      <c r="J1716">
        <v>1.0947499999999999</v>
      </c>
      <c r="K1716">
        <v>1.1880999999999999</v>
      </c>
      <c r="L1716">
        <v>1.3872</v>
      </c>
      <c r="M1716">
        <v>9.11E-3</v>
      </c>
      <c r="N1716">
        <v>1</v>
      </c>
      <c r="P1716">
        <v>1.2513000000000001</v>
      </c>
      <c r="Q1716">
        <v>0.91344999999999998</v>
      </c>
      <c r="R1716">
        <v>0.84167000000000003</v>
      </c>
      <c r="S1716">
        <v>0.72087000000000001</v>
      </c>
      <c r="T1716">
        <v>109.66500000000001</v>
      </c>
      <c r="U1716">
        <v>1</v>
      </c>
    </row>
    <row r="1717" spans="1:35" hidden="1" outlineLevel="1">
      <c r="A1717" s="8">
        <v>44444</v>
      </c>
      <c r="B1717" s="1860">
        <v>3028.8819600000002</v>
      </c>
      <c r="C1717" s="1860">
        <v>4149.1488300000001</v>
      </c>
      <c r="D1717" s="1860">
        <v>4502.9465200000004</v>
      </c>
      <c r="E1717" s="1860">
        <v>5257.5434800000003</v>
      </c>
      <c r="F1717">
        <v>34.560160000000003</v>
      </c>
      <c r="G1717" s="1861">
        <v>3790.04</v>
      </c>
      <c r="I1717">
        <v>0.79915999999999998</v>
      </c>
      <c r="J1717">
        <v>1.0947499999999999</v>
      </c>
      <c r="K1717">
        <v>1.1880999999999999</v>
      </c>
      <c r="L1717">
        <v>1.3872</v>
      </c>
      <c r="M1717">
        <v>9.11E-3</v>
      </c>
      <c r="N1717">
        <v>1</v>
      </c>
      <c r="P1717">
        <v>1.2513000000000001</v>
      </c>
      <c r="Q1717">
        <v>0.91344999999999998</v>
      </c>
      <c r="R1717">
        <v>0.84167000000000003</v>
      </c>
      <c r="S1717">
        <v>0.72087000000000001</v>
      </c>
      <c r="T1717">
        <v>109.66500000000001</v>
      </c>
      <c r="U1717">
        <v>1</v>
      </c>
    </row>
    <row r="1718" spans="1:35" s="1857" customFormat="1" hidden="1" outlineLevel="1">
      <c r="A1718" s="8">
        <v>44445</v>
      </c>
      <c r="B1718" s="1860">
        <v>3022.1194399999999</v>
      </c>
      <c r="C1718" s="1860">
        <v>4136.4692999999997</v>
      </c>
      <c r="D1718" s="1860">
        <v>4495.5559400000002</v>
      </c>
      <c r="E1718" s="1860">
        <v>5240.2987999999996</v>
      </c>
      <c r="F1718">
        <v>34.50038</v>
      </c>
      <c r="G1718" s="1861">
        <v>3790.04</v>
      </c>
      <c r="I1718">
        <v>0.79737999999999998</v>
      </c>
      <c r="J1718">
        <v>1.0913999999999999</v>
      </c>
      <c r="K1718">
        <v>1.18615</v>
      </c>
      <c r="L1718">
        <v>1.3826499999999999</v>
      </c>
      <c r="M1718">
        <v>9.1000000000000004E-3</v>
      </c>
      <c r="N1718">
        <v>1</v>
      </c>
      <c r="P1718">
        <v>1.2541</v>
      </c>
      <c r="Q1718">
        <v>0.91625000000000001</v>
      </c>
      <c r="R1718">
        <v>0.84306000000000003</v>
      </c>
      <c r="S1718">
        <v>0.72323999999999999</v>
      </c>
      <c r="T1718">
        <v>109.855</v>
      </c>
      <c r="U1718">
        <v>1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s="1857" customFormat="1" hidden="1" outlineLevel="1">
      <c r="A1719" s="8">
        <v>44446</v>
      </c>
      <c r="B1719" s="1860">
        <v>2999.6359299999999</v>
      </c>
      <c r="C1719" s="1860">
        <v>4126.1117999999997</v>
      </c>
      <c r="D1719" s="1860">
        <v>4489.4918799999996</v>
      </c>
      <c r="E1719" s="1860">
        <v>5224.7596400000002</v>
      </c>
      <c r="F1719">
        <v>34.386130000000001</v>
      </c>
      <c r="G1719" s="1861">
        <v>3790.04</v>
      </c>
      <c r="I1719">
        <v>0.79144999999999999</v>
      </c>
      <c r="J1719">
        <v>1.08867</v>
      </c>
      <c r="K1719">
        <v>1.18455</v>
      </c>
      <c r="L1719">
        <v>1.3785499999999999</v>
      </c>
      <c r="M1719">
        <v>9.0699999999999999E-3</v>
      </c>
      <c r="N1719">
        <v>1</v>
      </c>
      <c r="P1719">
        <v>1.2635000000000001</v>
      </c>
      <c r="Q1719">
        <v>0.91854999999999998</v>
      </c>
      <c r="R1719">
        <v>0.84419999999999995</v>
      </c>
      <c r="S1719">
        <v>0.72538999999999998</v>
      </c>
      <c r="T1719">
        <v>110.22</v>
      </c>
      <c r="U1719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s="1857" customFormat="1" hidden="1" outlineLevel="1">
      <c r="A1720" s="8">
        <v>44447</v>
      </c>
      <c r="B1720" s="1860">
        <v>2996.27504</v>
      </c>
      <c r="C1720" s="1860">
        <v>4133.74532</v>
      </c>
      <c r="D1720" s="1860">
        <v>4503.6321099999996</v>
      </c>
      <c r="E1720" s="1860">
        <v>5237.5884100000003</v>
      </c>
      <c r="F1720">
        <v>34.55621</v>
      </c>
      <c r="G1720" s="1861">
        <v>3812.76</v>
      </c>
      <c r="I1720">
        <v>0.78585000000000005</v>
      </c>
      <c r="J1720">
        <v>1.0841799999999999</v>
      </c>
      <c r="K1720">
        <v>1.1812</v>
      </c>
      <c r="L1720">
        <v>1.3736999999999999</v>
      </c>
      <c r="M1720">
        <v>9.0600000000000003E-3</v>
      </c>
      <c r="N1720">
        <v>1</v>
      </c>
      <c r="P1720">
        <v>1.2725</v>
      </c>
      <c r="Q1720">
        <v>0.92235</v>
      </c>
      <c r="R1720">
        <v>0.84658999999999995</v>
      </c>
      <c r="S1720">
        <v>0.72796000000000005</v>
      </c>
      <c r="T1720">
        <v>110.33499999999999</v>
      </c>
      <c r="U1720">
        <v>1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s="1857" customFormat="1" hidden="1" outlineLevel="1">
      <c r="A1721" s="8">
        <v>44448</v>
      </c>
      <c r="B1721" s="1860">
        <v>3016.9499500000002</v>
      </c>
      <c r="C1721" s="1860">
        <v>4154.5261499999997</v>
      </c>
      <c r="D1721" s="1860">
        <v>4509.7234399999998</v>
      </c>
      <c r="E1721" s="1860">
        <v>5283.63663</v>
      </c>
      <c r="F1721">
        <v>34.747459999999997</v>
      </c>
      <c r="G1721" s="1861">
        <v>3816.14</v>
      </c>
      <c r="I1721">
        <v>0.79056999999999999</v>
      </c>
      <c r="J1721">
        <v>1.08867</v>
      </c>
      <c r="K1721">
        <v>1.1817500000000001</v>
      </c>
      <c r="L1721">
        <v>1.3845499999999999</v>
      </c>
      <c r="M1721">
        <v>9.1000000000000004E-3</v>
      </c>
      <c r="N1721">
        <v>1</v>
      </c>
      <c r="P1721">
        <v>1.2648999999999999</v>
      </c>
      <c r="Q1721">
        <v>0.91854999999999998</v>
      </c>
      <c r="R1721">
        <v>0.84619999999999995</v>
      </c>
      <c r="S1721">
        <v>0.72224999999999995</v>
      </c>
      <c r="T1721">
        <v>109.825</v>
      </c>
      <c r="U1721">
        <v>1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s="1857" customFormat="1" hidden="1" outlineLevel="1">
      <c r="A1722" s="8">
        <v>44449</v>
      </c>
      <c r="B1722" s="1860">
        <v>3033.4415800000002</v>
      </c>
      <c r="C1722" s="1860">
        <v>4175.6746400000002</v>
      </c>
      <c r="D1722" s="1860">
        <v>4532.2821299999996</v>
      </c>
      <c r="E1722" s="1860">
        <v>5306.26854</v>
      </c>
      <c r="F1722">
        <v>34.866349999999997</v>
      </c>
      <c r="G1722" s="1861">
        <v>3829.72</v>
      </c>
      <c r="I1722">
        <v>0.79207000000000005</v>
      </c>
      <c r="J1722">
        <v>1.09033</v>
      </c>
      <c r="K1722">
        <v>1.1834499999999999</v>
      </c>
      <c r="L1722">
        <v>1.3855500000000001</v>
      </c>
      <c r="M1722">
        <v>9.1000000000000004E-3</v>
      </c>
      <c r="N1722">
        <v>1</v>
      </c>
      <c r="P1722">
        <v>1.2625</v>
      </c>
      <c r="Q1722">
        <v>0.91715000000000002</v>
      </c>
      <c r="R1722">
        <v>0.84497999999999995</v>
      </c>
      <c r="S1722">
        <v>0.72172999999999998</v>
      </c>
      <c r="T1722">
        <v>109.84</v>
      </c>
      <c r="U1722">
        <v>1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s="1857" customFormat="1" hidden="1" outlineLevel="1">
      <c r="A1723" s="8">
        <v>44450</v>
      </c>
      <c r="B1723" s="1860">
        <v>3039.0891000000001</v>
      </c>
      <c r="C1723" s="1860">
        <v>4183.4487200000003</v>
      </c>
      <c r="D1723" s="1860">
        <v>4540.7201299999997</v>
      </c>
      <c r="E1723" s="1860">
        <v>5316.1475099999998</v>
      </c>
      <c r="F1723">
        <v>34.931260000000002</v>
      </c>
      <c r="G1723" s="1861">
        <v>3836.85</v>
      </c>
      <c r="I1723">
        <v>0.79207000000000005</v>
      </c>
      <c r="J1723">
        <v>1.09033</v>
      </c>
      <c r="K1723">
        <v>1.1834499999999999</v>
      </c>
      <c r="L1723">
        <v>1.3855500000000001</v>
      </c>
      <c r="M1723">
        <v>9.1000000000000004E-3</v>
      </c>
      <c r="N1723">
        <v>1</v>
      </c>
      <c r="P1723">
        <v>1.2625</v>
      </c>
      <c r="Q1723">
        <v>0.91715000000000002</v>
      </c>
      <c r="R1723">
        <v>0.84497999999999995</v>
      </c>
      <c r="S1723">
        <v>0.72172999999999998</v>
      </c>
      <c r="T1723">
        <v>109.84</v>
      </c>
      <c r="U1723">
        <v>1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s="1857" customFormat="1" hidden="1" outlineLevel="1">
      <c r="A1724" s="8">
        <v>44451</v>
      </c>
      <c r="B1724" s="1860">
        <v>3039.0891000000001</v>
      </c>
      <c r="C1724" s="1860">
        <v>4183.4487200000003</v>
      </c>
      <c r="D1724" s="1860">
        <v>4540.7201299999997</v>
      </c>
      <c r="E1724" s="1860">
        <v>5316.1475099999998</v>
      </c>
      <c r="F1724">
        <v>34.931260000000002</v>
      </c>
      <c r="G1724" s="1861">
        <v>3836.85</v>
      </c>
      <c r="I1724">
        <v>0.79207000000000005</v>
      </c>
      <c r="J1724">
        <v>1.09033</v>
      </c>
      <c r="K1724">
        <v>1.1834499999999999</v>
      </c>
      <c r="L1724">
        <v>1.3855500000000001</v>
      </c>
      <c r="M1724">
        <v>9.1000000000000004E-3</v>
      </c>
      <c r="N1724">
        <v>1</v>
      </c>
      <c r="P1724">
        <v>1.2625</v>
      </c>
      <c r="Q1724">
        <v>0.91715000000000002</v>
      </c>
      <c r="R1724">
        <v>0.84497999999999995</v>
      </c>
      <c r="S1724">
        <v>0.72172999999999998</v>
      </c>
      <c r="T1724">
        <v>109.84</v>
      </c>
      <c r="U1724">
        <v>1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s="1857" customFormat="1" hidden="1" outlineLevel="1">
      <c r="A1725" s="8">
        <v>44452</v>
      </c>
      <c r="B1725" s="1860">
        <v>3031.7648399999998</v>
      </c>
      <c r="C1725" s="1860">
        <v>4166.1870799999997</v>
      </c>
      <c r="D1725" s="1860">
        <v>4531.3198499999999</v>
      </c>
      <c r="E1725" s="1860">
        <v>5313.8454000000002</v>
      </c>
      <c r="F1725">
        <v>34.904249999999998</v>
      </c>
      <c r="G1725" s="1861">
        <v>3836.85</v>
      </c>
      <c r="I1725">
        <v>0.79017000000000004</v>
      </c>
      <c r="J1725">
        <v>1.0858300000000001</v>
      </c>
      <c r="K1725">
        <v>1.181</v>
      </c>
      <c r="L1725">
        <v>1.3849499999999999</v>
      </c>
      <c r="M1725">
        <v>9.0900000000000009E-3</v>
      </c>
      <c r="N1725">
        <v>1</v>
      </c>
      <c r="P1725">
        <v>1.26555</v>
      </c>
      <c r="Q1725">
        <v>0.92095000000000005</v>
      </c>
      <c r="R1725">
        <v>0.84674000000000005</v>
      </c>
      <c r="S1725">
        <v>0.72204000000000002</v>
      </c>
      <c r="T1725">
        <v>109.925</v>
      </c>
      <c r="U1725">
        <v>1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s="1857" customFormat="1" hidden="1" outlineLevel="1">
      <c r="A1726" s="8">
        <v>44453</v>
      </c>
      <c r="B1726" s="1860">
        <v>3025.2573400000001</v>
      </c>
      <c r="C1726" s="1860">
        <v>4171.2654300000004</v>
      </c>
      <c r="D1726" s="1860">
        <v>4533.8644299999996</v>
      </c>
      <c r="E1726" s="1860">
        <v>5312.616</v>
      </c>
      <c r="F1726">
        <v>34.97419</v>
      </c>
      <c r="G1726" s="1861">
        <v>3835.27</v>
      </c>
      <c r="I1726">
        <v>0.78878999999999999</v>
      </c>
      <c r="J1726">
        <v>1.0875999999999999</v>
      </c>
      <c r="K1726">
        <v>1.18215</v>
      </c>
      <c r="L1726">
        <v>1.3852</v>
      </c>
      <c r="M1726">
        <v>9.11E-3</v>
      </c>
      <c r="N1726">
        <v>1</v>
      </c>
      <c r="P1726">
        <v>1.2677499999999999</v>
      </c>
      <c r="Q1726">
        <v>0.91944999999999999</v>
      </c>
      <c r="R1726">
        <v>0.84591000000000005</v>
      </c>
      <c r="S1726">
        <v>0.72191000000000005</v>
      </c>
      <c r="T1726">
        <v>109.66</v>
      </c>
      <c r="U1726">
        <v>1</v>
      </c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s="1857" customFormat="1" hidden="1" outlineLevel="1">
      <c r="A1727" s="8">
        <v>44454</v>
      </c>
      <c r="B1727" s="1860">
        <v>3028.6832399999998</v>
      </c>
      <c r="C1727" s="1860">
        <v>4167.7963300000001</v>
      </c>
      <c r="D1727" s="1860">
        <v>4527.6579700000002</v>
      </c>
      <c r="E1727" s="1860">
        <v>5297.6548000000003</v>
      </c>
      <c r="F1727">
        <v>35.050359999999998</v>
      </c>
      <c r="G1727" s="1861">
        <v>3830.83</v>
      </c>
      <c r="I1727">
        <v>0.79059999999999997</v>
      </c>
      <c r="J1727">
        <v>1.08796</v>
      </c>
      <c r="K1727">
        <v>1.1819</v>
      </c>
      <c r="L1727">
        <v>1.3829</v>
      </c>
      <c r="M1727">
        <v>9.1400000000000006E-3</v>
      </c>
      <c r="N1727">
        <v>1</v>
      </c>
      <c r="P1727">
        <v>1.26485</v>
      </c>
      <c r="Q1727">
        <v>0.91915000000000002</v>
      </c>
      <c r="R1727">
        <v>0.84609000000000001</v>
      </c>
      <c r="S1727">
        <v>0.72311000000000003</v>
      </c>
      <c r="T1727">
        <v>109.295</v>
      </c>
      <c r="U1727">
        <v>1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s="1857" customFormat="1" hidden="1" outlineLevel="1">
      <c r="A1728" s="8">
        <v>44455</v>
      </c>
      <c r="B1728" s="1860">
        <v>3013.0434700000001</v>
      </c>
      <c r="C1728" s="1860">
        <v>4133.9601199999997</v>
      </c>
      <c r="D1728" s="1860">
        <v>4499.9622300000001</v>
      </c>
      <c r="E1728" s="1860">
        <v>5267.5207200000004</v>
      </c>
      <c r="F1728">
        <v>34.887</v>
      </c>
      <c r="G1728" s="1861">
        <v>3825.36</v>
      </c>
      <c r="I1728">
        <v>0.78764000000000001</v>
      </c>
      <c r="J1728">
        <v>1.08067</v>
      </c>
      <c r="K1728">
        <v>1.17635</v>
      </c>
      <c r="L1728">
        <v>1.377</v>
      </c>
      <c r="M1728">
        <v>9.11E-3</v>
      </c>
      <c r="N1728">
        <v>1</v>
      </c>
      <c r="P1728">
        <v>1.2696000000000001</v>
      </c>
      <c r="Q1728">
        <v>0.92535000000000001</v>
      </c>
      <c r="R1728">
        <v>0.85007999999999995</v>
      </c>
      <c r="S1728">
        <v>0.72621000000000002</v>
      </c>
      <c r="T1728">
        <v>109.65</v>
      </c>
      <c r="U1728">
        <v>1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s="1857" customFormat="1" hidden="1" outlineLevel="1">
      <c r="A1729" s="8">
        <v>44456</v>
      </c>
      <c r="B1729" s="1860">
        <v>2993.5787300000002</v>
      </c>
      <c r="C1729" s="1860">
        <v>4100.0375800000002</v>
      </c>
      <c r="D1729" s="1860">
        <v>4481.3743899999999</v>
      </c>
      <c r="E1729" s="1860">
        <v>5248.8245500000003</v>
      </c>
      <c r="F1729">
        <v>34.720010000000002</v>
      </c>
      <c r="G1729" s="1861">
        <v>3818.16</v>
      </c>
      <c r="I1729">
        <v>0.78403</v>
      </c>
      <c r="J1729">
        <v>1.07382</v>
      </c>
      <c r="K1729">
        <v>1.1737</v>
      </c>
      <c r="L1729">
        <v>1.3747</v>
      </c>
      <c r="M1729">
        <v>9.0900000000000009E-3</v>
      </c>
      <c r="N1729">
        <v>1</v>
      </c>
      <c r="P1729">
        <v>1.27545</v>
      </c>
      <c r="Q1729">
        <v>0.93125000000000002</v>
      </c>
      <c r="R1729">
        <v>0.85199999999999998</v>
      </c>
      <c r="S1729">
        <v>0.72743000000000002</v>
      </c>
      <c r="T1729">
        <v>109.97</v>
      </c>
      <c r="U1729">
        <v>1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s="1857" customFormat="1" hidden="1" outlineLevel="1">
      <c r="A1730" s="8">
        <v>44457</v>
      </c>
      <c r="B1730" s="1860">
        <v>3001.43478</v>
      </c>
      <c r="C1730" s="1860">
        <v>4110.7973099999999</v>
      </c>
      <c r="D1730" s="1860">
        <v>4493.1348600000001</v>
      </c>
      <c r="E1730" s="1860">
        <v>5262.5990400000001</v>
      </c>
      <c r="F1730">
        <v>34.811129999999999</v>
      </c>
      <c r="G1730" s="1861">
        <v>3828.18</v>
      </c>
      <c r="I1730">
        <v>0.78403</v>
      </c>
      <c r="J1730">
        <v>1.07382</v>
      </c>
      <c r="K1730">
        <v>1.1737</v>
      </c>
      <c r="L1730">
        <v>1.3747</v>
      </c>
      <c r="M1730">
        <v>9.0900000000000009E-3</v>
      </c>
      <c r="N1730">
        <v>1</v>
      </c>
      <c r="P1730">
        <v>1.27545</v>
      </c>
      <c r="Q1730">
        <v>0.93125000000000002</v>
      </c>
      <c r="R1730">
        <v>0.85199999999999998</v>
      </c>
      <c r="S1730">
        <v>0.72743000000000002</v>
      </c>
      <c r="T1730">
        <v>109.97</v>
      </c>
      <c r="U1730">
        <v>1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s="1857" customFormat="1" hidden="1" outlineLevel="1">
      <c r="A1731" s="8">
        <v>44458</v>
      </c>
      <c r="B1731" s="1860">
        <v>3001.43478</v>
      </c>
      <c r="C1731" s="1860">
        <v>4110.7973099999999</v>
      </c>
      <c r="D1731" s="1860">
        <v>4493.1348600000001</v>
      </c>
      <c r="E1731" s="1860">
        <v>5262.5990400000001</v>
      </c>
      <c r="F1731">
        <v>34.811129999999999</v>
      </c>
      <c r="G1731" s="1861">
        <v>3828.18</v>
      </c>
      <c r="I1731">
        <v>0.78403</v>
      </c>
      <c r="J1731">
        <v>1.07382</v>
      </c>
      <c r="K1731">
        <v>1.1737</v>
      </c>
      <c r="L1731">
        <v>1.3747</v>
      </c>
      <c r="M1731">
        <v>9.0900000000000009E-3</v>
      </c>
      <c r="N1731">
        <v>1</v>
      </c>
      <c r="P1731">
        <v>1.27545</v>
      </c>
      <c r="Q1731">
        <v>0.93125000000000002</v>
      </c>
      <c r="R1731">
        <v>0.85199999999999998</v>
      </c>
      <c r="S1731">
        <v>0.72743000000000002</v>
      </c>
      <c r="T1731">
        <v>109.97</v>
      </c>
      <c r="U1731">
        <v>1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s="1857" customFormat="1" hidden="1" outlineLevel="1">
      <c r="A1732" s="8">
        <v>44459</v>
      </c>
      <c r="B1732" s="1860">
        <v>2986.7987800000001</v>
      </c>
      <c r="C1732" s="1860">
        <v>4124.7494800000004</v>
      </c>
      <c r="D1732" s="1860">
        <v>4488.5410499999998</v>
      </c>
      <c r="E1732" s="1860">
        <v>5233.1220599999997</v>
      </c>
      <c r="F1732">
        <v>34.955750000000002</v>
      </c>
      <c r="G1732" s="1861">
        <v>3828.18</v>
      </c>
      <c r="I1732">
        <v>0.78020999999999996</v>
      </c>
      <c r="J1732">
        <v>1.0774699999999999</v>
      </c>
      <c r="K1732">
        <v>1.1725000000000001</v>
      </c>
      <c r="L1732">
        <v>1.367</v>
      </c>
      <c r="M1732">
        <v>9.1299999999999992E-3</v>
      </c>
      <c r="N1732">
        <v>1</v>
      </c>
      <c r="P1732">
        <v>1.2817000000000001</v>
      </c>
      <c r="Q1732">
        <v>0.92810000000000004</v>
      </c>
      <c r="R1732">
        <v>0.85287000000000002</v>
      </c>
      <c r="S1732">
        <v>0.73151999999999995</v>
      </c>
      <c r="T1732">
        <v>109.515</v>
      </c>
      <c r="U1732">
        <v>1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s="1857" customFormat="1" hidden="1" outlineLevel="1">
      <c r="A1733" s="8">
        <v>44460</v>
      </c>
      <c r="B1733" s="1860">
        <v>3000.3272000000002</v>
      </c>
      <c r="C1733" s="1860">
        <v>4173.1809000000003</v>
      </c>
      <c r="D1733" s="1860">
        <v>4515.3628799999997</v>
      </c>
      <c r="E1733" s="1860">
        <v>5254.2194399999998</v>
      </c>
      <c r="F1733">
        <v>35.267580000000002</v>
      </c>
      <c r="G1733" s="1861">
        <v>3851.22</v>
      </c>
      <c r="I1733">
        <v>0.77905000000000002</v>
      </c>
      <c r="J1733">
        <v>1.0835900000000001</v>
      </c>
      <c r="K1733">
        <v>1.17245</v>
      </c>
      <c r="L1733">
        <v>1.3643000000000001</v>
      </c>
      <c r="M1733">
        <v>9.1500000000000001E-3</v>
      </c>
      <c r="N1733">
        <v>1</v>
      </c>
      <c r="P1733">
        <v>1.2836000000000001</v>
      </c>
      <c r="Q1733">
        <v>0.92284999999999995</v>
      </c>
      <c r="R1733">
        <v>0.85290999999999995</v>
      </c>
      <c r="S1733">
        <v>0.73297000000000001</v>
      </c>
      <c r="T1733">
        <v>109.2</v>
      </c>
      <c r="U1733">
        <v>1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idden="1" outlineLevel="1">
      <c r="A1734" s="8">
        <v>44461</v>
      </c>
      <c r="B1734" s="1860">
        <v>3014.1305600000001</v>
      </c>
      <c r="C1734" s="1860">
        <v>4165.10808</v>
      </c>
      <c r="D1734" s="1860">
        <v>4510.08752</v>
      </c>
      <c r="E1734" s="1860">
        <v>5245.0163499999999</v>
      </c>
      <c r="F1734">
        <v>35.06129</v>
      </c>
      <c r="G1734" s="1861">
        <v>3843.77</v>
      </c>
      <c r="I1734">
        <v>0.78415000000000001</v>
      </c>
      <c r="J1734">
        <v>1.0835900000000001</v>
      </c>
      <c r="K1734">
        <v>1.1733499999999999</v>
      </c>
      <c r="L1734">
        <v>1.3645499999999999</v>
      </c>
      <c r="M1734">
        <v>9.1199999999999996E-3</v>
      </c>
      <c r="N1734">
        <v>1</v>
      </c>
      <c r="P1734">
        <v>1.27525</v>
      </c>
      <c r="Q1734">
        <v>0.92284999999999995</v>
      </c>
      <c r="R1734">
        <v>0.85226000000000002</v>
      </c>
      <c r="S1734">
        <v>0.73284000000000005</v>
      </c>
      <c r="T1734">
        <v>109.63</v>
      </c>
      <c r="U1734">
        <v>1</v>
      </c>
    </row>
    <row r="1735" spans="1:35" hidden="1" outlineLevel="1">
      <c r="A1735" s="8">
        <v>44462</v>
      </c>
      <c r="B1735" s="1860">
        <v>3032.6703299999999</v>
      </c>
      <c r="C1735" s="1860">
        <v>4157.48902</v>
      </c>
      <c r="D1735" s="1860">
        <v>4505.5337600000003</v>
      </c>
      <c r="E1735" s="1860">
        <v>5270.5484299999998</v>
      </c>
      <c r="F1735">
        <v>34.817810000000001</v>
      </c>
      <c r="G1735" s="1861">
        <v>3834.66</v>
      </c>
      <c r="I1735">
        <v>0.79085000000000005</v>
      </c>
      <c r="J1735">
        <v>1.0841799999999999</v>
      </c>
      <c r="K1735">
        <v>1.1749499999999999</v>
      </c>
      <c r="L1735">
        <v>1.3744499999999999</v>
      </c>
      <c r="M1735">
        <v>9.0699999999999999E-3</v>
      </c>
      <c r="N1735">
        <v>1</v>
      </c>
      <c r="P1735">
        <v>1.2644500000000001</v>
      </c>
      <c r="Q1735">
        <v>0.92235</v>
      </c>
      <c r="R1735">
        <v>0.85109999999999997</v>
      </c>
      <c r="S1735">
        <v>0.72755999999999998</v>
      </c>
      <c r="T1735">
        <v>110.13500000000001</v>
      </c>
      <c r="U1735">
        <v>1</v>
      </c>
    </row>
    <row r="1736" spans="1:35" hidden="1" outlineLevel="1">
      <c r="A1736" s="8">
        <v>44463</v>
      </c>
      <c r="B1736" s="1860">
        <v>3020.9261999999999</v>
      </c>
      <c r="C1736" s="1860">
        <v>4147.3428100000001</v>
      </c>
      <c r="D1736" s="1860">
        <v>4492.9120499999999</v>
      </c>
      <c r="E1736" s="1860">
        <v>5245.4705000000004</v>
      </c>
      <c r="F1736">
        <v>34.647660000000002</v>
      </c>
      <c r="G1736" s="1861">
        <v>3835.67</v>
      </c>
      <c r="I1736">
        <v>0.78757999999999995</v>
      </c>
      <c r="J1736">
        <v>1.08125</v>
      </c>
      <c r="K1736">
        <v>1.1713499999999999</v>
      </c>
      <c r="L1736">
        <v>1.36755</v>
      </c>
      <c r="M1736">
        <v>9.0299999999999998E-3</v>
      </c>
      <c r="N1736">
        <v>1</v>
      </c>
      <c r="P1736">
        <v>1.2697000000000001</v>
      </c>
      <c r="Q1736">
        <v>0.92484999999999995</v>
      </c>
      <c r="R1736">
        <v>0.85370999999999997</v>
      </c>
      <c r="S1736">
        <v>0.73123000000000005</v>
      </c>
      <c r="T1736">
        <v>110.705</v>
      </c>
      <c r="U1736">
        <v>1</v>
      </c>
    </row>
    <row r="1737" spans="1:35" hidden="1" outlineLevel="1">
      <c r="A1737" s="8">
        <v>44464</v>
      </c>
      <c r="B1737" s="1860">
        <v>3028.1798800000001</v>
      </c>
      <c r="C1737" s="1860">
        <v>4157.3011800000004</v>
      </c>
      <c r="D1737" s="1860">
        <v>4503.7001799999998</v>
      </c>
      <c r="E1737" s="1860">
        <v>5258.0656399999998</v>
      </c>
      <c r="F1737">
        <v>34.73086</v>
      </c>
      <c r="G1737" s="1861">
        <v>3844.88</v>
      </c>
      <c r="I1737">
        <v>0.78757999999999995</v>
      </c>
      <c r="J1737">
        <v>1.08125</v>
      </c>
      <c r="K1737">
        <v>1.1713499999999999</v>
      </c>
      <c r="L1737">
        <v>1.36755</v>
      </c>
      <c r="M1737">
        <v>9.0299999999999998E-3</v>
      </c>
      <c r="N1737">
        <v>1</v>
      </c>
      <c r="P1737">
        <v>1.2697000000000001</v>
      </c>
      <c r="Q1737">
        <v>0.92484999999999995</v>
      </c>
      <c r="R1737">
        <v>0.85370999999999997</v>
      </c>
      <c r="S1737">
        <v>0.73123000000000005</v>
      </c>
      <c r="T1737">
        <v>110.705</v>
      </c>
      <c r="U1737">
        <v>1</v>
      </c>
    </row>
    <row r="1738" spans="1:35" hidden="1" outlineLevel="1">
      <c r="A1738" s="8">
        <v>44465</v>
      </c>
      <c r="B1738" s="1860">
        <v>3028.1798800000001</v>
      </c>
      <c r="C1738" s="1860">
        <v>4157.3011800000004</v>
      </c>
      <c r="D1738" s="1860">
        <v>4503.7001799999998</v>
      </c>
      <c r="E1738" s="1860">
        <v>5258.0656399999998</v>
      </c>
      <c r="F1738">
        <v>34.73086</v>
      </c>
      <c r="G1738" s="1861">
        <v>3844.88</v>
      </c>
      <c r="I1738">
        <v>0.78757999999999995</v>
      </c>
      <c r="J1738">
        <v>1.08125</v>
      </c>
      <c r="K1738">
        <v>1.1713499999999999</v>
      </c>
      <c r="L1738">
        <v>1.36755</v>
      </c>
      <c r="M1738">
        <v>9.0299999999999998E-3</v>
      </c>
      <c r="N1738">
        <v>1</v>
      </c>
      <c r="P1738">
        <v>1.2697000000000001</v>
      </c>
      <c r="Q1738">
        <v>0.92484999999999995</v>
      </c>
      <c r="R1738">
        <v>0.85370999999999997</v>
      </c>
      <c r="S1738">
        <v>0.73123000000000005</v>
      </c>
      <c r="T1738">
        <v>110.705</v>
      </c>
      <c r="U1738">
        <v>1</v>
      </c>
    </row>
    <row r="1739" spans="1:35" hidden="1" outlineLevel="1">
      <c r="A1739" s="8">
        <v>44466</v>
      </c>
      <c r="B1739" s="1860">
        <v>3042.31682</v>
      </c>
      <c r="C1739" s="1860">
        <v>4152.3624300000001</v>
      </c>
      <c r="D1739" s="1860">
        <v>4498.7018399999997</v>
      </c>
      <c r="E1739" s="1860">
        <v>5269.4080400000003</v>
      </c>
      <c r="F1739">
        <v>34.643239999999999</v>
      </c>
      <c r="G1739" s="1861">
        <v>3844.88</v>
      </c>
      <c r="I1739">
        <v>0.79125999999999996</v>
      </c>
      <c r="J1739">
        <v>1.0799700000000001</v>
      </c>
      <c r="K1739">
        <v>1.17005</v>
      </c>
      <c r="L1739">
        <v>1.3705000000000001</v>
      </c>
      <c r="M1739">
        <v>9.0100000000000006E-3</v>
      </c>
      <c r="N1739">
        <v>1</v>
      </c>
      <c r="P1739">
        <v>1.2638</v>
      </c>
      <c r="Q1739">
        <v>0.92595000000000005</v>
      </c>
      <c r="R1739">
        <v>0.85465999999999998</v>
      </c>
      <c r="S1739">
        <v>0.72965999999999998</v>
      </c>
      <c r="T1739">
        <v>110.985</v>
      </c>
      <c r="U1739">
        <v>1</v>
      </c>
    </row>
    <row r="1740" spans="1:35" hidden="1" outlineLevel="1">
      <c r="A1740" s="8">
        <v>44467</v>
      </c>
      <c r="B1740" s="1860">
        <v>3021.61949</v>
      </c>
      <c r="C1740" s="1860">
        <v>4132.5616399999999</v>
      </c>
      <c r="D1740" s="1860">
        <v>4480.1842299999998</v>
      </c>
      <c r="E1740" s="1860">
        <v>5194.6111799999999</v>
      </c>
      <c r="F1740">
        <v>34.44079</v>
      </c>
      <c r="G1740" s="1861">
        <v>3837.91</v>
      </c>
      <c r="I1740">
        <v>0.7873</v>
      </c>
      <c r="J1740">
        <v>1.07677</v>
      </c>
      <c r="K1740">
        <v>1.1673500000000001</v>
      </c>
      <c r="L1740">
        <v>1.3534999999999999</v>
      </c>
      <c r="M1740">
        <v>8.9700000000000005E-3</v>
      </c>
      <c r="N1740">
        <v>1</v>
      </c>
      <c r="P1740">
        <v>1.2701499999999999</v>
      </c>
      <c r="Q1740">
        <v>0.92869999999999997</v>
      </c>
      <c r="R1740">
        <v>0.85663999999999996</v>
      </c>
      <c r="S1740">
        <v>0.73882000000000003</v>
      </c>
      <c r="T1740">
        <v>111.435</v>
      </c>
      <c r="U1740">
        <v>1</v>
      </c>
    </row>
    <row r="1741" spans="1:35" hidden="1" outlineLevel="1">
      <c r="A1741" s="8">
        <v>44468</v>
      </c>
      <c r="B1741" s="1860">
        <v>3014.1136700000002</v>
      </c>
      <c r="C1741" s="1860">
        <v>4116.2907800000003</v>
      </c>
      <c r="D1741" s="1860">
        <v>4462.6054000000004</v>
      </c>
      <c r="E1741" s="1860">
        <v>5157.8044499999996</v>
      </c>
      <c r="F1741">
        <v>34.330620000000003</v>
      </c>
      <c r="G1741" s="1861">
        <v>3841.94</v>
      </c>
      <c r="I1741">
        <v>0.78452</v>
      </c>
      <c r="J1741">
        <v>1.0713999999999999</v>
      </c>
      <c r="K1741">
        <v>1.1615500000000001</v>
      </c>
      <c r="L1741">
        <v>1.3425</v>
      </c>
      <c r="M1741">
        <v>8.9300000000000004E-3</v>
      </c>
      <c r="N1741">
        <v>1</v>
      </c>
      <c r="P1741">
        <v>1.2746500000000001</v>
      </c>
      <c r="Q1741">
        <v>0.93335000000000001</v>
      </c>
      <c r="R1741">
        <v>0.86090999999999995</v>
      </c>
      <c r="S1741">
        <v>0.74487000000000003</v>
      </c>
      <c r="T1741">
        <v>111.91</v>
      </c>
      <c r="U1741">
        <v>1</v>
      </c>
    </row>
    <row r="1742" spans="1:35" ht="15.75" hidden="1" outlineLevel="1" thickBot="1">
      <c r="A1742" s="1868">
        <v>44469</v>
      </c>
      <c r="B1742" s="1869">
        <v>3026.94083</v>
      </c>
      <c r="C1742" s="1869">
        <v>4110.7144699999999</v>
      </c>
      <c r="D1742" s="1869">
        <v>4444.2023799999997</v>
      </c>
      <c r="E1742" s="1869">
        <v>5170.4907700000003</v>
      </c>
      <c r="F1742" s="1870">
        <v>34.368630000000003</v>
      </c>
      <c r="G1742" s="1871">
        <v>3834.68</v>
      </c>
      <c r="H1742" s="1872"/>
      <c r="I1742" s="1870">
        <v>0.78935</v>
      </c>
      <c r="J1742" s="1870">
        <v>1.0719799999999999</v>
      </c>
      <c r="K1742" s="1870">
        <v>1.1589499999999999</v>
      </c>
      <c r="L1742" s="1870">
        <v>1.3483499999999999</v>
      </c>
      <c r="M1742" s="1870">
        <v>8.9599999999999992E-3</v>
      </c>
      <c r="N1742" s="1870">
        <v>1</v>
      </c>
      <c r="O1742" s="1872"/>
      <c r="P1742" s="1870">
        <v>1.26685</v>
      </c>
      <c r="Q1742" s="1870">
        <v>0.93284999999999996</v>
      </c>
      <c r="R1742" s="1870">
        <v>0.86284000000000005</v>
      </c>
      <c r="S1742" s="1870">
        <v>0.74163999999999997</v>
      </c>
      <c r="T1742" s="1870">
        <v>111.575</v>
      </c>
      <c r="U1742" s="1870">
        <v>1</v>
      </c>
      <c r="V1742" s="1872"/>
    </row>
    <row r="1743" spans="1:35" hidden="1" outlineLevel="1">
      <c r="A1743" s="8">
        <v>44470</v>
      </c>
      <c r="B1743" s="1860">
        <v>3007.9839000000002</v>
      </c>
      <c r="C1743" s="1860">
        <v>4100.4140399999997</v>
      </c>
      <c r="D1743" s="1860">
        <v>4421.4787299999998</v>
      </c>
      <c r="E1743" s="1860">
        <v>5162.1093000000001</v>
      </c>
      <c r="F1743">
        <v>34.360109999999999</v>
      </c>
      <c r="G1743" s="1861">
        <v>3812.77</v>
      </c>
      <c r="I1743">
        <v>0.78891999999999995</v>
      </c>
      <c r="J1743">
        <v>1.07544</v>
      </c>
      <c r="K1743">
        <v>1.1596500000000001</v>
      </c>
      <c r="L1743">
        <v>1.3539000000000001</v>
      </c>
      <c r="M1743">
        <v>9.0100000000000006E-3</v>
      </c>
      <c r="N1743">
        <v>1</v>
      </c>
      <c r="P1743">
        <v>1.26755</v>
      </c>
      <c r="Q1743">
        <v>0.92984999999999995</v>
      </c>
      <c r="R1743">
        <v>0.86231999999999998</v>
      </c>
      <c r="S1743">
        <v>0.73860000000000003</v>
      </c>
      <c r="T1743">
        <v>110.965</v>
      </c>
      <c r="U1743">
        <v>1</v>
      </c>
    </row>
    <row r="1744" spans="1:35" hidden="1" outlineLevel="1">
      <c r="A1744" s="8">
        <v>44471</v>
      </c>
      <c r="B1744" s="1860">
        <v>2983.1959200000001</v>
      </c>
      <c r="C1744" s="1860">
        <v>4066.6236399999998</v>
      </c>
      <c r="D1744" s="1860">
        <v>4385.04252</v>
      </c>
      <c r="E1744" s="1860">
        <v>5119.5697600000003</v>
      </c>
      <c r="F1744">
        <v>34.07696</v>
      </c>
      <c r="G1744" s="1861">
        <v>3781.35</v>
      </c>
      <c r="I1744">
        <v>0.78891999999999995</v>
      </c>
      <c r="J1744">
        <v>1.07544</v>
      </c>
      <c r="K1744">
        <v>1.1596500000000001</v>
      </c>
      <c r="L1744">
        <v>1.3539000000000001</v>
      </c>
      <c r="M1744">
        <v>9.0100000000000006E-3</v>
      </c>
      <c r="N1744">
        <v>1</v>
      </c>
      <c r="P1744">
        <v>1.26755</v>
      </c>
      <c r="Q1744">
        <v>0.92984999999999995</v>
      </c>
      <c r="R1744">
        <v>0.86231999999999998</v>
      </c>
      <c r="S1744">
        <v>0.73860000000000003</v>
      </c>
      <c r="T1744">
        <v>110.965</v>
      </c>
      <c r="U1744">
        <v>1</v>
      </c>
    </row>
    <row r="1745" spans="1:35" hidden="1" outlineLevel="1">
      <c r="A1745" s="8">
        <v>44472</v>
      </c>
      <c r="B1745" s="1860">
        <v>2983.1959200000001</v>
      </c>
      <c r="C1745" s="1860">
        <v>4066.6236399999998</v>
      </c>
      <c r="D1745" s="1860">
        <v>4385.04252</v>
      </c>
      <c r="E1745" s="1860">
        <v>5119.5697600000003</v>
      </c>
      <c r="F1745">
        <v>34.07696</v>
      </c>
      <c r="G1745" s="1861">
        <v>3781.35</v>
      </c>
      <c r="I1745">
        <v>0.78891999999999995</v>
      </c>
      <c r="J1745">
        <v>1.07544</v>
      </c>
      <c r="K1745">
        <v>1.1596500000000001</v>
      </c>
      <c r="L1745">
        <v>1.3539000000000001</v>
      </c>
      <c r="M1745">
        <v>9.0100000000000006E-3</v>
      </c>
      <c r="N1745">
        <v>1</v>
      </c>
      <c r="P1745">
        <v>1.26755</v>
      </c>
      <c r="Q1745">
        <v>0.92984999999999995</v>
      </c>
      <c r="R1745">
        <v>0.86231999999999998</v>
      </c>
      <c r="S1745">
        <v>0.73860000000000003</v>
      </c>
      <c r="T1745">
        <v>110.965</v>
      </c>
      <c r="U1745">
        <v>1</v>
      </c>
    </row>
    <row r="1746" spans="1:35" hidden="1" outlineLevel="1">
      <c r="A1746" s="8">
        <v>44473</v>
      </c>
      <c r="B1746" s="1860">
        <v>3007.2769199999998</v>
      </c>
      <c r="C1746" s="1860">
        <v>4093.4776700000002</v>
      </c>
      <c r="D1746" s="1860">
        <v>4395.4412400000001</v>
      </c>
      <c r="E1746" s="1860">
        <v>5143.9594699999998</v>
      </c>
      <c r="F1746">
        <v>34.110770000000002</v>
      </c>
      <c r="G1746" s="1861">
        <v>3781.35</v>
      </c>
      <c r="I1746">
        <v>0.79529000000000005</v>
      </c>
      <c r="J1746">
        <v>1.0825400000000001</v>
      </c>
      <c r="K1746">
        <v>1.1624000000000001</v>
      </c>
      <c r="L1746">
        <v>1.3603499999999999</v>
      </c>
      <c r="M1746">
        <v>9.0200000000000002E-3</v>
      </c>
      <c r="N1746">
        <v>1</v>
      </c>
      <c r="P1746">
        <v>1.2574000000000001</v>
      </c>
      <c r="Q1746">
        <v>0.92374999999999996</v>
      </c>
      <c r="R1746">
        <v>0.86028000000000004</v>
      </c>
      <c r="S1746">
        <v>0.73509999999999998</v>
      </c>
      <c r="T1746">
        <v>110.855</v>
      </c>
      <c r="U1746">
        <v>1</v>
      </c>
    </row>
    <row r="1747" spans="1:35" hidden="1" outlineLevel="1">
      <c r="A1747" s="8">
        <v>44474</v>
      </c>
      <c r="B1747" s="1860">
        <v>3012.2125799999999</v>
      </c>
      <c r="C1747" s="1860">
        <v>4077.3787000000002</v>
      </c>
      <c r="D1747" s="1860">
        <v>4389.1677600000003</v>
      </c>
      <c r="E1747" s="1860">
        <v>5157.9252100000003</v>
      </c>
      <c r="F1747">
        <v>33.943420000000003</v>
      </c>
      <c r="G1747" s="1861">
        <v>3786.05</v>
      </c>
      <c r="I1747">
        <v>0.79559999999999997</v>
      </c>
      <c r="J1747">
        <v>1.07694</v>
      </c>
      <c r="K1747">
        <v>1.1593</v>
      </c>
      <c r="L1747">
        <v>1.3623499999999999</v>
      </c>
      <c r="M1747">
        <v>8.9599999999999992E-3</v>
      </c>
      <c r="N1747">
        <v>1</v>
      </c>
      <c r="P1747">
        <v>1.2568999999999999</v>
      </c>
      <c r="Q1747">
        <v>0.92854999999999999</v>
      </c>
      <c r="R1747">
        <v>0.86258000000000001</v>
      </c>
      <c r="S1747">
        <v>0.73402000000000001</v>
      </c>
      <c r="T1747">
        <v>111.54</v>
      </c>
      <c r="U1747">
        <v>1</v>
      </c>
    </row>
    <row r="1748" spans="1:35" hidden="1" outlineLevel="1">
      <c r="A1748" s="8">
        <v>44475</v>
      </c>
      <c r="B1748" s="1860">
        <v>3004.9471600000002</v>
      </c>
      <c r="C1748" s="1860">
        <v>4091.5018500000001</v>
      </c>
      <c r="D1748" s="1860">
        <v>4381.8792700000004</v>
      </c>
      <c r="E1748" s="1860">
        <v>5150.8198400000001</v>
      </c>
      <c r="F1748">
        <v>34.127110000000002</v>
      </c>
      <c r="G1748" s="1861">
        <v>3796.3</v>
      </c>
      <c r="I1748">
        <v>0.79154000000000002</v>
      </c>
      <c r="J1748">
        <v>1.0777600000000001</v>
      </c>
      <c r="K1748">
        <v>1.15425</v>
      </c>
      <c r="L1748">
        <v>1.3568</v>
      </c>
      <c r="M1748">
        <v>8.9800000000000001E-3</v>
      </c>
      <c r="N1748">
        <v>1</v>
      </c>
      <c r="P1748">
        <v>1.26335</v>
      </c>
      <c r="Q1748">
        <v>0.92784999999999995</v>
      </c>
      <c r="R1748">
        <v>0.86636000000000002</v>
      </c>
      <c r="S1748">
        <v>0.73702000000000001</v>
      </c>
      <c r="T1748">
        <v>111.24</v>
      </c>
      <c r="U1748">
        <v>1</v>
      </c>
    </row>
    <row r="1749" spans="1:35" hidden="1" outlineLevel="1">
      <c r="A1749" s="8">
        <v>44476</v>
      </c>
      <c r="B1749" s="1860">
        <v>3019.1925999999999</v>
      </c>
      <c r="C1749" s="1860">
        <v>4085.2305200000001</v>
      </c>
      <c r="D1749" s="1860">
        <v>4379.1520799999998</v>
      </c>
      <c r="E1749" s="1860">
        <v>5160.2438599999996</v>
      </c>
      <c r="F1749">
        <v>33.965739999999997</v>
      </c>
      <c r="G1749" s="1861">
        <v>3788.03</v>
      </c>
      <c r="I1749">
        <v>0.79703000000000002</v>
      </c>
      <c r="J1749">
        <v>1.0784499999999999</v>
      </c>
      <c r="K1749">
        <v>1.15605</v>
      </c>
      <c r="L1749">
        <v>1.36225</v>
      </c>
      <c r="M1749">
        <v>8.9599999999999992E-3</v>
      </c>
      <c r="N1749">
        <v>1</v>
      </c>
      <c r="P1749">
        <v>1.25465</v>
      </c>
      <c r="Q1749">
        <v>0.92725000000000002</v>
      </c>
      <c r="R1749">
        <v>0.86500999999999995</v>
      </c>
      <c r="S1749">
        <v>0.73407</v>
      </c>
      <c r="T1749">
        <v>111.52500000000001</v>
      </c>
      <c r="U1749">
        <v>1</v>
      </c>
    </row>
    <row r="1750" spans="1:35" s="1857" customFormat="1" hidden="1" outlineLevel="1">
      <c r="A1750" s="8">
        <v>44477</v>
      </c>
      <c r="B1750" s="1860">
        <v>3028.00497</v>
      </c>
      <c r="C1750" s="1860">
        <v>4071.0516299999999</v>
      </c>
      <c r="D1750" s="1860">
        <v>4366.2220500000003</v>
      </c>
      <c r="E1750" s="1860">
        <v>5144.6650499999996</v>
      </c>
      <c r="F1750">
        <v>33.670470000000002</v>
      </c>
      <c r="G1750" s="1861">
        <v>3772.44</v>
      </c>
      <c r="I1750">
        <v>0.80266000000000004</v>
      </c>
      <c r="J1750">
        <v>1.0791500000000001</v>
      </c>
      <c r="K1750">
        <v>1.1574</v>
      </c>
      <c r="L1750">
        <v>1.36375</v>
      </c>
      <c r="M1750">
        <v>8.9200000000000008E-3</v>
      </c>
      <c r="N1750">
        <v>1</v>
      </c>
      <c r="P1750">
        <v>1.2458499999999999</v>
      </c>
      <c r="Q1750">
        <v>0.92664999999999997</v>
      </c>
      <c r="R1750">
        <v>0.86399999999999999</v>
      </c>
      <c r="S1750">
        <v>0.73326999999999998</v>
      </c>
      <c r="T1750">
        <v>112.04</v>
      </c>
      <c r="U1750">
        <v>1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s="1857" customFormat="1" hidden="1" outlineLevel="1">
      <c r="A1751" s="8">
        <v>44478</v>
      </c>
      <c r="B1751" s="1860">
        <v>3022.6752799999999</v>
      </c>
      <c r="C1751" s="1860">
        <v>4063.8860399999999</v>
      </c>
      <c r="D1751" s="1860">
        <v>4358.5369199999996</v>
      </c>
      <c r="E1751" s="1860">
        <v>5135.6097499999996</v>
      </c>
      <c r="F1751">
        <v>33.61121</v>
      </c>
      <c r="G1751" s="1861">
        <v>3765.8</v>
      </c>
      <c r="I1751">
        <v>0.80266000000000004</v>
      </c>
      <c r="J1751">
        <v>1.0791500000000001</v>
      </c>
      <c r="K1751">
        <v>1.1574</v>
      </c>
      <c r="L1751">
        <v>1.36375</v>
      </c>
      <c r="M1751">
        <v>8.9200000000000008E-3</v>
      </c>
      <c r="N1751">
        <v>1</v>
      </c>
      <c r="P1751">
        <v>1.2458499999999999</v>
      </c>
      <c r="Q1751">
        <v>0.92664999999999997</v>
      </c>
      <c r="R1751">
        <v>0.86399999999999999</v>
      </c>
      <c r="S1751">
        <v>0.73326999999999998</v>
      </c>
      <c r="T1751">
        <v>112.04</v>
      </c>
      <c r="U1751">
        <v>1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s="1857" customFormat="1" hidden="1" outlineLevel="1">
      <c r="A1752" s="8">
        <v>44479</v>
      </c>
      <c r="B1752" s="1860">
        <v>3022.6752799999999</v>
      </c>
      <c r="C1752" s="1860">
        <v>4063.8860399999999</v>
      </c>
      <c r="D1752" s="1860">
        <v>4358.5369199999996</v>
      </c>
      <c r="E1752" s="1860">
        <v>5135.6097499999996</v>
      </c>
      <c r="F1752">
        <v>33.61121</v>
      </c>
      <c r="G1752" s="1861">
        <v>3765.8</v>
      </c>
      <c r="I1752">
        <v>0.80266000000000004</v>
      </c>
      <c r="J1752">
        <v>1.0791500000000001</v>
      </c>
      <c r="K1752">
        <v>1.1574</v>
      </c>
      <c r="L1752">
        <v>1.36375</v>
      </c>
      <c r="M1752">
        <v>8.9200000000000008E-3</v>
      </c>
      <c r="N1752">
        <v>1</v>
      </c>
      <c r="P1752">
        <v>1.2458499999999999</v>
      </c>
      <c r="Q1752">
        <v>0.92664999999999997</v>
      </c>
      <c r="R1752">
        <v>0.86399999999999999</v>
      </c>
      <c r="S1752">
        <v>0.73326999999999998</v>
      </c>
      <c r="T1752">
        <v>112.04</v>
      </c>
      <c r="U1752">
        <v>1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s="1857" customFormat="1" hidden="1" outlineLevel="1">
      <c r="A1753" s="8">
        <v>44480</v>
      </c>
      <c r="B1753" s="1860">
        <v>3021.2202600000001</v>
      </c>
      <c r="C1753" s="1860">
        <v>4064.1053299999999</v>
      </c>
      <c r="D1753" s="1860">
        <v>4357.9720500000003</v>
      </c>
      <c r="E1753" s="1860">
        <v>5131.4673700000003</v>
      </c>
      <c r="F1753">
        <v>33.240349999999999</v>
      </c>
      <c r="G1753" s="1861">
        <v>3765.8</v>
      </c>
      <c r="I1753">
        <v>0.80227000000000004</v>
      </c>
      <c r="J1753">
        <v>1.07921</v>
      </c>
      <c r="K1753">
        <v>1.1572499999999999</v>
      </c>
      <c r="L1753">
        <v>1.3626499999999999</v>
      </c>
      <c r="M1753">
        <v>8.8199999999999997E-3</v>
      </c>
      <c r="N1753">
        <v>1</v>
      </c>
      <c r="P1753">
        <v>1.2464500000000001</v>
      </c>
      <c r="Q1753">
        <v>0.92659999999999998</v>
      </c>
      <c r="R1753">
        <v>0.86411000000000004</v>
      </c>
      <c r="S1753">
        <v>0.73385999999999996</v>
      </c>
      <c r="T1753">
        <v>113.29</v>
      </c>
      <c r="U1753">
        <v>1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s="1857" customFormat="1" hidden="1" outlineLevel="1">
      <c r="A1754" s="8">
        <v>44481</v>
      </c>
      <c r="B1754" s="1860">
        <v>3023.4033100000001</v>
      </c>
      <c r="C1754" s="1860">
        <v>4053.1697300000001</v>
      </c>
      <c r="D1754" s="1860">
        <v>4349.1224199999997</v>
      </c>
      <c r="E1754" s="1860">
        <v>5122.4294499999996</v>
      </c>
      <c r="F1754">
        <v>33.146729999999998</v>
      </c>
      <c r="G1754" s="1861">
        <v>3765.8</v>
      </c>
      <c r="I1754">
        <v>0.80284999999999995</v>
      </c>
      <c r="J1754">
        <v>1.0763100000000001</v>
      </c>
      <c r="K1754">
        <v>1.1549</v>
      </c>
      <c r="L1754">
        <v>1.36025</v>
      </c>
      <c r="M1754">
        <v>8.8000000000000005E-3</v>
      </c>
      <c r="N1754">
        <v>1</v>
      </c>
      <c r="P1754">
        <v>1.2455499999999999</v>
      </c>
      <c r="Q1754">
        <v>0.92910000000000004</v>
      </c>
      <c r="R1754">
        <v>0.86587000000000003</v>
      </c>
      <c r="S1754">
        <v>0.73514999999999997</v>
      </c>
      <c r="T1754">
        <v>113.61</v>
      </c>
      <c r="U1754">
        <v>1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s="1857" customFormat="1" hidden="1" outlineLevel="1">
      <c r="A1755" s="8">
        <v>44482</v>
      </c>
      <c r="B1755" s="1860">
        <v>3002.9157700000001</v>
      </c>
      <c r="C1755" s="1860">
        <v>4036.1457399999999</v>
      </c>
      <c r="D1755" s="1860">
        <v>4327.1036700000004</v>
      </c>
      <c r="E1755" s="1860">
        <v>5096.8567000000003</v>
      </c>
      <c r="F1755">
        <v>32.977370000000001</v>
      </c>
      <c r="G1755" s="1861">
        <v>3738.48</v>
      </c>
      <c r="I1755">
        <v>0.80323999999999995</v>
      </c>
      <c r="J1755">
        <v>1.07962</v>
      </c>
      <c r="K1755">
        <v>1.1574500000000001</v>
      </c>
      <c r="L1755">
        <v>1.3633500000000001</v>
      </c>
      <c r="M1755">
        <v>8.8199999999999997E-3</v>
      </c>
      <c r="N1755">
        <v>1</v>
      </c>
      <c r="P1755">
        <v>1.24495</v>
      </c>
      <c r="Q1755">
        <v>0.92625000000000002</v>
      </c>
      <c r="R1755">
        <v>0.86395999999999995</v>
      </c>
      <c r="S1755">
        <v>0.73348000000000002</v>
      </c>
      <c r="T1755">
        <v>113.36499999999999</v>
      </c>
      <c r="U1755">
        <v>1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s="1857" customFormat="1" hidden="1" outlineLevel="1">
      <c r="A1756" s="8">
        <v>44483</v>
      </c>
      <c r="B1756" s="1860">
        <v>3013.5075000000002</v>
      </c>
      <c r="C1756" s="1860">
        <v>4034.16165</v>
      </c>
      <c r="D1756" s="1860">
        <v>4317.9579599999997</v>
      </c>
      <c r="E1756" s="1860">
        <v>5097.5711499999998</v>
      </c>
      <c r="F1756">
        <v>32.766800000000003</v>
      </c>
      <c r="G1756" s="1861">
        <v>3725.75</v>
      </c>
      <c r="I1756">
        <v>0.80883000000000005</v>
      </c>
      <c r="J1756">
        <v>1.08277</v>
      </c>
      <c r="K1756">
        <v>1.1589499999999999</v>
      </c>
      <c r="L1756">
        <v>1.3682000000000001</v>
      </c>
      <c r="M1756">
        <v>8.7899999999999992E-3</v>
      </c>
      <c r="N1756">
        <v>1</v>
      </c>
      <c r="P1756">
        <v>1.2363500000000001</v>
      </c>
      <c r="Q1756">
        <v>0.92354999999999998</v>
      </c>
      <c r="R1756">
        <v>0.86284000000000005</v>
      </c>
      <c r="S1756">
        <v>0.73087999999999997</v>
      </c>
      <c r="T1756">
        <v>113.705</v>
      </c>
      <c r="U1756">
        <v>1</v>
      </c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s="1857" customFormat="1" hidden="1" outlineLevel="1">
      <c r="A1757" s="8">
        <v>44484</v>
      </c>
      <c r="B1757" s="1860">
        <v>3038.8751699999998</v>
      </c>
      <c r="C1757" s="1860">
        <v>4068.7902899999999</v>
      </c>
      <c r="D1757" s="1860">
        <v>4358.2017999999998</v>
      </c>
      <c r="E1757" s="1860">
        <v>5170.4710299999997</v>
      </c>
      <c r="F1757">
        <v>32.922359999999998</v>
      </c>
      <c r="G1757" s="1861">
        <v>3755.29</v>
      </c>
      <c r="I1757">
        <v>0.80922000000000005</v>
      </c>
      <c r="J1757">
        <v>1.08348</v>
      </c>
      <c r="K1757">
        <v>1.16055</v>
      </c>
      <c r="L1757">
        <v>1.3768499999999999</v>
      </c>
      <c r="M1757">
        <v>8.7600000000000004E-3</v>
      </c>
      <c r="N1757">
        <v>1</v>
      </c>
      <c r="P1757">
        <v>1.2357499999999999</v>
      </c>
      <c r="Q1757">
        <v>0.92295000000000005</v>
      </c>
      <c r="R1757">
        <v>0.86165999999999998</v>
      </c>
      <c r="S1757">
        <v>0.72628999999999999</v>
      </c>
      <c r="T1757">
        <v>114.065</v>
      </c>
      <c r="U1757">
        <v>1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s="1857" customFormat="1" hidden="1" outlineLevel="1">
      <c r="A1758" s="8">
        <v>44485</v>
      </c>
      <c r="B1758" s="1860">
        <v>3052.7938399999998</v>
      </c>
      <c r="C1758" s="1860">
        <v>4087.4261799999999</v>
      </c>
      <c r="D1758" s="1860">
        <v>4378.1632600000003</v>
      </c>
      <c r="E1758" s="1860">
        <v>5194.1528500000004</v>
      </c>
      <c r="F1758">
        <v>33.073160000000001</v>
      </c>
      <c r="G1758" s="1861">
        <v>3772.49</v>
      </c>
      <c r="I1758">
        <v>0.80922000000000005</v>
      </c>
      <c r="J1758">
        <v>1.08348</v>
      </c>
      <c r="K1758">
        <v>1.16055</v>
      </c>
      <c r="L1758">
        <v>1.3768499999999999</v>
      </c>
      <c r="M1758">
        <v>8.7600000000000004E-3</v>
      </c>
      <c r="N1758">
        <v>1</v>
      </c>
      <c r="P1758">
        <v>1.2357499999999999</v>
      </c>
      <c r="Q1758">
        <v>0.92295000000000005</v>
      </c>
      <c r="R1758">
        <v>0.86165999999999998</v>
      </c>
      <c r="S1758">
        <v>0.72628999999999999</v>
      </c>
      <c r="T1758">
        <v>114.065</v>
      </c>
      <c r="U1758">
        <v>1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s="1857" customFormat="1" hidden="1" outlineLevel="1">
      <c r="A1759" s="8">
        <v>44486</v>
      </c>
      <c r="B1759" s="1860">
        <v>3052.7938399999998</v>
      </c>
      <c r="C1759" s="1860">
        <v>4087.4261799999999</v>
      </c>
      <c r="D1759" s="1860">
        <v>4378.1632600000003</v>
      </c>
      <c r="E1759" s="1860">
        <v>5194.1528500000004</v>
      </c>
      <c r="F1759">
        <v>33.073160000000001</v>
      </c>
      <c r="G1759" s="1861">
        <v>3772.49</v>
      </c>
      <c r="I1759">
        <v>0.80922000000000005</v>
      </c>
      <c r="J1759">
        <v>1.08348</v>
      </c>
      <c r="K1759">
        <v>1.16055</v>
      </c>
      <c r="L1759">
        <v>1.3768499999999999</v>
      </c>
      <c r="M1759">
        <v>8.7600000000000004E-3</v>
      </c>
      <c r="N1759">
        <v>1</v>
      </c>
      <c r="P1759">
        <v>1.2357499999999999</v>
      </c>
      <c r="Q1759">
        <v>0.92295000000000005</v>
      </c>
      <c r="R1759">
        <v>0.86165999999999998</v>
      </c>
      <c r="S1759">
        <v>0.72628999999999999</v>
      </c>
      <c r="T1759">
        <v>114.065</v>
      </c>
      <c r="U1759">
        <v>1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s="1857" customFormat="1" hidden="1" outlineLevel="1">
      <c r="A1760" s="8">
        <v>44487</v>
      </c>
      <c r="B1760" s="1860">
        <v>3050.3254400000001</v>
      </c>
      <c r="C1760" s="1860">
        <v>4083.4442800000002</v>
      </c>
      <c r="D1760" s="1860">
        <v>4376.65427</v>
      </c>
      <c r="E1760" s="1860">
        <v>5175.85628</v>
      </c>
      <c r="F1760">
        <v>33.023940000000003</v>
      </c>
      <c r="G1760" s="1861">
        <v>3772.49</v>
      </c>
      <c r="I1760">
        <v>0.80857000000000001</v>
      </c>
      <c r="J1760">
        <v>1.0824199999999999</v>
      </c>
      <c r="K1760">
        <v>1.16015</v>
      </c>
      <c r="L1760">
        <v>1.3720000000000001</v>
      </c>
      <c r="M1760">
        <v>8.7500000000000008E-3</v>
      </c>
      <c r="N1760">
        <v>1</v>
      </c>
      <c r="P1760">
        <v>1.23675</v>
      </c>
      <c r="Q1760">
        <v>0.92384999999999995</v>
      </c>
      <c r="R1760">
        <v>0.86194999999999999</v>
      </c>
      <c r="S1760">
        <v>0.72885999999999995</v>
      </c>
      <c r="T1760">
        <v>114.235</v>
      </c>
      <c r="U1760">
        <v>1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s="1857" customFormat="1" hidden="1" outlineLevel="1">
      <c r="A1761" s="8">
        <v>44488</v>
      </c>
      <c r="B1761" s="1860">
        <v>3053.0409</v>
      </c>
      <c r="C1761" s="1860">
        <v>4094.7465499999998</v>
      </c>
      <c r="D1761" s="1860">
        <v>4392.8759799999998</v>
      </c>
      <c r="E1761" s="1860">
        <v>5205.4703200000004</v>
      </c>
      <c r="F1761">
        <v>33.015270000000001</v>
      </c>
      <c r="G1761" s="1861">
        <v>3772.49</v>
      </c>
      <c r="I1761">
        <v>0.80928999999999995</v>
      </c>
      <c r="J1761">
        <v>1.0854200000000001</v>
      </c>
      <c r="K1761">
        <v>1.16445</v>
      </c>
      <c r="L1761">
        <v>1.37985</v>
      </c>
      <c r="M1761">
        <v>8.7500000000000008E-3</v>
      </c>
      <c r="N1761">
        <v>1</v>
      </c>
      <c r="P1761">
        <v>1.2356499999999999</v>
      </c>
      <c r="Q1761">
        <v>0.92130000000000001</v>
      </c>
      <c r="R1761">
        <v>0.85877000000000003</v>
      </c>
      <c r="S1761">
        <v>0.72470999999999997</v>
      </c>
      <c r="T1761">
        <v>114.265</v>
      </c>
      <c r="U1761">
        <v>1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s="1857" customFormat="1" hidden="1" outlineLevel="1">
      <c r="A1762" s="8">
        <v>44489</v>
      </c>
      <c r="B1762" s="1860">
        <v>3057.7052600000002</v>
      </c>
      <c r="C1762" s="1860">
        <v>4095.6129299999998</v>
      </c>
      <c r="D1762" s="1860">
        <v>4387.5433599999997</v>
      </c>
      <c r="E1762" s="1860">
        <v>5204.0276100000001</v>
      </c>
      <c r="F1762">
        <v>32.952280000000002</v>
      </c>
      <c r="G1762" s="1861">
        <v>3766.94</v>
      </c>
      <c r="I1762">
        <v>0.81172</v>
      </c>
      <c r="J1762">
        <v>1.08725</v>
      </c>
      <c r="K1762">
        <v>1.16475</v>
      </c>
      <c r="L1762">
        <v>1.3815</v>
      </c>
      <c r="M1762">
        <v>8.7399999999999995E-3</v>
      </c>
      <c r="N1762">
        <v>1</v>
      </c>
      <c r="P1762">
        <v>1.2319500000000001</v>
      </c>
      <c r="Q1762">
        <v>0.91974999999999996</v>
      </c>
      <c r="R1762">
        <v>0.85855000000000004</v>
      </c>
      <c r="S1762">
        <v>0.72384999999999999</v>
      </c>
      <c r="T1762">
        <v>114.315</v>
      </c>
      <c r="U1762">
        <v>1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s="1857" customFormat="1" hidden="1" outlineLevel="1">
      <c r="A1763" s="8">
        <v>44490</v>
      </c>
      <c r="B1763" s="1860">
        <v>3058.3015599999999</v>
      </c>
      <c r="C1763" s="1860">
        <v>4109.4000299999998</v>
      </c>
      <c r="D1763" s="1860">
        <v>4391.2174599999998</v>
      </c>
      <c r="E1763" s="1860">
        <v>5211.1300799999999</v>
      </c>
      <c r="F1763">
        <v>33.111559999999997</v>
      </c>
      <c r="G1763" s="1861">
        <v>3770.58</v>
      </c>
      <c r="I1763">
        <v>0.81108999999999998</v>
      </c>
      <c r="J1763">
        <v>1.08985</v>
      </c>
      <c r="K1763">
        <v>1.1646000000000001</v>
      </c>
      <c r="L1763">
        <v>1.38205</v>
      </c>
      <c r="M1763">
        <v>8.7799999999999996E-3</v>
      </c>
      <c r="N1763">
        <v>1</v>
      </c>
      <c r="P1763">
        <v>1.2329000000000001</v>
      </c>
      <c r="Q1763">
        <v>0.91754999999999998</v>
      </c>
      <c r="R1763">
        <v>0.85865999999999998</v>
      </c>
      <c r="S1763">
        <v>0.72355999999999998</v>
      </c>
      <c r="T1763">
        <v>113.875</v>
      </c>
      <c r="U1763">
        <v>1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s="1857" customFormat="1" hidden="1" outlineLevel="1">
      <c r="A1764" s="8">
        <v>44491</v>
      </c>
      <c r="B1764" s="1860">
        <v>3062.4089300000001</v>
      </c>
      <c r="C1764" s="1860">
        <v>4130.4656299999997</v>
      </c>
      <c r="D1764" s="1860">
        <v>4406.2203399999999</v>
      </c>
      <c r="E1764" s="1860">
        <v>5210.5499200000004</v>
      </c>
      <c r="F1764">
        <v>33.305160000000001</v>
      </c>
      <c r="G1764" s="1861">
        <v>3783.3</v>
      </c>
      <c r="I1764">
        <v>0.80945</v>
      </c>
      <c r="J1764">
        <v>1.0917600000000001</v>
      </c>
      <c r="K1764">
        <v>1.16465</v>
      </c>
      <c r="L1764">
        <v>1.3772500000000001</v>
      </c>
      <c r="M1764">
        <v>8.8000000000000005E-3</v>
      </c>
      <c r="N1764">
        <v>1</v>
      </c>
      <c r="P1764">
        <v>1.2354000000000001</v>
      </c>
      <c r="Q1764">
        <v>0.91595000000000004</v>
      </c>
      <c r="R1764">
        <v>0.85862000000000005</v>
      </c>
      <c r="S1764">
        <v>0.72607999999999995</v>
      </c>
      <c r="T1764">
        <v>113.595</v>
      </c>
      <c r="U1764">
        <v>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s="1857" customFormat="1" hidden="1" outlineLevel="1">
      <c r="A1765" s="8">
        <v>44492</v>
      </c>
      <c r="B1765" s="1860">
        <v>3060.0453200000002</v>
      </c>
      <c r="C1765" s="1860">
        <v>4127.2776800000001</v>
      </c>
      <c r="D1765" s="1860">
        <v>4402.8195599999999</v>
      </c>
      <c r="E1765" s="1860">
        <v>5206.5283499999996</v>
      </c>
      <c r="F1765">
        <v>33.279449999999997</v>
      </c>
      <c r="G1765" s="1861">
        <v>3780.38</v>
      </c>
      <c r="I1765">
        <v>0.80945</v>
      </c>
      <c r="J1765">
        <v>1.0917600000000001</v>
      </c>
      <c r="K1765">
        <v>1.16465</v>
      </c>
      <c r="L1765">
        <v>1.3772500000000001</v>
      </c>
      <c r="M1765">
        <v>8.8000000000000005E-3</v>
      </c>
      <c r="N1765">
        <v>1</v>
      </c>
      <c r="P1765">
        <v>1.2354000000000001</v>
      </c>
      <c r="Q1765">
        <v>0.91595000000000004</v>
      </c>
      <c r="R1765">
        <v>0.85862000000000005</v>
      </c>
      <c r="S1765">
        <v>0.72607999999999995</v>
      </c>
      <c r="T1765">
        <v>113.595</v>
      </c>
      <c r="U1765">
        <v>1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idden="1" outlineLevel="1">
      <c r="A1766" s="8">
        <v>44493</v>
      </c>
      <c r="B1766" s="1860">
        <v>3060.0453200000002</v>
      </c>
      <c r="C1766" s="1860">
        <v>4127.2776800000001</v>
      </c>
      <c r="D1766" s="1860">
        <v>4402.8195599999999</v>
      </c>
      <c r="E1766" s="1860">
        <v>5206.5283499999996</v>
      </c>
      <c r="F1766">
        <v>33.279449999999997</v>
      </c>
      <c r="G1766" s="1861">
        <v>3780.38</v>
      </c>
      <c r="I1766">
        <v>0.80945</v>
      </c>
      <c r="J1766">
        <v>1.0917600000000001</v>
      </c>
      <c r="K1766">
        <v>1.16465</v>
      </c>
      <c r="L1766">
        <v>1.3772500000000001</v>
      </c>
      <c r="M1766">
        <v>8.8000000000000005E-3</v>
      </c>
      <c r="N1766">
        <v>1</v>
      </c>
      <c r="P1766">
        <v>1.2354000000000001</v>
      </c>
      <c r="Q1766">
        <v>0.91595000000000004</v>
      </c>
      <c r="R1766">
        <v>0.85862000000000005</v>
      </c>
      <c r="S1766">
        <v>0.72607999999999995</v>
      </c>
      <c r="T1766">
        <v>113.595</v>
      </c>
      <c r="U1766">
        <v>1</v>
      </c>
    </row>
    <row r="1767" spans="1:35" hidden="1" outlineLevel="1">
      <c r="A1767" s="8">
        <v>44494</v>
      </c>
      <c r="B1767" s="1860">
        <v>3055.8402700000001</v>
      </c>
      <c r="C1767" s="1860">
        <v>4111.1195600000001</v>
      </c>
      <c r="D1767" s="1860">
        <v>4390.1552899999997</v>
      </c>
      <c r="E1767" s="1860">
        <v>5205.3942399999996</v>
      </c>
      <c r="F1767">
        <v>33.267740000000003</v>
      </c>
      <c r="G1767" s="1861">
        <v>3780.38</v>
      </c>
      <c r="I1767">
        <v>0.80833999999999995</v>
      </c>
      <c r="J1767">
        <v>1.08748</v>
      </c>
      <c r="K1767">
        <v>1.1613</v>
      </c>
      <c r="L1767">
        <v>1.3769499999999999</v>
      </c>
      <c r="M1767">
        <v>8.8000000000000005E-3</v>
      </c>
      <c r="N1767">
        <v>1</v>
      </c>
      <c r="P1767">
        <v>1.2371000000000001</v>
      </c>
      <c r="Q1767">
        <v>0.91954999999999998</v>
      </c>
      <c r="R1767">
        <v>0.86109999999999998</v>
      </c>
      <c r="S1767">
        <v>0.72624</v>
      </c>
      <c r="T1767">
        <v>113.63500000000001</v>
      </c>
      <c r="U1767">
        <v>1</v>
      </c>
    </row>
    <row r="1768" spans="1:35" hidden="1" outlineLevel="1">
      <c r="A1768" s="8">
        <v>44495</v>
      </c>
      <c r="B1768" s="1860">
        <v>3045.0951</v>
      </c>
      <c r="C1768" s="1860">
        <v>4096.6911099999998</v>
      </c>
      <c r="D1768" s="1860">
        <v>4370.9148100000002</v>
      </c>
      <c r="E1768" s="1860">
        <v>5199.1794099999997</v>
      </c>
      <c r="F1768">
        <v>32.996189999999999</v>
      </c>
      <c r="G1768" s="1861">
        <v>3769.98</v>
      </c>
      <c r="I1768">
        <v>0.80771999999999999</v>
      </c>
      <c r="J1768">
        <v>1.08666</v>
      </c>
      <c r="K1768">
        <v>1.1594</v>
      </c>
      <c r="L1768">
        <v>1.3791</v>
      </c>
      <c r="M1768">
        <v>8.7500000000000008E-3</v>
      </c>
      <c r="N1768">
        <v>1</v>
      </c>
      <c r="P1768">
        <v>1.2380500000000001</v>
      </c>
      <c r="Q1768">
        <v>0.92025000000000001</v>
      </c>
      <c r="R1768">
        <v>0.86251</v>
      </c>
      <c r="S1768">
        <v>0.72511000000000003</v>
      </c>
      <c r="T1768">
        <v>114.255</v>
      </c>
      <c r="U1768">
        <v>1</v>
      </c>
    </row>
    <row r="1769" spans="1:35" hidden="1" outlineLevel="1">
      <c r="A1769" s="8">
        <v>44496</v>
      </c>
      <c r="B1769" s="1860">
        <v>3058.2239500000001</v>
      </c>
      <c r="C1769" s="1860">
        <v>4113.6286799999998</v>
      </c>
      <c r="D1769" s="1860">
        <v>4376.8638099999998</v>
      </c>
      <c r="E1769" s="1860">
        <v>5175.9169899999997</v>
      </c>
      <c r="F1769">
        <v>33.190809999999999</v>
      </c>
      <c r="G1769" s="1861">
        <v>3774.46</v>
      </c>
      <c r="I1769">
        <v>0.81023999999999996</v>
      </c>
      <c r="J1769">
        <v>1.08985</v>
      </c>
      <c r="K1769">
        <v>1.1596</v>
      </c>
      <c r="L1769">
        <v>1.3713</v>
      </c>
      <c r="M1769">
        <v>8.7899999999999992E-3</v>
      </c>
      <c r="N1769">
        <v>1</v>
      </c>
      <c r="P1769">
        <v>1.2342</v>
      </c>
      <c r="Q1769">
        <v>0.91754999999999998</v>
      </c>
      <c r="R1769">
        <v>0.86236000000000002</v>
      </c>
      <c r="S1769">
        <v>0.72923000000000004</v>
      </c>
      <c r="T1769">
        <v>113.72</v>
      </c>
      <c r="U1769">
        <v>1</v>
      </c>
    </row>
    <row r="1770" spans="1:35" hidden="1" outlineLevel="1">
      <c r="A1770" s="8">
        <v>44497</v>
      </c>
      <c r="B1770" s="1860">
        <v>3049.3412699999999</v>
      </c>
      <c r="C1770" s="1860">
        <v>4116.6858199999997</v>
      </c>
      <c r="D1770" s="1860">
        <v>4391.7768500000002</v>
      </c>
      <c r="E1770" s="1860">
        <v>5190.0936700000002</v>
      </c>
      <c r="F1770">
        <v>33.172020000000003</v>
      </c>
      <c r="G1770" s="1861">
        <v>3761.21</v>
      </c>
      <c r="I1770">
        <v>0.81072999999999995</v>
      </c>
      <c r="J1770">
        <v>1.0945100000000001</v>
      </c>
      <c r="K1770">
        <v>1.1676500000000001</v>
      </c>
      <c r="L1770">
        <v>1.3798999999999999</v>
      </c>
      <c r="M1770">
        <v>8.8100000000000001E-3</v>
      </c>
      <c r="N1770">
        <v>1</v>
      </c>
      <c r="P1770">
        <v>1.2334499999999999</v>
      </c>
      <c r="Q1770">
        <v>0.91364999999999996</v>
      </c>
      <c r="R1770">
        <v>0.85641999999999996</v>
      </c>
      <c r="S1770">
        <v>0.72468999999999995</v>
      </c>
      <c r="T1770">
        <v>113.38500000000001</v>
      </c>
      <c r="U1770">
        <v>1</v>
      </c>
    </row>
    <row r="1771" spans="1:35" hidden="1" outlineLevel="1">
      <c r="A1771" s="8">
        <v>44498</v>
      </c>
      <c r="B1771" s="1860">
        <v>3038.2800200000001</v>
      </c>
      <c r="C1771" s="1860">
        <v>4121.5868600000003</v>
      </c>
      <c r="D1771" s="1860">
        <v>4358.3192200000003</v>
      </c>
      <c r="E1771" s="1860">
        <v>5162.3815699999996</v>
      </c>
      <c r="F1771">
        <v>33.02872</v>
      </c>
      <c r="G1771" s="1861">
        <v>3766.1</v>
      </c>
      <c r="I1771">
        <v>0.80674000000000001</v>
      </c>
      <c r="J1771">
        <v>1.09439</v>
      </c>
      <c r="K1771">
        <v>1.1572499999999999</v>
      </c>
      <c r="L1771">
        <v>1.3707499999999999</v>
      </c>
      <c r="M1771">
        <v>8.77E-3</v>
      </c>
      <c r="N1771">
        <v>1</v>
      </c>
      <c r="P1771">
        <v>1.2395499999999999</v>
      </c>
      <c r="Q1771">
        <v>0.91374999999999995</v>
      </c>
      <c r="R1771">
        <v>0.86411000000000004</v>
      </c>
      <c r="S1771">
        <v>0.72951999999999995</v>
      </c>
      <c r="T1771">
        <v>114.02500000000001</v>
      </c>
      <c r="U1771">
        <v>1</v>
      </c>
    </row>
    <row r="1772" spans="1:35" hidden="1" outlineLevel="1">
      <c r="A1772" s="8">
        <v>44499</v>
      </c>
      <c r="B1772" s="1860">
        <v>3053.0757100000001</v>
      </c>
      <c r="C1772" s="1860">
        <v>4141.6580000000004</v>
      </c>
      <c r="D1772" s="1860">
        <v>4379.5431900000003</v>
      </c>
      <c r="E1772" s="1860">
        <v>5187.5211300000001</v>
      </c>
      <c r="F1772">
        <v>33.18956</v>
      </c>
      <c r="G1772" s="1861">
        <v>3784.44</v>
      </c>
      <c r="I1772">
        <v>0.80674000000000001</v>
      </c>
      <c r="J1772">
        <v>1.09439</v>
      </c>
      <c r="K1772">
        <v>1.1572499999999999</v>
      </c>
      <c r="L1772">
        <v>1.3707499999999999</v>
      </c>
      <c r="M1772">
        <v>8.77E-3</v>
      </c>
      <c r="N1772">
        <v>1</v>
      </c>
      <c r="P1772">
        <v>1.2395499999999999</v>
      </c>
      <c r="Q1772">
        <v>0.91374999999999995</v>
      </c>
      <c r="R1772">
        <v>0.86411000000000004</v>
      </c>
      <c r="S1772">
        <v>0.72951999999999995</v>
      </c>
      <c r="T1772">
        <v>114.02500000000001</v>
      </c>
      <c r="U1772">
        <v>1</v>
      </c>
    </row>
    <row r="1773" spans="1:35" ht="15.75" hidden="1" outlineLevel="1" thickBot="1">
      <c r="A1773" s="1868">
        <v>44500</v>
      </c>
      <c r="B1773" s="1869">
        <v>3053.0757100000001</v>
      </c>
      <c r="C1773" s="1869">
        <v>4141.6580000000004</v>
      </c>
      <c r="D1773" s="1869">
        <v>4379.5431900000003</v>
      </c>
      <c r="E1773" s="1869">
        <v>5187.5211300000001</v>
      </c>
      <c r="F1773" s="1870">
        <v>33.18956</v>
      </c>
      <c r="G1773" s="1871">
        <v>3784.44</v>
      </c>
      <c r="H1773" s="1872"/>
      <c r="I1773" s="1870">
        <v>0.80674000000000001</v>
      </c>
      <c r="J1773" s="1870">
        <v>1.09439</v>
      </c>
      <c r="K1773" s="1870">
        <v>1.1572499999999999</v>
      </c>
      <c r="L1773" s="1870">
        <v>1.3707499999999999</v>
      </c>
      <c r="M1773" s="1870">
        <v>8.77E-3</v>
      </c>
      <c r="N1773" s="1870">
        <v>1</v>
      </c>
      <c r="O1773" s="1872"/>
      <c r="P1773" s="1870">
        <v>1.2395499999999999</v>
      </c>
      <c r="Q1773" s="1870">
        <v>0.91374999999999995</v>
      </c>
      <c r="R1773" s="1870">
        <v>0.86411000000000004</v>
      </c>
      <c r="S1773" s="1870">
        <v>0.72951999999999995</v>
      </c>
      <c r="T1773" s="1870">
        <v>114.02500000000001</v>
      </c>
      <c r="U1773" s="1870">
        <v>1</v>
      </c>
      <c r="V1773" s="1872"/>
    </row>
    <row r="1774" spans="1:35" hidden="1" outlineLevel="1">
      <c r="A1774" s="8">
        <v>44501</v>
      </c>
      <c r="B1774" s="1860">
        <v>3063.0837700000002</v>
      </c>
      <c r="C1774" s="1860">
        <v>4156.2132700000002</v>
      </c>
      <c r="D1774" s="1860">
        <v>4386.3551799999996</v>
      </c>
      <c r="E1774" s="1860">
        <v>5175.7893599999998</v>
      </c>
      <c r="F1774">
        <v>33.140149999999998</v>
      </c>
      <c r="G1774" s="1861">
        <v>3784.44</v>
      </c>
      <c r="I1774">
        <v>0.80937999999999999</v>
      </c>
      <c r="J1774">
        <v>1.09823</v>
      </c>
      <c r="K1774">
        <v>1.1590499999999999</v>
      </c>
      <c r="L1774">
        <v>1.36765</v>
      </c>
      <c r="M1774">
        <v>8.7500000000000008E-3</v>
      </c>
      <c r="N1774">
        <v>1</v>
      </c>
      <c r="P1774">
        <v>1.2355</v>
      </c>
      <c r="Q1774">
        <v>0.91054999999999997</v>
      </c>
      <c r="R1774">
        <v>0.86277000000000004</v>
      </c>
      <c r="S1774">
        <v>0.73118000000000005</v>
      </c>
      <c r="T1774">
        <v>114.19499999999999</v>
      </c>
      <c r="U1774">
        <v>1</v>
      </c>
    </row>
    <row r="1775" spans="1:35" hidden="1" outlineLevel="1">
      <c r="A1775" s="8">
        <v>44502</v>
      </c>
      <c r="B1775" s="1860">
        <v>3046.6851799999999</v>
      </c>
      <c r="C1775" s="1860">
        <v>4137.5826800000004</v>
      </c>
      <c r="D1775" s="1860">
        <v>4382.3815199999999</v>
      </c>
      <c r="E1775" s="1860">
        <v>5151.0012800000004</v>
      </c>
      <c r="F1775">
        <v>33.256639999999997</v>
      </c>
      <c r="G1775" s="1861">
        <v>3784.44</v>
      </c>
      <c r="I1775">
        <v>0.80505000000000004</v>
      </c>
      <c r="J1775">
        <v>1.09331</v>
      </c>
      <c r="K1775">
        <v>1.1579999999999999</v>
      </c>
      <c r="L1775">
        <v>1.3611</v>
      </c>
      <c r="M1775">
        <v>8.7799999999999996E-3</v>
      </c>
      <c r="N1775">
        <v>1</v>
      </c>
      <c r="P1775">
        <v>1.2421500000000001</v>
      </c>
      <c r="Q1775">
        <v>0.91464999999999996</v>
      </c>
      <c r="R1775">
        <v>0.86355000000000004</v>
      </c>
      <c r="S1775">
        <v>0.73468999999999995</v>
      </c>
      <c r="T1775">
        <v>113.795</v>
      </c>
      <c r="U1775">
        <v>1</v>
      </c>
    </row>
    <row r="1776" spans="1:35" hidden="1" outlineLevel="1">
      <c r="A1776" s="8">
        <v>44503</v>
      </c>
      <c r="B1776" s="1860">
        <v>3043.1585700000001</v>
      </c>
      <c r="C1776" s="1860">
        <v>4142.8461699999998</v>
      </c>
      <c r="D1776" s="1860">
        <v>4377.4234299999998</v>
      </c>
      <c r="E1776" s="1860">
        <v>5161.6905399999996</v>
      </c>
      <c r="F1776">
        <v>33.124609999999997</v>
      </c>
      <c r="G1776" s="1861">
        <v>3778.69</v>
      </c>
      <c r="I1776">
        <v>0.80533999999999994</v>
      </c>
      <c r="J1776">
        <v>1.0963700000000001</v>
      </c>
      <c r="K1776">
        <v>1.15845</v>
      </c>
      <c r="L1776">
        <v>1.3660000000000001</v>
      </c>
      <c r="M1776">
        <v>8.7600000000000004E-3</v>
      </c>
      <c r="N1776">
        <v>1</v>
      </c>
      <c r="P1776">
        <v>1.2417</v>
      </c>
      <c r="Q1776">
        <v>0.91210000000000002</v>
      </c>
      <c r="R1776">
        <v>0.86321999999999999</v>
      </c>
      <c r="S1776">
        <v>0.73206000000000004</v>
      </c>
      <c r="T1776">
        <v>114.075</v>
      </c>
      <c r="U1776">
        <v>1</v>
      </c>
    </row>
    <row r="1777" spans="1:35" hidden="1" outlineLevel="1">
      <c r="A1777" s="8">
        <v>44504</v>
      </c>
      <c r="B1777" s="1860">
        <v>3079.6340799999998</v>
      </c>
      <c r="C1777" s="1860">
        <v>4204.2394599999998</v>
      </c>
      <c r="D1777" s="1860">
        <v>4430.9781700000003</v>
      </c>
      <c r="E1777" s="1860">
        <v>5178.2056199999997</v>
      </c>
      <c r="F1777">
        <v>33.773389999999999</v>
      </c>
      <c r="G1777" s="1861">
        <v>3837.84</v>
      </c>
      <c r="I1777">
        <v>0.80242999999999998</v>
      </c>
      <c r="J1777">
        <v>1.0954699999999999</v>
      </c>
      <c r="K1777">
        <v>1.15455</v>
      </c>
      <c r="L1777">
        <v>1.3492500000000001</v>
      </c>
      <c r="M1777">
        <v>8.8000000000000005E-3</v>
      </c>
      <c r="N1777">
        <v>1</v>
      </c>
      <c r="P1777">
        <v>1.2462</v>
      </c>
      <c r="Q1777">
        <v>0.91285000000000005</v>
      </c>
      <c r="R1777">
        <v>0.86612999999999996</v>
      </c>
      <c r="S1777">
        <v>0.74114999999999998</v>
      </c>
      <c r="T1777">
        <v>113.63500000000001</v>
      </c>
      <c r="U1777">
        <v>1</v>
      </c>
    </row>
    <row r="1778" spans="1:35" hidden="1" outlineLevel="1">
      <c r="A1778" s="8">
        <v>44505</v>
      </c>
      <c r="B1778" s="1860">
        <v>3092.88958</v>
      </c>
      <c r="C1778" s="1860">
        <v>4212.8661300000003</v>
      </c>
      <c r="D1778" s="1860">
        <v>4445.4783299999999</v>
      </c>
      <c r="E1778" s="1860">
        <v>5190.1426000000001</v>
      </c>
      <c r="F1778">
        <v>33.909739999999999</v>
      </c>
      <c r="G1778" s="1861">
        <v>3847.4</v>
      </c>
      <c r="I1778">
        <v>0.80388999999999999</v>
      </c>
      <c r="J1778">
        <v>1.0949899999999999</v>
      </c>
      <c r="K1778">
        <v>1.1554500000000001</v>
      </c>
      <c r="L1778">
        <v>1.349</v>
      </c>
      <c r="M1778">
        <v>8.8100000000000001E-3</v>
      </c>
      <c r="N1778">
        <v>1</v>
      </c>
      <c r="P1778">
        <v>1.2439499999999999</v>
      </c>
      <c r="Q1778">
        <v>0.91325000000000001</v>
      </c>
      <c r="R1778">
        <v>0.86546000000000001</v>
      </c>
      <c r="S1778">
        <v>0.74128000000000005</v>
      </c>
      <c r="T1778">
        <v>113.46</v>
      </c>
      <c r="U1778">
        <v>1</v>
      </c>
    </row>
    <row r="1779" spans="1:35" hidden="1" outlineLevel="1">
      <c r="A1779" s="8">
        <v>44506</v>
      </c>
      <c r="B1779" s="1860">
        <v>3120.51127</v>
      </c>
      <c r="C1779" s="1860">
        <v>4250.49</v>
      </c>
      <c r="D1779" s="1860">
        <v>4485.1795899999997</v>
      </c>
      <c r="E1779" s="1860">
        <v>5236.49424</v>
      </c>
      <c r="F1779">
        <v>34.212580000000003</v>
      </c>
      <c r="G1779" s="1861">
        <v>3881.76</v>
      </c>
      <c r="I1779">
        <v>0.80388999999999999</v>
      </c>
      <c r="J1779">
        <v>1.0949899999999999</v>
      </c>
      <c r="K1779">
        <v>1.1554500000000001</v>
      </c>
      <c r="L1779">
        <v>1.349</v>
      </c>
      <c r="M1779">
        <v>8.8100000000000001E-3</v>
      </c>
      <c r="N1779">
        <v>1</v>
      </c>
      <c r="P1779">
        <v>1.2439499999999999</v>
      </c>
      <c r="Q1779">
        <v>0.91325000000000001</v>
      </c>
      <c r="R1779">
        <v>0.86546000000000001</v>
      </c>
      <c r="S1779">
        <v>0.74128000000000005</v>
      </c>
      <c r="T1779">
        <v>113.46</v>
      </c>
      <c r="U1779">
        <v>1</v>
      </c>
    </row>
    <row r="1780" spans="1:35" hidden="1" outlineLevel="1">
      <c r="A1780" s="8">
        <v>44507</v>
      </c>
      <c r="B1780" s="1860">
        <v>3120.51127</v>
      </c>
      <c r="C1780" s="1860">
        <v>4250.49</v>
      </c>
      <c r="D1780" s="1860">
        <v>4485.1795899999997</v>
      </c>
      <c r="E1780" s="1860">
        <v>5236.49424</v>
      </c>
      <c r="F1780">
        <v>34.212580000000003</v>
      </c>
      <c r="G1780" s="1861">
        <v>3881.76</v>
      </c>
      <c r="I1780">
        <v>0.80388999999999999</v>
      </c>
      <c r="J1780">
        <v>1.0949899999999999</v>
      </c>
      <c r="K1780">
        <v>1.1554500000000001</v>
      </c>
      <c r="L1780">
        <v>1.349</v>
      </c>
      <c r="M1780">
        <v>8.8100000000000001E-3</v>
      </c>
      <c r="N1780">
        <v>1</v>
      </c>
      <c r="P1780">
        <v>1.2439499999999999</v>
      </c>
      <c r="Q1780">
        <v>0.91325000000000001</v>
      </c>
      <c r="R1780">
        <v>0.86546000000000001</v>
      </c>
      <c r="S1780">
        <v>0.74128000000000005</v>
      </c>
      <c r="T1780">
        <v>113.46</v>
      </c>
      <c r="U1780">
        <v>1</v>
      </c>
    </row>
    <row r="1781" spans="1:35" hidden="1" outlineLevel="1">
      <c r="A1781" s="8">
        <v>44508</v>
      </c>
      <c r="B1781" s="1860">
        <v>3119.2575000000002</v>
      </c>
      <c r="C1781" s="1860">
        <v>4250.0246299999999</v>
      </c>
      <c r="D1781" s="1860">
        <v>4498.5716599999996</v>
      </c>
      <c r="E1781" s="1860">
        <v>5264.6369999999997</v>
      </c>
      <c r="F1781">
        <v>34.292679999999997</v>
      </c>
      <c r="G1781" s="1861">
        <v>3881.76</v>
      </c>
      <c r="I1781">
        <v>0.80356000000000005</v>
      </c>
      <c r="J1781">
        <v>1.09487</v>
      </c>
      <c r="K1781">
        <v>1.1589</v>
      </c>
      <c r="L1781">
        <v>1.35625</v>
      </c>
      <c r="M1781">
        <v>8.8299999999999993E-3</v>
      </c>
      <c r="N1781">
        <v>1</v>
      </c>
      <c r="P1781">
        <v>1.2444500000000001</v>
      </c>
      <c r="Q1781">
        <v>0.91335</v>
      </c>
      <c r="R1781">
        <v>0.86287999999999998</v>
      </c>
      <c r="S1781">
        <v>0.73731999999999998</v>
      </c>
      <c r="T1781">
        <v>113.19499999999999</v>
      </c>
      <c r="U1781">
        <v>1</v>
      </c>
    </row>
    <row r="1782" spans="1:35" s="1857" customFormat="1" hidden="1" outlineLevel="1">
      <c r="A1782" s="8">
        <v>44509</v>
      </c>
      <c r="B1782" s="1860">
        <v>3109.60311</v>
      </c>
      <c r="C1782" s="1860">
        <v>4243.37111</v>
      </c>
      <c r="D1782" s="1860">
        <v>4488.3102600000002</v>
      </c>
      <c r="E1782" s="1860">
        <v>5250.4067100000002</v>
      </c>
      <c r="F1782">
        <v>34.306539999999998</v>
      </c>
      <c r="G1782" s="1861">
        <v>3874.41</v>
      </c>
      <c r="I1782">
        <v>0.80259999999999998</v>
      </c>
      <c r="J1782">
        <v>1.0952299999999999</v>
      </c>
      <c r="K1782">
        <v>1.15845</v>
      </c>
      <c r="L1782">
        <v>1.3551500000000001</v>
      </c>
      <c r="M1782">
        <v>8.8500000000000002E-3</v>
      </c>
      <c r="N1782">
        <v>1</v>
      </c>
      <c r="P1782">
        <v>1.2459499999999999</v>
      </c>
      <c r="Q1782">
        <v>0.91305000000000003</v>
      </c>
      <c r="R1782">
        <v>0.86321999999999999</v>
      </c>
      <c r="S1782">
        <v>0.73792000000000002</v>
      </c>
      <c r="T1782">
        <v>112.935</v>
      </c>
      <c r="U1782">
        <v>1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s="1857" customFormat="1" hidden="1" outlineLevel="1">
      <c r="A1783" s="8">
        <v>44510</v>
      </c>
      <c r="B1783" s="1860">
        <v>3115.5703699999999</v>
      </c>
      <c r="C1783" s="1860">
        <v>4231.2250999999997</v>
      </c>
      <c r="D1783" s="1860">
        <v>4465.5611900000004</v>
      </c>
      <c r="E1783" s="1860">
        <v>5223.4873200000002</v>
      </c>
      <c r="F1783">
        <v>34.035899999999998</v>
      </c>
      <c r="G1783" s="1861">
        <v>3876.86</v>
      </c>
      <c r="I1783">
        <v>0.80362999999999996</v>
      </c>
      <c r="J1783">
        <v>1.0913999999999999</v>
      </c>
      <c r="K1783">
        <v>1.15185</v>
      </c>
      <c r="L1783">
        <v>1.34735</v>
      </c>
      <c r="M1783">
        <v>8.77E-3</v>
      </c>
      <c r="N1783">
        <v>1</v>
      </c>
      <c r="P1783">
        <v>1.2443500000000001</v>
      </c>
      <c r="Q1783">
        <v>0.91625000000000001</v>
      </c>
      <c r="R1783">
        <v>0.86816000000000004</v>
      </c>
      <c r="S1783">
        <v>0.74219000000000002</v>
      </c>
      <c r="T1783">
        <v>113.905</v>
      </c>
      <c r="U1783">
        <v>1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s="1857" customFormat="1" hidden="1" outlineLevel="1">
      <c r="A1784" s="8">
        <v>44511</v>
      </c>
      <c r="B1784" s="1860">
        <v>3080.0985500000002</v>
      </c>
      <c r="C1784" s="1860">
        <v>4210.9964099999997</v>
      </c>
      <c r="D1784" s="1860">
        <v>4445.4483899999996</v>
      </c>
      <c r="E1784" s="1860">
        <v>5188.9400500000002</v>
      </c>
      <c r="F1784">
        <v>34.003500000000003</v>
      </c>
      <c r="G1784" s="1861">
        <v>3875.38</v>
      </c>
      <c r="I1784">
        <v>0.79478000000000004</v>
      </c>
      <c r="J1784">
        <v>1.0866</v>
      </c>
      <c r="K1784">
        <v>1.1471</v>
      </c>
      <c r="L1784">
        <v>1.3389500000000001</v>
      </c>
      <c r="M1784">
        <v>8.77E-3</v>
      </c>
      <c r="N1784">
        <v>1</v>
      </c>
      <c r="P1784">
        <v>1.2582</v>
      </c>
      <c r="Q1784">
        <v>0.92030000000000001</v>
      </c>
      <c r="R1784">
        <v>0.87175999999999998</v>
      </c>
      <c r="S1784">
        <v>0.74685000000000001</v>
      </c>
      <c r="T1784">
        <v>113.97</v>
      </c>
      <c r="U1784">
        <v>1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s="1857" customFormat="1" hidden="1" outlineLevel="1">
      <c r="A1785" s="8">
        <v>44512</v>
      </c>
      <c r="B1785" s="1860">
        <v>3082.0582100000001</v>
      </c>
      <c r="C1785" s="1860">
        <v>4204.8282900000004</v>
      </c>
      <c r="D1785" s="1860">
        <v>4435.1786400000001</v>
      </c>
      <c r="E1785" s="1860">
        <v>5191.0715099999998</v>
      </c>
      <c r="F1785">
        <v>34.007980000000003</v>
      </c>
      <c r="G1785" s="1861">
        <v>3875.38</v>
      </c>
      <c r="I1785">
        <v>0.79529000000000005</v>
      </c>
      <c r="J1785">
        <v>1.08501</v>
      </c>
      <c r="K1785">
        <v>1.14445</v>
      </c>
      <c r="L1785">
        <v>1.3394999999999999</v>
      </c>
      <c r="M1785">
        <v>8.77E-3</v>
      </c>
      <c r="N1785">
        <v>1</v>
      </c>
      <c r="P1785">
        <v>1.2574000000000001</v>
      </c>
      <c r="Q1785">
        <v>0.92164999999999997</v>
      </c>
      <c r="R1785">
        <v>0.87378</v>
      </c>
      <c r="S1785">
        <v>0.74653999999999998</v>
      </c>
      <c r="T1785">
        <v>113.955</v>
      </c>
      <c r="U1785">
        <v>1</v>
      </c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s="1857" customFormat="1" hidden="1" outlineLevel="1">
      <c r="A1786" s="8">
        <v>44513</v>
      </c>
      <c r="B1786" s="1860">
        <v>3092.5162999999998</v>
      </c>
      <c r="C1786" s="1860">
        <v>4219.0961799999995</v>
      </c>
      <c r="D1786" s="1860">
        <v>4450.2281499999999</v>
      </c>
      <c r="E1786" s="1860">
        <v>5208.6859299999996</v>
      </c>
      <c r="F1786">
        <v>34.123379999999997</v>
      </c>
      <c r="G1786" s="1861">
        <v>3888.53</v>
      </c>
      <c r="I1786">
        <v>0.79529000000000005</v>
      </c>
      <c r="J1786">
        <v>1.08501</v>
      </c>
      <c r="K1786">
        <v>1.14445</v>
      </c>
      <c r="L1786">
        <v>1.3394999999999999</v>
      </c>
      <c r="M1786">
        <v>8.77E-3</v>
      </c>
      <c r="N1786">
        <v>1</v>
      </c>
      <c r="P1786">
        <v>1.2574000000000001</v>
      </c>
      <c r="Q1786">
        <v>0.92164999999999997</v>
      </c>
      <c r="R1786">
        <v>0.87378</v>
      </c>
      <c r="S1786">
        <v>0.74653999999999998</v>
      </c>
      <c r="T1786">
        <v>113.955</v>
      </c>
      <c r="U1786">
        <v>1</v>
      </c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s="1857" customFormat="1" hidden="1" outlineLevel="1">
      <c r="A1787" s="8">
        <v>44514</v>
      </c>
      <c r="B1787" s="1860">
        <v>3092.5162999999998</v>
      </c>
      <c r="C1787" s="1860">
        <v>4219.0961799999995</v>
      </c>
      <c r="D1787" s="1860">
        <v>4450.2281499999999</v>
      </c>
      <c r="E1787" s="1860">
        <v>5208.6859299999996</v>
      </c>
      <c r="F1787">
        <v>34.123379999999997</v>
      </c>
      <c r="G1787" s="1861">
        <v>3888.53</v>
      </c>
      <c r="I1787">
        <v>0.79529000000000005</v>
      </c>
      <c r="J1787">
        <v>1.08501</v>
      </c>
      <c r="K1787">
        <v>1.14445</v>
      </c>
      <c r="L1787">
        <v>1.3394999999999999</v>
      </c>
      <c r="M1787">
        <v>8.77E-3</v>
      </c>
      <c r="N1787">
        <v>1</v>
      </c>
      <c r="P1787">
        <v>1.2574000000000001</v>
      </c>
      <c r="Q1787">
        <v>0.92164999999999997</v>
      </c>
      <c r="R1787">
        <v>0.87378</v>
      </c>
      <c r="S1787">
        <v>0.74653999999999998</v>
      </c>
      <c r="T1787">
        <v>113.955</v>
      </c>
      <c r="U1787">
        <v>1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s="1857" customFormat="1" hidden="1" outlineLevel="1">
      <c r="A1788" s="8">
        <v>44515</v>
      </c>
      <c r="B1788" s="1860">
        <v>3104.7387100000001</v>
      </c>
      <c r="C1788" s="1860">
        <v>4216.80854</v>
      </c>
      <c r="D1788" s="1860">
        <v>4440.8956799999996</v>
      </c>
      <c r="E1788" s="1860">
        <v>5223.0734899999998</v>
      </c>
      <c r="F1788">
        <v>34.11739</v>
      </c>
      <c r="G1788" s="1861">
        <v>3888.53</v>
      </c>
      <c r="I1788">
        <v>0.79842999999999997</v>
      </c>
      <c r="J1788">
        <v>1.0844199999999999</v>
      </c>
      <c r="K1788">
        <v>1.14205</v>
      </c>
      <c r="L1788">
        <v>1.3431999999999999</v>
      </c>
      <c r="M1788">
        <v>8.77E-3</v>
      </c>
      <c r="N1788">
        <v>1</v>
      </c>
      <c r="P1788">
        <v>1.2524500000000001</v>
      </c>
      <c r="Q1788">
        <v>0.92215000000000003</v>
      </c>
      <c r="R1788">
        <v>0.87561</v>
      </c>
      <c r="S1788">
        <v>0.74448999999999999</v>
      </c>
      <c r="T1788">
        <v>113.97499999999999</v>
      </c>
      <c r="U1788">
        <v>1</v>
      </c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s="1857" customFormat="1" hidden="1" outlineLevel="1">
      <c r="A1789" s="8">
        <v>44516</v>
      </c>
      <c r="B1789" s="1860">
        <v>3100.0358700000002</v>
      </c>
      <c r="C1789" s="1860">
        <v>4187.9698399999997</v>
      </c>
      <c r="D1789" s="1860">
        <v>4413.6759700000002</v>
      </c>
      <c r="E1789" s="1860">
        <v>5218.6016799999998</v>
      </c>
      <c r="F1789">
        <v>33.93873</v>
      </c>
      <c r="G1789" s="1861">
        <v>3888.53</v>
      </c>
      <c r="I1789">
        <v>0.79722000000000004</v>
      </c>
      <c r="J1789">
        <v>1.077</v>
      </c>
      <c r="K1789">
        <v>1.1350499999999999</v>
      </c>
      <c r="L1789">
        <v>1.34205</v>
      </c>
      <c r="M1789">
        <v>8.7200000000000003E-3</v>
      </c>
      <c r="N1789">
        <v>1</v>
      </c>
      <c r="P1789">
        <v>1.2543500000000001</v>
      </c>
      <c r="Q1789">
        <v>0.92849999999999999</v>
      </c>
      <c r="R1789">
        <v>0.88100999999999996</v>
      </c>
      <c r="S1789">
        <v>0.74512</v>
      </c>
      <c r="T1789">
        <v>114.575</v>
      </c>
      <c r="U1789">
        <v>1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s="1857" customFormat="1" hidden="1" outlineLevel="1">
      <c r="A1790" s="8">
        <v>44517</v>
      </c>
      <c r="B1790" s="1860">
        <v>3095.6687400000001</v>
      </c>
      <c r="C1790" s="1860">
        <v>4194.3305899999996</v>
      </c>
      <c r="D1790" s="1860">
        <v>4408.8082700000004</v>
      </c>
      <c r="E1790" s="1860">
        <v>5249.5931099999998</v>
      </c>
      <c r="F1790">
        <v>34.037619999999997</v>
      </c>
      <c r="G1790" s="1861">
        <v>3898.84</v>
      </c>
      <c r="I1790">
        <v>0.79398999999999997</v>
      </c>
      <c r="J1790">
        <v>1.07578</v>
      </c>
      <c r="K1790">
        <v>1.1308</v>
      </c>
      <c r="L1790">
        <v>1.3464499999999999</v>
      </c>
      <c r="M1790">
        <v>8.7299999999999999E-3</v>
      </c>
      <c r="N1790">
        <v>1</v>
      </c>
      <c r="P1790">
        <v>1.25945</v>
      </c>
      <c r="Q1790">
        <v>0.92954999999999999</v>
      </c>
      <c r="R1790">
        <v>0.88431999999999999</v>
      </c>
      <c r="S1790">
        <v>0.74268999999999996</v>
      </c>
      <c r="T1790">
        <v>114.545</v>
      </c>
      <c r="U1790">
        <v>1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s="1857" customFormat="1" hidden="1" outlineLevel="1">
      <c r="A1791" s="8">
        <v>44518</v>
      </c>
      <c r="B1791" s="1860">
        <v>3091.2434699999999</v>
      </c>
      <c r="C1791" s="1860">
        <v>4220.0205100000003</v>
      </c>
      <c r="D1791" s="1860">
        <v>4434.9370500000005</v>
      </c>
      <c r="E1791" s="1860">
        <v>5266.9396100000004</v>
      </c>
      <c r="F1791">
        <v>34.194769999999998</v>
      </c>
      <c r="G1791" s="1861">
        <v>3907.95</v>
      </c>
      <c r="I1791">
        <v>0.79100999999999999</v>
      </c>
      <c r="J1791">
        <v>1.07985</v>
      </c>
      <c r="K1791">
        <v>1.1348499999999999</v>
      </c>
      <c r="L1791">
        <v>1.34775</v>
      </c>
      <c r="M1791">
        <v>8.7500000000000008E-3</v>
      </c>
      <c r="N1791">
        <v>1</v>
      </c>
      <c r="P1791">
        <v>1.2642</v>
      </c>
      <c r="Q1791">
        <v>0.92605000000000004</v>
      </c>
      <c r="R1791">
        <v>0.88117000000000001</v>
      </c>
      <c r="S1791">
        <v>0.74197000000000002</v>
      </c>
      <c r="T1791">
        <v>114.285</v>
      </c>
      <c r="U1791">
        <v>1</v>
      </c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s="1857" customFormat="1" hidden="1" outlineLevel="1">
      <c r="A1792" s="8">
        <v>44519</v>
      </c>
      <c r="B1792" s="1860">
        <v>3118.8152399999999</v>
      </c>
      <c r="C1792" s="1860">
        <v>4255.1173399999998</v>
      </c>
      <c r="D1792" s="1860">
        <v>4462.9768999999997</v>
      </c>
      <c r="E1792" s="1860">
        <v>5307.4624299999996</v>
      </c>
      <c r="F1792">
        <v>34.6325</v>
      </c>
      <c r="G1792" s="1861">
        <v>3943.43</v>
      </c>
      <c r="I1792">
        <v>0.79088000000000003</v>
      </c>
      <c r="J1792">
        <v>1.0790299999999999</v>
      </c>
      <c r="K1792">
        <v>1.13175</v>
      </c>
      <c r="L1792">
        <v>1.3459000000000001</v>
      </c>
      <c r="M1792">
        <v>8.7799999999999996E-3</v>
      </c>
      <c r="N1792">
        <v>1</v>
      </c>
      <c r="P1792">
        <v>1.2644</v>
      </c>
      <c r="Q1792">
        <v>0.92674999999999996</v>
      </c>
      <c r="R1792">
        <v>0.88358000000000003</v>
      </c>
      <c r="S1792">
        <v>0.74299000000000004</v>
      </c>
      <c r="T1792">
        <v>113.86499999999999</v>
      </c>
      <c r="U1792">
        <v>1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s="1857" customFormat="1" hidden="1" outlineLevel="1">
      <c r="A1793" s="8">
        <v>44520</v>
      </c>
      <c r="B1793" s="1860">
        <v>3103.0765500000002</v>
      </c>
      <c r="C1793" s="1860">
        <v>4233.6444499999998</v>
      </c>
      <c r="D1793" s="1860">
        <v>4440.45507</v>
      </c>
      <c r="E1793" s="1860">
        <v>5280.6790199999996</v>
      </c>
      <c r="F1793">
        <v>34.457729999999998</v>
      </c>
      <c r="G1793" s="1861">
        <v>3923.53</v>
      </c>
      <c r="I1793">
        <v>0.79088000000000003</v>
      </c>
      <c r="J1793">
        <v>1.0790299999999999</v>
      </c>
      <c r="K1793">
        <v>1.13175</v>
      </c>
      <c r="L1793">
        <v>1.3459000000000001</v>
      </c>
      <c r="M1793">
        <v>8.7799999999999996E-3</v>
      </c>
      <c r="N1793">
        <v>1</v>
      </c>
      <c r="P1793">
        <v>1.2644</v>
      </c>
      <c r="Q1793">
        <v>0.92674999999999996</v>
      </c>
      <c r="R1793">
        <v>0.88358000000000003</v>
      </c>
      <c r="S1793">
        <v>0.74299000000000004</v>
      </c>
      <c r="T1793">
        <v>113.86499999999999</v>
      </c>
      <c r="U1793">
        <v>1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s="1857" customFormat="1" hidden="1" outlineLevel="1">
      <c r="A1794" s="8">
        <v>44521</v>
      </c>
      <c r="B1794" s="1860">
        <v>3103.0765500000002</v>
      </c>
      <c r="C1794" s="1860">
        <v>4233.6444499999998</v>
      </c>
      <c r="D1794" s="1860">
        <v>4440.45507</v>
      </c>
      <c r="E1794" s="1860">
        <v>5280.6790199999996</v>
      </c>
      <c r="F1794">
        <v>34.457729999999998</v>
      </c>
      <c r="G1794" s="1861">
        <v>3923.53</v>
      </c>
      <c r="I1794">
        <v>0.79088000000000003</v>
      </c>
      <c r="J1794">
        <v>1.0790299999999999</v>
      </c>
      <c r="K1794">
        <v>1.13175</v>
      </c>
      <c r="L1794">
        <v>1.3459000000000001</v>
      </c>
      <c r="M1794">
        <v>8.7799999999999996E-3</v>
      </c>
      <c r="N1794">
        <v>1</v>
      </c>
      <c r="P1794">
        <v>1.2644</v>
      </c>
      <c r="Q1794">
        <v>0.92674999999999996</v>
      </c>
      <c r="R1794">
        <v>0.88358000000000003</v>
      </c>
      <c r="S1794">
        <v>0.74299000000000004</v>
      </c>
      <c r="T1794">
        <v>113.86499999999999</v>
      </c>
      <c r="U1794">
        <v>1</v>
      </c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s="1857" customFormat="1" hidden="1" outlineLevel="1">
      <c r="A1795" s="8">
        <v>44522</v>
      </c>
      <c r="B1795" s="1860">
        <v>3094.6326399999998</v>
      </c>
      <c r="C1795" s="1860">
        <v>4211.3776600000001</v>
      </c>
      <c r="D1795" s="1860">
        <v>4412.5980099999997</v>
      </c>
      <c r="E1795" s="1860">
        <v>5257.5302000000001</v>
      </c>
      <c r="F1795">
        <v>34.193469999999998</v>
      </c>
      <c r="G1795" s="1861">
        <v>3923.53</v>
      </c>
      <c r="I1795">
        <v>0.78873000000000004</v>
      </c>
      <c r="J1795">
        <v>1.0733600000000001</v>
      </c>
      <c r="K1795">
        <v>1.1246499999999999</v>
      </c>
      <c r="L1795">
        <v>1.34</v>
      </c>
      <c r="M1795">
        <v>8.7100000000000007E-3</v>
      </c>
      <c r="N1795">
        <v>1</v>
      </c>
      <c r="P1795">
        <v>1.2678499999999999</v>
      </c>
      <c r="Q1795">
        <v>0.93164999999999998</v>
      </c>
      <c r="R1795">
        <v>0.88915999999999995</v>
      </c>
      <c r="S1795">
        <v>0.74626000000000003</v>
      </c>
      <c r="T1795">
        <v>114.745</v>
      </c>
      <c r="U1795">
        <v>1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s="1857" customFormat="1" hidden="1" outlineLevel="1">
      <c r="A1796" s="8">
        <v>44523</v>
      </c>
      <c r="B1796" s="1860">
        <v>3077.5510199999999</v>
      </c>
      <c r="C1796" s="1860">
        <v>4196.3004600000004</v>
      </c>
      <c r="D1796" s="1860">
        <v>4407.7003999999997</v>
      </c>
      <c r="E1796" s="1860">
        <v>5231.6372899999997</v>
      </c>
      <c r="F1796">
        <v>34.029820000000001</v>
      </c>
      <c r="G1796" s="1861">
        <v>3913.26</v>
      </c>
      <c r="I1796">
        <v>0.78644000000000003</v>
      </c>
      <c r="J1796">
        <v>1.0723199999999999</v>
      </c>
      <c r="K1796">
        <v>1.12635</v>
      </c>
      <c r="L1796">
        <v>1.3369</v>
      </c>
      <c r="M1796">
        <v>8.6899999999999998E-3</v>
      </c>
      <c r="N1796">
        <v>1</v>
      </c>
      <c r="P1796">
        <v>1.27155</v>
      </c>
      <c r="Q1796">
        <v>0.93254999999999999</v>
      </c>
      <c r="R1796">
        <v>0.88782000000000005</v>
      </c>
      <c r="S1796">
        <v>0.74799000000000004</v>
      </c>
      <c r="T1796">
        <v>114.995</v>
      </c>
      <c r="U1796">
        <v>1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s="1857" customFormat="1" hidden="1" outlineLevel="1">
      <c r="A1797" s="8">
        <v>44524</v>
      </c>
      <c r="B1797" s="1860">
        <v>3111.8062399999999</v>
      </c>
      <c r="C1797" s="1860">
        <v>4212.7202799999995</v>
      </c>
      <c r="D1797" s="1860">
        <v>4416.31387</v>
      </c>
      <c r="E1797" s="1860">
        <v>5257.8452100000004</v>
      </c>
      <c r="F1797">
        <v>34.166649999999997</v>
      </c>
      <c r="G1797" s="1861">
        <v>3944.37</v>
      </c>
      <c r="I1797">
        <v>0.78891999999999995</v>
      </c>
      <c r="J1797">
        <v>1.06803</v>
      </c>
      <c r="K1797">
        <v>1.11965</v>
      </c>
      <c r="L1797">
        <v>1.333</v>
      </c>
      <c r="M1797">
        <v>8.6599999999999993E-3</v>
      </c>
      <c r="N1797">
        <v>1</v>
      </c>
      <c r="P1797">
        <v>1.26755</v>
      </c>
      <c r="Q1797">
        <v>0.93630000000000002</v>
      </c>
      <c r="R1797">
        <v>0.89312999999999998</v>
      </c>
      <c r="S1797">
        <v>0.75017999999999996</v>
      </c>
      <c r="T1797">
        <v>115.44499999999999</v>
      </c>
      <c r="U1797">
        <v>1</v>
      </c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idden="1" outlineLevel="1">
      <c r="A1798" s="8">
        <v>44525</v>
      </c>
      <c r="B1798" s="1860">
        <v>3137.5647100000001</v>
      </c>
      <c r="C1798" s="1860">
        <v>4242.0411400000003</v>
      </c>
      <c r="D1798" s="1860">
        <v>4449.7982899999997</v>
      </c>
      <c r="E1798" s="1860">
        <v>5287.3606799999998</v>
      </c>
      <c r="F1798">
        <v>34.408090000000001</v>
      </c>
      <c r="G1798" s="1861">
        <v>3969.49</v>
      </c>
      <c r="I1798">
        <v>0.79042000000000001</v>
      </c>
      <c r="J1798">
        <v>1.0686599999999999</v>
      </c>
      <c r="K1798">
        <v>1.121</v>
      </c>
      <c r="L1798">
        <v>1.3320000000000001</v>
      </c>
      <c r="M1798">
        <v>8.6599999999999993E-3</v>
      </c>
      <c r="N1798">
        <v>1</v>
      </c>
      <c r="P1798">
        <v>1.26515</v>
      </c>
      <c r="Q1798">
        <v>0.93574999999999997</v>
      </c>
      <c r="R1798">
        <v>0.89205999999999996</v>
      </c>
      <c r="S1798">
        <v>0.75075000000000003</v>
      </c>
      <c r="T1798">
        <v>115.36499999999999</v>
      </c>
      <c r="U1798">
        <v>1</v>
      </c>
    </row>
    <row r="1799" spans="1:35" hidden="1" outlineLevel="1">
      <c r="A1799" s="8">
        <v>44526</v>
      </c>
      <c r="B1799" s="1860">
        <v>3103.5887400000001</v>
      </c>
      <c r="C1799" s="1860">
        <v>4302.7369699999999</v>
      </c>
      <c r="D1799" s="1860">
        <v>4491.6764000000003</v>
      </c>
      <c r="E1799" s="1860">
        <v>5293.9103299999997</v>
      </c>
      <c r="F1799">
        <v>35.081659999999999</v>
      </c>
      <c r="G1799" s="1861">
        <v>3969.49</v>
      </c>
      <c r="I1799">
        <v>0.78186</v>
      </c>
      <c r="J1799">
        <v>1.08395</v>
      </c>
      <c r="K1799">
        <v>1.1315500000000001</v>
      </c>
      <c r="L1799">
        <v>1.33365</v>
      </c>
      <c r="M1799">
        <v>8.8299999999999993E-3</v>
      </c>
      <c r="N1799">
        <v>1</v>
      </c>
      <c r="P1799">
        <v>1.2789999999999999</v>
      </c>
      <c r="Q1799">
        <v>0.92254999999999998</v>
      </c>
      <c r="R1799">
        <v>0.88373999999999997</v>
      </c>
      <c r="S1799">
        <v>0.74982000000000004</v>
      </c>
      <c r="T1799">
        <v>113.15</v>
      </c>
      <c r="U1799">
        <v>1</v>
      </c>
    </row>
    <row r="1800" spans="1:35" hidden="1" outlineLevel="1">
      <c r="A1800" s="8">
        <v>44527</v>
      </c>
      <c r="B1800" s="1860">
        <v>3133.7998400000001</v>
      </c>
      <c r="C1800" s="1860">
        <v>4344.6208800000004</v>
      </c>
      <c r="D1800" s="1860">
        <v>4535.3995000000004</v>
      </c>
      <c r="E1800" s="1860">
        <v>5345.4425700000002</v>
      </c>
      <c r="F1800">
        <v>35.42315</v>
      </c>
      <c r="G1800" s="1861">
        <v>4008.13</v>
      </c>
      <c r="I1800">
        <v>0.78186</v>
      </c>
      <c r="J1800">
        <v>1.08395</v>
      </c>
      <c r="K1800">
        <v>1.1315500000000001</v>
      </c>
      <c r="L1800">
        <v>1.33365</v>
      </c>
      <c r="M1800">
        <v>8.8299999999999993E-3</v>
      </c>
      <c r="N1800">
        <v>1</v>
      </c>
      <c r="P1800">
        <v>1.2789999999999999</v>
      </c>
      <c r="Q1800">
        <v>0.92254999999999998</v>
      </c>
      <c r="R1800">
        <v>0.88373999999999997</v>
      </c>
      <c r="S1800">
        <v>0.74982000000000004</v>
      </c>
      <c r="T1800">
        <v>113.15</v>
      </c>
      <c r="U1800">
        <v>1</v>
      </c>
    </row>
    <row r="1801" spans="1:35" hidden="1" outlineLevel="1">
      <c r="A1801" s="8">
        <v>44528</v>
      </c>
      <c r="B1801" s="1860">
        <v>3133.7998400000001</v>
      </c>
      <c r="C1801" s="1860">
        <v>4344.6208800000004</v>
      </c>
      <c r="D1801" s="1860">
        <v>4535.3995000000004</v>
      </c>
      <c r="E1801" s="1860">
        <v>5345.4425700000002</v>
      </c>
      <c r="F1801">
        <v>35.42315</v>
      </c>
      <c r="G1801" s="1861">
        <v>4008.13</v>
      </c>
      <c r="I1801">
        <v>0.78186</v>
      </c>
      <c r="J1801">
        <v>1.08395</v>
      </c>
      <c r="K1801">
        <v>1.1315500000000001</v>
      </c>
      <c r="L1801">
        <v>1.33365</v>
      </c>
      <c r="M1801">
        <v>8.8299999999999993E-3</v>
      </c>
      <c r="N1801">
        <v>1</v>
      </c>
      <c r="P1801">
        <v>1.2789999999999999</v>
      </c>
      <c r="Q1801">
        <v>0.92254999999999998</v>
      </c>
      <c r="R1801">
        <v>0.88373999999999997</v>
      </c>
      <c r="S1801">
        <v>0.74982000000000004</v>
      </c>
      <c r="T1801">
        <v>113.15</v>
      </c>
      <c r="U1801">
        <v>1</v>
      </c>
    </row>
    <row r="1802" spans="1:35" hidden="1" outlineLevel="1">
      <c r="A1802" s="8">
        <v>44529</v>
      </c>
      <c r="B1802" s="1860">
        <v>3133.18741</v>
      </c>
      <c r="C1802" s="1860">
        <v>4332.4109600000002</v>
      </c>
      <c r="D1802" s="1860">
        <v>4516.5612899999996</v>
      </c>
      <c r="E1802" s="1860">
        <v>5329.20964</v>
      </c>
      <c r="F1802">
        <v>35.27196</v>
      </c>
      <c r="G1802" s="1861">
        <v>4008.13</v>
      </c>
      <c r="I1802">
        <v>0.78169999999999995</v>
      </c>
      <c r="J1802">
        <v>1.0809</v>
      </c>
      <c r="K1802">
        <v>1.1268499999999999</v>
      </c>
      <c r="L1802">
        <v>1.3295999999999999</v>
      </c>
      <c r="M1802">
        <v>8.8000000000000005E-3</v>
      </c>
      <c r="N1802">
        <v>1</v>
      </c>
      <c r="P1802">
        <v>1.27925</v>
      </c>
      <c r="Q1802">
        <v>0.92515000000000003</v>
      </c>
      <c r="R1802">
        <v>0.88741999999999999</v>
      </c>
      <c r="S1802">
        <v>0.75209999999999999</v>
      </c>
      <c r="T1802">
        <v>113.63500000000001</v>
      </c>
      <c r="U1802">
        <v>1</v>
      </c>
    </row>
    <row r="1803" spans="1:35" ht="15.75" hidden="1" outlineLevel="1" thickBot="1">
      <c r="A1803" s="1868">
        <v>44530</v>
      </c>
      <c r="B1803" s="1869">
        <v>3126.7383799999998</v>
      </c>
      <c r="C1803" s="1869">
        <v>4334.3202899999997</v>
      </c>
      <c r="D1803" s="1869">
        <v>4514.7590799999998</v>
      </c>
      <c r="E1803" s="1869">
        <v>5306.5265399999998</v>
      </c>
      <c r="F1803" s="1870">
        <v>35.325020000000002</v>
      </c>
      <c r="G1803" s="1871">
        <v>4010.98</v>
      </c>
      <c r="H1803" s="1872"/>
      <c r="I1803" s="1870">
        <v>0.77954000000000001</v>
      </c>
      <c r="J1803" s="1870">
        <v>1.0806100000000001</v>
      </c>
      <c r="K1803" s="1870">
        <v>1.1255999999999999</v>
      </c>
      <c r="L1803" s="1870">
        <v>1.323</v>
      </c>
      <c r="M1803" s="1870">
        <v>8.8000000000000005E-3</v>
      </c>
      <c r="N1803" s="1870">
        <v>1</v>
      </c>
      <c r="O1803" s="1872"/>
      <c r="P1803" s="1870">
        <v>1.2827999999999999</v>
      </c>
      <c r="Q1803" s="1870">
        <v>0.9254</v>
      </c>
      <c r="R1803" s="1870">
        <v>0.88841000000000003</v>
      </c>
      <c r="S1803" s="1870">
        <v>0.75585000000000002</v>
      </c>
      <c r="T1803" s="1870">
        <v>113.545</v>
      </c>
      <c r="U1803" s="1870">
        <v>1</v>
      </c>
      <c r="V1803" s="1872"/>
    </row>
    <row r="1804" spans="1:35" hidden="1" outlineLevel="1">
      <c r="A1804" s="8">
        <v>44531</v>
      </c>
      <c r="B1804" s="1860">
        <v>3141.18523</v>
      </c>
      <c r="C1804" s="1860">
        <v>4353.4706699999997</v>
      </c>
      <c r="D1804" s="1860">
        <v>4538.7456300000003</v>
      </c>
      <c r="E1804" s="1860">
        <v>5333.0461400000004</v>
      </c>
      <c r="F1804">
        <v>35.447809999999997</v>
      </c>
      <c r="G1804" s="1861">
        <v>4004.54</v>
      </c>
      <c r="I1804">
        <v>0.78439999999999999</v>
      </c>
      <c r="J1804">
        <v>1.0871299999999999</v>
      </c>
      <c r="K1804">
        <v>1.1334</v>
      </c>
      <c r="L1804">
        <v>1.33175</v>
      </c>
      <c r="M1804">
        <v>8.8500000000000002E-3</v>
      </c>
      <c r="N1804">
        <v>1</v>
      </c>
      <c r="P1804">
        <v>1.27485</v>
      </c>
      <c r="Q1804">
        <v>0.91984999999999995</v>
      </c>
      <c r="R1804">
        <v>0.88229999999999997</v>
      </c>
      <c r="S1804">
        <v>0.75088999999999995</v>
      </c>
      <c r="T1804">
        <v>112.97</v>
      </c>
      <c r="U1804">
        <v>1</v>
      </c>
    </row>
    <row r="1805" spans="1:35" hidden="1" outlineLevel="1">
      <c r="A1805" s="8">
        <v>44532</v>
      </c>
      <c r="B1805" s="1860">
        <v>3082.4639299999999</v>
      </c>
      <c r="C1805" s="1860">
        <v>4300.5276000000003</v>
      </c>
      <c r="D1805" s="1860">
        <v>4474.1019999999999</v>
      </c>
      <c r="E1805" s="1860">
        <v>5260.8007399999997</v>
      </c>
      <c r="F1805">
        <v>34.995440000000002</v>
      </c>
      <c r="G1805" s="1861">
        <v>3953.26</v>
      </c>
      <c r="I1805">
        <v>0.77971999999999997</v>
      </c>
      <c r="J1805">
        <v>1.0878399999999999</v>
      </c>
      <c r="K1805">
        <v>1.13175</v>
      </c>
      <c r="L1805">
        <v>1.3307500000000001</v>
      </c>
      <c r="M1805">
        <v>8.8500000000000002E-3</v>
      </c>
      <c r="N1805">
        <v>1</v>
      </c>
      <c r="P1805">
        <v>1.2825</v>
      </c>
      <c r="Q1805">
        <v>0.91925000000000001</v>
      </c>
      <c r="R1805">
        <v>0.88358000000000003</v>
      </c>
      <c r="S1805">
        <v>0.75144999999999995</v>
      </c>
      <c r="T1805">
        <v>112.965</v>
      </c>
      <c r="U1805">
        <v>1</v>
      </c>
    </row>
    <row r="1806" spans="1:35" hidden="1" outlineLevel="1">
      <c r="A1806" s="8">
        <v>44533</v>
      </c>
      <c r="B1806" s="1860">
        <v>3084.4611199999999</v>
      </c>
      <c r="C1806" s="1860">
        <v>4287.54007</v>
      </c>
      <c r="D1806" s="1860">
        <v>4450.1630400000004</v>
      </c>
      <c r="E1806" s="1860">
        <v>5215.5279600000003</v>
      </c>
      <c r="F1806">
        <v>34.843710000000002</v>
      </c>
      <c r="G1806" s="1861">
        <v>3945.18</v>
      </c>
      <c r="I1806">
        <v>0.78183000000000002</v>
      </c>
      <c r="J1806">
        <v>1.08677</v>
      </c>
      <c r="K1806">
        <v>1.1279999999999999</v>
      </c>
      <c r="L1806">
        <v>1.3220000000000001</v>
      </c>
      <c r="M1806">
        <v>8.8299999999999993E-3</v>
      </c>
      <c r="N1806">
        <v>1</v>
      </c>
      <c r="P1806">
        <v>1.27905</v>
      </c>
      <c r="Q1806">
        <v>0.92015000000000002</v>
      </c>
      <c r="R1806">
        <v>0.88651999999999997</v>
      </c>
      <c r="S1806">
        <v>0.75641999999999998</v>
      </c>
      <c r="T1806">
        <v>113.22499999999999</v>
      </c>
      <c r="U1806">
        <v>1</v>
      </c>
    </row>
    <row r="1807" spans="1:35" hidden="1" outlineLevel="1">
      <c r="A1807" s="8">
        <v>44534</v>
      </c>
      <c r="B1807" s="1860">
        <v>3086.9238799999998</v>
      </c>
      <c r="C1807" s="1860">
        <v>4290.96342</v>
      </c>
      <c r="D1807" s="1860">
        <v>4453.7162399999997</v>
      </c>
      <c r="E1807" s="1860">
        <v>5219.6922599999998</v>
      </c>
      <c r="F1807">
        <v>34.87153</v>
      </c>
      <c r="G1807" s="1861">
        <v>3948.33</v>
      </c>
      <c r="I1807">
        <v>0.78183000000000002</v>
      </c>
      <c r="J1807">
        <v>1.08677</v>
      </c>
      <c r="K1807">
        <v>1.1279999999999999</v>
      </c>
      <c r="L1807">
        <v>1.3220000000000001</v>
      </c>
      <c r="M1807">
        <v>8.8299999999999993E-3</v>
      </c>
      <c r="N1807">
        <v>1</v>
      </c>
      <c r="P1807">
        <v>1.27905</v>
      </c>
      <c r="Q1807">
        <v>0.92015000000000002</v>
      </c>
      <c r="R1807">
        <v>0.88651999999999997</v>
      </c>
      <c r="S1807">
        <v>0.75641999999999998</v>
      </c>
      <c r="T1807">
        <v>113.22499999999999</v>
      </c>
      <c r="U1807">
        <v>1</v>
      </c>
    </row>
    <row r="1808" spans="1:35" hidden="1" outlineLevel="1">
      <c r="A1808" s="8">
        <v>44535</v>
      </c>
      <c r="B1808" s="1860">
        <v>3086.9238799999998</v>
      </c>
      <c r="C1808" s="1860">
        <v>4290.96342</v>
      </c>
      <c r="D1808" s="1860">
        <v>4453.7162399999997</v>
      </c>
      <c r="E1808" s="1860">
        <v>5219.6922599999998</v>
      </c>
      <c r="F1808">
        <v>34.87153</v>
      </c>
      <c r="G1808" s="1861">
        <v>3948.33</v>
      </c>
      <c r="I1808">
        <v>0.78183000000000002</v>
      </c>
      <c r="J1808">
        <v>1.08677</v>
      </c>
      <c r="K1808">
        <v>1.1279999999999999</v>
      </c>
      <c r="L1808">
        <v>1.3220000000000001</v>
      </c>
      <c r="M1808">
        <v>8.8299999999999993E-3</v>
      </c>
      <c r="N1808">
        <v>1</v>
      </c>
      <c r="P1808">
        <v>1.27905</v>
      </c>
      <c r="Q1808">
        <v>0.92015000000000002</v>
      </c>
      <c r="R1808">
        <v>0.88651999999999997</v>
      </c>
      <c r="S1808">
        <v>0.75641999999999998</v>
      </c>
      <c r="T1808">
        <v>113.22499999999999</v>
      </c>
      <c r="U1808">
        <v>1</v>
      </c>
    </row>
    <row r="1809" spans="1:35" hidden="1" outlineLevel="1">
      <c r="A1809" s="8">
        <v>44536</v>
      </c>
      <c r="B1809" s="1860">
        <v>3086.4412699999998</v>
      </c>
      <c r="C1809" s="1860">
        <v>4263.6250700000001</v>
      </c>
      <c r="D1809" s="1860">
        <v>4449.9653200000002</v>
      </c>
      <c r="E1809" s="1860">
        <v>5226.0095799999999</v>
      </c>
      <c r="F1809">
        <v>34.800840000000001</v>
      </c>
      <c r="G1809" s="1861">
        <v>3948.33</v>
      </c>
      <c r="I1809">
        <v>0.78169999999999995</v>
      </c>
      <c r="J1809">
        <v>1.07985</v>
      </c>
      <c r="K1809">
        <v>1.1270500000000001</v>
      </c>
      <c r="L1809">
        <v>1.3236000000000001</v>
      </c>
      <c r="M1809">
        <v>8.8100000000000001E-3</v>
      </c>
      <c r="N1809">
        <v>1</v>
      </c>
      <c r="P1809">
        <v>1.27925</v>
      </c>
      <c r="Q1809">
        <v>0.92605000000000004</v>
      </c>
      <c r="R1809">
        <v>0.88727</v>
      </c>
      <c r="S1809">
        <v>0.75551000000000001</v>
      </c>
      <c r="T1809">
        <v>113.455</v>
      </c>
      <c r="U1809">
        <v>1</v>
      </c>
    </row>
    <row r="1810" spans="1:35" hidden="1" outlineLevel="1">
      <c r="A1810" s="8">
        <v>44537</v>
      </c>
      <c r="B1810" s="1860">
        <v>3118.4028400000002</v>
      </c>
      <c r="C1810" s="1860">
        <v>4258.4894400000003</v>
      </c>
      <c r="D1810" s="1860">
        <v>4435.8167999999996</v>
      </c>
      <c r="E1810" s="1860">
        <v>5220.0811999999996</v>
      </c>
      <c r="F1810">
        <v>34.698450000000001</v>
      </c>
      <c r="G1810" s="1861">
        <v>3944</v>
      </c>
      <c r="I1810">
        <v>0.79066999999999998</v>
      </c>
      <c r="J1810">
        <v>1.0797300000000001</v>
      </c>
      <c r="K1810">
        <v>1.1247</v>
      </c>
      <c r="L1810">
        <v>1.32355</v>
      </c>
      <c r="M1810">
        <v>8.7899999999999992E-3</v>
      </c>
      <c r="N1810">
        <v>1</v>
      </c>
      <c r="P1810">
        <v>1.26475</v>
      </c>
      <c r="Q1810">
        <v>0.92615000000000003</v>
      </c>
      <c r="R1810">
        <v>0.88912000000000002</v>
      </c>
      <c r="S1810">
        <v>0.75553999999999999</v>
      </c>
      <c r="T1810">
        <v>113.66500000000001</v>
      </c>
      <c r="U1810">
        <v>1</v>
      </c>
    </row>
    <row r="1811" spans="1:35" hidden="1" outlineLevel="1">
      <c r="A1811" s="8">
        <v>44538</v>
      </c>
      <c r="B1811" s="1860">
        <v>3085.0215199999998</v>
      </c>
      <c r="C1811" s="1860">
        <v>4234.0252499999997</v>
      </c>
      <c r="D1811" s="1860">
        <v>4426.5878199999997</v>
      </c>
      <c r="E1811" s="1860">
        <v>5162.4970599999997</v>
      </c>
      <c r="F1811">
        <v>34.292610000000003</v>
      </c>
      <c r="G1811" s="1861">
        <v>3906.1</v>
      </c>
      <c r="I1811">
        <v>0.78978999999999999</v>
      </c>
      <c r="J1811">
        <v>1.08395</v>
      </c>
      <c r="K1811">
        <v>1.1332500000000001</v>
      </c>
      <c r="L1811">
        <v>1.32165</v>
      </c>
      <c r="M1811">
        <v>8.77E-3</v>
      </c>
      <c r="N1811">
        <v>1</v>
      </c>
      <c r="P1811">
        <v>1.2661500000000001</v>
      </c>
      <c r="Q1811">
        <v>0.92254999999999998</v>
      </c>
      <c r="R1811">
        <v>0.88241000000000003</v>
      </c>
      <c r="S1811">
        <v>0.75661999999999996</v>
      </c>
      <c r="T1811">
        <v>113.905</v>
      </c>
      <c r="U1811">
        <v>1</v>
      </c>
    </row>
    <row r="1812" spans="1:35" hidden="1" outlineLevel="1">
      <c r="A1812" s="8">
        <v>44539</v>
      </c>
      <c r="B1812" s="1860">
        <v>3073.2494000000002</v>
      </c>
      <c r="C1812" s="1860">
        <v>4221.2135900000003</v>
      </c>
      <c r="D1812" s="1860">
        <v>4408.2291500000001</v>
      </c>
      <c r="E1812" s="1860">
        <v>5158.9815699999999</v>
      </c>
      <c r="F1812">
        <v>34.431660000000001</v>
      </c>
      <c r="G1812" s="1861">
        <v>3906.1</v>
      </c>
      <c r="I1812">
        <v>0.78678000000000003</v>
      </c>
      <c r="J1812">
        <v>1.08067</v>
      </c>
      <c r="K1812">
        <v>1.1285499999999999</v>
      </c>
      <c r="L1812">
        <v>1.3207500000000001</v>
      </c>
      <c r="M1812">
        <v>8.8100000000000001E-3</v>
      </c>
      <c r="N1812">
        <v>1</v>
      </c>
      <c r="P1812">
        <v>1.2709999999999999</v>
      </c>
      <c r="Q1812">
        <v>0.92535000000000001</v>
      </c>
      <c r="R1812">
        <v>0.88609000000000004</v>
      </c>
      <c r="S1812">
        <v>0.75714000000000004</v>
      </c>
      <c r="T1812">
        <v>113.44499999999999</v>
      </c>
      <c r="U1812">
        <v>1</v>
      </c>
    </row>
    <row r="1813" spans="1:35" hidden="1" outlineLevel="1">
      <c r="A1813" s="8">
        <v>44540</v>
      </c>
      <c r="B1813" s="1860">
        <v>3067.8649999999998</v>
      </c>
      <c r="C1813" s="1860">
        <v>4230.9411399999999</v>
      </c>
      <c r="D1813" s="1860">
        <v>4408.6080400000001</v>
      </c>
      <c r="E1813" s="1860">
        <v>5159.1380200000003</v>
      </c>
      <c r="F1813">
        <v>34.382800000000003</v>
      </c>
      <c r="G1813" s="1861">
        <v>3899.87</v>
      </c>
      <c r="I1813">
        <v>0.78664999999999996</v>
      </c>
      <c r="J1813">
        <v>1.0848899999999999</v>
      </c>
      <c r="K1813">
        <v>1.13045</v>
      </c>
      <c r="L1813">
        <v>1.3229</v>
      </c>
      <c r="M1813">
        <v>8.8100000000000001E-3</v>
      </c>
      <c r="N1813">
        <v>1</v>
      </c>
      <c r="P1813">
        <v>1.2712000000000001</v>
      </c>
      <c r="Q1813">
        <v>0.92174999999999996</v>
      </c>
      <c r="R1813">
        <v>0.88460000000000005</v>
      </c>
      <c r="S1813">
        <v>0.75590999999999997</v>
      </c>
      <c r="T1813">
        <v>113.425</v>
      </c>
      <c r="U1813">
        <v>1</v>
      </c>
    </row>
    <row r="1814" spans="1:35" s="1857" customFormat="1" hidden="1" outlineLevel="1">
      <c r="A1814" s="8">
        <v>44541</v>
      </c>
      <c r="B1814" s="1860">
        <v>3058.2992399999998</v>
      </c>
      <c r="C1814" s="1860">
        <v>4217.7488400000002</v>
      </c>
      <c r="D1814" s="1860">
        <v>4394.8617599999998</v>
      </c>
      <c r="E1814" s="1860">
        <v>5143.0515500000001</v>
      </c>
      <c r="F1814">
        <v>34.275599999999997</v>
      </c>
      <c r="G1814" s="1861">
        <v>3887.71</v>
      </c>
      <c r="I1814">
        <v>0.78664999999999996</v>
      </c>
      <c r="J1814">
        <v>1.0848899999999999</v>
      </c>
      <c r="K1814">
        <v>1.13045</v>
      </c>
      <c r="L1814">
        <v>1.3229</v>
      </c>
      <c r="M1814">
        <v>8.8100000000000001E-3</v>
      </c>
      <c r="N1814">
        <v>1</v>
      </c>
      <c r="P1814">
        <v>1.2712000000000001</v>
      </c>
      <c r="Q1814">
        <v>0.92174999999999996</v>
      </c>
      <c r="R1814">
        <v>0.88460000000000005</v>
      </c>
      <c r="S1814">
        <v>0.75590999999999997</v>
      </c>
      <c r="T1814">
        <v>113.425</v>
      </c>
      <c r="U1814">
        <v>1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s="1857" customFormat="1" hidden="1" outlineLevel="1">
      <c r="A1815" s="8">
        <v>44542</v>
      </c>
      <c r="B1815" s="1860">
        <v>3058.2992399999998</v>
      </c>
      <c r="C1815" s="1860">
        <v>4217.7488400000002</v>
      </c>
      <c r="D1815" s="1860">
        <v>4394.8617599999998</v>
      </c>
      <c r="E1815" s="1860">
        <v>5143.0515500000001</v>
      </c>
      <c r="F1815">
        <v>34.275599999999997</v>
      </c>
      <c r="G1815" s="1861">
        <v>3887.71</v>
      </c>
      <c r="I1815">
        <v>0.78664999999999996</v>
      </c>
      <c r="J1815">
        <v>1.0848899999999999</v>
      </c>
      <c r="K1815">
        <v>1.13045</v>
      </c>
      <c r="L1815">
        <v>1.3229</v>
      </c>
      <c r="M1815">
        <v>8.8100000000000001E-3</v>
      </c>
      <c r="N1815">
        <v>1</v>
      </c>
      <c r="P1815">
        <v>1.2712000000000001</v>
      </c>
      <c r="Q1815">
        <v>0.92174999999999996</v>
      </c>
      <c r="R1815">
        <v>0.88460000000000005</v>
      </c>
      <c r="S1815">
        <v>0.75590999999999997</v>
      </c>
      <c r="T1815">
        <v>113.425</v>
      </c>
      <c r="U1815">
        <v>1</v>
      </c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s="1857" customFormat="1" hidden="1" outlineLevel="1">
      <c r="A1816" s="8">
        <v>44543</v>
      </c>
      <c r="B1816" s="1860">
        <v>3035.02088</v>
      </c>
      <c r="C1816" s="1860">
        <v>4210.8962899999997</v>
      </c>
      <c r="D1816" s="1860">
        <v>4383.5874100000001</v>
      </c>
      <c r="E1816" s="1860">
        <v>5143.2459399999998</v>
      </c>
      <c r="F1816">
        <v>34.230330000000002</v>
      </c>
      <c r="G1816" s="1861">
        <v>3887.71</v>
      </c>
      <c r="I1816">
        <v>0.78066999999999998</v>
      </c>
      <c r="J1816">
        <v>1.0831299999999999</v>
      </c>
      <c r="K1816">
        <v>1.1275500000000001</v>
      </c>
      <c r="L1816">
        <v>1.3229500000000001</v>
      </c>
      <c r="M1816">
        <v>8.8000000000000005E-3</v>
      </c>
      <c r="N1816">
        <v>1</v>
      </c>
      <c r="P1816">
        <v>1.28095</v>
      </c>
      <c r="Q1816">
        <v>0.92325000000000002</v>
      </c>
      <c r="R1816">
        <v>0.88687000000000005</v>
      </c>
      <c r="S1816">
        <v>0.75588</v>
      </c>
      <c r="T1816">
        <v>113.575</v>
      </c>
      <c r="U1816">
        <v>1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s="1857" customFormat="1" hidden="1" outlineLevel="1">
      <c r="A1817" s="8">
        <v>44544</v>
      </c>
      <c r="B1817" s="1860">
        <v>3025.9789799999999</v>
      </c>
      <c r="C1817" s="1860">
        <v>4206.7969000000003</v>
      </c>
      <c r="D1817" s="1860">
        <v>4381.8628900000003</v>
      </c>
      <c r="E1817" s="1860">
        <v>5144.2724399999997</v>
      </c>
      <c r="F1817">
        <v>34.180799999999998</v>
      </c>
      <c r="G1817" s="1861">
        <v>3886.87</v>
      </c>
      <c r="I1817">
        <v>0.77851000000000004</v>
      </c>
      <c r="J1817">
        <v>1.0823</v>
      </c>
      <c r="K1817">
        <v>1.1273500000000001</v>
      </c>
      <c r="L1817">
        <v>1.3234999999999999</v>
      </c>
      <c r="M1817">
        <v>8.7899999999999992E-3</v>
      </c>
      <c r="N1817">
        <v>1</v>
      </c>
      <c r="P1817">
        <v>1.2845</v>
      </c>
      <c r="Q1817">
        <v>0.92395000000000005</v>
      </c>
      <c r="R1817">
        <v>0.88702999999999999</v>
      </c>
      <c r="S1817">
        <v>0.75556999999999996</v>
      </c>
      <c r="T1817">
        <v>113.715</v>
      </c>
      <c r="U1817">
        <v>1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s="1857" customFormat="1" hidden="1" outlineLevel="1">
      <c r="A1818" s="8">
        <v>44545</v>
      </c>
      <c r="B1818" s="1860">
        <v>3048.29054</v>
      </c>
      <c r="C1818" s="1860">
        <v>4249.6059500000001</v>
      </c>
      <c r="D1818" s="1860">
        <v>4429.0517099999997</v>
      </c>
      <c r="E1818" s="1860">
        <v>5202.1626299999998</v>
      </c>
      <c r="F1818">
        <v>34.57996</v>
      </c>
      <c r="G1818" s="1861">
        <v>3936.41</v>
      </c>
      <c r="I1818">
        <v>0.77437999999999996</v>
      </c>
      <c r="J1818">
        <v>1.0795600000000001</v>
      </c>
      <c r="K1818">
        <v>1.1251500000000001</v>
      </c>
      <c r="L1818">
        <v>1.32155</v>
      </c>
      <c r="M1818">
        <v>8.7799999999999996E-3</v>
      </c>
      <c r="N1818">
        <v>1</v>
      </c>
      <c r="P1818">
        <v>1.29135</v>
      </c>
      <c r="Q1818">
        <v>0.92630000000000001</v>
      </c>
      <c r="R1818">
        <v>0.88876999999999995</v>
      </c>
      <c r="S1818">
        <v>0.75668000000000002</v>
      </c>
      <c r="T1818">
        <v>113.83499999999999</v>
      </c>
      <c r="U1818">
        <v>1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s="1857" customFormat="1" hidden="1" outlineLevel="1">
      <c r="A1819" s="8">
        <v>44546</v>
      </c>
      <c r="B1819" s="1860">
        <v>3125.21146</v>
      </c>
      <c r="C1819" s="1860">
        <v>4328.5458500000004</v>
      </c>
      <c r="D1819" s="1860">
        <v>4511.79828</v>
      </c>
      <c r="E1819" s="1860">
        <v>5319.6284500000002</v>
      </c>
      <c r="F1819">
        <v>35.080829999999999</v>
      </c>
      <c r="G1819" s="1861">
        <v>3990.27</v>
      </c>
      <c r="I1819">
        <v>0.78320000000000001</v>
      </c>
      <c r="J1819">
        <v>1.08477</v>
      </c>
      <c r="K1819">
        <v>1.1307</v>
      </c>
      <c r="L1819">
        <v>1.3331500000000001</v>
      </c>
      <c r="M1819">
        <v>8.7899999999999992E-3</v>
      </c>
      <c r="N1819">
        <v>1</v>
      </c>
      <c r="P1819">
        <v>1.2767999999999999</v>
      </c>
      <c r="Q1819">
        <v>0.92184999999999995</v>
      </c>
      <c r="R1819">
        <v>0.88439999999999996</v>
      </c>
      <c r="S1819">
        <v>0.75009999999999999</v>
      </c>
      <c r="T1819">
        <v>113.745</v>
      </c>
      <c r="U1819">
        <v>1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s="1857" customFormat="1" hidden="1" outlineLevel="1">
      <c r="A1820" s="8">
        <v>44547</v>
      </c>
      <c r="B1820" s="1860">
        <v>3121.1024900000002</v>
      </c>
      <c r="C1820" s="1860">
        <v>4340.2038300000004</v>
      </c>
      <c r="D1820" s="1860">
        <v>4513.1485199999997</v>
      </c>
      <c r="E1820" s="1860">
        <v>5309.5393999999997</v>
      </c>
      <c r="F1820">
        <v>35.226550000000003</v>
      </c>
      <c r="G1820" s="1861">
        <v>4002.97</v>
      </c>
      <c r="I1820">
        <v>0.77968999999999999</v>
      </c>
      <c r="J1820">
        <v>1.0842400000000001</v>
      </c>
      <c r="K1820">
        <v>1.1274500000000001</v>
      </c>
      <c r="L1820">
        <v>1.3264</v>
      </c>
      <c r="M1820">
        <v>8.8000000000000005E-3</v>
      </c>
      <c r="N1820">
        <v>1</v>
      </c>
      <c r="P1820">
        <v>1.2825500000000001</v>
      </c>
      <c r="Q1820">
        <v>0.92230000000000001</v>
      </c>
      <c r="R1820">
        <v>0.88695000000000002</v>
      </c>
      <c r="S1820">
        <v>0.75392000000000003</v>
      </c>
      <c r="T1820">
        <v>113.63500000000001</v>
      </c>
      <c r="U1820">
        <v>1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s="1857" customFormat="1" hidden="1" outlineLevel="1">
      <c r="A1821" s="8">
        <v>44548</v>
      </c>
      <c r="B1821" s="1860">
        <v>3118.6698299999998</v>
      </c>
      <c r="C1821" s="1860">
        <v>4336.8209900000002</v>
      </c>
      <c r="D1821" s="1860">
        <v>4509.6308799999997</v>
      </c>
      <c r="E1821" s="1860">
        <v>5305.4010399999997</v>
      </c>
      <c r="F1821">
        <v>35.199100000000001</v>
      </c>
      <c r="G1821" s="1861">
        <v>3999.85</v>
      </c>
      <c r="I1821">
        <v>0.77968999999999999</v>
      </c>
      <c r="J1821">
        <v>1.0842400000000001</v>
      </c>
      <c r="K1821">
        <v>1.1274500000000001</v>
      </c>
      <c r="L1821">
        <v>1.3264</v>
      </c>
      <c r="M1821">
        <v>8.8000000000000005E-3</v>
      </c>
      <c r="N1821">
        <v>1</v>
      </c>
      <c r="P1821">
        <v>1.2825500000000001</v>
      </c>
      <c r="Q1821">
        <v>0.92230000000000001</v>
      </c>
      <c r="R1821">
        <v>0.88695000000000002</v>
      </c>
      <c r="S1821">
        <v>0.75392000000000003</v>
      </c>
      <c r="T1821">
        <v>113.63500000000001</v>
      </c>
      <c r="U1821">
        <v>1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s="1857" customFormat="1" hidden="1" outlineLevel="1">
      <c r="A1822" s="8">
        <v>44549</v>
      </c>
      <c r="B1822" s="1860">
        <v>3118.6698299999998</v>
      </c>
      <c r="C1822" s="1860">
        <v>4336.8209900000002</v>
      </c>
      <c r="D1822" s="1860">
        <v>4509.6308799999997</v>
      </c>
      <c r="E1822" s="1860">
        <v>5305.4010399999997</v>
      </c>
      <c r="F1822">
        <v>35.199100000000001</v>
      </c>
      <c r="G1822" s="1861">
        <v>3999.85</v>
      </c>
      <c r="I1822">
        <v>0.77968999999999999</v>
      </c>
      <c r="J1822">
        <v>1.0842400000000001</v>
      </c>
      <c r="K1822">
        <v>1.1274500000000001</v>
      </c>
      <c r="L1822">
        <v>1.3264</v>
      </c>
      <c r="M1822">
        <v>8.8000000000000005E-3</v>
      </c>
      <c r="N1822">
        <v>1</v>
      </c>
      <c r="P1822">
        <v>1.2825500000000001</v>
      </c>
      <c r="Q1822">
        <v>0.92230000000000001</v>
      </c>
      <c r="R1822">
        <v>0.88695000000000002</v>
      </c>
      <c r="S1822">
        <v>0.75392000000000003</v>
      </c>
      <c r="T1822">
        <v>113.63500000000001</v>
      </c>
      <c r="U1822">
        <v>1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s="1857" customFormat="1" hidden="1" outlineLevel="1">
      <c r="A1823" s="8">
        <v>44550</v>
      </c>
      <c r="B1823" s="1860">
        <v>3086.1849400000001</v>
      </c>
      <c r="C1823" s="1860">
        <v>4342.9424499999996</v>
      </c>
      <c r="D1823" s="1860">
        <v>4515.6306500000001</v>
      </c>
      <c r="E1823" s="1860">
        <v>5288.0016900000001</v>
      </c>
      <c r="F1823">
        <v>35.273600000000002</v>
      </c>
      <c r="G1823" s="1861">
        <v>3999.85</v>
      </c>
      <c r="I1823">
        <v>0.77156999999999998</v>
      </c>
      <c r="J1823">
        <v>1.0857699999999999</v>
      </c>
      <c r="K1823">
        <v>1.1289499999999999</v>
      </c>
      <c r="L1823">
        <v>1.3220499999999999</v>
      </c>
      <c r="M1823">
        <v>8.8100000000000001E-3</v>
      </c>
      <c r="N1823">
        <v>1</v>
      </c>
      <c r="P1823">
        <v>1.2960499999999999</v>
      </c>
      <c r="Q1823">
        <v>0.92100000000000004</v>
      </c>
      <c r="R1823">
        <v>0.88576999999999995</v>
      </c>
      <c r="S1823">
        <v>0.75639999999999996</v>
      </c>
      <c r="T1823">
        <v>113.395</v>
      </c>
      <c r="U1823">
        <v>1</v>
      </c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s="1857" customFormat="1" hidden="1" outlineLevel="1">
      <c r="A1824" s="8">
        <v>44551</v>
      </c>
      <c r="B1824" s="1860">
        <v>3095.2204099999999</v>
      </c>
      <c r="C1824" s="1860">
        <v>4325.91471</v>
      </c>
      <c r="D1824" s="1860">
        <v>4507.3876499999997</v>
      </c>
      <c r="E1824" s="1860">
        <v>5295.8052900000002</v>
      </c>
      <c r="F1824">
        <v>35.080150000000003</v>
      </c>
      <c r="G1824" s="1861">
        <v>4002.12</v>
      </c>
      <c r="I1824">
        <v>0.77339000000000002</v>
      </c>
      <c r="J1824">
        <v>1.0809</v>
      </c>
      <c r="K1824">
        <v>1.12625</v>
      </c>
      <c r="L1824">
        <v>1.32325</v>
      </c>
      <c r="M1824">
        <v>8.7600000000000004E-3</v>
      </c>
      <c r="N1824">
        <v>1</v>
      </c>
      <c r="P1824">
        <v>1.2929999999999999</v>
      </c>
      <c r="Q1824">
        <v>0.92515000000000003</v>
      </c>
      <c r="R1824">
        <v>0.88790000000000002</v>
      </c>
      <c r="S1824">
        <v>0.75570999999999999</v>
      </c>
      <c r="T1824">
        <v>114.08499999999999</v>
      </c>
      <c r="U1824">
        <v>1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s="1857" customFormat="1" hidden="1" outlineLevel="1">
      <c r="A1825" s="8">
        <v>44552</v>
      </c>
      <c r="B1825" s="1860">
        <v>3108.6149799999998</v>
      </c>
      <c r="C1825" s="1860">
        <v>4339.5374000000002</v>
      </c>
      <c r="D1825" s="1860">
        <v>4525.1876499999998</v>
      </c>
      <c r="E1825" s="1860">
        <v>5333.6351000000004</v>
      </c>
      <c r="F1825">
        <v>34.958489999999998</v>
      </c>
      <c r="G1825" s="1861">
        <v>3996.28</v>
      </c>
      <c r="I1825">
        <v>0.77786999999999995</v>
      </c>
      <c r="J1825">
        <v>1.08589</v>
      </c>
      <c r="K1825">
        <v>1.13235</v>
      </c>
      <c r="L1825">
        <v>1.3346499999999999</v>
      </c>
      <c r="M1825">
        <v>8.7399999999999995E-3</v>
      </c>
      <c r="N1825">
        <v>1</v>
      </c>
      <c r="P1825">
        <v>1.28555</v>
      </c>
      <c r="Q1825">
        <v>0.92090000000000005</v>
      </c>
      <c r="R1825">
        <v>0.88310999999999995</v>
      </c>
      <c r="S1825">
        <v>0.74926000000000004</v>
      </c>
      <c r="T1825">
        <v>114.315</v>
      </c>
      <c r="U1825">
        <v>1</v>
      </c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s="1857" customFormat="1" hidden="1" outlineLevel="1">
      <c r="A1826" s="8">
        <v>44553</v>
      </c>
      <c r="B1826" s="1860">
        <v>3119.1900999999998</v>
      </c>
      <c r="C1826" s="1860">
        <v>4344.6285900000003</v>
      </c>
      <c r="D1826" s="1860">
        <v>4520.8103499999997</v>
      </c>
      <c r="E1826" s="1860">
        <v>5359.7297900000003</v>
      </c>
      <c r="F1826">
        <v>34.943489999999997</v>
      </c>
      <c r="G1826" s="1861">
        <v>3997.71</v>
      </c>
      <c r="I1826">
        <v>0.78024000000000004</v>
      </c>
      <c r="J1826">
        <v>1.08677</v>
      </c>
      <c r="K1826">
        <v>1.1308499999999999</v>
      </c>
      <c r="L1826">
        <v>1.3407</v>
      </c>
      <c r="M1826">
        <v>8.7399999999999995E-3</v>
      </c>
      <c r="N1826">
        <v>1</v>
      </c>
      <c r="P1826">
        <v>1.28165</v>
      </c>
      <c r="Q1826">
        <v>0.92015000000000002</v>
      </c>
      <c r="R1826">
        <v>0.88429000000000002</v>
      </c>
      <c r="S1826">
        <v>0.74587000000000003</v>
      </c>
      <c r="T1826">
        <v>114.405</v>
      </c>
      <c r="U1826">
        <v>1</v>
      </c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s="1857" customFormat="1" hidden="1" outlineLevel="1">
      <c r="A1827" s="8">
        <v>44554</v>
      </c>
      <c r="B1827" s="1860">
        <v>3124.3131199999998</v>
      </c>
      <c r="C1827" s="1860">
        <v>4356.5013600000002</v>
      </c>
      <c r="D1827" s="1860">
        <v>4528.3032599999997</v>
      </c>
      <c r="E1827" s="1860">
        <v>5360.6972500000002</v>
      </c>
      <c r="F1827">
        <v>34.94417</v>
      </c>
      <c r="G1827" s="1861">
        <v>3997.09</v>
      </c>
      <c r="I1827">
        <v>0.78164</v>
      </c>
      <c r="J1827">
        <v>1.0899099999999999</v>
      </c>
      <c r="K1827">
        <v>1.1329</v>
      </c>
      <c r="L1827">
        <v>1.3411500000000001</v>
      </c>
      <c r="M1827">
        <v>8.7399999999999995E-3</v>
      </c>
      <c r="N1827">
        <v>1</v>
      </c>
      <c r="P1827">
        <v>1.27935</v>
      </c>
      <c r="Q1827">
        <v>0.91749999999999998</v>
      </c>
      <c r="R1827">
        <v>0.88268999999999997</v>
      </c>
      <c r="S1827">
        <v>0.74561999999999995</v>
      </c>
      <c r="T1827">
        <v>114.38500000000001</v>
      </c>
      <c r="U1827">
        <v>1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s="1857" customFormat="1" hidden="1" outlineLevel="1">
      <c r="A1828" s="8">
        <v>44555</v>
      </c>
      <c r="B1828" s="1860">
        <v>3122.0150800000001</v>
      </c>
      <c r="C1828" s="1860">
        <v>4353.2969999999996</v>
      </c>
      <c r="D1828" s="1860">
        <v>4524.97253</v>
      </c>
      <c r="E1828" s="1860">
        <v>5356.7542700000004</v>
      </c>
      <c r="F1828">
        <v>34.918469999999999</v>
      </c>
      <c r="G1828" s="1861">
        <v>3994.15</v>
      </c>
      <c r="I1828">
        <v>0.78164</v>
      </c>
      <c r="J1828">
        <v>1.0899099999999999</v>
      </c>
      <c r="K1828">
        <v>1.1329</v>
      </c>
      <c r="L1828">
        <v>1.3411500000000001</v>
      </c>
      <c r="M1828">
        <v>8.7399999999999995E-3</v>
      </c>
      <c r="N1828">
        <v>1</v>
      </c>
      <c r="P1828">
        <v>1.27935</v>
      </c>
      <c r="Q1828">
        <v>0.91749999999999998</v>
      </c>
      <c r="R1828">
        <v>0.88268999999999997</v>
      </c>
      <c r="S1828">
        <v>0.74561999999999995</v>
      </c>
      <c r="T1828">
        <v>114.38500000000001</v>
      </c>
      <c r="U1828">
        <v>1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s="1857" customFormat="1" hidden="1" outlineLevel="1">
      <c r="A1829" s="8">
        <v>44556</v>
      </c>
      <c r="B1829" s="1860">
        <v>3122.0150800000001</v>
      </c>
      <c r="C1829" s="1860">
        <v>4353.2969999999996</v>
      </c>
      <c r="D1829" s="1860">
        <v>4524.97253</v>
      </c>
      <c r="E1829" s="1860">
        <v>5356.7542700000004</v>
      </c>
      <c r="F1829">
        <v>34.918469999999999</v>
      </c>
      <c r="G1829" s="1861">
        <v>3994.15</v>
      </c>
      <c r="I1829">
        <v>0.78164</v>
      </c>
      <c r="J1829">
        <v>1.0899099999999999</v>
      </c>
      <c r="K1829">
        <v>1.1329</v>
      </c>
      <c r="L1829">
        <v>1.3411500000000001</v>
      </c>
      <c r="M1829">
        <v>8.7399999999999995E-3</v>
      </c>
      <c r="N1829">
        <v>1</v>
      </c>
      <c r="P1829">
        <v>1.27935</v>
      </c>
      <c r="Q1829">
        <v>0.91749999999999998</v>
      </c>
      <c r="R1829">
        <v>0.88268999999999997</v>
      </c>
      <c r="S1829">
        <v>0.74561999999999995</v>
      </c>
      <c r="T1829">
        <v>114.38500000000001</v>
      </c>
      <c r="U1829">
        <v>1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idden="1" outlineLevel="1">
      <c r="A1830" s="8">
        <v>44557</v>
      </c>
      <c r="B1830" s="1860">
        <v>3124.0907299999999</v>
      </c>
      <c r="C1830" s="1860">
        <v>4351.8740399999997</v>
      </c>
      <c r="D1830" s="1860">
        <v>4520.9783799999996</v>
      </c>
      <c r="E1830" s="1860">
        <v>5359.3504700000003</v>
      </c>
      <c r="F1830">
        <v>34.766500000000001</v>
      </c>
      <c r="G1830" s="1861">
        <v>3994.15</v>
      </c>
      <c r="I1830">
        <v>0.78215999999999997</v>
      </c>
      <c r="J1830">
        <v>1.0895600000000001</v>
      </c>
      <c r="K1830">
        <v>1.1318999999999999</v>
      </c>
      <c r="L1830">
        <v>1.3418000000000001</v>
      </c>
      <c r="M1830">
        <v>8.6999999999999994E-3</v>
      </c>
      <c r="N1830">
        <v>1</v>
      </c>
      <c r="P1830">
        <v>1.2785</v>
      </c>
      <c r="Q1830">
        <v>0.91779999999999995</v>
      </c>
      <c r="R1830">
        <v>0.88346999999999998</v>
      </c>
      <c r="S1830">
        <v>0.74526000000000003</v>
      </c>
      <c r="T1830">
        <v>114.88500000000001</v>
      </c>
      <c r="U1830">
        <v>1</v>
      </c>
    </row>
    <row r="1831" spans="1:35" hidden="1" outlineLevel="1">
      <c r="A1831" s="8">
        <v>44558</v>
      </c>
      <c r="B1831" s="1860">
        <v>3113.9288900000001</v>
      </c>
      <c r="C1831" s="1860">
        <v>4343.8697700000002</v>
      </c>
      <c r="D1831" s="1860">
        <v>4506.6369999999997</v>
      </c>
      <c r="E1831" s="1860">
        <v>5355.7829199999996</v>
      </c>
      <c r="F1831">
        <v>34.76155</v>
      </c>
      <c r="G1831" s="1861">
        <v>3989.41</v>
      </c>
      <c r="I1831">
        <v>0.78054000000000001</v>
      </c>
      <c r="J1831">
        <v>1.0888500000000001</v>
      </c>
      <c r="K1831">
        <v>1.12965</v>
      </c>
      <c r="L1831">
        <v>1.3425</v>
      </c>
      <c r="M1831">
        <v>8.7100000000000007E-3</v>
      </c>
      <c r="N1831">
        <v>1</v>
      </c>
      <c r="P1831">
        <v>1.28115</v>
      </c>
      <c r="Q1831">
        <v>0.91839999999999999</v>
      </c>
      <c r="R1831">
        <v>0.88522000000000001</v>
      </c>
      <c r="S1831">
        <v>0.74487000000000003</v>
      </c>
      <c r="T1831">
        <v>114.765</v>
      </c>
      <c r="U1831">
        <v>1</v>
      </c>
    </row>
    <row r="1832" spans="1:35" hidden="1" outlineLevel="1">
      <c r="A1832" s="8">
        <v>44559</v>
      </c>
      <c r="B1832" s="1860">
        <v>3127.75846</v>
      </c>
      <c r="C1832" s="1860">
        <v>4383.8616000000002</v>
      </c>
      <c r="D1832" s="1860">
        <v>4544.7402000000002</v>
      </c>
      <c r="E1832" s="1860">
        <v>5399.7943999999998</v>
      </c>
      <c r="F1832">
        <v>34.83708</v>
      </c>
      <c r="G1832" s="1861">
        <v>4004</v>
      </c>
      <c r="I1832">
        <v>0.78115000000000001</v>
      </c>
      <c r="J1832">
        <v>1.09487</v>
      </c>
      <c r="K1832">
        <v>1.1350499999999999</v>
      </c>
      <c r="L1832">
        <v>1.3486</v>
      </c>
      <c r="M1832">
        <v>8.6999999999999994E-3</v>
      </c>
      <c r="N1832">
        <v>1</v>
      </c>
      <c r="P1832">
        <v>1.2801499999999999</v>
      </c>
      <c r="Q1832">
        <v>0.91335</v>
      </c>
      <c r="R1832">
        <v>0.88100999999999996</v>
      </c>
      <c r="S1832">
        <v>0.74150000000000005</v>
      </c>
      <c r="T1832">
        <v>114.935</v>
      </c>
      <c r="U1832">
        <v>1</v>
      </c>
    </row>
    <row r="1833" spans="1:35" hidden="1" outlineLevel="1">
      <c r="A1833" s="8">
        <v>44560</v>
      </c>
      <c r="B1833" s="1860">
        <v>3146.5728199999999</v>
      </c>
      <c r="C1833" s="1860">
        <v>4403.4801600000001</v>
      </c>
      <c r="D1833" s="1860">
        <v>4559.2317999999996</v>
      </c>
      <c r="E1833" s="1860">
        <v>5430.5597100000005</v>
      </c>
      <c r="F1833">
        <v>34.941420000000001</v>
      </c>
      <c r="G1833" s="1861">
        <v>4023.68</v>
      </c>
      <c r="I1833">
        <v>0.78200999999999998</v>
      </c>
      <c r="J1833">
        <v>1.09439</v>
      </c>
      <c r="K1833">
        <v>1.1331</v>
      </c>
      <c r="L1833">
        <v>1.34965</v>
      </c>
      <c r="M1833">
        <v>8.6800000000000002E-3</v>
      </c>
      <c r="N1833">
        <v>1</v>
      </c>
      <c r="P1833">
        <v>1.2787500000000001</v>
      </c>
      <c r="Q1833">
        <v>0.91374999999999995</v>
      </c>
      <c r="R1833">
        <v>0.88253000000000004</v>
      </c>
      <c r="S1833">
        <v>0.74092999999999998</v>
      </c>
      <c r="T1833">
        <v>115.155</v>
      </c>
      <c r="U1833">
        <v>1</v>
      </c>
    </row>
    <row r="1834" spans="1:35" ht="15.75" collapsed="1" thickBot="1">
      <c r="A1834" s="1877">
        <v>44561</v>
      </c>
      <c r="B1834" s="1878">
        <v>3151.7713600000002</v>
      </c>
      <c r="C1834" s="1878">
        <v>4369.3793500000002</v>
      </c>
      <c r="D1834" s="1878">
        <v>4527.3751499999998</v>
      </c>
      <c r="E1834" s="1878">
        <v>5392.2821599999997</v>
      </c>
      <c r="F1834" s="1879">
        <v>34.572180000000003</v>
      </c>
      <c r="G1834" s="1880">
        <v>3981.16</v>
      </c>
      <c r="H1834" s="1881"/>
      <c r="I1834" s="1879">
        <v>0.79166999999999998</v>
      </c>
      <c r="J1834" s="1879">
        <v>1.09751</v>
      </c>
      <c r="K1834" s="1879">
        <v>1.1372</v>
      </c>
      <c r="L1834" s="1879">
        <v>1.3544499999999999</v>
      </c>
      <c r="M1834" s="1879">
        <v>8.6800000000000002E-3</v>
      </c>
      <c r="N1834" s="1879">
        <v>1</v>
      </c>
      <c r="O1834" s="1881"/>
      <c r="P1834" s="1879">
        <v>1.26315</v>
      </c>
      <c r="Q1834" s="1879">
        <v>0.91115000000000002</v>
      </c>
      <c r="R1834" s="1879">
        <v>0.87934999999999997</v>
      </c>
      <c r="S1834" s="1879">
        <v>0.73829999999999996</v>
      </c>
      <c r="T1834" s="1879">
        <v>115.155</v>
      </c>
      <c r="U1834" s="1879">
        <v>1</v>
      </c>
      <c r="V1834" s="1881"/>
    </row>
    <row r="1835" spans="1:35" ht="15.75" thickTop="1">
      <c r="A1835" s="8"/>
      <c r="B1835" s="1860"/>
      <c r="C1835" s="1860"/>
      <c r="D1835" s="1860"/>
      <c r="E1835" s="1860"/>
      <c r="G1835" s="1861"/>
    </row>
    <row r="1836" spans="1:35" hidden="1" outlineLevel="1">
      <c r="A1836" s="8">
        <v>44562</v>
      </c>
      <c r="B1836" s="1860">
        <v>3151.7713600000002</v>
      </c>
      <c r="C1836" s="1860">
        <v>4369.3793500000002</v>
      </c>
      <c r="D1836" s="1860">
        <v>4527.3751499999998</v>
      </c>
      <c r="E1836" s="1860">
        <v>5392.2821599999997</v>
      </c>
      <c r="F1836">
        <v>34.572180000000003</v>
      </c>
      <c r="G1836" s="1861">
        <v>3981.16</v>
      </c>
      <c r="I1836">
        <v>0.79166999999999998</v>
      </c>
      <c r="J1836">
        <v>1.09751</v>
      </c>
      <c r="K1836">
        <v>1.1372</v>
      </c>
      <c r="L1836">
        <v>1.3544499999999999</v>
      </c>
      <c r="M1836">
        <v>8.6800000000000002E-3</v>
      </c>
      <c r="N1836">
        <v>1</v>
      </c>
      <c r="P1836">
        <v>1.26315</v>
      </c>
      <c r="Q1836">
        <v>0.91115000000000002</v>
      </c>
      <c r="R1836">
        <v>0.87934999999999997</v>
      </c>
      <c r="S1836">
        <v>0.73829999999999996</v>
      </c>
      <c r="T1836">
        <v>115.155</v>
      </c>
      <c r="U1836">
        <v>1</v>
      </c>
    </row>
    <row r="1837" spans="1:35" hidden="1" outlineLevel="1">
      <c r="A1837" s="8">
        <v>44563</v>
      </c>
      <c r="B1837" s="1860">
        <v>3151.7713600000002</v>
      </c>
      <c r="C1837" s="1860">
        <v>4369.3793500000002</v>
      </c>
      <c r="D1837" s="1860">
        <v>4527.3751499999998</v>
      </c>
      <c r="E1837" s="1860">
        <v>5392.2821599999997</v>
      </c>
      <c r="F1837">
        <v>34.572180000000003</v>
      </c>
      <c r="G1837" s="1861">
        <v>3981.16</v>
      </c>
      <c r="I1837">
        <v>0.79166999999999998</v>
      </c>
      <c r="J1837">
        <v>1.09751</v>
      </c>
      <c r="K1837">
        <v>1.1372</v>
      </c>
      <c r="L1837">
        <v>1.3544499999999999</v>
      </c>
      <c r="M1837">
        <v>8.6800000000000002E-3</v>
      </c>
      <c r="N1837">
        <v>1</v>
      </c>
      <c r="P1837">
        <v>1.26315</v>
      </c>
      <c r="Q1837">
        <v>0.91115000000000002</v>
      </c>
      <c r="R1837">
        <v>0.87934999999999997</v>
      </c>
      <c r="S1837">
        <v>0.73829999999999996</v>
      </c>
      <c r="T1837">
        <v>115.155</v>
      </c>
      <c r="U1837">
        <v>1</v>
      </c>
    </row>
    <row r="1838" spans="1:35" hidden="1" outlineLevel="1">
      <c r="A1838" s="8">
        <v>44564</v>
      </c>
      <c r="B1838" s="1860">
        <v>3117.0999000000002</v>
      </c>
      <c r="C1838" s="1860">
        <v>4333.7070700000004</v>
      </c>
      <c r="D1838" s="1860">
        <v>4495.5258700000004</v>
      </c>
      <c r="E1838" s="1860">
        <v>5353.6649100000004</v>
      </c>
      <c r="F1838">
        <v>34.528700000000001</v>
      </c>
      <c r="G1838" s="1861">
        <v>3981.16</v>
      </c>
      <c r="I1838">
        <v>0.78295999999999999</v>
      </c>
      <c r="J1838">
        <v>1.0885499999999999</v>
      </c>
      <c r="K1838">
        <v>1.1292</v>
      </c>
      <c r="L1838">
        <v>1.3447499999999999</v>
      </c>
      <c r="M1838">
        <v>8.6700000000000006E-3</v>
      </c>
      <c r="N1838">
        <v>1</v>
      </c>
      <c r="P1838">
        <v>1.2771999999999999</v>
      </c>
      <c r="Q1838">
        <v>0.91864999999999997</v>
      </c>
      <c r="R1838">
        <v>0.88558000000000003</v>
      </c>
      <c r="S1838">
        <v>0.74363000000000001</v>
      </c>
      <c r="T1838">
        <v>115.3</v>
      </c>
      <c r="U1838">
        <v>1</v>
      </c>
    </row>
    <row r="1839" spans="1:35" hidden="1" outlineLevel="1">
      <c r="A1839" s="2175">
        <v>44565</v>
      </c>
      <c r="B1839" s="1860">
        <v>3220.9774699999998</v>
      </c>
      <c r="C1839" s="1860">
        <v>4466.1707500000002</v>
      </c>
      <c r="D1839" s="1860">
        <v>4617.3861100000004</v>
      </c>
      <c r="E1839" s="1860">
        <v>5533.3510699999997</v>
      </c>
      <c r="F1839">
        <v>35.159739999999999</v>
      </c>
      <c r="G1839" s="2174">
        <v>4082.75</v>
      </c>
      <c r="I1839">
        <v>0.78891999999999995</v>
      </c>
      <c r="J1839">
        <v>1.0939099999999999</v>
      </c>
      <c r="K1839">
        <v>1.1309499999999999</v>
      </c>
      <c r="L1839">
        <v>1.3552999999999999</v>
      </c>
      <c r="M1839">
        <v>8.6099999999999996E-3</v>
      </c>
      <c r="N1839">
        <v>1</v>
      </c>
      <c r="P1839">
        <v>1.26755</v>
      </c>
      <c r="Q1839">
        <v>0.91415000000000002</v>
      </c>
      <c r="R1839">
        <v>0.88421000000000005</v>
      </c>
      <c r="S1839">
        <v>0.73784000000000005</v>
      </c>
      <c r="T1839">
        <v>116.12</v>
      </c>
      <c r="U1839">
        <v>1</v>
      </c>
    </row>
    <row r="1840" spans="1:35" hidden="1" outlineLevel="1">
      <c r="A1840" s="8">
        <v>44566</v>
      </c>
      <c r="B1840" s="1860">
        <v>3215.9612499999998</v>
      </c>
      <c r="C1840" s="1860">
        <v>4463.2642999999998</v>
      </c>
      <c r="D1840" s="1860">
        <v>4629.9512999999997</v>
      </c>
      <c r="E1840" s="1860">
        <v>5540.7078300000003</v>
      </c>
      <c r="F1840">
        <v>35.27169</v>
      </c>
      <c r="G1840" s="1861">
        <v>4084.11</v>
      </c>
      <c r="I1840">
        <v>0.78742999999999996</v>
      </c>
      <c r="J1840">
        <v>1.09283</v>
      </c>
      <c r="K1840">
        <v>1.13365</v>
      </c>
      <c r="L1840">
        <v>1.3566499999999999</v>
      </c>
      <c r="M1840">
        <v>8.6300000000000005E-3</v>
      </c>
      <c r="N1840">
        <v>1</v>
      </c>
      <c r="P1840">
        <v>1.2699499999999999</v>
      </c>
      <c r="Q1840">
        <v>0.91505000000000003</v>
      </c>
      <c r="R1840">
        <v>0.8821</v>
      </c>
      <c r="S1840">
        <v>0.73709999999999998</v>
      </c>
      <c r="T1840">
        <v>115.79</v>
      </c>
      <c r="U1840">
        <v>1</v>
      </c>
    </row>
    <row r="1841" spans="1:21" hidden="1" outlineLevel="1">
      <c r="A1841" s="8">
        <v>44567</v>
      </c>
      <c r="B1841" s="1860">
        <v>3169.98117</v>
      </c>
      <c r="C1841" s="1860">
        <v>4396.0197900000003</v>
      </c>
      <c r="D1841" s="1860">
        <v>4566.2498500000002</v>
      </c>
      <c r="E1841" s="1860">
        <v>5468.5046000000002</v>
      </c>
      <c r="F1841">
        <v>34.923189999999998</v>
      </c>
      <c r="G1841" s="1861">
        <v>4042.36</v>
      </c>
      <c r="I1841">
        <v>0.78419000000000005</v>
      </c>
      <c r="J1841">
        <v>1.08748</v>
      </c>
      <c r="K1841">
        <v>1.1295999999999999</v>
      </c>
      <c r="L1841">
        <v>1.3528</v>
      </c>
      <c r="M1841">
        <v>8.6300000000000005E-3</v>
      </c>
      <c r="N1841">
        <v>1</v>
      </c>
      <c r="P1841">
        <v>1.2751999999999999</v>
      </c>
      <c r="Q1841">
        <v>0.91954999999999998</v>
      </c>
      <c r="R1841">
        <v>0.88526000000000005</v>
      </c>
      <c r="S1841">
        <v>0.73919999999999997</v>
      </c>
      <c r="T1841">
        <v>115.75</v>
      </c>
      <c r="U1841">
        <v>1</v>
      </c>
    </row>
    <row r="1842" spans="1:21" hidden="1" outlineLevel="1">
      <c r="A1842" s="8">
        <v>44568</v>
      </c>
      <c r="B1842" s="1860">
        <v>3187.33527</v>
      </c>
      <c r="C1842" s="1860">
        <v>4391.2703099999999</v>
      </c>
      <c r="D1842" s="1860">
        <v>4583.8089799999998</v>
      </c>
      <c r="E1842" s="1860">
        <v>5482.7574199999999</v>
      </c>
      <c r="F1842">
        <v>34.933059999999998</v>
      </c>
      <c r="G1842" s="1861">
        <v>4039.31</v>
      </c>
      <c r="I1842">
        <v>0.78907000000000005</v>
      </c>
      <c r="J1842">
        <v>1.0871299999999999</v>
      </c>
      <c r="K1842">
        <v>1.1348</v>
      </c>
      <c r="L1842">
        <v>1.3573500000000001</v>
      </c>
      <c r="M1842">
        <v>8.6400000000000001E-3</v>
      </c>
      <c r="N1842">
        <v>1</v>
      </c>
      <c r="P1842">
        <v>1.2673000000000001</v>
      </c>
      <c r="Q1842">
        <v>0.91984999999999995</v>
      </c>
      <c r="R1842">
        <v>0.88121000000000005</v>
      </c>
      <c r="S1842">
        <v>0.73672000000000004</v>
      </c>
      <c r="T1842">
        <v>115.63</v>
      </c>
      <c r="U1842">
        <v>1</v>
      </c>
    </row>
    <row r="1843" spans="1:21" hidden="1" outlineLevel="1">
      <c r="A1843" s="8">
        <v>44569</v>
      </c>
      <c r="B1843" s="1860">
        <v>3190.60995</v>
      </c>
      <c r="C1843" s="1860">
        <v>4395.7819200000004</v>
      </c>
      <c r="D1843" s="1860">
        <v>4588.5183999999999</v>
      </c>
      <c r="E1843" s="1860">
        <v>5488.3904300000004</v>
      </c>
      <c r="F1843">
        <v>34.96895</v>
      </c>
      <c r="G1843" s="1861">
        <v>4043.46</v>
      </c>
      <c r="I1843">
        <v>0.78907000000000005</v>
      </c>
      <c r="J1843">
        <v>1.0871299999999999</v>
      </c>
      <c r="K1843">
        <v>1.1348</v>
      </c>
      <c r="L1843">
        <v>1.3573500000000001</v>
      </c>
      <c r="M1843">
        <v>8.6400000000000001E-3</v>
      </c>
      <c r="N1843">
        <v>1</v>
      </c>
      <c r="P1843">
        <v>1.2673000000000001</v>
      </c>
      <c r="Q1843">
        <v>0.91984999999999995</v>
      </c>
      <c r="R1843">
        <v>0.88121000000000005</v>
      </c>
      <c r="S1843">
        <v>0.73672000000000004</v>
      </c>
      <c r="T1843">
        <v>115.63</v>
      </c>
      <c r="U1843">
        <v>1</v>
      </c>
    </row>
    <row r="1844" spans="1:21" hidden="1" outlineLevel="1">
      <c r="A1844" s="8">
        <v>44570</v>
      </c>
      <c r="B1844" s="1860">
        <v>3190.60995</v>
      </c>
      <c r="C1844" s="1860">
        <v>4395.7819200000004</v>
      </c>
      <c r="D1844" s="1860">
        <v>4588.5183999999999</v>
      </c>
      <c r="E1844" s="1860">
        <v>5488.3904300000004</v>
      </c>
      <c r="F1844">
        <v>34.96895</v>
      </c>
      <c r="G1844" s="1861">
        <v>4043.46</v>
      </c>
      <c r="I1844">
        <v>0.78907000000000005</v>
      </c>
      <c r="J1844">
        <v>1.0871299999999999</v>
      </c>
      <c r="K1844">
        <v>1.1348</v>
      </c>
      <c r="L1844">
        <v>1.3573500000000001</v>
      </c>
      <c r="M1844">
        <v>8.6400000000000001E-3</v>
      </c>
      <c r="N1844">
        <v>1</v>
      </c>
      <c r="P1844">
        <v>1.2673000000000001</v>
      </c>
      <c r="Q1844">
        <v>0.91984999999999995</v>
      </c>
      <c r="R1844">
        <v>0.88121000000000005</v>
      </c>
      <c r="S1844">
        <v>0.73672000000000004</v>
      </c>
      <c r="T1844">
        <v>115.63</v>
      </c>
      <c r="U1844">
        <v>1</v>
      </c>
    </row>
    <row r="1845" spans="1:21" hidden="1" outlineLevel="1">
      <c r="A1845" s="8">
        <v>44571</v>
      </c>
      <c r="B1845" s="1860">
        <v>3189.4774200000002</v>
      </c>
      <c r="C1845" s="1860">
        <v>4368.2385299999996</v>
      </c>
      <c r="D1845" s="1860">
        <v>4576.9945399999997</v>
      </c>
      <c r="E1845" s="1860">
        <v>5483.53827</v>
      </c>
      <c r="F1845">
        <v>35.133020000000002</v>
      </c>
      <c r="G1845" s="1861">
        <v>4043.46</v>
      </c>
      <c r="I1845">
        <v>0.78878999999999999</v>
      </c>
      <c r="J1845">
        <v>1.0803199999999999</v>
      </c>
      <c r="K1845">
        <v>1.13195</v>
      </c>
      <c r="L1845">
        <v>1.35615</v>
      </c>
      <c r="M1845">
        <v>8.6800000000000002E-3</v>
      </c>
      <c r="N1845">
        <v>1</v>
      </c>
      <c r="P1845">
        <v>1.2677499999999999</v>
      </c>
      <c r="Q1845">
        <v>0.92564999999999997</v>
      </c>
      <c r="R1845">
        <v>0.88343000000000005</v>
      </c>
      <c r="S1845">
        <v>0.73738000000000004</v>
      </c>
      <c r="T1845">
        <v>115.09</v>
      </c>
      <c r="U1845">
        <v>1</v>
      </c>
    </row>
    <row r="1846" spans="1:21" hidden="1" outlineLevel="1">
      <c r="A1846" s="8">
        <v>44572</v>
      </c>
      <c r="B1846" s="1860">
        <v>3202.7405899999999</v>
      </c>
      <c r="C1846" s="1860">
        <v>4370.1269899999998</v>
      </c>
      <c r="D1846" s="1860">
        <v>4585.4858100000001</v>
      </c>
      <c r="E1846" s="1860">
        <v>5501.3294999999998</v>
      </c>
      <c r="F1846">
        <v>35.015889999999999</v>
      </c>
      <c r="G1846" s="1861">
        <v>4043.46</v>
      </c>
      <c r="I1846">
        <v>0.79207000000000005</v>
      </c>
      <c r="J1846">
        <v>1.0807800000000001</v>
      </c>
      <c r="K1846">
        <v>1.13405</v>
      </c>
      <c r="L1846">
        <v>1.3605499999999999</v>
      </c>
      <c r="M1846">
        <v>8.6499999999999997E-3</v>
      </c>
      <c r="N1846">
        <v>1</v>
      </c>
      <c r="P1846">
        <v>1.2625</v>
      </c>
      <c r="Q1846">
        <v>0.92525000000000002</v>
      </c>
      <c r="R1846">
        <v>0.88178999999999996</v>
      </c>
      <c r="S1846">
        <v>0.73499000000000003</v>
      </c>
      <c r="T1846">
        <v>115.47499999999999</v>
      </c>
      <c r="U1846">
        <v>1</v>
      </c>
    </row>
    <row r="1847" spans="1:21" hidden="1" outlineLevel="1">
      <c r="A1847" s="8">
        <v>44573</v>
      </c>
      <c r="B1847" s="1860">
        <v>3207.2673399999999</v>
      </c>
      <c r="C1847" s="1860">
        <v>4382.4011300000002</v>
      </c>
      <c r="D1847" s="1860">
        <v>4581.5048800000004</v>
      </c>
      <c r="E1847" s="1860">
        <v>5490.7453500000001</v>
      </c>
      <c r="F1847">
        <v>34.929470000000002</v>
      </c>
      <c r="G1847" s="1861">
        <v>4011.65</v>
      </c>
      <c r="I1847">
        <v>0.79947999999999997</v>
      </c>
      <c r="J1847">
        <v>1.0924100000000001</v>
      </c>
      <c r="K1847">
        <v>1.14205</v>
      </c>
      <c r="L1847">
        <v>1.3687</v>
      </c>
      <c r="M1847">
        <v>8.6999999999999994E-3</v>
      </c>
      <c r="N1847">
        <v>1</v>
      </c>
      <c r="P1847">
        <v>1.2507999999999999</v>
      </c>
      <c r="Q1847">
        <v>0.91539999999999999</v>
      </c>
      <c r="R1847">
        <v>0.87561</v>
      </c>
      <c r="S1847">
        <v>0.73062000000000005</v>
      </c>
      <c r="T1847">
        <v>114.85</v>
      </c>
      <c r="U1847">
        <v>1</v>
      </c>
    </row>
    <row r="1848" spans="1:21" hidden="1" outlineLevel="1">
      <c r="A1848" s="8">
        <v>44574</v>
      </c>
      <c r="B1848" s="1860">
        <v>3179.2432399999998</v>
      </c>
      <c r="C1848" s="1860">
        <v>4361.5270499999997</v>
      </c>
      <c r="D1848" s="1860">
        <v>4549.9101799999999</v>
      </c>
      <c r="E1848" s="1860">
        <v>5452.5078700000004</v>
      </c>
      <c r="F1848">
        <v>34.787109999999998</v>
      </c>
      <c r="G1848" s="1861">
        <v>3970.08</v>
      </c>
      <c r="I1848">
        <v>0.80079999999999996</v>
      </c>
      <c r="J1848">
        <v>1.09859</v>
      </c>
      <c r="K1848">
        <v>1.14605</v>
      </c>
      <c r="L1848">
        <v>1.3734</v>
      </c>
      <c r="M1848">
        <v>8.7600000000000004E-3</v>
      </c>
      <c r="N1848">
        <v>1</v>
      </c>
      <c r="P1848">
        <v>1.24875</v>
      </c>
      <c r="Q1848">
        <v>0.91025</v>
      </c>
      <c r="R1848">
        <v>0.87256</v>
      </c>
      <c r="S1848">
        <v>0.72811000000000003</v>
      </c>
      <c r="T1848">
        <v>114.125</v>
      </c>
      <c r="U1848">
        <v>1</v>
      </c>
    </row>
    <row r="1849" spans="1:21" hidden="1" outlineLevel="1">
      <c r="A1849" s="8">
        <v>44575</v>
      </c>
      <c r="B1849" s="1860">
        <v>3149.1091700000002</v>
      </c>
      <c r="C1849" s="1860">
        <v>4331.8164299999999</v>
      </c>
      <c r="D1849" s="1860">
        <v>4516.68984</v>
      </c>
      <c r="E1849" s="1860">
        <v>5405.5298400000001</v>
      </c>
      <c r="F1849">
        <v>34.7181</v>
      </c>
      <c r="G1849" s="1861">
        <v>3950.4</v>
      </c>
      <c r="I1849">
        <v>0.79715999999999998</v>
      </c>
      <c r="J1849">
        <v>1.0965499999999999</v>
      </c>
      <c r="K1849">
        <v>1.1433500000000001</v>
      </c>
      <c r="L1849">
        <v>1.36835</v>
      </c>
      <c r="M1849">
        <v>8.7799999999999996E-3</v>
      </c>
      <c r="N1849">
        <v>1</v>
      </c>
      <c r="P1849">
        <v>1.2544500000000001</v>
      </c>
      <c r="Q1849">
        <v>0.91195000000000004</v>
      </c>
      <c r="R1849">
        <v>0.87461999999999995</v>
      </c>
      <c r="S1849">
        <v>0.73080000000000001</v>
      </c>
      <c r="T1849">
        <v>113.785</v>
      </c>
      <c r="U1849">
        <v>1</v>
      </c>
    </row>
    <row r="1850" spans="1:21" hidden="1" outlineLevel="1">
      <c r="A1850" s="8">
        <v>44576</v>
      </c>
      <c r="B1850" s="1860">
        <v>3183.5864299999998</v>
      </c>
      <c r="C1850" s="1860">
        <v>4379.2422800000004</v>
      </c>
      <c r="D1850" s="1860">
        <v>4566.1397200000001</v>
      </c>
      <c r="E1850" s="1860">
        <v>5464.7109700000001</v>
      </c>
      <c r="F1850">
        <v>35.098210000000002</v>
      </c>
      <c r="G1850" s="1861">
        <v>3993.65</v>
      </c>
      <c r="I1850">
        <v>0.79715999999999998</v>
      </c>
      <c r="J1850">
        <v>1.0965499999999999</v>
      </c>
      <c r="K1850">
        <v>1.1433500000000001</v>
      </c>
      <c r="L1850">
        <v>1.36835</v>
      </c>
      <c r="M1850">
        <v>8.7799999999999996E-3</v>
      </c>
      <c r="N1850">
        <v>1</v>
      </c>
      <c r="P1850">
        <v>1.2544500000000001</v>
      </c>
      <c r="Q1850">
        <v>0.91195000000000004</v>
      </c>
      <c r="R1850">
        <v>0.87461999999999995</v>
      </c>
      <c r="S1850">
        <v>0.73080000000000001</v>
      </c>
      <c r="T1850">
        <v>113.785</v>
      </c>
      <c r="U1850">
        <v>1</v>
      </c>
    </row>
    <row r="1851" spans="1:21" hidden="1" outlineLevel="1">
      <c r="A1851" s="8">
        <v>44577</v>
      </c>
      <c r="B1851" s="1860">
        <v>3183.5864299999998</v>
      </c>
      <c r="C1851" s="1860">
        <v>4379.2422800000004</v>
      </c>
      <c r="D1851" s="1860">
        <v>4566.1397200000001</v>
      </c>
      <c r="E1851" s="1860">
        <v>5464.7109700000001</v>
      </c>
      <c r="F1851">
        <v>35.098210000000002</v>
      </c>
      <c r="G1851" s="1861">
        <v>3993.65</v>
      </c>
      <c r="I1851">
        <v>0.79715999999999998</v>
      </c>
      <c r="J1851">
        <v>1.0965499999999999</v>
      </c>
      <c r="K1851">
        <v>1.1433500000000001</v>
      </c>
      <c r="L1851">
        <v>1.36835</v>
      </c>
      <c r="M1851">
        <v>8.7799999999999996E-3</v>
      </c>
      <c r="N1851">
        <v>1</v>
      </c>
      <c r="P1851">
        <v>1.2544500000000001</v>
      </c>
      <c r="Q1851">
        <v>0.91195000000000004</v>
      </c>
      <c r="R1851">
        <v>0.87461999999999995</v>
      </c>
      <c r="S1851">
        <v>0.73080000000000001</v>
      </c>
      <c r="T1851">
        <v>113.785</v>
      </c>
      <c r="U1851">
        <v>1</v>
      </c>
    </row>
    <row r="1852" spans="1:21" hidden="1" outlineLevel="1">
      <c r="A1852" s="8">
        <v>44578</v>
      </c>
      <c r="B1852" s="1860">
        <v>3189.0521399999998</v>
      </c>
      <c r="C1852" s="1860">
        <v>4369.1811100000004</v>
      </c>
      <c r="D1852" s="1860">
        <v>4553.9590900000003</v>
      </c>
      <c r="E1852" s="1860">
        <v>5451.13256</v>
      </c>
      <c r="F1852">
        <v>34.841000000000001</v>
      </c>
      <c r="G1852" s="1861">
        <v>3993.65</v>
      </c>
      <c r="I1852">
        <v>0.79852999999999996</v>
      </c>
      <c r="J1852">
        <v>1.0940300000000001</v>
      </c>
      <c r="K1852">
        <v>1.1403000000000001</v>
      </c>
      <c r="L1852">
        <v>1.3649500000000001</v>
      </c>
      <c r="M1852">
        <v>8.7200000000000003E-3</v>
      </c>
      <c r="N1852">
        <v>1</v>
      </c>
      <c r="P1852">
        <v>1.2523</v>
      </c>
      <c r="Q1852">
        <v>0.91405000000000003</v>
      </c>
      <c r="R1852">
        <v>0.87695999999999996</v>
      </c>
      <c r="S1852">
        <v>0.73262000000000005</v>
      </c>
      <c r="T1852">
        <v>114.625</v>
      </c>
      <c r="U1852">
        <v>1</v>
      </c>
    </row>
    <row r="1853" spans="1:21" hidden="1" outlineLevel="1">
      <c r="A1853" s="8">
        <v>44579</v>
      </c>
      <c r="B1853" s="1860">
        <v>3187.6521499999999</v>
      </c>
      <c r="C1853" s="1860">
        <v>4356.7883000000002</v>
      </c>
      <c r="D1853" s="1860">
        <v>4529.99719</v>
      </c>
      <c r="E1853" s="1860">
        <v>5424.3751099999999</v>
      </c>
      <c r="F1853">
        <v>34.86533</v>
      </c>
      <c r="G1853" s="1861">
        <v>3993.65</v>
      </c>
      <c r="I1853">
        <v>0.79818</v>
      </c>
      <c r="J1853">
        <v>1.0909199999999999</v>
      </c>
      <c r="K1853">
        <v>1.1343000000000001</v>
      </c>
      <c r="L1853">
        <v>1.35825</v>
      </c>
      <c r="M1853">
        <v>8.7299999999999999E-3</v>
      </c>
      <c r="N1853">
        <v>1</v>
      </c>
      <c r="P1853">
        <v>1.25285</v>
      </c>
      <c r="Q1853">
        <v>0.91664999999999996</v>
      </c>
      <c r="R1853">
        <v>0.88160000000000005</v>
      </c>
      <c r="S1853">
        <v>0.73624000000000001</v>
      </c>
      <c r="T1853">
        <v>114.545</v>
      </c>
      <c r="U1853">
        <v>1</v>
      </c>
    </row>
    <row r="1854" spans="1:21" hidden="1" outlineLevel="1">
      <c r="A1854" s="8">
        <v>44580</v>
      </c>
      <c r="B1854" s="1860">
        <v>3222.8285999999998</v>
      </c>
      <c r="C1854" s="1860">
        <v>4402.0409200000004</v>
      </c>
      <c r="D1854" s="1860">
        <v>4575.85826</v>
      </c>
      <c r="E1854" s="1860">
        <v>5497.0799699999998</v>
      </c>
      <c r="F1854">
        <v>35.275230000000001</v>
      </c>
      <c r="G1854" s="1861">
        <v>4033.37</v>
      </c>
      <c r="I1854">
        <v>0.79903999999999997</v>
      </c>
      <c r="J1854">
        <v>1.0913999999999999</v>
      </c>
      <c r="K1854">
        <v>1.1345000000000001</v>
      </c>
      <c r="L1854">
        <v>1.3629</v>
      </c>
      <c r="M1854">
        <v>8.7399999999999995E-3</v>
      </c>
      <c r="N1854">
        <v>1</v>
      </c>
      <c r="P1854">
        <v>1.2515000000000001</v>
      </c>
      <c r="Q1854">
        <v>0.91625000000000001</v>
      </c>
      <c r="R1854">
        <v>0.88144</v>
      </c>
      <c r="S1854">
        <v>0.73372000000000004</v>
      </c>
      <c r="T1854">
        <v>114.34</v>
      </c>
      <c r="U1854">
        <v>1</v>
      </c>
    </row>
    <row r="1855" spans="1:21" hidden="1" outlineLevel="1">
      <c r="A1855" s="8">
        <v>44581</v>
      </c>
      <c r="B1855" s="1860">
        <v>3214.2168999999999</v>
      </c>
      <c r="C1855" s="1860">
        <v>4378.0547800000004</v>
      </c>
      <c r="D1855" s="1860">
        <v>4543.68246</v>
      </c>
      <c r="E1855" s="1860">
        <v>5467.5939200000003</v>
      </c>
      <c r="F1855">
        <v>35.123899999999999</v>
      </c>
      <c r="G1855" s="1861">
        <v>4003.95</v>
      </c>
      <c r="I1855">
        <v>0.80276000000000003</v>
      </c>
      <c r="J1855">
        <v>1.0934299999999999</v>
      </c>
      <c r="K1855">
        <v>1.1348</v>
      </c>
      <c r="L1855">
        <v>1.36555</v>
      </c>
      <c r="M1855">
        <v>8.77E-3</v>
      </c>
      <c r="N1855">
        <v>1</v>
      </c>
      <c r="P1855">
        <v>1.2457</v>
      </c>
      <c r="Q1855">
        <v>0.91454999999999997</v>
      </c>
      <c r="R1855">
        <v>0.88121000000000005</v>
      </c>
      <c r="S1855">
        <v>0.73229999999999995</v>
      </c>
      <c r="T1855">
        <v>113.995</v>
      </c>
      <c r="U1855">
        <v>1</v>
      </c>
    </row>
    <row r="1856" spans="1:21" hidden="1" outlineLevel="1">
      <c r="A1856" s="8">
        <v>44582</v>
      </c>
      <c r="B1856" s="1860">
        <v>3175.7478999999998</v>
      </c>
      <c r="C1856" s="1860">
        <v>4368.7445100000004</v>
      </c>
      <c r="D1856" s="1860">
        <v>4517.0137599999998</v>
      </c>
      <c r="E1856" s="1860">
        <v>5395.7753599999996</v>
      </c>
      <c r="F1856">
        <v>35.022210000000001</v>
      </c>
      <c r="G1856" s="1861">
        <v>3980.8</v>
      </c>
      <c r="I1856">
        <v>0.79776000000000002</v>
      </c>
      <c r="J1856">
        <v>1.09745</v>
      </c>
      <c r="K1856">
        <v>1.1347</v>
      </c>
      <c r="L1856">
        <v>1.35545</v>
      </c>
      <c r="M1856">
        <v>8.7899999999999992E-3</v>
      </c>
      <c r="N1856">
        <v>1</v>
      </c>
      <c r="P1856">
        <v>1.2535000000000001</v>
      </c>
      <c r="Q1856">
        <v>0.91120000000000001</v>
      </c>
      <c r="R1856">
        <v>0.88129000000000002</v>
      </c>
      <c r="S1856">
        <v>0.73775999999999997</v>
      </c>
      <c r="T1856">
        <v>113.66500000000001</v>
      </c>
      <c r="U1856">
        <v>1</v>
      </c>
    </row>
    <row r="1857" spans="1:22" hidden="1" outlineLevel="1">
      <c r="A1857" s="8">
        <v>44583</v>
      </c>
      <c r="B1857" s="1860">
        <v>3162.5847600000002</v>
      </c>
      <c r="C1857" s="1860">
        <v>4350.63652</v>
      </c>
      <c r="D1857" s="1860">
        <v>4498.2912100000003</v>
      </c>
      <c r="E1857" s="1860">
        <v>5373.4104299999999</v>
      </c>
      <c r="F1857">
        <v>34.877049999999997</v>
      </c>
      <c r="G1857" s="1861">
        <v>3964.3</v>
      </c>
      <c r="I1857">
        <v>0.79776000000000002</v>
      </c>
      <c r="J1857">
        <v>1.09745</v>
      </c>
      <c r="K1857">
        <v>1.1347</v>
      </c>
      <c r="L1857">
        <v>1.35545</v>
      </c>
      <c r="M1857">
        <v>8.7899999999999992E-3</v>
      </c>
      <c r="N1857">
        <v>1</v>
      </c>
      <c r="P1857">
        <v>1.2535000000000001</v>
      </c>
      <c r="Q1857">
        <v>0.91120000000000001</v>
      </c>
      <c r="R1857">
        <v>0.88129000000000002</v>
      </c>
      <c r="S1857">
        <v>0.73775999999999997</v>
      </c>
      <c r="T1857">
        <v>113.66500000000001</v>
      </c>
      <c r="U1857">
        <v>1</v>
      </c>
    </row>
    <row r="1858" spans="1:22" hidden="1" outlineLevel="1">
      <c r="A1858" s="8">
        <v>44584</v>
      </c>
      <c r="B1858" s="1860">
        <v>3162.5847600000002</v>
      </c>
      <c r="C1858" s="1860">
        <v>4350.63652</v>
      </c>
      <c r="D1858" s="1860">
        <v>4498.2912100000003</v>
      </c>
      <c r="E1858" s="1860">
        <v>5373.4104299999999</v>
      </c>
      <c r="F1858">
        <v>34.877049999999997</v>
      </c>
      <c r="G1858" s="1861">
        <v>3964.3</v>
      </c>
      <c r="I1858">
        <v>0.79776000000000002</v>
      </c>
      <c r="J1858">
        <v>1.09745</v>
      </c>
      <c r="K1858">
        <v>1.1347</v>
      </c>
      <c r="L1858">
        <v>1.35545</v>
      </c>
      <c r="M1858">
        <v>8.7899999999999992E-3</v>
      </c>
      <c r="N1858">
        <v>1</v>
      </c>
      <c r="P1858">
        <v>1.2535000000000001</v>
      </c>
      <c r="Q1858">
        <v>0.91120000000000001</v>
      </c>
      <c r="R1858">
        <v>0.88129000000000002</v>
      </c>
      <c r="S1858">
        <v>0.73775999999999997</v>
      </c>
      <c r="T1858">
        <v>113.66500000000001</v>
      </c>
      <c r="U1858">
        <v>1</v>
      </c>
    </row>
    <row r="1859" spans="1:22" hidden="1" outlineLevel="1">
      <c r="A1859" s="8">
        <v>44585</v>
      </c>
      <c r="B1859" s="1860">
        <v>3130.6167500000001</v>
      </c>
      <c r="C1859" s="1860">
        <v>4329.9655899999998</v>
      </c>
      <c r="D1859" s="1860">
        <v>4483.2268700000004</v>
      </c>
      <c r="E1859" s="1860">
        <v>5337.53352</v>
      </c>
      <c r="F1859">
        <v>34.794400000000003</v>
      </c>
      <c r="G1859" s="1861">
        <v>3964.3</v>
      </c>
      <c r="I1859">
        <v>0.78969999999999996</v>
      </c>
      <c r="J1859">
        <v>1.09223</v>
      </c>
      <c r="K1859">
        <v>1.1309</v>
      </c>
      <c r="L1859">
        <v>1.3464</v>
      </c>
      <c r="M1859">
        <v>8.77E-3</v>
      </c>
      <c r="N1859">
        <v>1</v>
      </c>
      <c r="P1859">
        <v>1.2663</v>
      </c>
      <c r="Q1859">
        <v>0.91554999999999997</v>
      </c>
      <c r="R1859">
        <v>0.88424999999999998</v>
      </c>
      <c r="S1859">
        <v>0.74272000000000005</v>
      </c>
      <c r="T1859">
        <v>113.935</v>
      </c>
      <c r="U1859">
        <v>1</v>
      </c>
    </row>
    <row r="1860" spans="1:22" hidden="1" outlineLevel="1">
      <c r="A1860" s="8">
        <v>44586</v>
      </c>
      <c r="B1860" s="1860">
        <v>3147.6358100000002</v>
      </c>
      <c r="C1860" s="1860">
        <v>4325.7313700000004</v>
      </c>
      <c r="D1860" s="1860">
        <v>4484.2447700000002</v>
      </c>
      <c r="E1860" s="1860">
        <v>5363.4733500000002</v>
      </c>
      <c r="F1860">
        <v>34.907269999999997</v>
      </c>
      <c r="G1860" s="1861">
        <v>3977.51</v>
      </c>
      <c r="I1860">
        <v>0.79135</v>
      </c>
      <c r="J1860">
        <v>1.08754</v>
      </c>
      <c r="K1860">
        <v>1.1274</v>
      </c>
      <c r="L1860">
        <v>1.3484499999999999</v>
      </c>
      <c r="M1860">
        <v>8.77E-3</v>
      </c>
      <c r="N1860">
        <v>1</v>
      </c>
      <c r="P1860">
        <v>1.2636499999999999</v>
      </c>
      <c r="Q1860">
        <v>0.91949999999999998</v>
      </c>
      <c r="R1860">
        <v>0.88698999999999995</v>
      </c>
      <c r="S1860">
        <v>0.74158999999999997</v>
      </c>
      <c r="T1860">
        <v>113.94499999999999</v>
      </c>
      <c r="U1860">
        <v>1</v>
      </c>
    </row>
    <row r="1861" spans="1:22" hidden="1" outlineLevel="1">
      <c r="A1861" s="8">
        <v>44587</v>
      </c>
      <c r="B1861" s="1860">
        <v>3157.6479899999999</v>
      </c>
      <c r="C1861" s="1860">
        <v>4328.6326799999997</v>
      </c>
      <c r="D1861" s="1860">
        <v>4498.6937900000003</v>
      </c>
      <c r="E1861" s="1860">
        <v>5387.0686800000003</v>
      </c>
      <c r="F1861">
        <v>34.87706</v>
      </c>
      <c r="G1861" s="1861">
        <v>3987.32</v>
      </c>
      <c r="I1861">
        <v>0.79191999999999996</v>
      </c>
      <c r="J1861">
        <v>1.0855900000000001</v>
      </c>
      <c r="K1861">
        <v>1.12825</v>
      </c>
      <c r="L1861">
        <v>1.3510500000000001</v>
      </c>
      <c r="M1861">
        <v>8.7399999999999995E-3</v>
      </c>
      <c r="N1861">
        <v>1</v>
      </c>
      <c r="P1861">
        <v>1.26275</v>
      </c>
      <c r="Q1861">
        <v>0.92115000000000002</v>
      </c>
      <c r="R1861">
        <v>0.88632</v>
      </c>
      <c r="S1861">
        <v>0.74016000000000004</v>
      </c>
      <c r="T1861">
        <v>114.325</v>
      </c>
      <c r="U1861">
        <v>1</v>
      </c>
    </row>
    <row r="1862" spans="1:22" hidden="1" outlineLevel="1">
      <c r="A1862" s="8">
        <v>44588</v>
      </c>
      <c r="B1862" s="1860">
        <v>3106.6928899999998</v>
      </c>
      <c r="C1862" s="1860">
        <v>4238.3702800000001</v>
      </c>
      <c r="D1862" s="1860">
        <v>4401.4356600000001</v>
      </c>
      <c r="E1862" s="1860">
        <v>5286.9339300000001</v>
      </c>
      <c r="F1862">
        <v>34.196629999999999</v>
      </c>
      <c r="G1862" s="1861">
        <v>3947.83</v>
      </c>
      <c r="I1862">
        <v>0.78693000000000002</v>
      </c>
      <c r="J1862">
        <v>1.07359</v>
      </c>
      <c r="K1862">
        <v>1.1149</v>
      </c>
      <c r="L1862">
        <v>1.3391999999999999</v>
      </c>
      <c r="M1862">
        <v>8.6599999999999993E-3</v>
      </c>
      <c r="N1862">
        <v>1</v>
      </c>
      <c r="P1862">
        <v>1.27075</v>
      </c>
      <c r="Q1862">
        <v>0.93145</v>
      </c>
      <c r="R1862">
        <v>0.89693999999999996</v>
      </c>
      <c r="S1862">
        <v>0.74670999999999998</v>
      </c>
      <c r="T1862">
        <v>115.44499999999999</v>
      </c>
      <c r="U1862">
        <v>1</v>
      </c>
    </row>
    <row r="1863" spans="1:22" hidden="1" outlineLevel="1">
      <c r="A1863" s="8">
        <v>44589</v>
      </c>
      <c r="B1863" s="1860">
        <v>3087.9154400000002</v>
      </c>
      <c r="C1863" s="1860">
        <v>4240.2193100000004</v>
      </c>
      <c r="D1863" s="1860">
        <v>4403.7178599999997</v>
      </c>
      <c r="E1863" s="1860">
        <v>5290.5352499999999</v>
      </c>
      <c r="F1863">
        <v>34.242400000000004</v>
      </c>
      <c r="G1863" s="1861">
        <v>3944.04</v>
      </c>
      <c r="I1863">
        <v>0.78293000000000001</v>
      </c>
      <c r="J1863">
        <v>1.0750900000000001</v>
      </c>
      <c r="K1863">
        <v>1.1165499999999999</v>
      </c>
      <c r="L1863">
        <v>1.3413999999999999</v>
      </c>
      <c r="M1863">
        <v>8.6800000000000002E-3</v>
      </c>
      <c r="N1863">
        <v>1</v>
      </c>
      <c r="P1863">
        <v>1.27725</v>
      </c>
      <c r="Q1863">
        <v>0.93015000000000003</v>
      </c>
      <c r="R1863">
        <v>0.89561000000000002</v>
      </c>
      <c r="S1863">
        <v>0.74548000000000003</v>
      </c>
      <c r="T1863">
        <v>115.18</v>
      </c>
      <c r="U1863">
        <v>1</v>
      </c>
    </row>
    <row r="1864" spans="1:22" hidden="1" outlineLevel="1">
      <c r="A1864" s="8">
        <v>44590</v>
      </c>
      <c r="B1864" s="1860">
        <v>3118.1053000000002</v>
      </c>
      <c r="C1864" s="1860">
        <v>4281.6749900000004</v>
      </c>
      <c r="D1864" s="1860">
        <v>4446.7720300000001</v>
      </c>
      <c r="E1864" s="1860">
        <v>5342.2596400000002</v>
      </c>
      <c r="F1864">
        <v>34.577179999999998</v>
      </c>
      <c r="G1864" s="1861">
        <v>3982.6</v>
      </c>
      <c r="I1864">
        <v>0.78293000000000001</v>
      </c>
      <c r="J1864">
        <v>1.0750900000000001</v>
      </c>
      <c r="K1864">
        <v>1.1165499999999999</v>
      </c>
      <c r="L1864">
        <v>1.3413999999999999</v>
      </c>
      <c r="M1864">
        <v>8.6800000000000002E-3</v>
      </c>
      <c r="N1864">
        <v>1</v>
      </c>
      <c r="P1864">
        <v>1.27725</v>
      </c>
      <c r="Q1864">
        <v>0.93015000000000003</v>
      </c>
      <c r="R1864">
        <v>0.89561000000000002</v>
      </c>
      <c r="S1864">
        <v>0.74548000000000003</v>
      </c>
      <c r="T1864">
        <v>115.18</v>
      </c>
      <c r="U1864">
        <v>1</v>
      </c>
    </row>
    <row r="1865" spans="1:22" hidden="1" outlineLevel="1">
      <c r="A1865" s="8">
        <v>44591</v>
      </c>
      <c r="B1865" s="1860">
        <v>3118.1053000000002</v>
      </c>
      <c r="C1865" s="1860">
        <v>4281.6749900000004</v>
      </c>
      <c r="D1865" s="1860">
        <v>4446.7720300000001</v>
      </c>
      <c r="E1865" s="1860">
        <v>5342.2596400000002</v>
      </c>
      <c r="F1865">
        <v>34.577179999999998</v>
      </c>
      <c r="G1865" s="1861">
        <v>3982.6</v>
      </c>
      <c r="I1865">
        <v>0.78293000000000001</v>
      </c>
      <c r="J1865">
        <v>1.0750900000000001</v>
      </c>
      <c r="K1865">
        <v>1.1165499999999999</v>
      </c>
      <c r="L1865">
        <v>1.3413999999999999</v>
      </c>
      <c r="M1865">
        <v>8.6800000000000002E-3</v>
      </c>
      <c r="N1865">
        <v>1</v>
      </c>
      <c r="P1865">
        <v>1.27725</v>
      </c>
      <c r="Q1865">
        <v>0.93015000000000003</v>
      </c>
      <c r="R1865">
        <v>0.89561000000000002</v>
      </c>
      <c r="S1865">
        <v>0.74548000000000003</v>
      </c>
      <c r="T1865">
        <v>115.18</v>
      </c>
      <c r="U1865">
        <v>1</v>
      </c>
    </row>
    <row r="1866" spans="1:22" ht="15.75" hidden="1" outlineLevel="1" thickBot="1">
      <c r="A1866" s="1868">
        <v>44592</v>
      </c>
      <c r="B1866" s="1869">
        <v>3131.4672099999998</v>
      </c>
      <c r="C1866" s="1869">
        <v>4277.53611</v>
      </c>
      <c r="D1866" s="1869">
        <v>4464.4946</v>
      </c>
      <c r="E1866" s="1869">
        <v>5343.2552900000001</v>
      </c>
      <c r="F1866" s="1870">
        <v>34.563670000000002</v>
      </c>
      <c r="G1866" s="1871">
        <v>3982.6</v>
      </c>
      <c r="H1866" s="1872"/>
      <c r="I1866" s="1870">
        <v>0.78627999999999998</v>
      </c>
      <c r="J1866" s="1870">
        <v>1.0740499999999999</v>
      </c>
      <c r="K1866" s="1870">
        <v>1.121</v>
      </c>
      <c r="L1866" s="1870">
        <v>1.34165</v>
      </c>
      <c r="M1866" s="1870">
        <v>8.6700000000000006E-3</v>
      </c>
      <c r="N1866" s="1870">
        <v>1</v>
      </c>
      <c r="O1866" s="1872"/>
      <c r="P1866" s="1870">
        <v>1.2718</v>
      </c>
      <c r="Q1866" s="1870">
        <v>0.93105000000000004</v>
      </c>
      <c r="R1866" s="1870">
        <v>0.89205999999999996</v>
      </c>
      <c r="S1866" s="1870">
        <v>0.74534999999999996</v>
      </c>
      <c r="T1866" s="1870">
        <v>115.22499999999999</v>
      </c>
      <c r="U1866" s="1870">
        <v>1</v>
      </c>
      <c r="V1866" s="1872"/>
    </row>
    <row r="1867" spans="1:22" hidden="1" outlineLevel="1">
      <c r="A1867" s="8">
        <v>44593</v>
      </c>
      <c r="B1867" s="1860">
        <v>3109.04072</v>
      </c>
      <c r="C1867" s="1860">
        <v>4271.8782099999999</v>
      </c>
      <c r="D1867" s="1860">
        <v>4435.1769700000004</v>
      </c>
      <c r="E1867" s="1860">
        <v>5325.83968</v>
      </c>
      <c r="F1867">
        <v>34.350320000000004</v>
      </c>
      <c r="G1867" s="1861">
        <v>3942.73</v>
      </c>
      <c r="I1867">
        <v>0.78854999999999997</v>
      </c>
      <c r="J1867">
        <v>1.08348</v>
      </c>
      <c r="K1867">
        <v>1.1249</v>
      </c>
      <c r="L1867">
        <v>1.3508</v>
      </c>
      <c r="M1867">
        <v>8.7100000000000007E-3</v>
      </c>
      <c r="N1867">
        <v>1</v>
      </c>
      <c r="P1867">
        <v>1.2681500000000001</v>
      </c>
      <c r="Q1867">
        <v>0.92295000000000005</v>
      </c>
      <c r="R1867">
        <v>0.88895999999999997</v>
      </c>
      <c r="S1867">
        <v>0.74029999999999996</v>
      </c>
      <c r="T1867">
        <v>114.78</v>
      </c>
      <c r="U1867">
        <v>1</v>
      </c>
    </row>
    <row r="1868" spans="1:22" hidden="1" outlineLevel="1">
      <c r="A1868" s="8">
        <v>44594</v>
      </c>
      <c r="B1868" s="1860">
        <v>3092.9880499999999</v>
      </c>
      <c r="C1868" s="1860">
        <v>4268.27304</v>
      </c>
      <c r="D1868" s="1860">
        <v>4432.3060299999997</v>
      </c>
      <c r="E1868" s="1860">
        <v>5322.5731400000004</v>
      </c>
      <c r="F1868">
        <v>34.298780000000001</v>
      </c>
      <c r="G1868" s="1861">
        <v>3923.61</v>
      </c>
      <c r="I1868">
        <v>0.7883</v>
      </c>
      <c r="J1868">
        <v>1.0878399999999999</v>
      </c>
      <c r="K1868">
        <v>1.12965</v>
      </c>
      <c r="L1868">
        <v>1.3565499999999999</v>
      </c>
      <c r="M1868">
        <v>8.7399999999999995E-3</v>
      </c>
      <c r="N1868">
        <v>1</v>
      </c>
      <c r="P1868">
        <v>1.2685500000000001</v>
      </c>
      <c r="Q1868">
        <v>0.91925000000000001</v>
      </c>
      <c r="R1868">
        <v>0.88522000000000001</v>
      </c>
      <c r="S1868">
        <v>0.73716000000000004</v>
      </c>
      <c r="T1868">
        <v>114.395</v>
      </c>
      <c r="U1868">
        <v>1</v>
      </c>
    </row>
    <row r="1869" spans="1:22" hidden="1" outlineLevel="1">
      <c r="A1869" s="8">
        <v>44595</v>
      </c>
      <c r="B1869" s="1860">
        <v>3097.5869400000001</v>
      </c>
      <c r="C1869" s="1860">
        <v>4274.9632600000004</v>
      </c>
      <c r="D1869" s="1860">
        <v>4484.8510800000004</v>
      </c>
      <c r="E1869" s="1860">
        <v>5346.4688500000002</v>
      </c>
      <c r="F1869">
        <v>34.18817</v>
      </c>
      <c r="G1869" s="1861">
        <v>3928.05</v>
      </c>
      <c r="I1869">
        <v>0.78857999999999995</v>
      </c>
      <c r="J1869">
        <v>1.0883100000000001</v>
      </c>
      <c r="K1869">
        <v>1.14175</v>
      </c>
      <c r="L1869">
        <v>1.3611</v>
      </c>
      <c r="M1869">
        <v>8.6999999999999994E-3</v>
      </c>
      <c r="N1869">
        <v>1</v>
      </c>
      <c r="P1869">
        <v>1.2681</v>
      </c>
      <c r="Q1869">
        <v>0.91884999999999994</v>
      </c>
      <c r="R1869">
        <v>0.87583999999999995</v>
      </c>
      <c r="S1869">
        <v>0.73468999999999995</v>
      </c>
      <c r="T1869">
        <v>114.895</v>
      </c>
      <c r="U1869">
        <v>1</v>
      </c>
    </row>
    <row r="1870" spans="1:22" hidden="1" outlineLevel="1">
      <c r="A1870" s="8">
        <v>44596</v>
      </c>
      <c r="B1870" s="1860">
        <v>3093.63184</v>
      </c>
      <c r="C1870" s="1860">
        <v>4271.0039900000002</v>
      </c>
      <c r="D1870" s="1860">
        <v>4522.2278200000001</v>
      </c>
      <c r="E1870" s="1860">
        <v>5347.5946700000004</v>
      </c>
      <c r="F1870">
        <v>34.28586</v>
      </c>
      <c r="G1870" s="1861">
        <v>3951.96</v>
      </c>
      <c r="I1870">
        <v>0.78280000000000005</v>
      </c>
      <c r="J1870">
        <v>1.08073</v>
      </c>
      <c r="K1870">
        <v>1.1443000000000001</v>
      </c>
      <c r="L1870">
        <v>1.3531500000000001</v>
      </c>
      <c r="M1870">
        <v>8.6700000000000006E-3</v>
      </c>
      <c r="N1870">
        <v>1</v>
      </c>
      <c r="P1870">
        <v>1.27745</v>
      </c>
      <c r="Q1870">
        <v>0.92530000000000001</v>
      </c>
      <c r="R1870">
        <v>0.87388999999999994</v>
      </c>
      <c r="S1870">
        <v>0.73900999999999994</v>
      </c>
      <c r="T1870">
        <v>115.265</v>
      </c>
      <c r="U1870">
        <v>1</v>
      </c>
    </row>
    <row r="1871" spans="1:22" hidden="1" outlineLevel="1">
      <c r="A1871" s="8">
        <v>44597</v>
      </c>
      <c r="B1871" s="1860">
        <v>3102.0235600000001</v>
      </c>
      <c r="C1871" s="1860">
        <v>4282.58943</v>
      </c>
      <c r="D1871" s="1860">
        <v>4534.4947199999997</v>
      </c>
      <c r="E1871" s="1860">
        <v>5362.1004400000002</v>
      </c>
      <c r="F1871">
        <v>34.378860000000003</v>
      </c>
      <c r="G1871" s="1861">
        <v>3962.68</v>
      </c>
      <c r="I1871">
        <v>0.78280000000000005</v>
      </c>
      <c r="J1871">
        <v>1.08073</v>
      </c>
      <c r="K1871">
        <v>1.1443000000000001</v>
      </c>
      <c r="L1871">
        <v>1.3531500000000001</v>
      </c>
      <c r="M1871">
        <v>8.6700000000000006E-3</v>
      </c>
      <c r="N1871">
        <v>1</v>
      </c>
      <c r="P1871">
        <v>1.27745</v>
      </c>
      <c r="Q1871">
        <v>0.92530000000000001</v>
      </c>
      <c r="R1871">
        <v>0.87388999999999994</v>
      </c>
      <c r="S1871">
        <v>0.73900999999999994</v>
      </c>
      <c r="T1871">
        <v>115.265</v>
      </c>
      <c r="U1871">
        <v>1</v>
      </c>
    </row>
    <row r="1872" spans="1:22" hidden="1" outlineLevel="1">
      <c r="A1872" s="8">
        <v>44598</v>
      </c>
      <c r="B1872" s="1860">
        <v>3102.0235600000001</v>
      </c>
      <c r="C1872" s="1860">
        <v>4282.58943</v>
      </c>
      <c r="D1872" s="1860">
        <v>4534.4947199999997</v>
      </c>
      <c r="E1872" s="1860">
        <v>5362.1004400000002</v>
      </c>
      <c r="F1872">
        <v>34.378860000000003</v>
      </c>
      <c r="G1872" s="1861">
        <v>3962.68</v>
      </c>
      <c r="I1872">
        <v>0.78280000000000005</v>
      </c>
      <c r="J1872">
        <v>1.08073</v>
      </c>
      <c r="K1872">
        <v>1.1443000000000001</v>
      </c>
      <c r="L1872">
        <v>1.3531500000000001</v>
      </c>
      <c r="M1872">
        <v>8.6700000000000006E-3</v>
      </c>
      <c r="N1872">
        <v>1</v>
      </c>
      <c r="P1872">
        <v>1.27745</v>
      </c>
      <c r="Q1872">
        <v>0.92530000000000001</v>
      </c>
      <c r="R1872">
        <v>0.87388999999999994</v>
      </c>
      <c r="S1872">
        <v>0.73900999999999994</v>
      </c>
      <c r="T1872">
        <v>115.265</v>
      </c>
      <c r="U1872">
        <v>1</v>
      </c>
    </row>
    <row r="1873" spans="1:21" hidden="1" outlineLevel="1">
      <c r="A1873" s="8">
        <v>44599</v>
      </c>
      <c r="B1873" s="1860">
        <v>3124.8955099999998</v>
      </c>
      <c r="C1873" s="1860">
        <v>4292.5635000000002</v>
      </c>
      <c r="D1873" s="1860">
        <v>4535.4853899999998</v>
      </c>
      <c r="E1873" s="1860">
        <v>5362.1004400000002</v>
      </c>
      <c r="F1873">
        <v>34.441609999999997</v>
      </c>
      <c r="G1873" s="1861">
        <v>3962.68</v>
      </c>
      <c r="I1873">
        <v>0.78857999999999995</v>
      </c>
      <c r="J1873">
        <v>1.08324</v>
      </c>
      <c r="K1873">
        <v>1.14455</v>
      </c>
      <c r="L1873">
        <v>1.3531500000000001</v>
      </c>
      <c r="M1873">
        <v>8.6899999999999998E-3</v>
      </c>
      <c r="N1873">
        <v>1</v>
      </c>
      <c r="P1873">
        <v>1.2681</v>
      </c>
      <c r="Q1873">
        <v>0.92315000000000003</v>
      </c>
      <c r="R1873">
        <v>0.87370000000000003</v>
      </c>
      <c r="S1873">
        <v>0.73900999999999994</v>
      </c>
      <c r="T1873">
        <v>115.05500000000001</v>
      </c>
      <c r="U1873">
        <v>1</v>
      </c>
    </row>
    <row r="1874" spans="1:21" hidden="1" outlineLevel="1">
      <c r="A1874" s="8">
        <v>44600</v>
      </c>
      <c r="B1874" s="1860">
        <v>3117.8196400000002</v>
      </c>
      <c r="C1874" s="1860">
        <v>4287.0862999999999</v>
      </c>
      <c r="D1874" s="1860">
        <v>4526.7052800000001</v>
      </c>
      <c r="E1874" s="1860">
        <v>5372.5887300000004</v>
      </c>
      <c r="F1874">
        <v>34.289270000000002</v>
      </c>
      <c r="G1874" s="1861">
        <v>3963.84</v>
      </c>
      <c r="I1874">
        <v>0.78656000000000004</v>
      </c>
      <c r="J1874">
        <v>1.0815399999999999</v>
      </c>
      <c r="K1874">
        <v>1.1419999999999999</v>
      </c>
      <c r="L1874">
        <v>1.3553999999999999</v>
      </c>
      <c r="M1874">
        <v>8.6499999999999997E-3</v>
      </c>
      <c r="N1874">
        <v>1</v>
      </c>
      <c r="P1874">
        <v>1.27135</v>
      </c>
      <c r="Q1874">
        <v>0.92459999999999998</v>
      </c>
      <c r="R1874">
        <v>0.87565000000000004</v>
      </c>
      <c r="S1874">
        <v>0.73777999999999999</v>
      </c>
      <c r="T1874">
        <v>115.6</v>
      </c>
      <c r="U1874">
        <v>1</v>
      </c>
    </row>
    <row r="1875" spans="1:21" hidden="1" outlineLevel="1">
      <c r="A1875" s="8">
        <v>44601</v>
      </c>
      <c r="B1875" s="1860">
        <v>3127.17164</v>
      </c>
      <c r="C1875" s="1860">
        <v>4292.2660599999999</v>
      </c>
      <c r="D1875" s="1860">
        <v>4531.8688099999999</v>
      </c>
      <c r="E1875" s="1860">
        <v>5371.7426500000001</v>
      </c>
      <c r="F1875">
        <v>34.342959999999998</v>
      </c>
      <c r="G1875" s="2174">
        <v>3965.41</v>
      </c>
      <c r="I1875">
        <v>0.78861000000000003</v>
      </c>
      <c r="J1875">
        <v>1.0824199999999999</v>
      </c>
      <c r="K1875">
        <v>1.1428499999999999</v>
      </c>
      <c r="L1875">
        <v>1.3546499999999999</v>
      </c>
      <c r="M1875">
        <v>8.6599999999999993E-3</v>
      </c>
      <c r="N1875">
        <v>1</v>
      </c>
      <c r="P1875">
        <v>1.2680499999999999</v>
      </c>
      <c r="Q1875">
        <v>0.92384999999999995</v>
      </c>
      <c r="R1875">
        <v>0.875</v>
      </c>
      <c r="S1875">
        <v>0.73819000000000001</v>
      </c>
      <c r="T1875">
        <v>115.465</v>
      </c>
      <c r="U1875">
        <v>1</v>
      </c>
    </row>
    <row r="1876" spans="1:21" hidden="1" outlineLevel="1">
      <c r="A1876" s="8">
        <v>44602</v>
      </c>
      <c r="B1876" s="1860">
        <v>3112.47975</v>
      </c>
      <c r="C1876" s="1860">
        <v>4262.16932</v>
      </c>
      <c r="D1876" s="1860">
        <v>4517.4037399999997</v>
      </c>
      <c r="E1876" s="1860">
        <v>5363.9614600000004</v>
      </c>
      <c r="F1876">
        <v>33.972740000000002</v>
      </c>
      <c r="G1876" s="1861">
        <v>3939.31</v>
      </c>
      <c r="I1876">
        <v>0.79010000000000002</v>
      </c>
      <c r="J1876">
        <v>1.08195</v>
      </c>
      <c r="K1876">
        <v>1.1467499999999999</v>
      </c>
      <c r="L1876">
        <v>1.36165</v>
      </c>
      <c r="M1876">
        <v>8.6199999999999992E-3</v>
      </c>
      <c r="N1876">
        <v>1</v>
      </c>
      <c r="P1876">
        <v>1.2656499999999999</v>
      </c>
      <c r="Q1876">
        <v>0.92425000000000002</v>
      </c>
      <c r="R1876">
        <v>0.87202000000000002</v>
      </c>
      <c r="S1876">
        <v>0.73440000000000005</v>
      </c>
      <c r="T1876">
        <v>115.955</v>
      </c>
      <c r="U1876">
        <v>1</v>
      </c>
    </row>
    <row r="1877" spans="1:21" hidden="1" outlineLevel="1">
      <c r="A1877" s="8">
        <v>44603</v>
      </c>
      <c r="B1877" s="1860">
        <v>3088.2468800000001</v>
      </c>
      <c r="C1877" s="1860">
        <v>4233.1172299999998</v>
      </c>
      <c r="D1877" s="1860">
        <v>4467.6062099999999</v>
      </c>
      <c r="E1877" s="1860">
        <v>5329.3153199999997</v>
      </c>
      <c r="F1877">
        <v>33.808680000000003</v>
      </c>
      <c r="G1877" s="1861">
        <v>3917.75</v>
      </c>
      <c r="I1877">
        <v>0.78827000000000003</v>
      </c>
      <c r="J1877">
        <v>1.08049</v>
      </c>
      <c r="K1877">
        <v>1.14035</v>
      </c>
      <c r="L1877">
        <v>1.3603000000000001</v>
      </c>
      <c r="M1877">
        <v>8.6199999999999992E-3</v>
      </c>
      <c r="N1877">
        <v>1</v>
      </c>
      <c r="P1877">
        <v>1.2685999999999999</v>
      </c>
      <c r="Q1877">
        <v>0.92549999999999999</v>
      </c>
      <c r="R1877">
        <v>0.87692000000000003</v>
      </c>
      <c r="S1877">
        <v>0.73512999999999995</v>
      </c>
      <c r="T1877">
        <v>115.88</v>
      </c>
      <c r="U1877">
        <v>1</v>
      </c>
    </row>
    <row r="1878" spans="1:21" hidden="1" outlineLevel="1">
      <c r="A1878" s="8">
        <v>44604</v>
      </c>
      <c r="B1878" s="1860">
        <v>3088.06558</v>
      </c>
      <c r="C1878" s="1860">
        <v>4232.8687099999997</v>
      </c>
      <c r="D1878" s="1860">
        <v>4467.34393</v>
      </c>
      <c r="E1878" s="1860">
        <v>5329.00245</v>
      </c>
      <c r="F1878">
        <v>33.806690000000003</v>
      </c>
      <c r="G1878" s="1861">
        <v>3917.52</v>
      </c>
      <c r="I1878">
        <v>0.78827000000000003</v>
      </c>
      <c r="J1878">
        <v>1.08049</v>
      </c>
      <c r="K1878">
        <v>1.14035</v>
      </c>
      <c r="L1878">
        <v>1.3603000000000001</v>
      </c>
      <c r="M1878">
        <v>8.6199999999999992E-3</v>
      </c>
      <c r="N1878">
        <v>1</v>
      </c>
      <c r="P1878">
        <v>1.2685999999999999</v>
      </c>
      <c r="Q1878">
        <v>0.92549999999999999</v>
      </c>
      <c r="R1878">
        <v>0.87692000000000003</v>
      </c>
      <c r="S1878">
        <v>0.73512999999999995</v>
      </c>
      <c r="T1878">
        <v>115.88</v>
      </c>
      <c r="U1878">
        <v>1</v>
      </c>
    </row>
    <row r="1879" spans="1:21" hidden="1" outlineLevel="1">
      <c r="A1879" s="8">
        <v>44605</v>
      </c>
      <c r="B1879" s="1860">
        <v>3088.06558</v>
      </c>
      <c r="C1879" s="1860">
        <v>4232.8687099999997</v>
      </c>
      <c r="D1879" s="1860">
        <v>4467.34393</v>
      </c>
      <c r="E1879" s="1860">
        <v>5329.00245</v>
      </c>
      <c r="F1879">
        <v>33.806690000000003</v>
      </c>
      <c r="G1879" s="1861">
        <v>3917.52</v>
      </c>
      <c r="I1879">
        <v>0.78827000000000003</v>
      </c>
      <c r="J1879">
        <v>1.08049</v>
      </c>
      <c r="K1879">
        <v>1.14035</v>
      </c>
      <c r="L1879">
        <v>1.3603000000000001</v>
      </c>
      <c r="M1879">
        <v>8.6199999999999992E-3</v>
      </c>
      <c r="N1879">
        <v>1</v>
      </c>
      <c r="P1879">
        <v>1.2685999999999999</v>
      </c>
      <c r="Q1879">
        <v>0.92549999999999999</v>
      </c>
      <c r="R1879">
        <v>0.87692000000000003</v>
      </c>
      <c r="S1879">
        <v>0.73512999999999995</v>
      </c>
      <c r="T1879">
        <v>115.88</v>
      </c>
      <c r="U1879">
        <v>1</v>
      </c>
    </row>
    <row r="1880" spans="1:21" hidden="1" outlineLevel="1">
      <c r="A1880" s="8">
        <v>44606</v>
      </c>
      <c r="B1880" s="1860">
        <v>3073.2878300000002</v>
      </c>
      <c r="C1880" s="1860">
        <v>4230.35473</v>
      </c>
      <c r="D1880" s="1860">
        <v>4430.1274899999999</v>
      </c>
      <c r="E1880" s="1860">
        <v>5293.3530199999996</v>
      </c>
      <c r="F1880">
        <v>33.89884</v>
      </c>
      <c r="G1880" s="1861">
        <v>3917.52</v>
      </c>
      <c r="I1880">
        <v>0.78449000000000002</v>
      </c>
      <c r="J1880">
        <v>1.07985</v>
      </c>
      <c r="K1880">
        <v>1.1308499999999999</v>
      </c>
      <c r="L1880">
        <v>1.3512</v>
      </c>
      <c r="M1880">
        <v>8.6499999999999997E-3</v>
      </c>
      <c r="N1880">
        <v>1</v>
      </c>
      <c r="P1880">
        <v>1.2746999999999999</v>
      </c>
      <c r="Q1880">
        <v>0.92605000000000004</v>
      </c>
      <c r="R1880">
        <v>0.88429000000000002</v>
      </c>
      <c r="S1880">
        <v>0.74007999999999996</v>
      </c>
      <c r="T1880">
        <v>115.565</v>
      </c>
      <c r="U1880">
        <v>1</v>
      </c>
    </row>
    <row r="1881" spans="1:21" hidden="1" outlineLevel="1">
      <c r="A1881" s="8">
        <v>44607</v>
      </c>
      <c r="B1881" s="1860">
        <v>3086.7251700000002</v>
      </c>
      <c r="C1881" s="1860">
        <v>4250.7635</v>
      </c>
      <c r="D1881" s="1860">
        <v>4473.2912800000004</v>
      </c>
      <c r="E1881" s="1860">
        <v>5326.0782799999997</v>
      </c>
      <c r="F1881">
        <v>34.034379999999999</v>
      </c>
      <c r="G1881" s="1861">
        <v>3938.97</v>
      </c>
      <c r="I1881">
        <v>0.78363000000000005</v>
      </c>
      <c r="J1881">
        <v>1.0791500000000001</v>
      </c>
      <c r="K1881">
        <v>1.13565</v>
      </c>
      <c r="L1881">
        <v>1.35215</v>
      </c>
      <c r="M1881">
        <v>8.6400000000000001E-3</v>
      </c>
      <c r="N1881">
        <v>1</v>
      </c>
      <c r="P1881">
        <v>1.2761</v>
      </c>
      <c r="Q1881">
        <v>0.92664999999999997</v>
      </c>
      <c r="R1881">
        <v>0.88055000000000005</v>
      </c>
      <c r="S1881">
        <v>0.73956</v>
      </c>
      <c r="T1881">
        <v>115.735</v>
      </c>
      <c r="U1881">
        <v>1</v>
      </c>
    </row>
    <row r="1882" spans="1:21" hidden="1" outlineLevel="1">
      <c r="A1882" s="8">
        <v>44608</v>
      </c>
      <c r="B1882" s="1860">
        <v>3108.5138200000001</v>
      </c>
      <c r="C1882" s="1860">
        <v>4276.8380500000003</v>
      </c>
      <c r="D1882" s="1860">
        <v>4485.4317700000001</v>
      </c>
      <c r="E1882" s="1860">
        <v>5359.4683500000001</v>
      </c>
      <c r="F1882">
        <v>34.192839999999997</v>
      </c>
      <c r="G1882" s="1861">
        <v>3946.88</v>
      </c>
      <c r="I1882">
        <v>0.78757999999999995</v>
      </c>
      <c r="J1882">
        <v>1.0835900000000001</v>
      </c>
      <c r="K1882">
        <v>1.13645</v>
      </c>
      <c r="L1882">
        <v>1.3579000000000001</v>
      </c>
      <c r="M1882">
        <v>8.6599999999999993E-3</v>
      </c>
      <c r="N1882">
        <v>1</v>
      </c>
      <c r="P1882">
        <v>1.2697000000000001</v>
      </c>
      <c r="Q1882">
        <v>0.92284999999999995</v>
      </c>
      <c r="R1882">
        <v>0.87992999999999999</v>
      </c>
      <c r="S1882">
        <v>0.73643000000000003</v>
      </c>
      <c r="T1882">
        <v>115.43</v>
      </c>
      <c r="U1882">
        <v>1</v>
      </c>
    </row>
    <row r="1883" spans="1:21" hidden="1" outlineLevel="1">
      <c r="A1883" s="8">
        <v>44609</v>
      </c>
      <c r="B1883" s="1860">
        <v>3121.7767899999999</v>
      </c>
      <c r="C1883" s="1860">
        <v>4308.1571599999997</v>
      </c>
      <c r="D1883" s="1860">
        <v>4506.1550800000005</v>
      </c>
      <c r="E1883" s="1860">
        <v>5398.5866400000004</v>
      </c>
      <c r="F1883">
        <v>34.477620000000002</v>
      </c>
      <c r="G1883" s="1861">
        <v>3963.72</v>
      </c>
      <c r="I1883">
        <v>0.78757999999999995</v>
      </c>
      <c r="J1883">
        <v>1.0868899999999999</v>
      </c>
      <c r="K1883">
        <v>1.1368499999999999</v>
      </c>
      <c r="L1883">
        <v>1.3620000000000001</v>
      </c>
      <c r="M1883">
        <v>8.6899999999999998E-3</v>
      </c>
      <c r="N1883">
        <v>1</v>
      </c>
      <c r="P1883">
        <v>1.2697000000000001</v>
      </c>
      <c r="Q1883">
        <v>0.92005000000000003</v>
      </c>
      <c r="R1883">
        <v>0.87961999999999996</v>
      </c>
      <c r="S1883">
        <v>0.73421000000000003</v>
      </c>
      <c r="T1883">
        <v>114.965</v>
      </c>
      <c r="U1883">
        <v>1</v>
      </c>
    </row>
    <row r="1884" spans="1:21" hidden="1" outlineLevel="1">
      <c r="A1884" s="8">
        <v>44610</v>
      </c>
      <c r="B1884" s="1860">
        <v>3103.63886</v>
      </c>
      <c r="C1884" s="1860">
        <v>4293.98794</v>
      </c>
      <c r="D1884" s="1860">
        <v>4483.5898200000001</v>
      </c>
      <c r="E1884" s="1860">
        <v>5369.9107199999999</v>
      </c>
      <c r="F1884">
        <v>34.332880000000003</v>
      </c>
      <c r="G1884" s="1861">
        <v>3953.26</v>
      </c>
      <c r="I1884">
        <v>0.78508</v>
      </c>
      <c r="J1884">
        <v>1.0861799999999999</v>
      </c>
      <c r="K1884">
        <v>1.13415</v>
      </c>
      <c r="L1884">
        <v>1.3583499999999999</v>
      </c>
      <c r="M1884">
        <v>8.6800000000000002E-3</v>
      </c>
      <c r="N1884">
        <v>1</v>
      </c>
      <c r="P1884">
        <v>1.2737499999999999</v>
      </c>
      <c r="Q1884">
        <v>0.92064999999999997</v>
      </c>
      <c r="R1884">
        <v>0.88170999999999999</v>
      </c>
      <c r="S1884">
        <v>0.73617999999999995</v>
      </c>
      <c r="T1884">
        <v>115.145</v>
      </c>
      <c r="U1884">
        <v>1</v>
      </c>
    </row>
    <row r="1885" spans="1:21" hidden="1" outlineLevel="1">
      <c r="A1885" s="8">
        <v>44611</v>
      </c>
      <c r="B1885" s="1860">
        <v>3083.21884</v>
      </c>
      <c r="C1885" s="1860">
        <v>4265.7361600000004</v>
      </c>
      <c r="D1885" s="1860">
        <v>4454.09058</v>
      </c>
      <c r="E1885" s="1860">
        <v>5334.5800300000001</v>
      </c>
      <c r="F1885">
        <v>34.106990000000003</v>
      </c>
      <c r="G1885" s="1861">
        <v>3927.25</v>
      </c>
      <c r="I1885">
        <v>0.78508</v>
      </c>
      <c r="J1885">
        <v>1.0861799999999999</v>
      </c>
      <c r="K1885">
        <v>1.13415</v>
      </c>
      <c r="L1885">
        <v>1.3583499999999999</v>
      </c>
      <c r="M1885">
        <v>8.6800000000000002E-3</v>
      </c>
      <c r="N1885">
        <v>1</v>
      </c>
      <c r="P1885">
        <v>1.2737499999999999</v>
      </c>
      <c r="Q1885">
        <v>0.92064999999999997</v>
      </c>
      <c r="R1885">
        <v>0.88170999999999999</v>
      </c>
      <c r="S1885">
        <v>0.73617999999999995</v>
      </c>
      <c r="T1885">
        <v>115.145</v>
      </c>
      <c r="U1885">
        <v>1</v>
      </c>
    </row>
    <row r="1886" spans="1:21" hidden="1" outlineLevel="1">
      <c r="A1886" s="8">
        <v>44612</v>
      </c>
      <c r="B1886" s="1860">
        <v>3083.21884</v>
      </c>
      <c r="C1886" s="1860">
        <v>4265.7361600000004</v>
      </c>
      <c r="D1886" s="1860">
        <v>4454.09058</v>
      </c>
      <c r="E1886" s="1860">
        <v>5334.5800300000001</v>
      </c>
      <c r="F1886">
        <v>34.106990000000003</v>
      </c>
      <c r="G1886" s="1861">
        <v>3927.25</v>
      </c>
      <c r="I1886">
        <v>0.78508</v>
      </c>
      <c r="J1886">
        <v>1.0861799999999999</v>
      </c>
      <c r="K1886">
        <v>1.13415</v>
      </c>
      <c r="L1886">
        <v>1.3583499999999999</v>
      </c>
      <c r="M1886">
        <v>8.6800000000000002E-3</v>
      </c>
      <c r="N1886">
        <v>1</v>
      </c>
      <c r="P1886">
        <v>1.2737499999999999</v>
      </c>
      <c r="Q1886">
        <v>0.92064999999999997</v>
      </c>
      <c r="R1886">
        <v>0.88170999999999999</v>
      </c>
      <c r="S1886">
        <v>0.73617999999999995</v>
      </c>
      <c r="T1886">
        <v>115.145</v>
      </c>
      <c r="U1886">
        <v>1</v>
      </c>
    </row>
    <row r="1887" spans="1:21" hidden="1" outlineLevel="1">
      <c r="A1887" s="8">
        <v>44613</v>
      </c>
      <c r="B1887" s="1860">
        <v>3082.6138099999998</v>
      </c>
      <c r="C1887" s="1860">
        <v>4289.9666800000005</v>
      </c>
      <c r="D1887" s="1860">
        <v>4451.9305999999997</v>
      </c>
      <c r="E1887" s="1860">
        <v>5344.0054300000002</v>
      </c>
      <c r="F1887">
        <v>34.199060000000003</v>
      </c>
      <c r="G1887" s="1861">
        <v>3927.25</v>
      </c>
      <c r="I1887">
        <v>0.78491999999999995</v>
      </c>
      <c r="J1887">
        <v>1.0923499999999999</v>
      </c>
      <c r="K1887">
        <v>1.1335999999999999</v>
      </c>
      <c r="L1887">
        <v>1.3607499999999999</v>
      </c>
      <c r="M1887">
        <v>8.6999999999999994E-3</v>
      </c>
      <c r="N1887">
        <v>1</v>
      </c>
      <c r="P1887">
        <v>1.274</v>
      </c>
      <c r="Q1887">
        <v>0.91544999999999999</v>
      </c>
      <c r="R1887">
        <v>0.88214000000000004</v>
      </c>
      <c r="S1887">
        <v>0.73487999999999998</v>
      </c>
      <c r="T1887">
        <v>114.83499999999999</v>
      </c>
      <c r="U1887">
        <v>1</v>
      </c>
    </row>
    <row r="1888" spans="1:21" hidden="1" outlineLevel="1">
      <c r="A1888" s="8">
        <v>44614</v>
      </c>
      <c r="B1888" s="1860">
        <v>3084.9141800000002</v>
      </c>
      <c r="C1888" s="1860">
        <v>4262.4952499999999</v>
      </c>
      <c r="D1888" s="1860">
        <v>4451.3415100000002</v>
      </c>
      <c r="E1888" s="1860">
        <v>5339.2927300000001</v>
      </c>
      <c r="F1888">
        <v>34.130699999999997</v>
      </c>
      <c r="G1888" s="1861">
        <v>3927.25</v>
      </c>
      <c r="I1888">
        <v>0.78551000000000004</v>
      </c>
      <c r="J1888">
        <v>1.0853600000000001</v>
      </c>
      <c r="K1888">
        <v>1.1334500000000001</v>
      </c>
      <c r="L1888">
        <v>1.35955</v>
      </c>
      <c r="M1888">
        <v>8.6899999999999998E-3</v>
      </c>
      <c r="N1888">
        <v>1</v>
      </c>
      <c r="P1888">
        <v>1.27305</v>
      </c>
      <c r="Q1888">
        <v>0.92135</v>
      </c>
      <c r="R1888">
        <v>0.88226000000000004</v>
      </c>
      <c r="S1888">
        <v>0.73553000000000002</v>
      </c>
      <c r="T1888">
        <v>115.065</v>
      </c>
      <c r="U1888">
        <v>1</v>
      </c>
    </row>
    <row r="1889" spans="1:22" hidden="1" outlineLevel="1">
      <c r="A1889" s="8">
        <v>44615</v>
      </c>
      <c r="B1889" s="1860">
        <v>3090.6590099999999</v>
      </c>
      <c r="C1889" s="1860">
        <v>4286.6953700000004</v>
      </c>
      <c r="D1889" s="1860">
        <v>4453.2463799999996</v>
      </c>
      <c r="E1889" s="1860">
        <v>5331.9411600000003</v>
      </c>
      <c r="F1889">
        <v>34.184370000000001</v>
      </c>
      <c r="G1889" s="1861">
        <v>3932.4</v>
      </c>
      <c r="I1889">
        <v>0.78593999999999997</v>
      </c>
      <c r="J1889">
        <v>1.09009</v>
      </c>
      <c r="K1889">
        <v>1.13245</v>
      </c>
      <c r="L1889">
        <v>1.3559000000000001</v>
      </c>
      <c r="M1889">
        <v>8.6899999999999998E-3</v>
      </c>
      <c r="N1889">
        <v>1</v>
      </c>
      <c r="P1889">
        <v>1.2723500000000001</v>
      </c>
      <c r="Q1889">
        <v>0.91735</v>
      </c>
      <c r="R1889">
        <v>0.88304000000000005</v>
      </c>
      <c r="S1889">
        <v>0.73751</v>
      </c>
      <c r="T1889">
        <v>115.035</v>
      </c>
      <c r="U1889">
        <v>1</v>
      </c>
    </row>
    <row r="1890" spans="1:22" hidden="1" outlineLevel="1">
      <c r="A1890" s="8">
        <v>44616</v>
      </c>
      <c r="B1890" s="1860">
        <v>3039.4827700000001</v>
      </c>
      <c r="C1890" s="1860">
        <v>4215.8560799999996</v>
      </c>
      <c r="D1890" s="1860">
        <v>4349.7861999999996</v>
      </c>
      <c r="E1890" s="1860">
        <v>5196.14329</v>
      </c>
      <c r="F1890">
        <v>33.856310000000001</v>
      </c>
      <c r="G1890" s="1861">
        <v>3913.79</v>
      </c>
      <c r="I1890">
        <v>0.77659999999999996</v>
      </c>
      <c r="J1890">
        <v>1.07717</v>
      </c>
      <c r="K1890">
        <v>1.1113999999999999</v>
      </c>
      <c r="L1890">
        <v>1.32765</v>
      </c>
      <c r="M1890">
        <v>8.6499999999999997E-3</v>
      </c>
      <c r="N1890">
        <v>1</v>
      </c>
      <c r="P1890">
        <v>1.28765</v>
      </c>
      <c r="Q1890">
        <v>0.92835000000000001</v>
      </c>
      <c r="R1890">
        <v>0.89976</v>
      </c>
      <c r="S1890">
        <v>0.75321000000000005</v>
      </c>
      <c r="T1890">
        <v>115.6</v>
      </c>
      <c r="U1890">
        <v>1</v>
      </c>
    </row>
    <row r="1891" spans="1:22" hidden="1" outlineLevel="1">
      <c r="A1891" s="8">
        <v>44617</v>
      </c>
      <c r="B1891" s="1860">
        <v>3092.9000299999998</v>
      </c>
      <c r="C1891" s="1860">
        <v>4245.67641</v>
      </c>
      <c r="D1891" s="1860">
        <v>4430.9519099999998</v>
      </c>
      <c r="E1891" s="1860">
        <v>5286.7633500000002</v>
      </c>
      <c r="F1891">
        <v>34.090670000000003</v>
      </c>
      <c r="G1891" s="1861">
        <v>3940.2</v>
      </c>
      <c r="I1891">
        <v>0.78495999999999999</v>
      </c>
      <c r="J1891">
        <v>1.07752</v>
      </c>
      <c r="K1891">
        <v>1.1245499999999999</v>
      </c>
      <c r="L1891">
        <v>1.34175</v>
      </c>
      <c r="M1891">
        <v>8.6499999999999997E-3</v>
      </c>
      <c r="N1891">
        <v>1</v>
      </c>
      <c r="P1891">
        <v>1.2739499999999999</v>
      </c>
      <c r="Q1891">
        <v>0.92805000000000004</v>
      </c>
      <c r="R1891">
        <v>0.88924000000000003</v>
      </c>
      <c r="S1891">
        <v>0.74529000000000001</v>
      </c>
      <c r="T1891">
        <v>115.58</v>
      </c>
      <c r="U1891">
        <v>1</v>
      </c>
    </row>
    <row r="1892" spans="1:22" hidden="1" outlineLevel="1">
      <c r="A1892" s="8">
        <v>44618</v>
      </c>
      <c r="B1892" s="1860">
        <v>3069.69661</v>
      </c>
      <c r="C1892" s="1860">
        <v>4213.8246799999997</v>
      </c>
      <c r="D1892" s="1860">
        <v>4397.7102100000002</v>
      </c>
      <c r="E1892" s="1860">
        <v>5247.1012199999996</v>
      </c>
      <c r="F1892">
        <v>33.834910000000001</v>
      </c>
      <c r="G1892" s="1861">
        <v>3910.64</v>
      </c>
      <c r="I1892">
        <v>0.78495999999999999</v>
      </c>
      <c r="J1892">
        <v>1.07752</v>
      </c>
      <c r="K1892">
        <v>1.1245499999999999</v>
      </c>
      <c r="L1892">
        <v>1.34175</v>
      </c>
      <c r="M1892">
        <v>8.6499999999999997E-3</v>
      </c>
      <c r="N1892">
        <v>1</v>
      </c>
      <c r="P1892">
        <v>1.2739499999999999</v>
      </c>
      <c r="Q1892">
        <v>0.92805000000000004</v>
      </c>
      <c r="R1892">
        <v>0.88924000000000003</v>
      </c>
      <c r="S1892">
        <v>0.74529000000000001</v>
      </c>
      <c r="T1892">
        <v>115.58</v>
      </c>
      <c r="U1892">
        <v>1</v>
      </c>
    </row>
    <row r="1893" spans="1:22" hidden="1" outlineLevel="1">
      <c r="A1893" s="8">
        <v>44619</v>
      </c>
      <c r="B1893" s="1860">
        <v>3069.69661</v>
      </c>
      <c r="C1893" s="1860">
        <v>4213.8246799999997</v>
      </c>
      <c r="D1893" s="1860">
        <v>4397.7102100000002</v>
      </c>
      <c r="E1893" s="1860">
        <v>5247.1012199999996</v>
      </c>
      <c r="F1893">
        <v>33.834910000000001</v>
      </c>
      <c r="G1893" s="1861">
        <v>3910.64</v>
      </c>
      <c r="I1893">
        <v>0.78495999999999999</v>
      </c>
      <c r="J1893">
        <v>1.07752</v>
      </c>
      <c r="K1893">
        <v>1.1245499999999999</v>
      </c>
      <c r="L1893">
        <v>1.34175</v>
      </c>
      <c r="M1893">
        <v>8.6499999999999997E-3</v>
      </c>
      <c r="N1893">
        <v>1</v>
      </c>
      <c r="P1893">
        <v>1.2739499999999999</v>
      </c>
      <c r="Q1893">
        <v>0.92805000000000004</v>
      </c>
      <c r="R1893">
        <v>0.88924000000000003</v>
      </c>
      <c r="S1893">
        <v>0.74529000000000001</v>
      </c>
      <c r="T1893">
        <v>115.58</v>
      </c>
      <c r="U1893">
        <v>1</v>
      </c>
    </row>
    <row r="1894" spans="1:22" ht="15.75" hidden="1" outlineLevel="1" thickBot="1">
      <c r="A1894" s="1868">
        <v>44620</v>
      </c>
      <c r="B1894" s="1869">
        <v>3083.2498900000001</v>
      </c>
      <c r="C1894" s="1869">
        <v>4262.5102100000004</v>
      </c>
      <c r="D1894" s="1869">
        <v>4392.43084</v>
      </c>
      <c r="E1894" s="1869">
        <v>5247.1012199999996</v>
      </c>
      <c r="F1894" s="1870">
        <v>33.953890000000001</v>
      </c>
      <c r="G1894" s="1871">
        <v>3910.64</v>
      </c>
      <c r="H1894" s="1872"/>
      <c r="I1894" s="1870">
        <v>0.78842000000000001</v>
      </c>
      <c r="J1894" s="1870">
        <v>1.0899700000000001</v>
      </c>
      <c r="K1894" s="1870">
        <v>1.1232</v>
      </c>
      <c r="L1894" s="1870">
        <v>1.34175</v>
      </c>
      <c r="M1894" s="1870">
        <v>8.6800000000000002E-3</v>
      </c>
      <c r="N1894" s="1870">
        <v>1</v>
      </c>
      <c r="O1894" s="1872"/>
      <c r="P1894" s="1870">
        <v>1.2683500000000001</v>
      </c>
      <c r="Q1894" s="1870">
        <v>0.91744999999999999</v>
      </c>
      <c r="R1894" s="1870">
        <v>0.89031000000000005</v>
      </c>
      <c r="S1894" s="1870">
        <v>0.74529000000000001</v>
      </c>
      <c r="T1894" s="1870">
        <v>115.175</v>
      </c>
      <c r="U1894" s="1870">
        <v>1</v>
      </c>
      <c r="V1894" s="1872"/>
    </row>
    <row r="1895" spans="1:22" hidden="1" outlineLevel="1">
      <c r="A1895" s="8">
        <v>44621</v>
      </c>
      <c r="B1895" s="1860">
        <v>3084.6684799999998</v>
      </c>
      <c r="C1895" s="1860">
        <v>4252.84681</v>
      </c>
      <c r="D1895" s="1860">
        <v>4356.6384600000001</v>
      </c>
      <c r="E1895" s="1860">
        <v>5221.0058499999996</v>
      </c>
      <c r="F1895">
        <v>34.060180000000003</v>
      </c>
      <c r="G1895" s="1861">
        <v>3910.28</v>
      </c>
      <c r="I1895">
        <v>0.78886000000000001</v>
      </c>
      <c r="J1895">
        <v>1.0875999999999999</v>
      </c>
      <c r="K1895">
        <v>1.11415</v>
      </c>
      <c r="L1895">
        <v>1.3351999999999999</v>
      </c>
      <c r="M1895">
        <v>8.7100000000000007E-3</v>
      </c>
      <c r="N1895">
        <v>1</v>
      </c>
      <c r="P1895">
        <v>1.2676499999999999</v>
      </c>
      <c r="Q1895">
        <v>0.91944999999999999</v>
      </c>
      <c r="R1895">
        <v>0.89754</v>
      </c>
      <c r="S1895">
        <v>0.74895</v>
      </c>
      <c r="T1895">
        <v>114.80500000000001</v>
      </c>
      <c r="U1895">
        <v>1</v>
      </c>
    </row>
    <row r="1896" spans="1:22" hidden="1" outlineLevel="1">
      <c r="A1896" s="8">
        <v>44622</v>
      </c>
      <c r="B1896" s="1860">
        <v>3073.1096400000001</v>
      </c>
      <c r="C1896" s="1860">
        <v>4227.3362500000003</v>
      </c>
      <c r="D1896" s="1860">
        <v>4318.1179300000003</v>
      </c>
      <c r="E1896" s="1860">
        <v>5194.4217799999997</v>
      </c>
      <c r="F1896">
        <v>33.756869999999999</v>
      </c>
      <c r="G1896" s="1861">
        <v>3901.62</v>
      </c>
      <c r="I1896">
        <v>0.78764000000000001</v>
      </c>
      <c r="J1896">
        <v>1.08348</v>
      </c>
      <c r="K1896">
        <v>1.1067499999999999</v>
      </c>
      <c r="L1896">
        <v>1.33135</v>
      </c>
      <c r="M1896">
        <v>8.6499999999999997E-3</v>
      </c>
      <c r="N1896">
        <v>1</v>
      </c>
      <c r="P1896">
        <v>1.2696000000000001</v>
      </c>
      <c r="Q1896">
        <v>0.92295000000000005</v>
      </c>
      <c r="R1896">
        <v>0.90354000000000001</v>
      </c>
      <c r="S1896">
        <v>0.75111000000000006</v>
      </c>
      <c r="T1896">
        <v>115.58</v>
      </c>
      <c r="U1896">
        <v>1</v>
      </c>
    </row>
    <row r="1897" spans="1:22" hidden="1" outlineLevel="1">
      <c r="A1897" s="8">
        <v>44623</v>
      </c>
      <c r="B1897" s="1860">
        <v>3049.6171100000001</v>
      </c>
      <c r="C1897" s="1860">
        <v>4198.1742100000001</v>
      </c>
      <c r="D1897" s="1860">
        <v>4273.38843</v>
      </c>
      <c r="E1897" s="1860">
        <v>5153.3684400000002</v>
      </c>
      <c r="F1897">
        <v>33.406399999999998</v>
      </c>
      <c r="G1897" s="1861">
        <v>3862.95</v>
      </c>
      <c r="I1897">
        <v>0.78944999999999999</v>
      </c>
      <c r="J1897">
        <v>1.08677</v>
      </c>
      <c r="K1897">
        <v>1.10625</v>
      </c>
      <c r="L1897">
        <v>1.33405</v>
      </c>
      <c r="M1897">
        <v>8.6400000000000001E-3</v>
      </c>
      <c r="N1897">
        <v>1</v>
      </c>
      <c r="P1897">
        <v>1.2666999999999999</v>
      </c>
      <c r="Q1897">
        <v>0.92015000000000002</v>
      </c>
      <c r="R1897">
        <v>0.90395000000000003</v>
      </c>
      <c r="S1897">
        <v>0.74958999999999998</v>
      </c>
      <c r="T1897">
        <v>115.63500000000001</v>
      </c>
      <c r="U1897">
        <v>1</v>
      </c>
    </row>
    <row r="1898" spans="1:22" hidden="1" outlineLevel="1">
      <c r="A1898" s="8">
        <v>44624</v>
      </c>
      <c r="B1898" s="1860">
        <v>2954.65904</v>
      </c>
      <c r="C1898" s="1860">
        <v>4105.77477</v>
      </c>
      <c r="D1898" s="1860">
        <v>4118.5842499999999</v>
      </c>
      <c r="E1898" s="1860">
        <v>4985.5255800000004</v>
      </c>
      <c r="F1898">
        <v>32.850839999999998</v>
      </c>
      <c r="G1898" s="1861">
        <v>3771.77</v>
      </c>
      <c r="I1898">
        <v>0.78335999999999995</v>
      </c>
      <c r="J1898">
        <v>1.0885499999999999</v>
      </c>
      <c r="K1898">
        <v>1.09195</v>
      </c>
      <c r="L1898">
        <v>1.3218000000000001</v>
      </c>
      <c r="M1898">
        <v>8.6999999999999994E-3</v>
      </c>
      <c r="N1898">
        <v>1</v>
      </c>
      <c r="P1898">
        <v>1.2765500000000001</v>
      </c>
      <c r="Q1898">
        <v>0.91864999999999997</v>
      </c>
      <c r="R1898">
        <v>0.91578999999999999</v>
      </c>
      <c r="S1898">
        <v>0.75653999999999999</v>
      </c>
      <c r="T1898">
        <v>114.815</v>
      </c>
      <c r="U1898">
        <v>1</v>
      </c>
    </row>
    <row r="1899" spans="1:22" hidden="1" outlineLevel="1">
      <c r="A1899" s="8">
        <v>44625</v>
      </c>
      <c r="B1899" s="1860">
        <v>2981.5596700000001</v>
      </c>
      <c r="C1899" s="1860">
        <v>4143.15571</v>
      </c>
      <c r="D1899" s="1860">
        <v>4156.0818099999997</v>
      </c>
      <c r="E1899" s="1860">
        <v>5030.9161899999999</v>
      </c>
      <c r="F1899">
        <v>33.149929999999998</v>
      </c>
      <c r="G1899" s="1861">
        <v>3806.11</v>
      </c>
      <c r="I1899">
        <v>0.78335999999999995</v>
      </c>
      <c r="J1899">
        <v>1.0885499999999999</v>
      </c>
      <c r="K1899">
        <v>1.09195</v>
      </c>
      <c r="L1899">
        <v>1.3218000000000001</v>
      </c>
      <c r="M1899">
        <v>8.6999999999999994E-3</v>
      </c>
      <c r="N1899">
        <v>1</v>
      </c>
      <c r="P1899">
        <v>1.2765500000000001</v>
      </c>
      <c r="Q1899">
        <v>0.91864999999999997</v>
      </c>
      <c r="R1899">
        <v>0.91578999999999999</v>
      </c>
      <c r="S1899">
        <v>0.75653999999999999</v>
      </c>
      <c r="T1899">
        <v>114.815</v>
      </c>
      <c r="U1899">
        <v>1</v>
      </c>
    </row>
    <row r="1900" spans="1:22" hidden="1" outlineLevel="1">
      <c r="A1900" s="8">
        <v>44626</v>
      </c>
      <c r="B1900" s="1860">
        <v>2981.5596700000001</v>
      </c>
      <c r="C1900" s="1860">
        <v>4143.15571</v>
      </c>
      <c r="D1900" s="1860">
        <v>4156.0818099999997</v>
      </c>
      <c r="E1900" s="1860">
        <v>5030.9161899999999</v>
      </c>
      <c r="F1900">
        <v>33.149929999999998</v>
      </c>
      <c r="G1900" s="1861">
        <v>3806.11</v>
      </c>
      <c r="I1900">
        <v>0.78335999999999995</v>
      </c>
      <c r="J1900">
        <v>1.0885499999999999</v>
      </c>
      <c r="K1900">
        <v>1.09195</v>
      </c>
      <c r="L1900">
        <v>1.3218000000000001</v>
      </c>
      <c r="M1900">
        <v>8.6999999999999994E-3</v>
      </c>
      <c r="N1900">
        <v>1</v>
      </c>
      <c r="P1900">
        <v>1.2765500000000001</v>
      </c>
      <c r="Q1900">
        <v>0.91864999999999997</v>
      </c>
      <c r="R1900">
        <v>0.91578999999999999</v>
      </c>
      <c r="S1900">
        <v>0.75653999999999999</v>
      </c>
      <c r="T1900">
        <v>114.815</v>
      </c>
      <c r="U1900">
        <v>1</v>
      </c>
    </row>
    <row r="1901" spans="1:22" hidden="1" outlineLevel="1">
      <c r="A1901" s="8">
        <v>44627</v>
      </c>
      <c r="B1901" s="1860">
        <v>2980.3923100000002</v>
      </c>
      <c r="C1901" s="1860">
        <v>4111.3799600000002</v>
      </c>
      <c r="D1901" s="1860">
        <v>4139.33493</v>
      </c>
      <c r="E1901" s="1860">
        <v>4999.5157900000004</v>
      </c>
      <c r="F1901">
        <v>32.986170000000001</v>
      </c>
      <c r="G1901" s="1861">
        <v>3806.11</v>
      </c>
      <c r="I1901">
        <v>0.78305000000000002</v>
      </c>
      <c r="J1901">
        <v>1.0802</v>
      </c>
      <c r="K1901">
        <v>1.08755</v>
      </c>
      <c r="L1901">
        <v>1.31355</v>
      </c>
      <c r="M1901">
        <v>8.6599999999999993E-3</v>
      </c>
      <c r="N1901">
        <v>1</v>
      </c>
      <c r="P1901">
        <v>1.27705</v>
      </c>
      <c r="Q1901">
        <v>0.92574999999999996</v>
      </c>
      <c r="R1901">
        <v>0.91949000000000003</v>
      </c>
      <c r="S1901">
        <v>0.76129000000000002</v>
      </c>
      <c r="T1901">
        <v>115.38500000000001</v>
      </c>
      <c r="U1901">
        <v>1</v>
      </c>
    </row>
    <row r="1902" spans="1:22" hidden="1" outlineLevel="1">
      <c r="A1902" s="8">
        <v>44628</v>
      </c>
      <c r="B1902" s="1860">
        <v>2963.5982100000001</v>
      </c>
      <c r="C1902" s="1860">
        <v>4104.8546800000004</v>
      </c>
      <c r="D1902" s="1860">
        <v>4148.0367200000001</v>
      </c>
      <c r="E1902" s="1860">
        <v>4999.5711799999999</v>
      </c>
      <c r="F1902">
        <v>32.987969999999997</v>
      </c>
      <c r="G1902" s="1861">
        <v>3813.41</v>
      </c>
      <c r="I1902">
        <v>0.77715000000000001</v>
      </c>
      <c r="J1902">
        <v>1.0764199999999999</v>
      </c>
      <c r="K1902">
        <v>1.08775</v>
      </c>
      <c r="L1902">
        <v>1.31105</v>
      </c>
      <c r="M1902">
        <v>8.6499999999999997E-3</v>
      </c>
      <c r="N1902">
        <v>1</v>
      </c>
      <c r="P1902">
        <v>1.2867500000000001</v>
      </c>
      <c r="Q1902">
        <v>0.92900000000000005</v>
      </c>
      <c r="R1902">
        <v>0.91932000000000003</v>
      </c>
      <c r="S1902">
        <v>0.76273999999999997</v>
      </c>
      <c r="T1902">
        <v>115.6</v>
      </c>
      <c r="U1902">
        <v>1</v>
      </c>
    </row>
    <row r="1903" spans="1:22" hidden="1" outlineLevel="1">
      <c r="A1903" s="8">
        <v>44629</v>
      </c>
      <c r="B1903" s="1860">
        <v>2955.1558599999998</v>
      </c>
      <c r="C1903" s="1860">
        <v>4086.51739</v>
      </c>
      <c r="D1903" s="1860">
        <v>4183.1296599999996</v>
      </c>
      <c r="E1903" s="1860">
        <v>4982.6033600000001</v>
      </c>
      <c r="F1903">
        <v>32.700249999999997</v>
      </c>
      <c r="G1903" s="1861">
        <v>3787.18</v>
      </c>
      <c r="I1903">
        <v>0.78029999999999999</v>
      </c>
      <c r="J1903">
        <v>1.0790299999999999</v>
      </c>
      <c r="K1903">
        <v>1.1045499999999999</v>
      </c>
      <c r="L1903">
        <v>1.31565</v>
      </c>
      <c r="M1903">
        <v>8.6300000000000005E-3</v>
      </c>
      <c r="N1903">
        <v>1</v>
      </c>
      <c r="P1903">
        <v>1.28155</v>
      </c>
      <c r="Q1903">
        <v>0.92674999999999996</v>
      </c>
      <c r="R1903">
        <v>0.90534000000000003</v>
      </c>
      <c r="S1903">
        <v>0.76007999999999998</v>
      </c>
      <c r="T1903">
        <v>115.815</v>
      </c>
      <c r="U1903">
        <v>1</v>
      </c>
    </row>
    <row r="1904" spans="1:22" hidden="1" outlineLevel="1">
      <c r="A1904" s="8">
        <v>44630</v>
      </c>
      <c r="B1904" s="1860">
        <v>2930.6762600000002</v>
      </c>
      <c r="C1904" s="1860">
        <v>4039.49539</v>
      </c>
      <c r="D1904" s="1860">
        <v>4128.00389</v>
      </c>
      <c r="E1904" s="1860">
        <v>4918.5006199999998</v>
      </c>
      <c r="F1904">
        <v>32.306550000000001</v>
      </c>
      <c r="G1904" s="1861">
        <v>3746.43</v>
      </c>
      <c r="I1904">
        <v>0.78225</v>
      </c>
      <c r="J1904">
        <v>1.07822</v>
      </c>
      <c r="K1904">
        <v>1.10185</v>
      </c>
      <c r="L1904">
        <v>1.3128500000000001</v>
      </c>
      <c r="M1904">
        <v>8.6199999999999992E-3</v>
      </c>
      <c r="N1904">
        <v>1</v>
      </c>
      <c r="P1904">
        <v>1.2783500000000001</v>
      </c>
      <c r="Q1904">
        <v>0.92745</v>
      </c>
      <c r="R1904">
        <v>0.90756000000000003</v>
      </c>
      <c r="S1904">
        <v>0.76170000000000004</v>
      </c>
      <c r="T1904">
        <v>115.965</v>
      </c>
      <c r="U1904">
        <v>1</v>
      </c>
    </row>
    <row r="1905" spans="1:21" hidden="1" outlineLevel="1">
      <c r="A1905" s="8">
        <v>44631</v>
      </c>
      <c r="B1905" s="1860">
        <v>2980.9850000000001</v>
      </c>
      <c r="C1905" s="1860">
        <v>4058.5303100000001</v>
      </c>
      <c r="D1905" s="1860">
        <v>4151.9169000000002</v>
      </c>
      <c r="E1905" s="1860">
        <v>4954.5488999999998</v>
      </c>
      <c r="F1905">
        <v>32.360349999999997</v>
      </c>
      <c r="G1905" s="1861">
        <v>3786</v>
      </c>
      <c r="I1905">
        <v>0.78737000000000001</v>
      </c>
      <c r="J1905">
        <v>1.0719799999999999</v>
      </c>
      <c r="K1905">
        <v>1.0966499999999999</v>
      </c>
      <c r="L1905">
        <v>1.3086500000000001</v>
      </c>
      <c r="M1905">
        <v>8.5400000000000007E-3</v>
      </c>
      <c r="N1905">
        <v>1</v>
      </c>
      <c r="P1905">
        <v>1.2700499999999999</v>
      </c>
      <c r="Q1905">
        <v>0.93284999999999996</v>
      </c>
      <c r="R1905">
        <v>0.91186</v>
      </c>
      <c r="S1905">
        <v>0.76414000000000004</v>
      </c>
      <c r="T1905">
        <v>116.995</v>
      </c>
      <c r="U1905">
        <v>1</v>
      </c>
    </row>
    <row r="1906" spans="1:21" hidden="1" outlineLevel="1">
      <c r="A1906" s="8">
        <v>44632</v>
      </c>
      <c r="B1906" s="1860">
        <v>3013.7711100000001</v>
      </c>
      <c r="C1906" s="1860">
        <v>4103.1677099999997</v>
      </c>
      <c r="D1906" s="1860">
        <v>4197.5814</v>
      </c>
      <c r="E1906" s="1860">
        <v>5009.04108</v>
      </c>
      <c r="F1906">
        <v>32.716259999999998</v>
      </c>
      <c r="G1906" s="1861">
        <v>3827.64</v>
      </c>
      <c r="I1906">
        <v>0.78737000000000001</v>
      </c>
      <c r="J1906">
        <v>1.0719799999999999</v>
      </c>
      <c r="K1906">
        <v>1.0966499999999999</v>
      </c>
      <c r="L1906">
        <v>1.3086500000000001</v>
      </c>
      <c r="M1906">
        <v>8.5400000000000007E-3</v>
      </c>
      <c r="N1906">
        <v>1</v>
      </c>
      <c r="P1906">
        <v>1.2700499999999999</v>
      </c>
      <c r="Q1906">
        <v>0.93284999999999996</v>
      </c>
      <c r="R1906">
        <v>0.91186</v>
      </c>
      <c r="S1906">
        <v>0.76414000000000004</v>
      </c>
      <c r="T1906">
        <v>116.995</v>
      </c>
      <c r="U1906">
        <v>1</v>
      </c>
    </row>
    <row r="1907" spans="1:21" hidden="1" outlineLevel="1">
      <c r="A1907" s="8">
        <v>44633</v>
      </c>
      <c r="B1907" s="1860">
        <v>3013.7711100000001</v>
      </c>
      <c r="C1907" s="1860">
        <v>4103.1677099999997</v>
      </c>
      <c r="D1907" s="1860">
        <v>4197.5814</v>
      </c>
      <c r="E1907" s="1860">
        <v>5009.04108</v>
      </c>
      <c r="F1907">
        <v>32.716259999999998</v>
      </c>
      <c r="G1907" s="1861">
        <v>3827.64</v>
      </c>
      <c r="I1907">
        <v>0.78737000000000001</v>
      </c>
      <c r="J1907">
        <v>1.0719799999999999</v>
      </c>
      <c r="K1907">
        <v>1.0966499999999999</v>
      </c>
      <c r="L1907">
        <v>1.3086500000000001</v>
      </c>
      <c r="M1907">
        <v>8.5400000000000007E-3</v>
      </c>
      <c r="N1907">
        <v>1</v>
      </c>
      <c r="P1907">
        <v>1.2700499999999999</v>
      </c>
      <c r="Q1907">
        <v>0.93284999999999996</v>
      </c>
      <c r="R1907">
        <v>0.91186</v>
      </c>
      <c r="S1907">
        <v>0.76414000000000004</v>
      </c>
      <c r="T1907">
        <v>116.995</v>
      </c>
      <c r="U1907">
        <v>1</v>
      </c>
    </row>
    <row r="1908" spans="1:21" hidden="1" outlineLevel="1">
      <c r="A1908" s="8">
        <v>44634</v>
      </c>
      <c r="B1908" s="1860">
        <v>2996.3129600000002</v>
      </c>
      <c r="C1908" s="1860">
        <v>4090.01442</v>
      </c>
      <c r="D1908" s="1860">
        <v>4202.7487199999996</v>
      </c>
      <c r="E1908" s="1860">
        <v>4994.3046700000004</v>
      </c>
      <c r="F1908">
        <v>32.433500000000002</v>
      </c>
      <c r="G1908" s="1861">
        <v>3827.64</v>
      </c>
      <c r="I1908">
        <v>0.78280000000000005</v>
      </c>
      <c r="J1908">
        <v>1.06854</v>
      </c>
      <c r="K1908">
        <v>1.0980000000000001</v>
      </c>
      <c r="L1908">
        <v>1.3048</v>
      </c>
      <c r="M1908">
        <v>8.4700000000000001E-3</v>
      </c>
      <c r="N1908">
        <v>1</v>
      </c>
      <c r="P1908">
        <v>1.27745</v>
      </c>
      <c r="Q1908">
        <v>0.93584999999999996</v>
      </c>
      <c r="R1908">
        <v>0.91073999999999999</v>
      </c>
      <c r="S1908">
        <v>0.76639999999999997</v>
      </c>
      <c r="T1908">
        <v>118.015</v>
      </c>
      <c r="U1908">
        <v>1</v>
      </c>
    </row>
    <row r="1909" spans="1:21" hidden="1" outlineLevel="1">
      <c r="A1909" s="8">
        <v>44635</v>
      </c>
      <c r="B1909" s="1860">
        <v>2968.1386900000002</v>
      </c>
      <c r="C1909" s="1860">
        <v>4037.2298000000001</v>
      </c>
      <c r="D1909" s="1860">
        <v>4170.8627399999996</v>
      </c>
      <c r="E1909" s="1860">
        <v>4966.5706899999996</v>
      </c>
      <c r="F1909">
        <v>32.160170000000001</v>
      </c>
      <c r="G1909" s="1861">
        <v>3800.85</v>
      </c>
      <c r="I1909">
        <v>0.78090999999999999</v>
      </c>
      <c r="J1909">
        <v>1.06219</v>
      </c>
      <c r="K1909">
        <v>1.09735</v>
      </c>
      <c r="L1909">
        <v>1.3067</v>
      </c>
      <c r="M1909">
        <v>8.4600000000000005E-3</v>
      </c>
      <c r="N1909">
        <v>1</v>
      </c>
      <c r="P1909">
        <v>1.2805500000000001</v>
      </c>
      <c r="Q1909">
        <v>0.94145000000000001</v>
      </c>
      <c r="R1909">
        <v>0.91127999999999998</v>
      </c>
      <c r="S1909">
        <v>0.76527999999999996</v>
      </c>
      <c r="T1909">
        <v>118.185</v>
      </c>
      <c r="U1909">
        <v>1</v>
      </c>
    </row>
    <row r="1910" spans="1:21" hidden="1" outlineLevel="1">
      <c r="A1910" s="8">
        <v>44636</v>
      </c>
      <c r="B1910" s="1860">
        <v>3011.1922100000002</v>
      </c>
      <c r="C1910" s="1860">
        <v>4074.72784</v>
      </c>
      <c r="D1910" s="1860">
        <v>4217.7222300000003</v>
      </c>
      <c r="E1910" s="1860">
        <v>5024.3589700000002</v>
      </c>
      <c r="F1910">
        <v>32.377389999999998</v>
      </c>
      <c r="G1910" s="1861">
        <v>3836.56</v>
      </c>
      <c r="I1910">
        <v>0.78486</v>
      </c>
      <c r="J1910">
        <v>1.0620700000000001</v>
      </c>
      <c r="K1910">
        <v>1.09935</v>
      </c>
      <c r="L1910">
        <v>1.3096000000000001</v>
      </c>
      <c r="M1910">
        <v>8.43E-3</v>
      </c>
      <c r="N1910">
        <v>1</v>
      </c>
      <c r="P1910">
        <v>1.2741</v>
      </c>
      <c r="Q1910">
        <v>0.94155</v>
      </c>
      <c r="R1910">
        <v>0.90961999999999998</v>
      </c>
      <c r="S1910">
        <v>0.76358999999999999</v>
      </c>
      <c r="T1910">
        <v>118.495</v>
      </c>
      <c r="U1910">
        <v>1</v>
      </c>
    </row>
    <row r="1911" spans="1:21" hidden="1" outlineLevel="1">
      <c r="A1911" s="8">
        <v>44637</v>
      </c>
      <c r="B1911" s="1860">
        <v>3027.9621699999998</v>
      </c>
      <c r="C1911" s="1860">
        <v>4092.49278</v>
      </c>
      <c r="D1911" s="1860">
        <v>4251.48344</v>
      </c>
      <c r="E1911" s="1860">
        <v>5035.2305100000003</v>
      </c>
      <c r="F1911">
        <v>32.310789999999997</v>
      </c>
      <c r="G1911" s="1861">
        <v>3826.89</v>
      </c>
      <c r="I1911">
        <v>0.79122999999999999</v>
      </c>
      <c r="J1911">
        <v>1.0693999999999999</v>
      </c>
      <c r="K1911">
        <v>1.1109500000000001</v>
      </c>
      <c r="L1911">
        <v>1.31575</v>
      </c>
      <c r="M1911">
        <v>8.4399999999999996E-3</v>
      </c>
      <c r="N1911">
        <v>1</v>
      </c>
      <c r="P1911">
        <v>1.2638499999999999</v>
      </c>
      <c r="Q1911">
        <v>0.93510000000000004</v>
      </c>
      <c r="R1911">
        <v>0.90012999999999999</v>
      </c>
      <c r="S1911">
        <v>0.76002000000000003</v>
      </c>
      <c r="T1911">
        <v>118.44</v>
      </c>
      <c r="U1911">
        <v>1</v>
      </c>
    </row>
    <row r="1912" spans="1:21" hidden="1" outlineLevel="1">
      <c r="A1912" s="8">
        <v>44638</v>
      </c>
      <c r="B1912" s="1860">
        <v>3020.76143</v>
      </c>
      <c r="C1912" s="1860">
        <v>4087.2074899999998</v>
      </c>
      <c r="D1912" s="1860">
        <v>4216.5826800000004</v>
      </c>
      <c r="E1912" s="1860">
        <v>5026.0474800000002</v>
      </c>
      <c r="F1912">
        <v>32.023739999999997</v>
      </c>
      <c r="G1912" s="1861">
        <v>3816.43</v>
      </c>
      <c r="I1912">
        <v>0.79151000000000005</v>
      </c>
      <c r="J1912">
        <v>1.0709500000000001</v>
      </c>
      <c r="K1912">
        <v>1.1048500000000001</v>
      </c>
      <c r="L1912">
        <v>1.3169500000000001</v>
      </c>
      <c r="M1912">
        <v>8.3899999999999999E-3</v>
      </c>
      <c r="N1912">
        <v>1</v>
      </c>
      <c r="P1912">
        <v>1.2634000000000001</v>
      </c>
      <c r="Q1912">
        <v>0.93374999999999997</v>
      </c>
      <c r="R1912">
        <v>0.90510000000000002</v>
      </c>
      <c r="S1912">
        <v>0.75932999999999995</v>
      </c>
      <c r="T1912">
        <v>119.175</v>
      </c>
      <c r="U1912">
        <v>1</v>
      </c>
    </row>
    <row r="1913" spans="1:21" hidden="1" outlineLevel="1">
      <c r="A1913" s="8">
        <v>44639</v>
      </c>
      <c r="B1913" s="1860">
        <v>3024.1174599999999</v>
      </c>
      <c r="C1913" s="1860">
        <v>4091.7483200000001</v>
      </c>
      <c r="D1913" s="1860">
        <v>4221.2672400000001</v>
      </c>
      <c r="E1913" s="1860">
        <v>5031.6313499999997</v>
      </c>
      <c r="F1913">
        <v>32.05932</v>
      </c>
      <c r="G1913" s="1861">
        <v>3820.67</v>
      </c>
      <c r="I1913">
        <v>0.79151000000000005</v>
      </c>
      <c r="J1913">
        <v>1.0709500000000001</v>
      </c>
      <c r="K1913">
        <v>1.1048500000000001</v>
      </c>
      <c r="L1913">
        <v>1.3169500000000001</v>
      </c>
      <c r="M1913">
        <v>8.3899999999999999E-3</v>
      </c>
      <c r="N1913">
        <v>1</v>
      </c>
      <c r="P1913">
        <v>1.2634000000000001</v>
      </c>
      <c r="Q1913">
        <v>0.93374999999999997</v>
      </c>
      <c r="R1913">
        <v>0.90510000000000002</v>
      </c>
      <c r="S1913">
        <v>0.75932999999999995</v>
      </c>
      <c r="T1913">
        <v>119.175</v>
      </c>
      <c r="U1913">
        <v>1</v>
      </c>
    </row>
    <row r="1914" spans="1:21" hidden="1" outlineLevel="1">
      <c r="A1914" s="8">
        <v>44640</v>
      </c>
      <c r="B1914" s="1860">
        <v>3024.1174599999999</v>
      </c>
      <c r="C1914" s="1860">
        <v>4091.7483200000001</v>
      </c>
      <c r="D1914" s="1860">
        <v>4221.2672400000001</v>
      </c>
      <c r="E1914" s="1860">
        <v>5031.6313499999997</v>
      </c>
      <c r="F1914">
        <v>32.05932</v>
      </c>
      <c r="G1914" s="1861">
        <v>3820.67</v>
      </c>
      <c r="I1914">
        <v>0.79151000000000005</v>
      </c>
      <c r="J1914">
        <v>1.0709500000000001</v>
      </c>
      <c r="K1914">
        <v>1.1048500000000001</v>
      </c>
      <c r="L1914">
        <v>1.3169500000000001</v>
      </c>
      <c r="M1914">
        <v>8.3899999999999999E-3</v>
      </c>
      <c r="N1914">
        <v>1</v>
      </c>
      <c r="P1914">
        <v>1.2634000000000001</v>
      </c>
      <c r="Q1914">
        <v>0.93374999999999997</v>
      </c>
      <c r="R1914">
        <v>0.90510000000000002</v>
      </c>
      <c r="S1914">
        <v>0.75932999999999995</v>
      </c>
      <c r="T1914">
        <v>119.175</v>
      </c>
      <c r="U1914">
        <v>1</v>
      </c>
    </row>
    <row r="1915" spans="1:21" hidden="1" outlineLevel="1">
      <c r="A1915" s="8">
        <v>44641</v>
      </c>
      <c r="B1915" s="1860">
        <v>3037.46074</v>
      </c>
      <c r="C1915" s="1860">
        <v>4104.9368700000005</v>
      </c>
      <c r="D1915" s="1860">
        <v>4221.6493099999998</v>
      </c>
      <c r="E1915" s="1860">
        <v>5045.0037000000002</v>
      </c>
      <c r="F1915">
        <v>32.066049999999997</v>
      </c>
      <c r="G1915" s="1861">
        <v>3820.67</v>
      </c>
      <c r="I1915">
        <v>0.79500000000000004</v>
      </c>
      <c r="J1915">
        <v>1.0744</v>
      </c>
      <c r="K1915">
        <v>1.1049500000000001</v>
      </c>
      <c r="L1915">
        <v>1.3204499999999999</v>
      </c>
      <c r="M1915">
        <v>8.3899999999999999E-3</v>
      </c>
      <c r="N1915">
        <v>1</v>
      </c>
      <c r="P1915">
        <v>1.2578499999999999</v>
      </c>
      <c r="Q1915">
        <v>0.93074999999999997</v>
      </c>
      <c r="R1915">
        <v>0.90500999999999998</v>
      </c>
      <c r="S1915">
        <v>0.75731000000000004</v>
      </c>
      <c r="T1915">
        <v>119.15</v>
      </c>
      <c r="U1915">
        <v>1</v>
      </c>
    </row>
    <row r="1916" spans="1:21" hidden="1" outlineLevel="1">
      <c r="A1916" s="8">
        <v>44642</v>
      </c>
      <c r="B1916" s="1860">
        <v>3030.9547400000001</v>
      </c>
      <c r="C1916" s="1860">
        <v>4097.0135600000003</v>
      </c>
      <c r="D1916" s="1860">
        <v>4211.1424699999998</v>
      </c>
      <c r="E1916" s="1860">
        <v>5066.0173800000002</v>
      </c>
      <c r="F1916">
        <v>31.663440000000001</v>
      </c>
      <c r="G1916" s="1861">
        <v>3820.67</v>
      </c>
      <c r="I1916">
        <v>0.79330000000000001</v>
      </c>
      <c r="J1916">
        <v>1.0723199999999999</v>
      </c>
      <c r="K1916">
        <v>1.1022000000000001</v>
      </c>
      <c r="L1916">
        <v>1.32595</v>
      </c>
      <c r="M1916">
        <v>8.2799999999999992E-3</v>
      </c>
      <c r="N1916">
        <v>1</v>
      </c>
      <c r="P1916">
        <v>1.2605500000000001</v>
      </c>
      <c r="Q1916">
        <v>0.93254999999999999</v>
      </c>
      <c r="R1916">
        <v>0.90727000000000002</v>
      </c>
      <c r="S1916">
        <v>0.75417000000000001</v>
      </c>
      <c r="T1916">
        <v>120.66500000000001</v>
      </c>
      <c r="U1916">
        <v>1</v>
      </c>
    </row>
    <row r="1917" spans="1:21" hidden="1" outlineLevel="1">
      <c r="A1917" s="8">
        <v>44643</v>
      </c>
      <c r="B1917" s="1860">
        <v>2998.9805999999999</v>
      </c>
      <c r="C1917" s="1860">
        <v>4039.55159</v>
      </c>
      <c r="D1917" s="1860">
        <v>4142.8018499999998</v>
      </c>
      <c r="E1917" s="1860">
        <v>4975.2031999999999</v>
      </c>
      <c r="F1917">
        <v>31.110949999999999</v>
      </c>
      <c r="G1917" s="1861">
        <v>3765.67</v>
      </c>
      <c r="I1917">
        <v>0.7964</v>
      </c>
      <c r="J1917">
        <v>1.07273</v>
      </c>
      <c r="K1917">
        <v>1.10015</v>
      </c>
      <c r="L1917">
        <v>1.3211999999999999</v>
      </c>
      <c r="M1917">
        <v>8.26E-3</v>
      </c>
      <c r="N1917">
        <v>1</v>
      </c>
      <c r="P1917">
        <v>1.2556499999999999</v>
      </c>
      <c r="Q1917">
        <v>0.93220000000000003</v>
      </c>
      <c r="R1917">
        <v>0.90895999999999999</v>
      </c>
      <c r="S1917">
        <v>0.75688</v>
      </c>
      <c r="T1917">
        <v>121.04</v>
      </c>
      <c r="U1917">
        <v>1</v>
      </c>
    </row>
    <row r="1918" spans="1:21" hidden="1" outlineLevel="1">
      <c r="A1918" s="8">
        <v>44644</v>
      </c>
      <c r="B1918" s="1860">
        <v>2997.2792899999999</v>
      </c>
      <c r="C1918" s="1860">
        <v>4035.2757900000001</v>
      </c>
      <c r="D1918" s="1860">
        <v>4135.1214799999998</v>
      </c>
      <c r="E1918" s="1860">
        <v>4952.7541700000002</v>
      </c>
      <c r="F1918">
        <v>30.776990000000001</v>
      </c>
      <c r="G1918" s="1861">
        <v>3756.64</v>
      </c>
      <c r="I1918">
        <v>0.79786000000000001</v>
      </c>
      <c r="J1918">
        <v>1.0741700000000001</v>
      </c>
      <c r="K1918">
        <v>1.1007499999999999</v>
      </c>
      <c r="L1918">
        <v>1.3184</v>
      </c>
      <c r="M1918">
        <v>8.1899999999999994E-3</v>
      </c>
      <c r="N1918">
        <v>1</v>
      </c>
      <c r="P1918">
        <v>1.25335</v>
      </c>
      <c r="Q1918">
        <v>0.93095000000000006</v>
      </c>
      <c r="R1918">
        <v>0.90847</v>
      </c>
      <c r="S1918">
        <v>0.75849</v>
      </c>
      <c r="T1918">
        <v>122.06</v>
      </c>
      <c r="U1918">
        <v>1</v>
      </c>
    </row>
    <row r="1919" spans="1:21" hidden="1" outlineLevel="1">
      <c r="A1919" s="8">
        <v>44645</v>
      </c>
      <c r="B1919" s="1860">
        <v>3035.8412899999998</v>
      </c>
      <c r="C1919" s="1860">
        <v>4081.1086599999999</v>
      </c>
      <c r="D1919" s="1860">
        <v>4172.9017000000003</v>
      </c>
      <c r="E1919" s="1860">
        <v>5011.8887699999996</v>
      </c>
      <c r="F1919">
        <v>31.14235</v>
      </c>
      <c r="G1919" s="1861">
        <v>3798.9</v>
      </c>
      <c r="I1919">
        <v>0.79913000000000001</v>
      </c>
      <c r="J1919">
        <v>1.0742799999999999</v>
      </c>
      <c r="K1919">
        <v>1.0984499999999999</v>
      </c>
      <c r="L1919">
        <v>1.3192999999999999</v>
      </c>
      <c r="M1919">
        <v>8.1899999999999994E-3</v>
      </c>
      <c r="N1919">
        <v>1</v>
      </c>
      <c r="P1919">
        <v>1.25135</v>
      </c>
      <c r="Q1919">
        <v>0.93084999999999996</v>
      </c>
      <c r="R1919">
        <v>0.91037000000000001</v>
      </c>
      <c r="S1919">
        <v>0.75797000000000003</v>
      </c>
      <c r="T1919">
        <v>121.985</v>
      </c>
      <c r="U1919">
        <v>1</v>
      </c>
    </row>
    <row r="1920" spans="1:21" hidden="1" outlineLevel="1">
      <c r="A1920" s="8">
        <v>44646</v>
      </c>
      <c r="B1920" s="1860">
        <v>3025.26071</v>
      </c>
      <c r="C1920" s="1860">
        <v>4066.8851</v>
      </c>
      <c r="D1920" s="1860">
        <v>4158.3582200000001</v>
      </c>
      <c r="E1920" s="1860">
        <v>4994.4212299999999</v>
      </c>
      <c r="F1920">
        <v>31.033809999999999</v>
      </c>
      <c r="G1920" s="1861">
        <v>3785.66</v>
      </c>
      <c r="I1920">
        <v>0.79913000000000001</v>
      </c>
      <c r="J1920">
        <v>1.0742799999999999</v>
      </c>
      <c r="K1920">
        <v>1.0984499999999999</v>
      </c>
      <c r="L1920">
        <v>1.3192999999999999</v>
      </c>
      <c r="M1920">
        <v>8.1899999999999994E-3</v>
      </c>
      <c r="N1920">
        <v>1</v>
      </c>
      <c r="P1920">
        <v>1.25135</v>
      </c>
      <c r="Q1920">
        <v>0.93084999999999996</v>
      </c>
      <c r="R1920">
        <v>0.91037000000000001</v>
      </c>
      <c r="S1920">
        <v>0.75797000000000003</v>
      </c>
      <c r="T1920">
        <v>121.985</v>
      </c>
      <c r="U1920">
        <v>1</v>
      </c>
    </row>
    <row r="1921" spans="1:22" hidden="1" outlineLevel="1">
      <c r="A1921" s="8">
        <v>44647</v>
      </c>
      <c r="B1921" s="1860">
        <v>3025.26071</v>
      </c>
      <c r="C1921" s="1860">
        <v>4066.8851</v>
      </c>
      <c r="D1921" s="1860">
        <v>4158.3582200000001</v>
      </c>
      <c r="E1921" s="1860">
        <v>4994.4212299999999</v>
      </c>
      <c r="F1921">
        <v>31.033809999999999</v>
      </c>
      <c r="G1921" s="1861">
        <v>3785.66</v>
      </c>
      <c r="I1921">
        <v>0.79913000000000001</v>
      </c>
      <c r="J1921">
        <v>1.0742799999999999</v>
      </c>
      <c r="K1921">
        <v>1.0984499999999999</v>
      </c>
      <c r="L1921">
        <v>1.3192999999999999</v>
      </c>
      <c r="M1921">
        <v>8.1899999999999994E-3</v>
      </c>
      <c r="N1921">
        <v>1</v>
      </c>
      <c r="P1921">
        <v>1.25135</v>
      </c>
      <c r="Q1921">
        <v>0.93084999999999996</v>
      </c>
      <c r="R1921">
        <v>0.91037000000000001</v>
      </c>
      <c r="S1921">
        <v>0.75797000000000003</v>
      </c>
      <c r="T1921">
        <v>121.985</v>
      </c>
      <c r="U1921">
        <v>1</v>
      </c>
    </row>
    <row r="1922" spans="1:22" hidden="1" outlineLevel="1">
      <c r="A1922" s="8">
        <v>44648</v>
      </c>
      <c r="B1922" s="1860">
        <v>3008.9099000000001</v>
      </c>
      <c r="C1922" s="1860">
        <v>4047.7519299999999</v>
      </c>
      <c r="D1922" s="1860">
        <v>4152.6797299999998</v>
      </c>
      <c r="E1922" s="1860">
        <v>4953.3468199999998</v>
      </c>
      <c r="F1922">
        <v>30.641950000000001</v>
      </c>
      <c r="G1922" s="1861">
        <v>3785.66</v>
      </c>
      <c r="I1922">
        <v>0.79481000000000002</v>
      </c>
      <c r="J1922">
        <v>1.0692299999999999</v>
      </c>
      <c r="K1922">
        <v>1.0969500000000001</v>
      </c>
      <c r="L1922">
        <v>1.3084499999999999</v>
      </c>
      <c r="M1922">
        <v>8.09E-3</v>
      </c>
      <c r="N1922">
        <v>1</v>
      </c>
      <c r="P1922">
        <v>1.2581500000000001</v>
      </c>
      <c r="Q1922">
        <v>0.93525000000000003</v>
      </c>
      <c r="R1922">
        <v>0.91161000000000003</v>
      </c>
      <c r="S1922">
        <v>0.76426000000000005</v>
      </c>
      <c r="T1922">
        <v>123.545</v>
      </c>
      <c r="U1922">
        <v>1</v>
      </c>
    </row>
    <row r="1923" spans="1:22" hidden="1" outlineLevel="1">
      <c r="A1923" s="8">
        <v>44649</v>
      </c>
      <c r="B1923" s="1860">
        <v>3023.7220400000001</v>
      </c>
      <c r="C1923" s="1860">
        <v>4064.5265100000001</v>
      </c>
      <c r="D1923" s="1860">
        <v>4203.0734199999997</v>
      </c>
      <c r="E1923" s="1860">
        <v>4972.89552</v>
      </c>
      <c r="F1923">
        <v>30.85078</v>
      </c>
      <c r="G1923" s="1861">
        <v>3785.7</v>
      </c>
      <c r="I1923">
        <v>0.79871999999999999</v>
      </c>
      <c r="J1923">
        <v>1.07365</v>
      </c>
      <c r="K1923">
        <v>1.11025</v>
      </c>
      <c r="L1923">
        <v>1.3136000000000001</v>
      </c>
      <c r="M1923">
        <v>8.1399999999999997E-3</v>
      </c>
      <c r="N1923">
        <v>1</v>
      </c>
      <c r="P1923">
        <v>1.252</v>
      </c>
      <c r="Q1923">
        <v>0.93140000000000001</v>
      </c>
      <c r="R1923">
        <v>0.90068999999999999</v>
      </c>
      <c r="S1923">
        <v>0.76126000000000005</v>
      </c>
      <c r="T1923">
        <v>122.71</v>
      </c>
      <c r="U1923">
        <v>1</v>
      </c>
    </row>
    <row r="1924" spans="1:22" hidden="1" outlineLevel="1">
      <c r="A1924" s="8">
        <v>44650</v>
      </c>
      <c r="B1924" s="1860">
        <v>3024.9889499999999</v>
      </c>
      <c r="C1924" s="1860">
        <v>4083.2267099999999</v>
      </c>
      <c r="D1924" s="1860">
        <v>4204.5060400000002</v>
      </c>
      <c r="E1924" s="1860">
        <v>4961.2757000000001</v>
      </c>
      <c r="F1924">
        <v>30.864719999999998</v>
      </c>
      <c r="G1924" s="1861">
        <v>3765.96</v>
      </c>
      <c r="I1924">
        <v>0.80323999999999995</v>
      </c>
      <c r="J1924">
        <v>1.0842400000000001</v>
      </c>
      <c r="K1924">
        <v>1.1164499999999999</v>
      </c>
      <c r="L1924">
        <v>1.3173999999999999</v>
      </c>
      <c r="M1924">
        <v>8.1899999999999994E-3</v>
      </c>
      <c r="N1924">
        <v>1</v>
      </c>
      <c r="P1924">
        <v>1.24495</v>
      </c>
      <c r="Q1924">
        <v>0.92230000000000001</v>
      </c>
      <c r="R1924">
        <v>0.89568999999999999</v>
      </c>
      <c r="S1924">
        <v>0.75907000000000002</v>
      </c>
      <c r="T1924">
        <v>122.015</v>
      </c>
      <c r="U1924">
        <v>1</v>
      </c>
    </row>
    <row r="1925" spans="1:22" ht="15.75" hidden="1" outlineLevel="1" thickBot="1">
      <c r="A1925" s="1868">
        <v>44651</v>
      </c>
      <c r="B1925" s="1869">
        <v>3000.8006</v>
      </c>
      <c r="C1925" s="1869">
        <v>4072.9693000000002</v>
      </c>
      <c r="D1925" s="1869">
        <v>4170.3790900000004</v>
      </c>
      <c r="E1925" s="1869">
        <v>4935.0016900000001</v>
      </c>
      <c r="F1925" s="1870">
        <v>30.880739999999999</v>
      </c>
      <c r="G1925" s="1871">
        <v>3748.15</v>
      </c>
      <c r="H1925" s="1872"/>
      <c r="I1925" s="1870">
        <v>0.80059999999999998</v>
      </c>
      <c r="J1925" s="1870">
        <v>1.08666</v>
      </c>
      <c r="K1925" s="1870">
        <v>1.1126499999999999</v>
      </c>
      <c r="L1925" s="1870">
        <v>1.3166500000000001</v>
      </c>
      <c r="M1925" s="1870">
        <v>8.2299999999999995E-3</v>
      </c>
      <c r="N1925" s="1870">
        <v>1</v>
      </c>
      <c r="O1925" s="1872"/>
      <c r="P1925" s="1870">
        <v>1.24905</v>
      </c>
      <c r="Q1925" s="1870">
        <v>0.92025000000000001</v>
      </c>
      <c r="R1925" s="1870">
        <v>0.89875000000000005</v>
      </c>
      <c r="S1925" s="1870">
        <v>0.75949999999999995</v>
      </c>
      <c r="T1925" s="1870">
        <v>121.375</v>
      </c>
      <c r="U1925" s="1870">
        <v>1</v>
      </c>
      <c r="V1925" s="1872"/>
    </row>
    <row r="1926" spans="1:22" hidden="1" outlineLevel="1">
      <c r="A1926" s="8">
        <v>44652</v>
      </c>
      <c r="B1926" s="1860">
        <v>3004.2231499999998</v>
      </c>
      <c r="C1926" s="1860">
        <v>4055.5309600000001</v>
      </c>
      <c r="D1926" s="1860">
        <v>4145.3424999999997</v>
      </c>
      <c r="E1926" s="1860">
        <v>4923.2163200000005</v>
      </c>
      <c r="F1926">
        <v>30.572870000000002</v>
      </c>
      <c r="G1926" s="1861">
        <v>3756.03</v>
      </c>
      <c r="I1926">
        <v>0.79984</v>
      </c>
      <c r="J1926">
        <v>1.0797300000000001</v>
      </c>
      <c r="K1926">
        <v>1.10365</v>
      </c>
      <c r="L1926">
        <v>1.3107500000000001</v>
      </c>
      <c r="M1926">
        <v>8.1300000000000001E-3</v>
      </c>
      <c r="N1926">
        <v>1</v>
      </c>
      <c r="P1926">
        <v>1.2502500000000001</v>
      </c>
      <c r="Q1926">
        <v>0.92615000000000003</v>
      </c>
      <c r="R1926">
        <v>0.90608</v>
      </c>
      <c r="S1926">
        <v>0.76292000000000004</v>
      </c>
      <c r="T1926">
        <v>122.855</v>
      </c>
      <c r="U1926">
        <v>1</v>
      </c>
    </row>
    <row r="1927" spans="1:22" hidden="1" outlineLevel="1">
      <c r="A1927" s="8">
        <v>44653</v>
      </c>
      <c r="B1927" s="1860">
        <v>3019.2281499999999</v>
      </c>
      <c r="C1927" s="1860">
        <v>4075.78685</v>
      </c>
      <c r="D1927" s="1860">
        <v>4166.0469800000001</v>
      </c>
      <c r="E1927" s="1860">
        <v>4947.8059899999998</v>
      </c>
      <c r="F1927">
        <v>30.725570000000001</v>
      </c>
      <c r="G1927" s="1861">
        <v>3774.79</v>
      </c>
      <c r="I1927">
        <v>0.79984</v>
      </c>
      <c r="J1927">
        <v>1.0797300000000001</v>
      </c>
      <c r="K1927">
        <v>1.10365</v>
      </c>
      <c r="L1927">
        <v>1.3107500000000001</v>
      </c>
      <c r="M1927">
        <v>8.1300000000000001E-3</v>
      </c>
      <c r="N1927">
        <v>1</v>
      </c>
      <c r="P1927">
        <v>1.2502500000000001</v>
      </c>
      <c r="Q1927">
        <v>0.92615000000000003</v>
      </c>
      <c r="R1927">
        <v>0.90608</v>
      </c>
      <c r="S1927">
        <v>0.76292000000000004</v>
      </c>
      <c r="T1927">
        <v>122.855</v>
      </c>
      <c r="U1927">
        <v>1</v>
      </c>
    </row>
    <row r="1928" spans="1:22" hidden="1" outlineLevel="1">
      <c r="A1928" s="8">
        <v>44654</v>
      </c>
      <c r="B1928" s="1860">
        <v>3019.2281499999999</v>
      </c>
      <c r="C1928" s="1860">
        <v>4075.78685</v>
      </c>
      <c r="D1928" s="1860">
        <v>4166.0469800000001</v>
      </c>
      <c r="E1928" s="1860">
        <v>4947.8059899999998</v>
      </c>
      <c r="F1928">
        <v>30.725570000000001</v>
      </c>
      <c r="G1928" s="1861">
        <v>3774.79</v>
      </c>
      <c r="I1928">
        <v>0.79984</v>
      </c>
      <c r="J1928">
        <v>1.0797300000000001</v>
      </c>
      <c r="K1928">
        <v>1.10365</v>
      </c>
      <c r="L1928">
        <v>1.3107500000000001</v>
      </c>
      <c r="M1928">
        <v>8.1300000000000001E-3</v>
      </c>
      <c r="N1928">
        <v>1</v>
      </c>
      <c r="P1928">
        <v>1.2502500000000001</v>
      </c>
      <c r="Q1928">
        <v>0.92615000000000003</v>
      </c>
      <c r="R1928">
        <v>0.90608</v>
      </c>
      <c r="S1928">
        <v>0.76292000000000004</v>
      </c>
      <c r="T1928">
        <v>122.855</v>
      </c>
      <c r="U1928">
        <v>1</v>
      </c>
    </row>
    <row r="1929" spans="1:22" hidden="1" outlineLevel="1">
      <c r="A1929" s="8">
        <v>44655</v>
      </c>
      <c r="B1929" s="1860">
        <v>3027.2184099999999</v>
      </c>
      <c r="C1929" s="1860">
        <v>4082.3987400000001</v>
      </c>
      <c r="D1929" s="1860">
        <v>4150.9478200000003</v>
      </c>
      <c r="E1929" s="1860">
        <v>4950.82582</v>
      </c>
      <c r="F1929">
        <v>30.758109999999999</v>
      </c>
      <c r="G1929" s="1861">
        <v>3774.79</v>
      </c>
      <c r="I1929">
        <v>0.80195000000000005</v>
      </c>
      <c r="J1929">
        <v>1.0814900000000001</v>
      </c>
      <c r="K1929">
        <v>1.09965</v>
      </c>
      <c r="L1929">
        <v>1.31155</v>
      </c>
      <c r="M1929">
        <v>8.1399999999999997E-3</v>
      </c>
      <c r="N1929">
        <v>1</v>
      </c>
      <c r="P1929">
        <v>1.24695</v>
      </c>
      <c r="Q1929">
        <v>0.92464999999999997</v>
      </c>
      <c r="R1929">
        <v>0.90937999999999997</v>
      </c>
      <c r="S1929">
        <v>0.76244999999999996</v>
      </c>
      <c r="T1929">
        <v>122.72499999999999</v>
      </c>
      <c r="U1929">
        <v>1</v>
      </c>
    </row>
    <row r="1930" spans="1:22" hidden="1" outlineLevel="1">
      <c r="A1930" s="8">
        <v>44656</v>
      </c>
      <c r="B1930" s="1860">
        <v>2980.2226900000001</v>
      </c>
      <c r="C1930" s="1860">
        <v>3993.4823500000002</v>
      </c>
      <c r="D1930" s="1860">
        <v>4054.8472499999998</v>
      </c>
      <c r="E1930" s="1860">
        <v>4867.4106899999997</v>
      </c>
      <c r="F1930">
        <v>30.06569</v>
      </c>
      <c r="G1930" s="1861">
        <v>3706.95</v>
      </c>
      <c r="I1930">
        <v>0.80395000000000005</v>
      </c>
      <c r="J1930">
        <v>1.0772900000000001</v>
      </c>
      <c r="K1930">
        <v>1.09385</v>
      </c>
      <c r="L1930">
        <v>1.3130500000000001</v>
      </c>
      <c r="M1930">
        <v>8.1099999999999992E-3</v>
      </c>
      <c r="N1930">
        <v>1</v>
      </c>
      <c r="P1930">
        <v>1.2438499999999999</v>
      </c>
      <c r="Q1930">
        <v>0.92825000000000002</v>
      </c>
      <c r="R1930">
        <v>0.91420000000000001</v>
      </c>
      <c r="S1930">
        <v>0.76158000000000003</v>
      </c>
      <c r="T1930">
        <v>123.295</v>
      </c>
      <c r="U1930">
        <v>1</v>
      </c>
    </row>
    <row r="1931" spans="1:22" hidden="1" outlineLevel="1">
      <c r="A1931" s="8">
        <v>44657</v>
      </c>
      <c r="B1931" s="1860">
        <v>2978.79369</v>
      </c>
      <c r="C1931" s="1860">
        <v>3992.6982200000002</v>
      </c>
      <c r="D1931" s="1860">
        <v>4066.1924899999999</v>
      </c>
      <c r="E1931" s="1860">
        <v>4874.2549200000003</v>
      </c>
      <c r="F1931">
        <v>30.09244</v>
      </c>
      <c r="G1931" s="1861">
        <v>3723.79</v>
      </c>
      <c r="I1931">
        <v>0.79993000000000003</v>
      </c>
      <c r="J1931">
        <v>1.0722100000000001</v>
      </c>
      <c r="K1931">
        <v>1.09195</v>
      </c>
      <c r="L1931">
        <v>1.3089500000000001</v>
      </c>
      <c r="M1931">
        <v>8.0800000000000004E-3</v>
      </c>
      <c r="N1931">
        <v>1</v>
      </c>
      <c r="P1931">
        <v>1.2501</v>
      </c>
      <c r="Q1931">
        <v>0.93264999999999998</v>
      </c>
      <c r="R1931">
        <v>0.91578999999999999</v>
      </c>
      <c r="S1931">
        <v>0.76397000000000004</v>
      </c>
      <c r="T1931">
        <v>123.745</v>
      </c>
      <c r="U1931">
        <v>1</v>
      </c>
    </row>
    <row r="1932" spans="1:22" hidden="1" outlineLevel="1">
      <c r="A1932" s="8">
        <v>44658</v>
      </c>
      <c r="B1932" s="1860">
        <v>2977.0829100000001</v>
      </c>
      <c r="C1932" s="1860">
        <v>4014.4762900000001</v>
      </c>
      <c r="D1932" s="1860">
        <v>4088.0043799999999</v>
      </c>
      <c r="E1932" s="1860">
        <v>4895.3772900000004</v>
      </c>
      <c r="F1932">
        <v>30.23207</v>
      </c>
      <c r="G1932" s="1861">
        <v>3746.51</v>
      </c>
      <c r="I1932">
        <v>0.79461999999999999</v>
      </c>
      <c r="J1932">
        <v>1.07152</v>
      </c>
      <c r="K1932">
        <v>1.0911500000000001</v>
      </c>
      <c r="L1932">
        <v>1.3066500000000001</v>
      </c>
      <c r="M1932">
        <v>8.0599999999999995E-3</v>
      </c>
      <c r="N1932">
        <v>1</v>
      </c>
      <c r="P1932">
        <v>1.2584500000000001</v>
      </c>
      <c r="Q1932">
        <v>0.93325000000000002</v>
      </c>
      <c r="R1932">
        <v>0.91646000000000005</v>
      </c>
      <c r="S1932">
        <v>0.76531000000000005</v>
      </c>
      <c r="T1932">
        <v>123.925</v>
      </c>
      <c r="U1932">
        <v>1</v>
      </c>
    </row>
    <row r="1933" spans="1:22" hidden="1" outlineLevel="1">
      <c r="A1933" s="8">
        <v>44659</v>
      </c>
      <c r="B1933" s="1860">
        <v>2993.87228</v>
      </c>
      <c r="C1933" s="1860">
        <v>4036.41714</v>
      </c>
      <c r="D1933" s="1860">
        <v>4101.2993500000002</v>
      </c>
      <c r="E1933" s="1860">
        <v>4906.5850499999997</v>
      </c>
      <c r="F1933">
        <v>30.318950000000001</v>
      </c>
      <c r="G1933" s="1861">
        <v>3771.83</v>
      </c>
      <c r="I1933">
        <v>0.79374</v>
      </c>
      <c r="J1933">
        <v>1.0701400000000001</v>
      </c>
      <c r="K1933">
        <v>1.08735</v>
      </c>
      <c r="L1933">
        <v>1.3008500000000001</v>
      </c>
      <c r="M1933">
        <v>8.0300000000000007E-3</v>
      </c>
      <c r="N1933">
        <v>1</v>
      </c>
      <c r="P1933">
        <v>1.2598499999999999</v>
      </c>
      <c r="Q1933">
        <v>0.93445</v>
      </c>
      <c r="R1933">
        <v>0.91966000000000003</v>
      </c>
      <c r="S1933">
        <v>0.76871999999999996</v>
      </c>
      <c r="T1933">
        <v>124.405</v>
      </c>
      <c r="U1933">
        <v>1</v>
      </c>
    </row>
    <row r="1934" spans="1:22" hidden="1" outlineLevel="1">
      <c r="A1934" s="8">
        <v>44660</v>
      </c>
      <c r="B1934" s="1860">
        <v>2998.3013799999999</v>
      </c>
      <c r="C1934" s="1860">
        <v>4042.3885700000001</v>
      </c>
      <c r="D1934" s="1860">
        <v>4107.3667599999999</v>
      </c>
      <c r="E1934" s="1860">
        <v>4913.8437899999999</v>
      </c>
      <c r="F1934">
        <v>30.363810000000001</v>
      </c>
      <c r="G1934" s="1861">
        <v>3777.41</v>
      </c>
      <c r="I1934">
        <v>0.79374</v>
      </c>
      <c r="J1934">
        <v>1.0701400000000001</v>
      </c>
      <c r="K1934">
        <v>1.08735</v>
      </c>
      <c r="L1934">
        <v>1.3008500000000001</v>
      </c>
      <c r="M1934">
        <v>8.0300000000000007E-3</v>
      </c>
      <c r="N1934">
        <v>1</v>
      </c>
      <c r="P1934">
        <v>1.2598499999999999</v>
      </c>
      <c r="Q1934">
        <v>0.93445</v>
      </c>
      <c r="R1934">
        <v>0.91966000000000003</v>
      </c>
      <c r="S1934">
        <v>0.76871999999999996</v>
      </c>
      <c r="T1934">
        <v>124.405</v>
      </c>
      <c r="U1934">
        <v>1</v>
      </c>
    </row>
    <row r="1935" spans="1:22" hidden="1" outlineLevel="1">
      <c r="A1935" s="8">
        <v>44661</v>
      </c>
      <c r="B1935" s="1860">
        <v>2998.3013799999999</v>
      </c>
      <c r="C1935" s="1860">
        <v>4042.3885700000001</v>
      </c>
      <c r="D1935" s="1860">
        <v>4107.3667599999999</v>
      </c>
      <c r="E1935" s="1860">
        <v>4913.8437899999999</v>
      </c>
      <c r="F1935">
        <v>30.363810000000001</v>
      </c>
      <c r="G1935" s="1861">
        <v>3777.41</v>
      </c>
      <c r="I1935">
        <v>0.79374</v>
      </c>
      <c r="J1935">
        <v>1.0701400000000001</v>
      </c>
      <c r="K1935">
        <v>1.08735</v>
      </c>
      <c r="L1935">
        <v>1.3008500000000001</v>
      </c>
      <c r="M1935">
        <v>8.0300000000000007E-3</v>
      </c>
      <c r="N1935">
        <v>1</v>
      </c>
      <c r="P1935">
        <v>1.2598499999999999</v>
      </c>
      <c r="Q1935">
        <v>0.93445</v>
      </c>
      <c r="R1935">
        <v>0.91966000000000003</v>
      </c>
      <c r="S1935">
        <v>0.76871999999999996</v>
      </c>
      <c r="T1935">
        <v>124.405</v>
      </c>
      <c r="U1935">
        <v>1</v>
      </c>
    </row>
    <row r="1936" spans="1:22" hidden="1" outlineLevel="1">
      <c r="A1936" s="8">
        <v>44662</v>
      </c>
      <c r="B1936" s="1860">
        <v>2993.7864</v>
      </c>
      <c r="C1936" s="1860">
        <v>4058.02223</v>
      </c>
      <c r="D1936" s="1860">
        <v>4116.2436699999998</v>
      </c>
      <c r="E1936" s="1860">
        <v>4926.3092500000002</v>
      </c>
      <c r="F1936">
        <v>30.092880000000001</v>
      </c>
      <c r="G1936" s="1861">
        <v>3777.41</v>
      </c>
      <c r="I1936">
        <v>0.79254999999999998</v>
      </c>
      <c r="J1936">
        <v>1.0742799999999999</v>
      </c>
      <c r="K1936">
        <v>1.0896999999999999</v>
      </c>
      <c r="L1936">
        <v>1.3041499999999999</v>
      </c>
      <c r="M1936">
        <v>7.9600000000000001E-3</v>
      </c>
      <c r="N1936">
        <v>1</v>
      </c>
      <c r="P1936">
        <v>1.2617499999999999</v>
      </c>
      <c r="Q1936">
        <v>0.93084999999999996</v>
      </c>
      <c r="R1936">
        <v>0.91768000000000005</v>
      </c>
      <c r="S1936">
        <v>0.76678000000000002</v>
      </c>
      <c r="T1936">
        <v>125.52500000000001</v>
      </c>
      <c r="U1936">
        <v>1</v>
      </c>
    </row>
    <row r="1937" spans="1:21" hidden="1" outlineLevel="1">
      <c r="A1937" s="8">
        <v>44663</v>
      </c>
      <c r="B1937" s="1860">
        <v>2968.6104999999998</v>
      </c>
      <c r="C1937" s="1860">
        <v>4027.4942099999998</v>
      </c>
      <c r="D1937" s="1860">
        <v>4071.2123700000002</v>
      </c>
      <c r="E1937" s="1860">
        <v>4881.4485999999997</v>
      </c>
      <c r="F1937">
        <v>29.9114</v>
      </c>
      <c r="G1937" s="1861">
        <v>3744.16</v>
      </c>
      <c r="I1937">
        <v>0.79286000000000001</v>
      </c>
      <c r="J1937">
        <v>1.0756699999999999</v>
      </c>
      <c r="K1937">
        <v>1.08735</v>
      </c>
      <c r="L1937">
        <v>1.30375</v>
      </c>
      <c r="M1937">
        <v>7.9799999999999992E-3</v>
      </c>
      <c r="N1937">
        <v>1</v>
      </c>
      <c r="P1937">
        <v>1.26125</v>
      </c>
      <c r="Q1937">
        <v>0.92964999999999998</v>
      </c>
      <c r="R1937">
        <v>0.91966000000000003</v>
      </c>
      <c r="S1937">
        <v>0.76700999999999997</v>
      </c>
      <c r="T1937">
        <v>125.175</v>
      </c>
      <c r="U1937">
        <v>1</v>
      </c>
    </row>
    <row r="1938" spans="1:21" hidden="1" outlineLevel="1">
      <c r="A1938" s="8">
        <v>44664</v>
      </c>
      <c r="B1938" s="1860">
        <v>2958.2393200000001</v>
      </c>
      <c r="C1938" s="1860">
        <v>3998.3949400000001</v>
      </c>
      <c r="D1938" s="1860">
        <v>4053.3853199999999</v>
      </c>
      <c r="E1938" s="1860">
        <v>4872.0962900000004</v>
      </c>
      <c r="F1938">
        <v>29.721209999999999</v>
      </c>
      <c r="G1938" s="1861">
        <v>3736.7</v>
      </c>
      <c r="I1938">
        <v>0.79166999999999998</v>
      </c>
      <c r="J1938">
        <v>1.07003</v>
      </c>
      <c r="K1938">
        <v>1.0847500000000001</v>
      </c>
      <c r="L1938">
        <v>1.30385</v>
      </c>
      <c r="M1938">
        <v>7.9500000000000005E-3</v>
      </c>
      <c r="N1938">
        <v>1</v>
      </c>
      <c r="P1938">
        <v>1.26315</v>
      </c>
      <c r="Q1938">
        <v>0.93454999999999999</v>
      </c>
      <c r="R1938">
        <v>0.92186999999999997</v>
      </c>
      <c r="S1938">
        <v>0.76695000000000002</v>
      </c>
      <c r="T1938">
        <v>125.72499999999999</v>
      </c>
      <c r="U1938">
        <v>1</v>
      </c>
    </row>
    <row r="1939" spans="1:21" hidden="1" outlineLevel="1">
      <c r="A1939" s="8">
        <v>44665</v>
      </c>
      <c r="B1939" s="1860">
        <v>2962.3652499999998</v>
      </c>
      <c r="C1939" s="1860">
        <v>3964.06448</v>
      </c>
      <c r="D1939" s="1860">
        <v>4027.5228900000002</v>
      </c>
      <c r="E1939" s="1860">
        <v>4875.5208000000002</v>
      </c>
      <c r="F1939">
        <v>29.68365</v>
      </c>
      <c r="G1939" s="1861">
        <v>3737.32</v>
      </c>
      <c r="I1939">
        <v>0.79264000000000001</v>
      </c>
      <c r="J1939">
        <v>1.06067</v>
      </c>
      <c r="K1939">
        <v>1.07765</v>
      </c>
      <c r="L1939">
        <v>1.3045500000000001</v>
      </c>
      <c r="M1939">
        <v>7.9399999999999991E-3</v>
      </c>
      <c r="N1939">
        <v>1</v>
      </c>
      <c r="P1939">
        <v>1.2616000000000001</v>
      </c>
      <c r="Q1939">
        <v>0.94279999999999997</v>
      </c>
      <c r="R1939">
        <v>0.92793999999999999</v>
      </c>
      <c r="S1939">
        <v>0.76654</v>
      </c>
      <c r="T1939">
        <v>125.905</v>
      </c>
      <c r="U1939">
        <v>1</v>
      </c>
    </row>
    <row r="1940" spans="1:21" hidden="1" outlineLevel="1">
      <c r="A1940" s="8">
        <v>44666</v>
      </c>
      <c r="B1940" s="1860">
        <v>2962.3652499999998</v>
      </c>
      <c r="C1940" s="1860">
        <v>3964.06448</v>
      </c>
      <c r="D1940" s="1860">
        <v>4027.5228900000002</v>
      </c>
      <c r="E1940" s="1860">
        <v>4875.5208000000002</v>
      </c>
      <c r="F1940">
        <v>29.68365</v>
      </c>
      <c r="G1940" s="1861">
        <v>3737.32</v>
      </c>
      <c r="I1940">
        <v>0.79264000000000001</v>
      </c>
      <c r="J1940">
        <v>1.06067</v>
      </c>
      <c r="K1940">
        <v>1.07765</v>
      </c>
      <c r="L1940">
        <v>1.3045500000000001</v>
      </c>
      <c r="M1940">
        <v>7.9399999999999991E-3</v>
      </c>
      <c r="N1940">
        <v>1</v>
      </c>
      <c r="P1940">
        <v>1.2616000000000001</v>
      </c>
      <c r="Q1940">
        <v>0.94279999999999997</v>
      </c>
      <c r="R1940">
        <v>0.92793999999999999</v>
      </c>
      <c r="S1940">
        <v>0.76654</v>
      </c>
      <c r="T1940">
        <v>125.905</v>
      </c>
      <c r="U1940">
        <v>1</v>
      </c>
    </row>
    <row r="1941" spans="1:21" hidden="1" outlineLevel="1">
      <c r="A1941" s="8">
        <v>44667</v>
      </c>
      <c r="B1941" s="1860">
        <v>2962.3652499999998</v>
      </c>
      <c r="C1941" s="1860">
        <v>3964.06448</v>
      </c>
      <c r="D1941" s="1860">
        <v>4027.5228900000002</v>
      </c>
      <c r="E1941" s="1860">
        <v>4875.5208000000002</v>
      </c>
      <c r="F1941">
        <v>29.68365</v>
      </c>
      <c r="G1941" s="1861">
        <v>3737.32</v>
      </c>
      <c r="I1941">
        <v>0.79264000000000001</v>
      </c>
      <c r="J1941">
        <v>1.06067</v>
      </c>
      <c r="K1941">
        <v>1.07765</v>
      </c>
      <c r="L1941">
        <v>1.3045500000000001</v>
      </c>
      <c r="M1941">
        <v>7.9399999999999991E-3</v>
      </c>
      <c r="N1941">
        <v>1</v>
      </c>
      <c r="P1941">
        <v>1.2616000000000001</v>
      </c>
      <c r="Q1941">
        <v>0.94279999999999997</v>
      </c>
      <c r="R1941">
        <v>0.92793999999999999</v>
      </c>
      <c r="S1941">
        <v>0.76654</v>
      </c>
      <c r="T1941">
        <v>125.905</v>
      </c>
      <c r="U1941">
        <v>1</v>
      </c>
    </row>
    <row r="1942" spans="1:21" hidden="1" outlineLevel="1">
      <c r="A1942" s="8">
        <v>44668</v>
      </c>
      <c r="B1942" s="1860">
        <v>2962.3652499999998</v>
      </c>
      <c r="C1942" s="1860">
        <v>3964.06448</v>
      </c>
      <c r="D1942" s="1860">
        <v>4027.5228900000002</v>
      </c>
      <c r="E1942" s="1860">
        <v>4875.5208000000002</v>
      </c>
      <c r="F1942">
        <v>29.68365</v>
      </c>
      <c r="G1942" s="1861">
        <v>3737.32</v>
      </c>
      <c r="I1942">
        <v>0.79264000000000001</v>
      </c>
      <c r="J1942">
        <v>1.06067</v>
      </c>
      <c r="K1942">
        <v>1.07765</v>
      </c>
      <c r="L1942">
        <v>1.3045500000000001</v>
      </c>
      <c r="M1942">
        <v>7.9399999999999991E-3</v>
      </c>
      <c r="N1942">
        <v>1</v>
      </c>
      <c r="P1942">
        <v>1.2616000000000001</v>
      </c>
      <c r="Q1942">
        <v>0.94279999999999997</v>
      </c>
      <c r="R1942">
        <v>0.92793999999999999</v>
      </c>
      <c r="S1942">
        <v>0.76654</v>
      </c>
      <c r="T1942">
        <v>125.905</v>
      </c>
      <c r="U1942">
        <v>1</v>
      </c>
    </row>
    <row r="1943" spans="1:21" hidden="1" outlineLevel="1">
      <c r="A1943" s="8">
        <v>44669</v>
      </c>
      <c r="B1943" s="1860">
        <v>2960.7224900000001</v>
      </c>
      <c r="C1943" s="1860">
        <v>3961.3334</v>
      </c>
      <c r="D1943" s="1860">
        <v>4033.8763399999998</v>
      </c>
      <c r="E1943" s="1860">
        <v>4865.4300400000002</v>
      </c>
      <c r="F1943">
        <v>29.50787</v>
      </c>
      <c r="G1943" s="1861">
        <v>3737.32</v>
      </c>
      <c r="I1943">
        <v>0.79220000000000002</v>
      </c>
      <c r="J1943">
        <v>1.05993</v>
      </c>
      <c r="K1943">
        <v>1.07935</v>
      </c>
      <c r="L1943">
        <v>1.30185</v>
      </c>
      <c r="M1943">
        <v>7.8899999999999994E-3</v>
      </c>
      <c r="N1943">
        <v>1</v>
      </c>
      <c r="P1943">
        <v>1.2623</v>
      </c>
      <c r="Q1943">
        <v>0.94345000000000001</v>
      </c>
      <c r="R1943">
        <v>0.92647999999999997</v>
      </c>
      <c r="S1943">
        <v>0.76812999999999998</v>
      </c>
      <c r="T1943">
        <v>126.655</v>
      </c>
      <c r="U1943">
        <v>1</v>
      </c>
    </row>
    <row r="1944" spans="1:21" hidden="1" outlineLevel="1">
      <c r="A1944" s="8">
        <v>44670</v>
      </c>
      <c r="B1944" s="1860">
        <v>2955.1419599999999</v>
      </c>
      <c r="C1944" s="1860">
        <v>3930.79799</v>
      </c>
      <c r="D1944" s="1860">
        <v>4024.7775299999998</v>
      </c>
      <c r="E1944" s="1860">
        <v>4847.3448200000003</v>
      </c>
      <c r="F1944">
        <v>28.961919999999999</v>
      </c>
      <c r="G1944" s="1861">
        <v>3731.31</v>
      </c>
      <c r="I1944">
        <v>0.79198000000000002</v>
      </c>
      <c r="J1944">
        <v>1.0534600000000001</v>
      </c>
      <c r="K1944">
        <v>1.0786500000000001</v>
      </c>
      <c r="L1944">
        <v>1.2990999999999999</v>
      </c>
      <c r="M1944">
        <v>7.7600000000000004E-3</v>
      </c>
      <c r="N1944">
        <v>1</v>
      </c>
      <c r="P1944">
        <v>1.2626500000000001</v>
      </c>
      <c r="Q1944">
        <v>0.94925000000000004</v>
      </c>
      <c r="R1944">
        <v>0.92708000000000002</v>
      </c>
      <c r="S1944">
        <v>0.76976</v>
      </c>
      <c r="T1944">
        <v>128.83500000000001</v>
      </c>
      <c r="U1944">
        <v>1</v>
      </c>
    </row>
    <row r="1945" spans="1:21" hidden="1" outlineLevel="1">
      <c r="A1945" s="8">
        <v>44671</v>
      </c>
      <c r="B1945" s="1860">
        <v>3006.48389</v>
      </c>
      <c r="C1945" s="1860">
        <v>3968.7747599999998</v>
      </c>
      <c r="D1945" s="1860">
        <v>4080.9188100000001</v>
      </c>
      <c r="E1945" s="1860">
        <v>4900.4452799999999</v>
      </c>
      <c r="F1945">
        <v>29.412659999999999</v>
      </c>
      <c r="G1945" s="1861">
        <v>3755.85</v>
      </c>
      <c r="I1945">
        <v>0.80047999999999997</v>
      </c>
      <c r="J1945">
        <v>1.0566899999999999</v>
      </c>
      <c r="K1945">
        <v>1.0865499999999999</v>
      </c>
      <c r="L1945">
        <v>1.3047500000000001</v>
      </c>
      <c r="M1945">
        <v>7.8300000000000002E-3</v>
      </c>
      <c r="N1945">
        <v>1</v>
      </c>
      <c r="P1945">
        <v>1.24925</v>
      </c>
      <c r="Q1945">
        <v>0.94635000000000002</v>
      </c>
      <c r="R1945">
        <v>0.92034000000000005</v>
      </c>
      <c r="S1945">
        <v>0.76642999999999994</v>
      </c>
      <c r="T1945">
        <v>127.69499999999999</v>
      </c>
      <c r="U1945">
        <v>1</v>
      </c>
    </row>
    <row r="1946" spans="1:21" hidden="1" outlineLevel="1">
      <c r="A1946" s="8">
        <v>44672</v>
      </c>
      <c r="B1946" s="1860">
        <v>3006.31873</v>
      </c>
      <c r="C1946" s="1860">
        <v>3948.36913</v>
      </c>
      <c r="D1946" s="1860">
        <v>4076.06799</v>
      </c>
      <c r="E1946" s="1860">
        <v>4897.8968100000002</v>
      </c>
      <c r="F1946">
        <v>29.24905</v>
      </c>
      <c r="G1946" s="1861">
        <v>3758.65</v>
      </c>
      <c r="I1946">
        <v>0.79984</v>
      </c>
      <c r="J1946">
        <v>1.05047</v>
      </c>
      <c r="K1946">
        <v>1.0844499999999999</v>
      </c>
      <c r="L1946">
        <v>1.3030999999999999</v>
      </c>
      <c r="M1946">
        <v>7.7799999999999996E-3</v>
      </c>
      <c r="N1946">
        <v>1</v>
      </c>
      <c r="P1946">
        <v>1.2502500000000001</v>
      </c>
      <c r="Q1946">
        <v>0.95194999999999996</v>
      </c>
      <c r="R1946">
        <v>0.92212000000000005</v>
      </c>
      <c r="S1946">
        <v>0.76739999999999997</v>
      </c>
      <c r="T1946">
        <v>128.505</v>
      </c>
      <c r="U1946">
        <v>1</v>
      </c>
    </row>
    <row r="1947" spans="1:21" hidden="1" outlineLevel="1">
      <c r="A1947" s="8">
        <v>44673</v>
      </c>
      <c r="B1947" s="1860">
        <v>2956.8917299999998</v>
      </c>
      <c r="C1947" s="1860">
        <v>3924.9778099999999</v>
      </c>
      <c r="D1947" s="1860">
        <v>4051.0923200000002</v>
      </c>
      <c r="E1947" s="1860">
        <v>4828.1892399999997</v>
      </c>
      <c r="F1947">
        <v>29.265090000000001</v>
      </c>
      <c r="G1947" s="1861">
        <v>3759.54</v>
      </c>
      <c r="I1947">
        <v>0.78649999999999998</v>
      </c>
      <c r="J1947">
        <v>1.044</v>
      </c>
      <c r="K1947">
        <v>1.07755</v>
      </c>
      <c r="L1947">
        <v>1.2842499999999999</v>
      </c>
      <c r="M1947">
        <v>7.7799999999999996E-3</v>
      </c>
      <c r="N1947">
        <v>1</v>
      </c>
      <c r="P1947">
        <v>1.27145</v>
      </c>
      <c r="Q1947">
        <v>0.95784999999999998</v>
      </c>
      <c r="R1947">
        <v>0.92803000000000002</v>
      </c>
      <c r="S1947">
        <v>0.77866000000000002</v>
      </c>
      <c r="T1947">
        <v>128.465</v>
      </c>
      <c r="U1947">
        <v>1</v>
      </c>
    </row>
    <row r="1948" spans="1:21" hidden="1" outlineLevel="1">
      <c r="A1948" s="8">
        <v>44674</v>
      </c>
      <c r="B1948" s="1860">
        <v>3003.7122899999999</v>
      </c>
      <c r="C1948" s="1860">
        <v>3987.1274199999998</v>
      </c>
      <c r="D1948" s="1860">
        <v>4115.2388700000001</v>
      </c>
      <c r="E1948" s="1860">
        <v>4904.6406399999996</v>
      </c>
      <c r="F1948">
        <v>29.728480000000001</v>
      </c>
      <c r="G1948" s="1861">
        <v>3819.07</v>
      </c>
      <c r="I1948">
        <v>0.78649999999999998</v>
      </c>
      <c r="J1948">
        <v>1.044</v>
      </c>
      <c r="K1948">
        <v>1.07755</v>
      </c>
      <c r="L1948">
        <v>1.2842499999999999</v>
      </c>
      <c r="M1948">
        <v>7.7799999999999996E-3</v>
      </c>
      <c r="N1948">
        <v>1</v>
      </c>
      <c r="P1948">
        <v>1.27145</v>
      </c>
      <c r="Q1948">
        <v>0.95784999999999998</v>
      </c>
      <c r="R1948">
        <v>0.92803000000000002</v>
      </c>
      <c r="S1948">
        <v>0.77866000000000002</v>
      </c>
      <c r="T1948">
        <v>128.465</v>
      </c>
      <c r="U1948">
        <v>1</v>
      </c>
    </row>
    <row r="1949" spans="1:21" hidden="1" outlineLevel="1">
      <c r="A1949" s="8">
        <v>44675</v>
      </c>
      <c r="B1949" s="1860">
        <v>3003.7122899999999</v>
      </c>
      <c r="C1949" s="1860">
        <v>3987.1274199999998</v>
      </c>
      <c r="D1949" s="1860">
        <v>4115.2388700000001</v>
      </c>
      <c r="E1949" s="1860">
        <v>4904.6406399999996</v>
      </c>
      <c r="F1949">
        <v>29.728480000000001</v>
      </c>
      <c r="G1949" s="1861">
        <v>3819.07</v>
      </c>
      <c r="I1949">
        <v>0.78649999999999998</v>
      </c>
      <c r="J1949">
        <v>1.044</v>
      </c>
      <c r="K1949">
        <v>1.07755</v>
      </c>
      <c r="L1949">
        <v>1.2842499999999999</v>
      </c>
      <c r="M1949">
        <v>7.7799999999999996E-3</v>
      </c>
      <c r="N1949">
        <v>1</v>
      </c>
      <c r="P1949">
        <v>1.27145</v>
      </c>
      <c r="Q1949">
        <v>0.95784999999999998</v>
      </c>
      <c r="R1949">
        <v>0.92803000000000002</v>
      </c>
      <c r="S1949">
        <v>0.77866000000000002</v>
      </c>
      <c r="T1949">
        <v>128.465</v>
      </c>
      <c r="U1949">
        <v>1</v>
      </c>
    </row>
    <row r="1950" spans="1:21" hidden="1" outlineLevel="1">
      <c r="A1950" s="8">
        <v>44676</v>
      </c>
      <c r="B1950" s="1860">
        <v>2990.1894699999998</v>
      </c>
      <c r="C1950" s="1860">
        <v>3983.8001300000001</v>
      </c>
      <c r="D1950" s="1860">
        <v>4089.2692000000002</v>
      </c>
      <c r="E1950" s="1860">
        <v>4855.37464</v>
      </c>
      <c r="F1950">
        <v>29.863309999999998</v>
      </c>
      <c r="G1950" s="1861">
        <v>3819.07</v>
      </c>
      <c r="I1950">
        <v>0.78295999999999999</v>
      </c>
      <c r="J1950">
        <v>1.0431299999999999</v>
      </c>
      <c r="K1950">
        <v>1.0707500000000001</v>
      </c>
      <c r="L1950">
        <v>1.27135</v>
      </c>
      <c r="M1950">
        <v>7.8100000000000001E-3</v>
      </c>
      <c r="N1950">
        <v>1</v>
      </c>
      <c r="P1950">
        <v>1.2771999999999999</v>
      </c>
      <c r="Q1950">
        <v>0.95865</v>
      </c>
      <c r="R1950">
        <v>0.93391999999999997</v>
      </c>
      <c r="S1950">
        <v>0.78656000000000004</v>
      </c>
      <c r="T1950">
        <v>127.88500000000001</v>
      </c>
      <c r="U1950">
        <v>1</v>
      </c>
    </row>
    <row r="1951" spans="1:21" hidden="1" outlineLevel="1">
      <c r="A1951" s="8">
        <v>44677</v>
      </c>
      <c r="B1951" s="1860">
        <v>3068.91464</v>
      </c>
      <c r="C1951" s="1860">
        <v>4095.7758199999998</v>
      </c>
      <c r="D1951" s="1860">
        <v>4187.4996799999999</v>
      </c>
      <c r="E1951" s="1860">
        <v>4962.0524599999999</v>
      </c>
      <c r="F1951">
        <v>30.917190000000002</v>
      </c>
      <c r="G1951" s="1861">
        <v>3931.74</v>
      </c>
      <c r="I1951">
        <v>0.78054000000000001</v>
      </c>
      <c r="J1951">
        <v>1.04172</v>
      </c>
      <c r="K1951">
        <v>1.0650500000000001</v>
      </c>
      <c r="L1951">
        <v>1.2620499999999999</v>
      </c>
      <c r="M1951">
        <v>7.8600000000000007E-3</v>
      </c>
      <c r="N1951">
        <v>1</v>
      </c>
      <c r="P1951">
        <v>1.28115</v>
      </c>
      <c r="Q1951">
        <v>0.95994999999999997</v>
      </c>
      <c r="R1951">
        <v>0.93891999999999998</v>
      </c>
      <c r="S1951">
        <v>0.79235999999999995</v>
      </c>
      <c r="T1951">
        <v>127.17</v>
      </c>
      <c r="U1951">
        <v>1</v>
      </c>
    </row>
    <row r="1952" spans="1:21" hidden="1" outlineLevel="1">
      <c r="A1952" s="8">
        <v>44678</v>
      </c>
      <c r="B1952" s="1860">
        <v>3071.9660699999999</v>
      </c>
      <c r="C1952" s="1860">
        <v>4070.3510799999999</v>
      </c>
      <c r="D1952" s="1860">
        <v>4151.9198500000002</v>
      </c>
      <c r="E1952" s="1860">
        <v>4936.3139300000003</v>
      </c>
      <c r="F1952">
        <v>30.76275</v>
      </c>
      <c r="G1952" s="1861">
        <v>3947.63</v>
      </c>
      <c r="I1952">
        <v>0.77817000000000003</v>
      </c>
      <c r="J1952">
        <v>1.03108</v>
      </c>
      <c r="K1952">
        <v>1.05175</v>
      </c>
      <c r="L1952">
        <v>1.2504500000000001</v>
      </c>
      <c r="M1952">
        <v>7.79E-3</v>
      </c>
      <c r="N1952">
        <v>1</v>
      </c>
      <c r="P1952">
        <v>1.28505</v>
      </c>
      <c r="Q1952">
        <v>0.96984999999999999</v>
      </c>
      <c r="R1952">
        <v>0.95079000000000002</v>
      </c>
      <c r="S1952">
        <v>0.79971000000000003</v>
      </c>
      <c r="T1952">
        <v>128.32499999999999</v>
      </c>
      <c r="U1952">
        <v>1</v>
      </c>
    </row>
    <row r="1953" spans="1:22" hidden="1" outlineLevel="1">
      <c r="A1953" s="8">
        <v>44679</v>
      </c>
      <c r="B1953" s="1860">
        <v>3090.4148</v>
      </c>
      <c r="C1953" s="1860">
        <v>4083.4954400000001</v>
      </c>
      <c r="D1953" s="1860">
        <v>4172.23207</v>
      </c>
      <c r="E1953" s="1860">
        <v>4935.1477100000002</v>
      </c>
      <c r="F1953">
        <v>30.281410000000001</v>
      </c>
      <c r="G1953" s="1861">
        <v>3967.32</v>
      </c>
      <c r="I1953">
        <v>0.77895999999999999</v>
      </c>
      <c r="J1953">
        <v>1.02928</v>
      </c>
      <c r="K1953">
        <v>1.05165</v>
      </c>
      <c r="L1953">
        <v>1.2439499999999999</v>
      </c>
      <c r="M1953">
        <v>7.6299999999999996E-3</v>
      </c>
      <c r="N1953">
        <v>1</v>
      </c>
      <c r="P1953">
        <v>1.2837499999999999</v>
      </c>
      <c r="Q1953">
        <v>0.97155000000000002</v>
      </c>
      <c r="R1953">
        <v>0.95087999999999995</v>
      </c>
      <c r="S1953">
        <v>0.80388999999999999</v>
      </c>
      <c r="T1953">
        <v>131.01499999999999</v>
      </c>
      <c r="U1953">
        <v>1</v>
      </c>
    </row>
    <row r="1954" spans="1:22" hidden="1" outlineLevel="1">
      <c r="A1954" s="8">
        <v>44680</v>
      </c>
      <c r="B1954" s="1860">
        <v>3117.8514100000002</v>
      </c>
      <c r="C1954" s="1860">
        <v>4105.25936</v>
      </c>
      <c r="D1954" s="1860">
        <v>4203.7331100000001</v>
      </c>
      <c r="E1954" s="1860">
        <v>5002.8787300000004</v>
      </c>
      <c r="F1954">
        <v>30.756170000000001</v>
      </c>
      <c r="G1954" s="2174">
        <v>3984.77</v>
      </c>
      <c r="I1954">
        <v>0.78244000000000002</v>
      </c>
      <c r="J1954">
        <v>1.03023</v>
      </c>
      <c r="K1954">
        <v>1.0549500000000001</v>
      </c>
      <c r="L1954">
        <v>1.2555000000000001</v>
      </c>
      <c r="M1954">
        <v>7.7099999999999998E-3</v>
      </c>
      <c r="N1954">
        <v>1</v>
      </c>
      <c r="P1954">
        <v>1.2780499999999999</v>
      </c>
      <c r="Q1954">
        <v>0.97065000000000001</v>
      </c>
      <c r="R1954">
        <v>0.94791000000000003</v>
      </c>
      <c r="S1954">
        <v>0.79649000000000003</v>
      </c>
      <c r="T1954">
        <v>129.56</v>
      </c>
      <c r="U1954">
        <v>1</v>
      </c>
    </row>
    <row r="1955" spans="1:22" ht="15.75" hidden="1" outlineLevel="1" thickBot="1">
      <c r="A1955" s="1868">
        <v>44681</v>
      </c>
      <c r="B1955" s="1869">
        <v>3103.3762299999999</v>
      </c>
      <c r="C1955" s="1869">
        <v>4086.1999599999999</v>
      </c>
      <c r="D1955" s="1869">
        <v>4184.2165299999997</v>
      </c>
      <c r="E1955" s="1869">
        <v>4979.6519799999996</v>
      </c>
      <c r="F1955" s="1870">
        <v>30.613379999999999</v>
      </c>
      <c r="G1955" s="1871">
        <v>3966.27</v>
      </c>
      <c r="H1955" s="1872"/>
      <c r="I1955" s="1870">
        <v>0.78244000000000002</v>
      </c>
      <c r="J1955" s="1870">
        <v>1.03023</v>
      </c>
      <c r="K1955" s="1870">
        <v>1.0549500000000001</v>
      </c>
      <c r="L1955" s="1870">
        <v>1.2555000000000001</v>
      </c>
      <c r="M1955" s="1870">
        <v>7.7099999999999998E-3</v>
      </c>
      <c r="N1955" s="1870">
        <v>1</v>
      </c>
      <c r="O1955" s="1872"/>
      <c r="P1955" s="1870">
        <v>1.2780499999999999</v>
      </c>
      <c r="Q1955" s="1870">
        <v>0.97065000000000001</v>
      </c>
      <c r="R1955" s="1870">
        <v>0.94791000000000003</v>
      </c>
      <c r="S1955" s="1870">
        <v>0.79649000000000003</v>
      </c>
      <c r="T1955" s="1870">
        <v>129.56</v>
      </c>
      <c r="U1955" s="1870">
        <v>1</v>
      </c>
      <c r="V1955" s="1872"/>
    </row>
    <row r="1956" spans="1:22" hidden="1" outlineLevel="1">
      <c r="A1956" s="8">
        <v>44682</v>
      </c>
      <c r="B1956" s="1860">
        <v>3103.3762299999999</v>
      </c>
      <c r="C1956" s="1860">
        <v>4086.1999599999999</v>
      </c>
      <c r="D1956" s="1860">
        <v>4184.2165299999997</v>
      </c>
      <c r="E1956" s="1860">
        <v>4979.6519799999996</v>
      </c>
      <c r="F1956">
        <v>30.613379999999999</v>
      </c>
      <c r="G1956" s="1861">
        <v>3966.27</v>
      </c>
      <c r="I1956">
        <v>0.78244000000000002</v>
      </c>
      <c r="J1956">
        <v>1.03023</v>
      </c>
      <c r="K1956">
        <v>1.0549500000000001</v>
      </c>
      <c r="L1956">
        <v>1.2555000000000001</v>
      </c>
      <c r="M1956">
        <v>7.7099999999999998E-3</v>
      </c>
      <c r="N1956">
        <v>1</v>
      </c>
      <c r="P1956">
        <v>1.2780499999999999</v>
      </c>
      <c r="Q1956">
        <v>0.97065000000000001</v>
      </c>
      <c r="R1956">
        <v>0.94791000000000003</v>
      </c>
      <c r="S1956">
        <v>0.79649000000000003</v>
      </c>
      <c r="T1956">
        <v>129.56</v>
      </c>
      <c r="U1956">
        <v>1</v>
      </c>
    </row>
    <row r="1957" spans="1:22" hidden="1" outlineLevel="1">
      <c r="A1957" s="8">
        <v>44683</v>
      </c>
      <c r="B1957" s="1860">
        <v>3076.2972100000002</v>
      </c>
      <c r="C1957" s="1860">
        <v>4058.18795</v>
      </c>
      <c r="D1957" s="1860">
        <v>4173.9042300000001</v>
      </c>
      <c r="E1957" s="1860">
        <v>4965.9683500000001</v>
      </c>
      <c r="F1957">
        <v>30.454709999999999</v>
      </c>
      <c r="G1957" s="1861">
        <v>3966.27</v>
      </c>
      <c r="I1957">
        <v>0.77561000000000002</v>
      </c>
      <c r="J1957">
        <v>1.0231699999999999</v>
      </c>
      <c r="K1957">
        <v>1.0523499999999999</v>
      </c>
      <c r="L1957">
        <v>1.2520500000000001</v>
      </c>
      <c r="M1957">
        <v>7.6699999999999997E-3</v>
      </c>
      <c r="N1957">
        <v>1</v>
      </c>
      <c r="P1957">
        <v>1.2892999999999999</v>
      </c>
      <c r="Q1957">
        <v>0.97735000000000005</v>
      </c>
      <c r="R1957">
        <v>0.95025000000000004</v>
      </c>
      <c r="S1957">
        <v>0.79869000000000001</v>
      </c>
      <c r="T1957">
        <v>130.23500000000001</v>
      </c>
      <c r="U1957">
        <v>1</v>
      </c>
    </row>
    <row r="1958" spans="1:22" hidden="1" outlineLevel="1">
      <c r="A1958" s="2175">
        <v>44684</v>
      </c>
      <c r="B1958" s="1860">
        <v>3115.1592900000001</v>
      </c>
      <c r="C1958" s="1860">
        <v>4093.5132600000002</v>
      </c>
      <c r="D1958" s="1860">
        <v>4219.6891599999999</v>
      </c>
      <c r="E1958" s="1860">
        <v>5009.49197</v>
      </c>
      <c r="F1958">
        <v>30.820689999999999</v>
      </c>
      <c r="G1958" s="1861">
        <v>4004.07</v>
      </c>
      <c r="I1958">
        <v>0.77798999999999996</v>
      </c>
      <c r="J1958">
        <v>1.02233</v>
      </c>
      <c r="K1958">
        <v>1.05385</v>
      </c>
      <c r="L1958">
        <v>1.2511000000000001</v>
      </c>
      <c r="M1958">
        <v>7.6899999999999998E-3</v>
      </c>
      <c r="N1958">
        <v>1</v>
      </c>
      <c r="P1958">
        <v>1.28535</v>
      </c>
      <c r="Q1958">
        <v>0.97814999999999996</v>
      </c>
      <c r="R1958">
        <v>0.94889999999999997</v>
      </c>
      <c r="S1958">
        <v>0.79928999999999994</v>
      </c>
      <c r="T1958">
        <v>129.91499999999999</v>
      </c>
      <c r="U1958">
        <v>1</v>
      </c>
    </row>
    <row r="1959" spans="1:22" hidden="1" outlineLevel="1">
      <c r="A1959" s="8">
        <v>44685</v>
      </c>
      <c r="B1959" s="1860">
        <v>3129.3310900000001</v>
      </c>
      <c r="C1959" s="1860">
        <v>4087.2538500000001</v>
      </c>
      <c r="D1959" s="1860">
        <v>4236.6362399999998</v>
      </c>
      <c r="E1959" s="1860">
        <v>5021.0274499999996</v>
      </c>
      <c r="F1959">
        <v>30.89967</v>
      </c>
      <c r="G1959" s="1861">
        <v>4016.34</v>
      </c>
      <c r="I1959">
        <v>0.77914000000000005</v>
      </c>
      <c r="J1959">
        <v>1.0176499999999999</v>
      </c>
      <c r="K1959">
        <v>1.0548500000000001</v>
      </c>
      <c r="L1959">
        <v>1.2501500000000001</v>
      </c>
      <c r="M1959">
        <v>7.6899999999999998E-3</v>
      </c>
      <c r="N1959">
        <v>1</v>
      </c>
      <c r="P1959">
        <v>1.28345</v>
      </c>
      <c r="Q1959">
        <v>0.98265000000000002</v>
      </c>
      <c r="R1959">
        <v>0.94799999999999995</v>
      </c>
      <c r="S1959">
        <v>0.79990000000000006</v>
      </c>
      <c r="T1959">
        <v>129.97999999999999</v>
      </c>
      <c r="U1959">
        <v>1</v>
      </c>
    </row>
    <row r="1960" spans="1:22" hidden="1" outlineLevel="1">
      <c r="A1960" s="8">
        <v>44686</v>
      </c>
      <c r="B1960" s="1860">
        <v>3164.7435099999998</v>
      </c>
      <c r="C1960" s="1860">
        <v>4117.5556999999999</v>
      </c>
      <c r="D1960" s="1860">
        <v>4271.6025499999996</v>
      </c>
      <c r="E1960" s="1860">
        <v>5019.1989100000001</v>
      </c>
      <c r="F1960">
        <v>31.144449999999999</v>
      </c>
      <c r="G1960" s="1861">
        <v>4056.41</v>
      </c>
      <c r="I1960">
        <v>0.78017999999999998</v>
      </c>
      <c r="J1960">
        <v>1.0150699999999999</v>
      </c>
      <c r="K1960">
        <v>1.05305</v>
      </c>
      <c r="L1960">
        <v>1.2373499999999999</v>
      </c>
      <c r="M1960">
        <v>7.6699999999999997E-3</v>
      </c>
      <c r="N1960">
        <v>1</v>
      </c>
      <c r="P1960">
        <v>1.2817499999999999</v>
      </c>
      <c r="Q1960">
        <v>0.98514999999999997</v>
      </c>
      <c r="R1960">
        <v>0.94962000000000002</v>
      </c>
      <c r="S1960">
        <v>0.80817000000000005</v>
      </c>
      <c r="T1960">
        <v>130.245</v>
      </c>
      <c r="U1960">
        <v>1</v>
      </c>
    </row>
    <row r="1961" spans="1:22" hidden="1" outlineLevel="1">
      <c r="A1961" s="8">
        <v>44687</v>
      </c>
      <c r="B1961" s="1860">
        <v>3173.0382399999999</v>
      </c>
      <c r="C1961" s="1860">
        <v>4148.5151500000002</v>
      </c>
      <c r="D1961" s="1860">
        <v>4324.29846</v>
      </c>
      <c r="E1961" s="1860">
        <v>5047.33032</v>
      </c>
      <c r="F1961">
        <v>31.333760000000002</v>
      </c>
      <c r="G1961" s="1861">
        <v>4086.08</v>
      </c>
      <c r="I1961">
        <v>0.77654000000000001</v>
      </c>
      <c r="J1961">
        <v>1.0152699999999999</v>
      </c>
      <c r="K1961">
        <v>1.0583</v>
      </c>
      <c r="L1961">
        <v>1.23525</v>
      </c>
      <c r="M1961">
        <v>7.6600000000000001E-3</v>
      </c>
      <c r="N1961">
        <v>1</v>
      </c>
      <c r="P1961">
        <v>1.28775</v>
      </c>
      <c r="Q1961">
        <v>0.98494999999999999</v>
      </c>
      <c r="R1961">
        <v>0.94491000000000003</v>
      </c>
      <c r="S1961">
        <v>0.80954999999999999</v>
      </c>
      <c r="T1961">
        <v>130.405</v>
      </c>
      <c r="U1961">
        <v>1</v>
      </c>
    </row>
    <row r="1962" spans="1:22" hidden="1" outlineLevel="1">
      <c r="A1962" s="8">
        <v>44688</v>
      </c>
      <c r="B1962" s="1860">
        <v>3148.0722099999998</v>
      </c>
      <c r="C1962" s="1860">
        <v>4115.8738999999996</v>
      </c>
      <c r="D1962" s="1860">
        <v>4290.2741100000003</v>
      </c>
      <c r="E1962" s="1860">
        <v>5007.6170300000003</v>
      </c>
      <c r="F1962">
        <v>31.087219999999999</v>
      </c>
      <c r="G1962" s="1861">
        <v>4053.93</v>
      </c>
      <c r="I1962">
        <v>0.77654000000000001</v>
      </c>
      <c r="J1962">
        <v>1.0152699999999999</v>
      </c>
      <c r="K1962">
        <v>1.0583</v>
      </c>
      <c r="L1962">
        <v>1.23525</v>
      </c>
      <c r="M1962">
        <v>7.6600000000000001E-3</v>
      </c>
      <c r="N1962">
        <v>1</v>
      </c>
      <c r="P1962">
        <v>1.28775</v>
      </c>
      <c r="Q1962">
        <v>0.98494999999999999</v>
      </c>
      <c r="R1962">
        <v>0.94491000000000003</v>
      </c>
      <c r="S1962">
        <v>0.80954999999999999</v>
      </c>
      <c r="T1962">
        <v>130.405</v>
      </c>
      <c r="U1962">
        <v>1</v>
      </c>
    </row>
    <row r="1963" spans="1:22" hidden="1" outlineLevel="1">
      <c r="A1963" s="8">
        <v>44689</v>
      </c>
      <c r="B1963" s="1860">
        <v>3148.0722099999998</v>
      </c>
      <c r="C1963" s="1860">
        <v>4115.8738999999996</v>
      </c>
      <c r="D1963" s="1860">
        <v>4290.2741100000003</v>
      </c>
      <c r="E1963" s="1860">
        <v>5007.6170300000003</v>
      </c>
      <c r="F1963">
        <v>31.087219999999999</v>
      </c>
      <c r="G1963" s="1861">
        <v>4053.93</v>
      </c>
      <c r="I1963">
        <v>0.77654000000000001</v>
      </c>
      <c r="J1963">
        <v>1.0152699999999999</v>
      </c>
      <c r="K1963">
        <v>1.0583</v>
      </c>
      <c r="L1963">
        <v>1.23525</v>
      </c>
      <c r="M1963">
        <v>7.6600000000000001E-3</v>
      </c>
      <c r="N1963">
        <v>1</v>
      </c>
      <c r="P1963">
        <v>1.28775</v>
      </c>
      <c r="Q1963">
        <v>0.98494999999999999</v>
      </c>
      <c r="R1963">
        <v>0.94491000000000003</v>
      </c>
      <c r="S1963">
        <v>0.80954999999999999</v>
      </c>
      <c r="T1963">
        <v>130.405</v>
      </c>
      <c r="U1963">
        <v>1</v>
      </c>
    </row>
    <row r="1964" spans="1:22" hidden="1" outlineLevel="1">
      <c r="A1964" s="8">
        <v>44690</v>
      </c>
      <c r="B1964" s="1860">
        <v>3124.6570000000002</v>
      </c>
      <c r="C1964" s="1860">
        <v>4068.3727199999998</v>
      </c>
      <c r="D1964" s="1860">
        <v>4268.7882900000004</v>
      </c>
      <c r="E1964" s="1860">
        <v>4988.9689500000004</v>
      </c>
      <c r="F1964">
        <v>31.06221</v>
      </c>
      <c r="G1964" s="1861">
        <v>4053.93</v>
      </c>
      <c r="I1964">
        <v>0.77076999999999996</v>
      </c>
      <c r="J1964">
        <v>1.00356</v>
      </c>
      <c r="K1964">
        <v>1.0529999999999999</v>
      </c>
      <c r="L1964">
        <v>1.23065</v>
      </c>
      <c r="M1964">
        <v>7.6600000000000001E-3</v>
      </c>
      <c r="N1964">
        <v>1</v>
      </c>
      <c r="P1964">
        <v>1.2974000000000001</v>
      </c>
      <c r="Q1964">
        <v>0.99644999999999995</v>
      </c>
      <c r="R1964">
        <v>0.94965999999999995</v>
      </c>
      <c r="S1964">
        <v>0.81257000000000001</v>
      </c>
      <c r="T1964">
        <v>130.51</v>
      </c>
      <c r="U1964">
        <v>1</v>
      </c>
    </row>
    <row r="1965" spans="1:22" hidden="1" outlineLevel="1">
      <c r="A1965" s="8">
        <v>44691</v>
      </c>
      <c r="B1965" s="1860">
        <v>3139.5112899999999</v>
      </c>
      <c r="C1965" s="1860">
        <v>4112.2842300000002</v>
      </c>
      <c r="D1965" s="1860">
        <v>4307.6167599999999</v>
      </c>
      <c r="E1965" s="1860">
        <v>5030.7962799999996</v>
      </c>
      <c r="F1965">
        <v>31.37462</v>
      </c>
      <c r="G1965" s="1861">
        <v>4085.76</v>
      </c>
      <c r="I1965">
        <v>0.76839999999999997</v>
      </c>
      <c r="J1965">
        <v>1.0064900000000001</v>
      </c>
      <c r="K1965">
        <v>1.0543</v>
      </c>
      <c r="L1965">
        <v>1.2313000000000001</v>
      </c>
      <c r="M1965">
        <v>7.6699999999999997E-3</v>
      </c>
      <c r="N1965">
        <v>1</v>
      </c>
      <c r="P1965">
        <v>1.3013999999999999</v>
      </c>
      <c r="Q1965">
        <v>0.99355000000000004</v>
      </c>
      <c r="R1965">
        <v>0.94849000000000006</v>
      </c>
      <c r="S1965">
        <v>0.81213999999999997</v>
      </c>
      <c r="T1965">
        <v>130.22499999999999</v>
      </c>
      <c r="U1965">
        <v>1</v>
      </c>
    </row>
    <row r="1966" spans="1:22" hidden="1" outlineLevel="1">
      <c r="A1966" s="8">
        <v>44692</v>
      </c>
      <c r="B1966" s="1860">
        <v>3157.4673499999999</v>
      </c>
      <c r="C1966" s="1860">
        <v>4124.8649999999998</v>
      </c>
      <c r="D1966" s="1860">
        <v>4310.0487000000003</v>
      </c>
      <c r="E1966" s="1860">
        <v>5043.0001400000001</v>
      </c>
      <c r="F1966">
        <v>31.367460000000001</v>
      </c>
      <c r="G1966" s="1861">
        <v>4086.71</v>
      </c>
      <c r="I1966">
        <v>0.77261000000000002</v>
      </c>
      <c r="J1966">
        <v>1.0093300000000001</v>
      </c>
      <c r="K1966">
        <v>1.0546500000000001</v>
      </c>
      <c r="L1966">
        <v>1.234</v>
      </c>
      <c r="M1966">
        <v>7.6699999999999997E-3</v>
      </c>
      <c r="N1966">
        <v>1</v>
      </c>
      <c r="P1966">
        <v>1.2943</v>
      </c>
      <c r="Q1966">
        <v>0.99075000000000002</v>
      </c>
      <c r="R1966">
        <v>0.94818000000000002</v>
      </c>
      <c r="S1966">
        <v>0.81037000000000003</v>
      </c>
      <c r="T1966">
        <v>130.285</v>
      </c>
      <c r="U1966">
        <v>1</v>
      </c>
    </row>
    <row r="1967" spans="1:22" hidden="1" outlineLevel="1">
      <c r="A1967" s="8">
        <v>44693</v>
      </c>
      <c r="B1967" s="1860">
        <v>3133.28469</v>
      </c>
      <c r="C1967" s="1860">
        <v>4086.6543099999999</v>
      </c>
      <c r="D1967" s="1860">
        <v>4248.6332000000002</v>
      </c>
      <c r="E1967" s="1860">
        <v>4989.2112800000004</v>
      </c>
      <c r="F1967">
        <v>31.848880000000001</v>
      </c>
      <c r="G1967" s="1861">
        <v>4080.32</v>
      </c>
      <c r="I1967">
        <v>0.76790000000000003</v>
      </c>
      <c r="J1967">
        <v>1.0015499999999999</v>
      </c>
      <c r="K1967">
        <v>1.04125</v>
      </c>
      <c r="L1967">
        <v>1.22275</v>
      </c>
      <c r="M1967">
        <v>7.7999999999999996E-3</v>
      </c>
      <c r="N1967">
        <v>1</v>
      </c>
      <c r="P1967">
        <v>1.3022499999999999</v>
      </c>
      <c r="Q1967">
        <v>0.99844999999999995</v>
      </c>
      <c r="R1967">
        <v>0.96038000000000001</v>
      </c>
      <c r="S1967">
        <v>0.81781999999999999</v>
      </c>
      <c r="T1967">
        <v>128.11500000000001</v>
      </c>
      <c r="U1967">
        <v>1</v>
      </c>
    </row>
    <row r="1968" spans="1:22" hidden="1" outlineLevel="1">
      <c r="A1968" s="8">
        <v>44694</v>
      </c>
      <c r="B1968" s="1860">
        <v>3174.134</v>
      </c>
      <c r="C1968" s="1860">
        <v>4101.3023300000004</v>
      </c>
      <c r="D1968" s="1860">
        <v>4271.8380500000003</v>
      </c>
      <c r="E1968" s="1860">
        <v>5022.2710999999999</v>
      </c>
      <c r="F1968">
        <v>31.76587</v>
      </c>
      <c r="G1968" s="1861">
        <v>4109.71</v>
      </c>
      <c r="I1968">
        <v>0.77234000000000003</v>
      </c>
      <c r="J1968">
        <v>0.99795</v>
      </c>
      <c r="K1968">
        <v>1.03945</v>
      </c>
      <c r="L1968">
        <v>1.2220500000000001</v>
      </c>
      <c r="M1968">
        <v>7.7200000000000003E-3</v>
      </c>
      <c r="N1968">
        <v>1</v>
      </c>
      <c r="P1968">
        <v>1.2947500000000001</v>
      </c>
      <c r="Q1968">
        <v>1.0020500000000001</v>
      </c>
      <c r="R1968">
        <v>0.96204000000000001</v>
      </c>
      <c r="S1968">
        <v>0.81828999999999996</v>
      </c>
      <c r="T1968">
        <v>129.375</v>
      </c>
      <c r="U1968">
        <v>1</v>
      </c>
    </row>
    <row r="1969" spans="1:21" hidden="1" outlineLevel="1">
      <c r="A1969" s="8">
        <v>44695</v>
      </c>
      <c r="B1969" s="1860">
        <v>3174.7673199999999</v>
      </c>
      <c r="C1969" s="1860">
        <v>4102.1206499999998</v>
      </c>
      <c r="D1969" s="1860">
        <v>4272.6904000000004</v>
      </c>
      <c r="E1969" s="1860">
        <v>5023.2731800000001</v>
      </c>
      <c r="F1969">
        <v>31.772210000000001</v>
      </c>
      <c r="G1969" s="2174">
        <v>4110.53</v>
      </c>
      <c r="I1969">
        <v>0.77234000000000003</v>
      </c>
      <c r="J1969">
        <v>0.99795</v>
      </c>
      <c r="K1969">
        <v>1.03945</v>
      </c>
      <c r="L1969">
        <v>1.2220500000000001</v>
      </c>
      <c r="M1969">
        <v>7.7200000000000003E-3</v>
      </c>
      <c r="N1969">
        <v>1</v>
      </c>
      <c r="P1969">
        <v>1.2947500000000001</v>
      </c>
      <c r="Q1969">
        <v>1.0020500000000001</v>
      </c>
      <c r="R1969">
        <v>0.96204000000000001</v>
      </c>
      <c r="S1969">
        <v>0.81828999999999996</v>
      </c>
      <c r="T1969">
        <v>129.375</v>
      </c>
      <c r="U1969">
        <v>1</v>
      </c>
    </row>
    <row r="1970" spans="1:21" hidden="1" outlineLevel="1">
      <c r="A1970" s="8">
        <v>44696</v>
      </c>
      <c r="B1970" s="1860">
        <v>3174.7673199999999</v>
      </c>
      <c r="C1970" s="1860">
        <v>4102.1206499999998</v>
      </c>
      <c r="D1970" s="1860">
        <v>4272.6904000000004</v>
      </c>
      <c r="E1970" s="1860">
        <v>5023.2731800000001</v>
      </c>
      <c r="F1970">
        <v>31.772210000000001</v>
      </c>
      <c r="G1970" s="1861">
        <v>4110.53</v>
      </c>
      <c r="I1970">
        <v>0.77234000000000003</v>
      </c>
      <c r="J1970">
        <v>0.99795</v>
      </c>
      <c r="K1970">
        <v>1.03945</v>
      </c>
      <c r="L1970">
        <v>1.2220500000000001</v>
      </c>
      <c r="M1970">
        <v>7.7200000000000003E-3</v>
      </c>
      <c r="N1970">
        <v>1</v>
      </c>
      <c r="P1970">
        <v>1.2947500000000001</v>
      </c>
      <c r="Q1970">
        <v>1.0020500000000001</v>
      </c>
      <c r="R1970">
        <v>0.96204000000000001</v>
      </c>
      <c r="S1970">
        <v>0.81828999999999996</v>
      </c>
      <c r="T1970">
        <v>129.375</v>
      </c>
      <c r="U1970">
        <v>1</v>
      </c>
    </row>
    <row r="1971" spans="1:21" hidden="1" outlineLevel="1">
      <c r="A1971" s="8">
        <v>44697</v>
      </c>
      <c r="B1971" s="1860">
        <v>3183.8658399999999</v>
      </c>
      <c r="C1971" s="1860">
        <v>4091.09728</v>
      </c>
      <c r="D1971" s="1860">
        <v>4276.5954099999999</v>
      </c>
      <c r="E1971" s="1860">
        <v>5036.42688</v>
      </c>
      <c r="F1971">
        <v>31.848520000000001</v>
      </c>
      <c r="G1971" s="1861">
        <v>4110.53</v>
      </c>
      <c r="I1971">
        <v>0.77456000000000003</v>
      </c>
      <c r="J1971">
        <v>0.99526999999999999</v>
      </c>
      <c r="K1971">
        <v>1.0404</v>
      </c>
      <c r="L1971">
        <v>1.22525</v>
      </c>
      <c r="M1971">
        <v>7.7400000000000004E-3</v>
      </c>
      <c r="N1971">
        <v>1</v>
      </c>
      <c r="P1971">
        <v>1.29105</v>
      </c>
      <c r="Q1971">
        <v>1.00475</v>
      </c>
      <c r="R1971">
        <v>0.96116000000000001</v>
      </c>
      <c r="S1971">
        <v>0.81615000000000004</v>
      </c>
      <c r="T1971">
        <v>129.065</v>
      </c>
      <c r="U1971">
        <v>1</v>
      </c>
    </row>
    <row r="1972" spans="1:21" hidden="1" outlineLevel="1">
      <c r="A1972" s="8">
        <v>44698</v>
      </c>
      <c r="B1972" s="1860">
        <v>3168.7426999999998</v>
      </c>
      <c r="C1972" s="1860">
        <v>4099.5618599999998</v>
      </c>
      <c r="D1972" s="1860">
        <v>4288.2118799999998</v>
      </c>
      <c r="E1972" s="1860">
        <v>5075.8052600000001</v>
      </c>
      <c r="F1972">
        <v>31.487639999999999</v>
      </c>
      <c r="G1972" s="1861">
        <v>4070.25</v>
      </c>
      <c r="I1972">
        <v>0.77851000000000004</v>
      </c>
      <c r="J1972">
        <v>1.0072000000000001</v>
      </c>
      <c r="K1972">
        <v>1.05355</v>
      </c>
      <c r="L1972">
        <v>1.24705</v>
      </c>
      <c r="M1972">
        <v>7.7299999999999999E-3</v>
      </c>
      <c r="N1972">
        <v>1</v>
      </c>
      <c r="P1972">
        <v>1.2845</v>
      </c>
      <c r="Q1972">
        <v>0.99285000000000001</v>
      </c>
      <c r="R1972">
        <v>0.94916999999999996</v>
      </c>
      <c r="S1972">
        <v>0.80188999999999999</v>
      </c>
      <c r="T1972">
        <v>129.26499999999999</v>
      </c>
      <c r="U1972">
        <v>1</v>
      </c>
    </row>
    <row r="1973" spans="1:21" hidden="1" outlineLevel="1">
      <c r="A1973" s="8">
        <v>44699</v>
      </c>
      <c r="B1973" s="1860">
        <v>3147.8793500000002</v>
      </c>
      <c r="C1973" s="1860">
        <v>4076.6548699999998</v>
      </c>
      <c r="D1973" s="1860">
        <v>4240.5848100000003</v>
      </c>
      <c r="E1973" s="1860">
        <v>5007.01631</v>
      </c>
      <c r="F1973">
        <v>31.397929999999999</v>
      </c>
      <c r="G1973" s="1861">
        <v>4033.85</v>
      </c>
      <c r="I1973">
        <v>0.78036000000000005</v>
      </c>
      <c r="J1973">
        <v>1.01061</v>
      </c>
      <c r="K1973">
        <v>1.05125</v>
      </c>
      <c r="L1973">
        <v>1.24125</v>
      </c>
      <c r="M1973">
        <v>7.7799999999999996E-3</v>
      </c>
      <c r="N1973">
        <v>1</v>
      </c>
      <c r="P1973">
        <v>1.28145</v>
      </c>
      <c r="Q1973">
        <v>0.98950000000000005</v>
      </c>
      <c r="R1973">
        <v>0.95123999999999997</v>
      </c>
      <c r="S1973">
        <v>0.80562999999999996</v>
      </c>
      <c r="T1973">
        <v>128.47499999999999</v>
      </c>
      <c r="U1973">
        <v>1</v>
      </c>
    </row>
    <row r="1974" spans="1:21" hidden="1" outlineLevel="1">
      <c r="A1974" s="8">
        <v>44700</v>
      </c>
      <c r="B1974" s="1860">
        <v>3163.4171999999999</v>
      </c>
      <c r="C1974" s="1860">
        <v>4170.4396999999999</v>
      </c>
      <c r="D1974" s="1860">
        <v>4293.7351500000004</v>
      </c>
      <c r="E1974" s="1860">
        <v>5064.7382600000001</v>
      </c>
      <c r="F1974">
        <v>31.827850000000002</v>
      </c>
      <c r="G1974" s="1861">
        <v>4054.71</v>
      </c>
      <c r="I1974">
        <v>0.78017999999999998</v>
      </c>
      <c r="J1974">
        <v>1.02854</v>
      </c>
      <c r="K1974">
        <v>1.0589500000000001</v>
      </c>
      <c r="L1974">
        <v>1.2491000000000001</v>
      </c>
      <c r="M1974">
        <v>7.8399999999999997E-3</v>
      </c>
      <c r="N1974">
        <v>1</v>
      </c>
      <c r="P1974">
        <v>1.2817499999999999</v>
      </c>
      <c r="Q1974">
        <v>0.97224999999999995</v>
      </c>
      <c r="R1974">
        <v>0.94433</v>
      </c>
      <c r="S1974">
        <v>0.80057</v>
      </c>
      <c r="T1974">
        <v>127.395</v>
      </c>
      <c r="U1974">
        <v>1</v>
      </c>
    </row>
    <row r="1975" spans="1:21" hidden="1" outlineLevel="1">
      <c r="A1975" s="8">
        <v>44701</v>
      </c>
      <c r="B1975" s="1860">
        <v>3157.5960700000001</v>
      </c>
      <c r="C1975" s="1860">
        <v>4153.4707200000003</v>
      </c>
      <c r="D1975" s="1860">
        <v>4276.9191000000001</v>
      </c>
      <c r="E1975" s="1860">
        <v>5050.2320900000004</v>
      </c>
      <c r="F1975">
        <v>31.643789999999999</v>
      </c>
      <c r="G1975" s="1861">
        <v>4050.88</v>
      </c>
      <c r="I1975">
        <v>0.77947999999999995</v>
      </c>
      <c r="J1975">
        <v>1.02532</v>
      </c>
      <c r="K1975">
        <v>1.0558000000000001</v>
      </c>
      <c r="L1975">
        <v>1.2466999999999999</v>
      </c>
      <c r="M1975">
        <v>7.8100000000000001E-3</v>
      </c>
      <c r="N1975">
        <v>1</v>
      </c>
      <c r="P1975">
        <v>1.2828999999999999</v>
      </c>
      <c r="Q1975">
        <v>0.97529999999999994</v>
      </c>
      <c r="R1975">
        <v>0.94713999999999998</v>
      </c>
      <c r="S1975">
        <v>0.80210999999999999</v>
      </c>
      <c r="T1975">
        <v>128.01499999999999</v>
      </c>
      <c r="U1975">
        <v>1</v>
      </c>
    </row>
    <row r="1976" spans="1:21" hidden="1" outlineLevel="1">
      <c r="A1976" s="8">
        <v>44702</v>
      </c>
      <c r="B1976" s="1860">
        <v>3110.0163600000001</v>
      </c>
      <c r="C1976" s="1860">
        <v>4090.8848499999999</v>
      </c>
      <c r="D1976" s="1860">
        <v>4212.47307</v>
      </c>
      <c r="E1976" s="1860">
        <v>4974.1335200000003</v>
      </c>
      <c r="F1976">
        <v>31.166969999999999</v>
      </c>
      <c r="G1976" s="1861">
        <v>3989.84</v>
      </c>
      <c r="I1976">
        <v>0.77947999999999995</v>
      </c>
      <c r="J1976">
        <v>1.02532</v>
      </c>
      <c r="K1976">
        <v>1.0558000000000001</v>
      </c>
      <c r="L1976">
        <v>1.2466999999999999</v>
      </c>
      <c r="M1976">
        <v>7.8100000000000001E-3</v>
      </c>
      <c r="N1976">
        <v>1</v>
      </c>
      <c r="P1976">
        <v>1.2828999999999999</v>
      </c>
      <c r="Q1976">
        <v>0.97529999999999994</v>
      </c>
      <c r="R1976">
        <v>0.94713999999999998</v>
      </c>
      <c r="S1976">
        <v>0.80210999999999999</v>
      </c>
      <c r="T1976">
        <v>128.01499999999999</v>
      </c>
      <c r="U1976">
        <v>1</v>
      </c>
    </row>
    <row r="1977" spans="1:21" hidden="1" outlineLevel="1">
      <c r="A1977" s="8">
        <v>44703</v>
      </c>
      <c r="B1977" s="1860">
        <v>3110.0163600000001</v>
      </c>
      <c r="C1977" s="1860">
        <v>4090.8848499999999</v>
      </c>
      <c r="D1977" s="1860">
        <v>4212.47307</v>
      </c>
      <c r="E1977" s="1860">
        <v>4974.1335200000003</v>
      </c>
      <c r="F1977">
        <v>31.166969999999999</v>
      </c>
      <c r="G1977" s="1861">
        <v>3989.84</v>
      </c>
      <c r="I1977">
        <v>0.77947999999999995</v>
      </c>
      <c r="J1977">
        <v>1.02532</v>
      </c>
      <c r="K1977">
        <v>1.0558000000000001</v>
      </c>
      <c r="L1977">
        <v>1.2466999999999999</v>
      </c>
      <c r="M1977">
        <v>7.8100000000000001E-3</v>
      </c>
      <c r="N1977">
        <v>1</v>
      </c>
      <c r="P1977">
        <v>1.2828999999999999</v>
      </c>
      <c r="Q1977">
        <v>0.97529999999999994</v>
      </c>
      <c r="R1977">
        <v>0.94713999999999998</v>
      </c>
      <c r="S1977">
        <v>0.80210999999999999</v>
      </c>
      <c r="T1977">
        <v>128.01499999999999</v>
      </c>
      <c r="U1977">
        <v>1</v>
      </c>
    </row>
    <row r="1978" spans="1:21" hidden="1" outlineLevel="1">
      <c r="A1978" s="8">
        <v>44704</v>
      </c>
      <c r="B1978" s="1860">
        <v>3121.2078499999998</v>
      </c>
      <c r="C1978" s="1860">
        <v>4132.1940800000002</v>
      </c>
      <c r="D1978" s="1860">
        <v>4256.5608000000002</v>
      </c>
      <c r="E1978" s="1860">
        <v>5016.4258300000001</v>
      </c>
      <c r="F1978">
        <v>31.249970000000001</v>
      </c>
      <c r="G1978" s="1861">
        <v>3989.84</v>
      </c>
      <c r="I1978">
        <v>0.78227999999999998</v>
      </c>
      <c r="J1978">
        <v>1.0356700000000001</v>
      </c>
      <c r="K1978">
        <v>1.0668500000000001</v>
      </c>
      <c r="L1978">
        <v>1.2573000000000001</v>
      </c>
      <c r="M1978">
        <v>7.8300000000000002E-3</v>
      </c>
      <c r="N1978">
        <v>1</v>
      </c>
      <c r="P1978">
        <v>1.2783</v>
      </c>
      <c r="Q1978">
        <v>0.96555000000000002</v>
      </c>
      <c r="R1978">
        <v>0.93733</v>
      </c>
      <c r="S1978">
        <v>0.79535</v>
      </c>
      <c r="T1978">
        <v>127.675</v>
      </c>
      <c r="U1978">
        <v>1</v>
      </c>
    </row>
    <row r="1979" spans="1:21" hidden="1" outlineLevel="1">
      <c r="A1979" s="8">
        <v>44705</v>
      </c>
      <c r="B1979" s="1860">
        <v>3072.6480700000002</v>
      </c>
      <c r="C1979" s="1860">
        <v>4116.8777</v>
      </c>
      <c r="D1979" s="1860">
        <v>4237.34292</v>
      </c>
      <c r="E1979" s="1860">
        <v>4947.8133699999998</v>
      </c>
      <c r="F1979">
        <v>31.216950000000001</v>
      </c>
      <c r="G1979" s="1861">
        <v>3950.35</v>
      </c>
      <c r="I1979">
        <v>0.77781</v>
      </c>
      <c r="J1979">
        <v>1.0421499999999999</v>
      </c>
      <c r="K1979">
        <v>1.0726500000000001</v>
      </c>
      <c r="L1979">
        <v>1.2524999999999999</v>
      </c>
      <c r="M1979">
        <v>7.9000000000000008E-3</v>
      </c>
      <c r="N1979">
        <v>1</v>
      </c>
      <c r="P1979">
        <v>1.28565</v>
      </c>
      <c r="Q1979">
        <v>0.95955000000000001</v>
      </c>
      <c r="R1979">
        <v>0.93227000000000004</v>
      </c>
      <c r="S1979">
        <v>0.7984</v>
      </c>
      <c r="T1979">
        <v>126.545</v>
      </c>
      <c r="U1979">
        <v>1</v>
      </c>
    </row>
    <row r="1980" spans="1:21" hidden="1" outlineLevel="1">
      <c r="A1980" s="8">
        <v>44706</v>
      </c>
      <c r="B1980" s="1860">
        <v>3094.5842699999998</v>
      </c>
      <c r="C1980" s="1860">
        <v>4125.5765600000004</v>
      </c>
      <c r="D1980" s="1860">
        <v>4241.1284699999997</v>
      </c>
      <c r="E1980" s="1860">
        <v>4982.16932</v>
      </c>
      <c r="F1980">
        <v>31.182749999999999</v>
      </c>
      <c r="G1980" s="1861">
        <v>3971.28</v>
      </c>
      <c r="I1980">
        <v>0.77924000000000004</v>
      </c>
      <c r="J1980">
        <v>1.0388500000000001</v>
      </c>
      <c r="K1980">
        <v>1.06795</v>
      </c>
      <c r="L1980">
        <v>1.2545500000000001</v>
      </c>
      <c r="M1980">
        <v>7.8499999999999993E-3</v>
      </c>
      <c r="N1980">
        <v>1</v>
      </c>
      <c r="P1980">
        <v>1.2833000000000001</v>
      </c>
      <c r="Q1980">
        <v>0.96260000000000001</v>
      </c>
      <c r="R1980">
        <v>0.93637000000000004</v>
      </c>
      <c r="S1980">
        <v>0.79708999999999997</v>
      </c>
      <c r="T1980">
        <v>127.355</v>
      </c>
      <c r="U1980">
        <v>1</v>
      </c>
    </row>
    <row r="1981" spans="1:21" hidden="1" outlineLevel="1">
      <c r="A1981" s="8">
        <v>44707</v>
      </c>
      <c r="B1981" s="1860">
        <v>3093.8537799999999</v>
      </c>
      <c r="C1981" s="1860">
        <v>4121.22</v>
      </c>
      <c r="D1981" s="1860">
        <v>4243.1118299999998</v>
      </c>
      <c r="E1981" s="1860">
        <v>4978.1094700000003</v>
      </c>
      <c r="F1981">
        <v>31.094049999999999</v>
      </c>
      <c r="G1981" s="1861">
        <v>3959.05</v>
      </c>
      <c r="I1981">
        <v>0.78146000000000004</v>
      </c>
      <c r="J1981">
        <v>1.0409600000000001</v>
      </c>
      <c r="K1981">
        <v>1.07175</v>
      </c>
      <c r="L1981">
        <v>1.2574000000000001</v>
      </c>
      <c r="M1981">
        <v>7.8499999999999993E-3</v>
      </c>
      <c r="N1981">
        <v>1</v>
      </c>
      <c r="P1981">
        <v>1.27965</v>
      </c>
      <c r="Q1981">
        <v>0.96065</v>
      </c>
      <c r="R1981">
        <v>0.93305000000000005</v>
      </c>
      <c r="S1981">
        <v>0.79529000000000005</v>
      </c>
      <c r="T1981">
        <v>127.325</v>
      </c>
      <c r="U1981">
        <v>1</v>
      </c>
    </row>
    <row r="1982" spans="1:21" hidden="1" outlineLevel="1">
      <c r="A1982" s="8">
        <v>44708</v>
      </c>
      <c r="B1982" s="1860">
        <v>3080.75551</v>
      </c>
      <c r="C1982" s="1860">
        <v>4107.9423100000004</v>
      </c>
      <c r="D1982" s="1860">
        <v>4209.9831899999999</v>
      </c>
      <c r="E1982" s="1860">
        <v>4958.6211899999998</v>
      </c>
      <c r="F1982">
        <v>30.92145</v>
      </c>
      <c r="G1982" s="1861">
        <v>3930.89</v>
      </c>
      <c r="I1982">
        <v>0.78371999999999997</v>
      </c>
      <c r="J1982">
        <v>1.04504</v>
      </c>
      <c r="K1982">
        <v>1.071</v>
      </c>
      <c r="L1982">
        <v>1.26145</v>
      </c>
      <c r="M1982">
        <v>7.8600000000000007E-3</v>
      </c>
      <c r="N1982">
        <v>1</v>
      </c>
      <c r="P1982">
        <v>1.2759499999999999</v>
      </c>
      <c r="Q1982">
        <v>0.95689999999999997</v>
      </c>
      <c r="R1982">
        <v>0.93369999999999997</v>
      </c>
      <c r="S1982">
        <v>0.79273000000000005</v>
      </c>
      <c r="T1982">
        <v>127.125</v>
      </c>
      <c r="U1982">
        <v>1</v>
      </c>
    </row>
    <row r="1983" spans="1:21" hidden="1" outlineLevel="1">
      <c r="A1983" s="8">
        <v>44709</v>
      </c>
      <c r="B1983" s="1860">
        <v>3066.2173200000002</v>
      </c>
      <c r="C1983" s="1860">
        <v>4088.5567900000001</v>
      </c>
      <c r="D1983" s="1860">
        <v>4190.1161400000001</v>
      </c>
      <c r="E1983" s="1860">
        <v>4935.2212900000004</v>
      </c>
      <c r="F1983">
        <v>30.77553</v>
      </c>
      <c r="G1983" s="1861">
        <v>3912.34</v>
      </c>
      <c r="I1983">
        <v>0.78371999999999997</v>
      </c>
      <c r="J1983">
        <v>1.04504</v>
      </c>
      <c r="K1983">
        <v>1.071</v>
      </c>
      <c r="L1983">
        <v>1.26145</v>
      </c>
      <c r="M1983">
        <v>7.8600000000000007E-3</v>
      </c>
      <c r="N1983">
        <v>1</v>
      </c>
      <c r="P1983">
        <v>1.2759499999999999</v>
      </c>
      <c r="Q1983">
        <v>0.95689999999999997</v>
      </c>
      <c r="R1983">
        <v>0.93369999999999997</v>
      </c>
      <c r="S1983">
        <v>0.79273000000000005</v>
      </c>
      <c r="T1983">
        <v>127.125</v>
      </c>
      <c r="U1983">
        <v>1</v>
      </c>
    </row>
    <row r="1984" spans="1:21" hidden="1" outlineLevel="1">
      <c r="A1984" s="8">
        <v>44710</v>
      </c>
      <c r="B1984" s="1860">
        <v>3066.2173200000002</v>
      </c>
      <c r="C1984" s="1860">
        <v>4088.5567900000001</v>
      </c>
      <c r="D1984" s="1860">
        <v>4190.1161400000001</v>
      </c>
      <c r="E1984" s="1860">
        <v>4935.2212900000004</v>
      </c>
      <c r="F1984">
        <v>30.77553</v>
      </c>
      <c r="G1984" s="1861">
        <v>3912.34</v>
      </c>
      <c r="I1984">
        <v>0.78371999999999997</v>
      </c>
      <c r="J1984">
        <v>1.04504</v>
      </c>
      <c r="K1984">
        <v>1.071</v>
      </c>
      <c r="L1984">
        <v>1.26145</v>
      </c>
      <c r="M1984">
        <v>7.8600000000000007E-3</v>
      </c>
      <c r="N1984">
        <v>1</v>
      </c>
      <c r="P1984">
        <v>1.2759499999999999</v>
      </c>
      <c r="Q1984">
        <v>0.95689999999999997</v>
      </c>
      <c r="R1984">
        <v>0.93369999999999997</v>
      </c>
      <c r="S1984">
        <v>0.79273000000000005</v>
      </c>
      <c r="T1984">
        <v>127.125</v>
      </c>
      <c r="U1984">
        <v>1</v>
      </c>
    </row>
    <row r="1985" spans="1:22" hidden="1" outlineLevel="1">
      <c r="A1985" s="8">
        <v>44711</v>
      </c>
      <c r="B1985" s="1860">
        <v>3066.2173200000002</v>
      </c>
      <c r="C1985" s="1860">
        <v>4088.5567900000001</v>
      </c>
      <c r="D1985" s="1860">
        <v>4190.1161400000001</v>
      </c>
      <c r="E1985" s="1860">
        <v>4935.2212900000004</v>
      </c>
      <c r="F1985">
        <v>30.77553</v>
      </c>
      <c r="G1985" s="1861">
        <v>3912.34</v>
      </c>
      <c r="I1985">
        <v>0.78371999999999997</v>
      </c>
      <c r="J1985">
        <v>1.04504</v>
      </c>
      <c r="K1985">
        <v>1.071</v>
      </c>
      <c r="L1985">
        <v>1.26145</v>
      </c>
      <c r="M1985">
        <v>7.8600000000000007E-3</v>
      </c>
      <c r="N1985">
        <v>1</v>
      </c>
      <c r="P1985">
        <v>1.2759499999999999</v>
      </c>
      <c r="Q1985">
        <v>0.95689999999999997</v>
      </c>
      <c r="R1985">
        <v>0.93369999999999997</v>
      </c>
      <c r="S1985">
        <v>0.79273000000000005</v>
      </c>
      <c r="T1985">
        <v>127.125</v>
      </c>
      <c r="U1985">
        <v>1</v>
      </c>
    </row>
    <row r="1986" spans="1:22" ht="15.75" hidden="1" outlineLevel="1" thickBot="1">
      <c r="A1986" s="1868">
        <v>44712</v>
      </c>
      <c r="B1986" s="1869">
        <v>3093.1256600000002</v>
      </c>
      <c r="C1986" s="1869">
        <v>4081.5189599999999</v>
      </c>
      <c r="D1986" s="1869">
        <v>4191.09422</v>
      </c>
      <c r="E1986" s="1869">
        <v>4930.7221</v>
      </c>
      <c r="F1986" s="1870">
        <v>30.411899999999999</v>
      </c>
      <c r="G1986" s="1871">
        <v>3912.34</v>
      </c>
      <c r="H1986" s="1872"/>
      <c r="I1986" s="1870">
        <v>0.79059999999999997</v>
      </c>
      <c r="J1986" s="1870">
        <v>1.0432399999999999</v>
      </c>
      <c r="K1986" s="1870">
        <v>1.07125</v>
      </c>
      <c r="L1986" s="1870">
        <v>1.2603</v>
      </c>
      <c r="M1986" s="1870">
        <v>7.77E-3</v>
      </c>
      <c r="N1986" s="1870">
        <v>1</v>
      </c>
      <c r="O1986" s="1872"/>
      <c r="P1986" s="1870">
        <v>1.26485</v>
      </c>
      <c r="Q1986" s="1870">
        <v>0.95855000000000001</v>
      </c>
      <c r="R1986" s="1870">
        <v>0.93347999999999998</v>
      </c>
      <c r="S1986" s="1870">
        <v>0.79346000000000005</v>
      </c>
      <c r="T1986" s="1870">
        <v>128.64500000000001</v>
      </c>
      <c r="U1986" s="1870">
        <v>1</v>
      </c>
      <c r="V1986" s="1872"/>
    </row>
    <row r="1987" spans="1:22" hidden="1" outlineLevel="1">
      <c r="A1987" s="8">
        <v>44713</v>
      </c>
      <c r="B1987" s="1860">
        <v>2986.0994700000001</v>
      </c>
      <c r="C1987" s="1860">
        <v>3919.1780800000001</v>
      </c>
      <c r="D1987" s="1860">
        <v>4028.6027100000001</v>
      </c>
      <c r="E1987" s="1860">
        <v>4719.3282099999997</v>
      </c>
      <c r="F1987">
        <v>29.063559999999999</v>
      </c>
      <c r="G1987" s="1861">
        <v>3776.52</v>
      </c>
      <c r="I1987">
        <v>0.79069999999999996</v>
      </c>
      <c r="J1987">
        <v>1.0377700000000001</v>
      </c>
      <c r="K1987">
        <v>1.0667500000000001</v>
      </c>
      <c r="L1987">
        <v>1.2496499999999999</v>
      </c>
      <c r="M1987">
        <v>7.6899999999999998E-3</v>
      </c>
      <c r="N1987">
        <v>1</v>
      </c>
      <c r="P1987">
        <v>1.2646999999999999</v>
      </c>
      <c r="Q1987">
        <v>0.96360000000000001</v>
      </c>
      <c r="R1987">
        <v>0.93742000000000003</v>
      </c>
      <c r="S1987">
        <v>0.80022000000000004</v>
      </c>
      <c r="T1987">
        <v>129.94</v>
      </c>
      <c r="U1987">
        <v>1</v>
      </c>
    </row>
    <row r="1988" spans="1:22" hidden="1" outlineLevel="1">
      <c r="A1988" s="8">
        <v>44714</v>
      </c>
      <c r="B1988" s="1860">
        <v>3008.83986</v>
      </c>
      <c r="C1988" s="1860">
        <v>3948.9064699999999</v>
      </c>
      <c r="D1988" s="1860">
        <v>4063.4181699999999</v>
      </c>
      <c r="E1988" s="1860">
        <v>4756.3586500000001</v>
      </c>
      <c r="F1988">
        <v>29.20204</v>
      </c>
      <c r="G1988" s="1861">
        <v>3791.74</v>
      </c>
      <c r="I1988">
        <v>0.79352</v>
      </c>
      <c r="J1988">
        <v>1.0414399999999999</v>
      </c>
      <c r="K1988">
        <v>1.07165</v>
      </c>
      <c r="L1988">
        <v>1.2544</v>
      </c>
      <c r="M1988">
        <v>7.7000000000000002E-3</v>
      </c>
      <c r="N1988">
        <v>1</v>
      </c>
      <c r="P1988">
        <v>1.2602</v>
      </c>
      <c r="Q1988">
        <v>0.96020000000000005</v>
      </c>
      <c r="R1988">
        <v>0.93313999999999997</v>
      </c>
      <c r="S1988">
        <v>0.79718999999999995</v>
      </c>
      <c r="T1988">
        <v>129.845</v>
      </c>
      <c r="U1988">
        <v>1</v>
      </c>
    </row>
    <row r="1989" spans="1:22" hidden="1" outlineLevel="1">
      <c r="A1989" s="8">
        <v>44715</v>
      </c>
      <c r="B1989" s="1860">
        <v>3007.65227</v>
      </c>
      <c r="C1989" s="1860">
        <v>3933.4684299999999</v>
      </c>
      <c r="D1989" s="1860">
        <v>4058.2555499999999</v>
      </c>
      <c r="E1989" s="1860">
        <v>4739.55195</v>
      </c>
      <c r="F1989">
        <v>28.953749999999999</v>
      </c>
      <c r="G1989" s="1861">
        <v>3784.98</v>
      </c>
      <c r="I1989">
        <v>0.79461999999999999</v>
      </c>
      <c r="J1989">
        <v>1.0392300000000001</v>
      </c>
      <c r="K1989">
        <v>1.0722</v>
      </c>
      <c r="L1989">
        <v>1.2522</v>
      </c>
      <c r="M1989">
        <v>7.6400000000000001E-3</v>
      </c>
      <c r="N1989">
        <v>1</v>
      </c>
      <c r="P1989">
        <v>1.2584500000000001</v>
      </c>
      <c r="Q1989">
        <v>0.96225000000000005</v>
      </c>
      <c r="R1989">
        <v>0.93266000000000004</v>
      </c>
      <c r="S1989">
        <v>0.79859000000000002</v>
      </c>
      <c r="T1989">
        <v>130.72499999999999</v>
      </c>
      <c r="U1989">
        <v>1</v>
      </c>
    </row>
    <row r="1990" spans="1:22" hidden="1" outlineLevel="1">
      <c r="A1990" s="8">
        <v>44716</v>
      </c>
      <c r="B1990" s="1860">
        <v>2997.0439799999999</v>
      </c>
      <c r="C1990" s="1860">
        <v>3919.5946899999999</v>
      </c>
      <c r="D1990" s="1860">
        <v>4043.9416799999999</v>
      </c>
      <c r="E1990" s="1860">
        <v>4722.8350799999998</v>
      </c>
      <c r="F1990">
        <v>28.85163</v>
      </c>
      <c r="G1990" s="1861">
        <v>3771.63</v>
      </c>
      <c r="I1990">
        <v>0.79461999999999999</v>
      </c>
      <c r="J1990">
        <v>1.0392300000000001</v>
      </c>
      <c r="K1990">
        <v>1.0722</v>
      </c>
      <c r="L1990">
        <v>1.2522</v>
      </c>
      <c r="M1990">
        <v>7.6400000000000001E-3</v>
      </c>
      <c r="N1990">
        <v>1</v>
      </c>
      <c r="P1990">
        <v>1.2584500000000001</v>
      </c>
      <c r="Q1990">
        <v>0.96225000000000005</v>
      </c>
      <c r="R1990">
        <v>0.93266000000000004</v>
      </c>
      <c r="S1990">
        <v>0.79859000000000002</v>
      </c>
      <c r="T1990">
        <v>130.72499999999999</v>
      </c>
      <c r="U1990">
        <v>1</v>
      </c>
    </row>
    <row r="1991" spans="1:22" hidden="1" outlineLevel="1">
      <c r="A1991" s="8">
        <v>44717</v>
      </c>
      <c r="B1991" s="1860">
        <v>2997.0439799999999</v>
      </c>
      <c r="C1991" s="1860">
        <v>3919.5946899999999</v>
      </c>
      <c r="D1991" s="1860">
        <v>4043.9416799999999</v>
      </c>
      <c r="E1991" s="1860">
        <v>4722.8350799999998</v>
      </c>
      <c r="F1991">
        <v>28.85163</v>
      </c>
      <c r="G1991" s="1861">
        <v>3771.63</v>
      </c>
      <c r="I1991">
        <v>0.79461999999999999</v>
      </c>
      <c r="J1991">
        <v>1.0392300000000001</v>
      </c>
      <c r="K1991">
        <v>1.0722</v>
      </c>
      <c r="L1991">
        <v>1.2522</v>
      </c>
      <c r="M1991">
        <v>7.6400000000000001E-3</v>
      </c>
      <c r="N1991">
        <v>1</v>
      </c>
      <c r="P1991">
        <v>1.2584500000000001</v>
      </c>
      <c r="Q1991">
        <v>0.96225000000000005</v>
      </c>
      <c r="R1991">
        <v>0.93266000000000004</v>
      </c>
      <c r="S1991">
        <v>0.79859000000000002</v>
      </c>
      <c r="T1991">
        <v>130.72499999999999</v>
      </c>
      <c r="U1991">
        <v>1</v>
      </c>
    </row>
    <row r="1992" spans="1:22" hidden="1" outlineLevel="1">
      <c r="A1992" s="8">
        <v>44718</v>
      </c>
      <c r="B1992" s="1860">
        <v>3006.0014299999998</v>
      </c>
      <c r="C1992" s="1860">
        <v>3904.1768000000002</v>
      </c>
      <c r="D1992" s="1860">
        <v>4043.3759399999999</v>
      </c>
      <c r="E1992" s="1860">
        <v>4736.0357899999999</v>
      </c>
      <c r="F1992">
        <v>28.71763</v>
      </c>
      <c r="G1992" s="1861">
        <v>3771.63</v>
      </c>
      <c r="I1992">
        <v>0.79700000000000004</v>
      </c>
      <c r="J1992">
        <v>1.0351399999999999</v>
      </c>
      <c r="K1992">
        <v>1.0720499999999999</v>
      </c>
      <c r="L1992">
        <v>1.2557</v>
      </c>
      <c r="M1992">
        <v>7.6099999999999996E-3</v>
      </c>
      <c r="N1992">
        <v>1</v>
      </c>
      <c r="P1992">
        <v>1.2546999999999999</v>
      </c>
      <c r="Q1992">
        <v>0.96604999999999996</v>
      </c>
      <c r="R1992">
        <v>0.93279000000000001</v>
      </c>
      <c r="S1992">
        <v>0.79635999999999996</v>
      </c>
      <c r="T1992">
        <v>131.33500000000001</v>
      </c>
      <c r="U1992">
        <v>1</v>
      </c>
    </row>
    <row r="1993" spans="1:22" hidden="1" outlineLevel="1">
      <c r="A1993" s="8">
        <v>44719</v>
      </c>
      <c r="B1993" s="1860">
        <v>3027.7312900000002</v>
      </c>
      <c r="C1993" s="1860">
        <v>3907.1417499999998</v>
      </c>
      <c r="D1993" s="1860">
        <v>4067.5547200000001</v>
      </c>
      <c r="E1993" s="1860">
        <v>4780.3409199999996</v>
      </c>
      <c r="F1993">
        <v>28.680879999999998</v>
      </c>
      <c r="G1993" s="1861">
        <v>3799.5</v>
      </c>
      <c r="I1993">
        <v>0.79686999999999997</v>
      </c>
      <c r="J1993">
        <v>1.02833</v>
      </c>
      <c r="K1993">
        <v>1.0705499999999999</v>
      </c>
      <c r="L1993">
        <v>1.2581500000000001</v>
      </c>
      <c r="M1993">
        <v>7.5399999999999998E-3</v>
      </c>
      <c r="N1993">
        <v>1</v>
      </c>
      <c r="P1993">
        <v>1.2548999999999999</v>
      </c>
      <c r="Q1993">
        <v>0.97245000000000004</v>
      </c>
      <c r="R1993">
        <v>0.93408999999999998</v>
      </c>
      <c r="S1993">
        <v>0.79481000000000002</v>
      </c>
      <c r="T1993">
        <v>132.47499999999999</v>
      </c>
      <c r="U1993">
        <v>1</v>
      </c>
    </row>
    <row r="1994" spans="1:22" hidden="1" outlineLevel="1">
      <c r="A1994" s="8">
        <v>44720</v>
      </c>
      <c r="B1994" s="1860">
        <v>3023.87428</v>
      </c>
      <c r="C1994" s="1860">
        <v>3891.4746100000002</v>
      </c>
      <c r="D1994" s="1860">
        <v>4068.1828700000001</v>
      </c>
      <c r="E1994" s="1860">
        <v>4758.1230299999997</v>
      </c>
      <c r="F1994">
        <v>28.325019999999999</v>
      </c>
      <c r="G1994" s="1861">
        <v>3790.88</v>
      </c>
      <c r="I1994">
        <v>0.79766999999999999</v>
      </c>
      <c r="J1994">
        <v>1.0265299999999999</v>
      </c>
      <c r="K1994">
        <v>1.07315</v>
      </c>
      <c r="L1994">
        <v>1.25515</v>
      </c>
      <c r="M1994">
        <v>7.4700000000000001E-3</v>
      </c>
      <c r="N1994">
        <v>1</v>
      </c>
      <c r="P1994">
        <v>1.2536499999999999</v>
      </c>
      <c r="Q1994">
        <v>0.97414999999999996</v>
      </c>
      <c r="R1994">
        <v>0.93183000000000005</v>
      </c>
      <c r="S1994">
        <v>0.79671000000000003</v>
      </c>
      <c r="T1994">
        <v>133.83500000000001</v>
      </c>
      <c r="U1994">
        <v>1</v>
      </c>
    </row>
    <row r="1995" spans="1:22" hidden="1" outlineLevel="1">
      <c r="A1995" s="8">
        <v>44721</v>
      </c>
      <c r="B1995" s="1860">
        <v>2994.14255</v>
      </c>
      <c r="C1995" s="1860">
        <v>3862.8031599999999</v>
      </c>
      <c r="D1995" s="1860">
        <v>4028.7113800000002</v>
      </c>
      <c r="E1995" s="1860">
        <v>4743.8213599999999</v>
      </c>
      <c r="F1995">
        <v>28.16882</v>
      </c>
      <c r="G1995" s="1861">
        <v>3782.65</v>
      </c>
      <c r="I1995">
        <v>0.79154000000000002</v>
      </c>
      <c r="J1995">
        <v>1.02118</v>
      </c>
      <c r="K1995">
        <v>1.0650500000000001</v>
      </c>
      <c r="L1995">
        <v>1.2541</v>
      </c>
      <c r="M1995">
        <v>7.4400000000000004E-3</v>
      </c>
      <c r="N1995">
        <v>1</v>
      </c>
      <c r="P1995">
        <v>1.26335</v>
      </c>
      <c r="Q1995">
        <v>0.97924999999999995</v>
      </c>
      <c r="R1995">
        <v>0.93891999999999998</v>
      </c>
      <c r="S1995">
        <v>0.79737999999999998</v>
      </c>
      <c r="T1995">
        <v>134.285</v>
      </c>
      <c r="U1995">
        <v>1</v>
      </c>
    </row>
    <row r="1996" spans="1:22" hidden="1" outlineLevel="1">
      <c r="A1996" s="8">
        <v>44722</v>
      </c>
      <c r="B1996" s="1860">
        <v>2996.31844</v>
      </c>
      <c r="C1996" s="1860">
        <v>3878.5248099999999</v>
      </c>
      <c r="D1996" s="1860">
        <v>4036.69868</v>
      </c>
      <c r="E1996" s="1860">
        <v>4731.1082200000001</v>
      </c>
      <c r="F1996">
        <v>28.556930000000001</v>
      </c>
      <c r="G1996" s="1861">
        <v>3833.34</v>
      </c>
      <c r="I1996">
        <v>0.78164</v>
      </c>
      <c r="J1996">
        <v>1.0117799999999999</v>
      </c>
      <c r="K1996">
        <v>1.05305</v>
      </c>
      <c r="L1996">
        <v>1.2342</v>
      </c>
      <c r="M1996">
        <v>7.4400000000000004E-3</v>
      </c>
      <c r="N1996">
        <v>1</v>
      </c>
      <c r="P1996">
        <v>1.27935</v>
      </c>
      <c r="Q1996">
        <v>0.98834999999999995</v>
      </c>
      <c r="R1996">
        <v>0.94962000000000002</v>
      </c>
      <c r="S1996">
        <v>0.81023999999999996</v>
      </c>
      <c r="T1996">
        <v>134.23500000000001</v>
      </c>
      <c r="U1996">
        <v>1</v>
      </c>
    </row>
    <row r="1997" spans="1:22" hidden="1" outlineLevel="1">
      <c r="A1997" s="8">
        <v>44723</v>
      </c>
      <c r="B1997" s="1860">
        <v>3058.2014300000001</v>
      </c>
      <c r="C1997" s="1860">
        <v>3958.6280099999999</v>
      </c>
      <c r="D1997" s="1860">
        <v>4120.0686500000002</v>
      </c>
      <c r="E1997" s="1860">
        <v>4828.8198400000001</v>
      </c>
      <c r="F1997">
        <v>29.146719999999998</v>
      </c>
      <c r="G1997" s="1861">
        <v>3912.51</v>
      </c>
      <c r="I1997">
        <v>0.78164</v>
      </c>
      <c r="J1997">
        <v>1.0117799999999999</v>
      </c>
      <c r="K1997">
        <v>1.05305</v>
      </c>
      <c r="L1997">
        <v>1.2342</v>
      </c>
      <c r="M1997">
        <v>7.4400000000000004E-3</v>
      </c>
      <c r="N1997">
        <v>1</v>
      </c>
      <c r="P1997">
        <v>1.27935</v>
      </c>
      <c r="Q1997">
        <v>0.98834999999999995</v>
      </c>
      <c r="R1997">
        <v>0.94962000000000002</v>
      </c>
      <c r="S1997">
        <v>0.81023999999999996</v>
      </c>
      <c r="T1997">
        <v>134.23500000000001</v>
      </c>
      <c r="U1997">
        <v>1</v>
      </c>
    </row>
    <row r="1998" spans="1:22" hidden="1" outlineLevel="1">
      <c r="A1998" s="8">
        <v>44724</v>
      </c>
      <c r="B1998" s="1860">
        <v>3058.2014300000001</v>
      </c>
      <c r="C1998" s="1860">
        <v>3958.6280099999999</v>
      </c>
      <c r="D1998" s="1860">
        <v>4120.0686500000002</v>
      </c>
      <c r="E1998" s="1860">
        <v>4828.8198400000001</v>
      </c>
      <c r="F1998">
        <v>29.146719999999998</v>
      </c>
      <c r="G1998" s="1861">
        <v>3912.51</v>
      </c>
      <c r="I1998">
        <v>0.78164</v>
      </c>
      <c r="J1998">
        <v>1.0117799999999999</v>
      </c>
      <c r="K1998">
        <v>1.05305</v>
      </c>
      <c r="L1998">
        <v>1.2342</v>
      </c>
      <c r="M1998">
        <v>7.4400000000000004E-3</v>
      </c>
      <c r="N1998">
        <v>1</v>
      </c>
      <c r="P1998">
        <v>1.27935</v>
      </c>
      <c r="Q1998">
        <v>0.98834999999999995</v>
      </c>
      <c r="R1998">
        <v>0.94962000000000002</v>
      </c>
      <c r="S1998">
        <v>0.81023999999999996</v>
      </c>
      <c r="T1998">
        <v>134.23500000000001</v>
      </c>
      <c r="U1998">
        <v>1</v>
      </c>
    </row>
    <row r="1999" spans="1:22" hidden="1" outlineLevel="1">
      <c r="A1999" s="8">
        <v>44725</v>
      </c>
      <c r="B1999" s="1860">
        <v>3039.9052000000001</v>
      </c>
      <c r="C1999" s="1860">
        <v>3924.0860499999999</v>
      </c>
      <c r="D1999" s="1860">
        <v>4077.8135400000001</v>
      </c>
      <c r="E1999" s="1860">
        <v>4746.85275</v>
      </c>
      <c r="F1999">
        <v>29.224</v>
      </c>
      <c r="G1999" s="1861">
        <v>3912.51</v>
      </c>
      <c r="I1999">
        <v>0.77697000000000005</v>
      </c>
      <c r="J1999">
        <v>1.00295</v>
      </c>
      <c r="K1999">
        <v>1.0422499999999999</v>
      </c>
      <c r="L1999">
        <v>1.2132499999999999</v>
      </c>
      <c r="M1999">
        <v>7.4599999999999996E-3</v>
      </c>
      <c r="N1999">
        <v>1</v>
      </c>
      <c r="P1999">
        <v>1.28705</v>
      </c>
      <c r="Q1999">
        <v>0.99704999999999999</v>
      </c>
      <c r="R1999">
        <v>0.95945999999999998</v>
      </c>
      <c r="S1999">
        <v>0.82423000000000002</v>
      </c>
      <c r="T1999">
        <v>133.88</v>
      </c>
      <c r="U1999">
        <v>1</v>
      </c>
    </row>
    <row r="2000" spans="1:22" hidden="1" outlineLevel="1">
      <c r="A2000" s="8">
        <v>44726</v>
      </c>
      <c r="B2000" s="1860">
        <v>3110.7927</v>
      </c>
      <c r="C2000" s="1860">
        <v>4015.2954100000002</v>
      </c>
      <c r="D2000" s="1860">
        <v>4181.3773199999996</v>
      </c>
      <c r="E2000" s="1860">
        <v>4821.6074200000003</v>
      </c>
      <c r="F2000">
        <v>29.834720000000001</v>
      </c>
      <c r="G2000" s="1861">
        <v>4016.5</v>
      </c>
      <c r="I2000">
        <v>0.77449999999999997</v>
      </c>
      <c r="J2000">
        <v>0.99970000000000003</v>
      </c>
      <c r="K2000">
        <v>1.04105</v>
      </c>
      <c r="L2000">
        <v>1.20045</v>
      </c>
      <c r="M2000">
        <v>7.4200000000000004E-3</v>
      </c>
      <c r="N2000">
        <v>1</v>
      </c>
      <c r="P2000">
        <v>1.29115</v>
      </c>
      <c r="Q2000">
        <v>1.0003</v>
      </c>
      <c r="R2000">
        <v>0.96055999999999997</v>
      </c>
      <c r="S2000">
        <v>0.83301999999999998</v>
      </c>
      <c r="T2000">
        <v>134.625</v>
      </c>
      <c r="U2000">
        <v>1</v>
      </c>
    </row>
    <row r="2001" spans="1:22" hidden="1" outlineLevel="1">
      <c r="A2001" s="8">
        <v>44727</v>
      </c>
      <c r="B2001" s="1860">
        <v>3075.0743699999998</v>
      </c>
      <c r="C2001" s="1860">
        <v>3975.5232500000002</v>
      </c>
      <c r="D2001" s="1860">
        <v>4142.6502600000003</v>
      </c>
      <c r="E2001" s="1860">
        <v>4801.8213100000003</v>
      </c>
      <c r="F2001">
        <v>29.569379999999999</v>
      </c>
      <c r="G2001" s="1861">
        <v>3979.3</v>
      </c>
      <c r="I2001">
        <v>0.77276</v>
      </c>
      <c r="J2001">
        <v>0.99904999999999999</v>
      </c>
      <c r="K2001">
        <v>1.04105</v>
      </c>
      <c r="L2001">
        <v>1.2067000000000001</v>
      </c>
      <c r="M2001">
        <v>7.43E-3</v>
      </c>
      <c r="N2001">
        <v>1</v>
      </c>
      <c r="P2001">
        <v>1.2940499999999999</v>
      </c>
      <c r="Q2001">
        <v>1.00095</v>
      </c>
      <c r="R2001">
        <v>0.96055999999999997</v>
      </c>
      <c r="S2001">
        <v>0.82869999999999999</v>
      </c>
      <c r="T2001">
        <v>134.57499999999999</v>
      </c>
      <c r="U2001">
        <v>1</v>
      </c>
    </row>
    <row r="2002" spans="1:22" hidden="1" outlineLevel="1">
      <c r="A2002" s="8">
        <v>44728</v>
      </c>
      <c r="B2002" s="1860">
        <v>3029.26622</v>
      </c>
      <c r="C2002" s="1860">
        <v>4047.82339</v>
      </c>
      <c r="D2002" s="1860">
        <v>4118.5884100000003</v>
      </c>
      <c r="E2002" s="1860">
        <v>4816.6608999999999</v>
      </c>
      <c r="F2002">
        <v>29.600269999999998</v>
      </c>
      <c r="G2002" s="1861">
        <v>3923.96</v>
      </c>
      <c r="I2002">
        <v>0.77198999999999995</v>
      </c>
      <c r="J2002">
        <v>1.03156</v>
      </c>
      <c r="K2002">
        <v>1.0496000000000001</v>
      </c>
      <c r="L2002">
        <v>1.2275</v>
      </c>
      <c r="M2002">
        <v>7.5399999999999998E-3</v>
      </c>
      <c r="N2002">
        <v>1</v>
      </c>
      <c r="P2002">
        <v>1.29535</v>
      </c>
      <c r="Q2002">
        <v>0.96940000000000004</v>
      </c>
      <c r="R2002">
        <v>0.95274000000000003</v>
      </c>
      <c r="S2002">
        <v>0.81466000000000005</v>
      </c>
      <c r="T2002">
        <v>132.565</v>
      </c>
      <c r="U2002">
        <v>1</v>
      </c>
    </row>
    <row r="2003" spans="1:22" hidden="1" outlineLevel="1">
      <c r="A2003" s="8">
        <v>44729</v>
      </c>
      <c r="B2003" s="1860">
        <v>2992.7707999999998</v>
      </c>
      <c r="C2003" s="1860">
        <v>4024.2246500000001</v>
      </c>
      <c r="D2003" s="1860">
        <v>4091.1308600000002</v>
      </c>
      <c r="E2003" s="1860">
        <v>4765.1943000000001</v>
      </c>
      <c r="F2003">
        <v>28.915700000000001</v>
      </c>
      <c r="G2003" s="1861">
        <v>3912.15</v>
      </c>
      <c r="I2003">
        <v>0.76498999999999995</v>
      </c>
      <c r="J2003">
        <v>1.02864</v>
      </c>
      <c r="K2003">
        <v>1.04575</v>
      </c>
      <c r="L2003">
        <v>1.2180500000000001</v>
      </c>
      <c r="M2003">
        <v>7.3899999999999999E-3</v>
      </c>
      <c r="N2003">
        <v>1</v>
      </c>
      <c r="P2003">
        <v>1.3071999999999999</v>
      </c>
      <c r="Q2003">
        <v>0.97214999999999996</v>
      </c>
      <c r="R2003">
        <v>0.95625000000000004</v>
      </c>
      <c r="S2003">
        <v>0.82098000000000004</v>
      </c>
      <c r="T2003">
        <v>135.29499999999999</v>
      </c>
      <c r="U2003">
        <v>1</v>
      </c>
    </row>
    <row r="2004" spans="1:22" hidden="1" outlineLevel="1">
      <c r="A2004" s="8">
        <v>44730</v>
      </c>
      <c r="B2004" s="1860">
        <v>2987.3393500000002</v>
      </c>
      <c r="C2004" s="1860">
        <v>4016.9212499999999</v>
      </c>
      <c r="D2004" s="1860">
        <v>4083.7060299999998</v>
      </c>
      <c r="E2004" s="1860">
        <v>4756.5461500000001</v>
      </c>
      <c r="F2004">
        <v>28.863219999999998</v>
      </c>
      <c r="G2004" s="1861">
        <v>3905.05</v>
      </c>
      <c r="I2004">
        <v>0.76498999999999995</v>
      </c>
      <c r="J2004">
        <v>1.02864</v>
      </c>
      <c r="K2004">
        <v>1.04575</v>
      </c>
      <c r="L2004">
        <v>1.2180500000000001</v>
      </c>
      <c r="M2004">
        <v>7.3899999999999999E-3</v>
      </c>
      <c r="N2004">
        <v>1</v>
      </c>
      <c r="P2004">
        <v>1.3071999999999999</v>
      </c>
      <c r="Q2004">
        <v>0.97214999999999996</v>
      </c>
      <c r="R2004">
        <v>0.95625000000000004</v>
      </c>
      <c r="S2004">
        <v>0.82098000000000004</v>
      </c>
      <c r="T2004">
        <v>135.29499999999999</v>
      </c>
      <c r="U2004">
        <v>1</v>
      </c>
    </row>
    <row r="2005" spans="1:22" hidden="1" outlineLevel="1">
      <c r="A2005" s="8">
        <v>44731</v>
      </c>
      <c r="B2005" s="1860">
        <v>2987.3393500000002</v>
      </c>
      <c r="C2005" s="1860">
        <v>4016.9212499999999</v>
      </c>
      <c r="D2005" s="1860">
        <v>4083.7060299999998</v>
      </c>
      <c r="E2005" s="1860">
        <v>4756.5461500000001</v>
      </c>
      <c r="F2005">
        <v>28.863219999999998</v>
      </c>
      <c r="G2005" s="1861">
        <v>3905.05</v>
      </c>
      <c r="I2005">
        <v>0.76498999999999995</v>
      </c>
      <c r="J2005">
        <v>1.02864</v>
      </c>
      <c r="K2005">
        <v>1.04575</v>
      </c>
      <c r="L2005">
        <v>1.2180500000000001</v>
      </c>
      <c r="M2005">
        <v>7.3899999999999999E-3</v>
      </c>
      <c r="N2005">
        <v>1</v>
      </c>
      <c r="P2005">
        <v>1.3071999999999999</v>
      </c>
      <c r="Q2005">
        <v>0.97214999999999996</v>
      </c>
      <c r="R2005">
        <v>0.95625000000000004</v>
      </c>
      <c r="S2005">
        <v>0.82098000000000004</v>
      </c>
      <c r="T2005">
        <v>135.29499999999999</v>
      </c>
      <c r="U2005">
        <v>1</v>
      </c>
    </row>
    <row r="2006" spans="1:22" hidden="1" outlineLevel="1">
      <c r="A2006" s="8">
        <v>44732</v>
      </c>
      <c r="B2006" s="1860">
        <v>3004.3468200000002</v>
      </c>
      <c r="C2006" s="1860">
        <v>4039.5675999999999</v>
      </c>
      <c r="D2006" s="1860">
        <v>4114.5559300000004</v>
      </c>
      <c r="E2006" s="1860">
        <v>4785.8340200000002</v>
      </c>
      <c r="F2006">
        <v>28.933789999999998</v>
      </c>
      <c r="G2006" s="1861">
        <v>3905.05</v>
      </c>
      <c r="I2006">
        <v>0.76934000000000002</v>
      </c>
      <c r="J2006">
        <v>1.03444</v>
      </c>
      <c r="K2006">
        <v>1.05365</v>
      </c>
      <c r="L2006">
        <v>1.2255499999999999</v>
      </c>
      <c r="M2006">
        <v>7.4000000000000003E-3</v>
      </c>
      <c r="N2006">
        <v>1</v>
      </c>
      <c r="P2006">
        <v>1.2998000000000001</v>
      </c>
      <c r="Q2006">
        <v>0.9667</v>
      </c>
      <c r="R2006">
        <v>0.94908000000000003</v>
      </c>
      <c r="S2006">
        <v>0.81596000000000002</v>
      </c>
      <c r="T2006">
        <v>134.965</v>
      </c>
      <c r="U2006">
        <v>1</v>
      </c>
    </row>
    <row r="2007" spans="1:22" hidden="1" outlineLevel="1">
      <c r="A2007" s="8">
        <v>44733</v>
      </c>
      <c r="B2007" s="1860">
        <v>3022.3675499999999</v>
      </c>
      <c r="C2007" s="1860">
        <v>4052.5632999999998</v>
      </c>
      <c r="D2007" s="1860">
        <v>4125.4900699999998</v>
      </c>
      <c r="E2007" s="1860">
        <v>4796.7681599999996</v>
      </c>
      <c r="F2007">
        <v>28.685120000000001</v>
      </c>
      <c r="G2007" s="1861">
        <v>3905.05</v>
      </c>
      <c r="I2007">
        <v>0.77395999999999998</v>
      </c>
      <c r="J2007">
        <v>1.0377700000000001</v>
      </c>
      <c r="K2007">
        <v>1.0564499999999999</v>
      </c>
      <c r="L2007">
        <v>1.2283500000000001</v>
      </c>
      <c r="M2007">
        <v>7.3400000000000002E-3</v>
      </c>
      <c r="N2007">
        <v>1</v>
      </c>
      <c r="P2007">
        <v>1.2920499999999999</v>
      </c>
      <c r="Q2007">
        <v>0.96360000000000001</v>
      </c>
      <c r="R2007">
        <v>0.94655999999999996</v>
      </c>
      <c r="S2007">
        <v>0.81410000000000005</v>
      </c>
      <c r="T2007">
        <v>136.13499999999999</v>
      </c>
      <c r="U2007">
        <v>1</v>
      </c>
    </row>
    <row r="2008" spans="1:22" hidden="1" outlineLevel="1">
      <c r="A2008" s="8">
        <v>44734</v>
      </c>
      <c r="B2008" s="1860">
        <v>3112.2343300000002</v>
      </c>
      <c r="C2008" s="1860">
        <v>4198.6445599999997</v>
      </c>
      <c r="D2008" s="1860">
        <v>4267.1257699999996</v>
      </c>
      <c r="E2008" s="1860">
        <v>4956.7358199999999</v>
      </c>
      <c r="F2008">
        <v>29.642389999999999</v>
      </c>
      <c r="G2008" s="1861">
        <v>4026.92</v>
      </c>
      <c r="I2008">
        <v>0.77285000000000004</v>
      </c>
      <c r="J2008">
        <v>1.04264</v>
      </c>
      <c r="K2008">
        <v>1.05965</v>
      </c>
      <c r="L2008">
        <v>1.2309000000000001</v>
      </c>
      <c r="M2008">
        <v>7.3600000000000002E-3</v>
      </c>
      <c r="N2008">
        <v>1</v>
      </c>
      <c r="P2008">
        <v>1.2939000000000001</v>
      </c>
      <c r="Q2008">
        <v>0.95909999999999995</v>
      </c>
      <c r="R2008">
        <v>0.94369999999999998</v>
      </c>
      <c r="S2008">
        <v>0.81240999999999997</v>
      </c>
      <c r="T2008">
        <v>135.85</v>
      </c>
      <c r="U2008">
        <v>1</v>
      </c>
    </row>
    <row r="2009" spans="1:22" hidden="1" outlineLevel="1">
      <c r="A2009" s="8">
        <v>44735</v>
      </c>
      <c r="B2009" s="1860">
        <v>3105.80431</v>
      </c>
      <c r="C2009" s="1860">
        <v>4203.0480100000004</v>
      </c>
      <c r="D2009" s="1860">
        <v>4239.3215799999998</v>
      </c>
      <c r="E2009" s="1860">
        <v>4941.9493199999997</v>
      </c>
      <c r="F2009">
        <v>29.944739999999999</v>
      </c>
      <c r="G2009" s="1861">
        <v>4026.52</v>
      </c>
      <c r="I2009">
        <v>0.77132999999999996</v>
      </c>
      <c r="J2009">
        <v>1.0438400000000001</v>
      </c>
      <c r="K2009">
        <v>1.0528500000000001</v>
      </c>
      <c r="L2009">
        <v>1.2273499999999999</v>
      </c>
      <c r="M2009">
        <v>7.43E-3</v>
      </c>
      <c r="N2009">
        <v>1</v>
      </c>
      <c r="P2009">
        <v>1.2964500000000001</v>
      </c>
      <c r="Q2009">
        <v>0.95799999999999996</v>
      </c>
      <c r="R2009">
        <v>0.94979999999999998</v>
      </c>
      <c r="S2009">
        <v>0.81476000000000004</v>
      </c>
      <c r="T2009">
        <v>134.465</v>
      </c>
      <c r="U2009">
        <v>1</v>
      </c>
    </row>
    <row r="2010" spans="1:22" hidden="1" outlineLevel="1">
      <c r="A2010" s="8">
        <v>44736</v>
      </c>
      <c r="B2010" s="1860">
        <v>3150.6504500000001</v>
      </c>
      <c r="C2010" s="1860">
        <v>4261.1404899999998</v>
      </c>
      <c r="D2010" s="1860">
        <v>4290.2934299999997</v>
      </c>
      <c r="E2010" s="1860">
        <v>5000.4937499999996</v>
      </c>
      <c r="F2010">
        <v>30.089849999999998</v>
      </c>
      <c r="G2010" s="1861">
        <v>4068.75</v>
      </c>
      <c r="I2010">
        <v>0.77434999999999998</v>
      </c>
      <c r="J2010">
        <v>1.04728</v>
      </c>
      <c r="K2010">
        <v>1.0544500000000001</v>
      </c>
      <c r="L2010">
        <v>1.2290000000000001</v>
      </c>
      <c r="M2010">
        <v>7.3899999999999999E-3</v>
      </c>
      <c r="N2010">
        <v>1</v>
      </c>
      <c r="P2010">
        <v>1.2914000000000001</v>
      </c>
      <c r="Q2010">
        <v>0.95484999999999998</v>
      </c>
      <c r="R2010">
        <v>0.94835999999999998</v>
      </c>
      <c r="S2010">
        <v>0.81366000000000005</v>
      </c>
      <c r="T2010">
        <v>135.22</v>
      </c>
      <c r="U2010">
        <v>1</v>
      </c>
    </row>
    <row r="2011" spans="1:22" hidden="1" outlineLevel="1">
      <c r="A2011" s="8">
        <v>44737</v>
      </c>
      <c r="B2011" s="1860">
        <v>3197.9789300000002</v>
      </c>
      <c r="C2011" s="1860">
        <v>4325.1505399999996</v>
      </c>
      <c r="D2011" s="1860">
        <v>4354.7414200000003</v>
      </c>
      <c r="E2011" s="1860">
        <v>5075.6102300000002</v>
      </c>
      <c r="F2011">
        <v>30.54185</v>
      </c>
      <c r="G2011" s="2174">
        <v>4129.87</v>
      </c>
      <c r="I2011">
        <v>0.77434999999999998</v>
      </c>
      <c r="J2011">
        <v>1.04728</v>
      </c>
      <c r="K2011">
        <v>1.0544500000000001</v>
      </c>
      <c r="L2011">
        <v>1.2290000000000001</v>
      </c>
      <c r="M2011">
        <v>7.3899999999999999E-3</v>
      </c>
      <c r="N2011">
        <v>1</v>
      </c>
      <c r="P2011">
        <v>1.2914000000000001</v>
      </c>
      <c r="Q2011">
        <v>0.95484999999999998</v>
      </c>
      <c r="R2011">
        <v>0.94835999999999998</v>
      </c>
      <c r="S2011">
        <v>0.81366000000000005</v>
      </c>
      <c r="T2011">
        <v>135.22</v>
      </c>
      <c r="U2011">
        <v>1</v>
      </c>
    </row>
    <row r="2012" spans="1:22" hidden="1" outlineLevel="1">
      <c r="A2012" s="8">
        <v>44738</v>
      </c>
      <c r="B2012" s="1860">
        <v>3197.9789300000002</v>
      </c>
      <c r="C2012" s="1860">
        <v>4325.1505399999996</v>
      </c>
      <c r="D2012" s="1860">
        <v>4354.7414200000003</v>
      </c>
      <c r="E2012" s="1860">
        <v>5075.6102300000002</v>
      </c>
      <c r="F2012">
        <v>30.54185</v>
      </c>
      <c r="G2012" s="1861">
        <v>4129.87</v>
      </c>
      <c r="I2012">
        <v>0.77434999999999998</v>
      </c>
      <c r="J2012">
        <v>1.04728</v>
      </c>
      <c r="K2012">
        <v>1.0544500000000001</v>
      </c>
      <c r="L2012">
        <v>1.2290000000000001</v>
      </c>
      <c r="M2012">
        <v>7.3899999999999999E-3</v>
      </c>
      <c r="N2012">
        <v>1</v>
      </c>
      <c r="P2012">
        <v>1.2914000000000001</v>
      </c>
      <c r="Q2012">
        <v>0.95484999999999998</v>
      </c>
      <c r="R2012">
        <v>0.94835999999999998</v>
      </c>
      <c r="S2012">
        <v>0.81366000000000005</v>
      </c>
      <c r="T2012">
        <v>135.22</v>
      </c>
      <c r="U2012">
        <v>1</v>
      </c>
    </row>
    <row r="2013" spans="1:22" hidden="1" outlineLevel="1">
      <c r="A2013" s="8">
        <v>44739</v>
      </c>
      <c r="B2013" s="1860">
        <v>3207.1678099999999</v>
      </c>
      <c r="C2013" s="1860">
        <v>4318.59249</v>
      </c>
      <c r="D2013" s="1860">
        <v>4376.6297299999997</v>
      </c>
      <c r="E2013" s="1860">
        <v>5080.9790599999997</v>
      </c>
      <c r="F2013">
        <v>30.547499999999999</v>
      </c>
      <c r="G2013" s="1861">
        <v>4129.87</v>
      </c>
      <c r="I2013">
        <v>0.77656999999999998</v>
      </c>
      <c r="J2013">
        <v>1.04569</v>
      </c>
      <c r="K2013">
        <v>1.05975</v>
      </c>
      <c r="L2013">
        <v>1.2302999999999999</v>
      </c>
      <c r="M2013">
        <v>7.3899999999999999E-3</v>
      </c>
      <c r="N2013">
        <v>1</v>
      </c>
      <c r="P2013">
        <v>1.2877000000000001</v>
      </c>
      <c r="Q2013">
        <v>0.95630000000000004</v>
      </c>
      <c r="R2013">
        <v>0.94360999999999995</v>
      </c>
      <c r="S2013">
        <v>0.81279999999999997</v>
      </c>
      <c r="T2013">
        <v>135.19499999999999</v>
      </c>
      <c r="U2013">
        <v>1</v>
      </c>
    </row>
    <row r="2014" spans="1:22" hidden="1" outlineLevel="1">
      <c r="A2014" s="8">
        <v>44740</v>
      </c>
      <c r="B2014" s="1860">
        <v>3206.4207999999999</v>
      </c>
      <c r="C2014" s="1860">
        <v>4311.6041100000002</v>
      </c>
      <c r="D2014" s="1860">
        <v>4342.3518100000001</v>
      </c>
      <c r="E2014" s="1860">
        <v>5038.0284099999999</v>
      </c>
      <c r="F2014">
        <v>30.30763</v>
      </c>
      <c r="G2014" s="1861">
        <v>4129.87</v>
      </c>
      <c r="I2014">
        <v>0.77639000000000002</v>
      </c>
      <c r="J2014">
        <v>1.044</v>
      </c>
      <c r="K2014">
        <v>1.05145</v>
      </c>
      <c r="L2014">
        <v>1.2199</v>
      </c>
      <c r="M2014">
        <v>7.3299999999999997E-3</v>
      </c>
      <c r="N2014">
        <v>1</v>
      </c>
      <c r="P2014">
        <v>1.288</v>
      </c>
      <c r="Q2014">
        <v>0.95784999999999998</v>
      </c>
      <c r="R2014">
        <v>0.95106000000000002</v>
      </c>
      <c r="S2014">
        <v>0.81972999999999996</v>
      </c>
      <c r="T2014">
        <v>136.26499999999999</v>
      </c>
      <c r="U2014">
        <v>1</v>
      </c>
    </row>
    <row r="2015" spans="1:22" hidden="1" outlineLevel="1">
      <c r="A2015" s="8">
        <v>44741</v>
      </c>
      <c r="B2015" s="1860">
        <v>3176.1115199999999</v>
      </c>
      <c r="C2015" s="1860">
        <v>4292.3173800000004</v>
      </c>
      <c r="D2015" s="1860">
        <v>4285.4130999999998</v>
      </c>
      <c r="E2015" s="1860">
        <v>4957.5585799999999</v>
      </c>
      <c r="F2015">
        <v>29.88796</v>
      </c>
      <c r="G2015" s="1861">
        <v>4089.72</v>
      </c>
      <c r="I2015">
        <v>0.77659999999999996</v>
      </c>
      <c r="J2015">
        <v>1.0495300000000001</v>
      </c>
      <c r="K2015">
        <v>1.0478499999999999</v>
      </c>
      <c r="L2015">
        <v>1.2121999999999999</v>
      </c>
      <c r="M2015">
        <v>7.3000000000000001E-3</v>
      </c>
      <c r="N2015">
        <v>1</v>
      </c>
      <c r="P2015">
        <v>1.28765</v>
      </c>
      <c r="Q2015">
        <v>0.95279999999999998</v>
      </c>
      <c r="R2015">
        <v>0.95433000000000001</v>
      </c>
      <c r="S2015">
        <v>0.82494000000000001</v>
      </c>
      <c r="T2015">
        <v>136.83500000000001</v>
      </c>
      <c r="U2015">
        <v>1</v>
      </c>
    </row>
    <row r="2016" spans="1:22" ht="15.75" hidden="1" outlineLevel="1" thickBot="1">
      <c r="A2016" s="1868">
        <v>44742</v>
      </c>
      <c r="B2016" s="1869">
        <v>3199.7131599999998</v>
      </c>
      <c r="C2016" s="1869">
        <v>4311.3490300000003</v>
      </c>
      <c r="D2016" s="1869">
        <v>4315.06351</v>
      </c>
      <c r="E2016" s="1869">
        <v>5012.6059400000004</v>
      </c>
      <c r="F2016" s="1870">
        <v>30.381430000000002</v>
      </c>
      <c r="G2016" s="1871">
        <v>4127.47</v>
      </c>
      <c r="H2016" s="1872"/>
      <c r="I2016" s="1870">
        <v>0.77522000000000002</v>
      </c>
      <c r="J2016" s="1870">
        <v>1.0445500000000001</v>
      </c>
      <c r="K2016" s="1870">
        <v>1.04545</v>
      </c>
      <c r="L2016" s="1870">
        <v>1.21445</v>
      </c>
      <c r="M2016" s="1870">
        <v>7.3600000000000002E-3</v>
      </c>
      <c r="N2016" s="1870">
        <v>1</v>
      </c>
      <c r="O2016" s="1872"/>
      <c r="P2016" s="1870">
        <v>1.2899499999999999</v>
      </c>
      <c r="Q2016" s="1870">
        <v>0.95735000000000003</v>
      </c>
      <c r="R2016" s="1870">
        <v>0.95652000000000004</v>
      </c>
      <c r="S2016" s="1870">
        <v>0.82340999999999998</v>
      </c>
      <c r="T2016" s="1870">
        <v>135.85499999999999</v>
      </c>
      <c r="U2016" s="1870">
        <v>1</v>
      </c>
      <c r="V2016" s="1872"/>
    </row>
    <row r="2017" spans="1:21" hidden="1" outlineLevel="1">
      <c r="A2017" s="8">
        <v>44743</v>
      </c>
      <c r="B2017" s="1860">
        <v>3212.38924</v>
      </c>
      <c r="C2017" s="1860">
        <v>4309.5873300000003</v>
      </c>
      <c r="D2017" s="1860">
        <v>4313.7298700000001</v>
      </c>
      <c r="E2017" s="1860">
        <v>4983.7351600000002</v>
      </c>
      <c r="F2017">
        <v>30.72353</v>
      </c>
      <c r="G2017" s="1861">
        <v>4151.21</v>
      </c>
      <c r="I2017">
        <v>0.77383999999999997</v>
      </c>
      <c r="J2017">
        <v>1.0381499999999999</v>
      </c>
      <c r="K2017">
        <v>1.03915</v>
      </c>
      <c r="L2017">
        <v>1.20055</v>
      </c>
      <c r="M2017">
        <v>7.4000000000000003E-3</v>
      </c>
      <c r="N2017">
        <v>1</v>
      </c>
      <c r="P2017">
        <v>1.2922499999999999</v>
      </c>
      <c r="Q2017">
        <v>0.96325000000000005</v>
      </c>
      <c r="R2017">
        <v>0.96231999999999995</v>
      </c>
      <c r="S2017">
        <v>0.83294999999999997</v>
      </c>
      <c r="T2017">
        <v>135.11500000000001</v>
      </c>
      <c r="U2017">
        <v>1</v>
      </c>
    </row>
    <row r="2018" spans="1:21" hidden="1" outlineLevel="1">
      <c r="A2018" s="8">
        <v>44744</v>
      </c>
      <c r="B2018" s="1860">
        <v>3249.19326</v>
      </c>
      <c r="C2018" s="1860">
        <v>4358.9618399999999</v>
      </c>
      <c r="D2018" s="1860">
        <v>4363.1518400000004</v>
      </c>
      <c r="E2018" s="1860">
        <v>5040.8333199999997</v>
      </c>
      <c r="F2018">
        <v>31.075520000000001</v>
      </c>
      <c r="G2018" s="1861">
        <v>4198.7700000000004</v>
      </c>
      <c r="I2018">
        <v>0.77383999999999997</v>
      </c>
      <c r="J2018">
        <v>1.0381499999999999</v>
      </c>
      <c r="K2018">
        <v>1.03915</v>
      </c>
      <c r="L2018">
        <v>1.20055</v>
      </c>
      <c r="M2018">
        <v>7.4000000000000003E-3</v>
      </c>
      <c r="N2018">
        <v>1</v>
      </c>
      <c r="P2018">
        <v>1.2922499999999999</v>
      </c>
      <c r="Q2018">
        <v>0.96325000000000005</v>
      </c>
      <c r="R2018">
        <v>0.96231999999999995</v>
      </c>
      <c r="S2018">
        <v>0.83294999999999997</v>
      </c>
      <c r="T2018">
        <v>135.11500000000001</v>
      </c>
      <c r="U2018">
        <v>1</v>
      </c>
    </row>
    <row r="2019" spans="1:21" hidden="1" outlineLevel="1">
      <c r="A2019" s="8">
        <v>44745</v>
      </c>
      <c r="B2019" s="1860">
        <v>3249.19326</v>
      </c>
      <c r="C2019" s="1860">
        <v>4358.9618399999999</v>
      </c>
      <c r="D2019" s="1860">
        <v>4363.1518400000004</v>
      </c>
      <c r="E2019" s="1860">
        <v>5040.8333199999997</v>
      </c>
      <c r="F2019">
        <v>31.075520000000001</v>
      </c>
      <c r="G2019" s="1861">
        <v>4198.7700000000004</v>
      </c>
      <c r="I2019">
        <v>0.77383999999999997</v>
      </c>
      <c r="J2019">
        <v>1.0381499999999999</v>
      </c>
      <c r="K2019">
        <v>1.03915</v>
      </c>
      <c r="L2019">
        <v>1.20055</v>
      </c>
      <c r="M2019">
        <v>7.4000000000000003E-3</v>
      </c>
      <c r="N2019">
        <v>1</v>
      </c>
      <c r="P2019">
        <v>1.2922499999999999</v>
      </c>
      <c r="Q2019">
        <v>0.96325000000000005</v>
      </c>
      <c r="R2019">
        <v>0.96231999999999995</v>
      </c>
      <c r="S2019">
        <v>0.83294999999999997</v>
      </c>
      <c r="T2019">
        <v>135.11500000000001</v>
      </c>
      <c r="U2019">
        <v>1</v>
      </c>
    </row>
    <row r="2020" spans="1:21" hidden="1" outlineLevel="1">
      <c r="A2020" s="8">
        <v>44746</v>
      </c>
      <c r="B2020" s="1860">
        <v>3258.64959</v>
      </c>
      <c r="C2020" s="1860">
        <v>4367.34969</v>
      </c>
      <c r="D2020" s="1860">
        <v>4376.7978400000002</v>
      </c>
      <c r="E2020" s="1860">
        <v>5087.22973</v>
      </c>
      <c r="F2020">
        <v>30.9313</v>
      </c>
      <c r="G2020" s="1861">
        <v>4198.7700000000004</v>
      </c>
      <c r="I2020">
        <v>0.77608999999999995</v>
      </c>
      <c r="J2020">
        <v>1.0401400000000001</v>
      </c>
      <c r="K2020">
        <v>1.0424</v>
      </c>
      <c r="L2020">
        <v>1.2116</v>
      </c>
      <c r="M2020">
        <v>7.3600000000000002E-3</v>
      </c>
      <c r="N2020">
        <v>1</v>
      </c>
      <c r="P2020">
        <v>1.2885</v>
      </c>
      <c r="Q2020">
        <v>0.96140000000000003</v>
      </c>
      <c r="R2020">
        <v>0.95931999999999995</v>
      </c>
      <c r="S2020">
        <v>0.82535000000000003</v>
      </c>
      <c r="T2020">
        <v>135.745</v>
      </c>
      <c r="U2020">
        <v>1</v>
      </c>
    </row>
    <row r="2021" spans="1:21" hidden="1" outlineLevel="1">
      <c r="A2021" s="8">
        <v>44747</v>
      </c>
      <c r="B2021" s="1860">
        <v>3218.31142</v>
      </c>
      <c r="C2021" s="1860">
        <v>4327.7365399999999</v>
      </c>
      <c r="D2021" s="1860">
        <v>4300.3802299999998</v>
      </c>
      <c r="E2021" s="1860">
        <v>5002.6245099999996</v>
      </c>
      <c r="F2021">
        <v>30.872170000000001</v>
      </c>
      <c r="G2021" s="1861">
        <v>4198.7700000000004</v>
      </c>
      <c r="I2021">
        <v>0.76648000000000005</v>
      </c>
      <c r="J2021">
        <v>1.03071</v>
      </c>
      <c r="K2021">
        <v>1.0242</v>
      </c>
      <c r="L2021">
        <v>1.1914499999999999</v>
      </c>
      <c r="M2021">
        <v>7.3499999999999998E-3</v>
      </c>
      <c r="N2021">
        <v>1</v>
      </c>
      <c r="P2021">
        <v>1.3046500000000001</v>
      </c>
      <c r="Q2021">
        <v>0.97019999999999995</v>
      </c>
      <c r="R2021">
        <v>0.97636999999999996</v>
      </c>
      <c r="S2021">
        <v>0.83931</v>
      </c>
      <c r="T2021">
        <v>136.005</v>
      </c>
      <c r="U2021">
        <v>1</v>
      </c>
    </row>
    <row r="2022" spans="1:21" hidden="1" outlineLevel="1">
      <c r="A2022" s="8">
        <v>44748</v>
      </c>
      <c r="B2022" s="1860">
        <v>3258.1437099999998</v>
      </c>
      <c r="C2022" s="1860">
        <v>4390.4766799999998</v>
      </c>
      <c r="D2022" s="1860">
        <v>4342.7142700000004</v>
      </c>
      <c r="E2022" s="1860">
        <v>5073.4932600000002</v>
      </c>
      <c r="F2022">
        <v>31.399840000000001</v>
      </c>
      <c r="G2022" s="1861">
        <v>4259.8599999999997</v>
      </c>
      <c r="I2022">
        <v>0.76483999999999996</v>
      </c>
      <c r="J2022">
        <v>1.0306599999999999</v>
      </c>
      <c r="K2022">
        <v>1.01945</v>
      </c>
      <c r="L2022">
        <v>1.1910000000000001</v>
      </c>
      <c r="M2022">
        <v>7.3699999999999998E-3</v>
      </c>
      <c r="N2022">
        <v>1</v>
      </c>
      <c r="P2022">
        <v>1.30745</v>
      </c>
      <c r="Q2022">
        <v>0.97024999999999995</v>
      </c>
      <c r="R2022">
        <v>0.98092000000000001</v>
      </c>
      <c r="S2022">
        <v>0.83962999999999999</v>
      </c>
      <c r="T2022">
        <v>135.66499999999999</v>
      </c>
      <c r="U2022">
        <v>1</v>
      </c>
    </row>
    <row r="2023" spans="1:21" hidden="1" outlineLevel="1">
      <c r="A2023" s="8">
        <v>44749</v>
      </c>
      <c r="B2023" s="1860">
        <v>3350.4218099999998</v>
      </c>
      <c r="C2023" s="1860">
        <v>4469.8118999999997</v>
      </c>
      <c r="D2023" s="1860">
        <v>4422.6075600000004</v>
      </c>
      <c r="E2023" s="1860">
        <v>5217.9811300000001</v>
      </c>
      <c r="F2023">
        <v>31.988520000000001</v>
      </c>
      <c r="G2023" s="1861">
        <v>4348.68</v>
      </c>
      <c r="I2023">
        <v>0.77044000000000001</v>
      </c>
      <c r="J2023">
        <v>1.0278499999999999</v>
      </c>
      <c r="K2023">
        <v>1.0169999999999999</v>
      </c>
      <c r="L2023">
        <v>1.1999</v>
      </c>
      <c r="M2023">
        <v>7.3499999999999998E-3</v>
      </c>
      <c r="N2023">
        <v>1</v>
      </c>
      <c r="P2023">
        <v>1.2979499999999999</v>
      </c>
      <c r="Q2023">
        <v>0.97289999999999999</v>
      </c>
      <c r="R2023">
        <v>0.98328000000000004</v>
      </c>
      <c r="S2023">
        <v>0.83340000000000003</v>
      </c>
      <c r="T2023">
        <v>135.94499999999999</v>
      </c>
      <c r="U2023">
        <v>1</v>
      </c>
    </row>
    <row r="2024" spans="1:21" hidden="1" outlineLevel="1">
      <c r="A2024" s="8">
        <v>44750</v>
      </c>
      <c r="B2024" s="1860">
        <v>3375.9802199999999</v>
      </c>
      <c r="C2024" s="1860">
        <v>4475.7758800000001</v>
      </c>
      <c r="D2024" s="1860">
        <v>4445.5142900000001</v>
      </c>
      <c r="E2024" s="1860">
        <v>5255.0012200000001</v>
      </c>
      <c r="F2024">
        <v>32.114789999999999</v>
      </c>
      <c r="G2024" s="1861">
        <v>4369.7</v>
      </c>
      <c r="I2024">
        <v>0.77258000000000004</v>
      </c>
      <c r="J2024">
        <v>1.02427</v>
      </c>
      <c r="K2024">
        <v>1.01735</v>
      </c>
      <c r="L2024">
        <v>1.2025999999999999</v>
      </c>
      <c r="M2024">
        <v>7.3400000000000002E-3</v>
      </c>
      <c r="N2024">
        <v>1</v>
      </c>
      <c r="P2024">
        <v>1.2943499999999999</v>
      </c>
      <c r="Q2024">
        <v>0.97629999999999995</v>
      </c>
      <c r="R2024">
        <v>0.98294000000000004</v>
      </c>
      <c r="S2024">
        <v>0.83152999999999999</v>
      </c>
      <c r="T2024">
        <v>136.065</v>
      </c>
      <c r="U2024">
        <v>1</v>
      </c>
    </row>
    <row r="2025" spans="1:21" hidden="1" outlineLevel="1">
      <c r="A2025" s="8">
        <v>44751</v>
      </c>
      <c r="B2025" s="1860">
        <v>3390.32719</v>
      </c>
      <c r="C2025" s="1860">
        <v>4494.7966800000004</v>
      </c>
      <c r="D2025" s="1860">
        <v>4464.4064799999996</v>
      </c>
      <c r="E2025" s="1860">
        <v>5277.3334999999997</v>
      </c>
      <c r="F2025">
        <v>32.251269999999998</v>
      </c>
      <c r="G2025" s="1861">
        <v>4388.2700000000004</v>
      </c>
      <c r="I2025">
        <v>0.77258000000000004</v>
      </c>
      <c r="J2025">
        <v>1.02427</v>
      </c>
      <c r="K2025">
        <v>1.01735</v>
      </c>
      <c r="L2025">
        <v>1.2025999999999999</v>
      </c>
      <c r="M2025">
        <v>7.3400000000000002E-3</v>
      </c>
      <c r="N2025">
        <v>1</v>
      </c>
      <c r="P2025">
        <v>1.2943499999999999</v>
      </c>
      <c r="Q2025">
        <v>0.97629999999999995</v>
      </c>
      <c r="R2025">
        <v>0.98294000000000004</v>
      </c>
      <c r="S2025">
        <v>0.83152999999999999</v>
      </c>
      <c r="T2025">
        <v>136.065</v>
      </c>
      <c r="U2025">
        <v>1</v>
      </c>
    </row>
    <row r="2026" spans="1:21" hidden="1" outlineLevel="1">
      <c r="A2026" s="8">
        <v>44752</v>
      </c>
      <c r="B2026" s="1860">
        <v>3390.32719</v>
      </c>
      <c r="C2026" s="1860">
        <v>4494.7966800000004</v>
      </c>
      <c r="D2026" s="1860">
        <v>4464.4064799999996</v>
      </c>
      <c r="E2026" s="1860">
        <v>5277.3334999999997</v>
      </c>
      <c r="F2026">
        <v>32.251269999999998</v>
      </c>
      <c r="G2026" s="1861">
        <v>4388.2700000000004</v>
      </c>
      <c r="I2026">
        <v>0.77258000000000004</v>
      </c>
      <c r="J2026">
        <v>1.02427</v>
      </c>
      <c r="K2026">
        <v>1.01735</v>
      </c>
      <c r="L2026">
        <v>1.2025999999999999</v>
      </c>
      <c r="M2026">
        <v>7.3400000000000002E-3</v>
      </c>
      <c r="N2026">
        <v>1</v>
      </c>
      <c r="P2026">
        <v>1.2943499999999999</v>
      </c>
      <c r="Q2026">
        <v>0.97629999999999995</v>
      </c>
      <c r="R2026">
        <v>0.98294000000000004</v>
      </c>
      <c r="S2026">
        <v>0.83152999999999999</v>
      </c>
      <c r="T2026">
        <v>136.065</v>
      </c>
      <c r="U2026">
        <v>1</v>
      </c>
    </row>
    <row r="2027" spans="1:21" hidden="1" outlineLevel="1">
      <c r="A2027" s="8">
        <v>44753</v>
      </c>
      <c r="B2027" s="1860">
        <v>3376.76118</v>
      </c>
      <c r="C2027" s="1860">
        <v>4478.7405500000004</v>
      </c>
      <c r="D2027" s="1860">
        <v>4424.9120499999999</v>
      </c>
      <c r="E2027" s="1860">
        <v>5215.4588899999999</v>
      </c>
      <c r="F2027">
        <v>31.92746</v>
      </c>
      <c r="G2027" s="1861">
        <v>4388.2700000000004</v>
      </c>
      <c r="I2027">
        <v>0.76949000000000001</v>
      </c>
      <c r="J2027">
        <v>1.02061</v>
      </c>
      <c r="K2027">
        <v>1.0083500000000001</v>
      </c>
      <c r="L2027">
        <v>1.1884999999999999</v>
      </c>
      <c r="M2027">
        <v>7.2700000000000004E-3</v>
      </c>
      <c r="N2027">
        <v>1</v>
      </c>
      <c r="P2027">
        <v>1.29955</v>
      </c>
      <c r="Q2027">
        <v>0.9798</v>
      </c>
      <c r="R2027">
        <v>0.99170999999999998</v>
      </c>
      <c r="S2027">
        <v>0.84138999999999997</v>
      </c>
      <c r="T2027">
        <v>137.44499999999999</v>
      </c>
      <c r="U2027">
        <v>1</v>
      </c>
    </row>
    <row r="2028" spans="1:21" hidden="1" outlineLevel="1">
      <c r="A2028" s="8">
        <v>44754</v>
      </c>
      <c r="B2028" s="1860">
        <v>3468.2855599999998</v>
      </c>
      <c r="C2028" s="1860">
        <v>4599.9898000000003</v>
      </c>
      <c r="D2028" s="1860">
        <v>4535.6207299999996</v>
      </c>
      <c r="E2028" s="1860">
        <v>5365.8385900000003</v>
      </c>
      <c r="F2028">
        <v>33.0244</v>
      </c>
      <c r="G2028" s="1861">
        <v>4513.28</v>
      </c>
      <c r="I2028">
        <v>0.76846000000000003</v>
      </c>
      <c r="J2028">
        <v>1.0192099999999999</v>
      </c>
      <c r="K2028">
        <v>1.00495</v>
      </c>
      <c r="L2028">
        <v>1.1889000000000001</v>
      </c>
      <c r="M2028">
        <v>7.3099999999999997E-3</v>
      </c>
      <c r="N2028">
        <v>1</v>
      </c>
      <c r="P2028">
        <v>1.3012999999999999</v>
      </c>
      <c r="Q2028">
        <v>0.98114999999999997</v>
      </c>
      <c r="R2028">
        <v>0.99507000000000001</v>
      </c>
      <c r="S2028">
        <v>0.84111000000000002</v>
      </c>
      <c r="T2028">
        <v>136.66499999999999</v>
      </c>
      <c r="U2028">
        <v>1</v>
      </c>
    </row>
    <row r="2029" spans="1:21" hidden="1" outlineLevel="1">
      <c r="A2029" s="8">
        <v>44755</v>
      </c>
      <c r="B2029" s="2152">
        <v>3570.1577699999998</v>
      </c>
      <c r="C2029" s="2152">
        <v>4736.1547499999997</v>
      </c>
      <c r="D2029" s="2152">
        <v>4678.1306800000002</v>
      </c>
      <c r="E2029" s="2152">
        <v>5529.1205799999998</v>
      </c>
      <c r="F2029">
        <v>33.731529999999999</v>
      </c>
      <c r="G2029" s="2152">
        <v>4627.46</v>
      </c>
      <c r="I2029">
        <v>0.77151000000000003</v>
      </c>
      <c r="J2029">
        <v>1.0234799999999999</v>
      </c>
      <c r="K2029">
        <v>1.01095</v>
      </c>
      <c r="L2029">
        <v>1.19485</v>
      </c>
      <c r="M2029">
        <v>7.28E-3</v>
      </c>
      <c r="N2029">
        <v>1</v>
      </c>
      <c r="P2029">
        <v>1.2961499999999999</v>
      </c>
      <c r="Q2029">
        <v>0.97704999999999997</v>
      </c>
      <c r="R2029">
        <v>0.98916000000000004</v>
      </c>
      <c r="S2029">
        <v>0.83692</v>
      </c>
      <c r="T2029">
        <v>137.185</v>
      </c>
      <c r="U2029">
        <v>1</v>
      </c>
    </row>
    <row r="2030" spans="1:21" hidden="1" outlineLevel="1">
      <c r="A2030" s="8">
        <v>44756</v>
      </c>
      <c r="B2030" s="1860">
        <v>3464.22192</v>
      </c>
      <c r="C2030" s="1860">
        <v>4625.3488200000002</v>
      </c>
      <c r="D2030" s="1860">
        <v>4556.4546799999998</v>
      </c>
      <c r="E2030" s="1860">
        <v>5371.2061199999998</v>
      </c>
      <c r="F2030">
        <v>32.742249999999999</v>
      </c>
      <c r="G2030" s="1861">
        <v>4558.05</v>
      </c>
      <c r="I2030">
        <v>0.76002000000000003</v>
      </c>
      <c r="J2030">
        <v>1.0147600000000001</v>
      </c>
      <c r="K2030">
        <v>0.99965000000000004</v>
      </c>
      <c r="L2030">
        <v>1.1783999999999999</v>
      </c>
      <c r="M2030">
        <v>7.1799999999999998E-3</v>
      </c>
      <c r="N2030">
        <v>1</v>
      </c>
      <c r="P2030">
        <v>1.31575</v>
      </c>
      <c r="Q2030">
        <v>0.98545000000000005</v>
      </c>
      <c r="R2030">
        <v>1.0003500000000001</v>
      </c>
      <c r="S2030">
        <v>0.84860000000000002</v>
      </c>
      <c r="T2030">
        <v>139.21</v>
      </c>
      <c r="U2030">
        <v>1</v>
      </c>
    </row>
    <row r="2031" spans="1:21" hidden="1" outlineLevel="1">
      <c r="A2031" s="8">
        <v>44757</v>
      </c>
      <c r="B2031" s="1860">
        <v>3470.5137</v>
      </c>
      <c r="C2031" s="1860">
        <v>4617.30602</v>
      </c>
      <c r="D2031" s="1860">
        <v>4555.5812100000003</v>
      </c>
      <c r="E2031" s="1860">
        <v>5356.0112300000001</v>
      </c>
      <c r="F2031">
        <v>32.612830000000002</v>
      </c>
      <c r="G2031" s="1861">
        <v>4519.6499999999996</v>
      </c>
      <c r="I2031">
        <v>0.76787000000000005</v>
      </c>
      <c r="J2031">
        <v>1.0216000000000001</v>
      </c>
      <c r="K2031">
        <v>1.0079499999999999</v>
      </c>
      <c r="L2031">
        <v>1.1850499999999999</v>
      </c>
      <c r="M2031">
        <v>7.2100000000000003E-3</v>
      </c>
      <c r="N2031">
        <v>1</v>
      </c>
      <c r="P2031">
        <v>1.3023</v>
      </c>
      <c r="Q2031">
        <v>0.97885</v>
      </c>
      <c r="R2031">
        <v>0.99211000000000005</v>
      </c>
      <c r="S2031">
        <v>0.84384000000000003</v>
      </c>
      <c r="T2031">
        <v>138.58500000000001</v>
      </c>
      <c r="U2031">
        <v>1</v>
      </c>
    </row>
    <row r="2032" spans="1:21" hidden="1" outlineLevel="1">
      <c r="A2032" s="8">
        <v>44758</v>
      </c>
      <c r="B2032" s="1860">
        <v>3375.2821899999999</v>
      </c>
      <c r="C2032" s="1860">
        <v>4490.6063199999999</v>
      </c>
      <c r="D2032" s="1860">
        <v>4430.5752499999999</v>
      </c>
      <c r="E2032" s="1860">
        <v>5209.04133</v>
      </c>
      <c r="F2032">
        <v>31.717929999999999</v>
      </c>
      <c r="G2032" s="1861">
        <v>4395.63</v>
      </c>
      <c r="I2032">
        <v>0.76787000000000005</v>
      </c>
      <c r="J2032">
        <v>1.0216000000000001</v>
      </c>
      <c r="K2032">
        <v>1.0079499999999999</v>
      </c>
      <c r="L2032">
        <v>1.1850499999999999</v>
      </c>
      <c r="M2032">
        <v>7.2100000000000003E-3</v>
      </c>
      <c r="N2032">
        <v>1</v>
      </c>
      <c r="P2032">
        <v>1.3023</v>
      </c>
      <c r="Q2032">
        <v>0.97885</v>
      </c>
      <c r="R2032">
        <v>0.99211000000000005</v>
      </c>
      <c r="S2032">
        <v>0.84384000000000003</v>
      </c>
      <c r="T2032">
        <v>138.58500000000001</v>
      </c>
      <c r="U2032">
        <v>1</v>
      </c>
    </row>
    <row r="2033" spans="1:21" hidden="1" outlineLevel="1">
      <c r="A2033" s="8">
        <v>44759</v>
      </c>
      <c r="B2033" s="1860">
        <v>3375.2821899999999</v>
      </c>
      <c r="C2033" s="1860">
        <v>4490.6063199999999</v>
      </c>
      <c r="D2033" s="1860">
        <v>4430.5752499999999</v>
      </c>
      <c r="E2033" s="1860">
        <v>5209.04133</v>
      </c>
      <c r="F2033">
        <v>31.717929999999999</v>
      </c>
      <c r="G2033" s="1861">
        <v>4395.63</v>
      </c>
      <c r="I2033">
        <v>0.76787000000000005</v>
      </c>
      <c r="J2033">
        <v>1.0216000000000001</v>
      </c>
      <c r="K2033">
        <v>1.0079499999999999</v>
      </c>
      <c r="L2033">
        <v>1.1850499999999999</v>
      </c>
      <c r="M2033">
        <v>7.2100000000000003E-3</v>
      </c>
      <c r="N2033">
        <v>1</v>
      </c>
      <c r="P2033">
        <v>1.3023</v>
      </c>
      <c r="Q2033">
        <v>0.97885</v>
      </c>
      <c r="R2033">
        <v>0.99211000000000005</v>
      </c>
      <c r="S2033">
        <v>0.84384000000000003</v>
      </c>
      <c r="T2033">
        <v>138.58500000000001</v>
      </c>
      <c r="U2033">
        <v>1</v>
      </c>
    </row>
    <row r="2034" spans="1:21" hidden="1" outlineLevel="1">
      <c r="A2034" s="8">
        <v>44760</v>
      </c>
      <c r="B2034" s="1860">
        <v>3406.8048800000001</v>
      </c>
      <c r="C2034" s="1860">
        <v>4513.6622600000001</v>
      </c>
      <c r="D2034" s="1860">
        <v>4481.5645599999998</v>
      </c>
      <c r="E2034" s="1860">
        <v>5285.7450699999999</v>
      </c>
      <c r="F2034">
        <v>31.846620000000001</v>
      </c>
      <c r="G2034" s="1861">
        <v>4395.63</v>
      </c>
      <c r="I2034">
        <v>0.77503999999999995</v>
      </c>
      <c r="J2034">
        <v>1.02685</v>
      </c>
      <c r="K2034">
        <v>1.01955</v>
      </c>
      <c r="L2034">
        <v>1.2024999999999999</v>
      </c>
      <c r="M2034">
        <v>7.2399999999999999E-3</v>
      </c>
      <c r="N2034">
        <v>1</v>
      </c>
      <c r="P2034">
        <v>1.2902499999999999</v>
      </c>
      <c r="Q2034">
        <v>0.97384999999999999</v>
      </c>
      <c r="R2034">
        <v>0.98082000000000003</v>
      </c>
      <c r="S2034">
        <v>0.83160000000000001</v>
      </c>
      <c r="T2034">
        <v>138.02500000000001</v>
      </c>
      <c r="U2034">
        <v>1</v>
      </c>
    </row>
    <row r="2035" spans="1:21" hidden="1" outlineLevel="1">
      <c r="A2035" s="8">
        <v>44761</v>
      </c>
      <c r="B2035" s="1860">
        <v>3347.48477</v>
      </c>
      <c r="C2035" s="1860">
        <v>4455.9966899999999</v>
      </c>
      <c r="D2035" s="1860">
        <v>4422.2163899999996</v>
      </c>
      <c r="E2035" s="1860">
        <v>5192.5170799999996</v>
      </c>
      <c r="F2035">
        <v>31.3017</v>
      </c>
      <c r="G2035" s="1861">
        <v>4315.41</v>
      </c>
      <c r="I2035">
        <v>0.77569999999999995</v>
      </c>
      <c r="J2035">
        <v>1.03257</v>
      </c>
      <c r="K2035">
        <v>1.02475</v>
      </c>
      <c r="L2035">
        <v>1.2032499999999999</v>
      </c>
      <c r="M2035">
        <v>7.2500000000000004E-3</v>
      </c>
      <c r="N2035">
        <v>1</v>
      </c>
      <c r="P2035">
        <v>1.28915</v>
      </c>
      <c r="Q2035">
        <v>0.96845000000000003</v>
      </c>
      <c r="R2035">
        <v>0.97584000000000004</v>
      </c>
      <c r="S2035">
        <v>0.83108000000000004</v>
      </c>
      <c r="T2035">
        <v>137.86500000000001</v>
      </c>
      <c r="U2035">
        <v>1</v>
      </c>
    </row>
    <row r="2036" spans="1:21" hidden="1" outlineLevel="1">
      <c r="A2036" s="8">
        <v>44762</v>
      </c>
      <c r="B2036" s="1860">
        <v>3343.56862</v>
      </c>
      <c r="C2036" s="1860">
        <v>4434.6042799999996</v>
      </c>
      <c r="D2036" s="1860">
        <v>4394.7859699999999</v>
      </c>
      <c r="E2036" s="1860">
        <v>5162.5018300000002</v>
      </c>
      <c r="F2036">
        <v>31.16442</v>
      </c>
      <c r="G2036" s="1861">
        <v>4303.34</v>
      </c>
      <c r="I2036">
        <v>0.77697000000000005</v>
      </c>
      <c r="J2036">
        <v>1.0305</v>
      </c>
      <c r="K2036">
        <v>1.02125</v>
      </c>
      <c r="L2036">
        <v>1.1996500000000001</v>
      </c>
      <c r="M2036">
        <v>7.2399999999999999E-3</v>
      </c>
      <c r="N2036">
        <v>1</v>
      </c>
      <c r="P2036">
        <v>1.28705</v>
      </c>
      <c r="Q2036">
        <v>0.97040000000000004</v>
      </c>
      <c r="R2036">
        <v>0.97919</v>
      </c>
      <c r="S2036">
        <v>0.83357000000000003</v>
      </c>
      <c r="T2036">
        <v>138.08500000000001</v>
      </c>
      <c r="U2036">
        <v>1</v>
      </c>
    </row>
    <row r="2037" spans="1:21" hidden="1" outlineLevel="1">
      <c r="A2037" s="8">
        <v>44763</v>
      </c>
      <c r="B2037" s="1860">
        <v>3338.6399700000002</v>
      </c>
      <c r="C2037" s="1860">
        <v>4438.7209899999998</v>
      </c>
      <c r="D2037" s="1860">
        <v>4385.9641199999996</v>
      </c>
      <c r="E2037" s="1860">
        <v>5142.0609599999998</v>
      </c>
      <c r="F2037">
        <v>31.220949999999998</v>
      </c>
      <c r="G2037" s="1861">
        <v>4303.34</v>
      </c>
      <c r="I2037">
        <v>0.77581999999999995</v>
      </c>
      <c r="J2037">
        <v>1.03145</v>
      </c>
      <c r="K2037">
        <v>1.0192000000000001</v>
      </c>
      <c r="L2037">
        <v>1.1949000000000001</v>
      </c>
      <c r="M2037">
        <v>7.2500000000000004E-3</v>
      </c>
      <c r="N2037">
        <v>1</v>
      </c>
      <c r="P2037">
        <v>1.28895</v>
      </c>
      <c r="Q2037">
        <v>0.96950000000000003</v>
      </c>
      <c r="R2037">
        <v>0.98116000000000003</v>
      </c>
      <c r="S2037">
        <v>0.83689000000000002</v>
      </c>
      <c r="T2037">
        <v>137.83500000000001</v>
      </c>
      <c r="U2037">
        <v>1</v>
      </c>
    </row>
    <row r="2038" spans="1:21" hidden="1" outlineLevel="1">
      <c r="A2038" s="8">
        <v>44764</v>
      </c>
      <c r="B2038" s="1860">
        <v>3435.6249699999998</v>
      </c>
      <c r="C2038" s="1860">
        <v>4589.8319099999999</v>
      </c>
      <c r="D2038" s="1860">
        <v>4511.7937199999997</v>
      </c>
      <c r="E2038" s="1860">
        <v>5310.4700800000001</v>
      </c>
      <c r="F2038">
        <v>32.41677</v>
      </c>
      <c r="G2038" s="1861">
        <v>4410.1400000000003</v>
      </c>
      <c r="I2038">
        <v>0.77902000000000005</v>
      </c>
      <c r="J2038">
        <v>1.04074</v>
      </c>
      <c r="K2038">
        <v>1.02305</v>
      </c>
      <c r="L2038">
        <v>1.2041500000000001</v>
      </c>
      <c r="M2038">
        <v>7.3499999999999998E-3</v>
      </c>
      <c r="N2038">
        <v>1</v>
      </c>
      <c r="P2038">
        <v>1.28365</v>
      </c>
      <c r="Q2038">
        <v>0.96084999999999998</v>
      </c>
      <c r="R2038">
        <v>0.97746</v>
      </c>
      <c r="S2038">
        <v>0.83045999999999998</v>
      </c>
      <c r="T2038">
        <v>136.04499999999999</v>
      </c>
      <c r="U2038">
        <v>1</v>
      </c>
    </row>
    <row r="2039" spans="1:21" hidden="1" outlineLevel="1">
      <c r="A2039" s="8">
        <v>44765</v>
      </c>
      <c r="B2039" s="1860">
        <v>3446.31324</v>
      </c>
      <c r="C2039" s="1860">
        <v>4604.1109399999996</v>
      </c>
      <c r="D2039" s="1860">
        <v>4525.8299699999998</v>
      </c>
      <c r="E2039" s="1860">
        <v>5326.9910099999997</v>
      </c>
      <c r="F2039">
        <v>32.517620000000001</v>
      </c>
      <c r="G2039" s="1861">
        <v>4423.8599999999997</v>
      </c>
      <c r="I2039">
        <v>0.77902000000000005</v>
      </c>
      <c r="J2039">
        <v>1.04074</v>
      </c>
      <c r="K2039">
        <v>1.02305</v>
      </c>
      <c r="L2039">
        <v>1.2041500000000001</v>
      </c>
      <c r="M2039">
        <v>7.3499999999999998E-3</v>
      </c>
      <c r="N2039">
        <v>1</v>
      </c>
      <c r="P2039">
        <v>1.28365</v>
      </c>
      <c r="Q2039">
        <v>0.96084999999999998</v>
      </c>
      <c r="R2039">
        <v>0.97746</v>
      </c>
      <c r="S2039">
        <v>0.83045999999999998</v>
      </c>
      <c r="T2039">
        <v>136.04499999999999</v>
      </c>
      <c r="U2039">
        <v>1</v>
      </c>
    </row>
    <row r="2040" spans="1:21" hidden="1" outlineLevel="1">
      <c r="A2040" s="8">
        <v>44766</v>
      </c>
      <c r="B2040" s="1860">
        <v>3446.31324</v>
      </c>
      <c r="C2040" s="1860">
        <v>4604.1109399999996</v>
      </c>
      <c r="D2040" s="1860">
        <v>4525.8299699999998</v>
      </c>
      <c r="E2040" s="1860">
        <v>5326.9910099999997</v>
      </c>
      <c r="F2040">
        <v>32.517620000000001</v>
      </c>
      <c r="G2040" s="1861">
        <v>4423.8599999999997</v>
      </c>
      <c r="I2040">
        <v>0.77902000000000005</v>
      </c>
      <c r="J2040">
        <v>1.04074</v>
      </c>
      <c r="K2040">
        <v>1.02305</v>
      </c>
      <c r="L2040">
        <v>1.2041500000000001</v>
      </c>
      <c r="M2040">
        <v>7.3499999999999998E-3</v>
      </c>
      <c r="N2040">
        <v>1</v>
      </c>
      <c r="P2040">
        <v>1.28365</v>
      </c>
      <c r="Q2040">
        <v>0.96084999999999998</v>
      </c>
      <c r="R2040">
        <v>0.97746</v>
      </c>
      <c r="S2040">
        <v>0.83045999999999998</v>
      </c>
      <c r="T2040">
        <v>136.04499999999999</v>
      </c>
      <c r="U2040">
        <v>1</v>
      </c>
    </row>
    <row r="2041" spans="1:21" hidden="1" outlineLevel="1">
      <c r="A2041" s="8">
        <v>44767</v>
      </c>
      <c r="B2041" s="1860">
        <v>3439.8818000000001</v>
      </c>
      <c r="C2041" s="1860">
        <v>4585.0235700000003</v>
      </c>
      <c r="D2041" s="1860">
        <v>4520.0789500000001</v>
      </c>
      <c r="E2041" s="1860">
        <v>5328.5393700000004</v>
      </c>
      <c r="F2041">
        <v>32.357080000000003</v>
      </c>
      <c r="G2041" s="1861">
        <v>4423.8599999999997</v>
      </c>
      <c r="I2041">
        <v>0.77756999999999998</v>
      </c>
      <c r="J2041">
        <v>1.03643</v>
      </c>
      <c r="K2041">
        <v>1.0217499999999999</v>
      </c>
      <c r="L2041">
        <v>1.2044999999999999</v>
      </c>
      <c r="M2041">
        <v>7.3099999999999997E-3</v>
      </c>
      <c r="N2041">
        <v>1</v>
      </c>
      <c r="P2041">
        <v>1.2860499999999999</v>
      </c>
      <c r="Q2041">
        <v>0.96484999999999999</v>
      </c>
      <c r="R2041">
        <v>0.97870999999999997</v>
      </c>
      <c r="S2041">
        <v>0.83021999999999996</v>
      </c>
      <c r="T2041">
        <v>136.72</v>
      </c>
      <c r="U2041">
        <v>1</v>
      </c>
    </row>
    <row r="2042" spans="1:21" hidden="1" outlineLevel="1">
      <c r="A2042" s="8">
        <v>44768</v>
      </c>
      <c r="B2042" s="1860">
        <v>3465.4782700000001</v>
      </c>
      <c r="C2042" s="1860">
        <v>4636.6640600000001</v>
      </c>
      <c r="D2042" s="1860">
        <v>4521.1927599999999</v>
      </c>
      <c r="E2042" s="1860">
        <v>5374.9256599999999</v>
      </c>
      <c r="F2042">
        <v>32.665590000000002</v>
      </c>
      <c r="G2042" s="1861">
        <v>4461.63</v>
      </c>
      <c r="I2042">
        <v>0.77671999999999997</v>
      </c>
      <c r="J2042">
        <v>1.0392300000000001</v>
      </c>
      <c r="K2042">
        <v>1.01335</v>
      </c>
      <c r="L2042">
        <v>1.2047000000000001</v>
      </c>
      <c r="M2042">
        <v>7.3200000000000001E-3</v>
      </c>
      <c r="N2042">
        <v>1</v>
      </c>
      <c r="P2042">
        <v>1.28745</v>
      </c>
      <c r="Q2042">
        <v>0.96225000000000005</v>
      </c>
      <c r="R2042">
        <v>0.98682000000000003</v>
      </c>
      <c r="S2042">
        <v>0.83008000000000004</v>
      </c>
      <c r="T2042">
        <v>136.58500000000001</v>
      </c>
      <c r="U2042">
        <v>1</v>
      </c>
    </row>
    <row r="2043" spans="1:21" hidden="1" outlineLevel="1">
      <c r="A2043" s="8">
        <v>44769</v>
      </c>
      <c r="B2043" s="1860">
        <v>3446.9466000000002</v>
      </c>
      <c r="C2043" s="1860">
        <v>4609.3327099999997</v>
      </c>
      <c r="D2043" s="1860">
        <v>4498.5723699999999</v>
      </c>
      <c r="E2043" s="1860">
        <v>5347.7915300000004</v>
      </c>
      <c r="F2043">
        <v>32.380330000000001</v>
      </c>
      <c r="G2043" s="1861">
        <v>4445.01</v>
      </c>
      <c r="I2043">
        <v>0.77546000000000004</v>
      </c>
      <c r="J2043">
        <v>1.0369600000000001</v>
      </c>
      <c r="K2043">
        <v>1.0120499999999999</v>
      </c>
      <c r="L2043">
        <v>1.2031000000000001</v>
      </c>
      <c r="M2043">
        <v>7.28E-3</v>
      </c>
      <c r="N2043">
        <v>1</v>
      </c>
      <c r="P2043">
        <v>1.28955</v>
      </c>
      <c r="Q2043">
        <v>0.96435000000000004</v>
      </c>
      <c r="R2043">
        <v>0.98809000000000002</v>
      </c>
      <c r="S2043">
        <v>0.83118000000000003</v>
      </c>
      <c r="T2043">
        <v>137.27500000000001</v>
      </c>
      <c r="U2043">
        <v>1</v>
      </c>
    </row>
    <row r="2044" spans="1:21" hidden="1" outlineLevel="1">
      <c r="A2044" s="8">
        <v>44770</v>
      </c>
      <c r="B2044" s="1860">
        <v>3439.0680299999999</v>
      </c>
      <c r="C2044" s="1860">
        <v>4622.5231299999996</v>
      </c>
      <c r="D2044" s="1860">
        <v>4489.4926599999999</v>
      </c>
      <c r="E2044" s="1860">
        <v>5362.3697499999998</v>
      </c>
      <c r="F2044">
        <v>32.857030000000002</v>
      </c>
      <c r="G2044" s="1861">
        <v>4420.75</v>
      </c>
      <c r="I2044">
        <v>0.77793000000000001</v>
      </c>
      <c r="J2044">
        <v>1.0456399999999999</v>
      </c>
      <c r="K2044">
        <v>1.01555</v>
      </c>
      <c r="L2044">
        <v>1.2130000000000001</v>
      </c>
      <c r="M2044">
        <v>7.43E-3</v>
      </c>
      <c r="N2044">
        <v>1</v>
      </c>
      <c r="P2044">
        <v>1.28545</v>
      </c>
      <c r="Q2044">
        <v>0.95635000000000003</v>
      </c>
      <c r="R2044">
        <v>0.98468</v>
      </c>
      <c r="S2044">
        <v>0.82440000000000002</v>
      </c>
      <c r="T2044">
        <v>134.54499999999999</v>
      </c>
      <c r="U2044">
        <v>1</v>
      </c>
    </row>
    <row r="2045" spans="1:21" hidden="1" outlineLevel="1">
      <c r="A2045" s="8">
        <v>44771</v>
      </c>
      <c r="B2045" s="1860">
        <v>3414.7656699999998</v>
      </c>
      <c r="C2045" s="1860">
        <v>4594.1936100000003</v>
      </c>
      <c r="D2045" s="1860">
        <v>4461.4887699999999</v>
      </c>
      <c r="E2045" s="1860">
        <v>5324.5581099999999</v>
      </c>
      <c r="F2045">
        <v>32.738570000000003</v>
      </c>
      <c r="G2045" s="1861">
        <v>4375.51</v>
      </c>
      <c r="I2045">
        <v>0.78042</v>
      </c>
      <c r="J2045">
        <v>1.0499700000000001</v>
      </c>
      <c r="K2045">
        <v>1.0196499999999999</v>
      </c>
      <c r="L2045">
        <v>1.2169000000000001</v>
      </c>
      <c r="M2045">
        <v>7.4799999999999997E-3</v>
      </c>
      <c r="N2045">
        <v>1</v>
      </c>
      <c r="P2045">
        <v>1.28135</v>
      </c>
      <c r="Q2045">
        <v>0.95240000000000002</v>
      </c>
      <c r="R2045">
        <v>0.98072000000000004</v>
      </c>
      <c r="S2045">
        <v>0.82176000000000005</v>
      </c>
      <c r="T2045">
        <v>133.65</v>
      </c>
      <c r="U2045">
        <v>1</v>
      </c>
    </row>
    <row r="2046" spans="1:21" hidden="1" outlineLevel="1">
      <c r="A2046" s="8">
        <v>44772</v>
      </c>
      <c r="B2046" s="1860">
        <v>3356.0697700000001</v>
      </c>
      <c r="C2046" s="1860">
        <v>4515.22469</v>
      </c>
      <c r="D2046" s="1860">
        <v>4384.8008900000004</v>
      </c>
      <c r="E2046" s="1860">
        <v>5233.0350699999999</v>
      </c>
      <c r="F2046">
        <v>32.175829999999998</v>
      </c>
      <c r="G2046" s="1861">
        <v>4300.3</v>
      </c>
      <c r="I2046">
        <v>0.78042</v>
      </c>
      <c r="J2046">
        <v>1.0499700000000001</v>
      </c>
      <c r="K2046">
        <v>1.0196499999999999</v>
      </c>
      <c r="L2046">
        <v>1.2169000000000001</v>
      </c>
      <c r="M2046">
        <v>7.4799999999999997E-3</v>
      </c>
      <c r="N2046">
        <v>1</v>
      </c>
      <c r="P2046">
        <v>1.28135</v>
      </c>
      <c r="Q2046">
        <v>0.95240000000000002</v>
      </c>
      <c r="R2046">
        <v>0.98072000000000004</v>
      </c>
      <c r="S2046">
        <v>0.82176000000000005</v>
      </c>
      <c r="T2046">
        <v>133.65</v>
      </c>
      <c r="U2046">
        <v>1</v>
      </c>
    </row>
    <row r="2047" spans="1:21" ht="15.75" hidden="1" outlineLevel="1" thickBot="1">
      <c r="A2047" s="1868">
        <v>44773</v>
      </c>
      <c r="B2047" s="1869">
        <v>3356.0697700000001</v>
      </c>
      <c r="C2047" s="1869">
        <v>4515.22469</v>
      </c>
      <c r="D2047" s="1869">
        <v>4384.8008900000004</v>
      </c>
      <c r="E2047" s="1869">
        <v>5233.0350699999999</v>
      </c>
      <c r="F2047" s="1870">
        <v>32.175829999999998</v>
      </c>
      <c r="G2047" s="1871">
        <v>4300.3</v>
      </c>
      <c r="H2047" s="1872"/>
      <c r="I2047" s="1870">
        <v>0.78042</v>
      </c>
      <c r="J2047" s="1870">
        <v>1.0499700000000001</v>
      </c>
      <c r="K2047" s="1870">
        <v>1.0196499999999999</v>
      </c>
      <c r="L2047" s="1870">
        <v>1.2169000000000001</v>
      </c>
      <c r="M2047" s="1870">
        <v>7.4799999999999997E-3</v>
      </c>
      <c r="N2047" s="1870">
        <v>1</v>
      </c>
      <c r="O2047" s="1872"/>
      <c r="P2047" s="1870">
        <v>1.28135</v>
      </c>
      <c r="Q2047" s="1870">
        <v>0.95240000000000002</v>
      </c>
      <c r="R2047" s="1870">
        <v>0.98072000000000004</v>
      </c>
      <c r="S2047" s="1870">
        <v>0.82176000000000005</v>
      </c>
      <c r="T2047" s="1870">
        <v>133.65</v>
      </c>
      <c r="U2047" s="1870">
        <v>1</v>
      </c>
    </row>
    <row r="2048" spans="1:21" hidden="1" outlineLevel="1">
      <c r="A2048" s="8">
        <v>44774</v>
      </c>
      <c r="B2048" s="1860">
        <v>3355.54601</v>
      </c>
      <c r="C2048" s="1860">
        <v>4528.06149</v>
      </c>
      <c r="D2048" s="1860">
        <v>4417.6981900000001</v>
      </c>
      <c r="E2048" s="1860">
        <v>5281.6284599999999</v>
      </c>
      <c r="F2048">
        <v>32.620040000000003</v>
      </c>
      <c r="G2048" s="1861">
        <v>4300.3</v>
      </c>
      <c r="I2048">
        <v>0.78029999999999999</v>
      </c>
      <c r="J2048">
        <v>1.0529599999999999</v>
      </c>
      <c r="K2048">
        <v>1.0273000000000001</v>
      </c>
      <c r="L2048">
        <v>1.2282</v>
      </c>
      <c r="M2048">
        <v>7.5799999999999999E-3</v>
      </c>
      <c r="N2048">
        <v>1</v>
      </c>
      <c r="P2048">
        <v>1.28155</v>
      </c>
      <c r="Q2048">
        <v>0.94969999999999999</v>
      </c>
      <c r="R2048">
        <v>0.97341999999999995</v>
      </c>
      <c r="S2048">
        <v>0.81418999999999997</v>
      </c>
      <c r="T2048">
        <v>131.83000000000001</v>
      </c>
      <c r="U2048">
        <v>1</v>
      </c>
    </row>
    <row r="2049" spans="1:21" hidden="1" outlineLevel="1">
      <c r="A2049" s="8">
        <v>44775</v>
      </c>
      <c r="B2049" s="1860">
        <v>3300.8045999999999</v>
      </c>
      <c r="C2049" s="1860">
        <v>4451.1898499999998</v>
      </c>
      <c r="D2049" s="1860">
        <v>4330.6975000000002</v>
      </c>
      <c r="E2049" s="1860">
        <v>5188.1751800000002</v>
      </c>
      <c r="F2049">
        <v>32.226399999999998</v>
      </c>
      <c r="G2049" s="1861">
        <v>4245.99</v>
      </c>
      <c r="I2049">
        <v>0.77739000000000003</v>
      </c>
      <c r="J2049">
        <v>1.0483199999999999</v>
      </c>
      <c r="K2049">
        <v>1.0199499999999999</v>
      </c>
      <c r="L2049">
        <v>1.2219</v>
      </c>
      <c r="M2049">
        <v>7.5799999999999999E-3</v>
      </c>
      <c r="N2049">
        <v>1</v>
      </c>
      <c r="P2049">
        <v>1.2863500000000001</v>
      </c>
      <c r="Q2049">
        <v>0.95389999999999997</v>
      </c>
      <c r="R2049">
        <v>0.98043999999999998</v>
      </c>
      <c r="S2049">
        <v>0.81838999999999995</v>
      </c>
      <c r="T2049">
        <v>131.755</v>
      </c>
      <c r="U2049">
        <v>1</v>
      </c>
    </row>
    <row r="2050" spans="1:21" hidden="1" outlineLevel="1">
      <c r="A2050" s="8">
        <v>44776</v>
      </c>
      <c r="B2050" s="1860">
        <v>3348.18552</v>
      </c>
      <c r="C2050" s="1860">
        <v>4473.2175200000001</v>
      </c>
      <c r="D2050" s="1860">
        <v>4369.5885600000001</v>
      </c>
      <c r="E2050" s="1860">
        <v>5225.5629499999995</v>
      </c>
      <c r="F2050">
        <v>32.096580000000003</v>
      </c>
      <c r="G2050" s="1861">
        <v>4313.3</v>
      </c>
      <c r="I2050">
        <v>0.77624000000000004</v>
      </c>
      <c r="J2050">
        <v>1.0370699999999999</v>
      </c>
      <c r="K2050">
        <v>1.01305</v>
      </c>
      <c r="L2050">
        <v>1.2115</v>
      </c>
      <c r="M2050">
        <v>7.4400000000000004E-3</v>
      </c>
      <c r="N2050">
        <v>1</v>
      </c>
      <c r="P2050">
        <v>1.2882499999999999</v>
      </c>
      <c r="Q2050">
        <v>0.96425000000000005</v>
      </c>
      <c r="R2050">
        <v>0.98711000000000004</v>
      </c>
      <c r="S2050">
        <v>0.82542000000000004</v>
      </c>
      <c r="T2050">
        <v>134.38499999999999</v>
      </c>
      <c r="U2050">
        <v>1</v>
      </c>
    </row>
    <row r="2051" spans="1:21" hidden="1" outlineLevel="1">
      <c r="A2051" s="8">
        <v>44777</v>
      </c>
      <c r="B2051" s="1860">
        <v>3368.9716800000001</v>
      </c>
      <c r="C2051" s="1860">
        <v>4524.5756000000001</v>
      </c>
      <c r="D2051" s="1860">
        <v>4422.7538199999999</v>
      </c>
      <c r="E2051" s="1860">
        <v>5245.2392</v>
      </c>
      <c r="F2051">
        <v>32.53201</v>
      </c>
      <c r="G2051" s="1861">
        <v>4331.1499999999996</v>
      </c>
      <c r="I2051">
        <v>0.77783999999999998</v>
      </c>
      <c r="J2051">
        <v>1.0446500000000001</v>
      </c>
      <c r="K2051">
        <v>1.02115</v>
      </c>
      <c r="L2051">
        <v>1.21105</v>
      </c>
      <c r="M2051">
        <v>7.5100000000000002E-3</v>
      </c>
      <c r="N2051">
        <v>1</v>
      </c>
      <c r="P2051">
        <v>1.2856000000000001</v>
      </c>
      <c r="Q2051">
        <v>0.95725000000000005</v>
      </c>
      <c r="R2051">
        <v>0.97928000000000004</v>
      </c>
      <c r="S2051">
        <v>0.82572000000000001</v>
      </c>
      <c r="T2051">
        <v>133.13499999999999</v>
      </c>
      <c r="U2051">
        <v>1</v>
      </c>
    </row>
    <row r="2052" spans="1:21" hidden="1" outlineLevel="1">
      <c r="A2052" s="8">
        <v>44778</v>
      </c>
      <c r="B2052" s="1860">
        <v>3302.2320199999999</v>
      </c>
      <c r="C2052" s="1860">
        <v>4431.1445599999997</v>
      </c>
      <c r="D2052" s="1860">
        <v>4338.9403599999996</v>
      </c>
      <c r="E2052" s="1860">
        <v>5147.3563800000002</v>
      </c>
      <c r="F2052">
        <v>31.536439999999999</v>
      </c>
      <c r="G2052" s="1861">
        <v>4268.3</v>
      </c>
      <c r="I2052">
        <v>0.77366000000000001</v>
      </c>
      <c r="J2052">
        <v>1.0381499999999999</v>
      </c>
      <c r="K2052">
        <v>1.0165500000000001</v>
      </c>
      <c r="L2052">
        <v>1.2059500000000001</v>
      </c>
      <c r="M2052">
        <v>7.3800000000000003E-3</v>
      </c>
      <c r="N2052">
        <v>1</v>
      </c>
      <c r="P2052">
        <v>1.2925500000000001</v>
      </c>
      <c r="Q2052">
        <v>0.96325000000000005</v>
      </c>
      <c r="R2052">
        <v>0.98370999999999997</v>
      </c>
      <c r="S2052">
        <v>0.82921999999999996</v>
      </c>
      <c r="T2052">
        <v>135.345</v>
      </c>
      <c r="U2052">
        <v>1</v>
      </c>
    </row>
    <row r="2053" spans="1:21" hidden="1" outlineLevel="1">
      <c r="A2053" s="8">
        <v>44779</v>
      </c>
      <c r="B2053" s="1860">
        <v>3355.5993899999999</v>
      </c>
      <c r="C2053" s="1860">
        <v>4502.7562900000003</v>
      </c>
      <c r="D2053" s="1860">
        <v>4409.0619800000004</v>
      </c>
      <c r="E2053" s="1860">
        <v>5230.5428099999999</v>
      </c>
      <c r="F2053">
        <v>32.046100000000003</v>
      </c>
      <c r="G2053" s="1861">
        <v>4337.28</v>
      </c>
      <c r="I2053">
        <v>0.77366000000000001</v>
      </c>
      <c r="J2053">
        <v>1.0381499999999999</v>
      </c>
      <c r="K2053">
        <v>1.0165500000000001</v>
      </c>
      <c r="L2053">
        <v>1.2059500000000001</v>
      </c>
      <c r="M2053">
        <v>7.3800000000000003E-3</v>
      </c>
      <c r="N2053">
        <v>1</v>
      </c>
      <c r="P2053">
        <v>1.2925500000000001</v>
      </c>
      <c r="Q2053">
        <v>0.96325000000000005</v>
      </c>
      <c r="R2053">
        <v>0.98370999999999997</v>
      </c>
      <c r="S2053">
        <v>0.82921999999999996</v>
      </c>
      <c r="T2053">
        <v>135.345</v>
      </c>
      <c r="U2053">
        <v>1</v>
      </c>
    </row>
    <row r="2054" spans="1:21" hidden="1" outlineLevel="1">
      <c r="A2054" s="8">
        <v>44780</v>
      </c>
      <c r="B2054" s="1860">
        <v>3355.5993899999999</v>
      </c>
      <c r="C2054" s="1860">
        <v>4502.7562900000003</v>
      </c>
      <c r="D2054" s="1860">
        <v>4409.0619800000004</v>
      </c>
      <c r="E2054" s="1860">
        <v>5230.5428099999999</v>
      </c>
      <c r="F2054">
        <v>32.046100000000003</v>
      </c>
      <c r="G2054" s="1861">
        <v>4337.28</v>
      </c>
      <c r="I2054">
        <v>0.77366000000000001</v>
      </c>
      <c r="J2054">
        <v>1.0381499999999999</v>
      </c>
      <c r="K2054">
        <v>1.0165500000000001</v>
      </c>
      <c r="L2054">
        <v>1.2059500000000001</v>
      </c>
      <c r="M2054">
        <v>7.3800000000000003E-3</v>
      </c>
      <c r="N2054">
        <v>1</v>
      </c>
      <c r="P2054">
        <v>1.2925500000000001</v>
      </c>
      <c r="Q2054">
        <v>0.96325000000000005</v>
      </c>
      <c r="R2054">
        <v>0.98370999999999997</v>
      </c>
      <c r="S2054">
        <v>0.82921999999999996</v>
      </c>
      <c r="T2054">
        <v>135.345</v>
      </c>
      <c r="U2054">
        <v>1</v>
      </c>
    </row>
    <row r="2055" spans="1:21" hidden="1" outlineLevel="1">
      <c r="A2055" s="8">
        <v>44781</v>
      </c>
      <c r="B2055" s="1860">
        <v>3376.36618</v>
      </c>
      <c r="C2055" s="1860">
        <v>4549.0376999999999</v>
      </c>
      <c r="D2055" s="1860">
        <v>4431.6158400000004</v>
      </c>
      <c r="E2055" s="1860">
        <v>5256.3496299999997</v>
      </c>
      <c r="F2055">
        <v>32.193570000000001</v>
      </c>
      <c r="G2055" s="1861">
        <v>4337.28</v>
      </c>
      <c r="I2055">
        <v>0.77844999999999998</v>
      </c>
      <c r="J2055">
        <v>1.0488200000000001</v>
      </c>
      <c r="K2055">
        <v>1.0217499999999999</v>
      </c>
      <c r="L2055">
        <v>1.2119</v>
      </c>
      <c r="M2055">
        <v>7.4200000000000004E-3</v>
      </c>
      <c r="N2055">
        <v>1</v>
      </c>
      <c r="P2055">
        <v>1.2846</v>
      </c>
      <c r="Q2055">
        <v>0.95345000000000002</v>
      </c>
      <c r="R2055">
        <v>0.97870999999999997</v>
      </c>
      <c r="S2055">
        <v>0.82515000000000005</v>
      </c>
      <c r="T2055">
        <v>134.72499999999999</v>
      </c>
      <c r="U2055">
        <v>1</v>
      </c>
    </row>
    <row r="2056" spans="1:21" hidden="1" outlineLevel="1">
      <c r="A2056" s="8">
        <v>44782</v>
      </c>
      <c r="B2056" s="1860">
        <v>3344.92292</v>
      </c>
      <c r="C2056" s="1860">
        <v>4522.3540499999999</v>
      </c>
      <c r="D2056" s="1860">
        <v>4403.1381000000001</v>
      </c>
      <c r="E2056" s="1860">
        <v>5206.1950299999999</v>
      </c>
      <c r="F2056">
        <v>31.91619</v>
      </c>
      <c r="G2056" s="1861">
        <v>4307.09</v>
      </c>
      <c r="I2056">
        <v>0.77659999999999996</v>
      </c>
      <c r="J2056">
        <v>1.0499700000000001</v>
      </c>
      <c r="K2056">
        <v>1.0223</v>
      </c>
      <c r="L2056">
        <v>1.20875</v>
      </c>
      <c r="M2056">
        <v>7.4099999999999999E-3</v>
      </c>
      <c r="N2056">
        <v>1</v>
      </c>
      <c r="P2056">
        <v>1.28765</v>
      </c>
      <c r="Q2056">
        <v>0.95240000000000002</v>
      </c>
      <c r="R2056">
        <v>0.97818000000000005</v>
      </c>
      <c r="S2056">
        <v>0.82730000000000004</v>
      </c>
      <c r="T2056">
        <v>134.94999999999999</v>
      </c>
      <c r="U2056">
        <v>1</v>
      </c>
    </row>
    <row r="2057" spans="1:21" hidden="1" outlineLevel="1">
      <c r="A2057" s="8">
        <v>44783</v>
      </c>
      <c r="B2057" s="1860">
        <v>3377.8970800000002</v>
      </c>
      <c r="C2057" s="1860">
        <v>4584.0450899999996</v>
      </c>
      <c r="D2057" s="1860">
        <v>4462.8994700000003</v>
      </c>
      <c r="E2057" s="1860">
        <v>5284.7573599999996</v>
      </c>
      <c r="F2057">
        <v>32.618270000000003</v>
      </c>
      <c r="G2057" s="1861">
        <v>4309.6899999999996</v>
      </c>
      <c r="I2057">
        <v>0.78378999999999999</v>
      </c>
      <c r="J2057">
        <v>1.06366</v>
      </c>
      <c r="K2057">
        <v>1.03555</v>
      </c>
      <c r="L2057">
        <v>1.2262500000000001</v>
      </c>
      <c r="M2057">
        <v>7.5599999999999999E-3</v>
      </c>
      <c r="N2057">
        <v>1</v>
      </c>
      <c r="P2057">
        <v>1.2758499999999999</v>
      </c>
      <c r="Q2057">
        <v>0.94015000000000004</v>
      </c>
      <c r="R2057">
        <v>0.96567000000000003</v>
      </c>
      <c r="S2057">
        <v>0.81549000000000005</v>
      </c>
      <c r="T2057">
        <v>132.125</v>
      </c>
      <c r="U2057">
        <v>1</v>
      </c>
    </row>
    <row r="2058" spans="1:21" hidden="1" outlineLevel="1">
      <c r="A2058" s="8">
        <v>44784</v>
      </c>
      <c r="B2058" s="1860">
        <v>3353.3307100000002</v>
      </c>
      <c r="C2058" s="1860">
        <v>4550.0053200000002</v>
      </c>
      <c r="D2058" s="1860">
        <v>4421.4804800000002</v>
      </c>
      <c r="E2058" s="1860">
        <v>5224.7449500000002</v>
      </c>
      <c r="F2058">
        <v>32.234560000000002</v>
      </c>
      <c r="G2058" s="1861">
        <v>4273.82</v>
      </c>
      <c r="I2058">
        <v>0.78461999999999998</v>
      </c>
      <c r="J2058">
        <v>1.0646199999999999</v>
      </c>
      <c r="K2058">
        <v>1.0345500000000001</v>
      </c>
      <c r="L2058">
        <v>1.2224999999999999</v>
      </c>
      <c r="M2058">
        <v>7.5399999999999998E-3</v>
      </c>
      <c r="N2058">
        <v>1</v>
      </c>
      <c r="P2058">
        <v>1.2745</v>
      </c>
      <c r="Q2058">
        <v>0.93930000000000002</v>
      </c>
      <c r="R2058">
        <v>0.96660000000000001</v>
      </c>
      <c r="S2058">
        <v>0.81798999999999999</v>
      </c>
      <c r="T2058">
        <v>132.58500000000001</v>
      </c>
      <c r="U2058">
        <v>1</v>
      </c>
    </row>
    <row r="2059" spans="1:21" hidden="1" outlineLevel="1">
      <c r="A2059" s="8">
        <v>44785</v>
      </c>
      <c r="B2059" s="1860">
        <v>3306.3369200000002</v>
      </c>
      <c r="C2059" s="1860">
        <v>4481.2814399999997</v>
      </c>
      <c r="D2059" s="1860">
        <v>4334.90895</v>
      </c>
      <c r="E2059" s="1860">
        <v>5127.4595300000001</v>
      </c>
      <c r="F2059">
        <v>31.647649999999999</v>
      </c>
      <c r="G2059" s="1861">
        <v>4231.45</v>
      </c>
      <c r="I2059">
        <v>0.78137000000000001</v>
      </c>
      <c r="J2059">
        <v>1.05904</v>
      </c>
      <c r="K2059">
        <v>1.0244500000000001</v>
      </c>
      <c r="L2059">
        <v>1.2117500000000001</v>
      </c>
      <c r="M2059">
        <v>7.4700000000000001E-3</v>
      </c>
      <c r="N2059">
        <v>1</v>
      </c>
      <c r="P2059">
        <v>1.2798</v>
      </c>
      <c r="Q2059">
        <v>0.94425000000000003</v>
      </c>
      <c r="R2059">
        <v>0.97613000000000005</v>
      </c>
      <c r="S2059">
        <v>0.82525000000000004</v>
      </c>
      <c r="T2059">
        <v>133.70500000000001</v>
      </c>
      <c r="U2059">
        <v>1</v>
      </c>
    </row>
    <row r="2060" spans="1:21" hidden="1" outlineLevel="1">
      <c r="A2060" s="8">
        <v>44786</v>
      </c>
      <c r="B2060" s="1860">
        <v>3270.42506</v>
      </c>
      <c r="C2060" s="1860">
        <v>4432.6078799999996</v>
      </c>
      <c r="D2060" s="1860">
        <v>4287.8252300000004</v>
      </c>
      <c r="E2060" s="1860">
        <v>5071.7674999999999</v>
      </c>
      <c r="F2060">
        <v>31.303909999999998</v>
      </c>
      <c r="G2060" s="1861">
        <v>4185.49</v>
      </c>
      <c r="I2060">
        <v>0.78137000000000001</v>
      </c>
      <c r="J2060">
        <v>1.05904</v>
      </c>
      <c r="K2060">
        <v>1.0244500000000001</v>
      </c>
      <c r="L2060">
        <v>1.2117500000000001</v>
      </c>
      <c r="M2060">
        <v>7.4700000000000001E-3</v>
      </c>
      <c r="N2060">
        <v>1</v>
      </c>
      <c r="P2060">
        <v>1.2798</v>
      </c>
      <c r="Q2060">
        <v>0.94425000000000003</v>
      </c>
      <c r="R2060">
        <v>0.97613000000000005</v>
      </c>
      <c r="S2060">
        <v>0.82525000000000004</v>
      </c>
      <c r="T2060">
        <v>133.70500000000001</v>
      </c>
      <c r="U2060">
        <v>1</v>
      </c>
    </row>
    <row r="2061" spans="1:21" hidden="1" outlineLevel="1">
      <c r="A2061" s="8">
        <v>44787</v>
      </c>
      <c r="B2061" s="1860">
        <v>3270.42506</v>
      </c>
      <c r="C2061" s="1860">
        <v>4432.6078799999996</v>
      </c>
      <c r="D2061" s="1860">
        <v>4287.8252300000004</v>
      </c>
      <c r="E2061" s="1860">
        <v>5071.7674999999999</v>
      </c>
      <c r="F2061">
        <v>31.303909999999998</v>
      </c>
      <c r="G2061" s="1861">
        <v>4185.49</v>
      </c>
      <c r="I2061">
        <v>0.78137000000000001</v>
      </c>
      <c r="J2061">
        <v>1.05904</v>
      </c>
      <c r="K2061">
        <v>1.0244500000000001</v>
      </c>
      <c r="L2061">
        <v>1.2117500000000001</v>
      </c>
      <c r="M2061">
        <v>7.4700000000000001E-3</v>
      </c>
      <c r="N2061">
        <v>1</v>
      </c>
      <c r="P2061">
        <v>1.2798</v>
      </c>
      <c r="Q2061">
        <v>0.94425000000000003</v>
      </c>
      <c r="R2061">
        <v>0.97613000000000005</v>
      </c>
      <c r="S2061">
        <v>0.82525000000000004</v>
      </c>
      <c r="T2061">
        <v>133.70500000000001</v>
      </c>
      <c r="U2061">
        <v>1</v>
      </c>
    </row>
    <row r="2062" spans="1:21" hidden="1" outlineLevel="1">
      <c r="A2062" s="8">
        <v>44788</v>
      </c>
      <c r="B2062" s="1860">
        <v>3241.6760199999999</v>
      </c>
      <c r="C2062" s="1860">
        <v>4434.2515000000003</v>
      </c>
      <c r="D2062" s="1860">
        <v>4266.8977800000002</v>
      </c>
      <c r="E2062" s="1860">
        <v>5056.0719200000003</v>
      </c>
      <c r="F2062">
        <v>31.473389999999998</v>
      </c>
      <c r="G2062" s="1861">
        <v>4185.49</v>
      </c>
      <c r="I2062">
        <v>0.77449999999999997</v>
      </c>
      <c r="J2062">
        <v>1.0594300000000001</v>
      </c>
      <c r="K2062">
        <v>1.01945</v>
      </c>
      <c r="L2062">
        <v>1.208</v>
      </c>
      <c r="M2062">
        <v>7.5100000000000002E-3</v>
      </c>
      <c r="N2062">
        <v>1</v>
      </c>
      <c r="P2062">
        <v>1.29115</v>
      </c>
      <c r="Q2062">
        <v>0.94389999999999996</v>
      </c>
      <c r="R2062">
        <v>0.98092000000000001</v>
      </c>
      <c r="S2062">
        <v>0.82781000000000005</v>
      </c>
      <c r="T2062">
        <v>132.98500000000001</v>
      </c>
      <c r="U2062">
        <v>1</v>
      </c>
    </row>
    <row r="2063" spans="1:21" hidden="1" outlineLevel="1">
      <c r="A2063" s="8">
        <v>44789</v>
      </c>
      <c r="B2063" s="1860">
        <v>3251.49737</v>
      </c>
      <c r="C2063" s="1860">
        <v>4402.5349699999997</v>
      </c>
      <c r="D2063" s="1860">
        <v>4260.6195399999997</v>
      </c>
      <c r="E2063" s="1860">
        <v>5061.9315999999999</v>
      </c>
      <c r="F2063">
        <v>31.145510000000002</v>
      </c>
      <c r="G2063" s="1861">
        <v>4185.49</v>
      </c>
      <c r="I2063">
        <v>0.77683999999999997</v>
      </c>
      <c r="J2063">
        <v>1.05185</v>
      </c>
      <c r="K2063">
        <v>1.0179499999999999</v>
      </c>
      <c r="L2063">
        <v>1.2094</v>
      </c>
      <c r="M2063">
        <v>7.4400000000000004E-3</v>
      </c>
      <c r="N2063">
        <v>1</v>
      </c>
      <c r="P2063">
        <v>1.28725</v>
      </c>
      <c r="Q2063">
        <v>0.95069999999999999</v>
      </c>
      <c r="R2063">
        <v>0.98236000000000001</v>
      </c>
      <c r="S2063">
        <v>0.82684999999999997</v>
      </c>
      <c r="T2063">
        <v>134.38499999999999</v>
      </c>
      <c r="U2063">
        <v>1</v>
      </c>
    </row>
    <row r="2064" spans="1:21" hidden="1" outlineLevel="1">
      <c r="A2064" s="8">
        <v>44790</v>
      </c>
      <c r="B2064" s="1860">
        <v>3264.4457299999999</v>
      </c>
      <c r="C2064" s="1860">
        <v>4425.3658500000001</v>
      </c>
      <c r="D2064" s="1860">
        <v>4287.0303000000004</v>
      </c>
      <c r="E2064" s="1860">
        <v>5080.7373100000004</v>
      </c>
      <c r="F2064">
        <v>31.140730000000001</v>
      </c>
      <c r="G2064" s="1861">
        <v>4218.4799999999996</v>
      </c>
      <c r="I2064">
        <v>0.77383999999999997</v>
      </c>
      <c r="J2064">
        <v>1.04904</v>
      </c>
      <c r="K2064">
        <v>1.0162500000000001</v>
      </c>
      <c r="L2064">
        <v>1.2043999999999999</v>
      </c>
      <c r="M2064">
        <v>7.3800000000000003E-3</v>
      </c>
      <c r="N2064">
        <v>1</v>
      </c>
      <c r="P2064">
        <v>1.2922499999999999</v>
      </c>
      <c r="Q2064">
        <v>0.95325000000000004</v>
      </c>
      <c r="R2064">
        <v>0.98399999999999999</v>
      </c>
      <c r="S2064">
        <v>0.83028000000000002</v>
      </c>
      <c r="T2064">
        <v>135.465</v>
      </c>
      <c r="U2064">
        <v>1</v>
      </c>
    </row>
    <row r="2065" spans="1:22" hidden="1" outlineLevel="1">
      <c r="A2065" s="8">
        <v>44791</v>
      </c>
      <c r="B2065" s="1860">
        <v>3339.7578199999998</v>
      </c>
      <c r="C2065" s="1860">
        <v>4522.9423100000004</v>
      </c>
      <c r="D2065" s="1860">
        <v>4372.3682799999997</v>
      </c>
      <c r="E2065" s="1860">
        <v>5181.4905799999997</v>
      </c>
      <c r="F2065">
        <v>31.924189999999999</v>
      </c>
      <c r="G2065" s="1861">
        <v>4316.47</v>
      </c>
      <c r="I2065">
        <v>0.77371999999999996</v>
      </c>
      <c r="J2065">
        <v>1.04783</v>
      </c>
      <c r="K2065">
        <v>1.01295</v>
      </c>
      <c r="L2065">
        <v>1.2003999999999999</v>
      </c>
      <c r="M2065">
        <v>7.3899999999999999E-3</v>
      </c>
      <c r="N2065">
        <v>1</v>
      </c>
      <c r="P2065">
        <v>1.2924500000000001</v>
      </c>
      <c r="Q2065">
        <v>0.95435000000000003</v>
      </c>
      <c r="R2065">
        <v>0.98721000000000003</v>
      </c>
      <c r="S2065">
        <v>0.83304999999999996</v>
      </c>
      <c r="T2065">
        <v>135.21</v>
      </c>
      <c r="U2065">
        <v>1</v>
      </c>
    </row>
    <row r="2066" spans="1:22" hidden="1" outlineLevel="1">
      <c r="A2066" s="8">
        <v>44792</v>
      </c>
      <c r="B2066" s="1860">
        <v>3394.1020400000002</v>
      </c>
      <c r="C2066" s="1860">
        <v>4601.3656499999997</v>
      </c>
      <c r="D2066" s="1860">
        <v>4432.1775100000004</v>
      </c>
      <c r="E2066" s="1860">
        <v>5209.6789500000004</v>
      </c>
      <c r="F2066">
        <v>32.190930000000002</v>
      </c>
      <c r="G2066" s="2174">
        <v>4413.8599999999997</v>
      </c>
      <c r="I2066">
        <v>0.76895999999999998</v>
      </c>
      <c r="J2066">
        <v>1.0424800000000001</v>
      </c>
      <c r="K2066">
        <v>1.0041500000000001</v>
      </c>
      <c r="L2066">
        <v>1.1802999999999999</v>
      </c>
      <c r="M2066">
        <v>7.2899999999999996E-3</v>
      </c>
      <c r="N2066">
        <v>1</v>
      </c>
      <c r="P2066">
        <v>1.3004500000000001</v>
      </c>
      <c r="Q2066">
        <v>0.95925000000000005</v>
      </c>
      <c r="R2066">
        <v>0.99585999999999997</v>
      </c>
      <c r="S2066">
        <v>0.84723999999999999</v>
      </c>
      <c r="T2066">
        <v>137.11500000000001</v>
      </c>
      <c r="U2066">
        <v>1</v>
      </c>
    </row>
    <row r="2067" spans="1:22" hidden="1" outlineLevel="1">
      <c r="A2067" s="8">
        <v>44793</v>
      </c>
      <c r="B2067" s="1860">
        <v>3383.63643</v>
      </c>
      <c r="C2067" s="1860">
        <v>4587.1774800000003</v>
      </c>
      <c r="D2067" s="1860">
        <v>4418.5110299999997</v>
      </c>
      <c r="E2067" s="1860">
        <v>5193.6150699999998</v>
      </c>
      <c r="F2067">
        <v>32.091670000000001</v>
      </c>
      <c r="G2067" s="1861">
        <v>4400.25</v>
      </c>
      <c r="I2067">
        <v>0.76895999999999998</v>
      </c>
      <c r="J2067">
        <v>1.0424800000000001</v>
      </c>
      <c r="K2067">
        <v>1.0041500000000001</v>
      </c>
      <c r="L2067">
        <v>1.1802999999999999</v>
      </c>
      <c r="M2067">
        <v>7.2899999999999996E-3</v>
      </c>
      <c r="N2067">
        <v>1</v>
      </c>
      <c r="P2067">
        <v>1.3004500000000001</v>
      </c>
      <c r="Q2067">
        <v>0.95925000000000005</v>
      </c>
      <c r="R2067">
        <v>0.99585999999999997</v>
      </c>
      <c r="S2067">
        <v>0.84723999999999999</v>
      </c>
      <c r="T2067">
        <v>137.11500000000001</v>
      </c>
      <c r="U2067">
        <v>1</v>
      </c>
    </row>
    <row r="2068" spans="1:22" hidden="1" outlineLevel="1">
      <c r="A2068" s="8">
        <v>44794</v>
      </c>
      <c r="B2068" s="1860">
        <v>3383.63643</v>
      </c>
      <c r="C2068" s="1860">
        <v>4587.1774800000003</v>
      </c>
      <c r="D2068" s="1860">
        <v>4418.5110299999997</v>
      </c>
      <c r="E2068" s="1860">
        <v>5193.6150699999998</v>
      </c>
      <c r="F2068">
        <v>32.091670000000001</v>
      </c>
      <c r="G2068" s="1861">
        <v>4400.25</v>
      </c>
      <c r="I2068">
        <v>0.76895999999999998</v>
      </c>
      <c r="J2068">
        <v>1.0424800000000001</v>
      </c>
      <c r="K2068">
        <v>1.0041500000000001</v>
      </c>
      <c r="L2068">
        <v>1.1802999999999999</v>
      </c>
      <c r="M2068">
        <v>7.2899999999999996E-3</v>
      </c>
      <c r="N2068">
        <v>1</v>
      </c>
      <c r="P2068">
        <v>1.3004500000000001</v>
      </c>
      <c r="Q2068">
        <v>0.95925000000000005</v>
      </c>
      <c r="R2068">
        <v>0.99585999999999997</v>
      </c>
      <c r="S2068">
        <v>0.84723999999999999</v>
      </c>
      <c r="T2068">
        <v>137.11500000000001</v>
      </c>
      <c r="U2068">
        <v>1</v>
      </c>
    </row>
    <row r="2069" spans="1:22" hidden="1" outlineLevel="1">
      <c r="A2069" s="8">
        <v>44795</v>
      </c>
      <c r="B2069" s="1860">
        <v>3373.51937</v>
      </c>
      <c r="C2069" s="1860">
        <v>4568.1287300000004</v>
      </c>
      <c r="D2069" s="1860">
        <v>4385.5091599999996</v>
      </c>
      <c r="E2069" s="1860">
        <v>5188.1147600000004</v>
      </c>
      <c r="F2069">
        <v>32.075290000000003</v>
      </c>
      <c r="G2069" s="1861">
        <v>4400.25</v>
      </c>
      <c r="I2069">
        <v>0.76666000000000001</v>
      </c>
      <c r="J2069">
        <v>1.0381499999999999</v>
      </c>
      <c r="K2069">
        <v>0.99665000000000004</v>
      </c>
      <c r="L2069">
        <v>1.1790499999999999</v>
      </c>
      <c r="M2069">
        <v>7.28E-3</v>
      </c>
      <c r="N2069">
        <v>1</v>
      </c>
      <c r="P2069">
        <v>1.3043499999999999</v>
      </c>
      <c r="Q2069">
        <v>0.96325000000000005</v>
      </c>
      <c r="R2069">
        <v>1.00336</v>
      </c>
      <c r="S2069">
        <v>0.84814000000000001</v>
      </c>
      <c r="T2069">
        <v>137.185</v>
      </c>
      <c r="U2069">
        <v>1</v>
      </c>
    </row>
    <row r="2070" spans="1:22" hidden="1" outlineLevel="1">
      <c r="A2070" s="8">
        <v>44796</v>
      </c>
      <c r="B2070" s="1860">
        <v>3395.5925999999999</v>
      </c>
      <c r="C2070" s="1860">
        <v>4571.0307499999999</v>
      </c>
      <c r="D2070" s="1860">
        <v>4393.2211299999999</v>
      </c>
      <c r="E2070" s="1860">
        <v>5213.6644699999997</v>
      </c>
      <c r="F2070">
        <v>32.287410000000001</v>
      </c>
      <c r="G2070" s="1861">
        <v>4399.16</v>
      </c>
      <c r="I2070">
        <v>0.77186999999999995</v>
      </c>
      <c r="J2070">
        <v>1.0390600000000001</v>
      </c>
      <c r="K2070">
        <v>0.99865000000000004</v>
      </c>
      <c r="L2070">
        <v>1.1851499999999999</v>
      </c>
      <c r="M2070">
        <v>7.3299999999999997E-3</v>
      </c>
      <c r="N2070">
        <v>1</v>
      </c>
      <c r="P2070">
        <v>1.29555</v>
      </c>
      <c r="Q2070">
        <v>0.96240000000000003</v>
      </c>
      <c r="R2070">
        <v>1.00135</v>
      </c>
      <c r="S2070">
        <v>0.84377000000000002</v>
      </c>
      <c r="T2070">
        <v>136.25</v>
      </c>
      <c r="U2070">
        <v>1</v>
      </c>
    </row>
    <row r="2071" spans="1:22" hidden="1" outlineLevel="1">
      <c r="A2071" s="8">
        <v>44797</v>
      </c>
      <c r="B2071" s="1860">
        <v>3371.3151699999999</v>
      </c>
      <c r="C2071" s="1860">
        <v>4531.2305699999997</v>
      </c>
      <c r="D2071" s="1860">
        <v>4370.9504399999996</v>
      </c>
      <c r="E2071" s="1860">
        <v>5171.0373399999999</v>
      </c>
      <c r="F2071">
        <v>31.985150000000001</v>
      </c>
      <c r="G2071" s="1861">
        <v>4374.45</v>
      </c>
      <c r="I2071">
        <v>0.77068000000000003</v>
      </c>
      <c r="J2071">
        <v>1.0358400000000001</v>
      </c>
      <c r="K2071">
        <v>0.99919999999999998</v>
      </c>
      <c r="L2071">
        <v>1.1820999999999999</v>
      </c>
      <c r="M2071">
        <v>7.3099999999999997E-3</v>
      </c>
      <c r="N2071">
        <v>1</v>
      </c>
      <c r="P2071">
        <v>1.29755</v>
      </c>
      <c r="Q2071">
        <v>0.96540000000000004</v>
      </c>
      <c r="R2071">
        <v>1.0007999999999999</v>
      </c>
      <c r="S2071">
        <v>0.84594999999999998</v>
      </c>
      <c r="T2071">
        <v>136.76499999999999</v>
      </c>
      <c r="U2071">
        <v>1</v>
      </c>
    </row>
    <row r="2072" spans="1:22" hidden="1" outlineLevel="1">
      <c r="A2072" s="8">
        <v>44798</v>
      </c>
      <c r="B2072" s="1860">
        <v>3388.4041099999999</v>
      </c>
      <c r="C2072" s="1860">
        <v>4544.2369500000004</v>
      </c>
      <c r="D2072" s="1860">
        <v>4372.0866400000004</v>
      </c>
      <c r="E2072" s="1860">
        <v>5179.57467</v>
      </c>
      <c r="F2072">
        <v>32.043520000000001</v>
      </c>
      <c r="G2072" s="1861">
        <v>4380.1899999999996</v>
      </c>
      <c r="I2072">
        <v>0.77356999999999998</v>
      </c>
      <c r="J2072">
        <v>1.03745</v>
      </c>
      <c r="K2072">
        <v>0.99814999999999998</v>
      </c>
      <c r="L2072">
        <v>1.1825000000000001</v>
      </c>
      <c r="M2072">
        <v>7.3099999999999997E-3</v>
      </c>
      <c r="N2072">
        <v>1</v>
      </c>
      <c r="P2072">
        <v>1.2927</v>
      </c>
      <c r="Q2072">
        <v>0.96389999999999998</v>
      </c>
      <c r="R2072">
        <v>1.0018499999999999</v>
      </c>
      <c r="S2072">
        <v>0.84565999999999997</v>
      </c>
      <c r="T2072">
        <v>136.69499999999999</v>
      </c>
      <c r="U2072">
        <v>1</v>
      </c>
    </row>
    <row r="2073" spans="1:22" hidden="1" outlineLevel="1">
      <c r="A2073" s="8">
        <v>44799</v>
      </c>
      <c r="B2073" s="1860">
        <v>3393.7329100000002</v>
      </c>
      <c r="C2073" s="1860">
        <v>4576.5976199999996</v>
      </c>
      <c r="D2073" s="1860">
        <v>4415.2231099999999</v>
      </c>
      <c r="E2073" s="1860">
        <v>5197.6342400000003</v>
      </c>
      <c r="F2073">
        <v>32.111530000000002</v>
      </c>
      <c r="G2073" s="1861">
        <v>4407.95</v>
      </c>
      <c r="I2073">
        <v>0.76990999999999998</v>
      </c>
      <c r="J2073">
        <v>1.0382499999999999</v>
      </c>
      <c r="K2073">
        <v>1.0016499999999999</v>
      </c>
      <c r="L2073">
        <v>1.1791499999999999</v>
      </c>
      <c r="M2073">
        <v>7.28E-3</v>
      </c>
      <c r="N2073">
        <v>1</v>
      </c>
      <c r="P2073">
        <v>1.2988500000000001</v>
      </c>
      <c r="Q2073">
        <v>0.96314999999999995</v>
      </c>
      <c r="R2073">
        <v>0.99834999999999996</v>
      </c>
      <c r="S2073">
        <v>0.84806000000000004</v>
      </c>
      <c r="T2073">
        <v>137.27000000000001</v>
      </c>
      <c r="U2073">
        <v>1</v>
      </c>
    </row>
    <row r="2074" spans="1:22" hidden="1" outlineLevel="1">
      <c r="A2074" s="8">
        <v>44800</v>
      </c>
      <c r="B2074" s="1860">
        <v>3378.3885700000001</v>
      </c>
      <c r="C2074" s="1860">
        <v>4555.9050999999999</v>
      </c>
      <c r="D2074" s="1860">
        <v>4395.2602299999999</v>
      </c>
      <c r="E2074" s="1860">
        <v>5174.1337800000001</v>
      </c>
      <c r="F2074">
        <v>31.966339999999999</v>
      </c>
      <c r="G2074" s="1861">
        <v>4388.0200000000004</v>
      </c>
      <c r="I2074">
        <v>0.76990999999999998</v>
      </c>
      <c r="J2074">
        <v>1.0382499999999999</v>
      </c>
      <c r="K2074">
        <v>1.0016499999999999</v>
      </c>
      <c r="L2074">
        <v>1.1791499999999999</v>
      </c>
      <c r="M2074">
        <v>7.28E-3</v>
      </c>
      <c r="N2074">
        <v>1</v>
      </c>
      <c r="P2074">
        <v>1.2988500000000001</v>
      </c>
      <c r="Q2074">
        <v>0.96314999999999995</v>
      </c>
      <c r="R2074">
        <v>0.99834999999999996</v>
      </c>
      <c r="S2074">
        <v>0.84806000000000004</v>
      </c>
      <c r="T2074">
        <v>137.27000000000001</v>
      </c>
      <c r="U2074">
        <v>1</v>
      </c>
    </row>
    <row r="2075" spans="1:22" hidden="1" outlineLevel="1">
      <c r="A2075" s="8">
        <v>44801</v>
      </c>
      <c r="B2075" s="1860">
        <v>3378.3885700000001</v>
      </c>
      <c r="C2075" s="1860">
        <v>4555.9050999999999</v>
      </c>
      <c r="D2075" s="1860">
        <v>4395.2602299999999</v>
      </c>
      <c r="E2075" s="1860">
        <v>5174.1337800000001</v>
      </c>
      <c r="F2075">
        <v>31.966339999999999</v>
      </c>
      <c r="G2075" s="1861">
        <v>4388.0200000000004</v>
      </c>
      <c r="I2075">
        <v>0.76990999999999998</v>
      </c>
      <c r="J2075">
        <v>1.0382499999999999</v>
      </c>
      <c r="K2075">
        <v>1.0016499999999999</v>
      </c>
      <c r="L2075">
        <v>1.1791499999999999</v>
      </c>
      <c r="M2075">
        <v>7.28E-3</v>
      </c>
      <c r="N2075">
        <v>1</v>
      </c>
      <c r="P2075">
        <v>1.2988500000000001</v>
      </c>
      <c r="Q2075">
        <v>0.96314999999999995</v>
      </c>
      <c r="R2075">
        <v>0.99834999999999996</v>
      </c>
      <c r="S2075">
        <v>0.84806000000000004</v>
      </c>
      <c r="T2075">
        <v>137.27000000000001</v>
      </c>
      <c r="U2075">
        <v>1</v>
      </c>
    </row>
    <row r="2076" spans="1:22" hidden="1" outlineLevel="1">
      <c r="A2076" s="8">
        <v>44802</v>
      </c>
      <c r="B2076" s="1860">
        <v>3368.79198</v>
      </c>
      <c r="C2076" s="1860">
        <v>4525.59818</v>
      </c>
      <c r="D2076" s="1860">
        <v>4380.7797600000004</v>
      </c>
      <c r="E2076" s="1860">
        <v>5130.6923800000004</v>
      </c>
      <c r="F2076">
        <v>31.628779999999999</v>
      </c>
      <c r="G2076" s="1861">
        <v>4388.0200000000004</v>
      </c>
      <c r="I2076">
        <v>0.76771999999999996</v>
      </c>
      <c r="J2076">
        <v>1.03135</v>
      </c>
      <c r="K2076">
        <v>0.99834999999999996</v>
      </c>
      <c r="L2076">
        <v>1.1692499999999999</v>
      </c>
      <c r="M2076">
        <v>7.1999999999999998E-3</v>
      </c>
      <c r="N2076">
        <v>1</v>
      </c>
      <c r="P2076">
        <v>1.3025500000000001</v>
      </c>
      <c r="Q2076">
        <v>0.96960000000000002</v>
      </c>
      <c r="R2076">
        <v>1.0016499999999999</v>
      </c>
      <c r="S2076">
        <v>0.85524</v>
      </c>
      <c r="T2076">
        <v>138.73500000000001</v>
      </c>
      <c r="U2076">
        <v>1</v>
      </c>
    </row>
    <row r="2077" spans="1:22" hidden="1" outlineLevel="1">
      <c r="A2077" s="8">
        <v>44803</v>
      </c>
      <c r="B2077" s="1860">
        <v>3348.8299200000001</v>
      </c>
      <c r="C2077" s="1860">
        <v>4494.6764300000004</v>
      </c>
      <c r="D2077" s="1860">
        <v>4381.0859499999997</v>
      </c>
      <c r="E2077" s="1860">
        <v>5101.5078000000003</v>
      </c>
      <c r="F2077">
        <v>31.569649999999999</v>
      </c>
      <c r="G2077" s="1861">
        <v>4386.13</v>
      </c>
      <c r="I2077">
        <v>0.76349999999999996</v>
      </c>
      <c r="J2077">
        <v>1.02474</v>
      </c>
      <c r="K2077">
        <v>0.99885000000000002</v>
      </c>
      <c r="L2077">
        <v>1.1631</v>
      </c>
      <c r="M2077">
        <v>7.1900000000000002E-3</v>
      </c>
      <c r="N2077">
        <v>1</v>
      </c>
      <c r="P2077">
        <v>1.30975</v>
      </c>
      <c r="Q2077">
        <v>0.97585</v>
      </c>
      <c r="R2077">
        <v>1.00115</v>
      </c>
      <c r="S2077">
        <v>0.85977000000000003</v>
      </c>
      <c r="T2077">
        <v>138.935</v>
      </c>
      <c r="U2077">
        <v>1</v>
      </c>
    </row>
    <row r="2078" spans="1:22" ht="15.75" hidden="1" outlineLevel="1" thickBot="1">
      <c r="A2078" s="1868">
        <v>44804</v>
      </c>
      <c r="B2078" s="1869">
        <v>3359.9266899999998</v>
      </c>
      <c r="C2078" s="1869">
        <v>4508.5916200000001</v>
      </c>
      <c r="D2078" s="1869">
        <v>4424.5808800000004</v>
      </c>
      <c r="E2078" s="1869">
        <v>5120.0261700000001</v>
      </c>
      <c r="F2078" s="1870">
        <v>31.74146</v>
      </c>
      <c r="G2078" s="1871">
        <v>4400.16</v>
      </c>
      <c r="H2078" s="1872"/>
      <c r="I2078" s="1870">
        <v>0.76358999999999999</v>
      </c>
      <c r="J2078" s="1870">
        <v>1.02464</v>
      </c>
      <c r="K2078" s="1870">
        <v>1.0055499999999999</v>
      </c>
      <c r="L2078" s="1870">
        <v>1.1636</v>
      </c>
      <c r="M2078" s="1870">
        <v>7.2100000000000003E-3</v>
      </c>
      <c r="N2078" s="1870">
        <v>1</v>
      </c>
      <c r="O2078" s="1872"/>
      <c r="P2078" s="1870">
        <v>1.3096000000000001</v>
      </c>
      <c r="Q2078" s="1870">
        <v>0.97594999999999998</v>
      </c>
      <c r="R2078" s="1870">
        <v>0.99448000000000003</v>
      </c>
      <c r="S2078" s="1870">
        <v>0.85940000000000005</v>
      </c>
      <c r="T2078" s="1870">
        <v>138.625</v>
      </c>
      <c r="U2078" s="1870">
        <v>1</v>
      </c>
      <c r="V2078" s="1872"/>
    </row>
    <row r="2079" spans="1:22" hidden="1" outlineLevel="1">
      <c r="A2079" s="8">
        <v>44805</v>
      </c>
      <c r="B2079" s="1860">
        <v>3356.3042999999998</v>
      </c>
      <c r="C2079" s="1860">
        <v>4491.0337099999997</v>
      </c>
      <c r="D2079" s="1860">
        <v>4394.4642700000004</v>
      </c>
      <c r="E2079" s="1860">
        <v>5098.1269700000003</v>
      </c>
      <c r="F2079">
        <v>31.5867</v>
      </c>
      <c r="G2079" s="1861">
        <v>4422.7700000000004</v>
      </c>
      <c r="I2079">
        <v>0.75885999999999998</v>
      </c>
      <c r="J2079">
        <v>1.0154300000000001</v>
      </c>
      <c r="K2079">
        <v>0.99360000000000004</v>
      </c>
      <c r="L2079">
        <v>1.1527000000000001</v>
      </c>
      <c r="M2079">
        <v>7.1399999999999996E-3</v>
      </c>
      <c r="N2079">
        <v>1</v>
      </c>
      <c r="P2079">
        <v>1.31775</v>
      </c>
      <c r="Q2079">
        <v>0.98480000000000001</v>
      </c>
      <c r="R2079">
        <v>1.00644</v>
      </c>
      <c r="S2079">
        <v>0.86751999999999996</v>
      </c>
      <c r="T2079">
        <v>140.02000000000001</v>
      </c>
      <c r="U2079">
        <v>1</v>
      </c>
    </row>
    <row r="2080" spans="1:22" hidden="1" outlineLevel="1">
      <c r="A2080" s="8">
        <v>44806</v>
      </c>
      <c r="B2080" s="1860">
        <v>3414.7689399999999</v>
      </c>
      <c r="C2080" s="1860">
        <v>4561.2191700000003</v>
      </c>
      <c r="D2080" s="1860">
        <v>4479.3143300000002</v>
      </c>
      <c r="E2080" s="1860">
        <v>5174.3842000000004</v>
      </c>
      <c r="F2080">
        <v>31.899380000000001</v>
      </c>
      <c r="G2080" s="1861">
        <v>4467.03</v>
      </c>
      <c r="I2080">
        <v>0.76443000000000005</v>
      </c>
      <c r="J2080">
        <v>1.02108</v>
      </c>
      <c r="K2080">
        <v>1.00275</v>
      </c>
      <c r="L2080">
        <v>1.15835</v>
      </c>
      <c r="M2080">
        <v>7.1399999999999996E-3</v>
      </c>
      <c r="N2080">
        <v>1</v>
      </c>
      <c r="P2080">
        <v>1.3081499999999999</v>
      </c>
      <c r="Q2080">
        <v>0.97935000000000005</v>
      </c>
      <c r="R2080">
        <v>0.99724999999999997</v>
      </c>
      <c r="S2080">
        <v>0.86329</v>
      </c>
      <c r="T2080">
        <v>140.035</v>
      </c>
      <c r="U2080">
        <v>1</v>
      </c>
    </row>
    <row r="2081" spans="1:21" hidden="1" outlineLevel="1">
      <c r="A2081" s="8">
        <v>44807</v>
      </c>
      <c r="B2081" s="1860">
        <v>3414.5396099999998</v>
      </c>
      <c r="C2081" s="1860">
        <v>4560.9128499999997</v>
      </c>
      <c r="D2081" s="1860">
        <v>4479.0135</v>
      </c>
      <c r="E2081" s="1860">
        <v>5174.0366899999999</v>
      </c>
      <c r="F2081">
        <v>31.89723</v>
      </c>
      <c r="G2081" s="1861">
        <v>4466.7299999999996</v>
      </c>
      <c r="I2081">
        <v>0.76443000000000005</v>
      </c>
      <c r="J2081">
        <v>1.02108</v>
      </c>
      <c r="K2081">
        <v>1.00275</v>
      </c>
      <c r="L2081">
        <v>1.15835</v>
      </c>
      <c r="M2081">
        <v>7.1399999999999996E-3</v>
      </c>
      <c r="N2081">
        <v>1</v>
      </c>
      <c r="P2081">
        <v>1.3081499999999999</v>
      </c>
      <c r="Q2081">
        <v>0.97935000000000005</v>
      </c>
      <c r="R2081">
        <v>0.99724999999999997</v>
      </c>
      <c r="S2081">
        <v>0.86329</v>
      </c>
      <c r="T2081">
        <v>140.035</v>
      </c>
      <c r="U2081">
        <v>1</v>
      </c>
    </row>
    <row r="2082" spans="1:21" hidden="1" outlineLevel="1">
      <c r="A2082" s="8">
        <v>44808</v>
      </c>
      <c r="B2082" s="1860">
        <v>3414.5396099999998</v>
      </c>
      <c r="C2082" s="1860">
        <v>4560.9128499999997</v>
      </c>
      <c r="D2082" s="1860">
        <v>4479.0135</v>
      </c>
      <c r="E2082" s="1860">
        <v>5174.0366899999999</v>
      </c>
      <c r="F2082">
        <v>31.89723</v>
      </c>
      <c r="G2082" s="1861">
        <v>4466.7299999999996</v>
      </c>
      <c r="I2082">
        <v>0.76443000000000005</v>
      </c>
      <c r="J2082">
        <v>1.02108</v>
      </c>
      <c r="K2082">
        <v>1.00275</v>
      </c>
      <c r="L2082">
        <v>1.15835</v>
      </c>
      <c r="M2082">
        <v>7.1399999999999996E-3</v>
      </c>
      <c r="N2082">
        <v>1</v>
      </c>
      <c r="P2082">
        <v>1.3081499999999999</v>
      </c>
      <c r="Q2082">
        <v>0.97935000000000005</v>
      </c>
      <c r="R2082">
        <v>0.99724999999999997</v>
      </c>
      <c r="S2082">
        <v>0.86329</v>
      </c>
      <c r="T2082">
        <v>140.035</v>
      </c>
      <c r="U2082">
        <v>1</v>
      </c>
    </row>
    <row r="2083" spans="1:21" hidden="1" outlineLevel="1">
      <c r="A2083" s="8">
        <v>44809</v>
      </c>
      <c r="B2083" s="1860">
        <v>3400.11418</v>
      </c>
      <c r="C2083" s="1860">
        <v>4551.1539000000002</v>
      </c>
      <c r="D2083" s="1860">
        <v>4431.2194900000004</v>
      </c>
      <c r="E2083" s="1860">
        <v>5139.8662100000001</v>
      </c>
      <c r="F2083">
        <v>31.781490000000002</v>
      </c>
      <c r="G2083" s="1861">
        <v>4466.7299999999996</v>
      </c>
      <c r="I2083">
        <v>0.76119999999999999</v>
      </c>
      <c r="J2083">
        <v>1.0188999999999999</v>
      </c>
      <c r="K2083">
        <v>0.99204999999999999</v>
      </c>
      <c r="L2083">
        <v>1.1507000000000001</v>
      </c>
      <c r="M2083">
        <v>7.11E-3</v>
      </c>
      <c r="N2083">
        <v>1</v>
      </c>
      <c r="P2083">
        <v>1.3137000000000001</v>
      </c>
      <c r="Q2083">
        <v>0.98145000000000004</v>
      </c>
      <c r="R2083">
        <v>1.0080100000000001</v>
      </c>
      <c r="S2083">
        <v>0.86902999999999997</v>
      </c>
      <c r="T2083">
        <v>140.54499999999999</v>
      </c>
      <c r="U2083">
        <v>1</v>
      </c>
    </row>
    <row r="2084" spans="1:21" hidden="1" outlineLevel="1">
      <c r="A2084" s="8">
        <v>44810</v>
      </c>
      <c r="B2084" s="1860">
        <v>3402.1860000000001</v>
      </c>
      <c r="C2084" s="1860">
        <v>4539.5904200000004</v>
      </c>
      <c r="D2084" s="1860">
        <v>4424.0727200000001</v>
      </c>
      <c r="E2084" s="1860">
        <v>5149.69301</v>
      </c>
      <c r="F2084">
        <v>31.298249999999999</v>
      </c>
      <c r="G2084" s="1861">
        <v>4466.7299999999996</v>
      </c>
      <c r="I2084">
        <v>0.76166999999999996</v>
      </c>
      <c r="J2084">
        <v>1.01631</v>
      </c>
      <c r="K2084">
        <v>0.99045000000000005</v>
      </c>
      <c r="L2084">
        <v>1.1529</v>
      </c>
      <c r="M2084">
        <v>7.0000000000000001E-3</v>
      </c>
      <c r="N2084">
        <v>1</v>
      </c>
      <c r="P2084">
        <v>1.3129</v>
      </c>
      <c r="Q2084">
        <v>0.98394999999999999</v>
      </c>
      <c r="R2084">
        <v>1.0096400000000001</v>
      </c>
      <c r="S2084">
        <v>0.86736999999999997</v>
      </c>
      <c r="T2084">
        <v>142.715</v>
      </c>
      <c r="U2084">
        <v>1</v>
      </c>
    </row>
    <row r="2085" spans="1:21" hidden="1" outlineLevel="1">
      <c r="A2085" s="8">
        <v>44811</v>
      </c>
      <c r="B2085" s="1860">
        <v>3397.61868</v>
      </c>
      <c r="C2085" s="1860">
        <v>4561.9876700000004</v>
      </c>
      <c r="D2085" s="1860">
        <v>4457.0274799999997</v>
      </c>
      <c r="E2085" s="1860">
        <v>5136.8826600000002</v>
      </c>
      <c r="F2085">
        <v>31.005220000000001</v>
      </c>
      <c r="G2085" s="1861">
        <v>4480.1000000000004</v>
      </c>
      <c r="I2085">
        <v>0.75838000000000005</v>
      </c>
      <c r="J2085">
        <v>1.01827</v>
      </c>
      <c r="K2085">
        <v>0.99485000000000001</v>
      </c>
      <c r="L2085">
        <v>1.1466000000000001</v>
      </c>
      <c r="M2085">
        <v>6.9199999999999999E-3</v>
      </c>
      <c r="N2085">
        <v>1</v>
      </c>
      <c r="P2085">
        <v>1.3186</v>
      </c>
      <c r="Q2085">
        <v>0.98204999999999998</v>
      </c>
      <c r="R2085">
        <v>1.0051699999999999</v>
      </c>
      <c r="S2085">
        <v>0.87214000000000003</v>
      </c>
      <c r="T2085">
        <v>144.495</v>
      </c>
      <c r="U2085">
        <v>1</v>
      </c>
    </row>
    <row r="2086" spans="1:21" hidden="1" outlineLevel="1">
      <c r="A2086" s="8">
        <v>44812</v>
      </c>
      <c r="B2086" s="1860">
        <v>3386.6707200000001</v>
      </c>
      <c r="C2086" s="1860">
        <v>4567.8652099999999</v>
      </c>
      <c r="D2086" s="1860">
        <v>4427.0183299999999</v>
      </c>
      <c r="E2086" s="1860">
        <v>5108.4229999999998</v>
      </c>
      <c r="F2086">
        <v>30.882860000000001</v>
      </c>
      <c r="G2086" s="1861">
        <v>4446.3599999999997</v>
      </c>
      <c r="I2086">
        <v>0.76166999999999996</v>
      </c>
      <c r="J2086">
        <v>1.02732</v>
      </c>
      <c r="K2086">
        <v>0.99565000000000003</v>
      </c>
      <c r="L2086">
        <v>1.1489</v>
      </c>
      <c r="M2086">
        <v>6.94E-3</v>
      </c>
      <c r="N2086">
        <v>1</v>
      </c>
      <c r="P2086">
        <v>1.3129</v>
      </c>
      <c r="Q2086">
        <v>0.97340000000000004</v>
      </c>
      <c r="R2086">
        <v>1.0043599999999999</v>
      </c>
      <c r="S2086">
        <v>0.87039</v>
      </c>
      <c r="T2086">
        <v>143.97499999999999</v>
      </c>
      <c r="U2086">
        <v>1</v>
      </c>
    </row>
    <row r="2087" spans="1:21" hidden="1" outlineLevel="1">
      <c r="A2087" s="8">
        <v>44813</v>
      </c>
      <c r="B2087" s="1860">
        <v>3370.5316400000002</v>
      </c>
      <c r="C2087" s="1860">
        <v>4572.5027200000004</v>
      </c>
      <c r="D2087" s="1860">
        <v>4415.3759300000002</v>
      </c>
      <c r="E2087" s="1860">
        <v>5092.2463500000003</v>
      </c>
      <c r="F2087">
        <v>30.864789999999999</v>
      </c>
      <c r="G2087" s="1861">
        <v>4396.6899999999996</v>
      </c>
      <c r="I2087">
        <v>0.76659999999999995</v>
      </c>
      <c r="J2087">
        <v>1.0399799999999999</v>
      </c>
      <c r="K2087">
        <v>1.0042500000000001</v>
      </c>
      <c r="L2087">
        <v>1.1581999999999999</v>
      </c>
      <c r="M2087">
        <v>7.0200000000000002E-3</v>
      </c>
      <c r="N2087">
        <v>1</v>
      </c>
      <c r="P2087">
        <v>1.3044500000000001</v>
      </c>
      <c r="Q2087">
        <v>0.96155000000000002</v>
      </c>
      <c r="R2087">
        <v>0.99575999999999998</v>
      </c>
      <c r="S2087">
        <v>0.86339999999999995</v>
      </c>
      <c r="T2087">
        <v>142.44999999999999</v>
      </c>
      <c r="U2087">
        <v>1</v>
      </c>
    </row>
    <row r="2088" spans="1:21" hidden="1" outlineLevel="1">
      <c r="A2088" s="8">
        <v>44814</v>
      </c>
      <c r="B2088" s="1860">
        <v>3346.4831899999999</v>
      </c>
      <c r="C2088" s="1860">
        <v>4539.8783199999998</v>
      </c>
      <c r="D2088" s="1860">
        <v>4383.8726100000003</v>
      </c>
      <c r="E2088" s="1860">
        <v>5055.9136200000003</v>
      </c>
      <c r="F2088">
        <v>30.644570000000002</v>
      </c>
      <c r="G2088" s="1861">
        <v>4365.32</v>
      </c>
      <c r="I2088">
        <v>0.76659999999999995</v>
      </c>
      <c r="J2088">
        <v>1.0399799999999999</v>
      </c>
      <c r="K2088">
        <v>1.0042500000000001</v>
      </c>
      <c r="L2088">
        <v>1.1581999999999999</v>
      </c>
      <c r="M2088">
        <v>7.0200000000000002E-3</v>
      </c>
      <c r="N2088">
        <v>1</v>
      </c>
      <c r="P2088">
        <v>1.3044500000000001</v>
      </c>
      <c r="Q2088">
        <v>0.96155000000000002</v>
      </c>
      <c r="R2088">
        <v>0.99575999999999998</v>
      </c>
      <c r="S2088">
        <v>0.86339999999999995</v>
      </c>
      <c r="T2088">
        <v>142.44999999999999</v>
      </c>
      <c r="U2088">
        <v>1</v>
      </c>
    </row>
    <row r="2089" spans="1:21" hidden="1" outlineLevel="1">
      <c r="A2089" s="8">
        <v>44815</v>
      </c>
      <c r="B2089" s="1860">
        <v>3346.4831899999999</v>
      </c>
      <c r="C2089" s="1860">
        <v>4539.8783199999998</v>
      </c>
      <c r="D2089" s="1860">
        <v>4383.8726100000003</v>
      </c>
      <c r="E2089" s="1860">
        <v>5055.9136200000003</v>
      </c>
      <c r="F2089">
        <v>30.644570000000002</v>
      </c>
      <c r="G2089" s="1861">
        <v>4365.32</v>
      </c>
      <c r="I2089">
        <v>0.76659999999999995</v>
      </c>
      <c r="J2089">
        <v>1.0399799999999999</v>
      </c>
      <c r="K2089">
        <v>1.0042500000000001</v>
      </c>
      <c r="L2089">
        <v>1.1581999999999999</v>
      </c>
      <c r="M2089">
        <v>7.0200000000000002E-3</v>
      </c>
      <c r="N2089">
        <v>1</v>
      </c>
      <c r="P2089">
        <v>1.3044500000000001</v>
      </c>
      <c r="Q2089">
        <v>0.96155000000000002</v>
      </c>
      <c r="R2089">
        <v>0.99575999999999998</v>
      </c>
      <c r="S2089">
        <v>0.86339999999999995</v>
      </c>
      <c r="T2089">
        <v>142.44999999999999</v>
      </c>
      <c r="U2089">
        <v>1</v>
      </c>
    </row>
    <row r="2090" spans="1:21" hidden="1" outlineLevel="1">
      <c r="A2090" s="8">
        <v>44816</v>
      </c>
      <c r="B2090" s="1860">
        <v>3363.50117</v>
      </c>
      <c r="C2090" s="1860">
        <v>4588.0708299999997</v>
      </c>
      <c r="D2090" s="1860">
        <v>4422.50569</v>
      </c>
      <c r="E2090" s="1860">
        <v>5109.8253199999999</v>
      </c>
      <c r="F2090">
        <v>30.660710000000002</v>
      </c>
      <c r="G2090" s="1861">
        <v>4365.32</v>
      </c>
      <c r="I2090">
        <v>0.77049999999999996</v>
      </c>
      <c r="J2090">
        <v>1.0510200000000001</v>
      </c>
      <c r="K2090">
        <v>1.0130999999999999</v>
      </c>
      <c r="L2090">
        <v>1.17055</v>
      </c>
      <c r="M2090">
        <v>7.0200000000000002E-3</v>
      </c>
      <c r="N2090">
        <v>1</v>
      </c>
      <c r="P2090">
        <v>1.2978499999999999</v>
      </c>
      <c r="Q2090">
        <v>0.95145000000000002</v>
      </c>
      <c r="R2090">
        <v>0.98706000000000005</v>
      </c>
      <c r="S2090">
        <v>0.85428999999999999</v>
      </c>
      <c r="T2090">
        <v>142.375</v>
      </c>
      <c r="U2090">
        <v>1</v>
      </c>
    </row>
    <row r="2091" spans="1:21" hidden="1" outlineLevel="1">
      <c r="A2091" s="8">
        <v>44817</v>
      </c>
      <c r="B2091" s="1860">
        <v>3315.46792</v>
      </c>
      <c r="C2091" s="1860">
        <v>4523.5548099999996</v>
      </c>
      <c r="D2091" s="1860">
        <v>4353.6477100000002</v>
      </c>
      <c r="E2091" s="1860">
        <v>5018.0729000000001</v>
      </c>
      <c r="F2091">
        <v>30.137689999999999</v>
      </c>
      <c r="G2091" s="1861">
        <v>4346.91</v>
      </c>
      <c r="I2091">
        <v>0.76271</v>
      </c>
      <c r="J2091">
        <v>1.0406299999999999</v>
      </c>
      <c r="K2091">
        <v>1.0015499999999999</v>
      </c>
      <c r="L2091">
        <v>1.1544000000000001</v>
      </c>
      <c r="M2091">
        <v>6.9300000000000004E-3</v>
      </c>
      <c r="N2091">
        <v>1</v>
      </c>
      <c r="P2091">
        <v>1.3110999999999999</v>
      </c>
      <c r="Q2091">
        <v>0.96094999999999997</v>
      </c>
      <c r="R2091">
        <v>0.99844999999999995</v>
      </c>
      <c r="S2091">
        <v>0.86624999999999996</v>
      </c>
      <c r="T2091">
        <v>144.23500000000001</v>
      </c>
      <c r="U2091">
        <v>1</v>
      </c>
    </row>
    <row r="2092" spans="1:21" hidden="1" outlineLevel="1">
      <c r="A2092" s="8">
        <v>44818</v>
      </c>
      <c r="B2092" s="1860">
        <v>3358.2303000000002</v>
      </c>
      <c r="C2092" s="1860">
        <v>4597.5626199999997</v>
      </c>
      <c r="D2092" s="1860">
        <v>4412.7865199999997</v>
      </c>
      <c r="E2092" s="1860">
        <v>5111.0639199999996</v>
      </c>
      <c r="F2092">
        <v>30.947510000000001</v>
      </c>
      <c r="G2092" s="1861">
        <v>4413.8900000000003</v>
      </c>
      <c r="I2092">
        <v>0.76083000000000001</v>
      </c>
      <c r="J2092">
        <v>1.0416099999999999</v>
      </c>
      <c r="K2092">
        <v>0.99975000000000003</v>
      </c>
      <c r="L2092">
        <v>1.15795</v>
      </c>
      <c r="M2092">
        <v>7.0099999999999997E-3</v>
      </c>
      <c r="N2092">
        <v>1</v>
      </c>
      <c r="P2092">
        <v>1.3143499999999999</v>
      </c>
      <c r="Q2092">
        <v>0.96004999999999996</v>
      </c>
      <c r="R2092">
        <v>1.0002500000000001</v>
      </c>
      <c r="S2092">
        <v>0.86358999999999997</v>
      </c>
      <c r="T2092">
        <v>142.625</v>
      </c>
      <c r="U2092">
        <v>1</v>
      </c>
    </row>
    <row r="2093" spans="1:21" hidden="1" outlineLevel="1">
      <c r="A2093" s="8">
        <v>44819</v>
      </c>
      <c r="B2093" s="1860">
        <v>3324.2209600000001</v>
      </c>
      <c r="C2093" s="1860">
        <v>4569.1386899999998</v>
      </c>
      <c r="D2093" s="1860">
        <v>4387.8245900000002</v>
      </c>
      <c r="E2093" s="1860">
        <v>5044.3191800000004</v>
      </c>
      <c r="F2093">
        <v>30.597329999999999</v>
      </c>
      <c r="G2093" s="1861">
        <v>4389.8</v>
      </c>
      <c r="I2093">
        <v>0.75726000000000004</v>
      </c>
      <c r="J2093">
        <v>1.0408500000000001</v>
      </c>
      <c r="K2093">
        <v>0.99955000000000005</v>
      </c>
      <c r="L2093">
        <v>1.1491</v>
      </c>
      <c r="M2093">
        <v>6.9699999999999996E-3</v>
      </c>
      <c r="N2093">
        <v>1</v>
      </c>
      <c r="P2093">
        <v>1.3205499999999999</v>
      </c>
      <c r="Q2093">
        <v>0.96074999999999999</v>
      </c>
      <c r="R2093">
        <v>1.0004500000000001</v>
      </c>
      <c r="S2093">
        <v>0.87024000000000001</v>
      </c>
      <c r="T2093">
        <v>143.47</v>
      </c>
      <c r="U2093">
        <v>1</v>
      </c>
    </row>
    <row r="2094" spans="1:21" hidden="1" outlineLevel="1">
      <c r="A2094" s="8">
        <v>44820</v>
      </c>
      <c r="B2094" s="1860">
        <v>3316.8718699999999</v>
      </c>
      <c r="C2094" s="1860">
        <v>4577.6761500000002</v>
      </c>
      <c r="D2094" s="1860">
        <v>4418.0741500000004</v>
      </c>
      <c r="E2094" s="1860">
        <v>5035.8249100000003</v>
      </c>
      <c r="F2094">
        <v>30.814599999999999</v>
      </c>
      <c r="G2094" s="1861">
        <v>4404.6400000000003</v>
      </c>
      <c r="I2094">
        <v>0.75304000000000004</v>
      </c>
      <c r="J2094">
        <v>1.03928</v>
      </c>
      <c r="K2094">
        <v>1.00305</v>
      </c>
      <c r="L2094">
        <v>1.1433</v>
      </c>
      <c r="M2094">
        <v>6.9899999999999997E-3</v>
      </c>
      <c r="N2094">
        <v>1</v>
      </c>
      <c r="P2094">
        <v>1.32795</v>
      </c>
      <c r="Q2094">
        <v>0.96220000000000006</v>
      </c>
      <c r="R2094">
        <v>0.99695</v>
      </c>
      <c r="S2094">
        <v>0.87465999999999999</v>
      </c>
      <c r="T2094">
        <v>142.94</v>
      </c>
      <c r="U2094">
        <v>1</v>
      </c>
    </row>
    <row r="2095" spans="1:21" hidden="1" outlineLevel="1">
      <c r="A2095" s="8">
        <v>44821</v>
      </c>
      <c r="B2095" s="1860">
        <v>3340.3667300000002</v>
      </c>
      <c r="C2095" s="1860">
        <v>4610.1018400000003</v>
      </c>
      <c r="D2095" s="1860">
        <v>4449.36931</v>
      </c>
      <c r="E2095" s="1860">
        <v>5071.4958699999997</v>
      </c>
      <c r="F2095">
        <v>31.032879999999999</v>
      </c>
      <c r="G2095" s="1861">
        <v>4435.84</v>
      </c>
      <c r="I2095">
        <v>0.75304000000000004</v>
      </c>
      <c r="J2095">
        <v>1.03928</v>
      </c>
      <c r="K2095">
        <v>1.00305</v>
      </c>
      <c r="L2095">
        <v>1.1433</v>
      </c>
      <c r="M2095">
        <v>6.9899999999999997E-3</v>
      </c>
      <c r="N2095">
        <v>1</v>
      </c>
      <c r="P2095">
        <v>1.32795</v>
      </c>
      <c r="Q2095">
        <v>0.96220000000000006</v>
      </c>
      <c r="R2095">
        <v>0.99695</v>
      </c>
      <c r="S2095">
        <v>0.87465999999999999</v>
      </c>
      <c r="T2095">
        <v>142.94</v>
      </c>
      <c r="U2095">
        <v>1</v>
      </c>
    </row>
    <row r="2096" spans="1:21" hidden="1" outlineLevel="1">
      <c r="A2096" s="8">
        <v>44822</v>
      </c>
      <c r="B2096" s="1860">
        <v>3340.3667300000002</v>
      </c>
      <c r="C2096" s="1860">
        <v>4610.1018400000003</v>
      </c>
      <c r="D2096" s="1860">
        <v>4449.36931</v>
      </c>
      <c r="E2096" s="1860">
        <v>5071.4958699999997</v>
      </c>
      <c r="F2096">
        <v>31.032879999999999</v>
      </c>
      <c r="G2096" s="1861">
        <v>4435.84</v>
      </c>
      <c r="I2096">
        <v>0.75304000000000004</v>
      </c>
      <c r="J2096">
        <v>1.03928</v>
      </c>
      <c r="K2096">
        <v>1.00305</v>
      </c>
      <c r="L2096">
        <v>1.1433</v>
      </c>
      <c r="M2096">
        <v>6.9899999999999997E-3</v>
      </c>
      <c r="N2096">
        <v>1</v>
      </c>
      <c r="P2096">
        <v>1.32795</v>
      </c>
      <c r="Q2096">
        <v>0.96220000000000006</v>
      </c>
      <c r="R2096">
        <v>0.99695</v>
      </c>
      <c r="S2096">
        <v>0.87465999999999999</v>
      </c>
      <c r="T2096">
        <v>142.94</v>
      </c>
      <c r="U2096">
        <v>1</v>
      </c>
    </row>
    <row r="2097" spans="1:22" hidden="1" outlineLevel="1">
      <c r="A2097" s="8">
        <v>44823</v>
      </c>
      <c r="B2097" s="1860">
        <v>3339.3608599999998</v>
      </c>
      <c r="C2097" s="1860">
        <v>4597.4400100000003</v>
      </c>
      <c r="D2097" s="1860">
        <v>4441.3847999999998</v>
      </c>
      <c r="E2097" s="1860">
        <v>5059.9626799999996</v>
      </c>
      <c r="F2097">
        <v>30.958159999999999</v>
      </c>
      <c r="G2097" s="1861">
        <v>4435.84</v>
      </c>
      <c r="I2097">
        <v>0.75280999999999998</v>
      </c>
      <c r="J2097">
        <v>1.03643</v>
      </c>
      <c r="K2097">
        <v>1.00125</v>
      </c>
      <c r="L2097">
        <v>1.1407</v>
      </c>
      <c r="M2097">
        <v>6.9699999999999996E-3</v>
      </c>
      <c r="N2097">
        <v>1</v>
      </c>
      <c r="P2097">
        <v>1.3283499999999999</v>
      </c>
      <c r="Q2097">
        <v>0.96484999999999999</v>
      </c>
      <c r="R2097">
        <v>0.99875000000000003</v>
      </c>
      <c r="S2097">
        <v>0.87665000000000004</v>
      </c>
      <c r="T2097">
        <v>143.285</v>
      </c>
      <c r="U2097">
        <v>1</v>
      </c>
    </row>
    <row r="2098" spans="1:22" hidden="1" outlineLevel="1">
      <c r="A2098" s="8">
        <v>44824</v>
      </c>
      <c r="B2098" s="1860">
        <v>3309.5536099999999</v>
      </c>
      <c r="C2098" s="1860">
        <v>4575.4805900000001</v>
      </c>
      <c r="D2098" s="1860">
        <v>4412.6816799999997</v>
      </c>
      <c r="E2098" s="1860">
        <v>5039.1857900000005</v>
      </c>
      <c r="F2098">
        <v>30.717009999999998</v>
      </c>
      <c r="G2098" s="1861">
        <v>4415.1099999999997</v>
      </c>
      <c r="I2098">
        <v>0.74958999999999998</v>
      </c>
      <c r="J2098">
        <v>1.0363199999999999</v>
      </c>
      <c r="K2098">
        <v>0.99944999999999995</v>
      </c>
      <c r="L2098">
        <v>1.1413500000000001</v>
      </c>
      <c r="M2098">
        <v>6.9499999999999996E-3</v>
      </c>
      <c r="N2098">
        <v>1</v>
      </c>
      <c r="P2098">
        <v>1.33405</v>
      </c>
      <c r="Q2098">
        <v>0.96494999999999997</v>
      </c>
      <c r="R2098">
        <v>1.0005500000000001</v>
      </c>
      <c r="S2098">
        <v>0.87614999999999998</v>
      </c>
      <c r="T2098">
        <v>143.73500000000001</v>
      </c>
      <c r="U2098">
        <v>1</v>
      </c>
    </row>
    <row r="2099" spans="1:22" hidden="1" outlineLevel="1">
      <c r="A2099" s="8">
        <v>44825</v>
      </c>
      <c r="B2099" s="1860">
        <v>3300.1455799999999</v>
      </c>
      <c r="C2099" s="1860">
        <v>4580.4673300000004</v>
      </c>
      <c r="D2099" s="1860">
        <v>4366.67238</v>
      </c>
      <c r="E2099" s="1860">
        <v>5008.9535900000001</v>
      </c>
      <c r="F2099">
        <v>30.670449999999999</v>
      </c>
      <c r="G2099" s="1861">
        <v>4420.38</v>
      </c>
      <c r="I2099">
        <v>0.74656999999999996</v>
      </c>
      <c r="J2099">
        <v>1.0362100000000001</v>
      </c>
      <c r="K2099">
        <v>0.98785000000000001</v>
      </c>
      <c r="L2099">
        <v>1.1331500000000001</v>
      </c>
      <c r="M2099">
        <v>6.9300000000000004E-3</v>
      </c>
      <c r="N2099">
        <v>1</v>
      </c>
      <c r="P2099">
        <v>1.33945</v>
      </c>
      <c r="Q2099">
        <v>0.96504999999999996</v>
      </c>
      <c r="R2099">
        <v>1.0122899999999999</v>
      </c>
      <c r="S2099">
        <v>0.88249</v>
      </c>
      <c r="T2099">
        <v>144.125</v>
      </c>
      <c r="U2099">
        <v>1</v>
      </c>
    </row>
    <row r="2100" spans="1:22" hidden="1" outlineLevel="1">
      <c r="A2100" s="8">
        <v>44826</v>
      </c>
      <c r="B2100" s="1860">
        <v>3263.9021600000001</v>
      </c>
      <c r="C2100" s="1860">
        <v>4484.7700999999997</v>
      </c>
      <c r="D2100" s="1860">
        <v>4322.56952</v>
      </c>
      <c r="E2100" s="1860">
        <v>4959.5820800000001</v>
      </c>
      <c r="F2100">
        <v>30.992080000000001</v>
      </c>
      <c r="G2100" s="1861">
        <v>4403.82</v>
      </c>
      <c r="I2100">
        <v>0.74114999999999998</v>
      </c>
      <c r="J2100">
        <v>1.0183800000000001</v>
      </c>
      <c r="K2100">
        <v>0.98155000000000003</v>
      </c>
      <c r="L2100">
        <v>1.1262000000000001</v>
      </c>
      <c r="M2100">
        <v>7.0299999999999998E-3</v>
      </c>
      <c r="N2100">
        <v>1</v>
      </c>
      <c r="P2100">
        <v>1.3492500000000001</v>
      </c>
      <c r="Q2100">
        <v>0.98194999999999999</v>
      </c>
      <c r="R2100">
        <v>1.0187900000000001</v>
      </c>
      <c r="S2100">
        <v>0.88793999999999995</v>
      </c>
      <c r="T2100">
        <v>142.095</v>
      </c>
      <c r="U2100">
        <v>1</v>
      </c>
    </row>
    <row r="2101" spans="1:22" hidden="1" outlineLevel="1">
      <c r="A2101" s="8">
        <v>44827</v>
      </c>
      <c r="B2101" s="1860">
        <v>3223.8783899999999</v>
      </c>
      <c r="C2101" s="1860">
        <v>4461.4444299999996</v>
      </c>
      <c r="D2101" s="1860">
        <v>4250.8148899999997</v>
      </c>
      <c r="E2101" s="1860">
        <v>4775.29594</v>
      </c>
      <c r="F2101">
        <v>30.567049999999998</v>
      </c>
      <c r="G2101" s="1861">
        <v>4379.8</v>
      </c>
      <c r="I2101">
        <v>0.73607</v>
      </c>
      <c r="J2101">
        <v>1.01864</v>
      </c>
      <c r="K2101">
        <v>0.97055000000000002</v>
      </c>
      <c r="L2101">
        <v>1.0903</v>
      </c>
      <c r="M2101">
        <v>6.9699999999999996E-3</v>
      </c>
      <c r="N2101">
        <v>1</v>
      </c>
      <c r="P2101">
        <v>1.3585499999999999</v>
      </c>
      <c r="Q2101">
        <v>0.98170000000000002</v>
      </c>
      <c r="R2101">
        <v>1.03034</v>
      </c>
      <c r="S2101">
        <v>0.91717000000000004</v>
      </c>
      <c r="T2101">
        <v>143.285</v>
      </c>
      <c r="U2101">
        <v>1</v>
      </c>
    </row>
    <row r="2102" spans="1:22" hidden="1" outlineLevel="1">
      <c r="A2102" s="8">
        <v>44828</v>
      </c>
      <c r="B2102" s="1860">
        <v>3258.2312000000002</v>
      </c>
      <c r="C2102" s="1860">
        <v>4508.98441</v>
      </c>
      <c r="D2102" s="1860">
        <v>4296.1104500000001</v>
      </c>
      <c r="E2102" s="1860">
        <v>4826.1802399999997</v>
      </c>
      <c r="F2102">
        <v>30.892759999999999</v>
      </c>
      <c r="G2102" s="1861">
        <v>4426.47</v>
      </c>
      <c r="I2102">
        <v>0.73607</v>
      </c>
      <c r="J2102">
        <v>1.01864</v>
      </c>
      <c r="K2102">
        <v>0.97055000000000002</v>
      </c>
      <c r="L2102">
        <v>1.0903</v>
      </c>
      <c r="M2102">
        <v>6.9699999999999996E-3</v>
      </c>
      <c r="N2102">
        <v>1</v>
      </c>
      <c r="P2102">
        <v>1.3585499999999999</v>
      </c>
      <c r="Q2102">
        <v>0.98170000000000002</v>
      </c>
      <c r="R2102">
        <v>1.03034</v>
      </c>
      <c r="S2102">
        <v>0.91717000000000004</v>
      </c>
      <c r="T2102">
        <v>143.285</v>
      </c>
      <c r="U2102">
        <v>1</v>
      </c>
    </row>
    <row r="2103" spans="1:22" hidden="1" outlineLevel="1">
      <c r="A2103" s="8">
        <v>44829</v>
      </c>
      <c r="B2103" s="1860">
        <v>3258.2312000000002</v>
      </c>
      <c r="C2103" s="1860">
        <v>4508.98441</v>
      </c>
      <c r="D2103" s="1860">
        <v>4296.1104500000001</v>
      </c>
      <c r="E2103" s="1860">
        <v>4826.1802399999997</v>
      </c>
      <c r="F2103">
        <v>30.892759999999999</v>
      </c>
      <c r="G2103" s="1861">
        <v>4426.47</v>
      </c>
      <c r="I2103">
        <v>0.73607</v>
      </c>
      <c r="J2103">
        <v>1.01864</v>
      </c>
      <c r="K2103">
        <v>0.97055000000000002</v>
      </c>
      <c r="L2103">
        <v>1.0903</v>
      </c>
      <c r="M2103">
        <v>6.9699999999999996E-3</v>
      </c>
      <c r="N2103">
        <v>1</v>
      </c>
      <c r="P2103">
        <v>1.3585499999999999</v>
      </c>
      <c r="Q2103">
        <v>0.98170000000000002</v>
      </c>
      <c r="R2103">
        <v>1.03034</v>
      </c>
      <c r="S2103">
        <v>0.91717000000000004</v>
      </c>
      <c r="T2103">
        <v>143.285</v>
      </c>
      <c r="U2103">
        <v>1</v>
      </c>
    </row>
    <row r="2104" spans="1:22" hidden="1" outlineLevel="1">
      <c r="A2104" s="8">
        <v>44830</v>
      </c>
      <c r="B2104" s="1860">
        <v>3234.6596500000001</v>
      </c>
      <c r="C2104" s="1860">
        <v>4466.6700300000002</v>
      </c>
      <c r="D2104" s="1860">
        <v>4270.8795700000001</v>
      </c>
      <c r="E2104" s="1860">
        <v>4776.6037699999997</v>
      </c>
      <c r="F2104">
        <v>30.663779999999999</v>
      </c>
      <c r="G2104" s="1861">
        <v>4426.47</v>
      </c>
      <c r="I2104">
        <v>0.73075000000000001</v>
      </c>
      <c r="J2104">
        <v>1.00908</v>
      </c>
      <c r="K2104">
        <v>0.96484999999999999</v>
      </c>
      <c r="L2104">
        <v>1.0790999999999999</v>
      </c>
      <c r="M2104">
        <v>6.9199999999999999E-3</v>
      </c>
      <c r="N2104">
        <v>1</v>
      </c>
      <c r="P2104">
        <v>1.3684499999999999</v>
      </c>
      <c r="Q2104">
        <v>0.99099999999999999</v>
      </c>
      <c r="R2104">
        <v>1.03643</v>
      </c>
      <c r="S2104">
        <v>0.92669000000000001</v>
      </c>
      <c r="T2104">
        <v>144.35499999999999</v>
      </c>
      <c r="U2104">
        <v>1</v>
      </c>
    </row>
    <row r="2105" spans="1:22" hidden="1" outlineLevel="1">
      <c r="A2105" s="8">
        <v>44831</v>
      </c>
      <c r="B2105" s="1860">
        <v>3276.1373899999999</v>
      </c>
      <c r="C2105" s="1860">
        <v>4543.5614999999998</v>
      </c>
      <c r="D2105" s="1860">
        <v>4326.5540700000001</v>
      </c>
      <c r="E2105" s="1860">
        <v>4845.5067200000003</v>
      </c>
      <c r="F2105">
        <v>31.070499999999999</v>
      </c>
      <c r="G2105" s="1861">
        <v>4496.99</v>
      </c>
      <c r="I2105">
        <v>0.72850999999999999</v>
      </c>
      <c r="J2105">
        <v>1.0103500000000001</v>
      </c>
      <c r="K2105">
        <v>0.96209999999999996</v>
      </c>
      <c r="L2105">
        <v>1.0774999999999999</v>
      </c>
      <c r="M2105">
        <v>6.8999999999999999E-3</v>
      </c>
      <c r="N2105">
        <v>1</v>
      </c>
      <c r="P2105">
        <v>1.3726499999999999</v>
      </c>
      <c r="Q2105">
        <v>0.98975000000000002</v>
      </c>
      <c r="R2105">
        <v>1.03939</v>
      </c>
      <c r="S2105">
        <v>0.92806999999999995</v>
      </c>
      <c r="T2105">
        <v>144.73500000000001</v>
      </c>
      <c r="U2105">
        <v>1</v>
      </c>
    </row>
    <row r="2106" spans="1:22" hidden="1" outlineLevel="1">
      <c r="A2106" s="8">
        <v>44832</v>
      </c>
      <c r="B2106" s="1860">
        <v>3329.3778000000002</v>
      </c>
      <c r="C2106" s="1860">
        <v>4642.5391</v>
      </c>
      <c r="D2106" s="1860">
        <v>4388.0602799999997</v>
      </c>
      <c r="E2106" s="1860">
        <v>4896.5567499999997</v>
      </c>
      <c r="F2106">
        <v>31.513780000000001</v>
      </c>
      <c r="G2106" s="2174">
        <v>4556.42</v>
      </c>
      <c r="I2106">
        <v>0.73070000000000002</v>
      </c>
      <c r="J2106">
        <v>1.0188999999999999</v>
      </c>
      <c r="K2106">
        <v>0.96304999999999996</v>
      </c>
      <c r="L2106">
        <v>1.0746500000000001</v>
      </c>
      <c r="M2106">
        <v>6.9100000000000003E-3</v>
      </c>
      <c r="N2106">
        <v>1</v>
      </c>
      <c r="P2106">
        <v>1.3685499999999999</v>
      </c>
      <c r="Q2106">
        <v>0.98145000000000004</v>
      </c>
      <c r="R2106">
        <v>1.0383599999999999</v>
      </c>
      <c r="S2106">
        <v>0.93052999999999997</v>
      </c>
      <c r="T2106">
        <v>144.58500000000001</v>
      </c>
      <c r="U2106">
        <v>1</v>
      </c>
    </row>
    <row r="2107" spans="1:22" hidden="1" outlineLevel="1">
      <c r="A2107" s="8">
        <v>44833</v>
      </c>
      <c r="B2107" s="1860">
        <v>3271.67596</v>
      </c>
      <c r="C2107" s="1860">
        <v>4573.8430099999996</v>
      </c>
      <c r="D2107" s="1860">
        <v>4382.1699500000004</v>
      </c>
      <c r="E2107" s="1860">
        <v>4951.1139400000002</v>
      </c>
      <c r="F2107">
        <v>31.031079999999999</v>
      </c>
      <c r="G2107" s="1861">
        <v>4486.9399999999996</v>
      </c>
      <c r="I2107">
        <v>0.72914999999999996</v>
      </c>
      <c r="J2107">
        <v>1.01936</v>
      </c>
      <c r="K2107">
        <v>0.97665000000000002</v>
      </c>
      <c r="L2107">
        <v>1.10345</v>
      </c>
      <c r="M2107">
        <v>6.9100000000000003E-3</v>
      </c>
      <c r="N2107">
        <v>1</v>
      </c>
      <c r="P2107">
        <v>1.3714500000000001</v>
      </c>
      <c r="Q2107">
        <v>0.98099999999999998</v>
      </c>
      <c r="R2107">
        <v>1.0239</v>
      </c>
      <c r="S2107">
        <v>0.90624000000000005</v>
      </c>
      <c r="T2107">
        <v>144.595</v>
      </c>
      <c r="U2107">
        <v>1</v>
      </c>
    </row>
    <row r="2108" spans="1:22" ht="15.75" hidden="1" outlineLevel="1" thickBot="1">
      <c r="A2108" s="1868">
        <v>44834</v>
      </c>
      <c r="B2108" s="1869">
        <v>3298.3297499999999</v>
      </c>
      <c r="C2108" s="1869">
        <v>4604.5923199999997</v>
      </c>
      <c r="D2108" s="1869">
        <v>4439.8423700000003</v>
      </c>
      <c r="E2108" s="1869">
        <v>5059.1497399999998</v>
      </c>
      <c r="F2108" s="1870">
        <v>31.31071</v>
      </c>
      <c r="G2108" s="1871">
        <v>4532.07</v>
      </c>
      <c r="H2108" s="1872"/>
      <c r="I2108" s="1870">
        <v>0.72777000000000003</v>
      </c>
      <c r="J2108" s="1870">
        <v>1.016</v>
      </c>
      <c r="K2108" s="1870">
        <v>0.97965000000000002</v>
      </c>
      <c r="L2108" s="1870">
        <v>1.1163000000000001</v>
      </c>
      <c r="M2108" s="1870">
        <v>6.8999999999999999E-3</v>
      </c>
      <c r="N2108" s="1870">
        <v>1</v>
      </c>
      <c r="O2108" s="1872"/>
      <c r="P2108" s="1870">
        <v>1.37405</v>
      </c>
      <c r="Q2108" s="1870">
        <v>0.98424999999999996</v>
      </c>
      <c r="R2108" s="1870">
        <v>1.02077</v>
      </c>
      <c r="S2108" s="1870">
        <v>0.89581</v>
      </c>
      <c r="T2108" s="1870">
        <v>144.745</v>
      </c>
      <c r="U2108" s="1870">
        <v>1</v>
      </c>
      <c r="V2108" s="1872"/>
    </row>
    <row r="2109" spans="1:22" hidden="1" outlineLevel="1">
      <c r="A2109" s="8">
        <v>44835</v>
      </c>
      <c r="B2109" s="1860">
        <v>3340.8827900000001</v>
      </c>
      <c r="C2109" s="1860">
        <v>4663.9979599999997</v>
      </c>
      <c r="D2109" s="1860">
        <v>4497.1225100000001</v>
      </c>
      <c r="E2109" s="1860">
        <v>5124.4197999999997</v>
      </c>
      <c r="F2109">
        <v>31.714670000000002</v>
      </c>
      <c r="G2109" s="1861">
        <v>4590.54</v>
      </c>
      <c r="I2109">
        <v>0.72777000000000003</v>
      </c>
      <c r="J2109">
        <v>1.016</v>
      </c>
      <c r="K2109">
        <v>0.97965000000000002</v>
      </c>
      <c r="L2109">
        <v>1.1163000000000001</v>
      </c>
      <c r="M2109">
        <v>6.8999999999999999E-3</v>
      </c>
      <c r="N2109">
        <v>1</v>
      </c>
      <c r="P2109">
        <v>1.37405</v>
      </c>
      <c r="Q2109">
        <v>0.98424999999999996</v>
      </c>
      <c r="R2109">
        <v>1.02077</v>
      </c>
      <c r="S2109">
        <v>0.89581</v>
      </c>
      <c r="T2109">
        <v>144.745</v>
      </c>
      <c r="U2109">
        <v>1</v>
      </c>
    </row>
    <row r="2110" spans="1:22" hidden="1" outlineLevel="1">
      <c r="A2110" s="8">
        <v>44836</v>
      </c>
      <c r="B2110" s="1860">
        <v>3340.8827900000001</v>
      </c>
      <c r="C2110" s="1860">
        <v>4663.9979599999997</v>
      </c>
      <c r="D2110" s="1860">
        <v>4497.1225100000001</v>
      </c>
      <c r="E2110" s="1860">
        <v>5124.4197999999997</v>
      </c>
      <c r="F2110">
        <v>31.714670000000002</v>
      </c>
      <c r="G2110" s="1861">
        <v>4590.54</v>
      </c>
      <c r="I2110">
        <v>0.72777000000000003</v>
      </c>
      <c r="J2110">
        <v>1.016</v>
      </c>
      <c r="K2110">
        <v>0.97965000000000002</v>
      </c>
      <c r="L2110">
        <v>1.1163000000000001</v>
      </c>
      <c r="M2110">
        <v>6.8999999999999999E-3</v>
      </c>
      <c r="N2110">
        <v>1</v>
      </c>
      <c r="P2110">
        <v>1.37405</v>
      </c>
      <c r="Q2110">
        <v>0.98424999999999996</v>
      </c>
      <c r="R2110">
        <v>1.02077</v>
      </c>
      <c r="S2110">
        <v>0.89581</v>
      </c>
      <c r="T2110">
        <v>144.745</v>
      </c>
      <c r="U2110">
        <v>1</v>
      </c>
    </row>
    <row r="2111" spans="1:22" hidden="1" outlineLevel="1">
      <c r="A2111" s="8">
        <v>44837</v>
      </c>
      <c r="B2111" s="1860">
        <v>3359.4643000000001</v>
      </c>
      <c r="C2111" s="1860">
        <v>4633.6327799999999</v>
      </c>
      <c r="D2111" s="1860">
        <v>4506.7626399999999</v>
      </c>
      <c r="E2111" s="1860">
        <v>5178.1291199999996</v>
      </c>
      <c r="F2111">
        <v>31.776129999999998</v>
      </c>
      <c r="G2111" s="1861">
        <v>4590.54</v>
      </c>
      <c r="I2111">
        <v>0.73182000000000003</v>
      </c>
      <c r="J2111">
        <v>1.0093799999999999</v>
      </c>
      <c r="K2111">
        <v>0.98175000000000001</v>
      </c>
      <c r="L2111">
        <v>1.1279999999999999</v>
      </c>
      <c r="M2111">
        <v>6.9199999999999999E-3</v>
      </c>
      <c r="N2111">
        <v>1</v>
      </c>
      <c r="P2111">
        <v>1.3664499999999999</v>
      </c>
      <c r="Q2111">
        <v>0.99070000000000003</v>
      </c>
      <c r="R2111">
        <v>1.01858</v>
      </c>
      <c r="S2111">
        <v>0.88651999999999997</v>
      </c>
      <c r="T2111">
        <v>144.465</v>
      </c>
      <c r="U2111">
        <v>1</v>
      </c>
    </row>
    <row r="2112" spans="1:22" hidden="1" outlineLevel="1">
      <c r="A2112" s="8">
        <v>44838</v>
      </c>
      <c r="B2112" s="1860">
        <v>3344.4873600000001</v>
      </c>
      <c r="C2112" s="1860">
        <v>4632.2837</v>
      </c>
      <c r="D2112" s="1860">
        <v>4525.8863700000002</v>
      </c>
      <c r="E2112" s="1860">
        <v>5183.4160899999997</v>
      </c>
      <c r="F2112">
        <v>31.467649999999999</v>
      </c>
      <c r="G2112" s="1861">
        <v>4545.66</v>
      </c>
      <c r="I2112">
        <v>0.73575000000000002</v>
      </c>
      <c r="J2112">
        <v>1.01905</v>
      </c>
      <c r="K2112">
        <v>0.99565000000000003</v>
      </c>
      <c r="L2112">
        <v>1.1403000000000001</v>
      </c>
      <c r="M2112">
        <v>6.9199999999999999E-3</v>
      </c>
      <c r="N2112">
        <v>1</v>
      </c>
      <c r="P2112">
        <v>1.3591500000000001</v>
      </c>
      <c r="Q2112">
        <v>0.98129999999999995</v>
      </c>
      <c r="R2112">
        <v>1.0043599999999999</v>
      </c>
      <c r="S2112">
        <v>0.87695999999999996</v>
      </c>
      <c r="T2112">
        <v>144.45500000000001</v>
      </c>
      <c r="U2112">
        <v>1</v>
      </c>
    </row>
    <row r="2113" spans="1:21" hidden="1" outlineLevel="1">
      <c r="A2113" s="8">
        <v>44839</v>
      </c>
      <c r="B2113" s="1860">
        <v>3276.1633400000001</v>
      </c>
      <c r="C2113" s="1860">
        <v>4549.5713900000001</v>
      </c>
      <c r="D2113" s="1860">
        <v>4419.9354999999996</v>
      </c>
      <c r="E2113" s="1860">
        <v>5042.6416499999996</v>
      </c>
      <c r="F2113">
        <v>30.97944</v>
      </c>
      <c r="G2113" s="1861">
        <v>4484.74</v>
      </c>
      <c r="I2113">
        <v>0.73050999999999999</v>
      </c>
      <c r="J2113">
        <v>1.0144500000000001</v>
      </c>
      <c r="K2113">
        <v>0.98555000000000004</v>
      </c>
      <c r="L2113">
        <v>1.1244000000000001</v>
      </c>
      <c r="M2113">
        <v>6.8999999999999999E-3</v>
      </c>
      <c r="N2113">
        <v>1</v>
      </c>
      <c r="P2113">
        <v>1.3689</v>
      </c>
      <c r="Q2113">
        <v>0.98575000000000002</v>
      </c>
      <c r="R2113">
        <v>1.0146599999999999</v>
      </c>
      <c r="S2113">
        <v>0.88936000000000004</v>
      </c>
      <c r="T2113">
        <v>144.76499999999999</v>
      </c>
      <c r="U2113">
        <v>1</v>
      </c>
    </row>
    <row r="2114" spans="1:21" hidden="1" outlineLevel="1">
      <c r="A2114" s="8">
        <v>44840</v>
      </c>
      <c r="B2114" s="1860">
        <v>3315.0342500000002</v>
      </c>
      <c r="C2114" s="1860">
        <v>4598.3219600000002</v>
      </c>
      <c r="D2114" s="1860">
        <v>4476.7900900000004</v>
      </c>
      <c r="E2114" s="1860">
        <v>5092.4823500000002</v>
      </c>
      <c r="F2114">
        <v>31.396550000000001</v>
      </c>
      <c r="G2114" s="1861">
        <v>4548.8900000000003</v>
      </c>
      <c r="I2114">
        <v>0.72875000000000001</v>
      </c>
      <c r="J2114">
        <v>1.0108600000000001</v>
      </c>
      <c r="K2114">
        <v>0.98414999999999997</v>
      </c>
      <c r="L2114">
        <v>1.1194999999999999</v>
      </c>
      <c r="M2114">
        <v>6.8999999999999999E-3</v>
      </c>
      <c r="N2114">
        <v>1</v>
      </c>
      <c r="P2114">
        <v>1.3722000000000001</v>
      </c>
      <c r="Q2114">
        <v>0.98924999999999996</v>
      </c>
      <c r="R2114">
        <v>1.0161</v>
      </c>
      <c r="S2114">
        <v>0.89324999999999999</v>
      </c>
      <c r="T2114">
        <v>144.88499999999999</v>
      </c>
      <c r="U2114">
        <v>1</v>
      </c>
    </row>
    <row r="2115" spans="1:21" hidden="1" outlineLevel="1">
      <c r="A2115" s="8">
        <v>44841</v>
      </c>
      <c r="B2115" s="1860">
        <v>3380.6552900000002</v>
      </c>
      <c r="C2115" s="1860">
        <v>4665.6349200000004</v>
      </c>
      <c r="D2115" s="1860">
        <v>4528.3477599999997</v>
      </c>
      <c r="E2115" s="1860">
        <v>5152.14959</v>
      </c>
      <c r="F2115">
        <v>31.883759999999999</v>
      </c>
      <c r="G2115" s="1861">
        <v>4627.6099999999997</v>
      </c>
      <c r="I2115">
        <v>0.73053999999999997</v>
      </c>
      <c r="J2115">
        <v>1.0082100000000001</v>
      </c>
      <c r="K2115">
        <v>0.97855000000000003</v>
      </c>
      <c r="L2115">
        <v>1.1133500000000001</v>
      </c>
      <c r="M2115">
        <v>6.8799999999999998E-3</v>
      </c>
      <c r="N2115">
        <v>1</v>
      </c>
      <c r="P2115">
        <v>1.3688499999999999</v>
      </c>
      <c r="Q2115">
        <v>0.99185000000000001</v>
      </c>
      <c r="R2115">
        <v>1.0219199999999999</v>
      </c>
      <c r="S2115">
        <v>0.89819000000000004</v>
      </c>
      <c r="T2115">
        <v>145.13999999999999</v>
      </c>
      <c r="U2115">
        <v>1</v>
      </c>
    </row>
    <row r="2116" spans="1:21" hidden="1" outlineLevel="1">
      <c r="A2116" s="8">
        <v>44842</v>
      </c>
      <c r="B2116" s="1860">
        <v>3364.3496300000002</v>
      </c>
      <c r="C2116" s="1860">
        <v>4643.1315199999999</v>
      </c>
      <c r="D2116" s="1860">
        <v>4506.5065199999999</v>
      </c>
      <c r="E2116" s="1860">
        <v>5127.2996199999998</v>
      </c>
      <c r="F2116">
        <v>31.729980000000001</v>
      </c>
      <c r="G2116" s="1861">
        <v>4605.29</v>
      </c>
      <c r="I2116">
        <v>0.73053999999999997</v>
      </c>
      <c r="J2116">
        <v>1.0082100000000001</v>
      </c>
      <c r="K2116">
        <v>0.97855000000000003</v>
      </c>
      <c r="L2116">
        <v>1.1133500000000001</v>
      </c>
      <c r="M2116">
        <v>6.8799999999999998E-3</v>
      </c>
      <c r="N2116">
        <v>1</v>
      </c>
      <c r="P2116">
        <v>1.3688499999999999</v>
      </c>
      <c r="Q2116">
        <v>0.99185000000000001</v>
      </c>
      <c r="R2116">
        <v>1.0219199999999999</v>
      </c>
      <c r="S2116">
        <v>0.89819000000000004</v>
      </c>
      <c r="T2116">
        <v>145.13999999999999</v>
      </c>
      <c r="U2116">
        <v>1</v>
      </c>
    </row>
    <row r="2117" spans="1:21" hidden="1" outlineLevel="1">
      <c r="A2117" s="8">
        <v>44843</v>
      </c>
      <c r="B2117" s="1860">
        <v>3364.3496300000002</v>
      </c>
      <c r="C2117" s="1860">
        <v>4643.1315199999999</v>
      </c>
      <c r="D2117" s="1860">
        <v>4506.5065199999999</v>
      </c>
      <c r="E2117" s="1860">
        <v>5127.2996199999998</v>
      </c>
      <c r="F2117">
        <v>31.729980000000001</v>
      </c>
      <c r="G2117" s="1861">
        <v>4605.29</v>
      </c>
      <c r="I2117">
        <v>0.73053999999999997</v>
      </c>
      <c r="J2117">
        <v>1.0082100000000001</v>
      </c>
      <c r="K2117">
        <v>0.97855000000000003</v>
      </c>
      <c r="L2117">
        <v>1.1133500000000001</v>
      </c>
      <c r="M2117">
        <v>6.8799999999999998E-3</v>
      </c>
      <c r="N2117">
        <v>1</v>
      </c>
      <c r="P2117">
        <v>1.3688499999999999</v>
      </c>
      <c r="Q2117">
        <v>0.99185000000000001</v>
      </c>
      <c r="R2117">
        <v>1.0219199999999999</v>
      </c>
      <c r="S2117">
        <v>0.89819000000000004</v>
      </c>
      <c r="T2117">
        <v>145.13999999999999</v>
      </c>
      <c r="U2117">
        <v>1</v>
      </c>
    </row>
    <row r="2118" spans="1:21" hidden="1" outlineLevel="1">
      <c r="A2118" s="8">
        <v>44844</v>
      </c>
      <c r="B2118" s="1860">
        <v>3348.5712199999998</v>
      </c>
      <c r="C2118" s="1860">
        <v>4605.52027</v>
      </c>
      <c r="D2118" s="1860">
        <v>4468.28262</v>
      </c>
      <c r="E2118" s="1860">
        <v>5087.9243900000001</v>
      </c>
      <c r="F2118">
        <v>31.598269999999999</v>
      </c>
      <c r="G2118" s="1861">
        <v>4605.29</v>
      </c>
      <c r="I2118">
        <v>0.72711000000000003</v>
      </c>
      <c r="J2118">
        <v>1.0000500000000001</v>
      </c>
      <c r="K2118">
        <v>0.97024999999999995</v>
      </c>
      <c r="L2118">
        <v>1.1048</v>
      </c>
      <c r="M2118">
        <v>6.8599999999999998E-3</v>
      </c>
      <c r="N2118">
        <v>1</v>
      </c>
      <c r="P2118">
        <v>1.3753</v>
      </c>
      <c r="Q2118">
        <v>0.99995000000000001</v>
      </c>
      <c r="R2118">
        <v>1.0306599999999999</v>
      </c>
      <c r="S2118">
        <v>0.90513999999999994</v>
      </c>
      <c r="T2118">
        <v>145.745</v>
      </c>
      <c r="U2118">
        <v>1</v>
      </c>
    </row>
    <row r="2119" spans="1:21" hidden="1" outlineLevel="1">
      <c r="A2119" s="8">
        <v>44845</v>
      </c>
      <c r="B2119" s="1860">
        <v>3330.04808</v>
      </c>
      <c r="C2119" s="1860">
        <v>4617.7579400000004</v>
      </c>
      <c r="D2119" s="1860">
        <v>4471.2760600000001</v>
      </c>
      <c r="E2119" s="1860">
        <v>5105.4244900000003</v>
      </c>
      <c r="F2119">
        <v>31.600429999999999</v>
      </c>
      <c r="G2119" s="1861">
        <v>4605.29</v>
      </c>
      <c r="I2119">
        <v>0.72309000000000001</v>
      </c>
      <c r="J2119">
        <v>1.0026999999999999</v>
      </c>
      <c r="K2119">
        <v>0.97089999999999999</v>
      </c>
      <c r="L2119">
        <v>1.1086</v>
      </c>
      <c r="M2119">
        <v>6.8599999999999998E-3</v>
      </c>
      <c r="N2119">
        <v>1</v>
      </c>
      <c r="P2119">
        <v>1.3829499999999999</v>
      </c>
      <c r="Q2119">
        <v>0.99729999999999996</v>
      </c>
      <c r="R2119">
        <v>1.0299700000000001</v>
      </c>
      <c r="S2119">
        <v>0.90203</v>
      </c>
      <c r="T2119">
        <v>145.73500000000001</v>
      </c>
      <c r="U2119">
        <v>1</v>
      </c>
    </row>
    <row r="2120" spans="1:21" hidden="1" outlineLevel="1">
      <c r="A2120" s="8">
        <v>44846</v>
      </c>
      <c r="B2120" s="1860">
        <v>3345.6998800000001</v>
      </c>
      <c r="C2120" s="1860">
        <v>4618.3456800000004</v>
      </c>
      <c r="D2120" s="1860">
        <v>4473.7541899999997</v>
      </c>
      <c r="E2120" s="1860">
        <v>5106.2735300000004</v>
      </c>
      <c r="F2120">
        <v>31.404309999999999</v>
      </c>
      <c r="G2120" s="1861">
        <v>4611.88</v>
      </c>
      <c r="I2120">
        <v>0.72545000000000004</v>
      </c>
      <c r="J2120">
        <v>1.0014000000000001</v>
      </c>
      <c r="K2120">
        <v>0.97004999999999997</v>
      </c>
      <c r="L2120">
        <v>1.1072</v>
      </c>
      <c r="M2120">
        <v>6.7999999999999996E-3</v>
      </c>
      <c r="N2120">
        <v>1</v>
      </c>
      <c r="P2120">
        <v>1.37845</v>
      </c>
      <c r="Q2120">
        <v>0.99860000000000004</v>
      </c>
      <c r="R2120">
        <v>1.03087</v>
      </c>
      <c r="S2120">
        <v>0.90317000000000003</v>
      </c>
      <c r="T2120">
        <v>146.85499999999999</v>
      </c>
      <c r="U2120">
        <v>1</v>
      </c>
    </row>
    <row r="2121" spans="1:21" hidden="1" outlineLevel="1">
      <c r="A2121" s="8">
        <v>44847</v>
      </c>
      <c r="B2121" s="1860">
        <v>3322.4151499999998</v>
      </c>
      <c r="C2121" s="1860">
        <v>4592.3513499999999</v>
      </c>
      <c r="D2121" s="1860">
        <v>4480.4530400000003</v>
      </c>
      <c r="E2121" s="1860">
        <v>5180.6607299999996</v>
      </c>
      <c r="F2121">
        <v>31.28875</v>
      </c>
      <c r="G2121" s="1861">
        <v>4611.18</v>
      </c>
      <c r="I2121">
        <v>0.72050999999999998</v>
      </c>
      <c r="J2121">
        <v>0.99590999999999996</v>
      </c>
      <c r="K2121">
        <v>0.97165000000000001</v>
      </c>
      <c r="L2121">
        <v>1.1234999999999999</v>
      </c>
      <c r="M2121">
        <v>6.7799999999999996E-3</v>
      </c>
      <c r="N2121">
        <v>1</v>
      </c>
      <c r="P2121">
        <v>1.3878999999999999</v>
      </c>
      <c r="Q2121">
        <v>1.0041</v>
      </c>
      <c r="R2121">
        <v>1.0291699999999999</v>
      </c>
      <c r="S2121">
        <v>0.89007000000000003</v>
      </c>
      <c r="T2121">
        <v>147.375</v>
      </c>
      <c r="U2121">
        <v>1</v>
      </c>
    </row>
    <row r="2122" spans="1:21" hidden="1" outlineLevel="1">
      <c r="A2122" s="8">
        <v>44848</v>
      </c>
      <c r="B2122" s="1860">
        <v>3329.9311600000001</v>
      </c>
      <c r="C2122" s="1860">
        <v>4604.3554000000004</v>
      </c>
      <c r="D2122" s="1860">
        <v>4505.9024200000003</v>
      </c>
      <c r="E2122" s="1860">
        <v>5198.86942</v>
      </c>
      <c r="F2122">
        <v>31.137930000000001</v>
      </c>
      <c r="G2122" s="1861">
        <v>4619.78</v>
      </c>
      <c r="I2122">
        <v>0.72079000000000004</v>
      </c>
      <c r="J2122">
        <v>0.99665999999999999</v>
      </c>
      <c r="K2122">
        <v>0.97535000000000005</v>
      </c>
      <c r="L2122">
        <v>1.1253500000000001</v>
      </c>
      <c r="M2122">
        <v>6.7400000000000003E-3</v>
      </c>
      <c r="N2122">
        <v>1</v>
      </c>
      <c r="P2122">
        <v>1.3873500000000001</v>
      </c>
      <c r="Q2122">
        <v>1.00335</v>
      </c>
      <c r="R2122">
        <v>1.0252699999999999</v>
      </c>
      <c r="S2122">
        <v>0.88861000000000001</v>
      </c>
      <c r="T2122">
        <v>148.36500000000001</v>
      </c>
      <c r="U2122">
        <v>1</v>
      </c>
    </row>
    <row r="2123" spans="1:21" hidden="1" outlineLevel="1">
      <c r="A2123" s="8">
        <v>44849</v>
      </c>
      <c r="B2123" s="1860">
        <v>3342.2207800000001</v>
      </c>
      <c r="C2123" s="1860">
        <v>4621.3484799999997</v>
      </c>
      <c r="D2123" s="1860">
        <v>4522.5321400000003</v>
      </c>
      <c r="E2123" s="1860">
        <v>5218.0566399999998</v>
      </c>
      <c r="F2123">
        <v>31.252849999999999</v>
      </c>
      <c r="G2123" s="1861">
        <v>4636.83</v>
      </c>
      <c r="I2123">
        <v>0.72079000000000004</v>
      </c>
      <c r="J2123">
        <v>0.99665999999999999</v>
      </c>
      <c r="K2123">
        <v>0.97535000000000005</v>
      </c>
      <c r="L2123">
        <v>1.1253500000000001</v>
      </c>
      <c r="M2123">
        <v>6.7400000000000003E-3</v>
      </c>
      <c r="N2123">
        <v>1</v>
      </c>
      <c r="P2123">
        <v>1.3873500000000001</v>
      </c>
      <c r="Q2123">
        <v>1.00335</v>
      </c>
      <c r="R2123">
        <v>1.0252699999999999</v>
      </c>
      <c r="S2123">
        <v>0.88861000000000001</v>
      </c>
      <c r="T2123">
        <v>148.36500000000001</v>
      </c>
      <c r="U2123">
        <v>1</v>
      </c>
    </row>
    <row r="2124" spans="1:21" hidden="1" outlineLevel="1">
      <c r="A2124" s="8">
        <v>44850</v>
      </c>
      <c r="B2124" s="1860">
        <v>3342.2207800000001</v>
      </c>
      <c r="C2124" s="1860">
        <v>4621.3484799999997</v>
      </c>
      <c r="D2124" s="1860">
        <v>4522.5321400000003</v>
      </c>
      <c r="E2124" s="1860">
        <v>5218.0566399999998</v>
      </c>
      <c r="F2124">
        <v>31.252849999999999</v>
      </c>
      <c r="G2124" s="1861">
        <v>4636.83</v>
      </c>
      <c r="I2124">
        <v>0.72079000000000004</v>
      </c>
      <c r="J2124">
        <v>0.99665999999999999</v>
      </c>
      <c r="K2124">
        <v>0.97535000000000005</v>
      </c>
      <c r="L2124">
        <v>1.1253500000000001</v>
      </c>
      <c r="M2124">
        <v>6.7400000000000003E-3</v>
      </c>
      <c r="N2124">
        <v>1</v>
      </c>
      <c r="P2124">
        <v>1.3873500000000001</v>
      </c>
      <c r="Q2124">
        <v>1.00335</v>
      </c>
      <c r="R2124">
        <v>1.0252699999999999</v>
      </c>
      <c r="S2124">
        <v>0.88861000000000001</v>
      </c>
      <c r="T2124">
        <v>148.36500000000001</v>
      </c>
      <c r="U2124">
        <v>1</v>
      </c>
    </row>
    <row r="2125" spans="1:21" hidden="1" outlineLevel="1">
      <c r="A2125" s="8">
        <v>44851</v>
      </c>
      <c r="B2125" s="1860">
        <v>3376.6603500000001</v>
      </c>
      <c r="C2125" s="1860">
        <v>4652.8824400000003</v>
      </c>
      <c r="D2125" s="1860">
        <v>4551.7441600000002</v>
      </c>
      <c r="E2125" s="1860">
        <v>5300.3603700000003</v>
      </c>
      <c r="F2125">
        <v>31.174060000000001</v>
      </c>
      <c r="G2125" s="1861">
        <v>4636.83</v>
      </c>
      <c r="I2125">
        <v>0.72821999999999998</v>
      </c>
      <c r="J2125">
        <v>1.00346</v>
      </c>
      <c r="K2125">
        <v>0.98165000000000002</v>
      </c>
      <c r="L2125">
        <v>1.1431</v>
      </c>
      <c r="M2125">
        <v>6.7200000000000003E-3</v>
      </c>
      <c r="N2125">
        <v>1</v>
      </c>
      <c r="P2125">
        <v>1.3732</v>
      </c>
      <c r="Q2125">
        <v>0.99655000000000005</v>
      </c>
      <c r="R2125">
        <v>1.0186900000000001</v>
      </c>
      <c r="S2125">
        <v>0.87480999999999998</v>
      </c>
      <c r="T2125">
        <v>148.74</v>
      </c>
      <c r="U2125">
        <v>1</v>
      </c>
    </row>
    <row r="2126" spans="1:21" hidden="1" outlineLevel="1">
      <c r="A2126" s="8">
        <v>44852</v>
      </c>
      <c r="B2126" s="1860">
        <v>3371.99476</v>
      </c>
      <c r="C2126" s="1860">
        <v>4660.8332899999996</v>
      </c>
      <c r="D2126" s="1860">
        <v>4567.5093900000002</v>
      </c>
      <c r="E2126" s="1860">
        <v>5248.1960300000001</v>
      </c>
      <c r="F2126">
        <v>31.099830000000001</v>
      </c>
      <c r="G2126" s="1861">
        <v>4636.83</v>
      </c>
      <c r="I2126">
        <v>0.72721000000000002</v>
      </c>
      <c r="J2126">
        <v>1.0051699999999999</v>
      </c>
      <c r="K2126">
        <v>0.98504999999999998</v>
      </c>
      <c r="L2126">
        <v>1.13185</v>
      </c>
      <c r="M2126">
        <v>6.7000000000000002E-3</v>
      </c>
      <c r="N2126">
        <v>1</v>
      </c>
      <c r="P2126">
        <v>1.3751</v>
      </c>
      <c r="Q2126">
        <v>0.99485000000000001</v>
      </c>
      <c r="R2126">
        <v>1.0151699999999999</v>
      </c>
      <c r="S2126">
        <v>0.88349999999999995</v>
      </c>
      <c r="T2126">
        <v>149.095</v>
      </c>
      <c r="U2126">
        <v>1</v>
      </c>
    </row>
    <row r="2127" spans="1:21" hidden="1" outlineLevel="1">
      <c r="A2127" s="8">
        <v>44853</v>
      </c>
      <c r="B2127" s="1860">
        <v>3443.1993000000002</v>
      </c>
      <c r="C2127" s="1860">
        <v>4725.8454899999997</v>
      </c>
      <c r="D2127" s="1860">
        <v>4644.65236</v>
      </c>
      <c r="E2127" s="1860">
        <v>5341.3146299999999</v>
      </c>
      <c r="F2127">
        <v>31.685020000000002</v>
      </c>
      <c r="G2127" s="1861">
        <v>4744.04</v>
      </c>
      <c r="I2127">
        <v>0.72579000000000005</v>
      </c>
      <c r="J2127">
        <v>0.99616000000000005</v>
      </c>
      <c r="K2127">
        <v>0.97904999999999998</v>
      </c>
      <c r="L2127">
        <v>1.1258999999999999</v>
      </c>
      <c r="M2127">
        <v>6.6699999999999997E-3</v>
      </c>
      <c r="N2127">
        <v>1</v>
      </c>
      <c r="P2127">
        <v>1.3777999999999999</v>
      </c>
      <c r="Q2127">
        <v>1.0038499999999999</v>
      </c>
      <c r="R2127">
        <v>1.02139</v>
      </c>
      <c r="S2127">
        <v>0.88817000000000002</v>
      </c>
      <c r="T2127">
        <v>149.72499999999999</v>
      </c>
      <c r="U2127">
        <v>1</v>
      </c>
    </row>
    <row r="2128" spans="1:21" hidden="1" outlineLevel="1">
      <c r="A2128" s="8">
        <v>44854</v>
      </c>
      <c r="B2128" s="1860">
        <v>3521.7334000000001</v>
      </c>
      <c r="C2128" s="1860">
        <v>4811.241</v>
      </c>
      <c r="D2128" s="1860">
        <v>4739.7338399999999</v>
      </c>
      <c r="E2128" s="1860">
        <v>5451.6448899999996</v>
      </c>
      <c r="F2128">
        <v>32.18965</v>
      </c>
      <c r="G2128" s="1861">
        <v>4815.09</v>
      </c>
      <c r="I2128">
        <v>0.73138999999999998</v>
      </c>
      <c r="J2128">
        <v>0.99919999999999998</v>
      </c>
      <c r="K2128">
        <v>0.98434999999999995</v>
      </c>
      <c r="L2128">
        <v>1.1322000000000001</v>
      </c>
      <c r="M2128">
        <v>6.6800000000000002E-3</v>
      </c>
      <c r="N2128">
        <v>1</v>
      </c>
      <c r="P2128">
        <v>1.3672500000000001</v>
      </c>
      <c r="Q2128">
        <v>1.0007999999999999</v>
      </c>
      <c r="R2128">
        <v>1.01589</v>
      </c>
      <c r="S2128">
        <v>0.88322999999999996</v>
      </c>
      <c r="T2128">
        <v>149.58500000000001</v>
      </c>
      <c r="U2128">
        <v>1</v>
      </c>
    </row>
    <row r="2129" spans="1:22" hidden="1" outlineLevel="1">
      <c r="A2129" s="8">
        <v>44855</v>
      </c>
      <c r="B2129" s="1860">
        <v>3553.47856</v>
      </c>
      <c r="C2129" s="1860">
        <v>4859.9850699999997</v>
      </c>
      <c r="D2129" s="1860">
        <v>4786.08007</v>
      </c>
      <c r="E2129" s="1860">
        <v>5455.1493</v>
      </c>
      <c r="F2129">
        <v>32.57217</v>
      </c>
      <c r="G2129" s="1861">
        <v>4885.5</v>
      </c>
      <c r="I2129">
        <v>0.72735000000000005</v>
      </c>
      <c r="J2129">
        <v>0.99477000000000004</v>
      </c>
      <c r="K2129">
        <v>0.97965000000000002</v>
      </c>
      <c r="L2129">
        <v>1.1166</v>
      </c>
      <c r="M2129">
        <v>6.6600000000000001E-3</v>
      </c>
      <c r="N2129">
        <v>1</v>
      </c>
      <c r="P2129">
        <v>1.3748499999999999</v>
      </c>
      <c r="Q2129">
        <v>1.00525</v>
      </c>
      <c r="R2129">
        <v>1.02077</v>
      </c>
      <c r="S2129">
        <v>0.89556999999999998</v>
      </c>
      <c r="T2129">
        <v>149.99</v>
      </c>
      <c r="U2129">
        <v>1</v>
      </c>
    </row>
    <row r="2130" spans="1:22" hidden="1" outlineLevel="1">
      <c r="A2130" s="8">
        <v>44856</v>
      </c>
      <c r="B2130" s="1860">
        <v>3573.6552999999999</v>
      </c>
      <c r="C2130" s="1860">
        <v>4887.5802000000003</v>
      </c>
      <c r="D2130" s="1860">
        <v>4813.2555599999996</v>
      </c>
      <c r="E2130" s="1860">
        <v>5486.1237799999999</v>
      </c>
      <c r="F2130">
        <v>32.757109999999997</v>
      </c>
      <c r="G2130" s="1861">
        <v>4913.24</v>
      </c>
      <c r="I2130">
        <v>0.72735000000000005</v>
      </c>
      <c r="J2130">
        <v>0.99477000000000004</v>
      </c>
      <c r="K2130">
        <v>0.97965000000000002</v>
      </c>
      <c r="L2130">
        <v>1.1166</v>
      </c>
      <c r="M2130">
        <v>6.6600000000000001E-3</v>
      </c>
      <c r="N2130">
        <v>1</v>
      </c>
      <c r="P2130">
        <v>1.3748499999999999</v>
      </c>
      <c r="Q2130">
        <v>1.00525</v>
      </c>
      <c r="R2130">
        <v>1.02077</v>
      </c>
      <c r="S2130">
        <v>0.89556999999999998</v>
      </c>
      <c r="T2130">
        <v>149.99</v>
      </c>
      <c r="U2130">
        <v>1</v>
      </c>
    </row>
    <row r="2131" spans="1:22" hidden="1" outlineLevel="1">
      <c r="A2131" s="8">
        <v>44857</v>
      </c>
      <c r="B2131" s="1860">
        <v>3573.6552999999999</v>
      </c>
      <c r="C2131" s="1860">
        <v>4887.5802000000003</v>
      </c>
      <c r="D2131" s="1860">
        <v>4813.2555599999996</v>
      </c>
      <c r="E2131" s="1860">
        <v>5486.1237799999999</v>
      </c>
      <c r="F2131">
        <v>32.757109999999997</v>
      </c>
      <c r="G2131" s="1861">
        <v>4913.24</v>
      </c>
      <c r="I2131">
        <v>0.72735000000000005</v>
      </c>
      <c r="J2131">
        <v>0.99477000000000004</v>
      </c>
      <c r="K2131">
        <v>0.97965000000000002</v>
      </c>
      <c r="L2131">
        <v>1.1166</v>
      </c>
      <c r="M2131">
        <v>6.6600000000000001E-3</v>
      </c>
      <c r="N2131">
        <v>1</v>
      </c>
      <c r="P2131">
        <v>1.3748499999999999</v>
      </c>
      <c r="Q2131">
        <v>1.00525</v>
      </c>
      <c r="R2131">
        <v>1.02077</v>
      </c>
      <c r="S2131">
        <v>0.89556999999999998</v>
      </c>
      <c r="T2131">
        <v>149.99</v>
      </c>
      <c r="U2131">
        <v>1</v>
      </c>
    </row>
    <row r="2132" spans="1:22" hidden="1" outlineLevel="1">
      <c r="A2132" s="8">
        <v>44858</v>
      </c>
      <c r="B2132" s="1860">
        <v>3579.38294</v>
      </c>
      <c r="C2132" s="1860">
        <v>4909.5578299999997</v>
      </c>
      <c r="D2132" s="1860">
        <v>4856.4920700000002</v>
      </c>
      <c r="E2132" s="1860">
        <v>5558.8397299999997</v>
      </c>
      <c r="F2132">
        <v>33.026850000000003</v>
      </c>
      <c r="G2132" s="1861">
        <v>4913.24</v>
      </c>
      <c r="I2132">
        <v>0.72850999999999999</v>
      </c>
      <c r="J2132">
        <v>0.99924999999999997</v>
      </c>
      <c r="K2132">
        <v>0.98845000000000005</v>
      </c>
      <c r="L2132">
        <v>1.1314</v>
      </c>
      <c r="M2132">
        <v>6.7200000000000003E-3</v>
      </c>
      <c r="N2132">
        <v>1</v>
      </c>
      <c r="P2132">
        <v>1.3726499999999999</v>
      </c>
      <c r="Q2132">
        <v>1.00075</v>
      </c>
      <c r="R2132">
        <v>1.0116799999999999</v>
      </c>
      <c r="S2132">
        <v>0.88385999999999998</v>
      </c>
      <c r="T2132">
        <v>148.76499999999999</v>
      </c>
      <c r="U2132">
        <v>1</v>
      </c>
    </row>
    <row r="2133" spans="1:22" hidden="1" outlineLevel="1">
      <c r="A2133" s="8">
        <v>44859</v>
      </c>
      <c r="B2133" s="1860">
        <v>3647.9994099999999</v>
      </c>
      <c r="C2133" s="1860">
        <v>4989.1460399999996</v>
      </c>
      <c r="D2133" s="1860">
        <v>4948.3188899999996</v>
      </c>
      <c r="E2133" s="1860">
        <v>5694.9021300000004</v>
      </c>
      <c r="F2133">
        <v>33.615929999999999</v>
      </c>
      <c r="G2133" s="2152">
        <v>4968.9399999999996</v>
      </c>
      <c r="I2133">
        <v>0.73416000000000003</v>
      </c>
      <c r="J2133">
        <v>1.00406</v>
      </c>
      <c r="K2133">
        <v>0.99585000000000001</v>
      </c>
      <c r="L2133">
        <v>1.1460999999999999</v>
      </c>
      <c r="M2133">
        <v>6.7600000000000004E-3</v>
      </c>
      <c r="N2133">
        <v>1</v>
      </c>
      <c r="P2133">
        <v>1.3621000000000001</v>
      </c>
      <c r="Q2133">
        <v>0.99595</v>
      </c>
      <c r="R2133">
        <v>1.0041599999999999</v>
      </c>
      <c r="S2133">
        <v>0.87251999999999996</v>
      </c>
      <c r="T2133">
        <v>147.815</v>
      </c>
      <c r="U2133">
        <v>1</v>
      </c>
    </row>
    <row r="2134" spans="1:22" hidden="1" outlineLevel="1">
      <c r="A2134" s="8">
        <v>44860</v>
      </c>
      <c r="B2134" s="1860">
        <v>3648.6671799999999</v>
      </c>
      <c r="C2134" s="1860">
        <v>5010.7746800000004</v>
      </c>
      <c r="D2134" s="1860">
        <v>4972.1384699999999</v>
      </c>
      <c r="E2134" s="1860">
        <v>5741.8216499999999</v>
      </c>
      <c r="F2134">
        <v>33.746899999999997</v>
      </c>
      <c r="G2134" s="1861">
        <v>4948.1400000000003</v>
      </c>
      <c r="I2134">
        <v>0.73738000000000004</v>
      </c>
      <c r="J2134">
        <v>1.0126500000000001</v>
      </c>
      <c r="K2134">
        <v>1.00485</v>
      </c>
      <c r="L2134">
        <v>1.1604000000000001</v>
      </c>
      <c r="M2134">
        <v>6.8199999999999997E-3</v>
      </c>
      <c r="N2134">
        <v>1</v>
      </c>
      <c r="P2134">
        <v>1.35615</v>
      </c>
      <c r="Q2134">
        <v>0.98750000000000004</v>
      </c>
      <c r="R2134">
        <v>0.99517</v>
      </c>
      <c r="S2134">
        <v>0.86177000000000004</v>
      </c>
      <c r="T2134">
        <v>146.625</v>
      </c>
      <c r="U2134">
        <v>1</v>
      </c>
    </row>
    <row r="2135" spans="1:22" hidden="1" outlineLevel="1">
      <c r="A2135" s="8">
        <v>44861</v>
      </c>
      <c r="B2135" s="1860">
        <v>3621.31232</v>
      </c>
      <c r="C2135" s="1860">
        <v>4945.2368900000001</v>
      </c>
      <c r="D2135" s="1860">
        <v>4894.0661700000001</v>
      </c>
      <c r="E2135" s="1860">
        <v>5669.2353400000002</v>
      </c>
      <c r="F2135">
        <v>33.525930000000002</v>
      </c>
      <c r="G2135" s="1861">
        <v>4895.29</v>
      </c>
      <c r="I2135">
        <v>0.73975000000000002</v>
      </c>
      <c r="J2135">
        <v>1.0102</v>
      </c>
      <c r="K2135">
        <v>0.99975000000000003</v>
      </c>
      <c r="L2135">
        <v>1.1580999999999999</v>
      </c>
      <c r="M2135">
        <v>6.8399999999999997E-3</v>
      </c>
      <c r="N2135">
        <v>1</v>
      </c>
      <c r="P2135">
        <v>1.3517999999999999</v>
      </c>
      <c r="Q2135">
        <v>0.9899</v>
      </c>
      <c r="R2135">
        <v>1.0002500000000001</v>
      </c>
      <c r="S2135">
        <v>0.86348000000000003</v>
      </c>
      <c r="T2135">
        <v>146.01499999999999</v>
      </c>
      <c r="U2135">
        <v>1</v>
      </c>
    </row>
    <row r="2136" spans="1:22" hidden="1" outlineLevel="1">
      <c r="A2136" s="8">
        <v>44862</v>
      </c>
      <c r="B2136" s="1860">
        <v>3542.53388</v>
      </c>
      <c r="C2136" s="1860">
        <v>4839.3416200000001</v>
      </c>
      <c r="D2136" s="1860">
        <v>4797.5693000000001</v>
      </c>
      <c r="E2136" s="1860">
        <v>5589.3285599999999</v>
      </c>
      <c r="F2136">
        <v>32.688760000000002</v>
      </c>
      <c r="G2136" s="1861">
        <v>4821.92</v>
      </c>
      <c r="I2136">
        <v>0.73467000000000005</v>
      </c>
      <c r="J2136">
        <v>1.0036099999999999</v>
      </c>
      <c r="K2136">
        <v>0.99495</v>
      </c>
      <c r="L2136">
        <v>1.1591499999999999</v>
      </c>
      <c r="M2136">
        <v>6.77E-3</v>
      </c>
      <c r="N2136">
        <v>1</v>
      </c>
      <c r="P2136">
        <v>1.3611500000000001</v>
      </c>
      <c r="Q2136">
        <v>0.99639999999999995</v>
      </c>
      <c r="R2136">
        <v>1.0050699999999999</v>
      </c>
      <c r="S2136">
        <v>0.86270000000000002</v>
      </c>
      <c r="T2136">
        <v>147.51</v>
      </c>
      <c r="U2136">
        <v>1</v>
      </c>
    </row>
    <row r="2137" spans="1:22" hidden="1" outlineLevel="1">
      <c r="A2137" s="8">
        <v>44863</v>
      </c>
      <c r="B2137" s="1860">
        <v>3540.6972000000001</v>
      </c>
      <c r="C2137" s="1860">
        <v>4836.83259</v>
      </c>
      <c r="D2137" s="1860">
        <v>4795.0819199999996</v>
      </c>
      <c r="E2137" s="1860">
        <v>5586.4306900000001</v>
      </c>
      <c r="F2137">
        <v>32.671810000000001</v>
      </c>
      <c r="G2137" s="1861">
        <v>4819.42</v>
      </c>
      <c r="I2137">
        <v>0.73467000000000005</v>
      </c>
      <c r="J2137">
        <v>1.0036099999999999</v>
      </c>
      <c r="K2137">
        <v>0.99495</v>
      </c>
      <c r="L2137">
        <v>1.1591499999999999</v>
      </c>
      <c r="M2137">
        <v>6.77E-3</v>
      </c>
      <c r="N2137">
        <v>1</v>
      </c>
      <c r="P2137">
        <v>1.3611500000000001</v>
      </c>
      <c r="Q2137">
        <v>0.99639999999999995</v>
      </c>
      <c r="R2137">
        <v>1.0050699999999999</v>
      </c>
      <c r="S2137">
        <v>0.86270000000000002</v>
      </c>
      <c r="T2137">
        <v>147.51</v>
      </c>
      <c r="U2137">
        <v>1</v>
      </c>
    </row>
    <row r="2138" spans="1:22" hidden="1" outlineLevel="1">
      <c r="A2138" s="8">
        <v>44864</v>
      </c>
      <c r="B2138" s="1860">
        <v>3540.6972000000001</v>
      </c>
      <c r="C2138" s="1860">
        <v>4836.83259</v>
      </c>
      <c r="D2138" s="1860">
        <v>4795.0819199999996</v>
      </c>
      <c r="E2138" s="1860">
        <v>5586.4306900000001</v>
      </c>
      <c r="F2138">
        <v>32.671810000000001</v>
      </c>
      <c r="G2138" s="1861">
        <v>4819.42</v>
      </c>
      <c r="I2138">
        <v>0.73467000000000005</v>
      </c>
      <c r="J2138">
        <v>1.0036099999999999</v>
      </c>
      <c r="K2138">
        <v>0.99495</v>
      </c>
      <c r="L2138">
        <v>1.1591499999999999</v>
      </c>
      <c r="M2138">
        <v>6.77E-3</v>
      </c>
      <c r="N2138">
        <v>1</v>
      </c>
      <c r="P2138">
        <v>1.3611500000000001</v>
      </c>
      <c r="Q2138">
        <v>0.99639999999999995</v>
      </c>
      <c r="R2138">
        <v>1.0050699999999999</v>
      </c>
      <c r="S2138">
        <v>0.86270000000000002</v>
      </c>
      <c r="T2138">
        <v>147.51</v>
      </c>
      <c r="U2138">
        <v>1</v>
      </c>
    </row>
    <row r="2139" spans="1:22" ht="15.75" hidden="1" outlineLevel="1" thickBot="1">
      <c r="A2139" s="1868">
        <v>44865</v>
      </c>
      <c r="B2139" s="1869">
        <v>3533.1696000000002</v>
      </c>
      <c r="C2139" s="1869">
        <v>4815.8081400000001</v>
      </c>
      <c r="D2139" s="1869">
        <v>4763.2737500000003</v>
      </c>
      <c r="E2139" s="1869">
        <v>5548.8392100000001</v>
      </c>
      <c r="F2139" s="1870">
        <v>32.424520000000001</v>
      </c>
      <c r="G2139" s="1871">
        <v>4819.42</v>
      </c>
      <c r="H2139" s="1872"/>
      <c r="I2139" s="1870">
        <v>0.73311000000000004</v>
      </c>
      <c r="J2139" s="1870">
        <v>0.99924999999999997</v>
      </c>
      <c r="K2139" s="1870">
        <v>0.98834999999999995</v>
      </c>
      <c r="L2139" s="1870">
        <v>1.1513500000000001</v>
      </c>
      <c r="M2139" s="1870">
        <v>6.7200000000000003E-3</v>
      </c>
      <c r="N2139" s="1870">
        <v>1</v>
      </c>
      <c r="O2139" s="1872"/>
      <c r="P2139" s="1870">
        <v>1.36405</v>
      </c>
      <c r="Q2139" s="1870">
        <v>1.00075</v>
      </c>
      <c r="R2139" s="1870">
        <v>1.0117799999999999</v>
      </c>
      <c r="S2139" s="1870">
        <v>0.86853999999999998</v>
      </c>
      <c r="T2139" s="1870">
        <v>148.63499999999999</v>
      </c>
      <c r="U2139" s="1870">
        <v>1</v>
      </c>
      <c r="V2139" s="1872"/>
    </row>
    <row r="2140" spans="1:22" hidden="1" outlineLevel="1">
      <c r="A2140" s="8">
        <v>44866</v>
      </c>
      <c r="B2140" s="1860">
        <v>3592.50513</v>
      </c>
      <c r="C2140" s="1860">
        <v>4901.1905900000002</v>
      </c>
      <c r="D2140" s="1860">
        <v>4836.2810600000003</v>
      </c>
      <c r="E2140" s="1860">
        <v>5614.4459100000004</v>
      </c>
      <c r="F2140">
        <v>33.073889999999999</v>
      </c>
      <c r="G2140" s="1861">
        <v>4898.74</v>
      </c>
      <c r="I2140">
        <v>0.73334999999999995</v>
      </c>
      <c r="J2140">
        <v>1.0004999999999999</v>
      </c>
      <c r="K2140">
        <v>0.98724999999999996</v>
      </c>
      <c r="L2140">
        <v>1.1460999999999999</v>
      </c>
      <c r="M2140">
        <v>6.7499999999999999E-3</v>
      </c>
      <c r="N2140">
        <v>1</v>
      </c>
      <c r="P2140">
        <v>1.3635999999999999</v>
      </c>
      <c r="Q2140">
        <v>0.99950000000000006</v>
      </c>
      <c r="R2140">
        <v>1.01291</v>
      </c>
      <c r="S2140">
        <v>0.87251999999999996</v>
      </c>
      <c r="T2140">
        <v>148.11500000000001</v>
      </c>
      <c r="U2140">
        <v>1</v>
      </c>
    </row>
    <row r="2141" spans="1:22" hidden="1" outlineLevel="1">
      <c r="A2141" s="8">
        <v>44867</v>
      </c>
      <c r="B2141" s="1860">
        <v>3650.8639899999998</v>
      </c>
      <c r="C2141" s="1860">
        <v>4980.8098499999996</v>
      </c>
      <c r="D2141" s="1860">
        <v>4911.89257</v>
      </c>
      <c r="E2141" s="1860">
        <v>5703.5073499999999</v>
      </c>
      <c r="F2141">
        <v>33.815269999999998</v>
      </c>
      <c r="G2141" s="1861">
        <v>4975.58</v>
      </c>
      <c r="I2141">
        <v>0.73375000000000001</v>
      </c>
      <c r="J2141">
        <v>1.00105</v>
      </c>
      <c r="K2141">
        <v>0.98719999999999997</v>
      </c>
      <c r="L2141">
        <v>1.1463000000000001</v>
      </c>
      <c r="M2141">
        <v>6.79E-3</v>
      </c>
      <c r="N2141">
        <v>1</v>
      </c>
      <c r="P2141">
        <v>1.3628499999999999</v>
      </c>
      <c r="Q2141">
        <v>0.99895</v>
      </c>
      <c r="R2141">
        <v>1.0129600000000001</v>
      </c>
      <c r="S2141">
        <v>0.87236999999999998</v>
      </c>
      <c r="T2141">
        <v>147.13999999999999</v>
      </c>
      <c r="U2141">
        <v>1</v>
      </c>
    </row>
    <row r="2142" spans="1:22" hidden="1" outlineLevel="1">
      <c r="A2142" s="8">
        <v>44868</v>
      </c>
      <c r="B2142" s="1860">
        <v>3653.0643399999999</v>
      </c>
      <c r="C2142" s="1860">
        <v>4950.0049300000001</v>
      </c>
      <c r="D2142" s="1860">
        <v>4894.7074599999996</v>
      </c>
      <c r="E2142" s="1860">
        <v>5607.7091200000004</v>
      </c>
      <c r="F2142">
        <v>33.847349999999999</v>
      </c>
      <c r="G2142" s="1861">
        <v>5015.84</v>
      </c>
      <c r="I2142">
        <v>0.72829999999999995</v>
      </c>
      <c r="J2142">
        <v>0.98687000000000002</v>
      </c>
      <c r="K2142">
        <v>0.97585</v>
      </c>
      <c r="L2142">
        <v>1.1180000000000001</v>
      </c>
      <c r="M2142">
        <v>6.7400000000000003E-3</v>
      </c>
      <c r="N2142">
        <v>1</v>
      </c>
      <c r="P2142">
        <v>1.3730500000000001</v>
      </c>
      <c r="Q2142">
        <v>1.0133000000000001</v>
      </c>
      <c r="R2142">
        <v>1.02474</v>
      </c>
      <c r="S2142">
        <v>0.89444999999999997</v>
      </c>
      <c r="T2142">
        <v>148.19</v>
      </c>
      <c r="U2142">
        <v>1</v>
      </c>
    </row>
    <row r="2143" spans="1:22" hidden="1" outlineLevel="1">
      <c r="A2143" s="8">
        <v>44869</v>
      </c>
      <c r="B2143" s="1860">
        <v>3738.7884800000002</v>
      </c>
      <c r="C2143" s="1860">
        <v>5067.1408499999998</v>
      </c>
      <c r="D2143" s="1860">
        <v>5005.1636900000003</v>
      </c>
      <c r="E2143" s="1860">
        <v>5705.4465600000003</v>
      </c>
      <c r="F2143">
        <v>34.351039999999998</v>
      </c>
      <c r="G2143" s="1861">
        <v>5058.0200000000004</v>
      </c>
      <c r="I2143">
        <v>0.73917999999999995</v>
      </c>
      <c r="J2143">
        <v>1.0018</v>
      </c>
      <c r="K2143">
        <v>0.98955000000000004</v>
      </c>
      <c r="L2143">
        <v>1.1279999999999999</v>
      </c>
      <c r="M2143">
        <v>6.79E-3</v>
      </c>
      <c r="N2143">
        <v>1</v>
      </c>
      <c r="P2143">
        <v>1.3528500000000001</v>
      </c>
      <c r="Q2143">
        <v>0.99819999999999998</v>
      </c>
      <c r="R2143">
        <v>1.0105599999999999</v>
      </c>
      <c r="S2143">
        <v>0.88651999999999997</v>
      </c>
      <c r="T2143">
        <v>147.245</v>
      </c>
      <c r="U2143">
        <v>1</v>
      </c>
    </row>
    <row r="2144" spans="1:22" hidden="1" outlineLevel="1">
      <c r="A2144" s="8">
        <v>44870</v>
      </c>
      <c r="B2144" s="1860">
        <v>3741.1464599999999</v>
      </c>
      <c r="C2144" s="1860">
        <v>5070.3365999999996</v>
      </c>
      <c r="D2144" s="1860">
        <v>5008.32035</v>
      </c>
      <c r="E2144" s="1860">
        <v>5709.0448800000004</v>
      </c>
      <c r="F2144">
        <v>34.372709999999998</v>
      </c>
      <c r="G2144" s="2152">
        <v>5061.21</v>
      </c>
      <c r="I2144">
        <v>0.73917999999999995</v>
      </c>
      <c r="J2144">
        <v>1.0018</v>
      </c>
      <c r="K2144">
        <v>0.98955000000000004</v>
      </c>
      <c r="L2144">
        <v>1.1279999999999999</v>
      </c>
      <c r="M2144">
        <v>6.79E-3</v>
      </c>
      <c r="N2144">
        <v>1</v>
      </c>
      <c r="P2144">
        <v>1.3528500000000001</v>
      </c>
      <c r="Q2144">
        <v>0.99819999999999998</v>
      </c>
      <c r="R2144">
        <v>1.0105599999999999</v>
      </c>
      <c r="S2144">
        <v>0.88651999999999997</v>
      </c>
      <c r="T2144">
        <v>147.245</v>
      </c>
      <c r="U2144">
        <v>1</v>
      </c>
    </row>
    <row r="2145" spans="1:21" hidden="1" outlineLevel="1">
      <c r="A2145" s="8">
        <v>44871</v>
      </c>
      <c r="B2145" s="1860">
        <v>3741.1464599999999</v>
      </c>
      <c r="C2145" s="1860">
        <v>5070.3365999999996</v>
      </c>
      <c r="D2145" s="1860">
        <v>5008.32035</v>
      </c>
      <c r="E2145" s="1860">
        <v>5709.0448800000004</v>
      </c>
      <c r="F2145">
        <v>34.372709999999998</v>
      </c>
      <c r="G2145" s="2152">
        <v>5061.21</v>
      </c>
      <c r="I2145">
        <v>0.73917999999999995</v>
      </c>
      <c r="J2145">
        <v>1.0018</v>
      </c>
      <c r="K2145">
        <v>0.98955000000000004</v>
      </c>
      <c r="L2145">
        <v>1.1279999999999999</v>
      </c>
      <c r="M2145">
        <v>6.79E-3</v>
      </c>
      <c r="N2145">
        <v>1</v>
      </c>
      <c r="P2145">
        <v>1.3528500000000001</v>
      </c>
      <c r="Q2145">
        <v>0.99819999999999998</v>
      </c>
      <c r="R2145">
        <v>1.0105599999999999</v>
      </c>
      <c r="S2145">
        <v>0.88651999999999997</v>
      </c>
      <c r="T2145">
        <v>147.245</v>
      </c>
      <c r="U2145">
        <v>1</v>
      </c>
    </row>
    <row r="2146" spans="1:21" hidden="1" outlineLevel="1">
      <c r="A2146" s="8">
        <v>44872</v>
      </c>
      <c r="B2146" s="1860">
        <v>3751.4064400000002</v>
      </c>
      <c r="C2146" s="1860">
        <v>5114.3997499999996</v>
      </c>
      <c r="D2146" s="1860">
        <v>5060.9569300000003</v>
      </c>
      <c r="E2146" s="1860">
        <v>5801.6650200000004</v>
      </c>
      <c r="F2146">
        <v>34.554580000000001</v>
      </c>
      <c r="G2146" s="2152">
        <v>5061.21</v>
      </c>
      <c r="I2146">
        <v>0.74119999999999997</v>
      </c>
      <c r="J2146">
        <v>1.0105</v>
      </c>
      <c r="K2146">
        <v>0.99995000000000001</v>
      </c>
      <c r="L2146">
        <v>1.1463000000000001</v>
      </c>
      <c r="M2146">
        <v>6.8199999999999997E-3</v>
      </c>
      <c r="N2146">
        <v>1</v>
      </c>
      <c r="P2146">
        <v>1.3491500000000001</v>
      </c>
      <c r="Q2146">
        <v>0.98960000000000004</v>
      </c>
      <c r="R2146">
        <v>1.0000500000000001</v>
      </c>
      <c r="S2146">
        <v>0.87236999999999998</v>
      </c>
      <c r="T2146">
        <v>146.47</v>
      </c>
      <c r="U2146">
        <v>1</v>
      </c>
    </row>
    <row r="2147" spans="1:21" hidden="1" outlineLevel="1">
      <c r="A2147" s="8">
        <v>44873</v>
      </c>
      <c r="B2147" s="1860">
        <v>3770.6909999999998</v>
      </c>
      <c r="C2147" s="1860">
        <v>5138.5451000000003</v>
      </c>
      <c r="D2147" s="1860">
        <v>5094.8670400000001</v>
      </c>
      <c r="E2147" s="1860">
        <v>5852.5301799999997</v>
      </c>
      <c r="F2147">
        <v>34.786140000000003</v>
      </c>
      <c r="G2147" s="2152">
        <v>5061.21</v>
      </c>
      <c r="I2147">
        <v>0.74500999999999995</v>
      </c>
      <c r="J2147">
        <v>1.0152699999999999</v>
      </c>
      <c r="K2147">
        <v>1.00665</v>
      </c>
      <c r="L2147">
        <v>1.15635</v>
      </c>
      <c r="M2147">
        <v>6.8700000000000002E-3</v>
      </c>
      <c r="N2147">
        <v>1</v>
      </c>
      <c r="P2147">
        <v>1.3422499999999999</v>
      </c>
      <c r="Q2147">
        <v>0.98494999999999999</v>
      </c>
      <c r="R2147">
        <v>0.99339</v>
      </c>
      <c r="S2147">
        <v>0.86478999999999995</v>
      </c>
      <c r="T2147">
        <v>145.495</v>
      </c>
      <c r="U2147">
        <v>1</v>
      </c>
    </row>
    <row r="2148" spans="1:21" hidden="1" outlineLevel="1">
      <c r="A2148" s="8">
        <v>44874</v>
      </c>
      <c r="B2148" s="1860">
        <v>3719.1290399999998</v>
      </c>
      <c r="C2148" s="1860">
        <v>5094.45658</v>
      </c>
      <c r="D2148" s="1860">
        <v>5027.4876199999999</v>
      </c>
      <c r="E2148" s="1860">
        <v>5704.26962</v>
      </c>
      <c r="F2148">
        <v>34.27008</v>
      </c>
      <c r="G2148" s="1861">
        <v>5013.2</v>
      </c>
      <c r="I2148">
        <v>0.74185999999999996</v>
      </c>
      <c r="J2148">
        <v>1.0162</v>
      </c>
      <c r="K2148">
        <v>1.00285</v>
      </c>
      <c r="L2148">
        <v>1.13785</v>
      </c>
      <c r="M2148">
        <v>6.8300000000000001E-3</v>
      </c>
      <c r="N2148">
        <v>1</v>
      </c>
      <c r="P2148">
        <v>1.34795</v>
      </c>
      <c r="Q2148">
        <v>0.98404999999999998</v>
      </c>
      <c r="R2148">
        <v>0.99714999999999998</v>
      </c>
      <c r="S2148">
        <v>0.87885000000000002</v>
      </c>
      <c r="T2148">
        <v>146.285</v>
      </c>
      <c r="U2148">
        <v>1</v>
      </c>
    </row>
    <row r="2149" spans="1:21" hidden="1" outlineLevel="1">
      <c r="A2149" s="8">
        <v>44875</v>
      </c>
      <c r="B2149" s="1860">
        <v>3684.8809700000002</v>
      </c>
      <c r="C2149" s="1860">
        <v>5080.8539199999996</v>
      </c>
      <c r="D2149" s="1860">
        <v>5003.9119799999999</v>
      </c>
      <c r="E2149" s="1860">
        <v>5739.8897999999999</v>
      </c>
      <c r="F2149">
        <v>34.71208</v>
      </c>
      <c r="G2149" s="1861">
        <v>4914.71</v>
      </c>
      <c r="I2149">
        <v>0.74975999999999998</v>
      </c>
      <c r="J2149">
        <v>1.0338000000000001</v>
      </c>
      <c r="K2149">
        <v>1.0181500000000001</v>
      </c>
      <c r="L2149">
        <v>1.1678999999999999</v>
      </c>
      <c r="M2149">
        <v>7.0600000000000003E-3</v>
      </c>
      <c r="N2149">
        <v>1</v>
      </c>
      <c r="P2149">
        <v>1.33375</v>
      </c>
      <c r="Q2149">
        <v>0.96730000000000005</v>
      </c>
      <c r="R2149">
        <v>0.98216999999999999</v>
      </c>
      <c r="S2149">
        <v>0.85623000000000005</v>
      </c>
      <c r="T2149">
        <v>141.58500000000001</v>
      </c>
      <c r="U2149">
        <v>1</v>
      </c>
    </row>
    <row r="2150" spans="1:21" hidden="1" outlineLevel="1">
      <c r="A2150" s="8">
        <v>44876</v>
      </c>
      <c r="B2150" s="1860">
        <v>3622.98443</v>
      </c>
      <c r="C2150" s="1860">
        <v>5081.2179500000002</v>
      </c>
      <c r="D2150" s="1860">
        <v>4962.9881800000003</v>
      </c>
      <c r="E2150" s="1860">
        <v>5660.1086299999997</v>
      </c>
      <c r="F2150">
        <v>34.55988</v>
      </c>
      <c r="G2150" s="1861">
        <v>4806.07</v>
      </c>
      <c r="I2150">
        <v>0.75383</v>
      </c>
      <c r="J2150">
        <v>1.05725</v>
      </c>
      <c r="K2150">
        <v>1.0326500000000001</v>
      </c>
      <c r="L2150">
        <v>1.1777</v>
      </c>
      <c r="M2150">
        <v>7.1900000000000002E-3</v>
      </c>
      <c r="N2150">
        <v>1</v>
      </c>
      <c r="P2150">
        <v>1.3265499999999999</v>
      </c>
      <c r="Q2150">
        <v>0.94584999999999997</v>
      </c>
      <c r="R2150">
        <v>0.96838000000000002</v>
      </c>
      <c r="S2150">
        <v>0.84911000000000003</v>
      </c>
      <c r="T2150">
        <v>139.065</v>
      </c>
      <c r="U2150">
        <v>1</v>
      </c>
    </row>
    <row r="2151" spans="1:21" hidden="1" outlineLevel="1">
      <c r="A2151" s="8">
        <v>44877</v>
      </c>
      <c r="B2151" s="1860">
        <v>3622.98443</v>
      </c>
      <c r="C2151" s="1860">
        <v>5081.2179500000002</v>
      </c>
      <c r="D2151" s="1860">
        <v>4962.9881800000003</v>
      </c>
      <c r="E2151" s="1860">
        <v>5660.1086299999997</v>
      </c>
      <c r="F2151">
        <v>34.55988</v>
      </c>
      <c r="G2151" s="1861">
        <v>4806.07</v>
      </c>
      <c r="I2151">
        <v>0.75383</v>
      </c>
      <c r="J2151">
        <v>1.05725</v>
      </c>
      <c r="K2151">
        <v>1.0326500000000001</v>
      </c>
      <c r="L2151">
        <v>1.1777</v>
      </c>
      <c r="M2151">
        <v>7.1900000000000002E-3</v>
      </c>
      <c r="N2151">
        <v>1</v>
      </c>
      <c r="P2151">
        <v>1.3265499999999999</v>
      </c>
      <c r="Q2151">
        <v>0.94584999999999997</v>
      </c>
      <c r="R2151">
        <v>0.96838000000000002</v>
      </c>
      <c r="S2151">
        <v>0.84911000000000003</v>
      </c>
      <c r="T2151">
        <v>139.065</v>
      </c>
      <c r="U2151">
        <v>1</v>
      </c>
    </row>
    <row r="2152" spans="1:21" hidden="1" outlineLevel="1">
      <c r="A2152" s="8">
        <v>44878</v>
      </c>
      <c r="B2152" s="1860">
        <v>3622.98443</v>
      </c>
      <c r="C2152" s="1860">
        <v>5081.2179500000002</v>
      </c>
      <c r="D2152" s="1860">
        <v>4962.9881800000003</v>
      </c>
      <c r="E2152" s="1860">
        <v>5660.1086299999997</v>
      </c>
      <c r="F2152">
        <v>34.55988</v>
      </c>
      <c r="G2152" s="1861">
        <v>4806.07</v>
      </c>
      <c r="I2152">
        <v>0.75383</v>
      </c>
      <c r="J2152">
        <v>1.05725</v>
      </c>
      <c r="K2152">
        <v>1.0326500000000001</v>
      </c>
      <c r="L2152">
        <v>1.1777</v>
      </c>
      <c r="M2152">
        <v>7.1900000000000002E-3</v>
      </c>
      <c r="N2152">
        <v>1</v>
      </c>
      <c r="P2152">
        <v>1.3265499999999999</v>
      </c>
      <c r="Q2152">
        <v>0.94584999999999997</v>
      </c>
      <c r="R2152">
        <v>0.96838000000000002</v>
      </c>
      <c r="S2152">
        <v>0.84911000000000003</v>
      </c>
      <c r="T2152">
        <v>139.065</v>
      </c>
      <c r="U2152">
        <v>1</v>
      </c>
    </row>
    <row r="2153" spans="1:21" hidden="1" outlineLevel="1">
      <c r="A2153" s="8">
        <v>44879</v>
      </c>
      <c r="B2153" s="1860">
        <v>3621.3464899999999</v>
      </c>
      <c r="C2153" s="1860">
        <v>5082.0238900000004</v>
      </c>
      <c r="D2153" s="1860">
        <v>4965.3912200000004</v>
      </c>
      <c r="E2153" s="1860">
        <v>5638.9619300000004</v>
      </c>
      <c r="F2153">
        <v>34.227609999999999</v>
      </c>
      <c r="G2153" s="1861">
        <v>4806.07</v>
      </c>
      <c r="I2153">
        <v>0.75348999999999999</v>
      </c>
      <c r="J2153">
        <v>1.05741</v>
      </c>
      <c r="K2153">
        <v>1.03315</v>
      </c>
      <c r="L2153">
        <v>1.1733</v>
      </c>
      <c r="M2153">
        <v>7.1199999999999996E-3</v>
      </c>
      <c r="N2153">
        <v>1</v>
      </c>
      <c r="P2153">
        <v>1.3271500000000001</v>
      </c>
      <c r="Q2153">
        <v>0.94569999999999999</v>
      </c>
      <c r="R2153">
        <v>0.96791000000000005</v>
      </c>
      <c r="S2153">
        <v>0.85228999999999999</v>
      </c>
      <c r="T2153">
        <v>140.41499999999999</v>
      </c>
      <c r="U2153">
        <v>1</v>
      </c>
    </row>
    <row r="2154" spans="1:21" hidden="1" outlineLevel="1">
      <c r="A2154" s="8">
        <v>44880</v>
      </c>
      <c r="B2154" s="1860">
        <v>3614.6735800000001</v>
      </c>
      <c r="C2154" s="1860">
        <v>5085.2502299999996</v>
      </c>
      <c r="D2154" s="1860">
        <v>4982.2124599999997</v>
      </c>
      <c r="E2154" s="1860">
        <v>5717.7814699999999</v>
      </c>
      <c r="F2154">
        <v>34.516440000000003</v>
      </c>
      <c r="G2154" s="1861">
        <v>4806.07</v>
      </c>
      <c r="I2154">
        <v>0.75209999999999999</v>
      </c>
      <c r="J2154">
        <v>1.0580799999999999</v>
      </c>
      <c r="K2154">
        <v>1.0366500000000001</v>
      </c>
      <c r="L2154">
        <v>1.1897</v>
      </c>
      <c r="M2154">
        <v>7.1799999999999998E-3</v>
      </c>
      <c r="N2154">
        <v>1</v>
      </c>
      <c r="P2154">
        <v>1.3295999999999999</v>
      </c>
      <c r="Q2154">
        <v>0.94510000000000005</v>
      </c>
      <c r="R2154">
        <v>0.96464000000000005</v>
      </c>
      <c r="S2154">
        <v>0.84053999999999995</v>
      </c>
      <c r="T2154">
        <v>139.24</v>
      </c>
      <c r="U2154">
        <v>1</v>
      </c>
    </row>
    <row r="2155" spans="1:21" hidden="1" outlineLevel="1">
      <c r="A2155" s="8">
        <v>44881</v>
      </c>
      <c r="B2155" s="1860">
        <v>3606.8364499999998</v>
      </c>
      <c r="C2155" s="1860">
        <v>5092.8821399999997</v>
      </c>
      <c r="D2155" s="1860">
        <v>4995.74298</v>
      </c>
      <c r="E2155" s="1860">
        <v>5709.9006499999996</v>
      </c>
      <c r="F2155">
        <v>34.454479999999997</v>
      </c>
      <c r="G2155" s="1861">
        <v>4801.0600000000004</v>
      </c>
      <c r="I2155">
        <v>0.75124999999999997</v>
      </c>
      <c r="J2155">
        <v>1.0607800000000001</v>
      </c>
      <c r="K2155">
        <v>1.0405500000000001</v>
      </c>
      <c r="L2155">
        <v>1.1893</v>
      </c>
      <c r="M2155">
        <v>7.1700000000000002E-3</v>
      </c>
      <c r="N2155">
        <v>1</v>
      </c>
      <c r="P2155">
        <v>1.3310999999999999</v>
      </c>
      <c r="Q2155">
        <v>0.94269999999999998</v>
      </c>
      <c r="R2155">
        <v>0.96103000000000005</v>
      </c>
      <c r="S2155">
        <v>0.84082999999999997</v>
      </c>
      <c r="T2155">
        <v>139.345</v>
      </c>
      <c r="U2155">
        <v>1</v>
      </c>
    </row>
    <row r="2156" spans="1:21" hidden="1" outlineLevel="1">
      <c r="A2156" s="8">
        <v>44882</v>
      </c>
      <c r="B2156" s="1860">
        <v>3687.27763</v>
      </c>
      <c r="C2156" s="1860">
        <v>5155.4694399999998</v>
      </c>
      <c r="D2156" s="1860">
        <v>5084.9029600000003</v>
      </c>
      <c r="E2156" s="1860">
        <v>5798.4483300000002</v>
      </c>
      <c r="F2156">
        <v>35.017069999999997</v>
      </c>
      <c r="G2156" s="1861">
        <v>4922.7</v>
      </c>
      <c r="I2156">
        <v>0.74902999999999997</v>
      </c>
      <c r="J2156">
        <v>1.04728</v>
      </c>
      <c r="K2156">
        <v>1.03295</v>
      </c>
      <c r="L2156">
        <v>1.1778999999999999</v>
      </c>
      <c r="M2156">
        <v>7.11E-3</v>
      </c>
      <c r="N2156">
        <v>1</v>
      </c>
      <c r="P2156">
        <v>1.3350500000000001</v>
      </c>
      <c r="Q2156">
        <v>0.95484999999999998</v>
      </c>
      <c r="R2156">
        <v>0.96809999999999996</v>
      </c>
      <c r="S2156">
        <v>0.84896000000000005</v>
      </c>
      <c r="T2156">
        <v>140.58000000000001</v>
      </c>
      <c r="U2156">
        <v>1</v>
      </c>
    </row>
    <row r="2157" spans="1:21" hidden="1" outlineLevel="1">
      <c r="A2157" s="8">
        <v>44883</v>
      </c>
      <c r="B2157" s="1860">
        <v>3751.1428099999998</v>
      </c>
      <c r="C2157" s="1860">
        <v>5281.6216999999997</v>
      </c>
      <c r="D2157" s="1860">
        <v>5203.5763800000004</v>
      </c>
      <c r="E2157" s="1860">
        <v>5989.7751799999996</v>
      </c>
      <c r="F2157">
        <v>35.901130000000002</v>
      </c>
      <c r="G2157" s="1861">
        <v>5022.03</v>
      </c>
      <c r="I2157">
        <v>0.74692999999999998</v>
      </c>
      <c r="J2157">
        <v>1.05169</v>
      </c>
      <c r="K2157">
        <v>1.0361499999999999</v>
      </c>
      <c r="L2157">
        <v>1.1927000000000001</v>
      </c>
      <c r="M2157">
        <v>7.1399999999999996E-3</v>
      </c>
      <c r="N2157">
        <v>1</v>
      </c>
      <c r="P2157">
        <v>1.3388</v>
      </c>
      <c r="Q2157">
        <v>0.95084999999999997</v>
      </c>
      <c r="R2157">
        <v>0.96511000000000002</v>
      </c>
      <c r="S2157">
        <v>0.83843000000000001</v>
      </c>
      <c r="T2157">
        <v>139.88499999999999</v>
      </c>
      <c r="U2157">
        <v>1</v>
      </c>
    </row>
    <row r="2158" spans="1:21" hidden="1" outlineLevel="1">
      <c r="A2158" s="8">
        <v>44884</v>
      </c>
      <c r="B2158" s="1860">
        <v>3730.6617799999999</v>
      </c>
      <c r="C2158" s="1860">
        <v>5252.7843499999999</v>
      </c>
      <c r="D2158" s="1860">
        <v>5175.1651499999998</v>
      </c>
      <c r="E2158" s="1860">
        <v>5957.0713400000004</v>
      </c>
      <c r="F2158">
        <v>35.705109999999998</v>
      </c>
      <c r="G2158" s="1861">
        <v>4994.6099999999997</v>
      </c>
      <c r="I2158">
        <v>0.74692999999999998</v>
      </c>
      <c r="J2158">
        <v>1.05169</v>
      </c>
      <c r="K2158">
        <v>1.0361499999999999</v>
      </c>
      <c r="L2158">
        <v>1.1927000000000001</v>
      </c>
      <c r="M2158">
        <v>7.1399999999999996E-3</v>
      </c>
      <c r="N2158">
        <v>1</v>
      </c>
      <c r="P2158">
        <v>1.3388</v>
      </c>
      <c r="Q2158">
        <v>0.95084999999999997</v>
      </c>
      <c r="R2158">
        <v>0.96511000000000002</v>
      </c>
      <c r="S2158">
        <v>0.83843000000000001</v>
      </c>
      <c r="T2158">
        <v>139.88499999999999</v>
      </c>
      <c r="U2158">
        <v>1</v>
      </c>
    </row>
    <row r="2159" spans="1:21" hidden="1" outlineLevel="1">
      <c r="A2159" s="8">
        <v>44885</v>
      </c>
      <c r="B2159" s="1860">
        <v>3730.6617799999999</v>
      </c>
      <c r="C2159" s="1860">
        <v>5252.7843499999999</v>
      </c>
      <c r="D2159" s="1860">
        <v>5175.1651499999998</v>
      </c>
      <c r="E2159" s="1860">
        <v>5957.0713400000004</v>
      </c>
      <c r="F2159">
        <v>35.705109999999998</v>
      </c>
      <c r="G2159" s="1861">
        <v>4994.6099999999997</v>
      </c>
      <c r="I2159">
        <v>0.74692999999999998</v>
      </c>
      <c r="J2159">
        <v>1.05169</v>
      </c>
      <c r="K2159">
        <v>1.0361499999999999</v>
      </c>
      <c r="L2159">
        <v>1.1927000000000001</v>
      </c>
      <c r="M2159">
        <v>7.1399999999999996E-3</v>
      </c>
      <c r="N2159">
        <v>1</v>
      </c>
      <c r="P2159">
        <v>1.3388</v>
      </c>
      <c r="Q2159">
        <v>0.95084999999999997</v>
      </c>
      <c r="R2159">
        <v>0.96511000000000002</v>
      </c>
      <c r="S2159">
        <v>0.83843000000000001</v>
      </c>
      <c r="T2159">
        <v>139.88499999999999</v>
      </c>
      <c r="U2159">
        <v>1</v>
      </c>
    </row>
    <row r="2160" spans="1:21" hidden="1" outlineLevel="1">
      <c r="A2160" s="8">
        <v>44886</v>
      </c>
      <c r="B2160" s="1860">
        <v>3701.2190099999998</v>
      </c>
      <c r="C2160" s="1860">
        <v>5208.1438900000003</v>
      </c>
      <c r="D2160" s="1860">
        <v>5114.7303700000002</v>
      </c>
      <c r="E2160" s="1860">
        <v>5886.39761</v>
      </c>
      <c r="F2160">
        <v>35.189410000000002</v>
      </c>
      <c r="G2160" s="1861">
        <v>4994.6099999999997</v>
      </c>
      <c r="I2160">
        <v>0.74104000000000003</v>
      </c>
      <c r="J2160">
        <v>1.0427500000000001</v>
      </c>
      <c r="K2160">
        <v>1.0240499999999999</v>
      </c>
      <c r="L2160">
        <v>1.17855</v>
      </c>
      <c r="M2160">
        <v>7.0400000000000003E-3</v>
      </c>
      <c r="N2160">
        <v>1</v>
      </c>
      <c r="P2160">
        <v>1.34945</v>
      </c>
      <c r="Q2160">
        <v>0.95899999999999996</v>
      </c>
      <c r="R2160">
        <v>0.97650999999999999</v>
      </c>
      <c r="S2160">
        <v>0.84850000000000003</v>
      </c>
      <c r="T2160">
        <v>141.935</v>
      </c>
      <c r="U2160">
        <v>1</v>
      </c>
    </row>
    <row r="2161" spans="1:22" hidden="1" outlineLevel="1">
      <c r="A2161" s="8">
        <v>44887</v>
      </c>
      <c r="B2161" s="1860">
        <v>3701.1420400000002</v>
      </c>
      <c r="C2161" s="1860">
        <v>5205.6902799999998</v>
      </c>
      <c r="D2161" s="1860">
        <v>5099.48704</v>
      </c>
      <c r="E2161" s="1860">
        <v>5890.6029600000002</v>
      </c>
      <c r="F2161">
        <v>35.076540000000001</v>
      </c>
      <c r="G2161" s="1861">
        <v>4958.42</v>
      </c>
      <c r="I2161">
        <v>0.74643000000000004</v>
      </c>
      <c r="J2161">
        <v>1.04986</v>
      </c>
      <c r="K2161">
        <v>1.0284500000000001</v>
      </c>
      <c r="L2161">
        <v>1.1879999999999999</v>
      </c>
      <c r="M2161">
        <v>7.0699999999999999E-3</v>
      </c>
      <c r="N2161">
        <v>1</v>
      </c>
      <c r="P2161">
        <v>1.3396999999999999</v>
      </c>
      <c r="Q2161">
        <v>0.95250000000000001</v>
      </c>
      <c r="R2161">
        <v>0.97233000000000003</v>
      </c>
      <c r="S2161">
        <v>0.84175</v>
      </c>
      <c r="T2161">
        <v>141.36000000000001</v>
      </c>
      <c r="U2161">
        <v>1</v>
      </c>
    </row>
    <row r="2162" spans="1:22" hidden="1" outlineLevel="1">
      <c r="A2162" s="8">
        <v>44888</v>
      </c>
      <c r="B2162" s="1860">
        <v>3672.8998499999998</v>
      </c>
      <c r="C2162" s="1860">
        <v>5214.7071299999998</v>
      </c>
      <c r="D2162" s="1860">
        <v>5098.3820299999998</v>
      </c>
      <c r="E2162" s="1860">
        <v>5929.3969200000001</v>
      </c>
      <c r="F2162">
        <v>35.167740000000002</v>
      </c>
      <c r="G2162" s="1861">
        <v>4914.34</v>
      </c>
      <c r="I2162">
        <v>0.74738000000000004</v>
      </c>
      <c r="J2162">
        <v>1.0611200000000001</v>
      </c>
      <c r="K2162">
        <v>1.03745</v>
      </c>
      <c r="L2162">
        <v>1.20655</v>
      </c>
      <c r="M2162">
        <v>7.1500000000000001E-3</v>
      </c>
      <c r="N2162">
        <v>1</v>
      </c>
      <c r="P2162">
        <v>1.3380000000000001</v>
      </c>
      <c r="Q2162">
        <v>0.94240000000000002</v>
      </c>
      <c r="R2162">
        <v>0.96389999999999998</v>
      </c>
      <c r="S2162">
        <v>0.82879999999999998</v>
      </c>
      <c r="T2162">
        <v>139.74</v>
      </c>
      <c r="U2162">
        <v>1</v>
      </c>
    </row>
    <row r="2163" spans="1:22" hidden="1" outlineLevel="1">
      <c r="A2163" s="8">
        <v>44889</v>
      </c>
      <c r="B2163" s="1860">
        <v>3657.7097600000002</v>
      </c>
      <c r="C2163" s="1860">
        <v>5166.8008900000004</v>
      </c>
      <c r="D2163" s="1860">
        <v>5075.5785100000003</v>
      </c>
      <c r="E2163" s="1860">
        <v>5919.3547399999998</v>
      </c>
      <c r="F2163">
        <v>35.236919999999998</v>
      </c>
      <c r="G2163" s="1861">
        <v>4875.91</v>
      </c>
      <c r="I2163">
        <v>0.75014999999999998</v>
      </c>
      <c r="J2163">
        <v>1.05965</v>
      </c>
      <c r="K2163">
        <v>1.04095</v>
      </c>
      <c r="L2163">
        <v>1.214</v>
      </c>
      <c r="M2163">
        <v>7.2199999999999999E-3</v>
      </c>
      <c r="N2163">
        <v>1</v>
      </c>
      <c r="P2163">
        <v>1.3330500000000001</v>
      </c>
      <c r="Q2163">
        <v>0.94369999999999998</v>
      </c>
      <c r="R2163">
        <v>0.96065999999999996</v>
      </c>
      <c r="S2163">
        <v>0.82372000000000001</v>
      </c>
      <c r="T2163">
        <v>138.375</v>
      </c>
      <c r="U2163">
        <v>1</v>
      </c>
    </row>
    <row r="2164" spans="1:22" hidden="1" outlineLevel="1">
      <c r="A2164" s="8">
        <v>44890</v>
      </c>
      <c r="B2164" s="1860">
        <v>3646.22172</v>
      </c>
      <c r="C2164" s="1860">
        <v>5150.9718899999998</v>
      </c>
      <c r="D2164" s="1860">
        <v>5074.1157400000002</v>
      </c>
      <c r="E2164" s="1860">
        <v>5896.9255499999999</v>
      </c>
      <c r="F2164">
        <v>35.015509999999999</v>
      </c>
      <c r="G2164" s="1861">
        <v>4875.91</v>
      </c>
      <c r="I2164">
        <v>0.74780000000000002</v>
      </c>
      <c r="J2164">
        <v>1.0564100000000001</v>
      </c>
      <c r="K2164">
        <v>1.0406500000000001</v>
      </c>
      <c r="L2164">
        <v>1.2094</v>
      </c>
      <c r="M2164">
        <v>7.1799999999999998E-3</v>
      </c>
      <c r="N2164">
        <v>1</v>
      </c>
      <c r="P2164">
        <v>1.33725</v>
      </c>
      <c r="Q2164">
        <v>0.9466</v>
      </c>
      <c r="R2164">
        <v>0.96092999999999995</v>
      </c>
      <c r="S2164">
        <v>0.82684999999999997</v>
      </c>
      <c r="T2164">
        <v>139.25</v>
      </c>
      <c r="U2164">
        <v>1</v>
      </c>
    </row>
    <row r="2165" spans="1:22" hidden="1" outlineLevel="1">
      <c r="A2165" s="8">
        <v>44891</v>
      </c>
      <c r="B2165" s="1860">
        <v>3650.33464</v>
      </c>
      <c r="C2165" s="1860">
        <v>5156.7821599999997</v>
      </c>
      <c r="D2165" s="1860">
        <v>5079.8393100000003</v>
      </c>
      <c r="E2165" s="1860">
        <v>5903.5772500000003</v>
      </c>
      <c r="F2165">
        <v>35.055</v>
      </c>
      <c r="G2165" s="1861">
        <v>4881.41</v>
      </c>
      <c r="I2165">
        <v>0.74780000000000002</v>
      </c>
      <c r="J2165">
        <v>1.0564100000000001</v>
      </c>
      <c r="K2165">
        <v>1.0406500000000001</v>
      </c>
      <c r="L2165">
        <v>1.2094</v>
      </c>
      <c r="M2165">
        <v>7.1799999999999998E-3</v>
      </c>
      <c r="N2165">
        <v>1</v>
      </c>
      <c r="P2165">
        <v>1.33725</v>
      </c>
      <c r="Q2165">
        <v>0.9466</v>
      </c>
      <c r="R2165">
        <v>0.96092999999999995</v>
      </c>
      <c r="S2165">
        <v>0.82684999999999997</v>
      </c>
      <c r="T2165">
        <v>139.25</v>
      </c>
      <c r="U2165">
        <v>1</v>
      </c>
    </row>
    <row r="2166" spans="1:22" hidden="1" outlineLevel="1">
      <c r="A2166" s="8">
        <v>44892</v>
      </c>
      <c r="B2166" s="1860">
        <v>3650.33464</v>
      </c>
      <c r="C2166" s="1860">
        <v>5156.7821599999997</v>
      </c>
      <c r="D2166" s="1860">
        <v>5079.8393100000003</v>
      </c>
      <c r="E2166" s="1860">
        <v>5903.5772500000003</v>
      </c>
      <c r="F2166">
        <v>35.055</v>
      </c>
      <c r="G2166" s="1861">
        <v>4881.41</v>
      </c>
      <c r="I2166">
        <v>0.74780000000000002</v>
      </c>
      <c r="J2166">
        <v>1.0564100000000001</v>
      </c>
      <c r="K2166">
        <v>1.0406500000000001</v>
      </c>
      <c r="L2166">
        <v>1.2094</v>
      </c>
      <c r="M2166">
        <v>7.1799999999999998E-3</v>
      </c>
      <c r="N2166">
        <v>1</v>
      </c>
      <c r="P2166">
        <v>1.33725</v>
      </c>
      <c r="Q2166">
        <v>0.9466</v>
      </c>
      <c r="R2166">
        <v>0.96092999999999995</v>
      </c>
      <c r="S2166">
        <v>0.82684999999999997</v>
      </c>
      <c r="T2166">
        <v>139.25</v>
      </c>
      <c r="U2166">
        <v>1</v>
      </c>
    </row>
    <row r="2167" spans="1:22" hidden="1" outlineLevel="1">
      <c r="A2167" s="8">
        <v>44893</v>
      </c>
      <c r="B2167" s="1860">
        <v>3633.7588799999999</v>
      </c>
      <c r="C2167" s="1860">
        <v>5165.2399299999997</v>
      </c>
      <c r="D2167" s="1860">
        <v>5075.4460399999998</v>
      </c>
      <c r="E2167" s="1860">
        <v>5876.48542</v>
      </c>
      <c r="F2167">
        <v>35.169919999999998</v>
      </c>
      <c r="G2167" s="1861">
        <v>4881.41</v>
      </c>
      <c r="I2167">
        <v>0.74439999999999995</v>
      </c>
      <c r="J2167">
        <v>1.0581400000000001</v>
      </c>
      <c r="K2167">
        <v>1.03975</v>
      </c>
      <c r="L2167">
        <v>1.2038500000000001</v>
      </c>
      <c r="M2167">
        <v>7.1999999999999998E-3</v>
      </c>
      <c r="N2167">
        <v>1</v>
      </c>
      <c r="P2167">
        <v>1.34335</v>
      </c>
      <c r="Q2167">
        <v>0.94504999999999995</v>
      </c>
      <c r="R2167">
        <v>0.96175999999999995</v>
      </c>
      <c r="S2167">
        <v>0.83065999999999995</v>
      </c>
      <c r="T2167">
        <v>138.79499999999999</v>
      </c>
      <c r="U2167">
        <v>1</v>
      </c>
    </row>
    <row r="2168" spans="1:22" hidden="1" outlineLevel="1">
      <c r="A2168" s="8">
        <v>44894</v>
      </c>
      <c r="B2168" s="1860">
        <v>3565.9508599999999</v>
      </c>
      <c r="C2168" s="1860">
        <v>5088.1378999999997</v>
      </c>
      <c r="D2168" s="1860">
        <v>5013.1673899999996</v>
      </c>
      <c r="E2168" s="1860">
        <v>5808.72</v>
      </c>
      <c r="F2168">
        <v>34.994390000000003</v>
      </c>
      <c r="G2168" s="1861">
        <v>4840.6000000000004</v>
      </c>
      <c r="I2168">
        <v>0.73667000000000005</v>
      </c>
      <c r="J2168">
        <v>1.0511299999999999</v>
      </c>
      <c r="K2168">
        <v>1.03565</v>
      </c>
      <c r="L2168">
        <v>1.2</v>
      </c>
      <c r="M2168">
        <v>7.2199999999999999E-3</v>
      </c>
      <c r="N2168">
        <v>1</v>
      </c>
      <c r="P2168">
        <v>1.35745</v>
      </c>
      <c r="Q2168">
        <v>0.95135000000000003</v>
      </c>
      <c r="R2168">
        <v>0.96557000000000004</v>
      </c>
      <c r="S2168">
        <v>0.83333000000000002</v>
      </c>
      <c r="T2168">
        <v>138.32499999999999</v>
      </c>
      <c r="U2168">
        <v>1</v>
      </c>
    </row>
    <row r="2169" spans="1:22" ht="15.75" hidden="1" outlineLevel="1" thickBot="1">
      <c r="A2169" s="1868">
        <v>44895</v>
      </c>
      <c r="B2169" s="1869">
        <v>3547.6211499999999</v>
      </c>
      <c r="C2169" s="1869">
        <v>5048.0293799999999</v>
      </c>
      <c r="D2169" s="1869">
        <v>4952.1119699999999</v>
      </c>
      <c r="E2169" s="1869">
        <v>5727.64545</v>
      </c>
      <c r="F2169" s="1870">
        <v>34.466889999999999</v>
      </c>
      <c r="G2169" s="1871">
        <v>4809.51</v>
      </c>
      <c r="H2169" s="1872"/>
      <c r="I2169" s="1870">
        <v>0.73762000000000005</v>
      </c>
      <c r="J2169" s="1870">
        <v>1.04959</v>
      </c>
      <c r="K2169" s="1870">
        <v>1.02965</v>
      </c>
      <c r="L2169" s="1870">
        <v>1.1909000000000001</v>
      </c>
      <c r="M2169" s="1870">
        <v>7.1599999999999997E-3</v>
      </c>
      <c r="N2169" s="1870">
        <v>1</v>
      </c>
      <c r="O2169" s="1872"/>
      <c r="P2169" s="1870">
        <v>1.3556999999999999</v>
      </c>
      <c r="Q2169" s="1870">
        <v>0.95274999999999999</v>
      </c>
      <c r="R2169" s="1870">
        <v>0.97119999999999995</v>
      </c>
      <c r="S2169" s="1870">
        <v>0.8397</v>
      </c>
      <c r="T2169" s="1870">
        <v>139.54</v>
      </c>
      <c r="U2169" s="1870">
        <v>1</v>
      </c>
      <c r="V2169" s="1872"/>
    </row>
    <row r="2170" spans="1:22" hidden="1" outlineLevel="1">
      <c r="A2170" s="8">
        <v>44896</v>
      </c>
      <c r="B2170" s="1860">
        <v>3585.8296999999998</v>
      </c>
      <c r="C2170" s="1860">
        <v>5127.6047399999998</v>
      </c>
      <c r="D2170" s="1860">
        <v>5049.8684499999999</v>
      </c>
      <c r="E2170" s="1860">
        <v>5907.2842499999997</v>
      </c>
      <c r="F2170">
        <v>35.42698</v>
      </c>
      <c r="G2170" s="1861">
        <v>4815.59</v>
      </c>
      <c r="I2170">
        <v>0.74461999999999995</v>
      </c>
      <c r="J2170">
        <v>1.0647899999999999</v>
      </c>
      <c r="K2170">
        <v>1.0486500000000001</v>
      </c>
      <c r="L2170">
        <v>1.2266999999999999</v>
      </c>
      <c r="M2170">
        <v>7.3499999999999998E-3</v>
      </c>
      <c r="N2170">
        <v>1</v>
      </c>
      <c r="P2170">
        <v>1.3429500000000001</v>
      </c>
      <c r="Q2170">
        <v>0.93915000000000004</v>
      </c>
      <c r="R2170">
        <v>0.9536</v>
      </c>
      <c r="S2170">
        <v>0.81518999999999997</v>
      </c>
      <c r="T2170">
        <v>135.93</v>
      </c>
      <c r="U2170">
        <v>1</v>
      </c>
    </row>
    <row r="2171" spans="1:22" hidden="1" outlineLevel="1">
      <c r="A2171" s="8">
        <v>44897</v>
      </c>
      <c r="B2171" s="1860">
        <v>3545.5597499999999</v>
      </c>
      <c r="C2171" s="1860">
        <v>5078.1638499999999</v>
      </c>
      <c r="D2171" s="1860">
        <v>5005.3484900000003</v>
      </c>
      <c r="E2171" s="1860">
        <v>5838.09969</v>
      </c>
      <c r="F2171">
        <v>35.276319999999998</v>
      </c>
      <c r="G2171" s="1861">
        <v>4779.0600000000004</v>
      </c>
      <c r="I2171">
        <v>0.74189000000000005</v>
      </c>
      <c r="J2171">
        <v>1.0625800000000001</v>
      </c>
      <c r="K2171">
        <v>1.04735</v>
      </c>
      <c r="L2171">
        <v>1.2216</v>
      </c>
      <c r="M2171">
        <v>7.3800000000000003E-3</v>
      </c>
      <c r="N2171">
        <v>1</v>
      </c>
      <c r="P2171">
        <v>1.3479000000000001</v>
      </c>
      <c r="Q2171">
        <v>0.94110000000000005</v>
      </c>
      <c r="R2171">
        <v>0.95479000000000003</v>
      </c>
      <c r="S2171">
        <v>0.81859000000000004</v>
      </c>
      <c r="T2171">
        <v>135.47499999999999</v>
      </c>
      <c r="U2171">
        <v>1</v>
      </c>
    </row>
    <row r="2172" spans="1:22" hidden="1" outlineLevel="1">
      <c r="A2172" s="8">
        <v>44898</v>
      </c>
      <c r="B2172" s="1860">
        <v>3536.7534599999999</v>
      </c>
      <c r="C2172" s="1860">
        <v>5065.5509499999998</v>
      </c>
      <c r="D2172" s="1860">
        <v>4992.91644</v>
      </c>
      <c r="E2172" s="1860">
        <v>5823.5992999999999</v>
      </c>
      <c r="F2172">
        <v>35.188699999999997</v>
      </c>
      <c r="G2172" s="1861">
        <v>4767.1899999999996</v>
      </c>
      <c r="I2172">
        <v>0.74189000000000005</v>
      </c>
      <c r="J2172">
        <v>1.0625800000000001</v>
      </c>
      <c r="K2172">
        <v>1.04735</v>
      </c>
      <c r="L2172">
        <v>1.2216</v>
      </c>
      <c r="M2172">
        <v>7.3800000000000003E-3</v>
      </c>
      <c r="N2172">
        <v>1</v>
      </c>
      <c r="P2172">
        <v>1.3479000000000001</v>
      </c>
      <c r="Q2172">
        <v>0.94110000000000005</v>
      </c>
      <c r="R2172">
        <v>0.95479000000000003</v>
      </c>
      <c r="S2172">
        <v>0.81859000000000004</v>
      </c>
      <c r="T2172">
        <v>135.47499999999999</v>
      </c>
      <c r="U2172">
        <v>1</v>
      </c>
    </row>
    <row r="2173" spans="1:22" hidden="1" outlineLevel="1">
      <c r="A2173" s="8">
        <v>44899</v>
      </c>
      <c r="B2173" s="1860">
        <v>3536.7534599999999</v>
      </c>
      <c r="C2173" s="1860">
        <v>5065.5509499999998</v>
      </c>
      <c r="D2173" s="1860">
        <v>4992.91644</v>
      </c>
      <c r="E2173" s="1860">
        <v>5823.5992999999999</v>
      </c>
      <c r="F2173">
        <v>35.188699999999997</v>
      </c>
      <c r="G2173" s="1861">
        <v>4767.1899999999996</v>
      </c>
      <c r="I2173">
        <v>0.74189000000000005</v>
      </c>
      <c r="J2173">
        <v>1.0625800000000001</v>
      </c>
      <c r="K2173">
        <v>1.04735</v>
      </c>
      <c r="L2173">
        <v>1.2216</v>
      </c>
      <c r="M2173">
        <v>7.3800000000000003E-3</v>
      </c>
      <c r="N2173">
        <v>1</v>
      </c>
      <c r="P2173">
        <v>1.3479000000000001</v>
      </c>
      <c r="Q2173">
        <v>0.94110000000000005</v>
      </c>
      <c r="R2173">
        <v>0.95479000000000003</v>
      </c>
      <c r="S2173">
        <v>0.81859000000000004</v>
      </c>
      <c r="T2173">
        <v>135.47499999999999</v>
      </c>
      <c r="U2173">
        <v>1</v>
      </c>
    </row>
    <row r="2174" spans="1:22" hidden="1" outlineLevel="1">
      <c r="A2174" s="8">
        <v>44900</v>
      </c>
      <c r="B2174" s="1860">
        <v>3526.4193500000001</v>
      </c>
      <c r="C2174" s="1860">
        <v>5080.9379099999996</v>
      </c>
      <c r="D2174" s="1860">
        <v>5018.6592700000001</v>
      </c>
      <c r="E2174" s="1860">
        <v>5824.7911000000004</v>
      </c>
      <c r="F2174">
        <v>34.978279999999998</v>
      </c>
      <c r="G2174" s="1861">
        <v>4767.1899999999996</v>
      </c>
      <c r="I2174">
        <v>0.73972000000000004</v>
      </c>
      <c r="J2174">
        <v>1.0658099999999999</v>
      </c>
      <c r="K2174">
        <v>1.0527500000000001</v>
      </c>
      <c r="L2174">
        <v>1.2218500000000001</v>
      </c>
      <c r="M2174">
        <v>7.3299999999999997E-3</v>
      </c>
      <c r="N2174">
        <v>1</v>
      </c>
      <c r="P2174">
        <v>1.35185</v>
      </c>
      <c r="Q2174">
        <v>0.93825000000000003</v>
      </c>
      <c r="R2174">
        <v>0.94989000000000001</v>
      </c>
      <c r="S2174">
        <v>0.81842999999999999</v>
      </c>
      <c r="T2174">
        <v>136.29</v>
      </c>
      <c r="U2174">
        <v>1</v>
      </c>
    </row>
    <row r="2175" spans="1:22" hidden="1" outlineLevel="1">
      <c r="A2175" s="8">
        <v>44901</v>
      </c>
      <c r="B2175" s="1860">
        <v>3525.93325</v>
      </c>
      <c r="C2175" s="1860">
        <v>5119.8148799999999</v>
      </c>
      <c r="D2175" s="1860">
        <v>5054.1915900000004</v>
      </c>
      <c r="E2175" s="1860">
        <v>5882.15985</v>
      </c>
      <c r="F2175">
        <v>35.21546</v>
      </c>
      <c r="G2175" s="1861">
        <v>4812.37</v>
      </c>
      <c r="I2175">
        <v>0.73268</v>
      </c>
      <c r="J2175">
        <v>1.0638799999999999</v>
      </c>
      <c r="K2175">
        <v>1.0502499999999999</v>
      </c>
      <c r="L2175">
        <v>1.2222999999999999</v>
      </c>
      <c r="M2175">
        <v>7.3099999999999997E-3</v>
      </c>
      <c r="N2175">
        <v>1</v>
      </c>
      <c r="P2175">
        <v>1.3648499999999999</v>
      </c>
      <c r="Q2175">
        <v>0.93994999999999995</v>
      </c>
      <c r="R2175">
        <v>0.95215000000000005</v>
      </c>
      <c r="S2175">
        <v>0.81811999999999996</v>
      </c>
      <c r="T2175">
        <v>136.655</v>
      </c>
      <c r="U2175">
        <v>1</v>
      </c>
    </row>
    <row r="2176" spans="1:22" hidden="1" outlineLevel="1">
      <c r="A2176" s="8">
        <v>44902</v>
      </c>
      <c r="B2176" s="1860">
        <v>3540.2791999999999</v>
      </c>
      <c r="C2176" s="1860">
        <v>5130.7847899999997</v>
      </c>
      <c r="D2176" s="1860">
        <v>5060.9224100000001</v>
      </c>
      <c r="E2176" s="1860">
        <v>5875.7003199999999</v>
      </c>
      <c r="F2176">
        <v>35.246110000000002</v>
      </c>
      <c r="G2176" s="1861">
        <v>4818.32</v>
      </c>
      <c r="I2176">
        <v>0.73475000000000001</v>
      </c>
      <c r="J2176">
        <v>1.06484</v>
      </c>
      <c r="K2176">
        <v>1.0503499999999999</v>
      </c>
      <c r="L2176">
        <v>1.2194499999999999</v>
      </c>
      <c r="M2176">
        <v>7.3099999999999997E-3</v>
      </c>
      <c r="N2176">
        <v>1</v>
      </c>
      <c r="P2176">
        <v>1.361</v>
      </c>
      <c r="Q2176">
        <v>0.93910000000000005</v>
      </c>
      <c r="R2176">
        <v>0.95206000000000002</v>
      </c>
      <c r="S2176">
        <v>0.82003999999999999</v>
      </c>
      <c r="T2176">
        <v>136.70500000000001</v>
      </c>
      <c r="U2176">
        <v>1</v>
      </c>
    </row>
    <row r="2177" spans="1:21" hidden="1" outlineLevel="1">
      <c r="A2177" s="8">
        <v>44903</v>
      </c>
      <c r="B2177" s="1860">
        <v>3552.3224100000002</v>
      </c>
      <c r="C2177" s="1860">
        <v>5154.1493099999998</v>
      </c>
      <c r="D2177" s="1860">
        <v>5089.0790200000001</v>
      </c>
      <c r="E2177" s="1860">
        <v>5896.44038</v>
      </c>
      <c r="F2177">
        <v>35.355359999999997</v>
      </c>
      <c r="G2177" s="1861">
        <v>4825.83</v>
      </c>
      <c r="I2177">
        <v>0.73609999999999998</v>
      </c>
      <c r="J2177">
        <v>1.06803</v>
      </c>
      <c r="K2177">
        <v>1.0545500000000001</v>
      </c>
      <c r="L2177">
        <v>1.2218500000000001</v>
      </c>
      <c r="M2177">
        <v>7.3200000000000001E-3</v>
      </c>
      <c r="N2177">
        <v>1</v>
      </c>
      <c r="P2177">
        <v>1.3585</v>
      </c>
      <c r="Q2177">
        <v>0.93630000000000002</v>
      </c>
      <c r="R2177">
        <v>0.94826999999999995</v>
      </c>
      <c r="S2177">
        <v>0.81842999999999999</v>
      </c>
      <c r="T2177">
        <v>136.495</v>
      </c>
      <c r="U2177">
        <v>1</v>
      </c>
    </row>
    <row r="2178" spans="1:21" hidden="1" outlineLevel="1">
      <c r="A2178" s="8">
        <v>44904</v>
      </c>
      <c r="B2178" s="1860">
        <v>3539.4257200000002</v>
      </c>
      <c r="C2178" s="1860">
        <v>5172.9338600000001</v>
      </c>
      <c r="D2178" s="1860">
        <v>5086.6661100000001</v>
      </c>
      <c r="E2178" s="1860">
        <v>5932.3928100000003</v>
      </c>
      <c r="F2178">
        <v>35.329470000000001</v>
      </c>
      <c r="G2178" s="1861">
        <v>4825.83</v>
      </c>
      <c r="I2178">
        <v>0.73343000000000003</v>
      </c>
      <c r="J2178">
        <v>1.07192</v>
      </c>
      <c r="K2178">
        <v>1.0540499999999999</v>
      </c>
      <c r="L2178">
        <v>1.2293000000000001</v>
      </c>
      <c r="M2178">
        <v>7.3200000000000001E-3</v>
      </c>
      <c r="N2178">
        <v>1</v>
      </c>
      <c r="P2178">
        <v>1.3634500000000001</v>
      </c>
      <c r="Q2178">
        <v>0.93289999999999995</v>
      </c>
      <c r="R2178">
        <v>0.94872000000000001</v>
      </c>
      <c r="S2178">
        <v>0.81347000000000003</v>
      </c>
      <c r="T2178">
        <v>136.595</v>
      </c>
      <c r="U2178">
        <v>1</v>
      </c>
    </row>
    <row r="2179" spans="1:21" hidden="1" outlineLevel="1">
      <c r="A2179" s="8">
        <v>44905</v>
      </c>
      <c r="B2179" s="1860">
        <v>3532.2087299999998</v>
      </c>
      <c r="C2179" s="1860">
        <v>5162.3860999999997</v>
      </c>
      <c r="D2179" s="1860">
        <v>5076.2942499999999</v>
      </c>
      <c r="E2179" s="1860">
        <v>5920.2965000000004</v>
      </c>
      <c r="F2179">
        <v>35.257429999999999</v>
      </c>
      <c r="G2179" s="1861">
        <v>4815.99</v>
      </c>
      <c r="I2179">
        <v>0.73343000000000003</v>
      </c>
      <c r="J2179">
        <v>1.07192</v>
      </c>
      <c r="K2179">
        <v>1.0540499999999999</v>
      </c>
      <c r="L2179">
        <v>1.2293000000000001</v>
      </c>
      <c r="M2179">
        <v>7.3200000000000001E-3</v>
      </c>
      <c r="N2179">
        <v>1</v>
      </c>
      <c r="P2179">
        <v>1.3634500000000001</v>
      </c>
      <c r="Q2179">
        <v>0.93289999999999995</v>
      </c>
      <c r="R2179">
        <v>0.94872000000000001</v>
      </c>
      <c r="S2179">
        <v>0.81347000000000003</v>
      </c>
      <c r="T2179">
        <v>136.595</v>
      </c>
      <c r="U2179">
        <v>1</v>
      </c>
    </row>
    <row r="2180" spans="1:21" hidden="1" outlineLevel="1">
      <c r="A2180" s="8">
        <v>44906</v>
      </c>
      <c r="B2180" s="1860">
        <v>3532.2087299999998</v>
      </c>
      <c r="C2180" s="1860">
        <v>5162.3860999999997</v>
      </c>
      <c r="D2180" s="1860">
        <v>5076.2942499999999</v>
      </c>
      <c r="E2180" s="1860">
        <v>5920.2965000000004</v>
      </c>
      <c r="F2180">
        <v>35.257429999999999</v>
      </c>
      <c r="G2180" s="1861">
        <v>4815.99</v>
      </c>
      <c r="I2180">
        <v>0.73343000000000003</v>
      </c>
      <c r="J2180">
        <v>1.07192</v>
      </c>
      <c r="K2180">
        <v>1.0540499999999999</v>
      </c>
      <c r="L2180">
        <v>1.2293000000000001</v>
      </c>
      <c r="M2180">
        <v>7.3200000000000001E-3</v>
      </c>
      <c r="N2180">
        <v>1</v>
      </c>
      <c r="P2180">
        <v>1.3634500000000001</v>
      </c>
      <c r="Q2180">
        <v>0.93289999999999995</v>
      </c>
      <c r="R2180">
        <v>0.94872000000000001</v>
      </c>
      <c r="S2180">
        <v>0.81347000000000003</v>
      </c>
      <c r="T2180">
        <v>136.595</v>
      </c>
      <c r="U2180">
        <v>1</v>
      </c>
    </row>
    <row r="2181" spans="1:21" hidden="1" outlineLevel="1">
      <c r="A2181" s="8">
        <v>44907</v>
      </c>
      <c r="B2181" s="1860">
        <v>3521.61895</v>
      </c>
      <c r="C2181" s="1860">
        <v>5143.3651900000004</v>
      </c>
      <c r="D2181" s="1860">
        <v>5067.1438699999999</v>
      </c>
      <c r="E2181" s="1860">
        <v>5901.0325400000002</v>
      </c>
      <c r="F2181">
        <v>35.047040000000003</v>
      </c>
      <c r="G2181" s="1861">
        <v>4815.99</v>
      </c>
      <c r="I2181">
        <v>0.73123000000000005</v>
      </c>
      <c r="J2181">
        <v>1.0679700000000001</v>
      </c>
      <c r="K2181">
        <v>1.0521499999999999</v>
      </c>
      <c r="L2181">
        <v>1.2253000000000001</v>
      </c>
      <c r="M2181">
        <v>7.2700000000000004E-3</v>
      </c>
      <c r="N2181">
        <v>1</v>
      </c>
      <c r="P2181">
        <v>1.36755</v>
      </c>
      <c r="Q2181">
        <v>0.93635000000000002</v>
      </c>
      <c r="R2181">
        <v>0.95043</v>
      </c>
      <c r="S2181">
        <v>0.81611999999999996</v>
      </c>
      <c r="T2181">
        <v>137.41499999999999</v>
      </c>
      <c r="U2181">
        <v>1</v>
      </c>
    </row>
    <row r="2182" spans="1:21" hidden="1" outlineLevel="1">
      <c r="A2182" s="8">
        <v>44908</v>
      </c>
      <c r="B2182" s="1860">
        <v>3571.0256199999999</v>
      </c>
      <c r="C2182" s="1860">
        <v>5220.1845700000003</v>
      </c>
      <c r="D2182" s="1860">
        <v>5145.0339199999999</v>
      </c>
      <c r="E2182" s="1860">
        <v>5995.2449100000003</v>
      </c>
      <c r="F2182">
        <v>35.780259999999998</v>
      </c>
      <c r="G2182" s="1861">
        <v>4836.24</v>
      </c>
      <c r="I2182">
        <v>0.73838000000000004</v>
      </c>
      <c r="J2182">
        <v>1.07938</v>
      </c>
      <c r="K2182">
        <v>1.06385</v>
      </c>
      <c r="L2182">
        <v>1.2396499999999999</v>
      </c>
      <c r="M2182">
        <v>7.3899999999999999E-3</v>
      </c>
      <c r="N2182">
        <v>1</v>
      </c>
      <c r="P2182">
        <v>1.3543000000000001</v>
      </c>
      <c r="Q2182">
        <v>0.92645</v>
      </c>
      <c r="R2182">
        <v>0.93998000000000004</v>
      </c>
      <c r="S2182">
        <v>0.80667</v>
      </c>
      <c r="T2182">
        <v>135.16499999999999</v>
      </c>
      <c r="U2182">
        <v>1</v>
      </c>
    </row>
    <row r="2183" spans="1:21" hidden="1" outlineLevel="1">
      <c r="A2183" s="8">
        <v>44909</v>
      </c>
      <c r="B2183" s="1860">
        <v>3533.08509</v>
      </c>
      <c r="C2183" s="1860">
        <v>5187.6468299999997</v>
      </c>
      <c r="D2183" s="1860">
        <v>5101.8241500000004</v>
      </c>
      <c r="E2183" s="1860">
        <v>5944.4217399999998</v>
      </c>
      <c r="F2183">
        <v>35.535220000000002</v>
      </c>
      <c r="G2183" s="1861">
        <v>4791.57</v>
      </c>
      <c r="I2183">
        <v>0.73734999999999995</v>
      </c>
      <c r="J2183">
        <v>1.08266</v>
      </c>
      <c r="K2183">
        <v>1.0647500000000001</v>
      </c>
      <c r="L2183">
        <v>1.2405999999999999</v>
      </c>
      <c r="M2183">
        <v>7.4099999999999999E-3</v>
      </c>
      <c r="N2183">
        <v>1</v>
      </c>
      <c r="P2183">
        <v>1.3562000000000001</v>
      </c>
      <c r="Q2183">
        <v>0.92364999999999997</v>
      </c>
      <c r="R2183">
        <v>0.93918000000000001</v>
      </c>
      <c r="S2183">
        <v>0.80606</v>
      </c>
      <c r="T2183">
        <v>134.84</v>
      </c>
      <c r="U2183">
        <v>1</v>
      </c>
    </row>
    <row r="2184" spans="1:21" hidden="1" outlineLevel="1">
      <c r="A2184" s="8">
        <v>44910</v>
      </c>
      <c r="B2184" s="1860">
        <v>3508.9260100000001</v>
      </c>
      <c r="C2184" s="1860">
        <v>5145.9587499999998</v>
      </c>
      <c r="D2184" s="1860">
        <v>5089.1071099999999</v>
      </c>
      <c r="E2184" s="1860">
        <v>5838.1025</v>
      </c>
      <c r="F2184">
        <v>34.741019999999999</v>
      </c>
      <c r="G2184" s="1861">
        <v>4778.28</v>
      </c>
      <c r="I2184">
        <v>0.73433999999999999</v>
      </c>
      <c r="J2184">
        <v>1.07694</v>
      </c>
      <c r="K2184">
        <v>1.0650500000000001</v>
      </c>
      <c r="L2184">
        <v>1.2218</v>
      </c>
      <c r="M2184">
        <v>7.2700000000000004E-3</v>
      </c>
      <c r="N2184">
        <v>1</v>
      </c>
      <c r="P2184">
        <v>1.36175</v>
      </c>
      <c r="Q2184">
        <v>0.92854999999999999</v>
      </c>
      <c r="R2184">
        <v>0.93891999999999998</v>
      </c>
      <c r="S2184">
        <v>0.81845999999999997</v>
      </c>
      <c r="T2184">
        <v>137.54</v>
      </c>
      <c r="U2184">
        <v>1</v>
      </c>
    </row>
    <row r="2185" spans="1:21" hidden="1" outlineLevel="1">
      <c r="A2185" s="8">
        <v>44911</v>
      </c>
      <c r="B2185" s="1860">
        <v>3503.13652</v>
      </c>
      <c r="C2185" s="1860">
        <v>5144.5332099999996</v>
      </c>
      <c r="D2185" s="1860">
        <v>5092.2765799999997</v>
      </c>
      <c r="E2185" s="1860">
        <v>5828.8590000000004</v>
      </c>
      <c r="F2185">
        <v>35.100569999999998</v>
      </c>
      <c r="G2185" s="1861">
        <v>4797.0200000000004</v>
      </c>
      <c r="I2185">
        <v>0.73026999999999997</v>
      </c>
      <c r="J2185">
        <v>1.0724400000000001</v>
      </c>
      <c r="K2185">
        <v>1.06155</v>
      </c>
      <c r="L2185">
        <v>1.2151000000000001</v>
      </c>
      <c r="M2185">
        <v>7.3099999999999997E-3</v>
      </c>
      <c r="N2185">
        <v>1</v>
      </c>
      <c r="P2185">
        <v>1.3693500000000001</v>
      </c>
      <c r="Q2185">
        <v>0.93245</v>
      </c>
      <c r="R2185">
        <v>0.94201000000000001</v>
      </c>
      <c r="S2185">
        <v>0.82296999999999998</v>
      </c>
      <c r="T2185">
        <v>136.66499999999999</v>
      </c>
      <c r="U2185">
        <v>1</v>
      </c>
    </row>
    <row r="2186" spans="1:21" hidden="1" outlineLevel="1">
      <c r="A2186" s="8">
        <v>44912</v>
      </c>
      <c r="B2186" s="1860">
        <v>3507.12381</v>
      </c>
      <c r="C2186" s="1860">
        <v>5150.3887599999998</v>
      </c>
      <c r="D2186" s="1860">
        <v>5098.0726400000003</v>
      </c>
      <c r="E2186" s="1860">
        <v>5835.4934400000002</v>
      </c>
      <c r="F2186">
        <v>35.140520000000002</v>
      </c>
      <c r="G2186" s="1861">
        <v>4802.4799999999996</v>
      </c>
      <c r="I2186">
        <v>0.73026999999999997</v>
      </c>
      <c r="J2186">
        <v>1.0724400000000001</v>
      </c>
      <c r="K2186">
        <v>1.06155</v>
      </c>
      <c r="L2186">
        <v>1.2151000000000001</v>
      </c>
      <c r="M2186">
        <v>7.3099999999999997E-3</v>
      </c>
      <c r="N2186">
        <v>1</v>
      </c>
      <c r="P2186">
        <v>1.3693500000000001</v>
      </c>
      <c r="Q2186">
        <v>0.93245</v>
      </c>
      <c r="R2186">
        <v>0.94201000000000001</v>
      </c>
      <c r="S2186">
        <v>0.82296999999999998</v>
      </c>
      <c r="T2186">
        <v>136.66499999999999</v>
      </c>
      <c r="U2186">
        <v>1</v>
      </c>
    </row>
    <row r="2187" spans="1:21" hidden="1" outlineLevel="1">
      <c r="A2187" s="8">
        <v>44913</v>
      </c>
      <c r="B2187" s="1860">
        <v>3507.12381</v>
      </c>
      <c r="C2187" s="1860">
        <v>5150.3887599999998</v>
      </c>
      <c r="D2187" s="1860">
        <v>5098.0726400000003</v>
      </c>
      <c r="E2187" s="1860">
        <v>5835.4934400000002</v>
      </c>
      <c r="F2187">
        <v>35.140520000000002</v>
      </c>
      <c r="G2187" s="1861">
        <v>4802.4799999999996</v>
      </c>
      <c r="I2187">
        <v>0.73026999999999997</v>
      </c>
      <c r="J2187">
        <v>1.0724400000000001</v>
      </c>
      <c r="K2187">
        <v>1.06155</v>
      </c>
      <c r="L2187">
        <v>1.2151000000000001</v>
      </c>
      <c r="M2187">
        <v>7.3099999999999997E-3</v>
      </c>
      <c r="N2187">
        <v>1</v>
      </c>
      <c r="P2187">
        <v>1.3693500000000001</v>
      </c>
      <c r="Q2187">
        <v>0.93245</v>
      </c>
      <c r="R2187">
        <v>0.94201000000000001</v>
      </c>
      <c r="S2187">
        <v>0.82296999999999998</v>
      </c>
      <c r="T2187">
        <v>136.66499999999999</v>
      </c>
      <c r="U2187">
        <v>1</v>
      </c>
    </row>
    <row r="2188" spans="1:21" hidden="1" outlineLevel="1">
      <c r="A2188" s="8">
        <v>44914</v>
      </c>
      <c r="B2188" s="1860">
        <v>3508.14858</v>
      </c>
      <c r="C2188" s="1860">
        <v>5144.8711700000003</v>
      </c>
      <c r="D2188" s="1860">
        <v>5080.7837099999997</v>
      </c>
      <c r="E2188" s="1860">
        <v>5825.6483600000001</v>
      </c>
      <c r="F2188">
        <v>35.055869999999999</v>
      </c>
      <c r="G2188" s="1861">
        <v>4802.4799999999996</v>
      </c>
      <c r="I2188">
        <v>0.73048000000000002</v>
      </c>
      <c r="J2188">
        <v>1.0712900000000001</v>
      </c>
      <c r="K2188">
        <v>1.0579499999999999</v>
      </c>
      <c r="L2188">
        <v>1.21305</v>
      </c>
      <c r="M2188">
        <v>7.2899999999999996E-3</v>
      </c>
      <c r="N2188">
        <v>1</v>
      </c>
      <c r="P2188">
        <v>1.3689499999999999</v>
      </c>
      <c r="Q2188">
        <v>0.93345</v>
      </c>
      <c r="R2188">
        <v>0.94521999999999995</v>
      </c>
      <c r="S2188">
        <v>0.82435999999999998</v>
      </c>
      <c r="T2188">
        <v>136.995</v>
      </c>
      <c r="U2188">
        <v>1</v>
      </c>
    </row>
    <row r="2189" spans="1:21" hidden="1" outlineLevel="1">
      <c r="A2189" s="8">
        <v>44915</v>
      </c>
      <c r="B2189" s="1860">
        <v>3512.6767799999998</v>
      </c>
      <c r="C2189" s="1860">
        <v>5163.6481400000002</v>
      </c>
      <c r="D2189" s="1860">
        <v>5087.0428499999998</v>
      </c>
      <c r="E2189" s="1860">
        <v>5803.9957899999999</v>
      </c>
      <c r="F2189">
        <v>36.38306</v>
      </c>
      <c r="G2189" s="1861">
        <v>4781.28</v>
      </c>
      <c r="I2189">
        <v>0.73467000000000005</v>
      </c>
      <c r="J2189">
        <v>1.0799700000000001</v>
      </c>
      <c r="K2189">
        <v>1.06395</v>
      </c>
      <c r="L2189">
        <v>1.2139</v>
      </c>
      <c r="M2189">
        <v>7.6E-3</v>
      </c>
      <c r="N2189">
        <v>1</v>
      </c>
      <c r="P2189">
        <v>1.3611500000000001</v>
      </c>
      <c r="Q2189">
        <v>0.92595000000000005</v>
      </c>
      <c r="R2189">
        <v>0.93989</v>
      </c>
      <c r="S2189">
        <v>0.82379000000000002</v>
      </c>
      <c r="T2189">
        <v>131.41499999999999</v>
      </c>
      <c r="U2189">
        <v>1</v>
      </c>
    </row>
    <row r="2190" spans="1:21" hidden="1" outlineLevel="1">
      <c r="A2190" s="8">
        <v>44916</v>
      </c>
      <c r="B2190" s="1860">
        <v>3503.3532799999998</v>
      </c>
      <c r="C2190" s="1860">
        <v>5147.6416600000002</v>
      </c>
      <c r="D2190" s="1860">
        <v>5062.3628699999999</v>
      </c>
      <c r="E2190" s="1860">
        <v>5775.6101900000003</v>
      </c>
      <c r="F2190">
        <v>36.132350000000002</v>
      </c>
      <c r="G2190" s="1861">
        <v>4769.29</v>
      </c>
      <c r="I2190">
        <v>0.73455999999999999</v>
      </c>
      <c r="J2190">
        <v>1.0793299999999999</v>
      </c>
      <c r="K2190">
        <v>1.06145</v>
      </c>
      <c r="L2190">
        <v>1.2110000000000001</v>
      </c>
      <c r="M2190">
        <v>7.5700000000000003E-3</v>
      </c>
      <c r="N2190">
        <v>1</v>
      </c>
      <c r="P2190">
        <v>1.3613500000000001</v>
      </c>
      <c r="Q2190">
        <v>0.92649999999999999</v>
      </c>
      <c r="R2190">
        <v>0.94210000000000005</v>
      </c>
      <c r="S2190">
        <v>0.82576000000000005</v>
      </c>
      <c r="T2190">
        <v>131.995</v>
      </c>
      <c r="U2190">
        <v>1</v>
      </c>
    </row>
    <row r="2191" spans="1:21" hidden="1" outlineLevel="1">
      <c r="A2191" s="8">
        <v>44917</v>
      </c>
      <c r="B2191" s="1860">
        <v>3486.2100500000001</v>
      </c>
      <c r="C2191" s="1860">
        <v>5117.5667599999997</v>
      </c>
      <c r="D2191" s="1860">
        <v>5047.5764799999997</v>
      </c>
      <c r="E2191" s="1860">
        <v>5727.77675</v>
      </c>
      <c r="F2191">
        <v>36.00347</v>
      </c>
      <c r="G2191" s="1861">
        <v>4761.6400000000003</v>
      </c>
      <c r="I2191">
        <v>0.73214000000000001</v>
      </c>
      <c r="J2191">
        <v>1.07474</v>
      </c>
      <c r="K2191">
        <v>1.0600499999999999</v>
      </c>
      <c r="L2191">
        <v>1.2029000000000001</v>
      </c>
      <c r="M2191">
        <v>7.5599999999999999E-3</v>
      </c>
      <c r="N2191">
        <v>1</v>
      </c>
      <c r="P2191">
        <v>1.36585</v>
      </c>
      <c r="Q2191">
        <v>0.93045</v>
      </c>
      <c r="R2191">
        <v>0.94335000000000002</v>
      </c>
      <c r="S2191">
        <v>0.83131999999999995</v>
      </c>
      <c r="T2191">
        <v>132.255</v>
      </c>
      <c r="U2191">
        <v>1</v>
      </c>
    </row>
    <row r="2192" spans="1:21" hidden="1" outlineLevel="1">
      <c r="A2192" s="8">
        <v>44918</v>
      </c>
      <c r="B2192" s="1860">
        <v>3504.1846</v>
      </c>
      <c r="C2192" s="1860">
        <v>5100.0160599999999</v>
      </c>
      <c r="D2192" s="1860">
        <v>5052.6734200000001</v>
      </c>
      <c r="E2192" s="1860">
        <v>5741.5336900000002</v>
      </c>
      <c r="F2192">
        <v>35.834470000000003</v>
      </c>
      <c r="G2192" s="1861">
        <v>4760.6099999999997</v>
      </c>
      <c r="I2192">
        <v>0.73607</v>
      </c>
      <c r="J2192">
        <v>1.0712900000000001</v>
      </c>
      <c r="K2192">
        <v>1.06135</v>
      </c>
      <c r="L2192">
        <v>1.2060500000000001</v>
      </c>
      <c r="M2192">
        <v>7.5199999999999998E-3</v>
      </c>
      <c r="N2192">
        <v>1</v>
      </c>
      <c r="P2192">
        <v>1.3585499999999999</v>
      </c>
      <c r="Q2192">
        <v>0.93345</v>
      </c>
      <c r="R2192">
        <v>0.94218999999999997</v>
      </c>
      <c r="S2192">
        <v>0.82915000000000005</v>
      </c>
      <c r="T2192">
        <v>132.85</v>
      </c>
      <c r="U2192">
        <v>1</v>
      </c>
    </row>
    <row r="2193" spans="1:22" hidden="1" outlineLevel="1">
      <c r="A2193" s="8">
        <v>44919</v>
      </c>
      <c r="B2193" s="1860">
        <v>3492.7238499999999</v>
      </c>
      <c r="C2193" s="1860">
        <v>5083.33601</v>
      </c>
      <c r="D2193" s="1860">
        <v>5036.1481999999996</v>
      </c>
      <c r="E2193" s="1860">
        <v>5722.7554899999996</v>
      </c>
      <c r="F2193">
        <v>35.717269999999999</v>
      </c>
      <c r="G2193" s="1861">
        <v>4745.04</v>
      </c>
      <c r="I2193">
        <v>0.73607</v>
      </c>
      <c r="J2193">
        <v>1.0712900000000001</v>
      </c>
      <c r="K2193">
        <v>1.06135</v>
      </c>
      <c r="L2193">
        <v>1.2060500000000001</v>
      </c>
      <c r="M2193">
        <v>7.5199999999999998E-3</v>
      </c>
      <c r="N2193">
        <v>1</v>
      </c>
      <c r="P2193">
        <v>1.3585499999999999</v>
      </c>
      <c r="Q2193">
        <v>0.93345</v>
      </c>
      <c r="R2193">
        <v>0.94218999999999997</v>
      </c>
      <c r="S2193">
        <v>0.82915000000000005</v>
      </c>
      <c r="T2193">
        <v>132.85</v>
      </c>
      <c r="U2193">
        <v>1</v>
      </c>
    </row>
    <row r="2194" spans="1:22" hidden="1" outlineLevel="1">
      <c r="A2194" s="8">
        <v>44920</v>
      </c>
      <c r="B2194" s="1860">
        <v>3492.7238499999999</v>
      </c>
      <c r="C2194" s="1860">
        <v>5083.33601</v>
      </c>
      <c r="D2194" s="1860">
        <v>5036.1481999999996</v>
      </c>
      <c r="E2194" s="1860">
        <v>5722.7554899999996</v>
      </c>
      <c r="F2194">
        <v>35.717269999999999</v>
      </c>
      <c r="G2194" s="1861">
        <v>4745.04</v>
      </c>
      <c r="I2194">
        <v>0.73607</v>
      </c>
      <c r="J2194">
        <v>1.0712900000000001</v>
      </c>
      <c r="K2194">
        <v>1.06135</v>
      </c>
      <c r="L2194">
        <v>1.2060500000000001</v>
      </c>
      <c r="M2194">
        <v>7.5199999999999998E-3</v>
      </c>
      <c r="N2194">
        <v>1</v>
      </c>
      <c r="P2194">
        <v>1.3585499999999999</v>
      </c>
      <c r="Q2194">
        <v>0.93345</v>
      </c>
      <c r="R2194">
        <v>0.94218999999999997</v>
      </c>
      <c r="S2194">
        <v>0.82915000000000005</v>
      </c>
      <c r="T2194">
        <v>132.85</v>
      </c>
      <c r="U2194">
        <v>1</v>
      </c>
    </row>
    <row r="2195" spans="1:22" hidden="1" outlineLevel="1">
      <c r="A2195" s="8">
        <v>44921</v>
      </c>
      <c r="B2195" s="1860">
        <v>3492.7238499999999</v>
      </c>
      <c r="C2195" s="1860">
        <v>5083.33601</v>
      </c>
      <c r="D2195" s="1860">
        <v>5036.1481999999996</v>
      </c>
      <c r="E2195" s="1860">
        <v>5722.7554899999996</v>
      </c>
      <c r="F2195">
        <v>35.717269999999999</v>
      </c>
      <c r="G2195" s="1861">
        <v>4745.04</v>
      </c>
      <c r="I2195">
        <v>0.73607</v>
      </c>
      <c r="J2195">
        <v>1.0712900000000001</v>
      </c>
      <c r="K2195">
        <v>1.06135</v>
      </c>
      <c r="L2195">
        <v>1.2060500000000001</v>
      </c>
      <c r="M2195">
        <v>7.5199999999999998E-3</v>
      </c>
      <c r="N2195">
        <v>1</v>
      </c>
      <c r="P2195">
        <v>1.3585499999999999</v>
      </c>
      <c r="Q2195">
        <v>0.93345</v>
      </c>
      <c r="R2195">
        <v>0.94218999999999997</v>
      </c>
      <c r="S2195">
        <v>0.82915000000000005</v>
      </c>
      <c r="T2195">
        <v>132.85</v>
      </c>
      <c r="U2195">
        <v>1</v>
      </c>
    </row>
    <row r="2196" spans="1:22" hidden="1" outlineLevel="1">
      <c r="A2196" s="8">
        <v>44922</v>
      </c>
      <c r="B2196" s="1860">
        <v>3515.3652299999999</v>
      </c>
      <c r="C2196" s="1860">
        <v>5109.0605599999999</v>
      </c>
      <c r="D2196" s="1860">
        <v>5053.2303400000001</v>
      </c>
      <c r="E2196" s="1860">
        <v>5702.58907</v>
      </c>
      <c r="F2196">
        <v>35.583350000000003</v>
      </c>
      <c r="G2196" s="1861">
        <v>4745.04</v>
      </c>
      <c r="I2196">
        <v>0.74085000000000001</v>
      </c>
      <c r="J2196">
        <v>1.0767100000000001</v>
      </c>
      <c r="K2196">
        <v>1.0649500000000001</v>
      </c>
      <c r="L2196">
        <v>1.2018</v>
      </c>
      <c r="M2196">
        <v>7.4900000000000001E-3</v>
      </c>
      <c r="N2196">
        <v>1</v>
      </c>
      <c r="P2196">
        <v>1.3498000000000001</v>
      </c>
      <c r="Q2196">
        <v>0.92874999999999996</v>
      </c>
      <c r="R2196">
        <v>0.93901000000000001</v>
      </c>
      <c r="S2196">
        <v>0.83208000000000004</v>
      </c>
      <c r="T2196">
        <v>133.35</v>
      </c>
      <c r="U2196">
        <v>1</v>
      </c>
    </row>
    <row r="2197" spans="1:22" hidden="1" outlineLevel="1">
      <c r="A2197" s="8">
        <v>44923</v>
      </c>
      <c r="B2197" s="1860">
        <v>3507.98101</v>
      </c>
      <c r="C2197" s="1860">
        <v>5134.4463500000002</v>
      </c>
      <c r="D2197" s="1860">
        <v>5061.6478100000004</v>
      </c>
      <c r="E2197" s="1860">
        <v>5736.6295200000004</v>
      </c>
      <c r="F2197">
        <v>35.513649999999998</v>
      </c>
      <c r="G2197" s="1861">
        <v>4766.82</v>
      </c>
      <c r="I2197">
        <v>0.73590999999999995</v>
      </c>
      <c r="J2197">
        <v>1.0771200000000001</v>
      </c>
      <c r="K2197">
        <v>1.06185</v>
      </c>
      <c r="L2197">
        <v>1.2034499999999999</v>
      </c>
      <c r="M2197">
        <v>7.45E-3</v>
      </c>
      <c r="N2197">
        <v>1</v>
      </c>
      <c r="P2197">
        <v>1.3588499999999999</v>
      </c>
      <c r="Q2197">
        <v>0.9284</v>
      </c>
      <c r="R2197">
        <v>0.94174999999999998</v>
      </c>
      <c r="S2197">
        <v>0.83094000000000001</v>
      </c>
      <c r="T2197">
        <v>134.22499999999999</v>
      </c>
      <c r="U2197">
        <v>1</v>
      </c>
    </row>
    <row r="2198" spans="1:22" hidden="1" outlineLevel="1">
      <c r="A2198" s="8">
        <v>44924</v>
      </c>
      <c r="B2198" s="1860">
        <v>3512.48848</v>
      </c>
      <c r="C2198" s="1860">
        <v>5160.7146700000003</v>
      </c>
      <c r="D2198" s="1860">
        <v>5083.5685599999997</v>
      </c>
      <c r="E2198" s="1860">
        <v>5744.60167</v>
      </c>
      <c r="F2198">
        <v>35.77346</v>
      </c>
      <c r="G2198" s="1861">
        <v>4765.92</v>
      </c>
      <c r="I2198">
        <v>0.73699999999999999</v>
      </c>
      <c r="J2198">
        <v>1.08283</v>
      </c>
      <c r="K2198">
        <v>1.0666500000000001</v>
      </c>
      <c r="L2198">
        <v>1.2053499999999999</v>
      </c>
      <c r="M2198">
        <v>7.4999999999999997E-3</v>
      </c>
      <c r="N2198">
        <v>1</v>
      </c>
      <c r="P2198">
        <v>1.3568499999999999</v>
      </c>
      <c r="Q2198">
        <v>0.92349999999999999</v>
      </c>
      <c r="R2198">
        <v>0.93750999999999995</v>
      </c>
      <c r="S2198">
        <v>0.82962999999999998</v>
      </c>
      <c r="T2198">
        <v>133.22499999999999</v>
      </c>
      <c r="U2198">
        <v>1</v>
      </c>
    </row>
    <row r="2199" spans="1:22" hidden="1" outlineLevel="1">
      <c r="A2199" s="8">
        <v>44925</v>
      </c>
      <c r="B2199" s="1860">
        <v>3550.0940900000001</v>
      </c>
      <c r="C2199" s="1860">
        <v>5199.0920800000004</v>
      </c>
      <c r="D2199" s="1860">
        <v>5133.68595</v>
      </c>
      <c r="E2199" s="1860">
        <v>5786.1895800000002</v>
      </c>
      <c r="F2199">
        <v>36.456090000000003</v>
      </c>
      <c r="G2199" s="1861">
        <v>4810.2</v>
      </c>
      <c r="I2199">
        <v>0.73802999999999996</v>
      </c>
      <c r="J2199">
        <v>1.08084</v>
      </c>
      <c r="K2199">
        <v>1.06725</v>
      </c>
      <c r="L2199">
        <v>1.2029000000000001</v>
      </c>
      <c r="M2199">
        <v>7.5700000000000003E-3</v>
      </c>
      <c r="N2199">
        <v>1</v>
      </c>
      <c r="P2199">
        <v>1.3549500000000001</v>
      </c>
      <c r="Q2199">
        <v>0.92520000000000002</v>
      </c>
      <c r="R2199">
        <v>0.93698000000000004</v>
      </c>
      <c r="S2199">
        <v>0.83131999999999995</v>
      </c>
      <c r="T2199">
        <v>131.94499999999999</v>
      </c>
      <c r="U2199">
        <v>1</v>
      </c>
    </row>
    <row r="2200" spans="1:22" ht="15.75" collapsed="1" thickBot="1">
      <c r="A2200" s="1877">
        <v>44926</v>
      </c>
      <c r="B2200" s="1878">
        <v>3550.0940900000001</v>
      </c>
      <c r="C2200" s="1878">
        <v>5199.0920800000004</v>
      </c>
      <c r="D2200" s="1878">
        <v>5133.68595</v>
      </c>
      <c r="E2200" s="1878">
        <v>5786.1895800000002</v>
      </c>
      <c r="F2200" s="1879">
        <v>36.456090000000003</v>
      </c>
      <c r="G2200" s="1880">
        <v>4810.2</v>
      </c>
      <c r="H2200" s="1881"/>
      <c r="I2200" s="1879">
        <v>0.73802999999999996</v>
      </c>
      <c r="J2200" s="1879">
        <v>1.08084</v>
      </c>
      <c r="K2200" s="1879">
        <v>1.06725</v>
      </c>
      <c r="L2200" s="1879">
        <v>1.2029000000000001</v>
      </c>
      <c r="M2200" s="1879">
        <v>7.5700000000000003E-3</v>
      </c>
      <c r="N2200" s="1879">
        <v>1</v>
      </c>
      <c r="O2200" s="1881"/>
      <c r="P2200" s="1879">
        <v>1.3549500000000001</v>
      </c>
      <c r="Q2200" s="1879">
        <v>0.92520000000000002</v>
      </c>
      <c r="R2200" s="1879">
        <v>0.93698000000000004</v>
      </c>
      <c r="S2200" s="1879">
        <v>0.83131999999999995</v>
      </c>
      <c r="T2200" s="1879">
        <v>131.94499999999999</v>
      </c>
      <c r="U2200" s="1879">
        <v>1</v>
      </c>
      <c r="V2200" s="1881"/>
    </row>
    <row r="2201" spans="1:22" ht="15.75" thickTop="1">
      <c r="A2201" s="8"/>
      <c r="B2201" s="1860"/>
      <c r="C2201" s="1860"/>
      <c r="D2201" s="1860"/>
      <c r="E2201" s="1860"/>
      <c r="G2201" s="1861"/>
    </row>
    <row r="2202" spans="1:22">
      <c r="A2202" s="8">
        <v>44927</v>
      </c>
      <c r="B2202" s="1860">
        <v>3550.0940900000001</v>
      </c>
      <c r="C2202" s="1860">
        <v>5199.0920800000004</v>
      </c>
      <c r="D2202" s="1860">
        <v>5133.68595</v>
      </c>
      <c r="E2202" s="1860">
        <v>5786.1895800000002</v>
      </c>
      <c r="F2202">
        <v>36.456090000000003</v>
      </c>
      <c r="G2202" s="1861">
        <v>4810.2</v>
      </c>
      <c r="I2202">
        <v>0.73802999999999996</v>
      </c>
      <c r="J2202">
        <v>1.08084</v>
      </c>
      <c r="K2202">
        <v>1.06725</v>
      </c>
      <c r="L2202">
        <v>1.2029000000000001</v>
      </c>
      <c r="M2202">
        <v>7.5700000000000003E-3</v>
      </c>
      <c r="N2202">
        <v>1</v>
      </c>
      <c r="P2202">
        <v>1.3549500000000001</v>
      </c>
      <c r="Q2202">
        <v>0.92520000000000002</v>
      </c>
      <c r="R2202">
        <v>0.93698000000000004</v>
      </c>
      <c r="S2202">
        <v>0.83131999999999995</v>
      </c>
      <c r="T2202">
        <v>131.94499999999999</v>
      </c>
      <c r="U2202">
        <v>1</v>
      </c>
    </row>
    <row r="2203" spans="1:22">
      <c r="A2203" s="8">
        <v>44928</v>
      </c>
      <c r="B2203" s="1860">
        <v>3550.0940900000001</v>
      </c>
      <c r="C2203" s="1860">
        <v>5199.0920800000004</v>
      </c>
      <c r="D2203" s="1860">
        <v>5133.68595</v>
      </c>
      <c r="E2203" s="1860">
        <v>5786.1895800000002</v>
      </c>
      <c r="F2203">
        <v>36.456090000000003</v>
      </c>
      <c r="G2203" s="1861">
        <v>4810.2</v>
      </c>
      <c r="I2203">
        <v>0.73802999999999996</v>
      </c>
      <c r="J2203">
        <v>1.08084</v>
      </c>
      <c r="K2203">
        <v>1.06725</v>
      </c>
      <c r="L2203">
        <v>1.2029000000000001</v>
      </c>
      <c r="M2203">
        <v>7.5700000000000003E-3</v>
      </c>
      <c r="N2203">
        <v>1</v>
      </c>
      <c r="P2203">
        <v>1.3549500000000001</v>
      </c>
      <c r="Q2203">
        <v>0.92520000000000002</v>
      </c>
      <c r="R2203">
        <v>0.93698000000000004</v>
      </c>
      <c r="S2203">
        <v>0.83131999999999995</v>
      </c>
      <c r="T2203">
        <v>131.94499999999999</v>
      </c>
      <c r="U2203">
        <v>1</v>
      </c>
    </row>
    <row r="2204" spans="1:22">
      <c r="A2204" s="8">
        <v>44929</v>
      </c>
      <c r="B2204" s="1860">
        <v>3527.3153900000002</v>
      </c>
      <c r="C2204" s="1860">
        <v>5126.7785700000004</v>
      </c>
      <c r="D2204" s="1860">
        <v>5077.40661</v>
      </c>
      <c r="E2204" s="1860">
        <v>5775.6071400000001</v>
      </c>
      <c r="F2204">
        <v>36.787880000000001</v>
      </c>
      <c r="G2204" s="1861">
        <v>4810.2</v>
      </c>
      <c r="I2204">
        <v>0.73329</v>
      </c>
      <c r="J2204">
        <v>1.0658099999999999</v>
      </c>
      <c r="K2204">
        <v>1.05555</v>
      </c>
      <c r="L2204">
        <v>1.2007000000000001</v>
      </c>
      <c r="M2204">
        <v>7.6400000000000001E-3</v>
      </c>
      <c r="N2204">
        <v>1</v>
      </c>
      <c r="P2204">
        <v>1.3636999999999999</v>
      </c>
      <c r="Q2204">
        <v>0.93825000000000003</v>
      </c>
      <c r="R2204">
        <v>0.94737000000000005</v>
      </c>
      <c r="S2204">
        <v>0.83284000000000002</v>
      </c>
      <c r="T2204">
        <v>130.755</v>
      </c>
      <c r="U2204">
        <v>1</v>
      </c>
    </row>
    <row r="2205" spans="1:22">
      <c r="A2205" s="8">
        <v>44930</v>
      </c>
      <c r="B2205" s="1860">
        <v>3579.8321799999999</v>
      </c>
      <c r="C2205" s="1860">
        <v>5209.8122499999999</v>
      </c>
      <c r="D2205" s="1860">
        <v>5134.4903899999999</v>
      </c>
      <c r="E2205" s="1860">
        <v>5831.5337099999997</v>
      </c>
      <c r="F2205">
        <v>36.675449999999998</v>
      </c>
      <c r="G2205" s="1861">
        <v>4842.26</v>
      </c>
      <c r="I2205">
        <v>0.73928000000000005</v>
      </c>
      <c r="J2205">
        <v>1.0759000000000001</v>
      </c>
      <c r="K2205">
        <v>1.0603499999999999</v>
      </c>
      <c r="L2205">
        <v>1.2042999999999999</v>
      </c>
      <c r="M2205">
        <v>7.5700000000000003E-3</v>
      </c>
      <c r="N2205">
        <v>1</v>
      </c>
      <c r="P2205">
        <v>1.3526499999999999</v>
      </c>
      <c r="Q2205">
        <v>0.92945</v>
      </c>
      <c r="R2205">
        <v>0.94308000000000003</v>
      </c>
      <c r="S2205">
        <v>0.83035000000000003</v>
      </c>
      <c r="T2205">
        <v>132.03</v>
      </c>
      <c r="U2205">
        <v>1</v>
      </c>
    </row>
    <row r="2206" spans="1:22">
      <c r="A2206" s="8">
        <v>44931</v>
      </c>
      <c r="B2206" s="1860">
        <v>3623.6523499999998</v>
      </c>
      <c r="C2206" s="1860">
        <v>5251.7064799999998</v>
      </c>
      <c r="D2206" s="1860">
        <v>5179.8018000000002</v>
      </c>
      <c r="E2206" s="1860">
        <v>5851.1891999999998</v>
      </c>
      <c r="F2206">
        <v>36.780569999999997</v>
      </c>
      <c r="G2206" s="1861">
        <v>4924</v>
      </c>
      <c r="I2206">
        <v>0.73590999999999995</v>
      </c>
      <c r="J2206">
        <v>1.0665500000000001</v>
      </c>
      <c r="K2206">
        <v>1.0519499999999999</v>
      </c>
      <c r="L2206">
        <v>1.1882999999999999</v>
      </c>
      <c r="M2206">
        <v>7.4599999999999996E-3</v>
      </c>
      <c r="N2206">
        <v>1</v>
      </c>
      <c r="P2206">
        <v>1.3588499999999999</v>
      </c>
      <c r="Q2206">
        <v>0.93759999999999999</v>
      </c>
      <c r="R2206">
        <v>0.95060999999999996</v>
      </c>
      <c r="S2206">
        <v>0.84153</v>
      </c>
      <c r="T2206">
        <v>133.875</v>
      </c>
      <c r="U2206">
        <v>1</v>
      </c>
    </row>
    <row r="2207" spans="1:22">
      <c r="A2207" s="8">
        <v>44932</v>
      </c>
      <c r="B2207" s="1860">
        <v>3701.46884</v>
      </c>
      <c r="C2207" s="1860">
        <v>5358.80141</v>
      </c>
      <c r="D2207" s="1860">
        <v>5290.20219</v>
      </c>
      <c r="E2207" s="1860">
        <v>6010.6975400000001</v>
      </c>
      <c r="F2207">
        <v>37.679949999999998</v>
      </c>
      <c r="G2207" s="1861">
        <v>4989.58</v>
      </c>
      <c r="I2207">
        <v>0.74182999999999999</v>
      </c>
      <c r="J2207">
        <v>1.07399</v>
      </c>
      <c r="K2207">
        <v>1.0602499999999999</v>
      </c>
      <c r="L2207">
        <v>1.20465</v>
      </c>
      <c r="M2207">
        <v>7.5500000000000003E-3</v>
      </c>
      <c r="N2207">
        <v>1</v>
      </c>
      <c r="P2207">
        <v>1.3480000000000001</v>
      </c>
      <c r="Q2207">
        <v>0.93110000000000004</v>
      </c>
      <c r="R2207">
        <v>0.94316999999999995</v>
      </c>
      <c r="S2207">
        <v>0.83011000000000001</v>
      </c>
      <c r="T2207">
        <v>132.41999999999999</v>
      </c>
      <c r="U2207">
        <v>1</v>
      </c>
    </row>
    <row r="2208" spans="1:22">
      <c r="A2208" s="8">
        <v>44933</v>
      </c>
      <c r="B2208" s="1860">
        <v>3624.3768500000001</v>
      </c>
      <c r="C2208" s="1860">
        <v>5247.1914900000002</v>
      </c>
      <c r="D2208" s="1860">
        <v>5180.0210100000004</v>
      </c>
      <c r="E2208" s="1860">
        <v>5885.5103099999997</v>
      </c>
      <c r="F2208">
        <v>36.895180000000003</v>
      </c>
      <c r="G2208" s="1861">
        <v>4885.66</v>
      </c>
      <c r="I2208">
        <v>0.74182999999999999</v>
      </c>
      <c r="J2208">
        <v>1.07399</v>
      </c>
      <c r="K2208">
        <v>1.0602499999999999</v>
      </c>
      <c r="L2208">
        <v>1.20465</v>
      </c>
      <c r="M2208">
        <v>7.5500000000000003E-3</v>
      </c>
      <c r="N2208">
        <v>1</v>
      </c>
      <c r="P2208">
        <v>1.3480000000000001</v>
      </c>
      <c r="Q2208">
        <v>0.93110000000000004</v>
      </c>
      <c r="R2208">
        <v>0.94316999999999995</v>
      </c>
      <c r="S2208">
        <v>0.83011000000000001</v>
      </c>
      <c r="T2208">
        <v>132.41999999999999</v>
      </c>
      <c r="U2208">
        <v>1</v>
      </c>
    </row>
    <row r="2209" spans="1:21">
      <c r="A2209" s="8">
        <v>44934</v>
      </c>
      <c r="B2209" s="1860">
        <v>3624.3768500000001</v>
      </c>
      <c r="C2209" s="1860">
        <v>5247.1914900000002</v>
      </c>
      <c r="D2209" s="1860">
        <v>5180.0210100000004</v>
      </c>
      <c r="E2209" s="1860">
        <v>5885.5103099999997</v>
      </c>
      <c r="F2209">
        <v>36.895180000000003</v>
      </c>
      <c r="G2209" s="1861">
        <v>4885.66</v>
      </c>
      <c r="I2209">
        <v>0.74182999999999999</v>
      </c>
      <c r="J2209">
        <v>1.07399</v>
      </c>
      <c r="K2209">
        <v>1.0602499999999999</v>
      </c>
      <c r="L2209">
        <v>1.20465</v>
      </c>
      <c r="M2209">
        <v>7.5500000000000003E-3</v>
      </c>
      <c r="N2209">
        <v>1</v>
      </c>
      <c r="P2209">
        <v>1.3480000000000001</v>
      </c>
      <c r="Q2209">
        <v>0.93110000000000004</v>
      </c>
      <c r="R2209">
        <v>0.94316999999999995</v>
      </c>
      <c r="S2209">
        <v>0.83011000000000001</v>
      </c>
      <c r="T2209">
        <v>132.41999999999999</v>
      </c>
      <c r="U2209">
        <v>1</v>
      </c>
    </row>
    <row r="2210" spans="1:21">
      <c r="A2210" s="8">
        <v>44935</v>
      </c>
      <c r="B2210" s="1860">
        <v>3655.6997999999999</v>
      </c>
      <c r="C2210" s="1860">
        <v>5319.4621299999999</v>
      </c>
      <c r="D2210" s="1860">
        <v>5247.9316799999997</v>
      </c>
      <c r="E2210" s="1860">
        <v>5956.3523800000003</v>
      </c>
      <c r="F2210">
        <v>37.035020000000003</v>
      </c>
      <c r="G2210" s="1861">
        <v>4885.66</v>
      </c>
      <c r="I2210">
        <v>0.74824999999999997</v>
      </c>
      <c r="J2210">
        <v>1.0887899999999999</v>
      </c>
      <c r="K2210">
        <v>1.0741499999999999</v>
      </c>
      <c r="L2210">
        <v>1.21915</v>
      </c>
      <c r="M2210">
        <v>7.5799999999999999E-3</v>
      </c>
      <c r="N2210">
        <v>1</v>
      </c>
      <c r="P2210">
        <v>1.3364499999999999</v>
      </c>
      <c r="Q2210">
        <v>0.91844999999999999</v>
      </c>
      <c r="R2210">
        <v>0.93096000000000001</v>
      </c>
      <c r="S2210">
        <v>0.82023999999999997</v>
      </c>
      <c r="T2210">
        <v>131.91999999999999</v>
      </c>
      <c r="U2210">
        <v>1</v>
      </c>
    </row>
    <row r="2211" spans="1:21">
      <c r="A2211" s="8">
        <v>44936</v>
      </c>
      <c r="B2211" s="1860">
        <v>3635.70471</v>
      </c>
      <c r="C2211" s="1860">
        <v>5293.2394299999996</v>
      </c>
      <c r="D2211" s="1860">
        <v>5241.3360400000001</v>
      </c>
      <c r="E2211" s="1860">
        <v>5934.6112000000003</v>
      </c>
      <c r="F2211">
        <v>36.960769999999997</v>
      </c>
      <c r="G2211" s="1861">
        <v>4885.66</v>
      </c>
      <c r="I2211">
        <v>0.74414999999999998</v>
      </c>
      <c r="J2211">
        <v>1.08342</v>
      </c>
      <c r="K2211">
        <v>1.0728</v>
      </c>
      <c r="L2211">
        <v>1.2146999999999999</v>
      </c>
      <c r="M2211">
        <v>7.5599999999999999E-3</v>
      </c>
      <c r="N2211">
        <v>1</v>
      </c>
      <c r="P2211">
        <v>1.3438000000000001</v>
      </c>
      <c r="Q2211">
        <v>0.92300000000000004</v>
      </c>
      <c r="R2211">
        <v>0.93213999999999997</v>
      </c>
      <c r="S2211">
        <v>0.82323999999999997</v>
      </c>
      <c r="T2211">
        <v>132.185</v>
      </c>
      <c r="U2211">
        <v>1</v>
      </c>
    </row>
    <row r="2212" spans="1:21">
      <c r="A2212" s="8">
        <v>44937</v>
      </c>
      <c r="B2212" s="1860">
        <v>3579.7997</v>
      </c>
      <c r="C2212" s="1860">
        <v>5164.4556599999996</v>
      </c>
      <c r="D2212" s="1860">
        <v>5170.1214900000004</v>
      </c>
      <c r="E2212" s="1860">
        <v>5829.5181199999997</v>
      </c>
      <c r="F2212">
        <v>36.262390000000003</v>
      </c>
      <c r="G2212" s="1861">
        <v>4807.8500000000004</v>
      </c>
      <c r="I2212">
        <v>0.74456999999999995</v>
      </c>
      <c r="J2212">
        <v>1.0741700000000001</v>
      </c>
      <c r="K2212">
        <v>1.07535</v>
      </c>
      <c r="L2212">
        <v>1.2124999999999999</v>
      </c>
      <c r="M2212">
        <v>7.5399999999999998E-3</v>
      </c>
      <c r="N2212">
        <v>1</v>
      </c>
      <c r="P2212">
        <v>1.3430500000000001</v>
      </c>
      <c r="Q2212">
        <v>0.93095000000000006</v>
      </c>
      <c r="R2212">
        <v>0.92991999999999997</v>
      </c>
      <c r="S2212">
        <v>0.82474000000000003</v>
      </c>
      <c r="T2212">
        <v>132.58500000000001</v>
      </c>
      <c r="U2212">
        <v>1</v>
      </c>
    </row>
    <row r="2213" spans="1:21">
      <c r="A2213" s="8">
        <v>44938</v>
      </c>
      <c r="B2213" s="1860">
        <v>3543.0255499999998</v>
      </c>
      <c r="C2213" s="1860">
        <v>5112.27862</v>
      </c>
      <c r="D2213" s="1860">
        <v>5131.5097500000002</v>
      </c>
      <c r="E2213" s="1860">
        <v>5772.0877899999996</v>
      </c>
      <c r="F2213">
        <v>36.577869999999997</v>
      </c>
      <c r="G2213" s="1861">
        <v>4748.54</v>
      </c>
      <c r="I2213">
        <v>0.74612000000000001</v>
      </c>
      <c r="J2213">
        <v>1.0766</v>
      </c>
      <c r="K2213">
        <v>1.0806500000000001</v>
      </c>
      <c r="L2213">
        <v>1.2155499999999999</v>
      </c>
      <c r="M2213">
        <v>7.7000000000000002E-3</v>
      </c>
      <c r="N2213">
        <v>1</v>
      </c>
      <c r="P2213">
        <v>1.3402499999999999</v>
      </c>
      <c r="Q2213">
        <v>0.92884999999999995</v>
      </c>
      <c r="R2213">
        <v>0.92535999999999996</v>
      </c>
      <c r="S2213">
        <v>0.82267000000000001</v>
      </c>
      <c r="T2213">
        <v>129.82</v>
      </c>
      <c r="U2213">
        <v>1</v>
      </c>
    </row>
    <row r="2214" spans="1:21">
      <c r="A2214" s="8">
        <v>44939</v>
      </c>
      <c r="B2214" s="1860">
        <v>3501.9143899999999</v>
      </c>
      <c r="C2214" s="1860">
        <v>5065.63022</v>
      </c>
      <c r="D2214" s="1860">
        <v>5081.2447099999999</v>
      </c>
      <c r="E2214" s="1860">
        <v>5731.3268600000001</v>
      </c>
      <c r="F2214">
        <v>36.79598</v>
      </c>
      <c r="G2214" s="1861">
        <v>4692.04</v>
      </c>
      <c r="I2214">
        <v>0.74634999999999996</v>
      </c>
      <c r="J2214">
        <v>1.07962</v>
      </c>
      <c r="K2214">
        <v>1.0829500000000001</v>
      </c>
      <c r="L2214">
        <v>1.2215</v>
      </c>
      <c r="M2214">
        <v>7.8399999999999997E-3</v>
      </c>
      <c r="N2214">
        <v>1</v>
      </c>
      <c r="P2214">
        <v>1.33985</v>
      </c>
      <c r="Q2214">
        <v>0.92625000000000002</v>
      </c>
      <c r="R2214">
        <v>0.9234</v>
      </c>
      <c r="S2214">
        <v>0.81866000000000005</v>
      </c>
      <c r="T2214">
        <v>127.515</v>
      </c>
      <c r="U2214">
        <v>1</v>
      </c>
    </row>
    <row r="2215" spans="1:21">
      <c r="A2215" s="8">
        <v>44940</v>
      </c>
      <c r="B2215" s="1860">
        <v>3503.36978</v>
      </c>
      <c r="C2215" s="1860">
        <v>5067.73549</v>
      </c>
      <c r="D2215" s="1860">
        <v>5083.3564699999997</v>
      </c>
      <c r="E2215" s="1860">
        <v>5733.7087799999999</v>
      </c>
      <c r="F2215">
        <v>36.81127</v>
      </c>
      <c r="G2215" s="1861">
        <v>4693.99</v>
      </c>
      <c r="I2215">
        <v>0.74634999999999996</v>
      </c>
      <c r="J2215">
        <v>1.07962</v>
      </c>
      <c r="K2215">
        <v>1.0829500000000001</v>
      </c>
      <c r="L2215">
        <v>1.2215</v>
      </c>
      <c r="M2215">
        <v>7.8399999999999997E-3</v>
      </c>
      <c r="N2215">
        <v>1</v>
      </c>
      <c r="P2215">
        <v>1.33985</v>
      </c>
      <c r="Q2215">
        <v>0.92625000000000002</v>
      </c>
      <c r="R2215">
        <v>0.9234</v>
      </c>
      <c r="S2215">
        <v>0.81866000000000005</v>
      </c>
      <c r="T2215">
        <v>127.515</v>
      </c>
      <c r="U2215">
        <v>1</v>
      </c>
    </row>
    <row r="2216" spans="1:21">
      <c r="A2216" s="8">
        <v>44941</v>
      </c>
      <c r="B2216" s="1860">
        <v>3503.36978</v>
      </c>
      <c r="C2216" s="1860">
        <v>5067.73549</v>
      </c>
      <c r="D2216" s="1860">
        <v>5083.3564699999997</v>
      </c>
      <c r="E2216" s="1860">
        <v>5733.7087799999999</v>
      </c>
      <c r="F2216">
        <v>36.81127</v>
      </c>
      <c r="G2216" s="1861">
        <v>4693.99</v>
      </c>
      <c r="I2216">
        <v>0.74634999999999996</v>
      </c>
      <c r="J2216">
        <v>1.07962</v>
      </c>
      <c r="K2216">
        <v>1.0829500000000001</v>
      </c>
      <c r="L2216">
        <v>1.2215</v>
      </c>
      <c r="M2216">
        <v>7.8399999999999997E-3</v>
      </c>
      <c r="N2216">
        <v>1</v>
      </c>
      <c r="P2216">
        <v>1.33985</v>
      </c>
      <c r="Q2216">
        <v>0.92625000000000002</v>
      </c>
      <c r="R2216">
        <v>0.9234</v>
      </c>
      <c r="S2216">
        <v>0.81866000000000005</v>
      </c>
      <c r="T2216">
        <v>127.515</v>
      </c>
      <c r="U2216">
        <v>1</v>
      </c>
    </row>
    <row r="2217" spans="1:21">
      <c r="A2217" s="8">
        <v>44942</v>
      </c>
      <c r="B2217" s="1860">
        <v>3504.02358</v>
      </c>
      <c r="C2217" s="1860">
        <v>5068.2826699999996</v>
      </c>
      <c r="D2217" s="1860">
        <v>5081.4788699999999</v>
      </c>
      <c r="E2217" s="1860">
        <v>5729.4841900000001</v>
      </c>
      <c r="F2217">
        <v>36.520569999999999</v>
      </c>
      <c r="G2217" s="1861">
        <v>4693.99</v>
      </c>
      <c r="I2217">
        <v>0.74648999999999999</v>
      </c>
      <c r="J2217">
        <v>1.0797300000000001</v>
      </c>
      <c r="K2217">
        <v>1.0825499999999999</v>
      </c>
      <c r="L2217">
        <v>1.2205999999999999</v>
      </c>
      <c r="M2217">
        <v>7.7799999999999996E-3</v>
      </c>
      <c r="N2217">
        <v>1</v>
      </c>
      <c r="P2217">
        <v>1.3395999999999999</v>
      </c>
      <c r="Q2217">
        <v>0.92615000000000003</v>
      </c>
      <c r="R2217">
        <v>0.92374000000000001</v>
      </c>
      <c r="S2217">
        <v>0.81925999999999999</v>
      </c>
      <c r="T2217">
        <v>128.53</v>
      </c>
      <c r="U2217">
        <v>1</v>
      </c>
    </row>
    <row r="2218" spans="1:21">
      <c r="A2218" s="8">
        <v>44943</v>
      </c>
      <c r="B2218" s="1860">
        <v>3508.8693699999999</v>
      </c>
      <c r="C2218" s="1860">
        <v>5099.1146500000004</v>
      </c>
      <c r="D2218" s="1860">
        <v>5070.2132899999997</v>
      </c>
      <c r="E2218" s="1860">
        <v>5763.9850200000001</v>
      </c>
      <c r="F2218">
        <v>36.62744</v>
      </c>
      <c r="G2218" s="1861">
        <v>4693.99</v>
      </c>
      <c r="I2218">
        <v>0.74751999999999996</v>
      </c>
      <c r="J2218">
        <v>1.0863</v>
      </c>
      <c r="K2218">
        <v>1.0801499999999999</v>
      </c>
      <c r="L2218">
        <v>1.2279500000000001</v>
      </c>
      <c r="M2218">
        <v>7.7999999999999996E-3</v>
      </c>
      <c r="N2218">
        <v>1</v>
      </c>
      <c r="P2218">
        <v>1.33775</v>
      </c>
      <c r="Q2218">
        <v>0.92054999999999998</v>
      </c>
      <c r="R2218">
        <v>0.92579</v>
      </c>
      <c r="S2218">
        <v>0.81435999999999997</v>
      </c>
      <c r="T2218">
        <v>128.155</v>
      </c>
      <c r="U2218">
        <v>1</v>
      </c>
    </row>
    <row r="2219" spans="1:21">
      <c r="A2219" s="8">
        <v>44944</v>
      </c>
      <c r="B2219" s="1860">
        <v>3499.8992800000001</v>
      </c>
      <c r="C2219" s="1860">
        <v>5137.82377</v>
      </c>
      <c r="D2219" s="1860">
        <v>5081.1541299999999</v>
      </c>
      <c r="E2219" s="1860">
        <v>5813.1987200000003</v>
      </c>
      <c r="F2219">
        <v>36.53781</v>
      </c>
      <c r="G2219" s="1861">
        <v>4691.09</v>
      </c>
      <c r="I2219">
        <v>0.74607000000000001</v>
      </c>
      <c r="J2219">
        <v>1.0952299999999999</v>
      </c>
      <c r="K2219">
        <v>1.0831500000000001</v>
      </c>
      <c r="L2219">
        <v>1.2392000000000001</v>
      </c>
      <c r="M2219">
        <v>7.7799999999999996E-3</v>
      </c>
      <c r="N2219">
        <v>1</v>
      </c>
      <c r="P2219">
        <v>1.3403499999999999</v>
      </c>
      <c r="Q2219">
        <v>0.91305000000000003</v>
      </c>
      <c r="R2219">
        <v>0.92323</v>
      </c>
      <c r="S2219">
        <v>0.80696999999999997</v>
      </c>
      <c r="T2219">
        <v>128.38999999999999</v>
      </c>
      <c r="U2219">
        <v>1</v>
      </c>
    </row>
    <row r="2220" spans="1:21">
      <c r="A2220" s="8">
        <v>44945</v>
      </c>
      <c r="B2220" s="1860">
        <v>3486.1707200000001</v>
      </c>
      <c r="C2220" s="1860">
        <v>5128.6002500000004</v>
      </c>
      <c r="D2220" s="1860">
        <v>5073.9457899999998</v>
      </c>
      <c r="E2220" s="1860">
        <v>5812.2649799999999</v>
      </c>
      <c r="F2220">
        <v>36.606619999999999</v>
      </c>
      <c r="G2220" s="1861">
        <v>4702.67</v>
      </c>
      <c r="I2220">
        <v>0.74131000000000002</v>
      </c>
      <c r="J2220">
        <v>1.09057</v>
      </c>
      <c r="K2220">
        <v>1.0789500000000001</v>
      </c>
      <c r="L2220">
        <v>1.2359500000000001</v>
      </c>
      <c r="M2220">
        <v>7.7799999999999996E-3</v>
      </c>
      <c r="N2220">
        <v>1</v>
      </c>
      <c r="P2220">
        <v>1.3489500000000001</v>
      </c>
      <c r="Q2220">
        <v>0.91695000000000004</v>
      </c>
      <c r="R2220">
        <v>0.92681999999999998</v>
      </c>
      <c r="S2220">
        <v>0.80908999999999998</v>
      </c>
      <c r="T2220">
        <v>128.465</v>
      </c>
      <c r="U2220">
        <v>1</v>
      </c>
    </row>
    <row r="2221" spans="1:21">
      <c r="A2221" s="8">
        <v>44946</v>
      </c>
      <c r="B2221" s="1860">
        <v>3489.0312399999998</v>
      </c>
      <c r="C2221" s="1860">
        <v>5086.4418699999997</v>
      </c>
      <c r="D2221" s="1860">
        <v>5073.0779300000004</v>
      </c>
      <c r="E2221" s="1860">
        <v>5793.2198699999999</v>
      </c>
      <c r="F2221">
        <v>36.050409999999999</v>
      </c>
      <c r="G2221" s="1861">
        <v>4683.8500000000004</v>
      </c>
      <c r="I2221">
        <v>0.74490000000000001</v>
      </c>
      <c r="J2221">
        <v>1.08595</v>
      </c>
      <c r="K2221">
        <v>1.0831</v>
      </c>
      <c r="L2221">
        <v>1.23685</v>
      </c>
      <c r="M2221">
        <v>7.6899999999999998E-3</v>
      </c>
      <c r="N2221">
        <v>1</v>
      </c>
      <c r="P2221">
        <v>1.3424499999999999</v>
      </c>
      <c r="Q2221">
        <v>0.92084999999999995</v>
      </c>
      <c r="R2221">
        <v>0.92327000000000004</v>
      </c>
      <c r="S2221">
        <v>0.8085</v>
      </c>
      <c r="T2221">
        <v>129.92500000000001</v>
      </c>
      <c r="U2221">
        <v>1</v>
      </c>
    </row>
    <row r="2222" spans="1:21">
      <c r="A2222" s="8">
        <v>44947</v>
      </c>
      <c r="B2222" s="1860">
        <v>3450.13967</v>
      </c>
      <c r="C2222" s="1860">
        <v>5029.7442499999997</v>
      </c>
      <c r="D2222" s="1860">
        <v>5016.5292799999997</v>
      </c>
      <c r="E2222" s="1860">
        <v>5728.6439300000002</v>
      </c>
      <c r="F2222">
        <v>35.648560000000003</v>
      </c>
      <c r="G2222" s="1861">
        <v>4631.6400000000003</v>
      </c>
      <c r="I2222">
        <v>0.74490000000000001</v>
      </c>
      <c r="J2222">
        <v>1.08595</v>
      </c>
      <c r="K2222">
        <v>1.0831</v>
      </c>
      <c r="L2222">
        <v>1.23685</v>
      </c>
      <c r="M2222">
        <v>7.6899999999999998E-3</v>
      </c>
      <c r="N2222">
        <v>1</v>
      </c>
      <c r="P2222">
        <v>1.3424499999999999</v>
      </c>
      <c r="Q2222">
        <v>0.92084999999999995</v>
      </c>
      <c r="R2222">
        <v>0.92327000000000004</v>
      </c>
      <c r="S2222">
        <v>0.8085</v>
      </c>
      <c r="T2222">
        <v>129.92500000000001</v>
      </c>
      <c r="U2222">
        <v>1</v>
      </c>
    </row>
    <row r="2223" spans="1:21">
      <c r="A2223" s="8">
        <v>44948</v>
      </c>
      <c r="B2223" s="1860">
        <v>3450.13967</v>
      </c>
      <c r="C2223" s="1860">
        <v>5029.7442499999997</v>
      </c>
      <c r="D2223" s="1860">
        <v>5016.5292799999997</v>
      </c>
      <c r="E2223" s="1860">
        <v>5728.6439300000002</v>
      </c>
      <c r="F2223">
        <v>35.648560000000003</v>
      </c>
      <c r="G2223" s="1861">
        <v>4631.6400000000003</v>
      </c>
      <c r="I2223">
        <v>0.74490000000000001</v>
      </c>
      <c r="J2223">
        <v>1.08595</v>
      </c>
      <c r="K2223">
        <v>1.0831</v>
      </c>
      <c r="L2223">
        <v>1.23685</v>
      </c>
      <c r="M2223">
        <v>7.6899999999999998E-3</v>
      </c>
      <c r="N2223">
        <v>1</v>
      </c>
      <c r="P2223">
        <v>1.3424499999999999</v>
      </c>
      <c r="Q2223">
        <v>0.92084999999999995</v>
      </c>
      <c r="R2223">
        <v>0.92327000000000004</v>
      </c>
      <c r="S2223">
        <v>0.8085</v>
      </c>
      <c r="T2223">
        <v>129.92500000000001</v>
      </c>
      <c r="U2223">
        <v>1</v>
      </c>
    </row>
    <row r="2224" spans="1:21">
      <c r="A2224" s="8">
        <v>44949</v>
      </c>
      <c r="B2224" s="1860">
        <v>3462.0024600000002</v>
      </c>
      <c r="C2224" s="1860">
        <v>5019.3876899999996</v>
      </c>
      <c r="D2224" s="1860">
        <v>5032.2768599999999</v>
      </c>
      <c r="E2224" s="1860">
        <v>5730.0334199999998</v>
      </c>
      <c r="F2224">
        <v>35.457529999999998</v>
      </c>
      <c r="G2224" s="1861">
        <v>4631.6400000000003</v>
      </c>
      <c r="I2224">
        <v>0.74746000000000001</v>
      </c>
      <c r="J2224">
        <v>1.08371</v>
      </c>
      <c r="K2224">
        <v>1.0865</v>
      </c>
      <c r="L2224">
        <v>1.23715</v>
      </c>
      <c r="M2224">
        <v>7.6499999999999997E-3</v>
      </c>
      <c r="N2224">
        <v>1</v>
      </c>
      <c r="P2224">
        <v>1.33785</v>
      </c>
      <c r="Q2224">
        <v>0.92274999999999996</v>
      </c>
      <c r="R2224">
        <v>0.92037999999999998</v>
      </c>
      <c r="S2224">
        <v>0.80830000000000002</v>
      </c>
      <c r="T2224">
        <v>130.625</v>
      </c>
      <c r="U2224">
        <v>1</v>
      </c>
    </row>
    <row r="2225" spans="1:22">
      <c r="A2225" s="8">
        <v>44950</v>
      </c>
      <c r="B2225" s="1860">
        <v>3406.5795800000001</v>
      </c>
      <c r="C2225" s="1860">
        <v>4929.8813799999998</v>
      </c>
      <c r="D2225" s="1860">
        <v>4949.4618</v>
      </c>
      <c r="E2225" s="1860">
        <v>5604.3535700000002</v>
      </c>
      <c r="F2225">
        <v>34.980930000000001</v>
      </c>
      <c r="G2225" s="1861">
        <v>4551.0200000000004</v>
      </c>
      <c r="I2225">
        <v>0.74853000000000003</v>
      </c>
      <c r="J2225">
        <v>1.08324</v>
      </c>
      <c r="K2225">
        <v>1.08755</v>
      </c>
      <c r="L2225">
        <v>1.2314499999999999</v>
      </c>
      <c r="M2225">
        <v>7.6800000000000002E-3</v>
      </c>
      <c r="N2225">
        <v>1</v>
      </c>
      <c r="P2225">
        <v>1.33595</v>
      </c>
      <c r="Q2225">
        <v>0.92315000000000003</v>
      </c>
      <c r="R2225">
        <v>0.91949000000000003</v>
      </c>
      <c r="S2225">
        <v>0.81205000000000005</v>
      </c>
      <c r="T2225">
        <v>130.1</v>
      </c>
      <c r="U2225">
        <v>1</v>
      </c>
    </row>
    <row r="2226" spans="1:22">
      <c r="A2226" s="8">
        <v>44951</v>
      </c>
      <c r="B2226" s="1860">
        <v>3390.3419399999998</v>
      </c>
      <c r="C2226" s="1860">
        <v>4939.8967599999996</v>
      </c>
      <c r="D2226" s="1860">
        <v>4956.21108</v>
      </c>
      <c r="E2226" s="1860">
        <v>5618.5545400000001</v>
      </c>
      <c r="F2226">
        <v>35.073990000000002</v>
      </c>
      <c r="G2226" s="1861">
        <v>4545.9399999999996</v>
      </c>
      <c r="I2226">
        <v>0.74578999999999995</v>
      </c>
      <c r="J2226">
        <v>1.08666</v>
      </c>
      <c r="K2226">
        <v>1.0902499999999999</v>
      </c>
      <c r="L2226">
        <v>1.2359500000000001</v>
      </c>
      <c r="M2226">
        <v>7.7099999999999998E-3</v>
      </c>
      <c r="N2226">
        <v>1</v>
      </c>
      <c r="P2226">
        <v>1.3408500000000001</v>
      </c>
      <c r="Q2226">
        <v>0.92025000000000001</v>
      </c>
      <c r="R2226">
        <v>0.91722000000000004</v>
      </c>
      <c r="S2226">
        <v>0.80908999999999998</v>
      </c>
      <c r="T2226">
        <v>129.61000000000001</v>
      </c>
      <c r="U2226">
        <v>1</v>
      </c>
    </row>
    <row r="2227" spans="1:22">
      <c r="A2227" s="8">
        <v>44952</v>
      </c>
      <c r="B2227" s="1860">
        <v>3395.35457</v>
      </c>
      <c r="C2227" s="1860">
        <v>4923.1628600000004</v>
      </c>
      <c r="D2227" s="1860">
        <v>4926.5329099999999</v>
      </c>
      <c r="E2227" s="1860">
        <v>5608.0502500000002</v>
      </c>
      <c r="F2227">
        <v>34.792909999999999</v>
      </c>
      <c r="G2227" s="1861">
        <v>4538.91</v>
      </c>
      <c r="I2227">
        <v>0.74804999999999999</v>
      </c>
      <c r="J2227">
        <v>1.0846499999999999</v>
      </c>
      <c r="K2227">
        <v>1.0853999999999999</v>
      </c>
      <c r="L2227">
        <v>1.2355499999999999</v>
      </c>
      <c r="M2227">
        <v>7.6600000000000001E-3</v>
      </c>
      <c r="N2227">
        <v>1</v>
      </c>
      <c r="P2227">
        <v>1.3368</v>
      </c>
      <c r="Q2227">
        <v>0.92195000000000005</v>
      </c>
      <c r="R2227">
        <v>0.92130999999999996</v>
      </c>
      <c r="S2227">
        <v>0.80935000000000001</v>
      </c>
      <c r="T2227">
        <v>130.45500000000001</v>
      </c>
      <c r="U2227">
        <v>1</v>
      </c>
    </row>
    <row r="2228" spans="1:22">
      <c r="A2228" s="8">
        <v>44953</v>
      </c>
      <c r="B2228" s="1860">
        <v>3399.4073899999999</v>
      </c>
      <c r="C2228" s="1860">
        <v>4909.5390200000002</v>
      </c>
      <c r="D2228" s="1860">
        <v>4912.6435799999999</v>
      </c>
      <c r="E2228" s="1860">
        <v>5600.11006</v>
      </c>
      <c r="F2228">
        <v>34.866320000000002</v>
      </c>
      <c r="G2228" s="1861">
        <v>4531.75</v>
      </c>
      <c r="I2228">
        <v>0.75012999999999996</v>
      </c>
      <c r="J2228">
        <v>1.0833600000000001</v>
      </c>
      <c r="K2228">
        <v>1.08405</v>
      </c>
      <c r="L2228">
        <v>1.2357499999999999</v>
      </c>
      <c r="M2228">
        <v>7.6899999999999998E-3</v>
      </c>
      <c r="N2228">
        <v>1</v>
      </c>
      <c r="P2228">
        <v>1.3331</v>
      </c>
      <c r="Q2228">
        <v>0.92305000000000004</v>
      </c>
      <c r="R2228">
        <v>0.92245999999999995</v>
      </c>
      <c r="S2228">
        <v>0.80922000000000005</v>
      </c>
      <c r="T2228">
        <v>129.97499999999999</v>
      </c>
      <c r="U2228">
        <v>1</v>
      </c>
    </row>
    <row r="2229" spans="1:22">
      <c r="A2229" s="8">
        <v>44954</v>
      </c>
      <c r="B2229" s="1860">
        <v>3411.9720900000002</v>
      </c>
      <c r="C2229" s="1860">
        <v>4927.6853899999996</v>
      </c>
      <c r="D2229" s="1860">
        <v>4930.8014199999998</v>
      </c>
      <c r="E2229" s="1860">
        <v>5620.8088699999998</v>
      </c>
      <c r="F2229">
        <v>34.995190000000001</v>
      </c>
      <c r="G2229" s="1861">
        <v>4548.5</v>
      </c>
      <c r="I2229">
        <v>0.75012999999999996</v>
      </c>
      <c r="J2229">
        <v>1.0833600000000001</v>
      </c>
      <c r="K2229">
        <v>1.08405</v>
      </c>
      <c r="L2229">
        <v>1.2357499999999999</v>
      </c>
      <c r="M2229">
        <v>7.6899999999999998E-3</v>
      </c>
      <c r="N2229">
        <v>1</v>
      </c>
      <c r="P2229">
        <v>1.3331</v>
      </c>
      <c r="Q2229">
        <v>0.92305000000000004</v>
      </c>
      <c r="R2229">
        <v>0.92245999999999995</v>
      </c>
      <c r="S2229">
        <v>0.80922000000000005</v>
      </c>
      <c r="T2229">
        <v>129.97499999999999</v>
      </c>
      <c r="U2229">
        <v>1</v>
      </c>
    </row>
    <row r="2230" spans="1:22">
      <c r="A2230" s="8">
        <v>44955</v>
      </c>
      <c r="B2230" s="1860">
        <v>3411.9720900000002</v>
      </c>
      <c r="C2230" s="1860">
        <v>4927.6853899999996</v>
      </c>
      <c r="D2230" s="1860">
        <v>4930.8014199999998</v>
      </c>
      <c r="E2230" s="1860">
        <v>5620.8088699999998</v>
      </c>
      <c r="F2230">
        <v>34.995190000000001</v>
      </c>
      <c r="G2230" s="1861">
        <v>4548.5</v>
      </c>
      <c r="I2230">
        <v>0.75012999999999996</v>
      </c>
      <c r="J2230">
        <v>1.0833600000000001</v>
      </c>
      <c r="K2230">
        <v>1.08405</v>
      </c>
      <c r="L2230">
        <v>1.2357499999999999</v>
      </c>
      <c r="M2230">
        <v>7.6899999999999998E-3</v>
      </c>
      <c r="N2230">
        <v>1</v>
      </c>
      <c r="P2230">
        <v>1.3331</v>
      </c>
      <c r="Q2230">
        <v>0.92305000000000004</v>
      </c>
      <c r="R2230">
        <v>0.92245999999999995</v>
      </c>
      <c r="S2230">
        <v>0.80922000000000005</v>
      </c>
      <c r="T2230">
        <v>129.97499999999999</v>
      </c>
      <c r="U2230">
        <v>1</v>
      </c>
    </row>
    <row r="2231" spans="1:22">
      <c r="A2231" s="8">
        <v>44956</v>
      </c>
      <c r="B2231" s="1860">
        <v>3409.5423700000001</v>
      </c>
      <c r="C2231" s="1860">
        <v>4927.9523200000003</v>
      </c>
      <c r="D2231" s="1860">
        <v>4944.4469200000003</v>
      </c>
      <c r="E2231" s="1860">
        <v>5631.4978499999997</v>
      </c>
      <c r="F2231">
        <v>34.895850000000003</v>
      </c>
      <c r="G2231" s="1861">
        <v>4548.5</v>
      </c>
      <c r="I2231">
        <v>0.74958999999999998</v>
      </c>
      <c r="J2231">
        <v>1.08342</v>
      </c>
      <c r="K2231">
        <v>1.0870500000000001</v>
      </c>
      <c r="L2231">
        <v>1.2381</v>
      </c>
      <c r="M2231">
        <v>7.6699999999999997E-3</v>
      </c>
      <c r="N2231">
        <v>1</v>
      </c>
      <c r="P2231">
        <v>1.33405</v>
      </c>
      <c r="Q2231">
        <v>0.92300000000000004</v>
      </c>
      <c r="R2231">
        <v>0.91991999999999996</v>
      </c>
      <c r="S2231">
        <v>0.80767999999999995</v>
      </c>
      <c r="T2231">
        <v>130.345</v>
      </c>
      <c r="U2231">
        <v>1</v>
      </c>
    </row>
    <row r="2232" spans="1:22" ht="15.75" thickBot="1">
      <c r="A2232" s="1868">
        <v>44957</v>
      </c>
      <c r="B2232" s="1869">
        <v>3471.50297</v>
      </c>
      <c r="C2232" s="1869">
        <v>5041.85034</v>
      </c>
      <c r="D2232" s="1869">
        <v>5030.8008099999997</v>
      </c>
      <c r="E2232" s="1869">
        <v>5702.7014200000003</v>
      </c>
      <c r="F2232" s="1870">
        <v>35.619970000000002</v>
      </c>
      <c r="G2232" s="1871">
        <v>4632.2</v>
      </c>
      <c r="H2232" s="1872"/>
      <c r="I2232" s="1870">
        <v>0.74941999999999998</v>
      </c>
      <c r="J2232" s="1870">
        <v>1.08843</v>
      </c>
      <c r="K2232" s="1870">
        <v>1.08605</v>
      </c>
      <c r="L2232" s="1870">
        <v>1.2311000000000001</v>
      </c>
      <c r="M2232" s="1870">
        <v>7.6800000000000002E-3</v>
      </c>
      <c r="N2232" s="1870">
        <v>1</v>
      </c>
      <c r="O2232" s="1872"/>
      <c r="P2232" s="1870">
        <v>1.3343499999999999</v>
      </c>
      <c r="Q2232" s="1870">
        <v>0.91874999999999996</v>
      </c>
      <c r="R2232" s="1870">
        <v>0.92076000000000002</v>
      </c>
      <c r="S2232" s="1870">
        <v>0.81228</v>
      </c>
      <c r="T2232" s="1870">
        <v>130.04499999999999</v>
      </c>
      <c r="U2232" s="1870">
        <v>1</v>
      </c>
      <c r="V2232" s="1872"/>
    </row>
    <row r="2233" spans="1:22">
      <c r="A2233" s="8">
        <v>44958</v>
      </c>
      <c r="B2233" s="1860">
        <v>3489.0981999999999</v>
      </c>
      <c r="C2233" s="1860">
        <v>5084.7142400000002</v>
      </c>
      <c r="D2233" s="1860">
        <v>5077.0776999999998</v>
      </c>
      <c r="E2233" s="1860">
        <v>5729.7551800000001</v>
      </c>
      <c r="F2233">
        <v>35.965330000000002</v>
      </c>
      <c r="G2233" s="1861">
        <v>4648.7</v>
      </c>
      <c r="I2233">
        <v>0.75055000000000005</v>
      </c>
      <c r="J2233">
        <v>1.09379</v>
      </c>
      <c r="K2233">
        <v>1.09215</v>
      </c>
      <c r="L2233">
        <v>1.23255</v>
      </c>
      <c r="M2233">
        <v>7.7299999999999999E-3</v>
      </c>
      <c r="N2233">
        <v>1</v>
      </c>
      <c r="P2233">
        <v>1.3323499999999999</v>
      </c>
      <c r="Q2233">
        <v>0.91425000000000001</v>
      </c>
      <c r="R2233">
        <v>0.91561999999999999</v>
      </c>
      <c r="S2233">
        <v>0.81132000000000004</v>
      </c>
      <c r="T2233">
        <v>129.255</v>
      </c>
      <c r="U2233">
        <v>1</v>
      </c>
    </row>
    <row r="2234" spans="1:22">
      <c r="A2234" s="8">
        <v>44959</v>
      </c>
      <c r="B2234" s="1860">
        <v>3487.4755599999999</v>
      </c>
      <c r="C2234" s="1860">
        <v>5099.5273100000004</v>
      </c>
      <c r="D2234" s="1860">
        <v>5075.3417099999997</v>
      </c>
      <c r="E2234" s="1860">
        <v>5703.6996799999997</v>
      </c>
      <c r="F2234">
        <v>36.131</v>
      </c>
      <c r="G2234" s="1861">
        <v>4639.04</v>
      </c>
      <c r="I2234">
        <v>0.75175999999999998</v>
      </c>
      <c r="J2234">
        <v>1.0992599999999999</v>
      </c>
      <c r="K2234">
        <v>1.09405</v>
      </c>
      <c r="L2234">
        <v>1.2295</v>
      </c>
      <c r="M2234">
        <v>7.7799999999999996E-3</v>
      </c>
      <c r="N2234">
        <v>1</v>
      </c>
      <c r="P2234">
        <v>1.3302</v>
      </c>
      <c r="Q2234">
        <v>0.90969999999999995</v>
      </c>
      <c r="R2234">
        <v>0.91403000000000001</v>
      </c>
      <c r="S2234">
        <v>0.81333</v>
      </c>
      <c r="T2234">
        <v>128.39500000000001</v>
      </c>
      <c r="U2234">
        <v>1</v>
      </c>
    </row>
    <row r="2235" spans="1:22">
      <c r="A2235" s="8">
        <v>44960</v>
      </c>
      <c r="B2235" s="1860">
        <v>3429.2852600000001</v>
      </c>
      <c r="C2235" s="1860">
        <v>4968.7747200000003</v>
      </c>
      <c r="D2235" s="1860">
        <v>4977.55573</v>
      </c>
      <c r="E2235" s="1860">
        <v>5550.3815000000004</v>
      </c>
      <c r="F2235">
        <v>34.985039999999998</v>
      </c>
      <c r="G2235" s="1861">
        <v>4584.4399999999996</v>
      </c>
      <c r="I2235">
        <v>0.74802000000000002</v>
      </c>
      <c r="J2235">
        <v>1.0838300000000001</v>
      </c>
      <c r="K2235">
        <v>1.08575</v>
      </c>
      <c r="L2235">
        <v>1.2107000000000001</v>
      </c>
      <c r="M2235">
        <v>7.6299999999999996E-3</v>
      </c>
      <c r="N2235">
        <v>1</v>
      </c>
      <c r="P2235">
        <v>1.3368500000000001</v>
      </c>
      <c r="Q2235">
        <v>0.92264999999999997</v>
      </c>
      <c r="R2235">
        <v>0.92101999999999995</v>
      </c>
      <c r="S2235">
        <v>0.82596000000000003</v>
      </c>
      <c r="T2235">
        <v>131.04</v>
      </c>
      <c r="U2235">
        <v>1</v>
      </c>
    </row>
    <row r="2236" spans="1:22">
      <c r="A2236" s="8">
        <v>44961</v>
      </c>
      <c r="B2236" s="1860">
        <v>3493.0919600000002</v>
      </c>
      <c r="C2236" s="1860">
        <v>5061.2258099999999</v>
      </c>
      <c r="D2236" s="1860">
        <v>5070.1701999999996</v>
      </c>
      <c r="E2236" s="1860">
        <v>5653.6542099999997</v>
      </c>
      <c r="F2236">
        <v>35.635980000000004</v>
      </c>
      <c r="G2236" s="1861">
        <v>4669.74</v>
      </c>
      <c r="I2236">
        <v>0.74802000000000002</v>
      </c>
      <c r="J2236">
        <v>1.0838300000000001</v>
      </c>
      <c r="K2236">
        <v>1.08575</v>
      </c>
      <c r="L2236">
        <v>1.2107000000000001</v>
      </c>
      <c r="M2236">
        <v>7.6299999999999996E-3</v>
      </c>
      <c r="N2236">
        <v>1</v>
      </c>
      <c r="P2236">
        <v>1.3368500000000001</v>
      </c>
      <c r="Q2236">
        <v>0.92264999999999997</v>
      </c>
      <c r="R2236">
        <v>0.92101999999999995</v>
      </c>
      <c r="S2236">
        <v>0.82596000000000003</v>
      </c>
      <c r="T2236">
        <v>131.04</v>
      </c>
      <c r="U2236">
        <v>1</v>
      </c>
    </row>
    <row r="2237" spans="1:22">
      <c r="A2237" s="8">
        <v>44962</v>
      </c>
      <c r="B2237" s="1860">
        <v>3493.0919600000002</v>
      </c>
      <c r="C2237" s="1860">
        <v>5061.2258099999999</v>
      </c>
      <c r="D2237" s="1860">
        <v>5070.1701999999996</v>
      </c>
      <c r="E2237" s="1860">
        <v>5653.6542099999997</v>
      </c>
      <c r="F2237">
        <v>35.635980000000004</v>
      </c>
      <c r="G2237" s="1861">
        <v>4669.74</v>
      </c>
      <c r="I2237">
        <v>0.74802000000000002</v>
      </c>
      <c r="J2237">
        <v>1.0838300000000001</v>
      </c>
      <c r="K2237">
        <v>1.08575</v>
      </c>
      <c r="L2237">
        <v>1.2107000000000001</v>
      </c>
      <c r="M2237">
        <v>7.6299999999999996E-3</v>
      </c>
      <c r="N2237">
        <v>1</v>
      </c>
      <c r="P2237">
        <v>1.3368500000000001</v>
      </c>
      <c r="Q2237">
        <v>0.92264999999999997</v>
      </c>
      <c r="R2237">
        <v>0.92101999999999995</v>
      </c>
      <c r="S2237">
        <v>0.82596000000000003</v>
      </c>
      <c r="T2237">
        <v>131.04</v>
      </c>
      <c r="U2237">
        <v>1</v>
      </c>
    </row>
    <row r="2238" spans="1:22">
      <c r="A2238" s="8">
        <v>44963</v>
      </c>
      <c r="B2238" s="1860">
        <v>3470.50648</v>
      </c>
      <c r="C2238" s="1860">
        <v>5031.2341699999997</v>
      </c>
      <c r="D2238" s="1860">
        <v>5011.3314799999998</v>
      </c>
      <c r="E2238" s="1860">
        <v>5609.5251699999999</v>
      </c>
      <c r="F2238">
        <v>35.147820000000003</v>
      </c>
      <c r="G2238" s="1861">
        <v>4669.74</v>
      </c>
      <c r="I2238">
        <v>0.74319000000000002</v>
      </c>
      <c r="J2238">
        <v>1.07741</v>
      </c>
      <c r="K2238">
        <v>1.07315</v>
      </c>
      <c r="L2238">
        <v>1.2012499999999999</v>
      </c>
      <c r="M2238">
        <v>7.5199999999999998E-3</v>
      </c>
      <c r="N2238">
        <v>1</v>
      </c>
      <c r="P2238">
        <v>1.34555</v>
      </c>
      <c r="Q2238">
        <v>0.92815000000000003</v>
      </c>
      <c r="R2238">
        <v>0.93183000000000005</v>
      </c>
      <c r="S2238">
        <v>0.83245999999999998</v>
      </c>
      <c r="T2238">
        <v>132.86000000000001</v>
      </c>
      <c r="U2238">
        <v>1</v>
      </c>
    </row>
    <row r="2239" spans="1:22">
      <c r="A2239" s="8">
        <v>44964</v>
      </c>
      <c r="B2239" s="1860">
        <v>3550.0594599999999</v>
      </c>
      <c r="C2239" s="1860">
        <v>5172.1804099999999</v>
      </c>
      <c r="D2239" s="1860">
        <v>5107.0053099999996</v>
      </c>
      <c r="E2239" s="1860">
        <v>5736.2762499999999</v>
      </c>
      <c r="F2239">
        <v>36.391860000000001</v>
      </c>
      <c r="G2239" s="1861">
        <v>4776.25</v>
      </c>
      <c r="I2239">
        <v>0.74326999999999999</v>
      </c>
      <c r="J2239">
        <v>1.0828899999999999</v>
      </c>
      <c r="K2239">
        <v>1.06925</v>
      </c>
      <c r="L2239">
        <v>1.2010000000000001</v>
      </c>
      <c r="M2239">
        <v>7.6099999999999996E-3</v>
      </c>
      <c r="N2239">
        <v>1</v>
      </c>
      <c r="P2239">
        <v>1.3453999999999999</v>
      </c>
      <c r="Q2239">
        <v>0.92344999999999999</v>
      </c>
      <c r="R2239">
        <v>0.93523000000000001</v>
      </c>
      <c r="S2239">
        <v>0.83262999999999998</v>
      </c>
      <c r="T2239">
        <v>131.245</v>
      </c>
      <c r="U2239">
        <v>1</v>
      </c>
    </row>
    <row r="2240" spans="1:22">
      <c r="A2240" s="8">
        <v>44965</v>
      </c>
      <c r="B2240" s="1860">
        <v>3556.6072100000001</v>
      </c>
      <c r="C2240" s="1860">
        <v>5185.6568900000002</v>
      </c>
      <c r="D2240" s="1860">
        <v>5122.0104700000002</v>
      </c>
      <c r="E2240" s="1860">
        <v>5768.4407199999996</v>
      </c>
      <c r="F2240">
        <v>36.331740000000003</v>
      </c>
      <c r="G2240" s="1861">
        <v>4775.99</v>
      </c>
      <c r="I2240">
        <v>0.74468000000000001</v>
      </c>
      <c r="J2240">
        <v>1.0857699999999999</v>
      </c>
      <c r="K2240">
        <v>1.0724499999999999</v>
      </c>
      <c r="L2240">
        <v>1.2078</v>
      </c>
      <c r="M2240">
        <v>7.6E-3</v>
      </c>
      <c r="N2240">
        <v>1</v>
      </c>
      <c r="P2240">
        <v>1.3428500000000001</v>
      </c>
      <c r="Q2240">
        <v>0.92100000000000004</v>
      </c>
      <c r="R2240">
        <v>0.93244000000000005</v>
      </c>
      <c r="S2240">
        <v>0.82794999999999996</v>
      </c>
      <c r="T2240">
        <v>131.45500000000001</v>
      </c>
      <c r="U2240">
        <v>1</v>
      </c>
    </row>
    <row r="2241" spans="1:21">
      <c r="A2241" s="8">
        <v>44966</v>
      </c>
      <c r="B2241" s="1860">
        <v>3555.2118599999999</v>
      </c>
      <c r="C2241" s="1860">
        <v>5189.4141300000001</v>
      </c>
      <c r="D2241" s="1860">
        <v>5133.3125700000001</v>
      </c>
      <c r="E2241" s="1860">
        <v>5805.1459400000003</v>
      </c>
      <c r="F2241">
        <v>36.430529999999997</v>
      </c>
      <c r="G2241" s="1861">
        <v>4769.8500000000004</v>
      </c>
      <c r="I2241">
        <v>0.74534999999999996</v>
      </c>
      <c r="J2241">
        <v>1.08796</v>
      </c>
      <c r="K2241">
        <v>1.0762</v>
      </c>
      <c r="L2241">
        <v>1.21705</v>
      </c>
      <c r="M2241">
        <v>7.6299999999999996E-3</v>
      </c>
      <c r="N2241">
        <v>1</v>
      </c>
      <c r="P2241">
        <v>1.34165</v>
      </c>
      <c r="Q2241">
        <v>0.91915000000000002</v>
      </c>
      <c r="R2241">
        <v>0.92918999999999996</v>
      </c>
      <c r="S2241">
        <v>0.82164999999999999</v>
      </c>
      <c r="T2241">
        <v>130.93</v>
      </c>
      <c r="U2241">
        <v>1</v>
      </c>
    </row>
    <row r="2242" spans="1:21">
      <c r="A2242" s="8">
        <v>44967</v>
      </c>
      <c r="B2242" s="1860">
        <v>3551.0333900000001</v>
      </c>
      <c r="C2242" s="1860">
        <v>5131.8110399999996</v>
      </c>
      <c r="D2242" s="1860">
        <v>5062.8496800000003</v>
      </c>
      <c r="E2242" s="1860">
        <v>5726.9737800000003</v>
      </c>
      <c r="F2242">
        <v>36.113390000000003</v>
      </c>
      <c r="G2242" s="1861">
        <v>4742.05</v>
      </c>
      <c r="I2242">
        <v>0.74883</v>
      </c>
      <c r="J2242">
        <v>1.08219</v>
      </c>
      <c r="K2242">
        <v>1.06765</v>
      </c>
      <c r="L2242">
        <v>1.2077</v>
      </c>
      <c r="M2242">
        <v>7.6099999999999996E-3</v>
      </c>
      <c r="N2242">
        <v>1</v>
      </c>
      <c r="P2242">
        <v>1.3353999999999999</v>
      </c>
      <c r="Q2242">
        <v>0.92405000000000004</v>
      </c>
      <c r="R2242">
        <v>0.93662999999999996</v>
      </c>
      <c r="S2242">
        <v>0.82801999999999998</v>
      </c>
      <c r="T2242">
        <v>131.31</v>
      </c>
      <c r="U2242">
        <v>1</v>
      </c>
    </row>
    <row r="2243" spans="1:21">
      <c r="A2243" s="8">
        <v>44968</v>
      </c>
      <c r="B2243" s="1860">
        <v>3577.75198</v>
      </c>
      <c r="C2243" s="1860">
        <v>5170.4236700000001</v>
      </c>
      <c r="D2243" s="1860">
        <v>5100.9434300000003</v>
      </c>
      <c r="E2243" s="1860">
        <v>5770.0645199999999</v>
      </c>
      <c r="F2243">
        <v>36.385109999999997</v>
      </c>
      <c r="G2243" s="1861">
        <v>4777.7299999999996</v>
      </c>
      <c r="I2243">
        <v>0.74883</v>
      </c>
      <c r="J2243">
        <v>1.08219</v>
      </c>
      <c r="K2243">
        <v>1.06765</v>
      </c>
      <c r="L2243">
        <v>1.2077</v>
      </c>
      <c r="M2243">
        <v>7.6099999999999996E-3</v>
      </c>
      <c r="N2243">
        <v>1</v>
      </c>
      <c r="P2243">
        <v>1.3353999999999999</v>
      </c>
      <c r="Q2243">
        <v>0.92405000000000004</v>
      </c>
      <c r="R2243">
        <v>0.93662999999999996</v>
      </c>
      <c r="S2243">
        <v>0.82801999999999998</v>
      </c>
      <c r="T2243">
        <v>131.31</v>
      </c>
      <c r="U2243">
        <v>1</v>
      </c>
    </row>
    <row r="2244" spans="1:21">
      <c r="A2244" s="8">
        <v>44969</v>
      </c>
      <c r="B2244" s="1860">
        <v>3577.75198</v>
      </c>
      <c r="C2244" s="1860">
        <v>5170.4236700000001</v>
      </c>
      <c r="D2244" s="1860">
        <v>5100.9434300000003</v>
      </c>
      <c r="E2244" s="1860">
        <v>5770.0645199999999</v>
      </c>
      <c r="F2244">
        <v>36.385109999999997</v>
      </c>
      <c r="G2244" s="1861">
        <v>4777.7299999999996</v>
      </c>
      <c r="I2244">
        <v>0.74883</v>
      </c>
      <c r="J2244">
        <v>1.08219</v>
      </c>
      <c r="K2244">
        <v>1.06765</v>
      </c>
      <c r="L2244">
        <v>1.2077</v>
      </c>
      <c r="M2244">
        <v>7.6099999999999996E-3</v>
      </c>
      <c r="N2244">
        <v>1</v>
      </c>
      <c r="P2244">
        <v>1.3353999999999999</v>
      </c>
      <c r="Q2244">
        <v>0.92405000000000004</v>
      </c>
      <c r="R2244">
        <v>0.93662999999999996</v>
      </c>
      <c r="S2244">
        <v>0.82801999999999998</v>
      </c>
      <c r="T2244">
        <v>131.31</v>
      </c>
      <c r="U2244">
        <v>1</v>
      </c>
    </row>
    <row r="2245" spans="1:21">
      <c r="A2245" s="8">
        <v>44970</v>
      </c>
      <c r="B2245" s="1860">
        <v>3580.2989899999998</v>
      </c>
      <c r="C2245" s="1860">
        <v>5186.1383900000001</v>
      </c>
      <c r="D2245" s="1860">
        <v>5121.4876700000004</v>
      </c>
      <c r="E2245" s="1860">
        <v>5798.2531200000003</v>
      </c>
      <c r="F2245">
        <v>35.976880000000001</v>
      </c>
      <c r="G2245" s="1861">
        <v>4777.7299999999996</v>
      </c>
      <c r="I2245">
        <v>0.74936999999999998</v>
      </c>
      <c r="J2245">
        <v>1.08548</v>
      </c>
      <c r="K2245">
        <v>1.07195</v>
      </c>
      <c r="L2245">
        <v>1.2136</v>
      </c>
      <c r="M2245">
        <v>7.5300000000000002E-3</v>
      </c>
      <c r="N2245">
        <v>1</v>
      </c>
      <c r="P2245">
        <v>1.3344499999999999</v>
      </c>
      <c r="Q2245">
        <v>0.92125000000000001</v>
      </c>
      <c r="R2245">
        <v>0.93286999999999998</v>
      </c>
      <c r="S2245">
        <v>0.82399</v>
      </c>
      <c r="T2245">
        <v>132.80000000000001</v>
      </c>
      <c r="U2245">
        <v>1</v>
      </c>
    </row>
    <row r="2246" spans="1:21">
      <c r="A2246" s="8">
        <v>44971</v>
      </c>
      <c r="B2246" s="1860">
        <v>3609.0476699999999</v>
      </c>
      <c r="C2246" s="1860">
        <v>5225.1355400000002</v>
      </c>
      <c r="D2246" s="1860">
        <v>5164.8378400000001</v>
      </c>
      <c r="E2246" s="1860">
        <v>5858.2372599999999</v>
      </c>
      <c r="F2246">
        <v>36.28069</v>
      </c>
      <c r="G2246" s="1861">
        <v>4818.62</v>
      </c>
      <c r="I2246">
        <v>0.74897000000000002</v>
      </c>
      <c r="J2246">
        <v>1.08436</v>
      </c>
      <c r="K2246">
        <v>1.07185</v>
      </c>
      <c r="L2246">
        <v>1.2157500000000001</v>
      </c>
      <c r="M2246">
        <v>7.5199999999999998E-3</v>
      </c>
      <c r="N2246">
        <v>1</v>
      </c>
      <c r="P2246">
        <v>1.3351500000000001</v>
      </c>
      <c r="Q2246">
        <v>0.92220000000000002</v>
      </c>
      <c r="R2246">
        <v>0.93296000000000001</v>
      </c>
      <c r="S2246">
        <v>0.82252999999999998</v>
      </c>
      <c r="T2246">
        <v>132.815</v>
      </c>
      <c r="U2246">
        <v>1</v>
      </c>
    </row>
    <row r="2247" spans="1:21">
      <c r="A2247" s="8">
        <v>44972</v>
      </c>
      <c r="B2247" s="1860">
        <v>3564.7935600000001</v>
      </c>
      <c r="C2247" s="1860">
        <v>5167.9974000000002</v>
      </c>
      <c r="D2247" s="1860">
        <v>5106.5870199999999</v>
      </c>
      <c r="E2247" s="1860">
        <v>5740.8446400000003</v>
      </c>
      <c r="F2247">
        <v>35.617400000000004</v>
      </c>
      <c r="G2247" s="1861">
        <v>4783.24</v>
      </c>
      <c r="I2247">
        <v>0.74526000000000003</v>
      </c>
      <c r="J2247">
        <v>1.08043</v>
      </c>
      <c r="K2247">
        <v>1.0676000000000001</v>
      </c>
      <c r="L2247">
        <v>1.2001999999999999</v>
      </c>
      <c r="M2247">
        <v>7.4400000000000004E-3</v>
      </c>
      <c r="N2247">
        <v>1</v>
      </c>
      <c r="P2247">
        <v>1.3418000000000001</v>
      </c>
      <c r="Q2247">
        <v>0.92554999999999998</v>
      </c>
      <c r="R2247">
        <v>0.93667999999999996</v>
      </c>
      <c r="S2247">
        <v>0.83318999999999999</v>
      </c>
      <c r="T2247">
        <v>134.29499999999999</v>
      </c>
      <c r="U2247">
        <v>1</v>
      </c>
    </row>
    <row r="2248" spans="1:21">
      <c r="A2248" s="8">
        <v>44973</v>
      </c>
      <c r="B2248" s="1860">
        <v>3626.40499</v>
      </c>
      <c r="C2248" s="1860">
        <v>5268.0777500000004</v>
      </c>
      <c r="D2248" s="1860">
        <v>5206.5455499999998</v>
      </c>
      <c r="E2248" s="1860">
        <v>5859.4979700000004</v>
      </c>
      <c r="F2248">
        <v>36.349159999999998</v>
      </c>
      <c r="G2248" s="1861">
        <v>4878.24</v>
      </c>
      <c r="I2248">
        <v>0.74338000000000004</v>
      </c>
      <c r="J2248">
        <v>1.0799099999999999</v>
      </c>
      <c r="K2248">
        <v>1.0672999999999999</v>
      </c>
      <c r="L2248">
        <v>1.2011499999999999</v>
      </c>
      <c r="M2248">
        <v>7.45E-3</v>
      </c>
      <c r="N2248">
        <v>1</v>
      </c>
      <c r="P2248">
        <v>1.3452</v>
      </c>
      <c r="Q2248">
        <v>0.92600000000000005</v>
      </c>
      <c r="R2248">
        <v>0.93694</v>
      </c>
      <c r="S2248">
        <v>0.83252999999999999</v>
      </c>
      <c r="T2248">
        <v>134.20500000000001</v>
      </c>
      <c r="U2248">
        <v>1</v>
      </c>
    </row>
    <row r="2249" spans="1:21">
      <c r="A2249" s="8">
        <v>44974</v>
      </c>
      <c r="B2249" s="1860">
        <v>3680.8078500000001</v>
      </c>
      <c r="C2249" s="1860">
        <v>5353.37932</v>
      </c>
      <c r="D2249" s="1860">
        <v>5295.8459899999998</v>
      </c>
      <c r="E2249" s="1860">
        <v>5958.8510500000002</v>
      </c>
      <c r="F2249">
        <v>36.969729999999998</v>
      </c>
      <c r="G2249" s="1861">
        <v>4966.33</v>
      </c>
      <c r="I2249">
        <v>0.74114999999999998</v>
      </c>
      <c r="J2249">
        <v>1.0779300000000001</v>
      </c>
      <c r="K2249">
        <v>1.0663499999999999</v>
      </c>
      <c r="L2249">
        <v>1.1998500000000001</v>
      </c>
      <c r="M2249">
        <v>7.4400000000000004E-3</v>
      </c>
      <c r="N2249">
        <v>1</v>
      </c>
      <c r="P2249">
        <v>1.3492500000000001</v>
      </c>
      <c r="Q2249">
        <v>0.92769999999999997</v>
      </c>
      <c r="R2249">
        <v>0.93776999999999999</v>
      </c>
      <c r="S2249">
        <v>0.83343</v>
      </c>
      <c r="T2249">
        <v>134.33500000000001</v>
      </c>
      <c r="U2249">
        <v>1</v>
      </c>
    </row>
    <row r="2250" spans="1:21">
      <c r="A2250" s="8">
        <v>44975</v>
      </c>
      <c r="B2250" s="1860">
        <v>3645.6846300000002</v>
      </c>
      <c r="C2250" s="1860">
        <v>5302.2960000000003</v>
      </c>
      <c r="D2250" s="1860">
        <v>5245.3116600000003</v>
      </c>
      <c r="E2250" s="1860">
        <v>5901.9901499999996</v>
      </c>
      <c r="F2250">
        <v>36.616959999999999</v>
      </c>
      <c r="G2250" s="1861">
        <v>4918.9399999999996</v>
      </c>
      <c r="I2250">
        <v>0.74114999999999998</v>
      </c>
      <c r="J2250">
        <v>1.0779300000000001</v>
      </c>
      <c r="K2250">
        <v>1.0663499999999999</v>
      </c>
      <c r="L2250">
        <v>1.1998500000000001</v>
      </c>
      <c r="M2250">
        <v>7.4400000000000004E-3</v>
      </c>
      <c r="N2250">
        <v>1</v>
      </c>
      <c r="P2250">
        <v>1.3492500000000001</v>
      </c>
      <c r="Q2250">
        <v>0.92769999999999997</v>
      </c>
      <c r="R2250">
        <v>0.93776999999999999</v>
      </c>
      <c r="S2250">
        <v>0.83343</v>
      </c>
      <c r="T2250">
        <v>134.33500000000001</v>
      </c>
      <c r="U2250">
        <v>1</v>
      </c>
    </row>
    <row r="2251" spans="1:21">
      <c r="A2251" s="8">
        <v>44976</v>
      </c>
      <c r="B2251" s="1860">
        <v>3645.6846300000002</v>
      </c>
      <c r="C2251" s="1860">
        <v>5302.2960000000003</v>
      </c>
      <c r="D2251" s="1860">
        <v>5245.3116600000003</v>
      </c>
      <c r="E2251" s="1860">
        <v>5901.9901499999996</v>
      </c>
      <c r="F2251">
        <v>36.616959999999999</v>
      </c>
      <c r="G2251" s="1861">
        <v>4918.9399999999996</v>
      </c>
      <c r="I2251">
        <v>0.74114999999999998</v>
      </c>
      <c r="J2251">
        <v>1.0779300000000001</v>
      </c>
      <c r="K2251">
        <v>1.0663499999999999</v>
      </c>
      <c r="L2251">
        <v>1.1998500000000001</v>
      </c>
      <c r="M2251">
        <v>7.4400000000000004E-3</v>
      </c>
      <c r="N2251">
        <v>1</v>
      </c>
      <c r="P2251">
        <v>1.3492500000000001</v>
      </c>
      <c r="Q2251">
        <v>0.92769999999999997</v>
      </c>
      <c r="R2251">
        <v>0.93776999999999999</v>
      </c>
      <c r="S2251">
        <v>0.83343</v>
      </c>
      <c r="T2251">
        <v>134.33500000000001</v>
      </c>
      <c r="U2251">
        <v>1</v>
      </c>
    </row>
    <row r="2252" spans="1:21">
      <c r="A2252" s="8">
        <v>44977</v>
      </c>
      <c r="B2252" s="1860">
        <v>3655.5737199999999</v>
      </c>
      <c r="C2252" s="1860">
        <v>5327.8526899999997</v>
      </c>
      <c r="D2252" s="1860">
        <v>5257.1171199999999</v>
      </c>
      <c r="E2252" s="1860">
        <v>5917.2388700000001</v>
      </c>
      <c r="F2252">
        <v>36.692070000000001</v>
      </c>
      <c r="G2252" s="1861">
        <v>4918.9399999999996</v>
      </c>
      <c r="I2252">
        <v>0.74316000000000004</v>
      </c>
      <c r="J2252">
        <v>1.0831299999999999</v>
      </c>
      <c r="K2252">
        <v>1.0687500000000001</v>
      </c>
      <c r="L2252">
        <v>1.20295</v>
      </c>
      <c r="M2252">
        <v>7.45E-3</v>
      </c>
      <c r="N2252">
        <v>1</v>
      </c>
      <c r="P2252">
        <v>1.3455999999999999</v>
      </c>
      <c r="Q2252">
        <v>0.92325000000000002</v>
      </c>
      <c r="R2252">
        <v>0.93567</v>
      </c>
      <c r="S2252">
        <v>0.83128000000000002</v>
      </c>
      <c r="T2252">
        <v>134.06</v>
      </c>
      <c r="U2252">
        <v>1</v>
      </c>
    </row>
    <row r="2253" spans="1:21">
      <c r="A2253" s="8">
        <v>44978</v>
      </c>
      <c r="B2253" s="1860">
        <v>3644.8742099999999</v>
      </c>
      <c r="C2253" s="1860">
        <v>5313.1777899999997</v>
      </c>
      <c r="D2253" s="1860">
        <v>5255.1495400000003</v>
      </c>
      <c r="E2253" s="1860">
        <v>5971.3472099999999</v>
      </c>
      <c r="F2253">
        <v>36.513669999999998</v>
      </c>
      <c r="G2253" s="1861">
        <v>4918.9399999999996</v>
      </c>
      <c r="I2253">
        <v>0.74097999999999997</v>
      </c>
      <c r="J2253">
        <v>1.0801400000000001</v>
      </c>
      <c r="K2253">
        <v>1.0683499999999999</v>
      </c>
      <c r="L2253">
        <v>1.2139500000000001</v>
      </c>
      <c r="M2253">
        <v>7.4200000000000004E-3</v>
      </c>
      <c r="N2253">
        <v>1</v>
      </c>
      <c r="P2253">
        <v>1.34955</v>
      </c>
      <c r="Q2253">
        <v>0.92579999999999996</v>
      </c>
      <c r="R2253">
        <v>0.93601999999999996</v>
      </c>
      <c r="S2253">
        <v>0.82374999999999998</v>
      </c>
      <c r="T2253">
        <v>134.715</v>
      </c>
      <c r="U2253">
        <v>1</v>
      </c>
    </row>
    <row r="2254" spans="1:21">
      <c r="A2254" s="8">
        <v>44979</v>
      </c>
      <c r="B2254" s="1860">
        <v>3655.94328</v>
      </c>
      <c r="C2254" s="1860">
        <v>5323.7941600000004</v>
      </c>
      <c r="D2254" s="1860">
        <v>5261.21072</v>
      </c>
      <c r="E2254" s="1860">
        <v>5973.0681699999996</v>
      </c>
      <c r="F2254">
        <v>36.775350000000003</v>
      </c>
      <c r="G2254" s="1861">
        <v>4950.33</v>
      </c>
      <c r="I2254">
        <v>0.73851999999999995</v>
      </c>
      <c r="J2254">
        <v>1.07544</v>
      </c>
      <c r="K2254">
        <v>1.0628</v>
      </c>
      <c r="L2254">
        <v>1.2065999999999999</v>
      </c>
      <c r="M2254">
        <v>7.4200000000000004E-3</v>
      </c>
      <c r="N2254">
        <v>1</v>
      </c>
      <c r="P2254">
        <v>1.35405</v>
      </c>
      <c r="Q2254">
        <v>0.92984999999999995</v>
      </c>
      <c r="R2254">
        <v>0.94091000000000002</v>
      </c>
      <c r="S2254">
        <v>0.82877000000000001</v>
      </c>
      <c r="T2254">
        <v>134.61000000000001</v>
      </c>
      <c r="U2254">
        <v>1</v>
      </c>
    </row>
    <row r="2255" spans="1:21">
      <c r="A2255" s="8">
        <v>44980</v>
      </c>
      <c r="B2255" s="1860">
        <v>3634.8881799999999</v>
      </c>
      <c r="C2255" s="1860">
        <v>5275.7471800000003</v>
      </c>
      <c r="D2255" s="1860">
        <v>5218.6808799999999</v>
      </c>
      <c r="E2255" s="1860">
        <v>5921.7117799999996</v>
      </c>
      <c r="F2255">
        <v>36.521389999999997</v>
      </c>
      <c r="G2255" s="1861">
        <v>4924.91</v>
      </c>
      <c r="I2255">
        <v>0.73806000000000005</v>
      </c>
      <c r="J2255">
        <v>1.0712299999999999</v>
      </c>
      <c r="K2255">
        <v>1.05965</v>
      </c>
      <c r="L2255">
        <v>1.2023999999999999</v>
      </c>
      <c r="M2255">
        <v>7.4099999999999999E-3</v>
      </c>
      <c r="N2255">
        <v>1</v>
      </c>
      <c r="P2255">
        <v>1.3549</v>
      </c>
      <c r="Q2255">
        <v>0.9335</v>
      </c>
      <c r="R2255">
        <v>0.94369999999999998</v>
      </c>
      <c r="S2255">
        <v>0.83165999999999995</v>
      </c>
      <c r="T2255">
        <v>134.85</v>
      </c>
      <c r="U2255">
        <v>1</v>
      </c>
    </row>
    <row r="2256" spans="1:21">
      <c r="A2256" s="8">
        <v>44981</v>
      </c>
      <c r="B2256" s="1860">
        <v>3557.5344399999999</v>
      </c>
      <c r="C2256" s="1860">
        <v>5164.5475299999998</v>
      </c>
      <c r="D2256" s="1860">
        <v>5116.7386800000004</v>
      </c>
      <c r="E2256" s="1860">
        <v>5795.5565999999999</v>
      </c>
      <c r="F2256">
        <v>35.589689999999997</v>
      </c>
      <c r="G2256" s="1861">
        <v>4853.8999999999996</v>
      </c>
      <c r="I2256">
        <v>0.73292000000000002</v>
      </c>
      <c r="J2256">
        <v>1.06399</v>
      </c>
      <c r="K2256">
        <v>1.0541499999999999</v>
      </c>
      <c r="L2256">
        <v>1.194</v>
      </c>
      <c r="M2256">
        <v>7.3299999999999997E-3</v>
      </c>
      <c r="N2256">
        <v>1</v>
      </c>
      <c r="P2256">
        <v>1.3644000000000001</v>
      </c>
      <c r="Q2256">
        <v>0.93984999999999996</v>
      </c>
      <c r="R2256">
        <v>0.94862999999999997</v>
      </c>
      <c r="S2256">
        <v>0.83752000000000004</v>
      </c>
      <c r="T2256">
        <v>136.38499999999999</v>
      </c>
      <c r="U2256">
        <v>1</v>
      </c>
    </row>
    <row r="2257" spans="1:22">
      <c r="A2257" s="8">
        <v>44982</v>
      </c>
      <c r="B2257" s="1860">
        <v>3554.4195199999999</v>
      </c>
      <c r="C2257" s="1860">
        <v>5160.0255299999999</v>
      </c>
      <c r="D2257" s="1860">
        <v>5112.2585399999998</v>
      </c>
      <c r="E2257" s="1860">
        <v>5790.4821000000002</v>
      </c>
      <c r="F2257">
        <v>35.558520000000001</v>
      </c>
      <c r="G2257" s="1861">
        <v>4849.6499999999996</v>
      </c>
      <c r="I2257">
        <v>0.73292000000000002</v>
      </c>
      <c r="J2257">
        <v>1.06399</v>
      </c>
      <c r="K2257">
        <v>1.0541499999999999</v>
      </c>
      <c r="L2257">
        <v>1.194</v>
      </c>
      <c r="M2257">
        <v>7.3299999999999997E-3</v>
      </c>
      <c r="N2257">
        <v>1</v>
      </c>
      <c r="P2257">
        <v>1.3644000000000001</v>
      </c>
      <c r="Q2257">
        <v>0.93984999999999996</v>
      </c>
      <c r="R2257">
        <v>0.94862999999999997</v>
      </c>
      <c r="S2257">
        <v>0.83752000000000004</v>
      </c>
      <c r="T2257">
        <v>136.38499999999999</v>
      </c>
      <c r="U2257">
        <v>1</v>
      </c>
    </row>
    <row r="2258" spans="1:22">
      <c r="A2258" s="8">
        <v>44983</v>
      </c>
      <c r="B2258" s="1860">
        <v>3554.4195199999999</v>
      </c>
      <c r="C2258" s="1860">
        <v>5160.0255299999999</v>
      </c>
      <c r="D2258" s="1860">
        <v>5112.2585399999998</v>
      </c>
      <c r="E2258" s="1860">
        <v>5790.4821000000002</v>
      </c>
      <c r="F2258">
        <v>35.558520000000001</v>
      </c>
      <c r="G2258" s="1861">
        <v>4849.6499999999996</v>
      </c>
      <c r="I2258">
        <v>0.73292000000000002</v>
      </c>
      <c r="J2258">
        <v>1.06399</v>
      </c>
      <c r="K2258">
        <v>1.0541499999999999</v>
      </c>
      <c r="L2258">
        <v>1.194</v>
      </c>
      <c r="M2258">
        <v>7.3299999999999997E-3</v>
      </c>
      <c r="N2258">
        <v>1</v>
      </c>
      <c r="P2258">
        <v>1.3644000000000001</v>
      </c>
      <c r="Q2258">
        <v>0.93984999999999996</v>
      </c>
      <c r="R2258">
        <v>0.94862999999999997</v>
      </c>
      <c r="S2258">
        <v>0.83752000000000004</v>
      </c>
      <c r="T2258">
        <v>136.38499999999999</v>
      </c>
      <c r="U2258">
        <v>1</v>
      </c>
    </row>
    <row r="2259" spans="1:22">
      <c r="A2259" s="8">
        <v>44984</v>
      </c>
      <c r="B2259" s="1860">
        <v>3574.9880199999998</v>
      </c>
      <c r="C2259" s="1860">
        <v>5174.8919500000002</v>
      </c>
      <c r="D2259" s="1860">
        <v>5141.3564399999996</v>
      </c>
      <c r="E2259" s="1860">
        <v>5832.1890899999999</v>
      </c>
      <c r="F2259">
        <v>35.630369999999999</v>
      </c>
      <c r="G2259" s="1861">
        <v>4849.6499999999996</v>
      </c>
      <c r="I2259">
        <v>0.73716000000000004</v>
      </c>
      <c r="J2259">
        <v>1.0670599999999999</v>
      </c>
      <c r="K2259">
        <v>1.0601499999999999</v>
      </c>
      <c r="L2259">
        <v>1.2025999999999999</v>
      </c>
      <c r="M2259">
        <v>7.3400000000000002E-3</v>
      </c>
      <c r="N2259">
        <v>1</v>
      </c>
      <c r="P2259">
        <v>1.3565499999999999</v>
      </c>
      <c r="Q2259">
        <v>0.93715000000000004</v>
      </c>
      <c r="R2259">
        <v>0.94325999999999999</v>
      </c>
      <c r="S2259">
        <v>0.83152999999999999</v>
      </c>
      <c r="T2259">
        <v>136.11000000000001</v>
      </c>
      <c r="U2259">
        <v>1</v>
      </c>
    </row>
    <row r="2260" spans="1:22" ht="15.75" thickBot="1">
      <c r="A2260" s="1868">
        <v>44985</v>
      </c>
      <c r="B2260" s="1869">
        <v>3531.6317100000001</v>
      </c>
      <c r="C2260" s="1869">
        <v>5130.0506800000003</v>
      </c>
      <c r="D2260" s="1869">
        <v>5099.0324700000001</v>
      </c>
      <c r="E2260" s="1869">
        <v>5820.97469</v>
      </c>
      <c r="F2260" s="1870">
        <v>35.298160000000003</v>
      </c>
      <c r="G2260" s="1871">
        <v>4808.1400000000003</v>
      </c>
      <c r="H2260" s="1872"/>
      <c r="I2260" s="1870">
        <v>0.73451</v>
      </c>
      <c r="J2260" s="1870">
        <v>1.0669500000000001</v>
      </c>
      <c r="K2260" s="1870">
        <v>1.0605</v>
      </c>
      <c r="L2260" s="1870">
        <v>1.21065</v>
      </c>
      <c r="M2260" s="1870">
        <v>7.3400000000000002E-3</v>
      </c>
      <c r="N2260" s="1870">
        <v>1</v>
      </c>
      <c r="O2260" s="1872"/>
      <c r="P2260" s="1870">
        <v>1.36145</v>
      </c>
      <c r="Q2260" s="1870">
        <v>0.93725000000000003</v>
      </c>
      <c r="R2260" s="1870">
        <v>0.94294999999999995</v>
      </c>
      <c r="S2260" s="1870">
        <v>0.82599999999999996</v>
      </c>
      <c r="T2260" s="1870">
        <v>136.215</v>
      </c>
      <c r="U2260" s="1870">
        <v>1</v>
      </c>
      <c r="V2260" s="1872"/>
    </row>
    <row r="2261" spans="1:22">
      <c r="A2261" s="8">
        <v>44986</v>
      </c>
      <c r="B2261" s="1860">
        <v>3539.0061000000001</v>
      </c>
      <c r="C2261" s="1860">
        <v>5124.6646700000001</v>
      </c>
      <c r="D2261" s="1860">
        <v>5137.3774800000001</v>
      </c>
      <c r="E2261" s="1860">
        <v>5780.0611699999999</v>
      </c>
      <c r="F2261">
        <v>35.365360000000003</v>
      </c>
      <c r="G2261" s="1861">
        <v>4814.1099999999997</v>
      </c>
      <c r="I2261">
        <v>0.73512999999999995</v>
      </c>
      <c r="J2261">
        <v>1.0645</v>
      </c>
      <c r="K2261">
        <v>1.06715</v>
      </c>
      <c r="L2261">
        <v>1.20065</v>
      </c>
      <c r="M2261">
        <v>7.3400000000000002E-3</v>
      </c>
      <c r="N2261">
        <v>1</v>
      </c>
      <c r="P2261">
        <v>1.3603000000000001</v>
      </c>
      <c r="Q2261">
        <v>0.93940000000000001</v>
      </c>
      <c r="R2261">
        <v>0.93706999999999996</v>
      </c>
      <c r="S2261">
        <v>0.83287999999999995</v>
      </c>
      <c r="T2261">
        <v>136.125</v>
      </c>
      <c r="U2261">
        <v>1</v>
      </c>
    </row>
    <row r="2262" spans="1:22">
      <c r="A2262" s="8">
        <v>44987</v>
      </c>
      <c r="B2262" s="1860">
        <v>3563.7071799999999</v>
      </c>
      <c r="C2262" s="1860">
        <v>5150.8790499999996</v>
      </c>
      <c r="D2262" s="1860">
        <v>5144.7980100000004</v>
      </c>
      <c r="E2262" s="1860">
        <v>5796.4740499999998</v>
      </c>
      <c r="F2262">
        <v>35.471519999999998</v>
      </c>
      <c r="G2262" s="1861">
        <v>4848.78</v>
      </c>
      <c r="I2262">
        <v>0.73495999999999995</v>
      </c>
      <c r="J2262">
        <v>1.0623</v>
      </c>
      <c r="K2262">
        <v>1.06105</v>
      </c>
      <c r="L2262">
        <v>1.1954499999999999</v>
      </c>
      <c r="M2262">
        <v>7.3099999999999997E-3</v>
      </c>
      <c r="N2262">
        <v>1</v>
      </c>
      <c r="P2262">
        <v>1.3606</v>
      </c>
      <c r="Q2262">
        <v>0.94135000000000002</v>
      </c>
      <c r="R2262">
        <v>0.94245999999999996</v>
      </c>
      <c r="S2262">
        <v>0.83650000000000002</v>
      </c>
      <c r="T2262">
        <v>136.69499999999999</v>
      </c>
      <c r="U2262">
        <v>1</v>
      </c>
    </row>
    <row r="2263" spans="1:22">
      <c r="A2263" s="8">
        <v>44988</v>
      </c>
      <c r="B2263" s="1860">
        <v>3563.7811400000001</v>
      </c>
      <c r="C2263" s="1860">
        <v>5168.5258100000001</v>
      </c>
      <c r="D2263" s="1860">
        <v>5145.9658399999998</v>
      </c>
      <c r="E2263" s="1860">
        <v>5815.8275899999999</v>
      </c>
      <c r="F2263">
        <v>35.615589999999997</v>
      </c>
      <c r="G2263" s="1861">
        <v>4855.83</v>
      </c>
      <c r="I2263">
        <v>0.73390999999999995</v>
      </c>
      <c r="J2263">
        <v>1.0643899999999999</v>
      </c>
      <c r="K2263">
        <v>1.05975</v>
      </c>
      <c r="L2263">
        <v>1.1977</v>
      </c>
      <c r="M2263">
        <v>7.3299999999999997E-3</v>
      </c>
      <c r="N2263">
        <v>1</v>
      </c>
      <c r="P2263">
        <v>1.3625499999999999</v>
      </c>
      <c r="Q2263">
        <v>0.9395</v>
      </c>
      <c r="R2263">
        <v>0.94360999999999995</v>
      </c>
      <c r="S2263">
        <v>0.83492999999999995</v>
      </c>
      <c r="T2263">
        <v>136.34</v>
      </c>
      <c r="U2263">
        <v>1</v>
      </c>
    </row>
    <row r="2264" spans="1:22">
      <c r="A2264" s="8">
        <v>44989</v>
      </c>
      <c r="B2264" s="1860">
        <v>3508.7813200000001</v>
      </c>
      <c r="C2264" s="1860">
        <v>5088.7599700000001</v>
      </c>
      <c r="D2264" s="1860">
        <v>5066.54817</v>
      </c>
      <c r="E2264" s="1860">
        <v>5726.0719499999996</v>
      </c>
      <c r="F2264">
        <v>35.065930000000002</v>
      </c>
      <c r="G2264" s="1861">
        <v>4780.8900000000003</v>
      </c>
      <c r="I2264">
        <v>0.73390999999999995</v>
      </c>
      <c r="J2264">
        <v>1.0643899999999999</v>
      </c>
      <c r="K2264">
        <v>1.05975</v>
      </c>
      <c r="L2264">
        <v>1.1977</v>
      </c>
      <c r="M2264">
        <v>7.3299999999999997E-3</v>
      </c>
      <c r="N2264">
        <v>1</v>
      </c>
      <c r="P2264">
        <v>1.3625499999999999</v>
      </c>
      <c r="Q2264">
        <v>0.9395</v>
      </c>
      <c r="R2264">
        <v>0.94360999999999995</v>
      </c>
      <c r="S2264">
        <v>0.83492999999999995</v>
      </c>
      <c r="T2264">
        <v>136.34</v>
      </c>
      <c r="U2264">
        <v>1</v>
      </c>
    </row>
    <row r="2265" spans="1:22">
      <c r="A2265" s="8">
        <v>44990</v>
      </c>
      <c r="B2265" s="1860">
        <v>3508.7813200000001</v>
      </c>
      <c r="C2265" s="1860">
        <v>5088.7599700000001</v>
      </c>
      <c r="D2265" s="1860">
        <v>5066.54817</v>
      </c>
      <c r="E2265" s="1860">
        <v>5726.0719499999996</v>
      </c>
      <c r="F2265">
        <v>35.065930000000002</v>
      </c>
      <c r="G2265" s="1861">
        <v>4780.8900000000003</v>
      </c>
      <c r="I2265">
        <v>0.73390999999999995</v>
      </c>
      <c r="J2265">
        <v>1.0643899999999999</v>
      </c>
      <c r="K2265">
        <v>1.05975</v>
      </c>
      <c r="L2265">
        <v>1.1977</v>
      </c>
      <c r="M2265">
        <v>7.3299999999999997E-3</v>
      </c>
      <c r="N2265">
        <v>1</v>
      </c>
      <c r="P2265">
        <v>1.3625499999999999</v>
      </c>
      <c r="Q2265">
        <v>0.9395</v>
      </c>
      <c r="R2265">
        <v>0.94360999999999995</v>
      </c>
      <c r="S2265">
        <v>0.83492999999999995</v>
      </c>
      <c r="T2265">
        <v>136.34</v>
      </c>
      <c r="U2265">
        <v>1</v>
      </c>
    </row>
    <row r="2266" spans="1:22">
      <c r="A2266" s="8">
        <v>44991</v>
      </c>
      <c r="B2266" s="1860">
        <v>3511.7452600000001</v>
      </c>
      <c r="C2266" s="1860">
        <v>5128.6097399999999</v>
      </c>
      <c r="D2266" s="1860">
        <v>5105.5124299999998</v>
      </c>
      <c r="E2266" s="1860">
        <v>5751.4106700000002</v>
      </c>
      <c r="F2266">
        <v>35.170409999999997</v>
      </c>
      <c r="G2266" s="1861">
        <v>4780.8900000000003</v>
      </c>
      <c r="I2266">
        <v>0.73453000000000002</v>
      </c>
      <c r="J2266">
        <v>1.07273</v>
      </c>
      <c r="K2266">
        <v>1.0679000000000001</v>
      </c>
      <c r="L2266">
        <v>1.2030000000000001</v>
      </c>
      <c r="M2266">
        <v>7.3499999999999998E-3</v>
      </c>
      <c r="N2266">
        <v>1</v>
      </c>
      <c r="P2266">
        <v>1.3613999999999999</v>
      </c>
      <c r="Q2266">
        <v>0.93220000000000003</v>
      </c>
      <c r="R2266">
        <v>0.93640999999999996</v>
      </c>
      <c r="S2266">
        <v>0.83125000000000004</v>
      </c>
      <c r="T2266">
        <v>135.935</v>
      </c>
      <c r="U2266">
        <v>1</v>
      </c>
    </row>
    <row r="2267" spans="1:22">
      <c r="A2267" s="8">
        <v>44992</v>
      </c>
      <c r="B2267" s="1860">
        <v>3450.1147700000001</v>
      </c>
      <c r="C2267" s="1860">
        <v>5034.2070199999998</v>
      </c>
      <c r="D2267" s="1860">
        <v>5011.6202899999998</v>
      </c>
      <c r="E2267" s="1860">
        <v>5621.4135800000004</v>
      </c>
      <c r="F2267">
        <v>34.609589999999997</v>
      </c>
      <c r="G2267" s="1861">
        <v>4734.42</v>
      </c>
      <c r="I2267">
        <v>0.72872999999999999</v>
      </c>
      <c r="J2267">
        <v>1.06332</v>
      </c>
      <c r="K2267">
        <v>1.0585500000000001</v>
      </c>
      <c r="L2267">
        <v>1.1873499999999999</v>
      </c>
      <c r="M2267">
        <v>7.3099999999999997E-3</v>
      </c>
      <c r="N2267">
        <v>1</v>
      </c>
      <c r="P2267">
        <v>1.37225</v>
      </c>
      <c r="Q2267">
        <v>0.94045000000000001</v>
      </c>
      <c r="R2267">
        <v>0.94467999999999996</v>
      </c>
      <c r="S2267">
        <v>0.84221000000000001</v>
      </c>
      <c r="T2267">
        <v>136.79499999999999</v>
      </c>
      <c r="U2267">
        <v>1</v>
      </c>
    </row>
    <row r="2268" spans="1:22">
      <c r="A2268" s="8">
        <v>44993</v>
      </c>
      <c r="B2268" s="1860">
        <v>3440.7381799999998</v>
      </c>
      <c r="C2268" s="1860">
        <v>5045.9403400000001</v>
      </c>
      <c r="D2268" s="1860">
        <v>5007.1084799999999</v>
      </c>
      <c r="E2268" s="1860">
        <v>5616.8345600000002</v>
      </c>
      <c r="F2268">
        <v>34.658700000000003</v>
      </c>
      <c r="G2268" s="1861">
        <v>4744.95</v>
      </c>
      <c r="I2268">
        <v>0.72513000000000005</v>
      </c>
      <c r="J2268">
        <v>1.0634300000000001</v>
      </c>
      <c r="K2268">
        <v>1.05525</v>
      </c>
      <c r="L2268">
        <v>1.1837500000000001</v>
      </c>
      <c r="M2268">
        <v>7.3000000000000001E-3</v>
      </c>
      <c r="N2268">
        <v>1</v>
      </c>
      <c r="P2268">
        <v>1.3790500000000001</v>
      </c>
      <c r="Q2268">
        <v>0.94035000000000002</v>
      </c>
      <c r="R2268">
        <v>0.94764000000000004</v>
      </c>
      <c r="S2268">
        <v>0.84477000000000002</v>
      </c>
      <c r="T2268">
        <v>136.905</v>
      </c>
      <c r="U2268">
        <v>1</v>
      </c>
    </row>
    <row r="2269" spans="1:22">
      <c r="A2269" s="8">
        <v>44994</v>
      </c>
      <c r="B2269" s="1860">
        <v>3455.4695700000002</v>
      </c>
      <c r="C2269" s="1860">
        <v>5076.1487900000002</v>
      </c>
      <c r="D2269" s="1860">
        <v>5026.18307</v>
      </c>
      <c r="E2269" s="1860">
        <v>5664.1454599999997</v>
      </c>
      <c r="F2269">
        <v>34.88165</v>
      </c>
      <c r="G2269" s="1861">
        <v>4755.59</v>
      </c>
      <c r="I2269">
        <v>0.72660999999999998</v>
      </c>
      <c r="J2269">
        <v>1.0673999999999999</v>
      </c>
      <c r="K2269">
        <v>1.0569</v>
      </c>
      <c r="L2269">
        <v>1.1910499999999999</v>
      </c>
      <c r="M2269">
        <v>7.3299999999999997E-3</v>
      </c>
      <c r="N2269">
        <v>1</v>
      </c>
      <c r="P2269">
        <v>1.37625</v>
      </c>
      <c r="Q2269">
        <v>0.93684999999999996</v>
      </c>
      <c r="R2269">
        <v>0.94616</v>
      </c>
      <c r="S2269">
        <v>0.83958999999999995</v>
      </c>
      <c r="T2269">
        <v>136.33500000000001</v>
      </c>
      <c r="U2269">
        <v>1</v>
      </c>
    </row>
    <row r="2270" spans="1:22">
      <c r="A2270" s="8">
        <v>44995</v>
      </c>
      <c r="B2270" s="1860">
        <v>3446.6412599999999</v>
      </c>
      <c r="C2270" s="1860">
        <v>5165.18192</v>
      </c>
      <c r="D2270" s="1860">
        <v>5075.0769300000002</v>
      </c>
      <c r="E2270" s="1860">
        <v>5746.2929599999998</v>
      </c>
      <c r="F2270">
        <v>35.34901</v>
      </c>
      <c r="G2270" s="1861">
        <v>4748.6099999999997</v>
      </c>
      <c r="I2270">
        <v>0.72582000000000002</v>
      </c>
      <c r="J2270">
        <v>1.08772</v>
      </c>
      <c r="K2270">
        <v>1.0687500000000001</v>
      </c>
      <c r="L2270">
        <v>1.2101</v>
      </c>
      <c r="M2270">
        <v>7.4400000000000004E-3</v>
      </c>
      <c r="N2270">
        <v>1</v>
      </c>
      <c r="P2270">
        <v>1.37775</v>
      </c>
      <c r="Q2270">
        <v>0.91935</v>
      </c>
      <c r="R2270">
        <v>0.93567</v>
      </c>
      <c r="S2270">
        <v>0.82637000000000005</v>
      </c>
      <c r="T2270">
        <v>134.33500000000001</v>
      </c>
      <c r="U2270">
        <v>1</v>
      </c>
    </row>
    <row r="2271" spans="1:22">
      <c r="A2271" s="8">
        <v>44996</v>
      </c>
      <c r="B2271" s="1860">
        <v>3446.3001199999999</v>
      </c>
      <c r="C2271" s="1860">
        <v>5164.6706899999999</v>
      </c>
      <c r="D2271" s="1860">
        <v>5074.5746200000003</v>
      </c>
      <c r="E2271" s="1860">
        <v>5745.7242100000003</v>
      </c>
      <c r="F2271">
        <v>35.345509999999997</v>
      </c>
      <c r="G2271" s="1861">
        <v>4748.1400000000003</v>
      </c>
      <c r="I2271">
        <v>0.72582000000000002</v>
      </c>
      <c r="J2271">
        <v>1.08772</v>
      </c>
      <c r="K2271">
        <v>1.0687500000000001</v>
      </c>
      <c r="L2271">
        <v>1.2101</v>
      </c>
      <c r="M2271">
        <v>7.4400000000000004E-3</v>
      </c>
      <c r="N2271">
        <v>1</v>
      </c>
      <c r="P2271">
        <v>1.37775</v>
      </c>
      <c r="Q2271">
        <v>0.91935</v>
      </c>
      <c r="R2271">
        <v>0.93567</v>
      </c>
      <c r="S2271">
        <v>0.82637000000000005</v>
      </c>
      <c r="T2271">
        <v>134.33500000000001</v>
      </c>
      <c r="U2271">
        <v>1</v>
      </c>
    </row>
    <row r="2272" spans="1:22">
      <c r="A2272" s="8">
        <v>44997</v>
      </c>
      <c r="B2272" s="1860">
        <v>3446.3001199999999</v>
      </c>
      <c r="C2272" s="1860">
        <v>5164.6706899999999</v>
      </c>
      <c r="D2272" s="1860">
        <v>5074.5746200000003</v>
      </c>
      <c r="E2272" s="1860">
        <v>5745.7242100000003</v>
      </c>
      <c r="F2272">
        <v>35.345509999999997</v>
      </c>
      <c r="G2272" s="1861">
        <v>4748.1400000000003</v>
      </c>
      <c r="I2272">
        <v>0.72582000000000002</v>
      </c>
      <c r="J2272">
        <v>1.08772</v>
      </c>
      <c r="K2272">
        <v>1.0687500000000001</v>
      </c>
      <c r="L2272">
        <v>1.2101</v>
      </c>
      <c r="M2272">
        <v>7.4400000000000004E-3</v>
      </c>
      <c r="N2272">
        <v>1</v>
      </c>
      <c r="P2272">
        <v>1.37775</v>
      </c>
      <c r="Q2272">
        <v>0.91935</v>
      </c>
      <c r="R2272">
        <v>0.93567</v>
      </c>
      <c r="S2272">
        <v>0.82637000000000005</v>
      </c>
      <c r="T2272">
        <v>134.33500000000001</v>
      </c>
      <c r="U2272">
        <v>1</v>
      </c>
    </row>
    <row r="2273" spans="1:21">
      <c r="A2273" s="8">
        <v>44998</v>
      </c>
      <c r="B2273" s="1860">
        <v>3468.20057</v>
      </c>
      <c r="C2273" s="1860">
        <v>5206.29385</v>
      </c>
      <c r="D2273" s="1860">
        <v>5095.9412499999999</v>
      </c>
      <c r="E2273" s="1860">
        <v>5772.5511999999999</v>
      </c>
      <c r="F2273">
        <v>35.660080000000001</v>
      </c>
      <c r="G2273" s="1861">
        <v>4748.1400000000003</v>
      </c>
      <c r="I2273">
        <v>0.73043000000000002</v>
      </c>
      <c r="J2273">
        <v>1.09649</v>
      </c>
      <c r="K2273">
        <v>1.07325</v>
      </c>
      <c r="L2273">
        <v>1.2157500000000001</v>
      </c>
      <c r="M2273">
        <v>7.5100000000000002E-3</v>
      </c>
      <c r="N2273">
        <v>1</v>
      </c>
      <c r="P2273">
        <v>1.3690500000000001</v>
      </c>
      <c r="Q2273">
        <v>0.91200000000000003</v>
      </c>
      <c r="R2273">
        <v>0.93174000000000001</v>
      </c>
      <c r="S2273">
        <v>0.82252999999999998</v>
      </c>
      <c r="T2273">
        <v>133.15</v>
      </c>
      <c r="U2273">
        <v>1</v>
      </c>
    </row>
    <row r="2274" spans="1:21">
      <c r="A2274" s="8">
        <v>44999</v>
      </c>
      <c r="B2274" s="1860">
        <v>3487.8139700000002</v>
      </c>
      <c r="C2274" s="1860">
        <v>5221.4121500000001</v>
      </c>
      <c r="D2274" s="1860">
        <v>5114.8521300000002</v>
      </c>
      <c r="E2274" s="1860">
        <v>5793.5889800000004</v>
      </c>
      <c r="F2274">
        <v>35.514380000000003</v>
      </c>
      <c r="G2274" s="1861">
        <v>4769.76</v>
      </c>
      <c r="I2274">
        <v>0.73123000000000005</v>
      </c>
      <c r="J2274">
        <v>1.0946899999999999</v>
      </c>
      <c r="K2274">
        <v>1.0723499999999999</v>
      </c>
      <c r="L2274">
        <v>1.21465</v>
      </c>
      <c r="M2274">
        <v>7.4400000000000004E-3</v>
      </c>
      <c r="N2274">
        <v>1</v>
      </c>
      <c r="P2274">
        <v>1.36755</v>
      </c>
      <c r="Q2274">
        <v>0.91349999999999998</v>
      </c>
      <c r="R2274">
        <v>0.93252999999999997</v>
      </c>
      <c r="S2274">
        <v>0.82328000000000001</v>
      </c>
      <c r="T2274">
        <v>134.30500000000001</v>
      </c>
      <c r="U2274">
        <v>1</v>
      </c>
    </row>
    <row r="2275" spans="1:21">
      <c r="A2275" s="8">
        <v>45000</v>
      </c>
      <c r="B2275" s="1860">
        <v>3431.6571199999998</v>
      </c>
      <c r="C2275" s="1860">
        <v>5123.9099800000004</v>
      </c>
      <c r="D2275" s="1860">
        <v>4989.1707999999999</v>
      </c>
      <c r="E2275" s="1860">
        <v>5697.9176900000002</v>
      </c>
      <c r="F2275">
        <v>35.658839999999998</v>
      </c>
      <c r="G2275" s="1861">
        <v>4736.03</v>
      </c>
      <c r="I2275">
        <v>0.72458</v>
      </c>
      <c r="J2275">
        <v>1.08189</v>
      </c>
      <c r="K2275">
        <v>1.05345</v>
      </c>
      <c r="L2275">
        <v>1.2031000000000001</v>
      </c>
      <c r="M2275">
        <v>7.5199999999999998E-3</v>
      </c>
      <c r="N2275">
        <v>1</v>
      </c>
      <c r="P2275">
        <v>1.3801000000000001</v>
      </c>
      <c r="Q2275">
        <v>0.92430000000000001</v>
      </c>
      <c r="R2275">
        <v>0.94925999999999999</v>
      </c>
      <c r="S2275">
        <v>0.83118000000000003</v>
      </c>
      <c r="T2275">
        <v>132.815</v>
      </c>
      <c r="U2275">
        <v>1</v>
      </c>
    </row>
    <row r="2276" spans="1:21">
      <c r="A2276" s="8">
        <v>45001</v>
      </c>
      <c r="B2276" s="1860">
        <v>3514.0510800000002</v>
      </c>
      <c r="C2276" s="1860">
        <v>5200.5915199999999</v>
      </c>
      <c r="D2276" s="1860">
        <v>5135.55339</v>
      </c>
      <c r="E2276" s="1860">
        <v>5856.5279300000002</v>
      </c>
      <c r="F2276">
        <v>36.359949999999998</v>
      </c>
      <c r="G2276" s="1861">
        <v>4835.51</v>
      </c>
      <c r="I2276">
        <v>0.72670999999999997</v>
      </c>
      <c r="J2276">
        <v>1.0754999999999999</v>
      </c>
      <c r="K2276">
        <v>1.0620499999999999</v>
      </c>
      <c r="L2276">
        <v>1.2111499999999999</v>
      </c>
      <c r="M2276">
        <v>7.5100000000000002E-3</v>
      </c>
      <c r="N2276">
        <v>1</v>
      </c>
      <c r="P2276">
        <v>1.37605</v>
      </c>
      <c r="Q2276">
        <v>0.92979999999999996</v>
      </c>
      <c r="R2276">
        <v>0.94157000000000002</v>
      </c>
      <c r="S2276">
        <v>0.82565999999999995</v>
      </c>
      <c r="T2276">
        <v>132.99</v>
      </c>
      <c r="U2276">
        <v>1</v>
      </c>
    </row>
    <row r="2277" spans="1:21">
      <c r="A2277" s="8">
        <v>45002</v>
      </c>
      <c r="B2277" s="1860">
        <v>3538.5006899999998</v>
      </c>
      <c r="C2277" s="1860">
        <v>5239.8384900000001</v>
      </c>
      <c r="D2277" s="1860">
        <v>5180.6325699999998</v>
      </c>
      <c r="E2277" s="1860">
        <v>5907.6876700000003</v>
      </c>
      <c r="F2277">
        <v>36.85904</v>
      </c>
      <c r="G2277" s="1861">
        <v>4866.5</v>
      </c>
      <c r="I2277">
        <v>0.72711000000000003</v>
      </c>
      <c r="J2277">
        <v>1.0767100000000001</v>
      </c>
      <c r="K2277">
        <v>1.0645500000000001</v>
      </c>
      <c r="L2277">
        <v>1.2139500000000001</v>
      </c>
      <c r="M2277">
        <v>7.5700000000000003E-3</v>
      </c>
      <c r="N2277">
        <v>1</v>
      </c>
      <c r="P2277">
        <v>1.3753</v>
      </c>
      <c r="Q2277">
        <v>0.92874999999999996</v>
      </c>
      <c r="R2277">
        <v>0.93935999999999997</v>
      </c>
      <c r="S2277">
        <v>0.82374999999999998</v>
      </c>
      <c r="T2277">
        <v>132.03</v>
      </c>
      <c r="U2277">
        <v>1</v>
      </c>
    </row>
    <row r="2278" spans="1:21">
      <c r="A2278" s="8">
        <v>45003</v>
      </c>
      <c r="B2278" s="1860">
        <v>3507.7801199999999</v>
      </c>
      <c r="C2278" s="1860">
        <v>5194.3472400000001</v>
      </c>
      <c r="D2278" s="1860">
        <v>5135.6553299999996</v>
      </c>
      <c r="E2278" s="1860">
        <v>5856.3982800000003</v>
      </c>
      <c r="F2278">
        <v>36.53904</v>
      </c>
      <c r="G2278" s="1861">
        <v>4824.25</v>
      </c>
      <c r="I2278">
        <v>0.72711000000000003</v>
      </c>
      <c r="J2278">
        <v>1.0767100000000001</v>
      </c>
      <c r="K2278">
        <v>1.0645500000000001</v>
      </c>
      <c r="L2278">
        <v>1.2139500000000001</v>
      </c>
      <c r="M2278">
        <v>7.5700000000000003E-3</v>
      </c>
      <c r="N2278">
        <v>1</v>
      </c>
      <c r="P2278">
        <v>1.3753</v>
      </c>
      <c r="Q2278">
        <v>0.92874999999999996</v>
      </c>
      <c r="R2278">
        <v>0.93935999999999997</v>
      </c>
      <c r="S2278">
        <v>0.82374999999999998</v>
      </c>
      <c r="T2278">
        <v>132.03</v>
      </c>
      <c r="U2278">
        <v>1</v>
      </c>
    </row>
    <row r="2279" spans="1:21">
      <c r="A2279" s="8">
        <v>45004</v>
      </c>
      <c r="B2279" s="1860">
        <v>3507.7801199999999</v>
      </c>
      <c r="C2279" s="1860">
        <v>5194.3472400000001</v>
      </c>
      <c r="D2279" s="1860">
        <v>5135.6553299999996</v>
      </c>
      <c r="E2279" s="1860">
        <v>5856.3982800000003</v>
      </c>
      <c r="F2279">
        <v>36.53904</v>
      </c>
      <c r="G2279" s="1861">
        <v>4824.25</v>
      </c>
      <c r="I2279">
        <v>0.72711000000000003</v>
      </c>
      <c r="J2279">
        <v>1.0767100000000001</v>
      </c>
      <c r="K2279">
        <v>1.0645500000000001</v>
      </c>
      <c r="L2279">
        <v>1.2139500000000001</v>
      </c>
      <c r="M2279">
        <v>7.5700000000000003E-3</v>
      </c>
      <c r="N2279">
        <v>1</v>
      </c>
      <c r="P2279">
        <v>1.3753</v>
      </c>
      <c r="Q2279">
        <v>0.92874999999999996</v>
      </c>
      <c r="R2279">
        <v>0.93935999999999997</v>
      </c>
      <c r="S2279">
        <v>0.82374999999999998</v>
      </c>
      <c r="T2279">
        <v>132.03</v>
      </c>
      <c r="U2279">
        <v>1</v>
      </c>
    </row>
    <row r="2280" spans="1:21">
      <c r="A2280" s="8">
        <v>45005</v>
      </c>
      <c r="B2280" s="1860">
        <v>3524.9524999999999</v>
      </c>
      <c r="C2280" s="1860">
        <v>5204.7146400000001</v>
      </c>
      <c r="D2280" s="1860">
        <v>5172.31963</v>
      </c>
      <c r="E2280" s="1860">
        <v>5912.6008000000002</v>
      </c>
      <c r="F2280">
        <v>36.652859999999997</v>
      </c>
      <c r="G2280" s="1861">
        <v>4824.25</v>
      </c>
      <c r="I2280">
        <v>0.73067000000000004</v>
      </c>
      <c r="J2280">
        <v>1.0788599999999999</v>
      </c>
      <c r="K2280">
        <v>1.0721499999999999</v>
      </c>
      <c r="L2280">
        <v>1.2256</v>
      </c>
      <c r="M2280">
        <v>7.5900000000000004E-3</v>
      </c>
      <c r="N2280">
        <v>1</v>
      </c>
      <c r="P2280">
        <v>1.3686</v>
      </c>
      <c r="Q2280">
        <v>0.92689999999999995</v>
      </c>
      <c r="R2280">
        <v>0.93269999999999997</v>
      </c>
      <c r="S2280">
        <v>0.81591999999999998</v>
      </c>
      <c r="T2280">
        <v>131.62</v>
      </c>
      <c r="U2280">
        <v>1</v>
      </c>
    </row>
    <row r="2281" spans="1:21">
      <c r="A2281" s="8">
        <v>45006</v>
      </c>
      <c r="B2281" s="1860">
        <v>3513.4003299999999</v>
      </c>
      <c r="C2281" s="1860">
        <v>5222.7454799999996</v>
      </c>
      <c r="D2281" s="1860">
        <v>5195.9584599999998</v>
      </c>
      <c r="E2281" s="1860">
        <v>5883.4140799999996</v>
      </c>
      <c r="F2281">
        <v>36.471359999999997</v>
      </c>
      <c r="G2281" s="1861">
        <v>4824.25</v>
      </c>
      <c r="I2281">
        <v>0.72826999999999997</v>
      </c>
      <c r="J2281">
        <v>1.0826</v>
      </c>
      <c r="K2281">
        <v>1.0770500000000001</v>
      </c>
      <c r="L2281">
        <v>1.2195499999999999</v>
      </c>
      <c r="M2281">
        <v>7.5599999999999999E-3</v>
      </c>
      <c r="N2281">
        <v>1</v>
      </c>
      <c r="P2281">
        <v>1.3731</v>
      </c>
      <c r="Q2281">
        <v>0.92369999999999997</v>
      </c>
      <c r="R2281">
        <v>0.92845999999999995</v>
      </c>
      <c r="S2281">
        <v>0.81996999999999998</v>
      </c>
      <c r="T2281">
        <v>132.27500000000001</v>
      </c>
      <c r="U2281">
        <v>1</v>
      </c>
    </row>
    <row r="2282" spans="1:21">
      <c r="A2282" s="8">
        <v>45007</v>
      </c>
      <c r="B2282" s="1860">
        <v>3501.0311499999998</v>
      </c>
      <c r="C2282" s="1860">
        <v>5201.4182799999999</v>
      </c>
      <c r="D2282" s="1860">
        <v>5184.5495499999997</v>
      </c>
      <c r="E2282" s="1860">
        <v>5876.12709</v>
      </c>
      <c r="F2282">
        <v>36.21096</v>
      </c>
      <c r="G2282" s="1861">
        <v>4804.29</v>
      </c>
      <c r="I2282">
        <v>0.72872999999999999</v>
      </c>
      <c r="J2282">
        <v>1.08266</v>
      </c>
      <c r="K2282">
        <v>1.0791500000000001</v>
      </c>
      <c r="L2282">
        <v>1.2231000000000001</v>
      </c>
      <c r="M2282">
        <v>7.5300000000000002E-3</v>
      </c>
      <c r="N2282">
        <v>1</v>
      </c>
      <c r="P2282">
        <v>1.37225</v>
      </c>
      <c r="Q2282">
        <v>0.92364999999999997</v>
      </c>
      <c r="R2282">
        <v>0.92664999999999997</v>
      </c>
      <c r="S2282">
        <v>0.81759000000000004</v>
      </c>
      <c r="T2282">
        <v>132.67500000000001</v>
      </c>
      <c r="U2282">
        <v>1</v>
      </c>
    </row>
    <row r="2283" spans="1:21">
      <c r="A2283" s="8">
        <v>45008</v>
      </c>
      <c r="B2283" s="1860">
        <v>3496.6615400000001</v>
      </c>
      <c r="C2283" s="1860">
        <v>5222.0533500000001</v>
      </c>
      <c r="D2283" s="1860">
        <v>5201.16201</v>
      </c>
      <c r="E2283" s="1860">
        <v>5884.8592900000003</v>
      </c>
      <c r="F2283">
        <v>36.460090000000001</v>
      </c>
      <c r="G2283" s="1861">
        <v>4776.09</v>
      </c>
      <c r="I2283">
        <v>0.73211000000000004</v>
      </c>
      <c r="J2283">
        <v>1.09337</v>
      </c>
      <c r="K2283">
        <v>1.089</v>
      </c>
      <c r="L2283">
        <v>1.2321500000000001</v>
      </c>
      <c r="M2283">
        <v>7.6299999999999996E-3</v>
      </c>
      <c r="N2283">
        <v>1</v>
      </c>
      <c r="P2283">
        <v>1.3658999999999999</v>
      </c>
      <c r="Q2283">
        <v>0.91459999999999997</v>
      </c>
      <c r="R2283">
        <v>0.91827000000000003</v>
      </c>
      <c r="S2283">
        <v>0.81157999999999997</v>
      </c>
      <c r="T2283">
        <v>130.995</v>
      </c>
      <c r="U2283">
        <v>1</v>
      </c>
    </row>
    <row r="2284" spans="1:21">
      <c r="A2284" s="8">
        <v>45009</v>
      </c>
      <c r="B2284" s="1860">
        <v>3455.7558100000001</v>
      </c>
      <c r="C2284" s="1860">
        <v>5180.1514200000001</v>
      </c>
      <c r="D2284" s="1860">
        <v>5117.6979000000001</v>
      </c>
      <c r="E2284" s="1860">
        <v>5814.3229799999999</v>
      </c>
      <c r="F2284">
        <v>36.400039999999997</v>
      </c>
      <c r="G2284" s="1861">
        <v>4755.12</v>
      </c>
      <c r="I2284">
        <v>0.72674000000000005</v>
      </c>
      <c r="J2284">
        <v>1.08938</v>
      </c>
      <c r="K2284">
        <v>1.0762499999999999</v>
      </c>
      <c r="L2284">
        <v>1.22275</v>
      </c>
      <c r="M2284">
        <v>7.6499999999999997E-3</v>
      </c>
      <c r="N2284">
        <v>1</v>
      </c>
      <c r="P2284">
        <v>1.3759999999999999</v>
      </c>
      <c r="Q2284">
        <v>0.91795000000000004</v>
      </c>
      <c r="R2284">
        <v>0.92915000000000003</v>
      </c>
      <c r="S2284">
        <v>0.81781999999999999</v>
      </c>
      <c r="T2284">
        <v>130.63499999999999</v>
      </c>
      <c r="U2284">
        <v>1</v>
      </c>
    </row>
    <row r="2285" spans="1:21">
      <c r="A2285" s="8">
        <v>45010</v>
      </c>
      <c r="B2285" s="1860">
        <v>3446.0465100000001</v>
      </c>
      <c r="C2285" s="1860">
        <v>5165.5972499999998</v>
      </c>
      <c r="D2285" s="1860">
        <v>5103.3191999999999</v>
      </c>
      <c r="E2285" s="1860">
        <v>5797.98704</v>
      </c>
      <c r="F2285">
        <v>36.29777</v>
      </c>
      <c r="G2285" s="1861">
        <v>4741.76</v>
      </c>
      <c r="I2285">
        <v>0.72674000000000005</v>
      </c>
      <c r="J2285">
        <v>1.08938</v>
      </c>
      <c r="K2285">
        <v>1.0762499999999999</v>
      </c>
      <c r="L2285">
        <v>1.22275</v>
      </c>
      <c r="M2285">
        <v>7.6499999999999997E-3</v>
      </c>
      <c r="N2285">
        <v>1</v>
      </c>
      <c r="P2285">
        <v>1.3759999999999999</v>
      </c>
      <c r="Q2285">
        <v>0.91795000000000004</v>
      </c>
      <c r="R2285">
        <v>0.92915000000000003</v>
      </c>
      <c r="S2285">
        <v>0.81781999999999999</v>
      </c>
      <c r="T2285">
        <v>130.63499999999999</v>
      </c>
      <c r="U2285">
        <v>1</v>
      </c>
    </row>
    <row r="2286" spans="1:21">
      <c r="A2286" s="8">
        <v>45011</v>
      </c>
      <c r="B2286" s="1860">
        <v>3446.0465100000001</v>
      </c>
      <c r="C2286" s="1860">
        <v>5165.5972499999998</v>
      </c>
      <c r="D2286" s="1860">
        <v>5103.3191999999999</v>
      </c>
      <c r="E2286" s="1860">
        <v>5797.98704</v>
      </c>
      <c r="F2286">
        <v>36.29777</v>
      </c>
      <c r="G2286" s="1861">
        <v>4741.76</v>
      </c>
      <c r="I2286">
        <v>0.72674000000000005</v>
      </c>
      <c r="J2286">
        <v>1.08938</v>
      </c>
      <c r="K2286">
        <v>1.0762499999999999</v>
      </c>
      <c r="L2286">
        <v>1.22275</v>
      </c>
      <c r="M2286">
        <v>7.6499999999999997E-3</v>
      </c>
      <c r="N2286">
        <v>1</v>
      </c>
      <c r="P2286">
        <v>1.3759999999999999</v>
      </c>
      <c r="Q2286">
        <v>0.91795000000000004</v>
      </c>
      <c r="R2286">
        <v>0.92915000000000003</v>
      </c>
      <c r="S2286">
        <v>0.81781999999999999</v>
      </c>
      <c r="T2286">
        <v>130.63499999999999</v>
      </c>
      <c r="U2286">
        <v>1</v>
      </c>
    </row>
    <row r="2287" spans="1:21">
      <c r="A2287" s="8">
        <v>45012</v>
      </c>
      <c r="B2287" s="1860">
        <v>3461.2649999999999</v>
      </c>
      <c r="C2287" s="1860">
        <v>5173.4875300000003</v>
      </c>
      <c r="D2287" s="1860">
        <v>5112.3285400000004</v>
      </c>
      <c r="E2287" s="1860">
        <v>5819.5620399999998</v>
      </c>
      <c r="F2287">
        <v>36.05489</v>
      </c>
      <c r="G2287" s="1861">
        <v>4741.76</v>
      </c>
      <c r="I2287">
        <v>0.72994999999999999</v>
      </c>
      <c r="J2287">
        <v>1.09104</v>
      </c>
      <c r="K2287">
        <v>1.0781499999999999</v>
      </c>
      <c r="L2287">
        <v>1.2273000000000001</v>
      </c>
      <c r="M2287">
        <v>7.6E-3</v>
      </c>
      <c r="N2287">
        <v>1</v>
      </c>
      <c r="P2287">
        <v>1.36995</v>
      </c>
      <c r="Q2287">
        <v>0.91654999999999998</v>
      </c>
      <c r="R2287">
        <v>0.92750999999999995</v>
      </c>
      <c r="S2287">
        <v>0.81479000000000001</v>
      </c>
      <c r="T2287">
        <v>131.51499999999999</v>
      </c>
      <c r="U2287">
        <v>1</v>
      </c>
    </row>
    <row r="2288" spans="1:21">
      <c r="A2288" s="8">
        <v>45013</v>
      </c>
      <c r="B2288" s="1860">
        <v>3438.7394899999999</v>
      </c>
      <c r="C2288" s="1860">
        <v>5089.1253500000003</v>
      </c>
      <c r="D2288" s="1860">
        <v>5077.4772800000001</v>
      </c>
      <c r="E2288" s="1860">
        <v>5777.6896800000004</v>
      </c>
      <c r="F2288">
        <v>35.786879999999996</v>
      </c>
      <c r="G2288" s="1861">
        <v>4686.83</v>
      </c>
      <c r="I2288">
        <v>0.73370000000000002</v>
      </c>
      <c r="J2288">
        <v>1.0858300000000001</v>
      </c>
      <c r="K2288">
        <v>1.08335</v>
      </c>
      <c r="L2288">
        <v>1.23275</v>
      </c>
      <c r="M2288">
        <v>7.6299999999999996E-3</v>
      </c>
      <c r="N2288">
        <v>1</v>
      </c>
      <c r="P2288">
        <v>1.3629500000000001</v>
      </c>
      <c r="Q2288">
        <v>0.92095000000000005</v>
      </c>
      <c r="R2288">
        <v>0.92305999999999999</v>
      </c>
      <c r="S2288">
        <v>0.81118999999999997</v>
      </c>
      <c r="T2288">
        <v>130.965</v>
      </c>
      <c r="U2288">
        <v>1</v>
      </c>
    </row>
    <row r="2289" spans="1:22">
      <c r="A2289" s="8">
        <v>45014</v>
      </c>
      <c r="B2289" s="1860">
        <v>3429.2370500000002</v>
      </c>
      <c r="C2289" s="1860">
        <v>5066.6557899999998</v>
      </c>
      <c r="D2289" s="1860">
        <v>5045.9354400000002</v>
      </c>
      <c r="E2289" s="1860">
        <v>5735.2034199999998</v>
      </c>
      <c r="F2289">
        <v>35.159350000000003</v>
      </c>
      <c r="G2289" s="1861">
        <v>4658.79</v>
      </c>
      <c r="I2289">
        <v>0.73607</v>
      </c>
      <c r="J2289">
        <v>1.08754</v>
      </c>
      <c r="K2289">
        <v>1.0831</v>
      </c>
      <c r="L2289">
        <v>1.23105</v>
      </c>
      <c r="M2289">
        <v>7.5399999999999998E-3</v>
      </c>
      <c r="N2289">
        <v>1</v>
      </c>
      <c r="P2289">
        <v>1.3585499999999999</v>
      </c>
      <c r="Q2289">
        <v>0.91949999999999998</v>
      </c>
      <c r="R2289">
        <v>0.92327000000000004</v>
      </c>
      <c r="S2289">
        <v>0.81230999999999998</v>
      </c>
      <c r="T2289">
        <v>132.505</v>
      </c>
      <c r="U2289">
        <v>1</v>
      </c>
    </row>
    <row r="2290" spans="1:22">
      <c r="A2290" s="8">
        <v>45015</v>
      </c>
      <c r="B2290" s="1860">
        <v>3419.8943199999999</v>
      </c>
      <c r="C2290" s="1860">
        <v>5067.7654199999997</v>
      </c>
      <c r="D2290" s="1860">
        <v>5050.1326099999997</v>
      </c>
      <c r="E2290" s="1860">
        <v>5729.4687000000004</v>
      </c>
      <c r="F2290">
        <v>34.862360000000002</v>
      </c>
      <c r="G2290" s="1861">
        <v>4627.63</v>
      </c>
      <c r="I2290">
        <v>0.73900999999999994</v>
      </c>
      <c r="J2290">
        <v>1.09511</v>
      </c>
      <c r="K2290">
        <v>1.0912999999999999</v>
      </c>
      <c r="L2290">
        <v>1.2381</v>
      </c>
      <c r="M2290">
        <v>7.5300000000000002E-3</v>
      </c>
      <c r="N2290">
        <v>1</v>
      </c>
      <c r="P2290">
        <v>1.3531500000000001</v>
      </c>
      <c r="Q2290">
        <v>0.91315000000000002</v>
      </c>
      <c r="R2290">
        <v>0.91632999999999998</v>
      </c>
      <c r="S2290">
        <v>0.80767999999999995</v>
      </c>
      <c r="T2290">
        <v>132.74</v>
      </c>
      <c r="U2290">
        <v>1</v>
      </c>
    </row>
    <row r="2291" spans="1:22" ht="15.75" thickBot="1">
      <c r="A2291" s="1868">
        <v>45016</v>
      </c>
      <c r="B2291" s="1869">
        <v>3419.12291</v>
      </c>
      <c r="C2291" s="1869">
        <v>5065.1524200000003</v>
      </c>
      <c r="D2291" s="1869">
        <v>5027.2974899999999</v>
      </c>
      <c r="E2291" s="1869">
        <v>5721.3879900000002</v>
      </c>
      <c r="F2291" s="1870">
        <v>34.767969999999998</v>
      </c>
      <c r="G2291" s="1871">
        <v>4627.2700000000004</v>
      </c>
      <c r="H2291" s="1872"/>
      <c r="I2291" s="1870">
        <v>0.7389</v>
      </c>
      <c r="J2291" s="1870">
        <v>1.09463</v>
      </c>
      <c r="K2291" s="1870">
        <v>1.0864499999999999</v>
      </c>
      <c r="L2291" s="1870">
        <v>1.23645</v>
      </c>
      <c r="M2291" s="1870">
        <v>7.5100000000000002E-3</v>
      </c>
      <c r="N2291" s="1870">
        <v>1</v>
      </c>
      <c r="O2291" s="1872"/>
      <c r="P2291" s="1870">
        <v>1.3533500000000001</v>
      </c>
      <c r="Q2291" s="1870">
        <v>0.91354999999999997</v>
      </c>
      <c r="R2291" s="1870">
        <v>0.92042000000000002</v>
      </c>
      <c r="S2291" s="1870">
        <v>0.80876000000000003</v>
      </c>
      <c r="T2291" s="1870">
        <v>133.09</v>
      </c>
      <c r="U2291" s="1870">
        <v>1</v>
      </c>
      <c r="V2291" s="1872"/>
    </row>
    <row r="2292" spans="1:22">
      <c r="A2292" s="8">
        <v>45017</v>
      </c>
      <c r="B2292" s="1860">
        <v>3433.0217600000001</v>
      </c>
      <c r="C2292" s="1860">
        <v>5085.7424300000002</v>
      </c>
      <c r="D2292" s="1860">
        <v>5047.7336100000002</v>
      </c>
      <c r="E2292" s="1860">
        <v>5744.6456099999996</v>
      </c>
      <c r="F2292">
        <v>34.909300000000002</v>
      </c>
      <c r="G2292" s="1861">
        <v>4646.08</v>
      </c>
      <c r="I2292">
        <v>0.7389</v>
      </c>
      <c r="J2292">
        <v>1.09463</v>
      </c>
      <c r="K2292">
        <v>1.0864499999999999</v>
      </c>
      <c r="L2292">
        <v>1.23645</v>
      </c>
      <c r="M2292">
        <v>7.5100000000000002E-3</v>
      </c>
      <c r="N2292">
        <v>1</v>
      </c>
      <c r="P2292">
        <v>1.3533500000000001</v>
      </c>
      <c r="Q2292">
        <v>0.91354999999999997</v>
      </c>
      <c r="R2292">
        <v>0.92042000000000002</v>
      </c>
      <c r="S2292">
        <v>0.80876000000000003</v>
      </c>
      <c r="T2292">
        <v>133.09</v>
      </c>
      <c r="U2292">
        <v>1</v>
      </c>
    </row>
    <row r="2293" spans="1:22">
      <c r="A2293" s="8">
        <v>45018</v>
      </c>
      <c r="B2293" s="1860">
        <v>3433.0217600000001</v>
      </c>
      <c r="C2293" s="1860">
        <v>5085.7424300000002</v>
      </c>
      <c r="D2293" s="1860">
        <v>5047.7336100000002</v>
      </c>
      <c r="E2293" s="1860">
        <v>5744.6456099999996</v>
      </c>
      <c r="F2293">
        <v>34.909300000000002</v>
      </c>
      <c r="G2293" s="1861">
        <v>4646.08</v>
      </c>
      <c r="I2293">
        <v>0.7389</v>
      </c>
      <c r="J2293">
        <v>1.09463</v>
      </c>
      <c r="K2293">
        <v>1.0864499999999999</v>
      </c>
      <c r="L2293">
        <v>1.23645</v>
      </c>
      <c r="M2293">
        <v>7.5100000000000002E-3</v>
      </c>
      <c r="N2293">
        <v>1</v>
      </c>
      <c r="P2293">
        <v>1.3533500000000001</v>
      </c>
      <c r="Q2293">
        <v>0.91354999999999997</v>
      </c>
      <c r="R2293">
        <v>0.92042000000000002</v>
      </c>
      <c r="S2293">
        <v>0.80876000000000003</v>
      </c>
      <c r="T2293">
        <v>133.09</v>
      </c>
      <c r="U2293">
        <v>1</v>
      </c>
    </row>
    <row r="2294" spans="1:22">
      <c r="A2294" s="8">
        <v>45019</v>
      </c>
      <c r="B2294" s="1860">
        <v>3453.4358999999999</v>
      </c>
      <c r="C2294" s="1860">
        <v>5090.1999400000004</v>
      </c>
      <c r="D2294" s="1860">
        <v>5058.8842000000004</v>
      </c>
      <c r="E2294" s="1860">
        <v>5759.7453699999996</v>
      </c>
      <c r="F2294">
        <v>35.108469999999997</v>
      </c>
      <c r="G2294" s="1861">
        <v>4646.08</v>
      </c>
      <c r="I2294">
        <v>0.74329999999999996</v>
      </c>
      <c r="J2294">
        <v>1.0955900000000001</v>
      </c>
      <c r="K2294">
        <v>1.0888500000000001</v>
      </c>
      <c r="L2294">
        <v>1.2397</v>
      </c>
      <c r="M2294">
        <v>7.5500000000000003E-3</v>
      </c>
      <c r="N2294">
        <v>1</v>
      </c>
      <c r="P2294">
        <v>1.34535</v>
      </c>
      <c r="Q2294">
        <v>0.91274999999999995</v>
      </c>
      <c r="R2294">
        <v>0.91839999999999999</v>
      </c>
      <c r="S2294">
        <v>0.80664000000000002</v>
      </c>
      <c r="T2294">
        <v>132.33500000000001</v>
      </c>
      <c r="U2294">
        <v>1</v>
      </c>
    </row>
    <row r="2295" spans="1:22">
      <c r="A2295" s="8">
        <v>45020</v>
      </c>
      <c r="B2295" s="1860">
        <v>3425.9982799999998</v>
      </c>
      <c r="C2295" s="1860">
        <v>5073.0148200000003</v>
      </c>
      <c r="D2295" s="1860">
        <v>5049.2608499999997</v>
      </c>
      <c r="E2295" s="1860">
        <v>5761.1148000000003</v>
      </c>
      <c r="F2295">
        <v>34.92015</v>
      </c>
      <c r="G2295" s="1861">
        <v>4603</v>
      </c>
      <c r="I2295">
        <v>0.74429000000000001</v>
      </c>
      <c r="J2295">
        <v>1.1021099999999999</v>
      </c>
      <c r="K2295">
        <v>1.0969500000000001</v>
      </c>
      <c r="L2295">
        <v>1.2516</v>
      </c>
      <c r="M2295">
        <v>7.5799999999999999E-3</v>
      </c>
      <c r="N2295">
        <v>1</v>
      </c>
      <c r="P2295">
        <v>1.34355</v>
      </c>
      <c r="Q2295">
        <v>0.90734999999999999</v>
      </c>
      <c r="R2295">
        <v>0.91161000000000003</v>
      </c>
      <c r="S2295">
        <v>0.79896999999999996</v>
      </c>
      <c r="T2295">
        <v>131.815</v>
      </c>
      <c r="U2295">
        <v>1</v>
      </c>
    </row>
    <row r="2296" spans="1:22">
      <c r="A2296" s="8">
        <v>45021</v>
      </c>
      <c r="B2296" s="1860">
        <v>3405.8281900000002</v>
      </c>
      <c r="C2296" s="1860">
        <v>5070.2514499999997</v>
      </c>
      <c r="D2296" s="1860">
        <v>5005.4432999999999</v>
      </c>
      <c r="E2296" s="1860">
        <v>5711.88904</v>
      </c>
      <c r="F2296">
        <v>35.051070000000003</v>
      </c>
      <c r="G2296" s="1861">
        <v>4587.3100000000004</v>
      </c>
      <c r="I2296">
        <v>0.74243999999999999</v>
      </c>
      <c r="J2296">
        <v>1.10527</v>
      </c>
      <c r="K2296">
        <v>1.0911500000000001</v>
      </c>
      <c r="L2296">
        <v>1.24515</v>
      </c>
      <c r="M2296">
        <v>7.6400000000000001E-3</v>
      </c>
      <c r="N2296">
        <v>1</v>
      </c>
      <c r="P2296">
        <v>1.3469</v>
      </c>
      <c r="Q2296">
        <v>0.90475000000000005</v>
      </c>
      <c r="R2296">
        <v>0.91646000000000005</v>
      </c>
      <c r="S2296">
        <v>0.80310999999999999</v>
      </c>
      <c r="T2296">
        <v>130.875</v>
      </c>
      <c r="U2296">
        <v>1</v>
      </c>
    </row>
    <row r="2297" spans="1:22">
      <c r="A2297" s="8">
        <v>45022</v>
      </c>
      <c r="B2297" s="1860">
        <v>3392.39275</v>
      </c>
      <c r="C2297" s="1860">
        <v>5054.9184400000004</v>
      </c>
      <c r="D2297" s="1860">
        <v>4993.0335299999997</v>
      </c>
      <c r="E2297" s="1860">
        <v>5684.1551300000001</v>
      </c>
      <c r="F2297">
        <v>34.68459</v>
      </c>
      <c r="G2297" s="1861">
        <v>4570.91</v>
      </c>
      <c r="I2297">
        <v>0.74217</v>
      </c>
      <c r="J2297">
        <v>1.10588</v>
      </c>
      <c r="K2297">
        <v>1.0923499999999999</v>
      </c>
      <c r="L2297">
        <v>1.2435499999999999</v>
      </c>
      <c r="M2297">
        <v>7.5799999999999999E-3</v>
      </c>
      <c r="N2297">
        <v>1</v>
      </c>
      <c r="P2297">
        <v>1.3473999999999999</v>
      </c>
      <c r="Q2297">
        <v>0.90425</v>
      </c>
      <c r="R2297">
        <v>0.91544999999999999</v>
      </c>
      <c r="S2297">
        <v>0.80413999999999997</v>
      </c>
      <c r="T2297">
        <v>131.785</v>
      </c>
      <c r="U2297">
        <v>1</v>
      </c>
    </row>
    <row r="2298" spans="1:22">
      <c r="A2298" s="8">
        <v>45023</v>
      </c>
      <c r="B2298" s="1860">
        <v>3392.39275</v>
      </c>
      <c r="C2298" s="1860">
        <v>5054.9184400000004</v>
      </c>
      <c r="D2298" s="1860">
        <v>4993.0335299999997</v>
      </c>
      <c r="E2298" s="1860">
        <v>5684.1551300000001</v>
      </c>
      <c r="F2298">
        <v>34.68459</v>
      </c>
      <c r="G2298" s="1861">
        <v>4570.91</v>
      </c>
      <c r="I2298">
        <v>0.74217</v>
      </c>
      <c r="J2298">
        <v>1.10588</v>
      </c>
      <c r="K2298">
        <v>1.0923499999999999</v>
      </c>
      <c r="L2298">
        <v>1.2435499999999999</v>
      </c>
      <c r="M2298">
        <v>7.5799999999999999E-3</v>
      </c>
      <c r="N2298">
        <v>1</v>
      </c>
      <c r="P2298">
        <v>1.3473999999999999</v>
      </c>
      <c r="Q2298">
        <v>0.90425</v>
      </c>
      <c r="R2298">
        <v>0.91544999999999999</v>
      </c>
      <c r="S2298">
        <v>0.80413999999999997</v>
      </c>
      <c r="T2298">
        <v>131.785</v>
      </c>
      <c r="U2298">
        <v>1</v>
      </c>
    </row>
    <row r="2299" spans="1:22">
      <c r="A2299" s="8">
        <v>45024</v>
      </c>
      <c r="B2299" s="1860">
        <v>3392.39275</v>
      </c>
      <c r="C2299" s="1860">
        <v>5054.9184400000004</v>
      </c>
      <c r="D2299" s="1860">
        <v>4993.0335299999997</v>
      </c>
      <c r="E2299" s="1860">
        <v>5684.1551300000001</v>
      </c>
      <c r="F2299">
        <v>34.68459</v>
      </c>
      <c r="G2299" s="1861">
        <v>4570.91</v>
      </c>
      <c r="I2299">
        <v>0.74217</v>
      </c>
      <c r="J2299">
        <v>1.10588</v>
      </c>
      <c r="K2299">
        <v>1.0923499999999999</v>
      </c>
      <c r="L2299">
        <v>1.2435499999999999</v>
      </c>
      <c r="M2299">
        <v>7.5799999999999999E-3</v>
      </c>
      <c r="N2299">
        <v>1</v>
      </c>
      <c r="P2299">
        <v>1.3473999999999999</v>
      </c>
      <c r="Q2299">
        <v>0.90425</v>
      </c>
      <c r="R2299">
        <v>0.91544999999999999</v>
      </c>
      <c r="S2299">
        <v>0.80413999999999997</v>
      </c>
      <c r="T2299">
        <v>131.785</v>
      </c>
      <c r="U2299">
        <v>1</v>
      </c>
    </row>
    <row r="2300" spans="1:22">
      <c r="A2300" s="8">
        <v>45025</v>
      </c>
      <c r="B2300" s="1860">
        <v>3392.39275</v>
      </c>
      <c r="C2300" s="1860">
        <v>5054.9184400000004</v>
      </c>
      <c r="D2300" s="1860">
        <v>4993.0335299999997</v>
      </c>
      <c r="E2300" s="1860">
        <v>5684.1551300000001</v>
      </c>
      <c r="F2300">
        <v>34.68459</v>
      </c>
      <c r="G2300" s="1861">
        <v>4570.91</v>
      </c>
      <c r="I2300">
        <v>0.74217</v>
      </c>
      <c r="J2300">
        <v>1.10588</v>
      </c>
      <c r="K2300">
        <v>1.0923499999999999</v>
      </c>
      <c r="L2300">
        <v>1.2435499999999999</v>
      </c>
      <c r="M2300">
        <v>7.5799999999999999E-3</v>
      </c>
      <c r="N2300">
        <v>1</v>
      </c>
      <c r="P2300">
        <v>1.3473999999999999</v>
      </c>
      <c r="Q2300">
        <v>0.90425</v>
      </c>
      <c r="R2300">
        <v>0.91544999999999999</v>
      </c>
      <c r="S2300">
        <v>0.80413999999999997</v>
      </c>
      <c r="T2300">
        <v>131.785</v>
      </c>
      <c r="U2300">
        <v>1</v>
      </c>
    </row>
    <row r="2301" spans="1:22">
      <c r="A2301" s="8">
        <v>45026</v>
      </c>
      <c r="B2301" s="1860">
        <v>3375.1089099999999</v>
      </c>
      <c r="C2301" s="1860">
        <v>5016.6383100000003</v>
      </c>
      <c r="D2301" s="1860">
        <v>4954.63789</v>
      </c>
      <c r="E2301" s="1860">
        <v>5649.6447600000001</v>
      </c>
      <c r="F2301">
        <v>34.150770000000001</v>
      </c>
      <c r="G2301" s="1861">
        <v>4570.91</v>
      </c>
      <c r="I2301">
        <v>0.73838000000000004</v>
      </c>
      <c r="J2301">
        <v>1.09751</v>
      </c>
      <c r="K2301">
        <v>1.08395</v>
      </c>
      <c r="L2301">
        <v>1.236</v>
      </c>
      <c r="M2301">
        <v>7.4700000000000001E-3</v>
      </c>
      <c r="N2301">
        <v>1</v>
      </c>
      <c r="P2301">
        <v>1.3543000000000001</v>
      </c>
      <c r="Q2301">
        <v>0.91115000000000002</v>
      </c>
      <c r="R2301">
        <v>0.92254999999999998</v>
      </c>
      <c r="S2301">
        <v>0.80906</v>
      </c>
      <c r="T2301">
        <v>133.845</v>
      </c>
      <c r="U2301">
        <v>1</v>
      </c>
    </row>
    <row r="2302" spans="1:22">
      <c r="A2302" s="8">
        <v>45027</v>
      </c>
      <c r="B2302" s="1860">
        <v>3383.8010100000001</v>
      </c>
      <c r="C2302" s="1860">
        <v>5049.7759500000002</v>
      </c>
      <c r="D2302" s="1860">
        <v>4980.7268999999997</v>
      </c>
      <c r="E2302" s="1860">
        <v>5674.9477999999999</v>
      </c>
      <c r="F2302">
        <v>34.180100000000003</v>
      </c>
      <c r="G2302" s="1861">
        <v>4564.24</v>
      </c>
      <c r="I2302">
        <v>0.74136999999999997</v>
      </c>
      <c r="J2302">
        <v>1.1063700000000001</v>
      </c>
      <c r="K2302">
        <v>1.0912500000000001</v>
      </c>
      <c r="L2302">
        <v>1.24335</v>
      </c>
      <c r="M2302">
        <v>7.4799999999999997E-3</v>
      </c>
      <c r="N2302">
        <v>1</v>
      </c>
      <c r="P2302">
        <v>1.3488500000000001</v>
      </c>
      <c r="Q2302">
        <v>0.90385000000000004</v>
      </c>
      <c r="R2302">
        <v>0.91637999999999997</v>
      </c>
      <c r="S2302">
        <v>0.80427000000000004</v>
      </c>
      <c r="T2302">
        <v>133.535</v>
      </c>
      <c r="U2302">
        <v>1</v>
      </c>
    </row>
    <row r="2303" spans="1:22">
      <c r="A2303" s="8">
        <v>45028</v>
      </c>
      <c r="B2303" s="1860">
        <v>3357.68658</v>
      </c>
      <c r="C2303" s="1860">
        <v>5033.7233900000001</v>
      </c>
      <c r="D2303" s="1860">
        <v>4958.2732900000001</v>
      </c>
      <c r="E2303" s="1860">
        <v>5630.8188499999997</v>
      </c>
      <c r="F2303">
        <v>33.885440000000003</v>
      </c>
      <c r="G2303" s="1861">
        <v>4516.76</v>
      </c>
      <c r="I2303">
        <v>0.74338000000000004</v>
      </c>
      <c r="J2303">
        <v>1.1144499999999999</v>
      </c>
      <c r="K2303">
        <v>1.09775</v>
      </c>
      <c r="L2303">
        <v>1.24665</v>
      </c>
      <c r="M2303">
        <v>7.4999999999999997E-3</v>
      </c>
      <c r="N2303">
        <v>1</v>
      </c>
      <c r="P2303">
        <v>1.3452</v>
      </c>
      <c r="Q2303">
        <v>0.89729999999999999</v>
      </c>
      <c r="R2303">
        <v>0.91095000000000004</v>
      </c>
      <c r="S2303">
        <v>0.80213999999999996</v>
      </c>
      <c r="T2303">
        <v>133.29499999999999</v>
      </c>
      <c r="U2303">
        <v>1</v>
      </c>
    </row>
    <row r="2304" spans="1:22">
      <c r="A2304" s="8">
        <v>45029</v>
      </c>
      <c r="B2304" s="1860">
        <v>3333.8591999999999</v>
      </c>
      <c r="C2304" s="1860">
        <v>5017.0126499999997</v>
      </c>
      <c r="D2304" s="1860">
        <v>4925.9366300000002</v>
      </c>
      <c r="E2304" s="1860">
        <v>5578.2693099999997</v>
      </c>
      <c r="F2304">
        <v>33.673450000000003</v>
      </c>
      <c r="G2304" s="1861">
        <v>4458.87</v>
      </c>
      <c r="I2304">
        <v>0.74768999999999997</v>
      </c>
      <c r="J2304">
        <v>1.12517</v>
      </c>
      <c r="K2304">
        <v>1.1047499999999999</v>
      </c>
      <c r="L2304">
        <v>1.25105</v>
      </c>
      <c r="M2304">
        <v>7.5500000000000003E-3</v>
      </c>
      <c r="N2304">
        <v>1</v>
      </c>
      <c r="P2304">
        <v>1.33745</v>
      </c>
      <c r="Q2304">
        <v>0.88875000000000004</v>
      </c>
      <c r="R2304">
        <v>0.90517999999999998</v>
      </c>
      <c r="S2304">
        <v>0.79932000000000003</v>
      </c>
      <c r="T2304">
        <v>132.41499999999999</v>
      </c>
      <c r="U2304">
        <v>1</v>
      </c>
    </row>
    <row r="2305" spans="1:21">
      <c r="A2305" s="8">
        <v>45030</v>
      </c>
      <c r="B2305" s="1860">
        <v>3310.2772199999999</v>
      </c>
      <c r="C2305" s="1860">
        <v>4949.3986599999998</v>
      </c>
      <c r="D2305" s="1860">
        <v>4869.7400100000004</v>
      </c>
      <c r="E2305" s="1860">
        <v>5505.2504799999997</v>
      </c>
      <c r="F2305">
        <v>33.148650000000004</v>
      </c>
      <c r="G2305" s="1861">
        <v>4424.0200000000004</v>
      </c>
      <c r="I2305">
        <v>0.74824999999999997</v>
      </c>
      <c r="J2305">
        <v>1.1187499999999999</v>
      </c>
      <c r="K2305">
        <v>1.1007499999999999</v>
      </c>
      <c r="L2305">
        <v>1.2444</v>
      </c>
      <c r="M2305">
        <v>7.4900000000000001E-3</v>
      </c>
      <c r="N2305">
        <v>1</v>
      </c>
      <c r="P2305">
        <v>1.3364499999999999</v>
      </c>
      <c r="Q2305">
        <v>0.89385000000000003</v>
      </c>
      <c r="R2305">
        <v>0.90847</v>
      </c>
      <c r="S2305">
        <v>0.80359999999999998</v>
      </c>
      <c r="T2305">
        <v>133.46</v>
      </c>
      <c r="U2305">
        <v>1</v>
      </c>
    </row>
    <row r="2306" spans="1:21">
      <c r="A2306" s="8">
        <v>45031</v>
      </c>
      <c r="B2306" s="1860">
        <v>3311.21254</v>
      </c>
      <c r="C2306" s="1860">
        <v>4950.7971100000004</v>
      </c>
      <c r="D2306" s="1860">
        <v>4871.1159500000003</v>
      </c>
      <c r="E2306" s="1860">
        <v>5506.8059800000001</v>
      </c>
      <c r="F2306">
        <v>33.15802</v>
      </c>
      <c r="G2306" s="1861">
        <v>4425.2700000000004</v>
      </c>
      <c r="I2306">
        <v>0.74824999999999997</v>
      </c>
      <c r="J2306">
        <v>1.1187499999999999</v>
      </c>
      <c r="K2306">
        <v>1.1007499999999999</v>
      </c>
      <c r="L2306">
        <v>1.2444</v>
      </c>
      <c r="M2306">
        <v>7.4900000000000001E-3</v>
      </c>
      <c r="N2306">
        <v>1</v>
      </c>
      <c r="P2306">
        <v>1.3364499999999999</v>
      </c>
      <c r="Q2306">
        <v>0.89385000000000003</v>
      </c>
      <c r="R2306">
        <v>0.90847</v>
      </c>
      <c r="S2306">
        <v>0.80359999999999998</v>
      </c>
      <c r="T2306">
        <v>133.46</v>
      </c>
      <c r="U2306">
        <v>1</v>
      </c>
    </row>
    <row r="2307" spans="1:21">
      <c r="A2307" s="8">
        <v>45032</v>
      </c>
      <c r="B2307" s="1860">
        <v>3311.21254</v>
      </c>
      <c r="C2307" s="1860">
        <v>4950.7971100000004</v>
      </c>
      <c r="D2307" s="1860">
        <v>4871.1159500000003</v>
      </c>
      <c r="E2307" s="1860">
        <v>5506.8059800000001</v>
      </c>
      <c r="F2307">
        <v>33.15802</v>
      </c>
      <c r="G2307" s="1861">
        <v>4425.2700000000004</v>
      </c>
      <c r="I2307">
        <v>0.74824999999999997</v>
      </c>
      <c r="J2307">
        <v>1.1187499999999999</v>
      </c>
      <c r="K2307">
        <v>1.1007499999999999</v>
      </c>
      <c r="L2307">
        <v>1.2444</v>
      </c>
      <c r="M2307">
        <v>7.4900000000000001E-3</v>
      </c>
      <c r="N2307">
        <v>1</v>
      </c>
      <c r="P2307">
        <v>1.3364499999999999</v>
      </c>
      <c r="Q2307">
        <v>0.89385000000000003</v>
      </c>
      <c r="R2307">
        <v>0.90847</v>
      </c>
      <c r="S2307">
        <v>0.80359999999999998</v>
      </c>
      <c r="T2307">
        <v>133.46</v>
      </c>
      <c r="U2307">
        <v>1</v>
      </c>
    </row>
    <row r="2308" spans="1:21">
      <c r="A2308" s="8">
        <v>45033</v>
      </c>
      <c r="B2308" s="1860">
        <v>3301.3316399999999</v>
      </c>
      <c r="C2308" s="1860">
        <v>4924.9012199999997</v>
      </c>
      <c r="D2308" s="1860">
        <v>4830.6247300000005</v>
      </c>
      <c r="E2308" s="1860">
        <v>5471.1825600000002</v>
      </c>
      <c r="F2308">
        <v>32.890630000000002</v>
      </c>
      <c r="G2308" s="1861">
        <v>4425.2700000000004</v>
      </c>
      <c r="I2308">
        <v>0.74600999999999995</v>
      </c>
      <c r="J2308">
        <v>1.1129</v>
      </c>
      <c r="K2308">
        <v>1.0915999999999999</v>
      </c>
      <c r="L2308">
        <v>1.2363500000000001</v>
      </c>
      <c r="M2308">
        <v>7.43E-3</v>
      </c>
      <c r="N2308">
        <v>1</v>
      </c>
      <c r="P2308">
        <v>1.3404499999999999</v>
      </c>
      <c r="Q2308">
        <v>0.89854999999999996</v>
      </c>
      <c r="R2308">
        <v>0.91608000000000001</v>
      </c>
      <c r="S2308">
        <v>0.80883000000000005</v>
      </c>
      <c r="T2308">
        <v>134.54499999999999</v>
      </c>
      <c r="U2308">
        <v>1</v>
      </c>
    </row>
    <row r="2309" spans="1:21">
      <c r="A2309" s="8">
        <v>45034</v>
      </c>
      <c r="B2309" s="1860">
        <v>3310.38733</v>
      </c>
      <c r="C2309" s="1860">
        <v>4936.1737599999997</v>
      </c>
      <c r="D2309" s="1860">
        <v>4857.9770600000002</v>
      </c>
      <c r="E2309" s="1860">
        <v>5507.1844799999999</v>
      </c>
      <c r="F2309">
        <v>33.080390000000001</v>
      </c>
      <c r="G2309" s="1861">
        <v>4431.45</v>
      </c>
      <c r="I2309">
        <v>0.74702000000000002</v>
      </c>
      <c r="J2309">
        <v>1.11389</v>
      </c>
      <c r="K2309">
        <v>1.0962499999999999</v>
      </c>
      <c r="L2309">
        <v>1.24275</v>
      </c>
      <c r="M2309">
        <v>7.4599999999999996E-3</v>
      </c>
      <c r="N2309">
        <v>1</v>
      </c>
      <c r="P2309">
        <v>1.3386499999999999</v>
      </c>
      <c r="Q2309">
        <v>0.89775000000000005</v>
      </c>
      <c r="R2309">
        <v>0.91220000000000001</v>
      </c>
      <c r="S2309">
        <v>0.80466000000000004</v>
      </c>
      <c r="T2309">
        <v>133.96</v>
      </c>
      <c r="U2309">
        <v>1</v>
      </c>
    </row>
    <row r="2310" spans="1:21">
      <c r="A2310" s="8">
        <v>45035</v>
      </c>
      <c r="B2310" s="1860">
        <v>3329.2918</v>
      </c>
      <c r="C2310" s="1860">
        <v>4978.6521199999997</v>
      </c>
      <c r="D2310" s="1860">
        <v>4901.8137500000003</v>
      </c>
      <c r="E2310" s="1860">
        <v>5568.9721499999996</v>
      </c>
      <c r="F2310">
        <v>33.228610000000003</v>
      </c>
      <c r="G2310" s="1861">
        <v>4473.07</v>
      </c>
      <c r="I2310">
        <v>0.74429000000000001</v>
      </c>
      <c r="J2310">
        <v>1.1130199999999999</v>
      </c>
      <c r="K2310">
        <v>1.09585</v>
      </c>
      <c r="L2310">
        <v>1.2450000000000001</v>
      </c>
      <c r="M2310">
        <v>7.4200000000000004E-3</v>
      </c>
      <c r="N2310">
        <v>1</v>
      </c>
      <c r="P2310">
        <v>1.34355</v>
      </c>
      <c r="Q2310">
        <v>0.89844999999999997</v>
      </c>
      <c r="R2310">
        <v>0.91252999999999995</v>
      </c>
      <c r="S2310">
        <v>0.80320999999999998</v>
      </c>
      <c r="T2310">
        <v>134.61500000000001</v>
      </c>
      <c r="U2310">
        <v>1</v>
      </c>
    </row>
    <row r="2311" spans="1:21">
      <c r="A2311" s="8">
        <v>45036</v>
      </c>
      <c r="B2311" s="1860">
        <v>3369.46065</v>
      </c>
      <c r="C2311" s="1860">
        <v>5071.2503399999996</v>
      </c>
      <c r="D2311" s="1860">
        <v>4975.9282700000003</v>
      </c>
      <c r="E2311" s="1860">
        <v>5645.3681800000004</v>
      </c>
      <c r="F2311">
        <v>33.810220000000001</v>
      </c>
      <c r="G2311" s="1861">
        <v>4532.43</v>
      </c>
      <c r="I2311">
        <v>0.74341000000000002</v>
      </c>
      <c r="J2311">
        <v>1.1188800000000001</v>
      </c>
      <c r="K2311">
        <v>1.09785</v>
      </c>
      <c r="L2311">
        <v>1.2455499999999999</v>
      </c>
      <c r="M2311">
        <v>7.45E-3</v>
      </c>
      <c r="N2311">
        <v>1</v>
      </c>
      <c r="P2311">
        <v>1.3451500000000001</v>
      </c>
      <c r="Q2311">
        <v>0.89375000000000004</v>
      </c>
      <c r="R2311">
        <v>0.91086999999999996</v>
      </c>
      <c r="S2311">
        <v>0.80284999999999995</v>
      </c>
      <c r="T2311">
        <v>134.05500000000001</v>
      </c>
      <c r="U2311">
        <v>1</v>
      </c>
    </row>
    <row r="2312" spans="1:21">
      <c r="A2312" s="8">
        <v>45037</v>
      </c>
      <c r="B2312" s="1860">
        <v>3350.4062600000002</v>
      </c>
      <c r="C2312" s="1860">
        <v>5075.5664900000002</v>
      </c>
      <c r="D2312" s="1860">
        <v>4977.3381799999997</v>
      </c>
      <c r="E2312" s="1860">
        <v>5623.6868299999996</v>
      </c>
      <c r="F2312">
        <v>33.739570000000001</v>
      </c>
      <c r="G2312" s="1861">
        <v>4535.78</v>
      </c>
      <c r="I2312">
        <v>0.73865999999999998</v>
      </c>
      <c r="J2312">
        <v>1.119</v>
      </c>
      <c r="K2312">
        <v>1.09735</v>
      </c>
      <c r="L2312">
        <v>1.2398499999999999</v>
      </c>
      <c r="M2312">
        <v>7.43E-3</v>
      </c>
      <c r="N2312">
        <v>1</v>
      </c>
      <c r="P2312">
        <v>1.3537999999999999</v>
      </c>
      <c r="Q2312">
        <v>0.89365000000000006</v>
      </c>
      <c r="R2312">
        <v>0.91127999999999998</v>
      </c>
      <c r="S2312">
        <v>0.80654000000000003</v>
      </c>
      <c r="T2312">
        <v>134.435</v>
      </c>
      <c r="U2312">
        <v>1</v>
      </c>
    </row>
    <row r="2313" spans="1:21">
      <c r="A2313" s="8">
        <v>45038</v>
      </c>
      <c r="B2313" s="1860">
        <v>3341.4389099999999</v>
      </c>
      <c r="C2313" s="1860">
        <v>5061.9817599999997</v>
      </c>
      <c r="D2313" s="1860">
        <v>4964.0163499999999</v>
      </c>
      <c r="E2313" s="1860">
        <v>5608.6350499999999</v>
      </c>
      <c r="F2313">
        <v>33.649270000000001</v>
      </c>
      <c r="G2313" s="1861">
        <v>4523.6400000000003</v>
      </c>
      <c r="I2313">
        <v>0.73865999999999998</v>
      </c>
      <c r="J2313">
        <v>1.119</v>
      </c>
      <c r="K2313">
        <v>1.09735</v>
      </c>
      <c r="L2313">
        <v>1.2398499999999999</v>
      </c>
      <c r="M2313">
        <v>7.43E-3</v>
      </c>
      <c r="N2313">
        <v>1</v>
      </c>
      <c r="P2313">
        <v>1.3537999999999999</v>
      </c>
      <c r="Q2313">
        <v>0.89365000000000006</v>
      </c>
      <c r="R2313">
        <v>0.91127999999999998</v>
      </c>
      <c r="S2313">
        <v>0.80654000000000003</v>
      </c>
      <c r="T2313">
        <v>134.435</v>
      </c>
      <c r="U2313">
        <v>1</v>
      </c>
    </row>
    <row r="2314" spans="1:21">
      <c r="A2314" s="8">
        <v>45039</v>
      </c>
      <c r="B2314" s="1860">
        <v>3341.4389099999999</v>
      </c>
      <c r="C2314" s="1860">
        <v>5061.9817599999997</v>
      </c>
      <c r="D2314" s="1860">
        <v>4964.0163499999999</v>
      </c>
      <c r="E2314" s="1860">
        <v>5608.6350499999999</v>
      </c>
      <c r="F2314">
        <v>33.649270000000001</v>
      </c>
      <c r="G2314" s="1861">
        <v>4523.6400000000003</v>
      </c>
      <c r="I2314">
        <v>0.73865999999999998</v>
      </c>
      <c r="J2314">
        <v>1.119</v>
      </c>
      <c r="K2314">
        <v>1.09735</v>
      </c>
      <c r="L2314">
        <v>1.2398499999999999</v>
      </c>
      <c r="M2314">
        <v>7.43E-3</v>
      </c>
      <c r="N2314">
        <v>1</v>
      </c>
      <c r="P2314">
        <v>1.3537999999999999</v>
      </c>
      <c r="Q2314">
        <v>0.89365000000000006</v>
      </c>
      <c r="R2314">
        <v>0.91127999999999998</v>
      </c>
      <c r="S2314">
        <v>0.80654000000000003</v>
      </c>
      <c r="T2314">
        <v>134.435</v>
      </c>
      <c r="U2314">
        <v>1</v>
      </c>
    </row>
    <row r="2315" spans="1:21">
      <c r="A2315" s="8">
        <v>45040</v>
      </c>
      <c r="B2315" s="1860">
        <v>3341.0687200000002</v>
      </c>
      <c r="C2315" s="1860">
        <v>5089.8902900000003</v>
      </c>
      <c r="D2315" s="1860">
        <v>4989.3487299999997</v>
      </c>
      <c r="E2315" s="1860">
        <v>5637.8125300000002</v>
      </c>
      <c r="F2315">
        <v>33.649270000000001</v>
      </c>
      <c r="G2315" s="1861">
        <v>4523.6400000000003</v>
      </c>
      <c r="I2315">
        <v>0.73856999999999995</v>
      </c>
      <c r="J2315">
        <v>1.12517</v>
      </c>
      <c r="K2315">
        <v>1.1029500000000001</v>
      </c>
      <c r="L2315">
        <v>1.2463</v>
      </c>
      <c r="M2315">
        <v>7.43E-3</v>
      </c>
      <c r="N2315">
        <v>1</v>
      </c>
      <c r="P2315">
        <v>1.35395</v>
      </c>
      <c r="Q2315">
        <v>0.88875000000000004</v>
      </c>
      <c r="R2315">
        <v>0.90664999999999996</v>
      </c>
      <c r="S2315">
        <v>0.80237000000000003</v>
      </c>
      <c r="T2315">
        <v>134.435</v>
      </c>
      <c r="U2315">
        <v>1</v>
      </c>
    </row>
    <row r="2316" spans="1:21">
      <c r="A2316" s="8">
        <v>45041</v>
      </c>
      <c r="B2316" s="1860">
        <v>3292.1670100000001</v>
      </c>
      <c r="C2316" s="1860">
        <v>5023.7601500000001</v>
      </c>
      <c r="D2316" s="1860">
        <v>4920.6094800000001</v>
      </c>
      <c r="E2316" s="1860">
        <v>5558.9103599999999</v>
      </c>
      <c r="F2316">
        <v>33.484850000000002</v>
      </c>
      <c r="G2316" s="1861">
        <v>4482.45</v>
      </c>
      <c r="I2316">
        <v>0.73445000000000005</v>
      </c>
      <c r="J2316">
        <v>1.12076</v>
      </c>
      <c r="K2316">
        <v>1.09775</v>
      </c>
      <c r="L2316">
        <v>1.2401500000000001</v>
      </c>
      <c r="M2316">
        <v>7.4700000000000001E-3</v>
      </c>
      <c r="N2316">
        <v>1</v>
      </c>
      <c r="P2316">
        <v>1.36155</v>
      </c>
      <c r="Q2316">
        <v>0.89224999999999999</v>
      </c>
      <c r="R2316">
        <v>0.91095000000000004</v>
      </c>
      <c r="S2316">
        <v>0.80635000000000001</v>
      </c>
      <c r="T2316">
        <v>133.86500000000001</v>
      </c>
      <c r="U2316">
        <v>1</v>
      </c>
    </row>
    <row r="2317" spans="1:21">
      <c r="A2317" s="8">
        <v>45042</v>
      </c>
      <c r="B2317" s="1860">
        <v>3293.03827</v>
      </c>
      <c r="C2317" s="1860">
        <v>5038.576</v>
      </c>
      <c r="D2317" s="1860">
        <v>4954.7767100000001</v>
      </c>
      <c r="E2317" s="1860">
        <v>5594.3415400000004</v>
      </c>
      <c r="F2317">
        <v>33.646549999999998</v>
      </c>
      <c r="G2317" s="1861">
        <v>4486.6000000000004</v>
      </c>
      <c r="I2317">
        <v>0.73397000000000001</v>
      </c>
      <c r="J2317">
        <v>1.1230199999999999</v>
      </c>
      <c r="K2317">
        <v>1.1043499999999999</v>
      </c>
      <c r="L2317">
        <v>1.2468999999999999</v>
      </c>
      <c r="M2317">
        <v>7.4900000000000001E-3</v>
      </c>
      <c r="N2317">
        <v>1</v>
      </c>
      <c r="P2317">
        <v>1.3624499999999999</v>
      </c>
      <c r="Q2317">
        <v>0.89044999999999996</v>
      </c>
      <c r="R2317">
        <v>0.90551000000000004</v>
      </c>
      <c r="S2317">
        <v>0.80198000000000003</v>
      </c>
      <c r="T2317">
        <v>133.345</v>
      </c>
      <c r="U2317">
        <v>1</v>
      </c>
    </row>
    <row r="2318" spans="1:21">
      <c r="A2318" s="8">
        <v>45043</v>
      </c>
      <c r="B2318" s="1860">
        <v>3344.7873</v>
      </c>
      <c r="C2318" s="1860">
        <v>5076.20003</v>
      </c>
      <c r="D2318" s="1860">
        <v>5012.6292100000001</v>
      </c>
      <c r="E2318" s="1860">
        <v>5676.3968400000003</v>
      </c>
      <c r="F2318">
        <v>33.942880000000002</v>
      </c>
      <c r="G2318" s="1861">
        <v>4552.59</v>
      </c>
      <c r="I2318">
        <v>0.73468999999999995</v>
      </c>
      <c r="J2318">
        <v>1.1150100000000001</v>
      </c>
      <c r="K2318">
        <v>1.1010500000000001</v>
      </c>
      <c r="L2318">
        <v>1.24685</v>
      </c>
      <c r="M2318">
        <v>7.45E-3</v>
      </c>
      <c r="N2318">
        <v>1</v>
      </c>
      <c r="P2318">
        <v>1.3611</v>
      </c>
      <c r="Q2318">
        <v>0.89685000000000004</v>
      </c>
      <c r="R2318">
        <v>0.90822000000000003</v>
      </c>
      <c r="S2318">
        <v>0.80201999999999996</v>
      </c>
      <c r="T2318">
        <v>134.125</v>
      </c>
      <c r="U2318">
        <v>1</v>
      </c>
    </row>
    <row r="2319" spans="1:21">
      <c r="A2319" s="8">
        <v>45044</v>
      </c>
      <c r="B2319" s="1860">
        <v>3431.4974499999998</v>
      </c>
      <c r="C2319" s="1860">
        <v>5229.07701</v>
      </c>
      <c r="D2319" s="1860">
        <v>5138.1705599999996</v>
      </c>
      <c r="E2319" s="1860">
        <v>5849.78856</v>
      </c>
      <c r="F2319">
        <v>34.180140000000002</v>
      </c>
      <c r="G2319" s="1861">
        <v>4654.1400000000003</v>
      </c>
      <c r="I2319">
        <v>0.73729999999999996</v>
      </c>
      <c r="J2319">
        <v>1.1235299999999999</v>
      </c>
      <c r="K2319">
        <v>1.1040000000000001</v>
      </c>
      <c r="L2319">
        <v>1.2568999999999999</v>
      </c>
      <c r="M2319">
        <v>7.3400000000000002E-3</v>
      </c>
      <c r="N2319">
        <v>1</v>
      </c>
      <c r="P2319">
        <v>1.3563000000000001</v>
      </c>
      <c r="Q2319">
        <v>0.89005000000000001</v>
      </c>
      <c r="R2319">
        <v>0.90578999999999998</v>
      </c>
      <c r="S2319">
        <v>0.79559999999999997</v>
      </c>
      <c r="T2319">
        <v>136.16499999999999</v>
      </c>
      <c r="U2319">
        <v>1</v>
      </c>
    </row>
    <row r="2320" spans="1:21">
      <c r="A2320" s="8">
        <v>45045</v>
      </c>
      <c r="B2320" s="1860">
        <v>3442.4537300000002</v>
      </c>
      <c r="C2320" s="1860">
        <v>5245.7727000000004</v>
      </c>
      <c r="D2320" s="1860">
        <v>5154.576</v>
      </c>
      <c r="E2320" s="1860">
        <v>5868.4660999999996</v>
      </c>
      <c r="F2320">
        <v>34.289279999999998</v>
      </c>
      <c r="G2320" s="1861">
        <v>4669</v>
      </c>
      <c r="I2320">
        <v>0.73729999999999996</v>
      </c>
      <c r="J2320">
        <v>1.1235299999999999</v>
      </c>
      <c r="K2320">
        <v>1.1040000000000001</v>
      </c>
      <c r="L2320">
        <v>1.2568999999999999</v>
      </c>
      <c r="M2320">
        <v>7.3400000000000002E-3</v>
      </c>
      <c r="N2320">
        <v>1</v>
      </c>
      <c r="P2320">
        <v>1.3563000000000001</v>
      </c>
      <c r="Q2320">
        <v>0.89005000000000001</v>
      </c>
      <c r="R2320">
        <v>0.90578999999999998</v>
      </c>
      <c r="S2320">
        <v>0.79559999999999997</v>
      </c>
      <c r="T2320">
        <v>136.16499999999999</v>
      </c>
      <c r="U2320">
        <v>1</v>
      </c>
    </row>
    <row r="2321" spans="1:22" ht="15.75" thickBot="1">
      <c r="A2321" s="1868">
        <v>45046</v>
      </c>
      <c r="B2321" s="1869">
        <v>3442.4537300000002</v>
      </c>
      <c r="C2321" s="1869">
        <v>5245.7727000000004</v>
      </c>
      <c r="D2321" s="1869">
        <v>5154.576</v>
      </c>
      <c r="E2321" s="1869">
        <v>5868.4660999999996</v>
      </c>
      <c r="F2321" s="1870">
        <v>34.289279999999998</v>
      </c>
      <c r="G2321" s="1871">
        <v>4669</v>
      </c>
      <c r="H2321" s="1872"/>
      <c r="I2321" s="1870">
        <v>0.73729999999999996</v>
      </c>
      <c r="J2321" s="1870">
        <v>1.1235299999999999</v>
      </c>
      <c r="K2321" s="1870">
        <v>1.1040000000000001</v>
      </c>
      <c r="L2321" s="1870">
        <v>1.2568999999999999</v>
      </c>
      <c r="M2321" s="1870">
        <v>7.3400000000000002E-3</v>
      </c>
      <c r="N2321" s="1870">
        <v>1</v>
      </c>
      <c r="O2321" s="1872"/>
      <c r="P2321" s="1870">
        <v>1.3563000000000001</v>
      </c>
      <c r="Q2321" s="1870">
        <v>0.89005000000000001</v>
      </c>
      <c r="R2321" s="1870">
        <v>0.90578999999999998</v>
      </c>
      <c r="S2321" s="1870">
        <v>0.79559999999999997</v>
      </c>
      <c r="T2321" s="1870">
        <v>136.16499999999999</v>
      </c>
      <c r="U2321" s="1870">
        <v>1</v>
      </c>
      <c r="V2321" s="1872"/>
    </row>
    <row r="2322" spans="1:22">
      <c r="A2322" s="8">
        <v>45047</v>
      </c>
      <c r="B2322" s="1860">
        <v>3449.4477400000001</v>
      </c>
      <c r="C2322" s="1860">
        <v>5214.13814</v>
      </c>
      <c r="D2322" s="1860">
        <v>5126.7954499999996</v>
      </c>
      <c r="E2322" s="1860">
        <v>5845.8214500000004</v>
      </c>
      <c r="F2322">
        <v>34.004579999999997</v>
      </c>
      <c r="G2322" s="1861">
        <v>4669</v>
      </c>
      <c r="I2322">
        <v>0.73878999999999995</v>
      </c>
      <c r="J2322">
        <v>1.1167499999999999</v>
      </c>
      <c r="K2322">
        <v>1.09805</v>
      </c>
      <c r="L2322">
        <v>1.2520500000000001</v>
      </c>
      <c r="M2322">
        <v>7.28E-3</v>
      </c>
      <c r="N2322">
        <v>1</v>
      </c>
      <c r="P2322">
        <v>1.35355</v>
      </c>
      <c r="Q2322">
        <v>0.89544999999999997</v>
      </c>
      <c r="R2322">
        <v>0.91069999999999995</v>
      </c>
      <c r="S2322">
        <v>0.79869000000000001</v>
      </c>
      <c r="T2322">
        <v>137.30500000000001</v>
      </c>
      <c r="U2322">
        <v>1</v>
      </c>
    </row>
    <row r="2323" spans="1:22">
      <c r="A2323" s="8">
        <v>45048</v>
      </c>
    </row>
    <row r="2324" spans="1:22">
      <c r="A2324" s="8">
        <v>45049</v>
      </c>
    </row>
    <row r="2325" spans="1:22">
      <c r="A2325" s="8">
        <v>45050</v>
      </c>
    </row>
    <row r="2326" spans="1:22">
      <c r="A2326" s="8">
        <v>45051</v>
      </c>
    </row>
    <row r="2327" spans="1:22">
      <c r="A2327" s="8">
        <v>45052</v>
      </c>
    </row>
    <row r="2328" spans="1:22">
      <c r="A2328" s="8"/>
    </row>
    <row r="2329" spans="1:22">
      <c r="A2329" s="8"/>
    </row>
    <row r="2330" spans="1:22">
      <c r="A2330" s="8"/>
    </row>
    <row r="2331" spans="1:22">
      <c r="A2331" s="8"/>
    </row>
    <row r="2332" spans="1:22">
      <c r="A2332" s="8"/>
    </row>
    <row r="2333" spans="1:22">
      <c r="A2333" s="8"/>
    </row>
    <row r="2334" spans="1:22">
      <c r="A2334" s="8"/>
    </row>
    <row r="2335" spans="1:22">
      <c r="A2335" s="8"/>
    </row>
    <row r="2336" spans="1:22">
      <c r="A2336" s="8"/>
    </row>
    <row r="2337" spans="1:1">
      <c r="A2337" s="8"/>
    </row>
    <row r="2338" spans="1:1">
      <c r="A2338" s="8"/>
    </row>
    <row r="2339" spans="1:1">
      <c r="A2339" s="8"/>
    </row>
    <row r="2340" spans="1:1">
      <c r="A2340" s="8"/>
    </row>
    <row r="2341" spans="1:1">
      <c r="A2341" s="8"/>
    </row>
    <row r="2342" spans="1:1">
      <c r="A2342" s="8"/>
    </row>
    <row r="2343" spans="1:1">
      <c r="A2343" s="8"/>
    </row>
    <row r="2344" spans="1:1">
      <c r="A2344" s="8"/>
    </row>
    <row r="2345" spans="1:1">
      <c r="A2345" s="8"/>
    </row>
    <row r="2346" spans="1:1">
      <c r="A2346" s="8"/>
    </row>
    <row r="2347" spans="1:1">
      <c r="A2347" s="8"/>
    </row>
    <row r="2348" spans="1:1">
      <c r="A2348" s="8"/>
    </row>
    <row r="2349" spans="1:1">
      <c r="A2349" s="8"/>
    </row>
    <row r="2350" spans="1:1">
      <c r="A2350" s="8"/>
    </row>
    <row r="2351" spans="1:1">
      <c r="A2351" s="8"/>
    </row>
    <row r="2352" spans="1:1">
      <c r="A2352" s="8"/>
    </row>
    <row r="2353" spans="1:1">
      <c r="A2353" s="8"/>
    </row>
    <row r="2354" spans="1:1">
      <c r="A2354" s="8"/>
    </row>
    <row r="2355" spans="1:1">
      <c r="A2355" s="8"/>
    </row>
    <row r="2356" spans="1:1">
      <c r="A2356" s="8"/>
    </row>
    <row r="2357" spans="1:1">
      <c r="A2357" s="8"/>
    </row>
    <row r="2358" spans="1:1">
      <c r="A2358" s="8"/>
    </row>
    <row r="2359" spans="1:1">
      <c r="A2359" s="8"/>
    </row>
    <row r="2360" spans="1:1">
      <c r="A2360" s="8"/>
    </row>
    <row r="2361" spans="1:1">
      <c r="A2361" s="8"/>
    </row>
    <row r="2362" spans="1:1">
      <c r="A2362" s="8"/>
    </row>
    <row r="2363" spans="1:1">
      <c r="A2363" s="8"/>
    </row>
    <row r="2364" spans="1:1">
      <c r="A2364" s="8"/>
    </row>
    <row r="2365" spans="1:1">
      <c r="A2365" s="8"/>
    </row>
    <row r="2366" spans="1:1">
      <c r="A2366" s="8"/>
    </row>
    <row r="2367" spans="1:1">
      <c r="A2367" s="8"/>
    </row>
    <row r="2368" spans="1:1">
      <c r="A2368" s="8"/>
    </row>
    <row r="2369" spans="1:1">
      <c r="A2369" s="8"/>
    </row>
    <row r="2370" spans="1:1">
      <c r="A2370" s="8"/>
    </row>
    <row r="2371" spans="1:1">
      <c r="A2371" s="8"/>
    </row>
    <row r="2372" spans="1:1">
      <c r="A2372" s="8"/>
    </row>
    <row r="2373" spans="1:1">
      <c r="A2373" s="8"/>
    </row>
    <row r="2374" spans="1:1">
      <c r="A2374" s="8"/>
    </row>
    <row r="2375" spans="1:1">
      <c r="A2375" s="8"/>
    </row>
    <row r="2376" spans="1:1">
      <c r="A2376" s="8"/>
    </row>
    <row r="2377" spans="1:1">
      <c r="A2377" s="8"/>
    </row>
    <row r="2378" spans="1:1">
      <c r="A2378" s="8"/>
    </row>
    <row r="2379" spans="1:1">
      <c r="A2379" s="8"/>
    </row>
    <row r="2380" spans="1:1">
      <c r="A2380" s="8"/>
    </row>
    <row r="2381" spans="1:1">
      <c r="A2381" s="8"/>
    </row>
    <row r="2382" spans="1:1">
      <c r="A2382" s="8"/>
    </row>
    <row r="2383" spans="1:1">
      <c r="A2383" s="8"/>
    </row>
    <row r="2384" spans="1:1">
      <c r="A2384" s="8"/>
    </row>
    <row r="2385" spans="1:1">
      <c r="A2385" s="8"/>
    </row>
    <row r="2386" spans="1:1">
      <c r="A2386" s="8"/>
    </row>
    <row r="2387" spans="1:1">
      <c r="A2387" s="8"/>
    </row>
    <row r="2388" spans="1:1">
      <c r="A2388" s="8"/>
    </row>
    <row r="2389" spans="1:1">
      <c r="A2389" s="8"/>
    </row>
    <row r="2390" spans="1:1">
      <c r="A2390" s="8"/>
    </row>
    <row r="2391" spans="1:1">
      <c r="A2391" s="8"/>
    </row>
    <row r="2392" spans="1:1">
      <c r="A2392" s="8"/>
    </row>
  </sheetData>
  <autoFilter ref="A4:V2200" xr:uid="{5941598B-0F61-4B75-B817-5155F91F914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81A4-29C6-46A8-9749-F4674182B003}">
  <sheetPr codeName="Hoja2">
    <tabColor theme="5" tint="0.79998168889431442"/>
  </sheetPr>
  <dimension ref="A1:EB2388"/>
  <sheetViews>
    <sheetView tabSelected="1" zoomScaleNormal="100" workbookViewId="0">
      <pane xSplit="5" ySplit="7" topLeftCell="AI28" activePane="bottomRight" state="frozen"/>
      <selection activeCell="F57" sqref="F57"/>
      <selection pane="topRight" activeCell="F57" sqref="F57"/>
      <selection pane="bottomLeft" activeCell="F57" sqref="F57"/>
      <selection pane="bottomRight" activeCell="A36" sqref="A36:XFD36"/>
    </sheetView>
  </sheetViews>
  <sheetFormatPr baseColWidth="10" defaultColWidth="11.42578125" defaultRowHeight="15" outlineLevelRow="2" outlineLevelCol="1"/>
  <cols>
    <col min="1" max="1" width="17.42578125" customWidth="1"/>
    <col min="2" max="2" width="25" customWidth="1"/>
    <col min="3" max="3" width="10" style="7" customWidth="1"/>
    <col min="4" max="4" width="13.7109375" style="7" customWidth="1"/>
    <col min="5" max="5" width="14" style="8" customWidth="1"/>
    <col min="6" max="6" width="20" style="410" hidden="1" customWidth="1" outlineLevel="1"/>
    <col min="7" max="7" width="16.5703125" style="410" hidden="1" customWidth="1" outlineLevel="1"/>
    <col min="8" max="8" width="12.85546875" style="411" hidden="1" customWidth="1" outlineLevel="1"/>
    <col min="9" max="9" width="23.28515625" style="412" hidden="1" customWidth="1" outlineLevel="1"/>
    <col min="10" max="10" width="11.42578125" style="1380" customWidth="1" collapsed="1"/>
    <col min="11" max="11" width="11.42578125" style="1380" customWidth="1"/>
    <col min="12" max="12" width="23.42578125" style="413" customWidth="1"/>
    <col min="13" max="13" width="18.42578125" style="413" customWidth="1"/>
    <col min="14" max="14" width="12.85546875" style="411" customWidth="1"/>
    <col min="15" max="15" width="26.7109375" style="412" customWidth="1"/>
    <col min="16" max="16" width="24.28515625" style="410" bestFit="1" customWidth="1"/>
    <col min="17" max="17" width="19.140625" style="410" customWidth="1"/>
    <col min="18" max="19" width="12.85546875" style="411" customWidth="1"/>
    <col min="20" max="20" width="26" style="412" customWidth="1"/>
    <col min="21" max="21" width="23.140625" style="410" customWidth="1"/>
    <col min="22" max="22" width="25.5703125" style="412" customWidth="1"/>
    <col min="23" max="23" width="23.85546875" style="412" customWidth="1"/>
    <col min="24" max="24" width="23.7109375" style="412" customWidth="1"/>
    <col min="25" max="25" width="21.7109375" style="7" customWidth="1"/>
    <col min="26" max="26" width="4.28515625" style="14" customWidth="1"/>
    <col min="27" max="27" width="18.7109375" style="15" customWidth="1"/>
    <col min="28" max="28" width="21" style="15" customWidth="1"/>
    <col min="29" max="29" width="19.28515625" style="15" customWidth="1"/>
    <col min="30" max="31" width="18.7109375" style="15" customWidth="1"/>
    <col min="32" max="36" width="17.5703125" customWidth="1"/>
    <col min="37" max="37" width="17.7109375" customWidth="1"/>
    <col min="38" max="53" width="17.5703125" customWidth="1"/>
    <col min="54" max="54" width="19.42578125" customWidth="1"/>
    <col min="55" max="58" width="17.5703125" customWidth="1"/>
    <col min="59" max="59" width="18.7109375" customWidth="1"/>
    <col min="60" max="60" width="19.140625" customWidth="1"/>
    <col min="61" max="61" width="19.42578125" customWidth="1"/>
    <col min="62" max="89" width="17.5703125" customWidth="1"/>
    <col min="90" max="90" width="19" customWidth="1"/>
    <col min="91" max="93" width="17.5703125" customWidth="1"/>
    <col min="94" max="94" width="19.140625" customWidth="1"/>
    <col min="95" max="96" width="17.5703125" customWidth="1"/>
    <col min="97" max="97" width="19.5703125" customWidth="1"/>
    <col min="98" max="120" width="17.5703125" customWidth="1"/>
  </cols>
  <sheetData>
    <row r="1" spans="1:122" ht="18" hidden="1">
      <c r="A1" s="479" t="s">
        <v>46</v>
      </c>
      <c r="B1" s="480"/>
      <c r="C1" s="481"/>
      <c r="D1" s="481"/>
      <c r="E1" s="482"/>
      <c r="F1" s="481"/>
      <c r="G1" s="481"/>
      <c r="H1" s="481"/>
      <c r="I1" s="481"/>
      <c r="J1" s="481"/>
      <c r="K1" s="481"/>
      <c r="L1" s="483"/>
      <c r="M1" s="483"/>
      <c r="N1" s="484"/>
      <c r="O1" s="485"/>
      <c r="P1" s="486"/>
      <c r="Q1" s="486"/>
      <c r="R1" s="484"/>
      <c r="S1" s="484"/>
      <c r="T1" s="485"/>
      <c r="U1" s="486"/>
      <c r="V1" s="485"/>
      <c r="W1" s="485"/>
      <c r="X1" s="485"/>
      <c r="Y1" s="487"/>
    </row>
    <row r="2" spans="1:122" hidden="1">
      <c r="A2" s="1" t="s">
        <v>278</v>
      </c>
      <c r="B2" s="5"/>
      <c r="C2" s="16"/>
      <c r="D2" s="16"/>
      <c r="E2" s="17"/>
      <c r="F2" s="16"/>
      <c r="G2" s="16"/>
      <c r="H2" s="16"/>
      <c r="I2" s="16"/>
      <c r="J2" s="16"/>
      <c r="K2" s="16"/>
      <c r="L2" s="402"/>
      <c r="M2" s="402"/>
      <c r="N2" s="403"/>
      <c r="O2" s="404"/>
      <c r="P2" s="405"/>
      <c r="Q2" s="405"/>
      <c r="R2" s="403"/>
      <c r="S2" s="403"/>
      <c r="T2" s="404"/>
      <c r="U2" s="405"/>
      <c r="V2" s="404"/>
      <c r="W2" s="404"/>
      <c r="X2" s="404"/>
      <c r="Y2" s="18"/>
    </row>
    <row r="3" spans="1:122" ht="15.75" thickBot="1">
      <c r="A3" s="19" t="s">
        <v>2366</v>
      </c>
      <c r="B3" s="6"/>
      <c r="C3" s="20"/>
      <c r="D3" s="20"/>
      <c r="E3" s="21"/>
      <c r="F3" s="20"/>
      <c r="G3" s="20"/>
      <c r="H3" s="20"/>
      <c r="I3" s="20"/>
      <c r="J3" s="20"/>
      <c r="K3" s="20"/>
      <c r="L3" s="406"/>
      <c r="M3" s="406"/>
      <c r="N3" s="407"/>
      <c r="O3" s="408"/>
      <c r="P3" s="409"/>
      <c r="Q3" s="409"/>
      <c r="R3" s="407"/>
      <c r="S3" s="407"/>
      <c r="T3" s="408"/>
      <c r="U3" s="409"/>
      <c r="V3" s="408"/>
      <c r="W3" s="408"/>
      <c r="X3" s="408"/>
      <c r="Y3" s="22"/>
      <c r="DR3" t="s">
        <v>290</v>
      </c>
    </row>
    <row r="4" spans="1:122" ht="15.75" thickBot="1">
      <c r="A4" s="414" t="s">
        <v>56</v>
      </c>
      <c r="B4" s="23">
        <f>VLOOKUP($D4,'TRM BanRep'!$A:$G,7,0)</f>
        <v>4669</v>
      </c>
      <c r="D4" s="1490">
        <v>45046</v>
      </c>
      <c r="I4" s="413"/>
      <c r="J4" s="413"/>
      <c r="K4" s="413"/>
      <c r="N4" s="413"/>
      <c r="R4" s="410"/>
      <c r="T4" s="411"/>
      <c r="W4" s="410"/>
      <c r="AA4" s="15" t="s">
        <v>294</v>
      </c>
      <c r="DR4" t="s">
        <v>290</v>
      </c>
    </row>
    <row r="5" spans="1:122" ht="19.5" thickBot="1">
      <c r="A5" s="488" t="s">
        <v>210</v>
      </c>
      <c r="B5" s="489"/>
      <c r="C5" s="490"/>
      <c r="D5" s="490"/>
      <c r="E5" s="491"/>
      <c r="F5" s="492"/>
      <c r="G5" s="492"/>
      <c r="H5" s="493"/>
      <c r="I5" s="494"/>
      <c r="J5" s="494"/>
      <c r="K5" s="494"/>
      <c r="L5" s="495"/>
      <c r="M5" s="495"/>
      <c r="N5" s="493"/>
      <c r="O5" s="494"/>
      <c r="P5" s="492"/>
      <c r="Q5" s="492"/>
      <c r="R5" s="492"/>
      <c r="S5" s="493"/>
      <c r="T5" s="494"/>
      <c r="U5" s="489"/>
      <c r="V5" s="489"/>
      <c r="W5" s="494"/>
      <c r="X5" s="494"/>
      <c r="Y5" s="496"/>
      <c r="AA5" s="2322">
        <v>44918</v>
      </c>
      <c r="AB5" s="498">
        <v>44922</v>
      </c>
      <c r="AC5" s="1851">
        <v>44866</v>
      </c>
      <c r="AD5" s="1851">
        <v>44896</v>
      </c>
      <c r="AE5" s="1853">
        <v>44802</v>
      </c>
      <c r="AF5" s="499">
        <v>44927</v>
      </c>
      <c r="AG5" s="499">
        <v>44929</v>
      </c>
      <c r="AH5" s="499">
        <v>44931</v>
      </c>
      <c r="AI5" s="499">
        <v>44938</v>
      </c>
      <c r="AJ5" s="499">
        <v>44943</v>
      </c>
      <c r="AK5" s="499">
        <v>44953</v>
      </c>
      <c r="AL5" s="499">
        <v>44956</v>
      </c>
      <c r="AM5" s="499">
        <v>44957</v>
      </c>
      <c r="AN5" s="499">
        <v>44958</v>
      </c>
      <c r="AO5" s="499">
        <v>44981</v>
      </c>
      <c r="AP5" s="499">
        <v>44984</v>
      </c>
      <c r="AQ5" s="499">
        <v>44985</v>
      </c>
      <c r="AR5" s="499">
        <v>44986</v>
      </c>
      <c r="AS5" s="499">
        <v>44987</v>
      </c>
      <c r="AT5" s="499">
        <v>44991</v>
      </c>
      <c r="AU5" s="499">
        <v>44993</v>
      </c>
      <c r="AV5" s="499">
        <v>45009</v>
      </c>
      <c r="AW5" s="499">
        <v>45014</v>
      </c>
      <c r="AX5" s="499">
        <v>45016</v>
      </c>
      <c r="AY5" s="499">
        <v>45017</v>
      </c>
      <c r="AZ5" s="499">
        <v>45019</v>
      </c>
      <c r="BA5" s="499">
        <v>45020</v>
      </c>
      <c r="BB5" s="499">
        <v>45042</v>
      </c>
      <c r="BC5" s="499">
        <v>45043</v>
      </c>
      <c r="BD5" s="499">
        <v>45046</v>
      </c>
      <c r="BE5" s="499"/>
      <c r="BF5" s="499"/>
      <c r="BG5" s="499"/>
      <c r="BH5" s="499"/>
      <c r="BI5" s="499"/>
      <c r="BJ5" s="499"/>
      <c r="BK5" s="499"/>
      <c r="BL5" s="499"/>
      <c r="BM5" s="499"/>
      <c r="BN5" s="499"/>
      <c r="BO5" s="499"/>
      <c r="BP5" s="499"/>
      <c r="BQ5" s="499"/>
      <c r="BR5" s="499"/>
      <c r="BS5" s="499"/>
      <c r="BT5" s="499"/>
      <c r="BU5" s="499"/>
      <c r="BV5" s="499"/>
      <c r="BW5" s="499"/>
      <c r="BX5" s="499"/>
      <c r="BY5" s="499"/>
      <c r="BZ5" s="499"/>
      <c r="CA5" s="499"/>
      <c r="CB5" s="499"/>
      <c r="CC5" s="499"/>
      <c r="CD5" s="499"/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499"/>
      <c r="CU5" s="499"/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499"/>
      <c r="DM5" s="499"/>
      <c r="DN5" s="499"/>
      <c r="DO5" s="499"/>
      <c r="DP5" s="499"/>
      <c r="DR5" t="s">
        <v>290</v>
      </c>
    </row>
    <row r="6" spans="1:122" s="27" customFormat="1" ht="21">
      <c r="A6" s="1167" t="s">
        <v>211</v>
      </c>
      <c r="B6" s="501"/>
      <c r="C6" s="2581" t="s">
        <v>57</v>
      </c>
      <c r="D6" s="2585" t="s">
        <v>59</v>
      </c>
      <c r="E6" s="2583" t="s">
        <v>212</v>
      </c>
      <c r="F6" s="2564" t="s">
        <v>1470</v>
      </c>
      <c r="G6" s="2565"/>
      <c r="H6" s="2565"/>
      <c r="I6" s="2566"/>
      <c r="J6" s="2567" t="s">
        <v>287</v>
      </c>
      <c r="K6" s="2568"/>
      <c r="L6" s="2569" t="s">
        <v>1416</v>
      </c>
      <c r="M6" s="2570"/>
      <c r="N6" s="2570"/>
      <c r="O6" s="2571"/>
      <c r="P6" s="2572" t="s">
        <v>1415</v>
      </c>
      <c r="Q6" s="2573"/>
      <c r="R6" s="2573"/>
      <c r="S6" s="2573"/>
      <c r="T6" s="2574"/>
      <c r="U6" s="2575" t="s">
        <v>62</v>
      </c>
      <c r="V6" s="2576"/>
      <c r="W6" s="2577" t="s">
        <v>63</v>
      </c>
      <c r="X6" s="2578"/>
      <c r="Y6" s="2579"/>
      <c r="Z6" s="14"/>
      <c r="AA6" s="2323">
        <f ca="1">IF(OR(AA$5="",AA$5&gt;TODAY()),0,VLOOKUP(AA$5,'TRM BanRep'!$A:$G,7,0))</f>
        <v>4760.6099999999997</v>
      </c>
      <c r="AB6" s="2325">
        <f ca="1">IF(OR(AB$5="",AB$5&gt;TODAY()),0,VLOOKUP(AB$5,'TRM BanRep'!$A:$G,7,0))</f>
        <v>4745.04</v>
      </c>
      <c r="AC6" s="1852">
        <f ca="1">IF(OR(AC$5="",AC$5&gt;TODAY()),0,VLOOKUP(AC$5,'TRM BanRep'!$A:$G,7,0))</f>
        <v>4898.74</v>
      </c>
      <c r="AD6" s="1852">
        <f ca="1">IF(OR(AD$5="",AD$5&gt;TODAY()),0,VLOOKUP(AD$5,'TRM BanRep'!$A:$G,7,0))</f>
        <v>4815.59</v>
      </c>
      <c r="AE6" s="1854">
        <f ca="1">IF(OR(AE$5="",AE$5&gt;TODAY()),0,VLOOKUP(AE$5,'TRM BanRep'!$A:$G,7,0))</f>
        <v>4388.0200000000004</v>
      </c>
      <c r="AF6" s="504">
        <f ca="1">IF(OR(AF$5="",AF$5&gt;TODAY()),0,VLOOKUP(AF$5,'TRM BanRep'!$A:$G,7,0))</f>
        <v>4810.2</v>
      </c>
      <c r="AG6" s="504">
        <f ca="1">IF(OR(AG$5="",AG$5&gt;TODAY()),0,VLOOKUP(AG$5,'TRM BanRep'!$A:$G,7,0))</f>
        <v>4810.2</v>
      </c>
      <c r="AH6" s="504">
        <f ca="1">IF(OR(AH$5="",AH$5&gt;TODAY()),0,VLOOKUP(AH$5,'TRM BanRep'!$A:$G,7,0))</f>
        <v>4924</v>
      </c>
      <c r="AI6" s="504">
        <f ca="1">IF(OR(AI$5="",AI$5&gt;TODAY()),0,VLOOKUP(AI$5,'TRM BanRep'!$A:$G,7,0))</f>
        <v>4748.54</v>
      </c>
      <c r="AJ6" s="504">
        <f ca="1">IF(OR(AJ$5="",AJ$5&gt;TODAY()),0,VLOOKUP(AJ$5,'TRM BanRep'!$A:$G,7,0))</f>
        <v>4693.99</v>
      </c>
      <c r="AK6" s="504">
        <f ca="1">IF(OR(AK$5="",AK$5&gt;TODAY()),0,VLOOKUP(AK$5,'TRM BanRep'!$A:$G,7,0))</f>
        <v>4531.75</v>
      </c>
      <c r="AL6" s="504">
        <f ca="1">IF(OR(AL$5="",AL$5&gt;TODAY()),0,VLOOKUP(AL$5,'TRM BanRep'!$A:$G,7,0))</f>
        <v>4548.5</v>
      </c>
      <c r="AM6" s="504">
        <f ca="1">IF(OR(AM$5="",AM$5&gt;TODAY()),0,VLOOKUP(AM$5,'TRM BanRep'!$A:$G,7,0))</f>
        <v>4632.2</v>
      </c>
      <c r="AN6" s="504">
        <f ca="1">IF(OR(AN$5="",AN$5&gt;TODAY()),0,VLOOKUP(AN$5,'TRM BanRep'!$A:$G,7,0))</f>
        <v>4648.7</v>
      </c>
      <c r="AO6" s="504">
        <f ca="1">IF(OR(AO$5="",AO$5&gt;TODAY()),0,VLOOKUP(AO$5,'TRM BanRep'!$A:$G,7,0))</f>
        <v>4853.8999999999996</v>
      </c>
      <c r="AP6" s="504">
        <f ca="1">IF(OR(AP$5="",AP$5&gt;TODAY()),0,VLOOKUP(AP$5,'TRM BanRep'!$A:$G,7,0))</f>
        <v>4849.6499999999996</v>
      </c>
      <c r="AQ6" s="504">
        <f ca="1">IF(OR(AQ$5="",AQ$5&gt;TODAY()),0,VLOOKUP(AQ$5,'TRM BanRep'!$A:$G,7,0))</f>
        <v>4808.1400000000003</v>
      </c>
      <c r="AR6" s="504">
        <f ca="1">IF(OR(AR$5="",AR$5&gt;TODAY()),0,VLOOKUP(AR$5,'TRM BanRep'!$A:$G,7,0))</f>
        <v>4814.1099999999997</v>
      </c>
      <c r="AS6" s="504">
        <f ca="1">IF(OR(AS$5="",AS$5&gt;TODAY()),0,VLOOKUP(AS$5,'TRM BanRep'!$A:$G,7,0))</f>
        <v>4848.78</v>
      </c>
      <c r="AT6" s="504">
        <f ca="1">IF(OR(AT$5="",AT$5&gt;TODAY()),0,VLOOKUP(AT$5,'TRM BanRep'!$A:$G,7,0))</f>
        <v>4780.8900000000003</v>
      </c>
      <c r="AU6" s="504">
        <f ca="1">IF(OR(AU$5="",AU$5&gt;TODAY()),0,VLOOKUP(AU$5,'TRM BanRep'!$A:$G,7,0))</f>
        <v>4744.95</v>
      </c>
      <c r="AV6" s="504">
        <f ca="1">IF(OR(AV$5="",AV$5&gt;TODAY()),0,VLOOKUP(AV$5,'TRM BanRep'!$A:$G,7,0))</f>
        <v>4755.12</v>
      </c>
      <c r="AW6" s="504">
        <f ca="1">IF(OR(AW$5="",AW$5&gt;TODAY()),0,VLOOKUP(AW$5,'TRM BanRep'!$A:$G,7,0))</f>
        <v>4658.79</v>
      </c>
      <c r="AX6" s="504">
        <f ca="1">IF(OR(AX$5="",AX$5&gt;TODAY()),0,VLOOKUP(AX$5,'TRM BanRep'!$A:$G,7,0))</f>
        <v>4627.2700000000004</v>
      </c>
      <c r="AY6" s="504">
        <f ca="1">IF(OR(AY$5="",AY$5&gt;TODAY()),0,VLOOKUP(AY$5,'TRM BanRep'!$A:$G,7,0))</f>
        <v>4646.08</v>
      </c>
      <c r="AZ6" s="504">
        <f ca="1">IF(OR(AZ$5="",AZ$5&gt;TODAY()),0,VLOOKUP(AZ$5,'TRM BanRep'!$A:$G,7,0))</f>
        <v>4646.08</v>
      </c>
      <c r="BA6" s="504">
        <f ca="1">IF(OR(BA$5="",BA$5&gt;TODAY()),0,VLOOKUP(BA$5,'TRM BanRep'!$A:$G,7,0))</f>
        <v>4603</v>
      </c>
      <c r="BB6" s="504">
        <f ca="1">IF(OR(BB$5="",BB$5&gt;TODAY()),0,VLOOKUP(BB$5,'TRM BanRep'!$A:$G,7,0))</f>
        <v>4486.6000000000004</v>
      </c>
      <c r="BC6" s="504">
        <f ca="1">IF(OR(BC$5="",BC$5&gt;TODAY()),0,VLOOKUP(BC$5,'TRM BanRep'!$A:$G,7,0))</f>
        <v>4552.59</v>
      </c>
      <c r="BD6" s="504">
        <f ca="1">IF(OR(BD$5="",BD$5&gt;TODAY()),0,VLOOKUP(BD$5,'TRM BanRep'!$A:$G,7,0))</f>
        <v>4669</v>
      </c>
      <c r="BE6" s="504">
        <f ca="1">IF(OR(BE$5="",BE$5&gt;TODAY()),0,VLOOKUP(BE$5,'TRM BanRep'!$A:$G,7,0))</f>
        <v>0</v>
      </c>
      <c r="BF6" s="504">
        <f ca="1">IF(OR(BF$5="",BF$5&gt;TODAY()),0,VLOOKUP(BF$5,'TRM BanRep'!$A:$G,7,0))</f>
        <v>0</v>
      </c>
      <c r="BG6" s="504">
        <f ca="1">IF(OR(BG$5="",BG$5&gt;TODAY()),0,VLOOKUP(BG$5,'TRM BanRep'!$A:$G,7,0))</f>
        <v>0</v>
      </c>
      <c r="BH6" s="504">
        <f ca="1">IF(OR(BH$5="",BH$5&gt;TODAY()),0,VLOOKUP(BH$5,'TRM BanRep'!$A:$G,7,0))</f>
        <v>0</v>
      </c>
      <c r="BI6" s="504">
        <f ca="1">IF(OR(BI$5="",BI$5&gt;TODAY()),0,VLOOKUP(BI$5,'TRM BanRep'!$A:$G,7,0))</f>
        <v>0</v>
      </c>
      <c r="BJ6" s="504">
        <f ca="1">IF(OR(BJ$5="",BJ$5&gt;TODAY()),0,VLOOKUP(BJ$5,'TRM BanRep'!$A:$G,7,0))</f>
        <v>0</v>
      </c>
      <c r="BK6" s="504">
        <f ca="1">IF(OR(BK$5="",BK$5&gt;TODAY()),0,VLOOKUP(BK$5,'TRM BanRep'!$A:$G,7,0))</f>
        <v>0</v>
      </c>
      <c r="BL6" s="504">
        <f ca="1">IF(OR(BL$5="",BL$5&gt;TODAY()),0,VLOOKUP(BL$5,'TRM BanRep'!$A:$G,7,0))</f>
        <v>0</v>
      </c>
      <c r="BM6" s="504">
        <f ca="1">IF(OR(BM$5="",BM$5&gt;TODAY()),0,VLOOKUP(BM$5,'TRM BanRep'!$A:$G,7,0))</f>
        <v>0</v>
      </c>
      <c r="BN6" s="504">
        <f ca="1">IF(OR(BN$5="",BN$5&gt;TODAY()),0,VLOOKUP(BN$5,'TRM BanRep'!$A:$G,7,0))</f>
        <v>0</v>
      </c>
      <c r="BO6" s="504">
        <f ca="1">IF(OR(BO$5="",BO$5&gt;TODAY()),0,VLOOKUP(BO$5,'TRM BanRep'!$A:$G,7,0))</f>
        <v>0</v>
      </c>
      <c r="BP6" s="504">
        <f ca="1">IF(OR(BP$5="",BP$5&gt;TODAY()),0,VLOOKUP(BP$5,'TRM BanRep'!$A:$G,7,0))</f>
        <v>0</v>
      </c>
      <c r="BQ6" s="504">
        <f ca="1">IF(OR(BQ$5="",BQ$5&gt;TODAY()),0,VLOOKUP(BQ$5,'TRM BanRep'!$A:$G,7,0))</f>
        <v>0</v>
      </c>
      <c r="BR6" s="504">
        <f ca="1">IF(OR(BR$5="",BR$5&gt;TODAY()),0,VLOOKUP(BR$5,'TRM BanRep'!$A:$G,7,0))</f>
        <v>0</v>
      </c>
      <c r="BS6" s="504">
        <f ca="1">IF(OR(BS$5="",BS$5&gt;TODAY()),0,VLOOKUP(BS$5,'TRM BanRep'!$A:$G,7,0))</f>
        <v>0</v>
      </c>
      <c r="BT6" s="504">
        <f ca="1">IF(OR(BT$5="",BT$5&gt;TODAY()),0,VLOOKUP(BT$5,'TRM BanRep'!$A:$G,7,0))</f>
        <v>0</v>
      </c>
      <c r="BU6" s="504">
        <f ca="1">IF(OR(BU$5="",BU$5&gt;TODAY()),0,VLOOKUP(BU$5,'TRM BanRep'!$A:$G,7,0))</f>
        <v>0</v>
      </c>
      <c r="BV6" s="504">
        <f ca="1">IF(OR(BV$5="",BV$5&gt;TODAY()),0,VLOOKUP(BV$5,'TRM BanRep'!$A:$G,7,0))</f>
        <v>0</v>
      </c>
      <c r="BW6" s="504">
        <f ca="1">IF(OR(BW$5="",BW$5&gt;TODAY()),0,VLOOKUP(BW$5,'TRM BanRep'!$A:$G,7,0))</f>
        <v>0</v>
      </c>
      <c r="BX6" s="504">
        <f ca="1">IF(OR(BX$5="",BX$5&gt;TODAY()),0,VLOOKUP(BX$5,'TRM BanRep'!$A:$G,7,0))</f>
        <v>0</v>
      </c>
      <c r="BY6" s="504">
        <f ca="1">IF(OR(BY$5="",BY$5&gt;TODAY()),0,VLOOKUP(BY$5,'TRM BanRep'!$A:$G,7,0))</f>
        <v>0</v>
      </c>
      <c r="BZ6" s="504">
        <f ca="1">IF(OR(BZ$5="",BZ$5&gt;TODAY()),0,VLOOKUP(BZ$5,'TRM BanRep'!$A:$G,7,0))</f>
        <v>0</v>
      </c>
      <c r="CA6" s="504">
        <f ca="1">IF(OR(CA$5="",CA$5&gt;TODAY()),0,VLOOKUP(CA$5,'TRM BanRep'!$A:$G,7,0))</f>
        <v>0</v>
      </c>
      <c r="CB6" s="504">
        <f ca="1">IF(OR(CB$5="",CB$5&gt;TODAY()),0,VLOOKUP(CB$5,'TRM BanRep'!$A:$G,7,0))</f>
        <v>0</v>
      </c>
      <c r="CC6" s="504">
        <f ca="1">IF(OR(CC$5="",CC$5&gt;TODAY()),0,VLOOKUP(CC$5,'TRM BanRep'!$A:$G,7,0))</f>
        <v>0</v>
      </c>
      <c r="CD6" s="504">
        <f ca="1">IF(OR(CD$5="",CD$5&gt;TODAY()),0,VLOOKUP(CD$5,'TRM BanRep'!$A:$G,7,0))</f>
        <v>0</v>
      </c>
      <c r="CE6" s="504">
        <f ca="1">IF(OR(CE$5="",CE$5&gt;TODAY()),0,VLOOKUP(CE$5,'TRM BanRep'!$A:$G,7,0))</f>
        <v>0</v>
      </c>
      <c r="CF6" s="504">
        <f ca="1">IF(OR(CF$5="",CF$5&gt;TODAY()),0,VLOOKUP(CF$5,'TRM BanRep'!$A:$G,7,0))</f>
        <v>0</v>
      </c>
      <c r="CG6" s="504">
        <f ca="1">IF(OR(CG$5="",CG$5&gt;TODAY()),0,VLOOKUP(CG$5,'TRM BanRep'!$A:$G,7,0))</f>
        <v>0</v>
      </c>
      <c r="CH6" s="504">
        <f ca="1">IF(OR(CH$5="",CH$5&gt;TODAY()),0,VLOOKUP(CH$5,'TRM BanRep'!$A:$G,7,0))</f>
        <v>0</v>
      </c>
      <c r="CI6" s="504">
        <f ca="1">IF(OR(CI$5="",CI$5&gt;TODAY()),0,VLOOKUP(CI$5,'TRM BanRep'!$A:$G,7,0))</f>
        <v>0</v>
      </c>
      <c r="CJ6" s="504">
        <f ca="1">IF(OR(CJ$5="",CJ$5&gt;TODAY()),0,VLOOKUP(CJ$5,'TRM BanRep'!$A:$G,7,0))</f>
        <v>0</v>
      </c>
      <c r="CK6" s="504">
        <f ca="1">IF(OR(CK$5="",CK$5&gt;TODAY()),0,VLOOKUP(CK$5,'TRM BanRep'!$A:$G,7,0))</f>
        <v>0</v>
      </c>
      <c r="CL6" s="504">
        <f ca="1">IF(OR(CL$5="",CL$5&gt;TODAY()),0,VLOOKUP(CL$5,'TRM BanRep'!$A:$G,7,0))</f>
        <v>0</v>
      </c>
      <c r="CM6" s="504">
        <f ca="1">IF(OR(CM$5="",CM$5&gt;TODAY()),0,VLOOKUP(CM$5,'TRM BanRep'!$A:$G,7,0))</f>
        <v>0</v>
      </c>
      <c r="CN6" s="504">
        <f ca="1">IF(OR(CN$5="",CN$5&gt;TODAY()),0,VLOOKUP(CN$5,'TRM BanRep'!$A:$G,7,0))</f>
        <v>0</v>
      </c>
      <c r="CO6" s="504">
        <f ca="1">IF(OR(CO$5="",CO$5&gt;TODAY()),0,VLOOKUP(CO$5,'TRM BanRep'!$A:$G,7,0))</f>
        <v>0</v>
      </c>
      <c r="CP6" s="504">
        <f ca="1">IF(OR(CP$5="",CP$5&gt;TODAY()),0,VLOOKUP(CP$5,'TRM BanRep'!$A:$G,7,0))</f>
        <v>0</v>
      </c>
      <c r="CQ6" s="504">
        <f ca="1">IF(OR(CQ$5="",CQ$5&gt;TODAY()),0,VLOOKUP(CQ$5,'TRM BanRep'!$A:$G,7,0))</f>
        <v>0</v>
      </c>
      <c r="CR6" s="504">
        <f ca="1">IF(OR(CR$5="",CR$5&gt;TODAY()),0,VLOOKUP(CR$5,'TRM BanRep'!$A:$G,7,0))</f>
        <v>0</v>
      </c>
      <c r="CS6" s="504">
        <f ca="1">IF(OR(CS$5="",CS$5&gt;TODAY()),0,VLOOKUP(CS$5,'TRM BanRep'!$A:$G,7,0))</f>
        <v>0</v>
      </c>
      <c r="CT6" s="504">
        <f ca="1">IF(OR(CT$5="",CT$5&gt;TODAY()),0,VLOOKUP(CT$5,'TRM BanRep'!$A:$G,7,0))</f>
        <v>0</v>
      </c>
      <c r="CU6" s="504">
        <f ca="1">IF(OR(CU$5="",CU$5&gt;TODAY()),0,VLOOKUP(CU$5,'TRM BanRep'!$A:$G,7,0))</f>
        <v>0</v>
      </c>
      <c r="CV6" s="504">
        <f ca="1">IF(OR(CV$5="",CV$5&gt;TODAY()),0,VLOOKUP(CV$5,'TRM BanRep'!$A:$G,7,0))</f>
        <v>0</v>
      </c>
      <c r="CW6" s="504">
        <f ca="1">IF(OR(CW$5="",CW$5&gt;TODAY()),0,VLOOKUP(CW$5,'TRM BanRep'!$A:$G,7,0))</f>
        <v>0</v>
      </c>
      <c r="CX6" s="504">
        <f ca="1">IF(OR(CX$5="",CX$5&gt;TODAY()),0,VLOOKUP(CX$5,'TRM BanRep'!$A:$G,7,0))</f>
        <v>0</v>
      </c>
      <c r="CY6" s="504">
        <f ca="1">IF(OR(CY$5="",CY$5&gt;TODAY()),0,VLOOKUP(CY$5,'TRM BanRep'!$A:$G,7,0))</f>
        <v>0</v>
      </c>
      <c r="CZ6" s="504">
        <f ca="1">IF(OR(CZ$5="",CZ$5&gt;TODAY()),0,VLOOKUP(CZ$5,'TRM BanRep'!$A:$G,7,0))</f>
        <v>0</v>
      </c>
      <c r="DA6" s="504">
        <f ca="1">IF(OR(DA$5="",DA$5&gt;TODAY()),0,VLOOKUP(DA$5,'TRM BanRep'!$A:$G,7,0))</f>
        <v>0</v>
      </c>
      <c r="DB6" s="504">
        <f ca="1">IF(OR(DB$5="",DB$5&gt;TODAY()),0,VLOOKUP(DB$5,'TRM BanRep'!$A:$G,7,0))</f>
        <v>0</v>
      </c>
      <c r="DC6" s="504">
        <f ca="1">IF(OR(DC$5="",DC$5&gt;TODAY()),0,VLOOKUP(DC$5,'TRM BanRep'!$A:$G,7,0))</f>
        <v>0</v>
      </c>
      <c r="DD6" s="504">
        <f ca="1">IF(OR(DD$5="",DD$5&gt;TODAY()),0,VLOOKUP(DD$5,'TRM BanRep'!$A:$G,7,0))</f>
        <v>0</v>
      </c>
      <c r="DE6" s="504">
        <f ca="1">IF(OR(DE$5="",DE$5&gt;TODAY()),0,VLOOKUP(DE$5,'TRM BanRep'!$A:$G,7,0))</f>
        <v>0</v>
      </c>
      <c r="DF6" s="504">
        <f ca="1">IF(OR(DF$5="",DF$5&gt;TODAY()),0,VLOOKUP(DF$5,'TRM BanRep'!$A:$G,7,0))</f>
        <v>0</v>
      </c>
      <c r="DG6" s="504">
        <f ca="1">IF(OR(DG$5="",DG$5&gt;TODAY()),0,VLOOKUP(DG$5,'TRM BanRep'!$A:$G,7,0))</f>
        <v>0</v>
      </c>
      <c r="DH6" s="504">
        <f ca="1">IF(OR(DH$5="",DH$5&gt;TODAY()),0,VLOOKUP(DH$5,'TRM BanRep'!$A:$G,7,0))</f>
        <v>0</v>
      </c>
      <c r="DI6" s="504">
        <f ca="1">IF(OR(DI$5="",DI$5&gt;TODAY()),0,VLOOKUP(DI$5,'TRM BanRep'!$A:$G,7,0))</f>
        <v>0</v>
      </c>
      <c r="DJ6" s="504">
        <f ca="1">IF(OR(DJ$5="",DJ$5&gt;TODAY()),0,VLOOKUP(DJ$5,'TRM BanRep'!$A:$G,7,0))</f>
        <v>0</v>
      </c>
      <c r="DK6" s="504">
        <f ca="1">IF(OR(DK$5="",DK$5&gt;TODAY()),0,VLOOKUP(DK$5,'TRM BanRep'!$A:$G,7,0))</f>
        <v>0</v>
      </c>
      <c r="DL6" s="504">
        <f ca="1">IF(OR(DL$5="",DL$5&gt;TODAY()),0,VLOOKUP(DL$5,'TRM BanRep'!$A:$G,7,0))</f>
        <v>0</v>
      </c>
      <c r="DM6" s="504">
        <f ca="1">IF(OR(DM$5="",DM$5&gt;TODAY()),0,VLOOKUP(DM$5,'TRM BanRep'!$A:$G,7,0))</f>
        <v>0</v>
      </c>
      <c r="DN6" s="504">
        <f ca="1">IF(OR(DN$5="",DN$5&gt;TODAY()),0,VLOOKUP(DN$5,'TRM BanRep'!$A:$G,7,0))</f>
        <v>0</v>
      </c>
      <c r="DO6" s="504">
        <f ca="1">IF(OR(DO$5="",DO$5&gt;TODAY()),0,VLOOKUP(DO$5,'TRM BanRep'!$A:$G,7,0))</f>
        <v>0</v>
      </c>
      <c r="DP6" s="504">
        <f ca="1">IF(OR(DP$5="",DP$5&gt;TODAY()),0,VLOOKUP(DP$5,'TRM BanRep'!$A:$G,7,0))</f>
        <v>0</v>
      </c>
      <c r="DR6" t="s">
        <v>290</v>
      </c>
    </row>
    <row r="7" spans="1:122" s="1537" customFormat="1" ht="15.75" thickBot="1">
      <c r="A7" s="1514" t="s">
        <v>45</v>
      </c>
      <c r="B7" s="1515" t="s">
        <v>47</v>
      </c>
      <c r="C7" s="2582"/>
      <c r="D7" s="2586"/>
      <c r="E7" s="2584"/>
      <c r="F7" s="1516" t="s">
        <v>1351</v>
      </c>
      <c r="G7" s="1517" t="s">
        <v>64</v>
      </c>
      <c r="H7" s="1518" t="s">
        <v>65</v>
      </c>
      <c r="I7" s="1519" t="s">
        <v>66</v>
      </c>
      <c r="J7" s="1520" t="s">
        <v>285</v>
      </c>
      <c r="K7" s="1521" t="s">
        <v>286</v>
      </c>
      <c r="L7" s="1522" t="s">
        <v>1352</v>
      </c>
      <c r="M7" s="1523" t="s">
        <v>64</v>
      </c>
      <c r="N7" s="1524" t="s">
        <v>68</v>
      </c>
      <c r="O7" s="1525" t="s">
        <v>69</v>
      </c>
      <c r="P7" s="1526" t="s">
        <v>1353</v>
      </c>
      <c r="Q7" s="1521" t="s">
        <v>64</v>
      </c>
      <c r="R7" s="1527" t="s">
        <v>68</v>
      </c>
      <c r="S7" s="1527" t="s">
        <v>71</v>
      </c>
      <c r="T7" s="1528" t="s">
        <v>72</v>
      </c>
      <c r="U7" s="1529" t="s">
        <v>1354</v>
      </c>
      <c r="V7" s="1530" t="s">
        <v>74</v>
      </c>
      <c r="W7" s="1531" t="s">
        <v>75</v>
      </c>
      <c r="X7" s="1532" t="s">
        <v>76</v>
      </c>
      <c r="Y7" s="1533"/>
      <c r="Z7" s="1534"/>
      <c r="AA7" s="2324" t="s">
        <v>283</v>
      </c>
      <c r="AB7" s="2326" t="s">
        <v>283</v>
      </c>
      <c r="AC7" s="1960" t="s">
        <v>1468</v>
      </c>
      <c r="AD7" s="1960" t="s">
        <v>1468</v>
      </c>
      <c r="AE7" s="2330" t="s">
        <v>1469</v>
      </c>
      <c r="AF7" s="1535"/>
      <c r="AG7" s="1535"/>
      <c r="AH7" s="1535"/>
      <c r="AI7" s="1536"/>
      <c r="AJ7" s="1535"/>
      <c r="AK7" s="1535"/>
      <c r="AL7" s="1894"/>
      <c r="AM7" s="1535"/>
      <c r="AN7" s="1535"/>
      <c r="AO7" s="1894"/>
      <c r="AP7" s="1535"/>
      <c r="AQ7" s="1535"/>
      <c r="AR7" s="1535"/>
      <c r="AS7" s="1535"/>
      <c r="AT7" s="1535"/>
      <c r="AU7" s="1535"/>
      <c r="AV7" s="1535"/>
      <c r="AW7" s="1535"/>
      <c r="AX7" s="1535"/>
      <c r="AY7" s="1894"/>
      <c r="AZ7" s="1535"/>
      <c r="BA7" s="1535"/>
      <c r="BB7" s="1535"/>
      <c r="BC7" s="1894"/>
      <c r="BD7" s="1894"/>
      <c r="BE7" s="1535"/>
      <c r="BF7" s="1535"/>
      <c r="BG7" s="1535"/>
      <c r="BH7" s="1535"/>
      <c r="BI7" s="1894"/>
      <c r="BJ7" s="1535"/>
      <c r="BK7" s="1894"/>
      <c r="BL7" s="1535"/>
      <c r="BM7" s="1535"/>
      <c r="BN7" s="1535"/>
      <c r="BO7" s="1894"/>
      <c r="BP7" s="1535"/>
      <c r="BQ7" s="1536"/>
      <c r="BR7" s="1535"/>
      <c r="BS7" s="1894"/>
      <c r="BT7" s="1535"/>
      <c r="BU7" s="1535"/>
      <c r="BV7" s="1535"/>
      <c r="BW7" s="1535"/>
      <c r="BX7" s="1535"/>
      <c r="BY7" s="1535"/>
      <c r="BZ7" s="1535"/>
      <c r="CA7" s="1535"/>
      <c r="CB7" s="1894"/>
      <c r="CC7" s="1535"/>
      <c r="CD7" s="1535"/>
      <c r="CE7" s="1535"/>
      <c r="CF7" s="1536"/>
      <c r="CG7" s="1535"/>
      <c r="CH7" s="1535"/>
      <c r="CI7" s="1535"/>
      <c r="CJ7" s="1535"/>
      <c r="CK7" s="1894"/>
      <c r="CL7" s="1535"/>
      <c r="CM7" s="1535"/>
      <c r="CN7" s="1536"/>
      <c r="CO7" s="1535"/>
      <c r="CP7" s="1535"/>
      <c r="CQ7" s="1535"/>
      <c r="CR7" s="1535"/>
      <c r="CS7" s="1535"/>
      <c r="CT7" s="1535"/>
      <c r="CU7" s="1535"/>
      <c r="CV7" s="1535"/>
      <c r="CW7" s="1535"/>
      <c r="CX7" s="1894"/>
      <c r="CY7" s="1535"/>
      <c r="CZ7" s="1535"/>
      <c r="DA7" s="1535"/>
      <c r="DB7" s="1536"/>
      <c r="DC7" s="1535"/>
      <c r="DD7" s="1535"/>
      <c r="DE7" s="1535"/>
      <c r="DF7" s="1535"/>
      <c r="DG7" s="1535"/>
      <c r="DH7" s="1535"/>
      <c r="DI7" s="1535"/>
      <c r="DJ7" s="1535"/>
      <c r="DK7" s="1535"/>
      <c r="DL7" s="1535"/>
      <c r="DM7" s="1535"/>
      <c r="DN7" s="1535"/>
      <c r="DO7" s="1535"/>
      <c r="DP7" s="1535"/>
      <c r="DR7" t="s">
        <v>290</v>
      </c>
    </row>
    <row r="8" spans="1:122" ht="16.5" thickBot="1">
      <c r="A8" s="961">
        <v>1110052010</v>
      </c>
      <c r="B8" s="962" t="s">
        <v>77</v>
      </c>
      <c r="C8" s="1465" t="s">
        <v>64</v>
      </c>
      <c r="D8" s="1467"/>
      <c r="E8" s="1468">
        <v>44918</v>
      </c>
      <c r="F8" s="964">
        <v>15106739.329999998</v>
      </c>
      <c r="G8" s="1250">
        <f>+F8*J8</f>
        <v>15106739.329999998</v>
      </c>
      <c r="H8" s="1242">
        <v>4760.6099999999997</v>
      </c>
      <c r="I8" s="965">
        <f>+F8*J8*H8</f>
        <v>71917294321.79129</v>
      </c>
      <c r="J8" s="1378">
        <v>1</v>
      </c>
      <c r="K8" s="1379">
        <v>1</v>
      </c>
      <c r="L8" s="49"/>
      <c r="M8" s="1244">
        <f>+L8*J8</f>
        <v>0</v>
      </c>
      <c r="N8" s="47"/>
      <c r="O8" s="50">
        <f>+L8*J8*N8</f>
        <v>0</v>
      </c>
      <c r="P8" s="51"/>
      <c r="Q8" s="1250">
        <f>+P8*K8</f>
        <v>0</v>
      </c>
      <c r="R8" s="47"/>
      <c r="S8" s="47"/>
      <c r="T8" s="48">
        <f>+P8*K8*S8</f>
        <v>0</v>
      </c>
      <c r="U8" s="964">
        <f>+L8+P8+F8</f>
        <v>15106739.329999998</v>
      </c>
      <c r="V8" s="965">
        <f>+P8*J8*R8+L8*J8*N8+F8*J8*H8</f>
        <v>71917294321.79129</v>
      </c>
      <c r="W8" s="52">
        <f>IF((-P8*J8*R8)-(-P8*K8*S8)&gt;0,(-P8*J8*R8)-(-P8*K8*S8),0)</f>
        <v>0</v>
      </c>
      <c r="X8" s="966">
        <f>IF((-P8*J8*R8)-(-P8*K8*S8)&lt;0,(-P8*J8*R8)-(-P8*K8*S8),0)</f>
        <v>0</v>
      </c>
      <c r="Y8" s="967"/>
      <c r="Z8" s="1054"/>
      <c r="AA8" s="2305">
        <f>+G8</f>
        <v>15106739.329999998</v>
      </c>
      <c r="AB8" s="2306"/>
      <c r="AC8" s="2306"/>
      <c r="AD8" s="2306"/>
      <c r="AE8" s="2306"/>
      <c r="AF8" s="2307"/>
      <c r="AG8" s="2307"/>
      <c r="AH8" s="2307"/>
      <c r="AI8" s="2307"/>
      <c r="AJ8" s="2307"/>
      <c r="AK8" s="2307"/>
      <c r="AL8" s="2308"/>
      <c r="AM8" s="2307"/>
      <c r="AN8" s="2307"/>
      <c r="AO8" s="2307"/>
      <c r="AP8" s="2307"/>
      <c r="AQ8" s="2307"/>
      <c r="AR8" s="2307"/>
      <c r="AS8" s="2307"/>
      <c r="AT8" s="2307"/>
      <c r="AU8" s="2307"/>
      <c r="AV8" s="2307"/>
      <c r="AW8" s="2307"/>
      <c r="AX8" s="2307"/>
      <c r="AY8" s="2307"/>
      <c r="AZ8" s="2307"/>
      <c r="BA8" s="2307"/>
      <c r="BB8" s="2307"/>
      <c r="BC8" s="2307"/>
      <c r="BD8" s="2307"/>
      <c r="BE8" s="2307"/>
      <c r="BF8" s="2307"/>
      <c r="BG8" s="2307"/>
      <c r="BH8" s="2307"/>
      <c r="BI8" s="2307"/>
      <c r="BJ8" s="2307"/>
      <c r="BK8" s="2307"/>
      <c r="BL8" s="2307"/>
      <c r="BM8" s="2307"/>
      <c r="BN8" s="2307"/>
      <c r="BO8" s="2307"/>
      <c r="BP8" s="2307"/>
      <c r="BQ8" s="2307"/>
      <c r="BR8" s="2307"/>
      <c r="BS8" s="2307"/>
      <c r="BT8" s="2307"/>
      <c r="BU8" s="2307"/>
      <c r="BV8" s="2307"/>
      <c r="BW8" s="2307"/>
      <c r="BX8" s="2307"/>
      <c r="BY8" s="2307"/>
      <c r="BZ8" s="2307"/>
      <c r="CA8" s="2307"/>
      <c r="CB8" s="2307"/>
      <c r="CC8" s="2307"/>
      <c r="CD8" s="2307"/>
      <c r="CE8" s="2307"/>
      <c r="CF8" s="2307"/>
      <c r="CG8" s="2307"/>
      <c r="CH8" s="2307"/>
      <c r="CI8" s="2307"/>
      <c r="CJ8" s="2307"/>
      <c r="CK8" s="2307"/>
      <c r="CL8" s="2307"/>
      <c r="CM8" s="2307"/>
      <c r="CN8" s="2307"/>
      <c r="CO8" s="2307"/>
      <c r="CP8" s="2307"/>
      <c r="CQ8" s="2307"/>
      <c r="CR8" s="2307"/>
      <c r="CS8" s="2307"/>
      <c r="CT8" s="2307"/>
      <c r="CU8" s="2307"/>
      <c r="CV8" s="2307"/>
      <c r="CW8" s="2307"/>
      <c r="CX8" s="2307"/>
      <c r="CY8" s="2307"/>
      <c r="CZ8" s="2307"/>
      <c r="DA8" s="2307"/>
      <c r="DB8" s="2307"/>
      <c r="DC8" s="2307"/>
      <c r="DD8" s="2307"/>
      <c r="DE8" s="2307"/>
      <c r="DF8" s="2307"/>
      <c r="DG8" s="2307"/>
      <c r="DH8" s="2307"/>
      <c r="DI8" s="2307"/>
      <c r="DJ8" s="2307"/>
      <c r="DK8" s="2307"/>
      <c r="DL8" s="2307"/>
      <c r="DM8" s="2307"/>
      <c r="DN8" s="2307"/>
      <c r="DO8" s="2307"/>
      <c r="DP8" s="2307"/>
      <c r="DR8" t="s">
        <v>290</v>
      </c>
    </row>
    <row r="9" spans="1:122" ht="15.75">
      <c r="A9" s="961">
        <v>1110052010</v>
      </c>
      <c r="B9" s="962" t="s">
        <v>77</v>
      </c>
      <c r="C9" s="1465" t="s">
        <v>64</v>
      </c>
      <c r="D9" s="1467"/>
      <c r="E9" s="1468">
        <v>44922</v>
      </c>
      <c r="F9" s="964">
        <v>7422.84</v>
      </c>
      <c r="G9" s="1250">
        <f>+F9*J9</f>
        <v>7422.84</v>
      </c>
      <c r="H9" s="1242">
        <v>4745.04</v>
      </c>
      <c r="I9" s="965">
        <f>+F9*J9*H9</f>
        <v>35221672.713600002</v>
      </c>
      <c r="J9" s="1378">
        <v>1</v>
      </c>
      <c r="K9" s="1379">
        <v>1</v>
      </c>
      <c r="L9" s="49"/>
      <c r="M9" s="1244">
        <f>+L9*J9</f>
        <v>0</v>
      </c>
      <c r="N9" s="47"/>
      <c r="O9" s="50">
        <f>+L9*J9*N9</f>
        <v>0</v>
      </c>
      <c r="P9" s="51"/>
      <c r="Q9" s="1250">
        <f>+P9*K9</f>
        <v>0</v>
      </c>
      <c r="R9" s="47"/>
      <c r="S9" s="47"/>
      <c r="T9" s="48">
        <f>+P9*K9*S9</f>
        <v>0</v>
      </c>
      <c r="U9" s="964">
        <f>+L9+P9+F9</f>
        <v>7422.84</v>
      </c>
      <c r="V9" s="965">
        <f>+P9*J9*R9+L9*J9*N9+F9*J9*H9</f>
        <v>35221672.713600002</v>
      </c>
      <c r="W9" s="52">
        <f>IF((-P9*J9*R9)-(-P9*K9*S9)&gt;0,(-P9*J9*R9)-(-P9*K9*S9),0)</f>
        <v>0</v>
      </c>
      <c r="X9" s="966">
        <f>IF((-P9*J9*R9)-(-P9*K9*S9)&lt;0,(-P9*J9*R9)-(-P9*K9*S9),0)</f>
        <v>0</v>
      </c>
      <c r="Y9" s="967"/>
      <c r="Z9" s="1054"/>
      <c r="AA9" s="2305"/>
      <c r="AB9" s="2306">
        <f>+G9</f>
        <v>7422.84</v>
      </c>
      <c r="AC9" s="2306"/>
      <c r="AD9" s="2306"/>
      <c r="AE9" s="2306"/>
      <c r="AF9" s="2307"/>
      <c r="AG9" s="2307"/>
      <c r="AH9" s="2307"/>
      <c r="AI9" s="2307"/>
      <c r="AJ9" s="2307"/>
      <c r="AK9" s="2307"/>
      <c r="AL9" s="2308"/>
      <c r="AM9" s="2307"/>
      <c r="AN9" s="2307"/>
      <c r="AO9" s="2307"/>
      <c r="AP9" s="2307"/>
      <c r="AQ9" s="2307"/>
      <c r="AR9" s="2307"/>
      <c r="AS9" s="2307"/>
      <c r="AT9" s="2307"/>
      <c r="AU9" s="2307"/>
      <c r="AV9" s="2307"/>
      <c r="AW9" s="2307"/>
      <c r="AX9" s="2307"/>
      <c r="AY9" s="2307"/>
      <c r="AZ9" s="2307"/>
      <c r="BA9" s="2307"/>
      <c r="BB9" s="2307"/>
      <c r="BC9" s="2307"/>
      <c r="BD9" s="2307"/>
      <c r="BE9" s="2307"/>
      <c r="BF9" s="2307"/>
      <c r="BG9" s="2307"/>
      <c r="BH9" s="2307"/>
      <c r="BI9" s="2307"/>
      <c r="BJ9" s="2307"/>
      <c r="BK9" s="2307"/>
      <c r="BL9" s="2307"/>
      <c r="BM9" s="2307"/>
      <c r="BN9" s="2307"/>
      <c r="BO9" s="2307"/>
      <c r="BP9" s="2307"/>
      <c r="BQ9" s="2307"/>
      <c r="BR9" s="2307"/>
      <c r="BS9" s="2307"/>
      <c r="BT9" s="2307"/>
      <c r="BU9" s="2307"/>
      <c r="BV9" s="2307"/>
      <c r="BW9" s="2307"/>
      <c r="BX9" s="2307"/>
      <c r="BY9" s="2307"/>
      <c r="BZ9" s="2307"/>
      <c r="CA9" s="2307"/>
      <c r="CB9" s="2307"/>
      <c r="CC9" s="2307"/>
      <c r="CD9" s="2307"/>
      <c r="CE9" s="2307"/>
      <c r="CF9" s="2307"/>
      <c r="CG9" s="2307"/>
      <c r="CH9" s="2307"/>
      <c r="CI9" s="2307"/>
      <c r="CJ9" s="2307"/>
      <c r="CK9" s="2307"/>
      <c r="CL9" s="2307"/>
      <c r="CM9" s="2307"/>
      <c r="CN9" s="2307"/>
      <c r="CO9" s="2307"/>
      <c r="CP9" s="2307"/>
      <c r="CQ9" s="2307"/>
      <c r="CR9" s="2307"/>
      <c r="CS9" s="2307"/>
      <c r="CT9" s="2307"/>
      <c r="CU9" s="2307"/>
      <c r="CV9" s="2307"/>
      <c r="CW9" s="2307"/>
      <c r="CX9" s="2307"/>
      <c r="CY9" s="2307"/>
      <c r="CZ9" s="2307"/>
      <c r="DA9" s="2307"/>
      <c r="DB9" s="2307"/>
      <c r="DC9" s="2307"/>
      <c r="DD9" s="2307"/>
      <c r="DE9" s="2307"/>
      <c r="DF9" s="2307"/>
      <c r="DG9" s="2307"/>
      <c r="DH9" s="2307"/>
      <c r="DI9" s="2307"/>
      <c r="DJ9" s="2307"/>
      <c r="DK9" s="2307"/>
      <c r="DL9" s="2307"/>
      <c r="DM9" s="2307"/>
      <c r="DN9" s="2307"/>
      <c r="DO9" s="2307"/>
      <c r="DP9" s="2307"/>
      <c r="DR9" t="s">
        <v>290</v>
      </c>
    </row>
    <row r="10" spans="1:122" outlineLevel="1">
      <c r="A10" s="55"/>
      <c r="B10" s="509"/>
      <c r="C10" s="679"/>
      <c r="D10" s="1469"/>
      <c r="E10" s="1470"/>
      <c r="F10" s="416"/>
      <c r="G10" s="1251"/>
      <c r="H10" s="511"/>
      <c r="I10" s="1374"/>
      <c r="J10" s="1424"/>
      <c r="K10" s="1190"/>
      <c r="L10" s="417"/>
      <c r="M10" s="1336"/>
      <c r="N10" s="504"/>
      <c r="O10" s="513">
        <f t="shared" ref="O10:O15" si="0">+L10*J10*N10</f>
        <v>0</v>
      </c>
      <c r="P10" s="514"/>
      <c r="Q10" s="514">
        <f t="shared" ref="Q10:Q15" si="1">+P10*K10</f>
        <v>0</v>
      </c>
      <c r="R10" s="515"/>
      <c r="S10" s="515"/>
      <c r="T10" s="516">
        <f t="shared" ref="T10:T37" si="2">+P10*K10*S10</f>
        <v>0</v>
      </c>
      <c r="U10" s="418">
        <f t="shared" ref="U10" si="3">+L10+P10+F10</f>
        <v>0</v>
      </c>
      <c r="V10" s="517">
        <f>+P10*J10*R10+L10*J10*N10+F10*J10*H10</f>
        <v>0</v>
      </c>
      <c r="W10" s="518">
        <f t="shared" ref="W10:W12" si="4">IF((-P10*J10*R10)-(-P10*K10*S10)&gt;0,(-P10*J10*R10)-(-P10*K10*S10),0)</f>
        <v>0</v>
      </c>
      <c r="X10" s="975">
        <f t="shared" ref="X10:X11" si="5">IF((-P10*J10*R10)-(-P10*K10*S10)&lt;0,(-P10*J10*R10)-(-P10*K10*S10),0)</f>
        <v>0</v>
      </c>
      <c r="Y10" s="519"/>
      <c r="AA10" s="2309"/>
      <c r="AB10" s="2310"/>
      <c r="AC10" s="2310"/>
      <c r="AD10" s="2310"/>
      <c r="AE10" s="2310"/>
      <c r="AF10" s="2307"/>
      <c r="AG10" s="2307"/>
      <c r="AH10" s="2307"/>
      <c r="AI10" s="2307"/>
      <c r="AJ10" s="2307"/>
      <c r="AK10" s="2307"/>
      <c r="AL10" s="2308"/>
      <c r="AM10" s="2307"/>
      <c r="AN10" s="2307"/>
      <c r="AO10" s="2307"/>
      <c r="AP10" s="2307"/>
      <c r="AQ10" s="2307"/>
      <c r="AR10" s="2307"/>
      <c r="AS10" s="2307"/>
      <c r="AT10" s="2307"/>
      <c r="AU10" s="2307"/>
      <c r="AV10" s="2307"/>
      <c r="AW10" s="2307"/>
      <c r="AX10" s="2307"/>
      <c r="AY10" s="2307"/>
      <c r="AZ10" s="2307"/>
      <c r="BA10" s="2307"/>
      <c r="BB10" s="2307"/>
      <c r="BC10" s="2307"/>
      <c r="BD10" s="2307"/>
      <c r="BE10" s="2307"/>
      <c r="BF10" s="2307"/>
      <c r="BG10" s="2307"/>
      <c r="BH10" s="2307"/>
      <c r="BI10" s="2307"/>
      <c r="BJ10" s="2307"/>
      <c r="BK10" s="2307"/>
      <c r="BL10" s="2307"/>
      <c r="BM10" s="2307"/>
      <c r="BN10" s="2307"/>
      <c r="BO10" s="2307"/>
      <c r="BP10" s="2307"/>
      <c r="BQ10" s="2307"/>
      <c r="BR10" s="2307"/>
      <c r="BS10" s="2307"/>
      <c r="BT10" s="2307"/>
      <c r="BU10" s="2307"/>
      <c r="BV10" s="2307"/>
      <c r="BW10" s="2307"/>
      <c r="BX10" s="2307"/>
      <c r="BY10" s="2307"/>
      <c r="BZ10" s="2307"/>
      <c r="CA10" s="2307"/>
      <c r="CB10" s="2307"/>
      <c r="CC10" s="2307"/>
      <c r="CD10" s="2307"/>
      <c r="CE10" s="2307"/>
      <c r="CF10" s="2307"/>
      <c r="CG10" s="2307"/>
      <c r="CH10" s="2307"/>
      <c r="CI10" s="2307"/>
      <c r="CJ10" s="2307"/>
      <c r="CK10" s="2307"/>
      <c r="CL10" s="2307"/>
      <c r="CM10" s="2307"/>
      <c r="CN10" s="2307"/>
      <c r="CO10" s="2307"/>
      <c r="CP10" s="2307"/>
      <c r="CQ10" s="2307"/>
      <c r="CR10" s="2307"/>
      <c r="CS10" s="2307"/>
      <c r="CT10" s="2307"/>
      <c r="CU10" s="2307"/>
      <c r="CV10" s="2307"/>
      <c r="CW10" s="2307"/>
      <c r="CX10" s="2307"/>
      <c r="CY10" s="2307"/>
      <c r="CZ10" s="2307"/>
      <c r="DA10" s="2307"/>
      <c r="DB10" s="2307"/>
      <c r="DC10" s="2307"/>
      <c r="DD10" s="2307"/>
      <c r="DE10" s="2307"/>
      <c r="DF10" s="2307"/>
      <c r="DG10" s="2307"/>
      <c r="DH10" s="2307"/>
      <c r="DI10" s="2307"/>
      <c r="DJ10" s="2307"/>
      <c r="DK10" s="2307"/>
      <c r="DL10" s="2307"/>
      <c r="DM10" s="2307"/>
      <c r="DN10" s="2307"/>
      <c r="DO10" s="2307"/>
      <c r="DP10" s="2307"/>
      <c r="DR10" t="s">
        <v>290</v>
      </c>
    </row>
    <row r="11" spans="1:122" outlineLevel="1">
      <c r="A11" s="81">
        <v>1110052010</v>
      </c>
      <c r="B11" s="551" t="s">
        <v>2204</v>
      </c>
      <c r="C11" s="679" t="s">
        <v>64</v>
      </c>
      <c r="D11" s="1469">
        <v>100001201</v>
      </c>
      <c r="E11" s="1470">
        <v>44929</v>
      </c>
      <c r="F11" s="416"/>
      <c r="G11" s="1251"/>
      <c r="H11" s="511"/>
      <c r="I11" s="1374"/>
      <c r="J11" s="1425">
        <v>1</v>
      </c>
      <c r="K11" s="1426">
        <v>1</v>
      </c>
      <c r="L11" s="419">
        <v>79310.679999999993</v>
      </c>
      <c r="M11" s="1337">
        <f t="shared" ref="M11:M15" si="6">+L11*J11</f>
        <v>79310.679999999993</v>
      </c>
      <c r="N11" s="504">
        <f ca="1">IF(OR(E11="",E11&gt;TODAY()),0,IF(ISERROR(VLOOKUP($E11,'TRM BanRep'!$A:$G,7,0)),0,VLOOKUP($E11,'TRM BanRep'!$A:$G,7,0)))</f>
        <v>4810.2</v>
      </c>
      <c r="O11" s="513">
        <f t="shared" ca="1" si="0"/>
        <v>381500232.93599993</v>
      </c>
      <c r="P11" s="514"/>
      <c r="Q11" s="514">
        <f t="shared" si="1"/>
        <v>0</v>
      </c>
      <c r="R11" s="515"/>
      <c r="S11" s="515">
        <f ca="1">IF(OR(E11="",E11&gt;TODAY()),0,IF(ISERROR(VLOOKUP($E11,'TRM BanRep'!$A:$G,7,0)),0,VLOOKUP($E11,'TRM BanRep'!$A:$G,7,0)))</f>
        <v>4810.2</v>
      </c>
      <c r="T11" s="516">
        <f t="shared" ca="1" si="2"/>
        <v>0</v>
      </c>
      <c r="U11" s="418">
        <f t="shared" ref="U11:U38" si="7">+L11+P11+F11</f>
        <v>79310.679999999993</v>
      </c>
      <c r="V11" s="517">
        <f t="shared" ref="V11:V38" ca="1" si="8">+P11*J11*R11+L11*J11*N11+F11*J11*H11</f>
        <v>381500232.93599993</v>
      </c>
      <c r="W11" s="518">
        <f t="shared" ca="1" si="4"/>
        <v>0</v>
      </c>
      <c r="X11" s="975">
        <f t="shared" ca="1" si="5"/>
        <v>0</v>
      </c>
      <c r="Y11" s="519"/>
      <c r="Z11" s="1055"/>
      <c r="AA11" s="2309">
        <f t="shared" ref="AA11:CL13" si="9">IF($L11="",IF(OR($P11="",$R11=""),0,IF($R11=AA$6,$Q11,0)),IF($E11=AA$5,$M11,))</f>
        <v>0</v>
      </c>
      <c r="AB11" s="2310">
        <f t="shared" si="9"/>
        <v>0</v>
      </c>
      <c r="AC11" s="2310">
        <f t="shared" si="9"/>
        <v>0</v>
      </c>
      <c r="AD11" s="2310">
        <f t="shared" si="9"/>
        <v>0</v>
      </c>
      <c r="AE11" s="2310">
        <f t="shared" si="9"/>
        <v>0</v>
      </c>
      <c r="AF11" s="2307">
        <f t="shared" si="9"/>
        <v>0</v>
      </c>
      <c r="AG11" s="2307">
        <f t="shared" si="9"/>
        <v>79310.679999999993</v>
      </c>
      <c r="AH11" s="2307">
        <f t="shared" si="9"/>
        <v>0</v>
      </c>
      <c r="AI11" s="2307">
        <f t="shared" si="9"/>
        <v>0</v>
      </c>
      <c r="AJ11" s="2307">
        <f t="shared" ref="AJ11:AJ27" si="10">IF($L11="",IF(OR($P11="",$R11=""),0,IF($R11=AJ$6,$Q11,0)),IF($E11=AJ$5,$M11,))</f>
        <v>0</v>
      </c>
      <c r="AK11" s="2307">
        <f t="shared" si="9"/>
        <v>0</v>
      </c>
      <c r="AL11" s="2308">
        <f t="shared" si="9"/>
        <v>0</v>
      </c>
      <c r="AM11" s="2307">
        <f t="shared" si="9"/>
        <v>0</v>
      </c>
      <c r="AN11" s="2307">
        <f t="shared" si="9"/>
        <v>0</v>
      </c>
      <c r="AO11" s="2307">
        <f t="shared" si="9"/>
        <v>0</v>
      </c>
      <c r="AP11" s="2307">
        <f t="shared" si="9"/>
        <v>0</v>
      </c>
      <c r="AQ11" s="2307">
        <f t="shared" si="9"/>
        <v>0</v>
      </c>
      <c r="AR11" s="2307">
        <f t="shared" si="9"/>
        <v>0</v>
      </c>
      <c r="AS11" s="2307">
        <f t="shared" si="9"/>
        <v>0</v>
      </c>
      <c r="AT11" s="2307">
        <f t="shared" si="9"/>
        <v>0</v>
      </c>
      <c r="AU11" s="2307">
        <f t="shared" si="9"/>
        <v>0</v>
      </c>
      <c r="AV11" s="2307">
        <f t="shared" si="9"/>
        <v>0</v>
      </c>
      <c r="AW11" s="2307">
        <f t="shared" si="9"/>
        <v>0</v>
      </c>
      <c r="AX11" s="2307">
        <f t="shared" si="9"/>
        <v>0</v>
      </c>
      <c r="AY11" s="2307">
        <f t="shared" si="9"/>
        <v>0</v>
      </c>
      <c r="AZ11" s="2307">
        <f t="shared" si="9"/>
        <v>0</v>
      </c>
      <c r="BA11" s="2307">
        <f t="shared" si="9"/>
        <v>0</v>
      </c>
      <c r="BB11" s="2307">
        <f t="shared" si="9"/>
        <v>0</v>
      </c>
      <c r="BC11" s="2307">
        <f t="shared" si="9"/>
        <v>0</v>
      </c>
      <c r="BD11" s="2307">
        <f t="shared" si="9"/>
        <v>0</v>
      </c>
      <c r="BE11" s="2307">
        <f t="shared" si="9"/>
        <v>0</v>
      </c>
      <c r="BF11" s="2307">
        <f t="shared" si="9"/>
        <v>0</v>
      </c>
      <c r="BG11" s="2307">
        <f t="shared" si="9"/>
        <v>0</v>
      </c>
      <c r="BH11" s="2307">
        <f t="shared" si="9"/>
        <v>0</v>
      </c>
      <c r="BI11" s="2307">
        <f t="shared" si="9"/>
        <v>0</v>
      </c>
      <c r="BJ11" s="2307">
        <f t="shared" si="9"/>
        <v>0</v>
      </c>
      <c r="BK11" s="2307">
        <f t="shared" si="9"/>
        <v>0</v>
      </c>
      <c r="BL11" s="2307">
        <f t="shared" si="9"/>
        <v>0</v>
      </c>
      <c r="BM11" s="2307">
        <f t="shared" si="9"/>
        <v>0</v>
      </c>
      <c r="BN11" s="2307">
        <f t="shared" si="9"/>
        <v>0</v>
      </c>
      <c r="BO11" s="2307">
        <f t="shared" si="9"/>
        <v>0</v>
      </c>
      <c r="BP11" s="2307">
        <f t="shared" si="9"/>
        <v>0</v>
      </c>
      <c r="BQ11" s="2307">
        <f t="shared" si="9"/>
        <v>0</v>
      </c>
      <c r="BR11" s="2307">
        <f t="shared" si="9"/>
        <v>0</v>
      </c>
      <c r="BS11" s="2307">
        <f t="shared" si="9"/>
        <v>0</v>
      </c>
      <c r="BT11" s="2307">
        <f t="shared" si="9"/>
        <v>0</v>
      </c>
      <c r="BU11" s="2307">
        <f t="shared" si="9"/>
        <v>0</v>
      </c>
      <c r="BV11" s="2307">
        <f t="shared" si="9"/>
        <v>0</v>
      </c>
      <c r="BW11" s="2307">
        <f t="shared" si="9"/>
        <v>0</v>
      </c>
      <c r="BX11" s="2307">
        <f t="shared" si="9"/>
        <v>0</v>
      </c>
      <c r="BY11" s="2307">
        <f t="shared" si="9"/>
        <v>0</v>
      </c>
      <c r="BZ11" s="2307">
        <f t="shared" si="9"/>
        <v>0</v>
      </c>
      <c r="CA11" s="2307">
        <f t="shared" si="9"/>
        <v>0</v>
      </c>
      <c r="CB11" s="2307">
        <f t="shared" si="9"/>
        <v>0</v>
      </c>
      <c r="CC11" s="2307">
        <f t="shared" si="9"/>
        <v>0</v>
      </c>
      <c r="CD11" s="2307">
        <f t="shared" si="9"/>
        <v>0</v>
      </c>
      <c r="CE11" s="2307">
        <f t="shared" si="9"/>
        <v>0</v>
      </c>
      <c r="CF11" s="2307">
        <f t="shared" si="9"/>
        <v>0</v>
      </c>
      <c r="CG11" s="2307">
        <f t="shared" si="9"/>
        <v>0</v>
      </c>
      <c r="CH11" s="2307">
        <f t="shared" si="9"/>
        <v>0</v>
      </c>
      <c r="CI11" s="2307">
        <f t="shared" si="9"/>
        <v>0</v>
      </c>
      <c r="CJ11" s="2307">
        <f t="shared" si="9"/>
        <v>0</v>
      </c>
      <c r="CK11" s="2307">
        <f t="shared" si="9"/>
        <v>0</v>
      </c>
      <c r="CL11" s="2307">
        <f t="shared" si="9"/>
        <v>0</v>
      </c>
      <c r="CM11" s="2307">
        <f t="shared" ref="CM11:DP12" si="11">IF($L11="",IF(OR($P11="",$R11=""),0,IF($R11=CM$6,$Q11,0)),IF($E11=CM$5,$M11,))</f>
        <v>0</v>
      </c>
      <c r="CN11" s="2307">
        <f t="shared" si="11"/>
        <v>0</v>
      </c>
      <c r="CO11" s="2307">
        <f t="shared" si="11"/>
        <v>0</v>
      </c>
      <c r="CP11" s="2307">
        <f t="shared" si="11"/>
        <v>0</v>
      </c>
      <c r="CQ11" s="2307">
        <f t="shared" si="11"/>
        <v>0</v>
      </c>
      <c r="CR11" s="2307">
        <f t="shared" si="11"/>
        <v>0</v>
      </c>
      <c r="CS11" s="2307">
        <f t="shared" si="11"/>
        <v>0</v>
      </c>
      <c r="CT11" s="2307">
        <f t="shared" si="11"/>
        <v>0</v>
      </c>
      <c r="CU11" s="2307">
        <f t="shared" si="11"/>
        <v>0</v>
      </c>
      <c r="CV11" s="2307">
        <f t="shared" si="11"/>
        <v>0</v>
      </c>
      <c r="CW11" s="2307">
        <f t="shared" si="11"/>
        <v>0</v>
      </c>
      <c r="CX11" s="2307">
        <f t="shared" si="11"/>
        <v>0</v>
      </c>
      <c r="CY11" s="2307">
        <f t="shared" si="11"/>
        <v>0</v>
      </c>
      <c r="CZ11" s="2307">
        <f t="shared" si="11"/>
        <v>0</v>
      </c>
      <c r="DA11" s="2307">
        <f t="shared" si="11"/>
        <v>0</v>
      </c>
      <c r="DB11" s="2307">
        <f t="shared" si="11"/>
        <v>0</v>
      </c>
      <c r="DC11" s="2307">
        <f t="shared" si="11"/>
        <v>0</v>
      </c>
      <c r="DD11" s="2307">
        <f t="shared" si="11"/>
        <v>0</v>
      </c>
      <c r="DE11" s="2307">
        <f t="shared" si="11"/>
        <v>0</v>
      </c>
      <c r="DF11" s="2307">
        <f t="shared" si="11"/>
        <v>0</v>
      </c>
      <c r="DG11" s="2307">
        <f t="shared" si="11"/>
        <v>0</v>
      </c>
      <c r="DH11" s="2307">
        <f t="shared" si="11"/>
        <v>0</v>
      </c>
      <c r="DI11" s="2307">
        <f t="shared" si="11"/>
        <v>0</v>
      </c>
      <c r="DJ11" s="2307">
        <f t="shared" si="11"/>
        <v>0</v>
      </c>
      <c r="DK11" s="2307">
        <f t="shared" si="11"/>
        <v>0</v>
      </c>
      <c r="DL11" s="2307">
        <f t="shared" si="11"/>
        <v>0</v>
      </c>
      <c r="DM11" s="2307">
        <f t="shared" si="11"/>
        <v>0</v>
      </c>
      <c r="DN11" s="2307">
        <f t="shared" si="11"/>
        <v>0</v>
      </c>
      <c r="DO11" s="2307">
        <f t="shared" si="11"/>
        <v>0</v>
      </c>
      <c r="DP11" s="2307">
        <f t="shared" si="11"/>
        <v>0</v>
      </c>
      <c r="DR11" t="s">
        <v>290</v>
      </c>
    </row>
    <row r="12" spans="1:122" outlineLevel="1">
      <c r="A12" s="55">
        <v>1110052010</v>
      </c>
      <c r="B12" s="509" t="s">
        <v>2206</v>
      </c>
      <c r="C12" s="679" t="s">
        <v>64</v>
      </c>
      <c r="D12" s="1469">
        <v>1100000574</v>
      </c>
      <c r="E12" s="1470">
        <v>44930</v>
      </c>
      <c r="F12" s="416"/>
      <c r="G12" s="1251"/>
      <c r="H12" s="511"/>
      <c r="I12" s="1374"/>
      <c r="J12" s="1425">
        <v>1</v>
      </c>
      <c r="K12" s="1426">
        <v>1</v>
      </c>
      <c r="L12" s="419"/>
      <c r="M12" s="1337">
        <f t="shared" si="6"/>
        <v>0</v>
      </c>
      <c r="N12" s="504">
        <f ca="1">IF(OR(E12="",E12&gt;TODAY()),0,IF(ISERROR(VLOOKUP($E12,'TRM BanRep'!$A:$G,7,0)),0,VLOOKUP($E12,'TRM BanRep'!$A:$G,7,0)))</f>
        <v>4842.26</v>
      </c>
      <c r="O12" s="513">
        <f t="shared" ca="1" si="0"/>
        <v>0</v>
      </c>
      <c r="P12" s="514">
        <v>-2993.76</v>
      </c>
      <c r="Q12" s="514">
        <f t="shared" si="1"/>
        <v>-2993.76</v>
      </c>
      <c r="R12" s="515">
        <v>4760.6099999999997</v>
      </c>
      <c r="S12" s="515">
        <f ca="1">IF(OR(E12="",E12&gt;TODAY()),0,IF(ISERROR(VLOOKUP($E12,'TRM BanRep'!$A:$G,7,0)),0,VLOOKUP($E12,'TRM BanRep'!$A:$G,7,0)))</f>
        <v>4842.26</v>
      </c>
      <c r="T12" s="516">
        <f t="shared" ca="1" si="2"/>
        <v>-14496564.297600001</v>
      </c>
      <c r="U12" s="418">
        <f t="shared" si="7"/>
        <v>-2993.76</v>
      </c>
      <c r="V12" s="517">
        <f t="shared" ca="1" si="8"/>
        <v>-14252123.7936</v>
      </c>
      <c r="W12" s="518">
        <f t="shared" ca="1" si="4"/>
        <v>0</v>
      </c>
      <c r="X12" s="975">
        <f ca="1">IF((-P12*J12*R12)-(-P12*K12*S12)&lt;0,(-P12*J12*R12)-(-P12*K12*S12),0)</f>
        <v>-244440.50400000066</v>
      </c>
      <c r="Y12" s="519"/>
      <c r="Z12" s="1055"/>
      <c r="AA12" s="2309">
        <f t="shared" ca="1" si="9"/>
        <v>-2993.76</v>
      </c>
      <c r="AB12" s="2310">
        <f t="shared" ca="1" si="9"/>
        <v>0</v>
      </c>
      <c r="AC12" s="2310">
        <f t="shared" ca="1" si="9"/>
        <v>0</v>
      </c>
      <c r="AD12" s="2310">
        <f t="shared" ca="1" si="9"/>
        <v>0</v>
      </c>
      <c r="AE12" s="2310">
        <f t="shared" ca="1" si="9"/>
        <v>0</v>
      </c>
      <c r="AF12" s="2307">
        <f t="shared" ca="1" si="9"/>
        <v>0</v>
      </c>
      <c r="AG12" s="2307">
        <f t="shared" ca="1" si="9"/>
        <v>0</v>
      </c>
      <c r="AH12" s="2307">
        <f t="shared" ca="1" si="9"/>
        <v>0</v>
      </c>
      <c r="AI12" s="2307">
        <f t="shared" ca="1" si="9"/>
        <v>0</v>
      </c>
      <c r="AJ12" s="2307">
        <f t="shared" ca="1" si="10"/>
        <v>0</v>
      </c>
      <c r="AK12" s="2307">
        <f t="shared" ca="1" si="9"/>
        <v>0</v>
      </c>
      <c r="AL12" s="2308">
        <f t="shared" ca="1" si="9"/>
        <v>0</v>
      </c>
      <c r="AM12" s="2307">
        <f t="shared" ca="1" si="9"/>
        <v>0</v>
      </c>
      <c r="AN12" s="2307">
        <f t="shared" ca="1" si="9"/>
        <v>0</v>
      </c>
      <c r="AO12" s="2307">
        <f t="shared" ca="1" si="9"/>
        <v>0</v>
      </c>
      <c r="AP12" s="2307">
        <f t="shared" ca="1" si="9"/>
        <v>0</v>
      </c>
      <c r="AQ12" s="2307">
        <f t="shared" ca="1" si="9"/>
        <v>0</v>
      </c>
      <c r="AR12" s="2307">
        <f t="shared" ca="1" si="9"/>
        <v>0</v>
      </c>
      <c r="AS12" s="2307">
        <f t="shared" ca="1" si="9"/>
        <v>0</v>
      </c>
      <c r="AT12" s="2307">
        <f t="shared" ca="1" si="9"/>
        <v>0</v>
      </c>
      <c r="AU12" s="2307">
        <f t="shared" ca="1" si="9"/>
        <v>0</v>
      </c>
      <c r="AV12" s="2307">
        <f t="shared" ca="1" si="9"/>
        <v>0</v>
      </c>
      <c r="AW12" s="2307">
        <f t="shared" ca="1" si="9"/>
        <v>0</v>
      </c>
      <c r="AX12" s="2307">
        <f t="shared" ca="1" si="9"/>
        <v>0</v>
      </c>
      <c r="AY12" s="2307">
        <f t="shared" ca="1" si="9"/>
        <v>0</v>
      </c>
      <c r="AZ12" s="2307">
        <f t="shared" ca="1" si="9"/>
        <v>0</v>
      </c>
      <c r="BA12" s="2307">
        <f t="shared" ca="1" si="9"/>
        <v>0</v>
      </c>
      <c r="BB12" s="2307">
        <f t="shared" ca="1" si="9"/>
        <v>0</v>
      </c>
      <c r="BC12" s="2307">
        <f t="shared" ca="1" si="9"/>
        <v>0</v>
      </c>
      <c r="BD12" s="2307">
        <f t="shared" ca="1" si="9"/>
        <v>0</v>
      </c>
      <c r="BE12" s="2307">
        <f t="shared" ca="1" si="9"/>
        <v>0</v>
      </c>
      <c r="BF12" s="2307">
        <f t="shared" ca="1" si="9"/>
        <v>0</v>
      </c>
      <c r="BG12" s="2307">
        <f t="shared" ca="1" si="9"/>
        <v>0</v>
      </c>
      <c r="BH12" s="2307">
        <f t="shared" ca="1" si="9"/>
        <v>0</v>
      </c>
      <c r="BI12" s="2307">
        <f t="shared" ca="1" si="9"/>
        <v>0</v>
      </c>
      <c r="BJ12" s="2307">
        <f t="shared" ca="1" si="9"/>
        <v>0</v>
      </c>
      <c r="BK12" s="2307">
        <f t="shared" ca="1" si="9"/>
        <v>0</v>
      </c>
      <c r="BL12" s="2307">
        <f t="shared" ca="1" si="9"/>
        <v>0</v>
      </c>
      <c r="BM12" s="2307">
        <f t="shared" ca="1" si="9"/>
        <v>0</v>
      </c>
      <c r="BN12" s="2307">
        <f t="shared" ca="1" si="9"/>
        <v>0</v>
      </c>
      <c r="BO12" s="2307">
        <f t="shared" ca="1" si="9"/>
        <v>0</v>
      </c>
      <c r="BP12" s="2307">
        <f t="shared" ca="1" si="9"/>
        <v>0</v>
      </c>
      <c r="BQ12" s="2307">
        <f t="shared" ca="1" si="9"/>
        <v>0</v>
      </c>
      <c r="BR12" s="2307">
        <f t="shared" ca="1" si="9"/>
        <v>0</v>
      </c>
      <c r="BS12" s="2307">
        <f t="shared" ca="1" si="9"/>
        <v>0</v>
      </c>
      <c r="BT12" s="2307">
        <f t="shared" ca="1" si="9"/>
        <v>0</v>
      </c>
      <c r="BU12" s="2307">
        <f t="shared" ca="1" si="9"/>
        <v>0</v>
      </c>
      <c r="BV12" s="2307">
        <f t="shared" ca="1" si="9"/>
        <v>0</v>
      </c>
      <c r="BW12" s="2307">
        <f t="shared" ca="1" si="9"/>
        <v>0</v>
      </c>
      <c r="BX12" s="2307">
        <f t="shared" ca="1" si="9"/>
        <v>0</v>
      </c>
      <c r="BY12" s="2307">
        <f t="shared" ca="1" si="9"/>
        <v>0</v>
      </c>
      <c r="BZ12" s="2307">
        <f t="shared" ca="1" si="9"/>
        <v>0</v>
      </c>
      <c r="CA12" s="2307">
        <f t="shared" ca="1" si="9"/>
        <v>0</v>
      </c>
      <c r="CB12" s="2307">
        <f t="shared" ca="1" si="9"/>
        <v>0</v>
      </c>
      <c r="CC12" s="2307">
        <f t="shared" ca="1" si="9"/>
        <v>0</v>
      </c>
      <c r="CD12" s="2307">
        <f t="shared" ca="1" si="9"/>
        <v>0</v>
      </c>
      <c r="CE12" s="2307">
        <f t="shared" ca="1" si="9"/>
        <v>0</v>
      </c>
      <c r="CF12" s="2307">
        <f t="shared" ca="1" si="9"/>
        <v>0</v>
      </c>
      <c r="CG12" s="2307">
        <f t="shared" ca="1" si="9"/>
        <v>0</v>
      </c>
      <c r="CH12" s="2307">
        <f t="shared" ca="1" si="9"/>
        <v>0</v>
      </c>
      <c r="CI12" s="2307">
        <f t="shared" ca="1" si="9"/>
        <v>0</v>
      </c>
      <c r="CJ12" s="2307">
        <f t="shared" ca="1" si="9"/>
        <v>0</v>
      </c>
      <c r="CK12" s="2307">
        <f t="shared" ca="1" si="9"/>
        <v>0</v>
      </c>
      <c r="CL12" s="2307">
        <f t="shared" ca="1" si="9"/>
        <v>0</v>
      </c>
      <c r="CM12" s="2307">
        <f t="shared" ca="1" si="11"/>
        <v>0</v>
      </c>
      <c r="CN12" s="2307">
        <f t="shared" ca="1" si="11"/>
        <v>0</v>
      </c>
      <c r="CO12" s="2307">
        <f t="shared" ca="1" si="11"/>
        <v>0</v>
      </c>
      <c r="CP12" s="2307">
        <f t="shared" ca="1" si="11"/>
        <v>0</v>
      </c>
      <c r="CQ12" s="2307">
        <f t="shared" ca="1" si="11"/>
        <v>0</v>
      </c>
      <c r="CR12" s="2307">
        <f t="shared" ca="1" si="11"/>
        <v>0</v>
      </c>
      <c r="CS12" s="2307">
        <f t="shared" ca="1" si="11"/>
        <v>0</v>
      </c>
      <c r="CT12" s="2307">
        <f t="shared" ca="1" si="11"/>
        <v>0</v>
      </c>
      <c r="CU12" s="2307">
        <f t="shared" ca="1" si="11"/>
        <v>0</v>
      </c>
      <c r="CV12" s="2307">
        <f t="shared" ca="1" si="11"/>
        <v>0</v>
      </c>
      <c r="CW12" s="2307">
        <f t="shared" ca="1" si="11"/>
        <v>0</v>
      </c>
      <c r="CX12" s="2307">
        <f t="shared" ca="1" si="11"/>
        <v>0</v>
      </c>
      <c r="CY12" s="2307">
        <f t="shared" ca="1" si="11"/>
        <v>0</v>
      </c>
      <c r="CZ12" s="2307">
        <f t="shared" ca="1" si="11"/>
        <v>0</v>
      </c>
      <c r="DA12" s="2307">
        <f t="shared" ca="1" si="11"/>
        <v>0</v>
      </c>
      <c r="DB12" s="2307">
        <f t="shared" ca="1" si="11"/>
        <v>0</v>
      </c>
      <c r="DC12" s="2307">
        <f t="shared" ca="1" si="11"/>
        <v>0</v>
      </c>
      <c r="DD12" s="2307">
        <f t="shared" ca="1" si="11"/>
        <v>0</v>
      </c>
      <c r="DE12" s="2307">
        <f t="shared" ca="1" si="11"/>
        <v>0</v>
      </c>
      <c r="DF12" s="2307">
        <f t="shared" ca="1" si="11"/>
        <v>0</v>
      </c>
      <c r="DG12" s="2307">
        <f t="shared" ca="1" si="11"/>
        <v>0</v>
      </c>
      <c r="DH12" s="2307">
        <f t="shared" ca="1" si="11"/>
        <v>0</v>
      </c>
      <c r="DI12" s="2307">
        <f t="shared" ca="1" si="11"/>
        <v>0</v>
      </c>
      <c r="DJ12" s="2307">
        <f t="shared" ca="1" si="11"/>
        <v>0</v>
      </c>
      <c r="DK12" s="2307">
        <f t="shared" ca="1" si="11"/>
        <v>0</v>
      </c>
      <c r="DL12" s="2307">
        <f t="shared" ca="1" si="11"/>
        <v>0</v>
      </c>
      <c r="DM12" s="2307">
        <f t="shared" ca="1" si="11"/>
        <v>0</v>
      </c>
      <c r="DN12" s="2307">
        <f t="shared" ca="1" si="11"/>
        <v>0</v>
      </c>
      <c r="DO12" s="2307">
        <f t="shared" ca="1" si="11"/>
        <v>0</v>
      </c>
      <c r="DP12" s="2307">
        <f t="shared" ca="1" si="11"/>
        <v>0</v>
      </c>
      <c r="DR12" t="s">
        <v>290</v>
      </c>
    </row>
    <row r="13" spans="1:122" outlineLevel="1">
      <c r="A13" s="55">
        <v>1110052010</v>
      </c>
      <c r="B13" s="509" t="s">
        <v>2205</v>
      </c>
      <c r="C13" s="679" t="s">
        <v>64</v>
      </c>
      <c r="D13" s="1469">
        <v>1100000575</v>
      </c>
      <c r="E13" s="1470">
        <v>44931</v>
      </c>
      <c r="F13" s="416"/>
      <c r="G13" s="1251"/>
      <c r="H13" s="511"/>
      <c r="I13" s="1374"/>
      <c r="J13" s="1425">
        <v>1</v>
      </c>
      <c r="K13" s="1426">
        <v>1</v>
      </c>
      <c r="L13" s="419">
        <v>3400000</v>
      </c>
      <c r="M13" s="1337">
        <f t="shared" si="6"/>
        <v>3400000</v>
      </c>
      <c r="N13" s="504">
        <f ca="1">IF(OR(E13="",E13&gt;TODAY()),0,IF(ISERROR(VLOOKUP($E13,'TRM BanRep'!$A:$G,7,0)),0,VLOOKUP($E13,'TRM BanRep'!$A:$G,7,0)))</f>
        <v>4924</v>
      </c>
      <c r="O13" s="513">
        <f t="shared" ca="1" si="0"/>
        <v>16741600000</v>
      </c>
      <c r="P13" s="514"/>
      <c r="Q13" s="514">
        <f t="shared" si="1"/>
        <v>0</v>
      </c>
      <c r="R13" s="515"/>
      <c r="S13" s="515">
        <f ca="1">IF(OR(E13="",E13&gt;TODAY()),0,IF(ISERROR(VLOOKUP($E13,'TRM BanRep'!$A:$G,7,0)),0,VLOOKUP($E13,'TRM BanRep'!$A:$G,7,0)))</f>
        <v>4924</v>
      </c>
      <c r="T13" s="516">
        <f t="shared" ca="1" si="2"/>
        <v>0</v>
      </c>
      <c r="U13" s="418">
        <f t="shared" si="7"/>
        <v>3400000</v>
      </c>
      <c r="V13" s="517">
        <f t="shared" ca="1" si="8"/>
        <v>16741600000</v>
      </c>
      <c r="W13" s="518">
        <f t="shared" ref="W13:W17" ca="1" si="12">IF((-P13*J13*R13)-(-P13*K13*S13)&gt;0,(-P13*J13*R13)-(-P13*K13*S13),0)</f>
        <v>0</v>
      </c>
      <c r="X13" s="975">
        <f t="shared" ref="X13:X17" ca="1" si="13">IF((-P13*J13*R13)-(-P13*K13*S13)&lt;0,(-P13*J13*R13)-(-P13*K13*S13),0)</f>
        <v>0</v>
      </c>
      <c r="Y13" s="519"/>
      <c r="Z13" s="1055"/>
      <c r="AA13" s="2309">
        <f t="shared" si="9"/>
        <v>0</v>
      </c>
      <c r="AB13" s="2310">
        <f t="shared" si="9"/>
        <v>0</v>
      </c>
      <c r="AC13" s="2310">
        <f t="shared" si="9"/>
        <v>0</v>
      </c>
      <c r="AD13" s="2310">
        <f t="shared" si="9"/>
        <v>0</v>
      </c>
      <c r="AE13" s="2310">
        <f t="shared" si="9"/>
        <v>0</v>
      </c>
      <c r="AF13" s="2307">
        <f t="shared" si="9"/>
        <v>0</v>
      </c>
      <c r="AG13" s="2307">
        <f t="shared" si="9"/>
        <v>0</v>
      </c>
      <c r="AH13" s="2307">
        <f t="shared" si="9"/>
        <v>3400000</v>
      </c>
      <c r="AI13" s="2307">
        <f t="shared" si="9"/>
        <v>0</v>
      </c>
      <c r="AJ13" s="2307">
        <f t="shared" si="10"/>
        <v>0</v>
      </c>
      <c r="AK13" s="2307">
        <f t="shared" si="9"/>
        <v>0</v>
      </c>
      <c r="AL13" s="2308">
        <f t="shared" si="9"/>
        <v>0</v>
      </c>
      <c r="AM13" s="2307">
        <f t="shared" si="9"/>
        <v>0</v>
      </c>
      <c r="AN13" s="2307">
        <f t="shared" si="9"/>
        <v>0</v>
      </c>
      <c r="AO13" s="2307">
        <f t="shared" si="9"/>
        <v>0</v>
      </c>
      <c r="AP13" s="2307">
        <f t="shared" si="9"/>
        <v>0</v>
      </c>
      <c r="AQ13" s="2307">
        <f t="shared" si="9"/>
        <v>0</v>
      </c>
      <c r="AR13" s="2307">
        <f t="shared" si="9"/>
        <v>0</v>
      </c>
      <c r="AS13" s="2307">
        <f t="shared" si="9"/>
        <v>0</v>
      </c>
      <c r="AT13" s="2307">
        <f t="shared" si="9"/>
        <v>0</v>
      </c>
      <c r="AU13" s="2307">
        <f t="shared" si="9"/>
        <v>0</v>
      </c>
      <c r="AV13" s="2307">
        <f t="shared" si="9"/>
        <v>0</v>
      </c>
      <c r="AW13" s="2307">
        <f t="shared" si="9"/>
        <v>0</v>
      </c>
      <c r="AX13" s="2307">
        <f t="shared" si="9"/>
        <v>0</v>
      </c>
      <c r="AY13" s="2307">
        <f t="shared" si="9"/>
        <v>0</v>
      </c>
      <c r="AZ13" s="2307">
        <f t="shared" si="9"/>
        <v>0</v>
      </c>
      <c r="BA13" s="2307">
        <f t="shared" si="9"/>
        <v>0</v>
      </c>
      <c r="BB13" s="2307">
        <f t="shared" si="9"/>
        <v>0</v>
      </c>
      <c r="BC13" s="2307">
        <f t="shared" si="9"/>
        <v>0</v>
      </c>
      <c r="BD13" s="2307">
        <f t="shared" si="9"/>
        <v>0</v>
      </c>
      <c r="BE13" s="2307">
        <f t="shared" si="9"/>
        <v>0</v>
      </c>
      <c r="BF13" s="2307">
        <f t="shared" si="9"/>
        <v>0</v>
      </c>
      <c r="BG13" s="2307">
        <f t="shared" si="9"/>
        <v>0</v>
      </c>
      <c r="BH13" s="2307">
        <f t="shared" si="9"/>
        <v>0</v>
      </c>
      <c r="BI13" s="2307">
        <f t="shared" si="9"/>
        <v>0</v>
      </c>
      <c r="BJ13" s="2307">
        <f t="shared" si="9"/>
        <v>0</v>
      </c>
      <c r="BK13" s="2307">
        <f t="shared" si="9"/>
        <v>0</v>
      </c>
      <c r="BL13" s="2307">
        <f t="shared" si="9"/>
        <v>0</v>
      </c>
      <c r="BM13" s="2307">
        <f t="shared" si="9"/>
        <v>0</v>
      </c>
      <c r="BN13" s="2307">
        <f t="shared" si="9"/>
        <v>0</v>
      </c>
      <c r="BO13" s="2307">
        <f t="shared" si="9"/>
        <v>0</v>
      </c>
      <c r="BP13" s="2307">
        <f t="shared" si="9"/>
        <v>0</v>
      </c>
      <c r="BQ13" s="2307">
        <f t="shared" si="9"/>
        <v>0</v>
      </c>
      <c r="BR13" s="2307">
        <f t="shared" si="9"/>
        <v>0</v>
      </c>
      <c r="BS13" s="2307">
        <f t="shared" si="9"/>
        <v>0</v>
      </c>
      <c r="BT13" s="2307">
        <f t="shared" si="9"/>
        <v>0</v>
      </c>
      <c r="BU13" s="2307">
        <f t="shared" si="9"/>
        <v>0</v>
      </c>
      <c r="BV13" s="2307">
        <f t="shared" si="9"/>
        <v>0</v>
      </c>
      <c r="BW13" s="2307">
        <f t="shared" si="9"/>
        <v>0</v>
      </c>
      <c r="BX13" s="2307">
        <f t="shared" si="9"/>
        <v>0</v>
      </c>
      <c r="BY13" s="2307">
        <f t="shared" si="9"/>
        <v>0</v>
      </c>
      <c r="BZ13" s="2307">
        <f t="shared" si="9"/>
        <v>0</v>
      </c>
      <c r="CA13" s="2307">
        <f t="shared" si="9"/>
        <v>0</v>
      </c>
      <c r="CB13" s="2307">
        <f t="shared" si="9"/>
        <v>0</v>
      </c>
      <c r="CC13" s="2307">
        <f t="shared" si="9"/>
        <v>0</v>
      </c>
      <c r="CD13" s="2307">
        <f t="shared" si="9"/>
        <v>0</v>
      </c>
      <c r="CE13" s="2307">
        <f t="shared" si="9"/>
        <v>0</v>
      </c>
      <c r="CF13" s="2307">
        <f t="shared" si="9"/>
        <v>0</v>
      </c>
      <c r="CG13" s="2307">
        <f t="shared" si="9"/>
        <v>0</v>
      </c>
      <c r="CH13" s="2307">
        <f t="shared" si="9"/>
        <v>0</v>
      </c>
      <c r="CI13" s="2307">
        <f t="shared" si="9"/>
        <v>0</v>
      </c>
      <c r="CJ13" s="2307">
        <f t="shared" si="9"/>
        <v>0</v>
      </c>
      <c r="CK13" s="2307">
        <f t="shared" si="9"/>
        <v>0</v>
      </c>
      <c r="CL13" s="2307">
        <f t="shared" ref="CL13:DP37" si="14">IF($L13="",IF(OR($P13="",$R13=""),0,IF($R13=CL$6,$Q13,0)),IF($E13=CL$5,$M13,))</f>
        <v>0</v>
      </c>
      <c r="CM13" s="2307">
        <f t="shared" si="14"/>
        <v>0</v>
      </c>
      <c r="CN13" s="2307">
        <f t="shared" si="14"/>
        <v>0</v>
      </c>
      <c r="CO13" s="2307">
        <f t="shared" si="14"/>
        <v>0</v>
      </c>
      <c r="CP13" s="2307">
        <f t="shared" si="14"/>
        <v>0</v>
      </c>
      <c r="CQ13" s="2307">
        <f t="shared" si="14"/>
        <v>0</v>
      </c>
      <c r="CR13" s="2307">
        <f t="shared" si="14"/>
        <v>0</v>
      </c>
      <c r="CS13" s="2307">
        <f t="shared" si="14"/>
        <v>0</v>
      </c>
      <c r="CT13" s="2307">
        <f t="shared" si="14"/>
        <v>0</v>
      </c>
      <c r="CU13" s="2307">
        <f t="shared" si="14"/>
        <v>0</v>
      </c>
      <c r="CV13" s="2307">
        <f t="shared" si="14"/>
        <v>0</v>
      </c>
      <c r="CW13" s="2307">
        <f t="shared" si="14"/>
        <v>0</v>
      </c>
      <c r="CX13" s="2307">
        <f t="shared" si="14"/>
        <v>0</v>
      </c>
      <c r="CY13" s="2307">
        <f t="shared" si="14"/>
        <v>0</v>
      </c>
      <c r="CZ13" s="2307">
        <f t="shared" si="14"/>
        <v>0</v>
      </c>
      <c r="DA13" s="2307">
        <f t="shared" si="14"/>
        <v>0</v>
      </c>
      <c r="DB13" s="2307">
        <f t="shared" si="14"/>
        <v>0</v>
      </c>
      <c r="DC13" s="2307">
        <f t="shared" si="14"/>
        <v>0</v>
      </c>
      <c r="DD13" s="2307">
        <f t="shared" si="14"/>
        <v>0</v>
      </c>
      <c r="DE13" s="2307">
        <f t="shared" si="14"/>
        <v>0</v>
      </c>
      <c r="DF13" s="2307">
        <f t="shared" si="14"/>
        <v>0</v>
      </c>
      <c r="DG13" s="2307">
        <f t="shared" si="14"/>
        <v>0</v>
      </c>
      <c r="DH13" s="2307">
        <f t="shared" si="14"/>
        <v>0</v>
      </c>
      <c r="DI13" s="2307">
        <f t="shared" si="14"/>
        <v>0</v>
      </c>
      <c r="DJ13" s="2307">
        <f t="shared" si="14"/>
        <v>0</v>
      </c>
      <c r="DK13" s="2307">
        <f t="shared" si="14"/>
        <v>0</v>
      </c>
      <c r="DL13" s="2307">
        <f t="shared" si="14"/>
        <v>0</v>
      </c>
      <c r="DM13" s="2307">
        <f t="shared" si="14"/>
        <v>0</v>
      </c>
      <c r="DN13" s="2307">
        <f t="shared" si="14"/>
        <v>0</v>
      </c>
      <c r="DO13" s="2307">
        <f t="shared" si="14"/>
        <v>0</v>
      </c>
      <c r="DP13" s="2307">
        <f t="shared" si="14"/>
        <v>0</v>
      </c>
      <c r="DR13" t="s">
        <v>290</v>
      </c>
    </row>
    <row r="14" spans="1:122" outlineLevel="1">
      <c r="A14" s="55">
        <v>1110052010</v>
      </c>
      <c r="B14" s="509" t="s">
        <v>2256</v>
      </c>
      <c r="C14" s="679" t="s">
        <v>64</v>
      </c>
      <c r="D14" s="1469">
        <v>1100000626</v>
      </c>
      <c r="E14" s="1470">
        <v>44932</v>
      </c>
      <c r="F14" s="416"/>
      <c r="G14" s="1251"/>
      <c r="H14" s="511"/>
      <c r="I14" s="1374"/>
      <c r="J14" s="1425">
        <v>1</v>
      </c>
      <c r="K14" s="1426">
        <v>1</v>
      </c>
      <c r="L14" s="419"/>
      <c r="M14" s="1337">
        <f t="shared" si="6"/>
        <v>0</v>
      </c>
      <c r="N14" s="504">
        <f ca="1">IF(OR(E14="",E14&gt;TODAY()),0,IF(ISERROR(VLOOKUP($E14,'TRM BanRep'!$A:$G,7,0)),0,VLOOKUP($E14,'TRM BanRep'!$A:$G,7,0)))</f>
        <v>4989.58</v>
      </c>
      <c r="O14" s="513">
        <f t="shared" ca="1" si="0"/>
        <v>0</v>
      </c>
      <c r="P14" s="514">
        <v>-1769654.15</v>
      </c>
      <c r="Q14" s="514">
        <f t="shared" si="1"/>
        <v>-1769654.15</v>
      </c>
      <c r="R14" s="515">
        <v>4760.6099999999997</v>
      </c>
      <c r="S14" s="515">
        <f ca="1">IF(OR(E14="",E14&gt;TODAY()),0,IF(ISERROR(VLOOKUP($E14,'TRM BanRep'!$A:$G,7,0)),0,VLOOKUP($E14,'TRM BanRep'!$A:$G,7,0)))</f>
        <v>4989.58</v>
      </c>
      <c r="T14" s="516">
        <f t="shared" ca="1" si="2"/>
        <v>-8829830953.757</v>
      </c>
      <c r="U14" s="418">
        <f t="shared" si="7"/>
        <v>-1769654.15</v>
      </c>
      <c r="V14" s="517">
        <f t="shared" ca="1" si="8"/>
        <v>-8424633243.0314989</v>
      </c>
      <c r="W14" s="518">
        <f t="shared" ca="1" si="12"/>
        <v>0</v>
      </c>
      <c r="X14" s="975">
        <f t="shared" ca="1" si="13"/>
        <v>-405197710.72550106</v>
      </c>
      <c r="Y14" s="519"/>
      <c r="Z14" s="1055"/>
      <c r="AA14" s="2309">
        <f t="shared" ref="AA14:CL37" ca="1" si="15">IF($L14="",IF(OR($P14="",$R14=""),0,IF($R14=AA$6,$Q14,0)),IF($E14=AA$5,$M14,))</f>
        <v>-1769654.15</v>
      </c>
      <c r="AB14" s="2310">
        <f t="shared" ca="1" si="15"/>
        <v>0</v>
      </c>
      <c r="AC14" s="2310">
        <f t="shared" ca="1" si="15"/>
        <v>0</v>
      </c>
      <c r="AD14" s="2310">
        <f t="shared" ca="1" si="15"/>
        <v>0</v>
      </c>
      <c r="AE14" s="2310">
        <f t="shared" ca="1" si="15"/>
        <v>0</v>
      </c>
      <c r="AF14" s="2307">
        <f t="shared" ca="1" si="15"/>
        <v>0</v>
      </c>
      <c r="AG14" s="2307">
        <f t="shared" ca="1" si="15"/>
        <v>0</v>
      </c>
      <c r="AH14" s="2307">
        <f t="shared" ca="1" si="15"/>
        <v>0</v>
      </c>
      <c r="AI14" s="2307">
        <f t="shared" ca="1" si="15"/>
        <v>0</v>
      </c>
      <c r="AJ14" s="2307">
        <f t="shared" ca="1" si="10"/>
        <v>0</v>
      </c>
      <c r="AK14" s="2307">
        <f t="shared" ca="1" si="15"/>
        <v>0</v>
      </c>
      <c r="AL14" s="2308">
        <f t="shared" ca="1" si="15"/>
        <v>0</v>
      </c>
      <c r="AM14" s="2307">
        <f t="shared" ca="1" si="15"/>
        <v>0</v>
      </c>
      <c r="AN14" s="2307">
        <f t="shared" ca="1" si="15"/>
        <v>0</v>
      </c>
      <c r="AO14" s="2307">
        <f t="shared" ca="1" si="15"/>
        <v>0</v>
      </c>
      <c r="AP14" s="2307">
        <f t="shared" ca="1" si="15"/>
        <v>0</v>
      </c>
      <c r="AQ14" s="2307">
        <f t="shared" ca="1" si="15"/>
        <v>0</v>
      </c>
      <c r="AR14" s="2307">
        <f t="shared" ca="1" si="15"/>
        <v>0</v>
      </c>
      <c r="AS14" s="2307">
        <f t="shared" ca="1" si="15"/>
        <v>0</v>
      </c>
      <c r="AT14" s="2307">
        <f t="shared" ca="1" si="15"/>
        <v>0</v>
      </c>
      <c r="AU14" s="2307">
        <f t="shared" ca="1" si="15"/>
        <v>0</v>
      </c>
      <c r="AV14" s="2307">
        <f t="shared" ca="1" si="15"/>
        <v>0</v>
      </c>
      <c r="AW14" s="2307">
        <f t="shared" ca="1" si="15"/>
        <v>0</v>
      </c>
      <c r="AX14" s="2307">
        <f t="shared" ca="1" si="15"/>
        <v>0</v>
      </c>
      <c r="AY14" s="2307">
        <f t="shared" ca="1" si="15"/>
        <v>0</v>
      </c>
      <c r="AZ14" s="2307">
        <f t="shared" ca="1" si="15"/>
        <v>0</v>
      </c>
      <c r="BA14" s="2307">
        <f t="shared" ca="1" si="15"/>
        <v>0</v>
      </c>
      <c r="BB14" s="2307">
        <f t="shared" ca="1" si="15"/>
        <v>0</v>
      </c>
      <c r="BC14" s="2307">
        <f t="shared" ca="1" si="15"/>
        <v>0</v>
      </c>
      <c r="BD14" s="2307">
        <f t="shared" ca="1" si="15"/>
        <v>0</v>
      </c>
      <c r="BE14" s="2307">
        <f t="shared" ca="1" si="15"/>
        <v>0</v>
      </c>
      <c r="BF14" s="2307">
        <f t="shared" ca="1" si="15"/>
        <v>0</v>
      </c>
      <c r="BG14" s="2307">
        <f t="shared" ca="1" si="15"/>
        <v>0</v>
      </c>
      <c r="BH14" s="2307">
        <f t="shared" ca="1" si="15"/>
        <v>0</v>
      </c>
      <c r="BI14" s="2307">
        <f t="shared" ca="1" si="15"/>
        <v>0</v>
      </c>
      <c r="BJ14" s="2307">
        <f t="shared" ca="1" si="15"/>
        <v>0</v>
      </c>
      <c r="BK14" s="2307">
        <f t="shared" ca="1" si="15"/>
        <v>0</v>
      </c>
      <c r="BL14" s="2307">
        <f t="shared" ca="1" si="15"/>
        <v>0</v>
      </c>
      <c r="BM14" s="2307">
        <f t="shared" ca="1" si="15"/>
        <v>0</v>
      </c>
      <c r="BN14" s="2307">
        <f t="shared" ca="1" si="15"/>
        <v>0</v>
      </c>
      <c r="BO14" s="2307">
        <f t="shared" ca="1" si="15"/>
        <v>0</v>
      </c>
      <c r="BP14" s="2307">
        <f t="shared" ca="1" si="15"/>
        <v>0</v>
      </c>
      <c r="BQ14" s="2307">
        <f t="shared" ca="1" si="15"/>
        <v>0</v>
      </c>
      <c r="BR14" s="2307">
        <f t="shared" ca="1" si="15"/>
        <v>0</v>
      </c>
      <c r="BS14" s="2307">
        <f t="shared" ca="1" si="15"/>
        <v>0</v>
      </c>
      <c r="BT14" s="2307">
        <f t="shared" ca="1" si="15"/>
        <v>0</v>
      </c>
      <c r="BU14" s="2307">
        <f t="shared" ca="1" si="15"/>
        <v>0</v>
      </c>
      <c r="BV14" s="2307">
        <f t="shared" ca="1" si="15"/>
        <v>0</v>
      </c>
      <c r="BW14" s="2307">
        <f t="shared" ca="1" si="15"/>
        <v>0</v>
      </c>
      <c r="BX14" s="2307">
        <f t="shared" ca="1" si="15"/>
        <v>0</v>
      </c>
      <c r="BY14" s="2307">
        <f t="shared" ca="1" si="15"/>
        <v>0</v>
      </c>
      <c r="BZ14" s="2307">
        <f t="shared" ca="1" si="15"/>
        <v>0</v>
      </c>
      <c r="CA14" s="2307">
        <f t="shared" ca="1" si="15"/>
        <v>0</v>
      </c>
      <c r="CB14" s="2307">
        <f t="shared" ca="1" si="15"/>
        <v>0</v>
      </c>
      <c r="CC14" s="2307">
        <f t="shared" ca="1" si="15"/>
        <v>0</v>
      </c>
      <c r="CD14" s="2307">
        <f t="shared" ca="1" si="15"/>
        <v>0</v>
      </c>
      <c r="CE14" s="2307">
        <f t="shared" ca="1" si="15"/>
        <v>0</v>
      </c>
      <c r="CF14" s="2307">
        <f t="shared" ca="1" si="15"/>
        <v>0</v>
      </c>
      <c r="CG14" s="2307">
        <f t="shared" ca="1" si="15"/>
        <v>0</v>
      </c>
      <c r="CH14" s="2307">
        <f t="shared" ca="1" si="15"/>
        <v>0</v>
      </c>
      <c r="CI14" s="2307">
        <f t="shared" ca="1" si="15"/>
        <v>0</v>
      </c>
      <c r="CJ14" s="2307">
        <f t="shared" ca="1" si="15"/>
        <v>0</v>
      </c>
      <c r="CK14" s="2307">
        <f t="shared" ca="1" si="15"/>
        <v>0</v>
      </c>
      <c r="CL14" s="2307">
        <f t="shared" ca="1" si="15"/>
        <v>0</v>
      </c>
      <c r="CM14" s="2307">
        <f t="shared" ca="1" si="14"/>
        <v>0</v>
      </c>
      <c r="CN14" s="2307">
        <f t="shared" ca="1" si="14"/>
        <v>0</v>
      </c>
      <c r="CO14" s="2307">
        <f t="shared" ca="1" si="14"/>
        <v>0</v>
      </c>
      <c r="CP14" s="2307">
        <f t="shared" ca="1" si="14"/>
        <v>0</v>
      </c>
      <c r="CQ14" s="2307">
        <f t="shared" ca="1" si="14"/>
        <v>0</v>
      </c>
      <c r="CR14" s="2307">
        <f t="shared" ca="1" si="14"/>
        <v>0</v>
      </c>
      <c r="CS14" s="2307">
        <f t="shared" ca="1" si="14"/>
        <v>0</v>
      </c>
      <c r="CT14" s="2307">
        <f t="shared" ca="1" si="14"/>
        <v>0</v>
      </c>
      <c r="CU14" s="2307">
        <f t="shared" ca="1" si="14"/>
        <v>0</v>
      </c>
      <c r="CV14" s="2307">
        <f t="shared" ca="1" si="14"/>
        <v>0</v>
      </c>
      <c r="CW14" s="2307">
        <f t="shared" ca="1" si="14"/>
        <v>0</v>
      </c>
      <c r="CX14" s="2307">
        <f t="shared" ca="1" si="14"/>
        <v>0</v>
      </c>
      <c r="CY14" s="2307">
        <f t="shared" ca="1" si="14"/>
        <v>0</v>
      </c>
      <c r="CZ14" s="2307">
        <f t="shared" ca="1" si="14"/>
        <v>0</v>
      </c>
      <c r="DA14" s="2307">
        <f t="shared" ca="1" si="14"/>
        <v>0</v>
      </c>
      <c r="DB14" s="2307">
        <f t="shared" ca="1" si="14"/>
        <v>0</v>
      </c>
      <c r="DC14" s="2307">
        <f t="shared" ca="1" si="14"/>
        <v>0</v>
      </c>
      <c r="DD14" s="2307">
        <f t="shared" ca="1" si="14"/>
        <v>0</v>
      </c>
      <c r="DE14" s="2307">
        <f t="shared" ca="1" si="14"/>
        <v>0</v>
      </c>
      <c r="DF14" s="2307">
        <f t="shared" ca="1" si="14"/>
        <v>0</v>
      </c>
      <c r="DG14" s="2307">
        <f t="shared" ca="1" si="14"/>
        <v>0</v>
      </c>
      <c r="DH14" s="2307">
        <f t="shared" ca="1" si="14"/>
        <v>0</v>
      </c>
      <c r="DI14" s="2307">
        <f t="shared" ca="1" si="14"/>
        <v>0</v>
      </c>
      <c r="DJ14" s="2307">
        <f t="shared" ca="1" si="14"/>
        <v>0</v>
      </c>
      <c r="DK14" s="2307">
        <f t="shared" ca="1" si="14"/>
        <v>0</v>
      </c>
      <c r="DL14" s="2307">
        <f t="shared" ca="1" si="14"/>
        <v>0</v>
      </c>
      <c r="DM14" s="2307">
        <f t="shared" ca="1" si="14"/>
        <v>0</v>
      </c>
      <c r="DN14" s="2307">
        <f t="shared" ca="1" si="14"/>
        <v>0</v>
      </c>
      <c r="DO14" s="2307">
        <f t="shared" ca="1" si="14"/>
        <v>0</v>
      </c>
      <c r="DP14" s="2307">
        <f t="shared" ca="1" si="14"/>
        <v>0</v>
      </c>
      <c r="DR14" t="s">
        <v>290</v>
      </c>
    </row>
    <row r="15" spans="1:122" outlineLevel="1">
      <c r="A15" s="1221">
        <v>1110052010</v>
      </c>
      <c r="B15" s="1222" t="s">
        <v>2222</v>
      </c>
      <c r="C15" s="2385" t="s">
        <v>64</v>
      </c>
      <c r="D15" s="1602">
        <v>1100000895</v>
      </c>
      <c r="E15" s="1603">
        <v>44936</v>
      </c>
      <c r="F15" s="1224"/>
      <c r="G15" s="1266"/>
      <c r="H15" s="1225"/>
      <c r="I15" s="2386"/>
      <c r="J15" s="1604">
        <v>1</v>
      </c>
      <c r="K15" s="1605">
        <v>1</v>
      </c>
      <c r="L15" s="1606"/>
      <c r="M15" s="2387">
        <f t="shared" si="6"/>
        <v>0</v>
      </c>
      <c r="N15" s="1228">
        <f ca="1">IF(OR(E15="",E15&gt;TODAY()),0,IF(ISERROR(VLOOKUP($E15,'TRM BanRep'!$A:$G,7,0)),0,VLOOKUP($E15,'TRM BanRep'!$A:$G,7,0)))</f>
        <v>4885.66</v>
      </c>
      <c r="O15" s="1229">
        <f t="shared" ca="1" si="0"/>
        <v>0</v>
      </c>
      <c r="P15" s="1230">
        <v>-2500000</v>
      </c>
      <c r="Q15" s="1230">
        <f t="shared" si="1"/>
        <v>-2500000</v>
      </c>
      <c r="R15" s="1231">
        <v>4760.6099999999997</v>
      </c>
      <c r="S15" s="1231">
        <v>4760.6099999999997</v>
      </c>
      <c r="T15" s="2388">
        <f t="shared" si="2"/>
        <v>-11901525000</v>
      </c>
      <c r="U15" s="111">
        <f t="shared" si="7"/>
        <v>-2500000</v>
      </c>
      <c r="V15" s="566">
        <f t="shared" ca="1" si="8"/>
        <v>-11901525000</v>
      </c>
      <c r="W15" s="2389">
        <f t="shared" si="12"/>
        <v>0</v>
      </c>
      <c r="X15" s="1236">
        <f t="shared" si="13"/>
        <v>0</v>
      </c>
      <c r="Y15" s="519"/>
      <c r="Z15" s="1055"/>
      <c r="AA15" s="2309">
        <f t="shared" ca="1" si="15"/>
        <v>-2500000</v>
      </c>
      <c r="AB15" s="2310">
        <f t="shared" ca="1" si="15"/>
        <v>0</v>
      </c>
      <c r="AC15" s="2310">
        <f t="shared" ca="1" si="15"/>
        <v>0</v>
      </c>
      <c r="AD15" s="2310">
        <f t="shared" ca="1" si="15"/>
        <v>0</v>
      </c>
      <c r="AE15" s="2310">
        <f t="shared" ca="1" si="15"/>
        <v>0</v>
      </c>
      <c r="AF15" s="2307">
        <f t="shared" ca="1" si="15"/>
        <v>0</v>
      </c>
      <c r="AG15" s="2307">
        <f t="shared" ca="1" si="15"/>
        <v>0</v>
      </c>
      <c r="AH15" s="2307">
        <f t="shared" ca="1" si="15"/>
        <v>0</v>
      </c>
      <c r="AI15" s="2307">
        <f t="shared" ca="1" si="15"/>
        <v>0</v>
      </c>
      <c r="AJ15" s="2307">
        <f t="shared" ca="1" si="10"/>
        <v>0</v>
      </c>
      <c r="AK15" s="2307">
        <f t="shared" ca="1" si="15"/>
        <v>0</v>
      </c>
      <c r="AL15" s="2308">
        <f t="shared" ca="1" si="15"/>
        <v>0</v>
      </c>
      <c r="AM15" s="2307">
        <f t="shared" ca="1" si="15"/>
        <v>0</v>
      </c>
      <c r="AN15" s="2307">
        <f t="shared" ca="1" si="15"/>
        <v>0</v>
      </c>
      <c r="AO15" s="2307">
        <f t="shared" ca="1" si="15"/>
        <v>0</v>
      </c>
      <c r="AP15" s="2307">
        <f t="shared" ca="1" si="15"/>
        <v>0</v>
      </c>
      <c r="AQ15" s="2307">
        <f t="shared" ca="1" si="15"/>
        <v>0</v>
      </c>
      <c r="AR15" s="2307">
        <f t="shared" ca="1" si="15"/>
        <v>0</v>
      </c>
      <c r="AS15" s="2307">
        <f t="shared" ca="1" si="15"/>
        <v>0</v>
      </c>
      <c r="AT15" s="2307">
        <f t="shared" ca="1" si="15"/>
        <v>0</v>
      </c>
      <c r="AU15" s="2307">
        <f t="shared" ca="1" si="15"/>
        <v>0</v>
      </c>
      <c r="AV15" s="2307">
        <f t="shared" ca="1" si="15"/>
        <v>0</v>
      </c>
      <c r="AW15" s="2307">
        <f t="shared" ca="1" si="15"/>
        <v>0</v>
      </c>
      <c r="AX15" s="2307">
        <f t="shared" ca="1" si="15"/>
        <v>0</v>
      </c>
      <c r="AY15" s="2307">
        <f t="shared" ca="1" si="15"/>
        <v>0</v>
      </c>
      <c r="AZ15" s="2307">
        <f t="shared" ca="1" si="15"/>
        <v>0</v>
      </c>
      <c r="BA15" s="2307">
        <f t="shared" ca="1" si="15"/>
        <v>0</v>
      </c>
      <c r="BB15" s="2307">
        <f t="shared" ca="1" si="15"/>
        <v>0</v>
      </c>
      <c r="BC15" s="2307">
        <f t="shared" ca="1" si="15"/>
        <v>0</v>
      </c>
      <c r="BD15" s="2307">
        <f t="shared" ca="1" si="15"/>
        <v>0</v>
      </c>
      <c r="BE15" s="2307">
        <f t="shared" ca="1" si="15"/>
        <v>0</v>
      </c>
      <c r="BF15" s="2307">
        <f t="shared" ca="1" si="15"/>
        <v>0</v>
      </c>
      <c r="BG15" s="2307">
        <f t="shared" ca="1" si="15"/>
        <v>0</v>
      </c>
      <c r="BH15" s="2307">
        <f t="shared" ca="1" si="15"/>
        <v>0</v>
      </c>
      <c r="BI15" s="2307">
        <f t="shared" ca="1" si="15"/>
        <v>0</v>
      </c>
      <c r="BJ15" s="2307">
        <f t="shared" ca="1" si="15"/>
        <v>0</v>
      </c>
      <c r="BK15" s="2307">
        <f t="shared" ca="1" si="15"/>
        <v>0</v>
      </c>
      <c r="BL15" s="2307">
        <f t="shared" ca="1" si="15"/>
        <v>0</v>
      </c>
      <c r="BM15" s="2307">
        <f t="shared" ca="1" si="15"/>
        <v>0</v>
      </c>
      <c r="BN15" s="2307">
        <f t="shared" ca="1" si="15"/>
        <v>0</v>
      </c>
      <c r="BO15" s="2307">
        <f t="shared" ca="1" si="15"/>
        <v>0</v>
      </c>
      <c r="BP15" s="2307">
        <f t="shared" ca="1" si="15"/>
        <v>0</v>
      </c>
      <c r="BQ15" s="2307">
        <f t="shared" ca="1" si="15"/>
        <v>0</v>
      </c>
      <c r="BR15" s="2307">
        <f t="shared" ca="1" si="15"/>
        <v>0</v>
      </c>
      <c r="BS15" s="2307">
        <f t="shared" ca="1" si="15"/>
        <v>0</v>
      </c>
      <c r="BT15" s="2307">
        <f t="shared" ca="1" si="15"/>
        <v>0</v>
      </c>
      <c r="BU15" s="2307">
        <f t="shared" ca="1" si="15"/>
        <v>0</v>
      </c>
      <c r="BV15" s="2307">
        <f t="shared" ca="1" si="15"/>
        <v>0</v>
      </c>
      <c r="BW15" s="2307">
        <f t="shared" ca="1" si="15"/>
        <v>0</v>
      </c>
      <c r="BX15" s="2307">
        <f t="shared" ca="1" si="15"/>
        <v>0</v>
      </c>
      <c r="BY15" s="2307">
        <f t="shared" ca="1" si="15"/>
        <v>0</v>
      </c>
      <c r="BZ15" s="2307">
        <f t="shared" ca="1" si="15"/>
        <v>0</v>
      </c>
      <c r="CA15" s="2307">
        <f t="shared" ca="1" si="15"/>
        <v>0</v>
      </c>
      <c r="CB15" s="2307">
        <f t="shared" ca="1" si="15"/>
        <v>0</v>
      </c>
      <c r="CC15" s="2307">
        <f t="shared" ca="1" si="15"/>
        <v>0</v>
      </c>
      <c r="CD15" s="2307">
        <f t="shared" ca="1" si="15"/>
        <v>0</v>
      </c>
      <c r="CE15" s="2307">
        <f t="shared" ca="1" si="15"/>
        <v>0</v>
      </c>
      <c r="CF15" s="2307">
        <f t="shared" ca="1" si="15"/>
        <v>0</v>
      </c>
      <c r="CG15" s="2307">
        <f t="shared" ca="1" si="15"/>
        <v>0</v>
      </c>
      <c r="CH15" s="2307">
        <f t="shared" ca="1" si="15"/>
        <v>0</v>
      </c>
      <c r="CI15" s="2307">
        <f t="shared" ca="1" si="15"/>
        <v>0</v>
      </c>
      <c r="CJ15" s="2307">
        <f t="shared" ca="1" si="15"/>
        <v>0</v>
      </c>
      <c r="CK15" s="2307">
        <f t="shared" ca="1" si="15"/>
        <v>0</v>
      </c>
      <c r="CL15" s="2307">
        <f t="shared" ca="1" si="15"/>
        <v>0</v>
      </c>
      <c r="CM15" s="2307">
        <f t="shared" ca="1" si="14"/>
        <v>0</v>
      </c>
      <c r="CN15" s="2307">
        <f t="shared" ca="1" si="14"/>
        <v>0</v>
      </c>
      <c r="CO15" s="2307">
        <f t="shared" ca="1" si="14"/>
        <v>0</v>
      </c>
      <c r="CP15" s="2307">
        <f t="shared" ca="1" si="14"/>
        <v>0</v>
      </c>
      <c r="CQ15" s="2307">
        <f t="shared" ca="1" si="14"/>
        <v>0</v>
      </c>
      <c r="CR15" s="2307">
        <f t="shared" ca="1" si="14"/>
        <v>0</v>
      </c>
      <c r="CS15" s="2307">
        <f t="shared" ca="1" si="14"/>
        <v>0</v>
      </c>
      <c r="CT15" s="2307">
        <f t="shared" ca="1" si="14"/>
        <v>0</v>
      </c>
      <c r="CU15" s="2307">
        <f t="shared" ca="1" si="14"/>
        <v>0</v>
      </c>
      <c r="CV15" s="2307">
        <f t="shared" ca="1" si="14"/>
        <v>0</v>
      </c>
      <c r="CW15" s="2307">
        <f t="shared" ca="1" si="14"/>
        <v>0</v>
      </c>
      <c r="CX15" s="2307">
        <f t="shared" ca="1" si="14"/>
        <v>0</v>
      </c>
      <c r="CY15" s="2307">
        <f t="shared" ca="1" si="14"/>
        <v>0</v>
      </c>
      <c r="CZ15" s="2307">
        <f t="shared" ca="1" si="14"/>
        <v>0</v>
      </c>
      <c r="DA15" s="2307">
        <f t="shared" ca="1" si="14"/>
        <v>0</v>
      </c>
      <c r="DB15" s="2307">
        <f t="shared" ca="1" si="14"/>
        <v>0</v>
      </c>
      <c r="DC15" s="2307">
        <f t="shared" ca="1" si="14"/>
        <v>0</v>
      </c>
      <c r="DD15" s="2307">
        <f t="shared" ca="1" si="14"/>
        <v>0</v>
      </c>
      <c r="DE15" s="2307">
        <f t="shared" ca="1" si="14"/>
        <v>0</v>
      </c>
      <c r="DF15" s="2307">
        <f t="shared" ca="1" si="14"/>
        <v>0</v>
      </c>
      <c r="DG15" s="2307">
        <f t="shared" ca="1" si="14"/>
        <v>0</v>
      </c>
      <c r="DH15" s="2307">
        <f t="shared" ca="1" si="14"/>
        <v>0</v>
      </c>
      <c r="DI15" s="2307">
        <f t="shared" ca="1" si="14"/>
        <v>0</v>
      </c>
      <c r="DJ15" s="2307">
        <f t="shared" ca="1" si="14"/>
        <v>0</v>
      </c>
      <c r="DK15" s="2307">
        <f t="shared" ca="1" si="14"/>
        <v>0</v>
      </c>
      <c r="DL15" s="2307">
        <f t="shared" ca="1" si="14"/>
        <v>0</v>
      </c>
      <c r="DM15" s="2307">
        <f t="shared" ca="1" si="14"/>
        <v>0</v>
      </c>
      <c r="DN15" s="2307">
        <f t="shared" ca="1" si="14"/>
        <v>0</v>
      </c>
      <c r="DO15" s="2307">
        <f t="shared" ca="1" si="14"/>
        <v>0</v>
      </c>
      <c r="DP15" s="2307">
        <f t="shared" ca="1" si="14"/>
        <v>0</v>
      </c>
      <c r="DR15" t="s">
        <v>290</v>
      </c>
    </row>
    <row r="16" spans="1:122" outlineLevel="1">
      <c r="A16" s="55">
        <v>1110052010</v>
      </c>
      <c r="B16" s="509" t="s">
        <v>2207</v>
      </c>
      <c r="C16" s="679" t="s">
        <v>64</v>
      </c>
      <c r="D16" s="1469">
        <v>1100000896</v>
      </c>
      <c r="E16" s="1470">
        <v>44936</v>
      </c>
      <c r="F16" s="416"/>
      <c r="G16" s="1251"/>
      <c r="H16" s="511"/>
      <c r="I16" s="1374"/>
      <c r="J16" s="1425">
        <v>1</v>
      </c>
      <c r="K16" s="1426">
        <v>1</v>
      </c>
      <c r="L16" s="419"/>
      <c r="M16" s="1337">
        <f t="shared" ref="M16:M26" si="16">+L16*J16</f>
        <v>0</v>
      </c>
      <c r="N16" s="504">
        <f ca="1">IF(OR(E16="",E16&gt;TODAY()),0,IF(ISERROR(VLOOKUP($E16,'TRM BanRep'!$A:$G,7,0)),0,VLOOKUP($E16,'TRM BanRep'!$A:$G,7,0)))</f>
        <v>4885.66</v>
      </c>
      <c r="O16" s="513">
        <f t="shared" ref="O16:O26" ca="1" si="17">+L16*J16*N16</f>
        <v>0</v>
      </c>
      <c r="P16" s="514">
        <v>-1820166.47</v>
      </c>
      <c r="Q16" s="514">
        <f t="shared" ref="Q16:Q26" si="18">+P16*K16</f>
        <v>-1820166.47</v>
      </c>
      <c r="R16" s="515">
        <v>4760.6099999999997</v>
      </c>
      <c r="S16" s="515">
        <f ca="1">IF(OR(E16="",E16&gt;TODAY()),0,IF(ISERROR(VLOOKUP($E16,'TRM BanRep'!$A:$G,7,0)),0,VLOOKUP($E16,'TRM BanRep'!$A:$G,7,0)))</f>
        <v>4885.66</v>
      </c>
      <c r="T16" s="516">
        <f t="shared" ref="T16:T26" ca="1" si="19">+P16*K16*S16</f>
        <v>-8892714515.8202</v>
      </c>
      <c r="U16" s="418">
        <f t="shared" ref="U16:U26" si="20">+L16+P16+F16</f>
        <v>-1820166.47</v>
      </c>
      <c r="V16" s="517">
        <f t="shared" ref="V16:V26" ca="1" si="21">+P16*J16*R16+L16*J16*N16+F16*J16*H16</f>
        <v>-8665102698.7466984</v>
      </c>
      <c r="W16" s="518">
        <f t="shared" ca="1" si="12"/>
        <v>0</v>
      </c>
      <c r="X16" s="975">
        <f t="shared" ca="1" si="13"/>
        <v>-227611817.07350159</v>
      </c>
      <c r="Y16" s="519"/>
      <c r="Z16" s="1055"/>
      <c r="AA16" s="2309">
        <f t="shared" ref="AA16:CL19" ca="1" si="22">IF($L16="",IF(OR($P16="",$R16=""),0,IF($R16=AA$6,$Q16,0)),IF($E16=AA$5,$M16,))</f>
        <v>-1820166.47</v>
      </c>
      <c r="AB16" s="2310">
        <f t="shared" ca="1" si="22"/>
        <v>0</v>
      </c>
      <c r="AC16" s="2310">
        <f t="shared" ca="1" si="22"/>
        <v>0</v>
      </c>
      <c r="AD16" s="2310">
        <f t="shared" ca="1" si="22"/>
        <v>0</v>
      </c>
      <c r="AE16" s="2310">
        <f t="shared" ca="1" si="22"/>
        <v>0</v>
      </c>
      <c r="AF16" s="2307">
        <f t="shared" ca="1" si="22"/>
        <v>0</v>
      </c>
      <c r="AG16" s="2307">
        <f t="shared" ca="1" si="22"/>
        <v>0</v>
      </c>
      <c r="AH16" s="2307">
        <f t="shared" ca="1" si="22"/>
        <v>0</v>
      </c>
      <c r="AI16" s="2307">
        <f t="shared" ca="1" si="22"/>
        <v>0</v>
      </c>
      <c r="AJ16" s="2307">
        <f t="shared" ca="1" si="10"/>
        <v>0</v>
      </c>
      <c r="AK16" s="2307">
        <f t="shared" ca="1" si="22"/>
        <v>0</v>
      </c>
      <c r="AL16" s="2308">
        <f t="shared" ca="1" si="22"/>
        <v>0</v>
      </c>
      <c r="AM16" s="2307">
        <f t="shared" ca="1" si="22"/>
        <v>0</v>
      </c>
      <c r="AN16" s="2307">
        <f t="shared" ca="1" si="22"/>
        <v>0</v>
      </c>
      <c r="AO16" s="2307">
        <f t="shared" ca="1" si="22"/>
        <v>0</v>
      </c>
      <c r="AP16" s="2307">
        <f t="shared" ca="1" si="22"/>
        <v>0</v>
      </c>
      <c r="AQ16" s="2307">
        <f t="shared" ca="1" si="22"/>
        <v>0</v>
      </c>
      <c r="AR16" s="2307">
        <f t="shared" ca="1" si="22"/>
        <v>0</v>
      </c>
      <c r="AS16" s="2307">
        <f t="shared" ca="1" si="22"/>
        <v>0</v>
      </c>
      <c r="AT16" s="2307">
        <f t="shared" ca="1" si="22"/>
        <v>0</v>
      </c>
      <c r="AU16" s="2307">
        <f t="shared" ca="1" si="22"/>
        <v>0</v>
      </c>
      <c r="AV16" s="2307">
        <f t="shared" ca="1" si="22"/>
        <v>0</v>
      </c>
      <c r="AW16" s="2307">
        <f t="shared" ca="1" si="22"/>
        <v>0</v>
      </c>
      <c r="AX16" s="2307">
        <f t="shared" ca="1" si="22"/>
        <v>0</v>
      </c>
      <c r="AY16" s="2307">
        <f t="shared" ca="1" si="22"/>
        <v>0</v>
      </c>
      <c r="AZ16" s="2307">
        <f t="shared" ca="1" si="22"/>
        <v>0</v>
      </c>
      <c r="BA16" s="2307">
        <f t="shared" ca="1" si="22"/>
        <v>0</v>
      </c>
      <c r="BB16" s="2307">
        <f t="shared" ca="1" si="22"/>
        <v>0</v>
      </c>
      <c r="BC16" s="2307">
        <f t="shared" ca="1" si="22"/>
        <v>0</v>
      </c>
      <c r="BD16" s="2307">
        <f t="shared" ca="1" si="22"/>
        <v>0</v>
      </c>
      <c r="BE16" s="2307">
        <f t="shared" ca="1" si="22"/>
        <v>0</v>
      </c>
      <c r="BF16" s="2307">
        <f t="shared" ca="1" si="22"/>
        <v>0</v>
      </c>
      <c r="BG16" s="2307">
        <f t="shared" ca="1" si="22"/>
        <v>0</v>
      </c>
      <c r="BH16" s="2307">
        <f t="shared" ca="1" si="22"/>
        <v>0</v>
      </c>
      <c r="BI16" s="2307">
        <f t="shared" ca="1" si="22"/>
        <v>0</v>
      </c>
      <c r="BJ16" s="2307">
        <f t="shared" ca="1" si="22"/>
        <v>0</v>
      </c>
      <c r="BK16" s="2307">
        <f t="shared" ca="1" si="22"/>
        <v>0</v>
      </c>
      <c r="BL16" s="2307">
        <f t="shared" ca="1" si="22"/>
        <v>0</v>
      </c>
      <c r="BM16" s="2307">
        <f t="shared" ca="1" si="22"/>
        <v>0</v>
      </c>
      <c r="BN16" s="2307">
        <f t="shared" ca="1" si="22"/>
        <v>0</v>
      </c>
      <c r="BO16" s="2307">
        <f t="shared" ca="1" si="22"/>
        <v>0</v>
      </c>
      <c r="BP16" s="2307">
        <f t="shared" ca="1" si="22"/>
        <v>0</v>
      </c>
      <c r="BQ16" s="2307">
        <f t="shared" ca="1" si="22"/>
        <v>0</v>
      </c>
      <c r="BR16" s="2307">
        <f t="shared" ca="1" si="22"/>
        <v>0</v>
      </c>
      <c r="BS16" s="2307">
        <f t="shared" ca="1" si="22"/>
        <v>0</v>
      </c>
      <c r="BT16" s="2307">
        <f t="shared" ca="1" si="22"/>
        <v>0</v>
      </c>
      <c r="BU16" s="2307">
        <f t="shared" ca="1" si="22"/>
        <v>0</v>
      </c>
      <c r="BV16" s="2307">
        <f t="shared" ca="1" si="22"/>
        <v>0</v>
      </c>
      <c r="BW16" s="2307">
        <f t="shared" ca="1" si="22"/>
        <v>0</v>
      </c>
      <c r="BX16" s="2307">
        <f t="shared" ca="1" si="22"/>
        <v>0</v>
      </c>
      <c r="BY16" s="2307">
        <f t="shared" ca="1" si="22"/>
        <v>0</v>
      </c>
      <c r="BZ16" s="2307">
        <f t="shared" ca="1" si="22"/>
        <v>0</v>
      </c>
      <c r="CA16" s="2307">
        <f t="shared" ca="1" si="22"/>
        <v>0</v>
      </c>
      <c r="CB16" s="2307">
        <f t="shared" ca="1" si="22"/>
        <v>0</v>
      </c>
      <c r="CC16" s="2307">
        <f t="shared" ca="1" si="22"/>
        <v>0</v>
      </c>
      <c r="CD16" s="2307">
        <f t="shared" ca="1" si="22"/>
        <v>0</v>
      </c>
      <c r="CE16" s="2307">
        <f t="shared" ca="1" si="22"/>
        <v>0</v>
      </c>
      <c r="CF16" s="2307">
        <f t="shared" ca="1" si="22"/>
        <v>0</v>
      </c>
      <c r="CG16" s="2307">
        <f t="shared" ca="1" si="22"/>
        <v>0</v>
      </c>
      <c r="CH16" s="2307">
        <f t="shared" ca="1" si="22"/>
        <v>0</v>
      </c>
      <c r="CI16" s="2307">
        <f t="shared" ca="1" si="22"/>
        <v>0</v>
      </c>
      <c r="CJ16" s="2307">
        <f t="shared" ca="1" si="22"/>
        <v>0</v>
      </c>
      <c r="CK16" s="2307">
        <f t="shared" ca="1" si="22"/>
        <v>0</v>
      </c>
      <c r="CL16" s="2307">
        <f t="shared" ca="1" si="22"/>
        <v>0</v>
      </c>
      <c r="CM16" s="2307">
        <f t="shared" ca="1" si="14"/>
        <v>0</v>
      </c>
      <c r="CN16" s="2307">
        <f t="shared" ca="1" si="14"/>
        <v>0</v>
      </c>
      <c r="CO16" s="2307">
        <f t="shared" ca="1" si="14"/>
        <v>0</v>
      </c>
      <c r="CP16" s="2307">
        <f t="shared" ca="1" si="14"/>
        <v>0</v>
      </c>
      <c r="CQ16" s="2307">
        <f t="shared" ca="1" si="14"/>
        <v>0</v>
      </c>
      <c r="CR16" s="2307">
        <f t="shared" ca="1" si="14"/>
        <v>0</v>
      </c>
      <c r="CS16" s="2307">
        <f t="shared" ca="1" si="14"/>
        <v>0</v>
      </c>
      <c r="CT16" s="2307">
        <f t="shared" ca="1" si="14"/>
        <v>0</v>
      </c>
      <c r="CU16" s="2307">
        <f t="shared" ca="1" si="14"/>
        <v>0</v>
      </c>
      <c r="CV16" s="2307">
        <f t="shared" ca="1" si="14"/>
        <v>0</v>
      </c>
      <c r="CW16" s="2307">
        <f t="shared" ca="1" si="14"/>
        <v>0</v>
      </c>
      <c r="CX16" s="2307">
        <f t="shared" ca="1" si="14"/>
        <v>0</v>
      </c>
      <c r="CY16" s="2307">
        <f t="shared" ca="1" si="14"/>
        <v>0</v>
      </c>
      <c r="CZ16" s="2307">
        <f t="shared" ca="1" si="14"/>
        <v>0</v>
      </c>
      <c r="DA16" s="2307">
        <f t="shared" ca="1" si="14"/>
        <v>0</v>
      </c>
      <c r="DB16" s="2307">
        <f t="shared" ca="1" si="14"/>
        <v>0</v>
      </c>
      <c r="DC16" s="2307">
        <f t="shared" ca="1" si="14"/>
        <v>0</v>
      </c>
      <c r="DD16" s="2307">
        <f t="shared" ca="1" si="14"/>
        <v>0</v>
      </c>
      <c r="DE16" s="2307">
        <f t="shared" ca="1" si="14"/>
        <v>0</v>
      </c>
      <c r="DF16" s="2307">
        <f t="shared" ca="1" si="14"/>
        <v>0</v>
      </c>
      <c r="DG16" s="2307">
        <f t="shared" ca="1" si="14"/>
        <v>0</v>
      </c>
      <c r="DH16" s="2307">
        <f t="shared" ca="1" si="14"/>
        <v>0</v>
      </c>
      <c r="DI16" s="2307">
        <f t="shared" ca="1" si="14"/>
        <v>0</v>
      </c>
      <c r="DJ16" s="2307">
        <f t="shared" ca="1" si="14"/>
        <v>0</v>
      </c>
      <c r="DK16" s="2307">
        <f t="shared" ca="1" si="14"/>
        <v>0</v>
      </c>
      <c r="DL16" s="2307">
        <f t="shared" ca="1" si="14"/>
        <v>0</v>
      </c>
      <c r="DM16" s="2307">
        <f t="shared" ca="1" si="14"/>
        <v>0</v>
      </c>
      <c r="DN16" s="2307">
        <f t="shared" ca="1" si="14"/>
        <v>0</v>
      </c>
      <c r="DO16" s="2307">
        <f t="shared" ca="1" si="14"/>
        <v>0</v>
      </c>
      <c r="DP16" s="2307">
        <f t="shared" ca="1" si="14"/>
        <v>0</v>
      </c>
      <c r="DR16" t="s">
        <v>290</v>
      </c>
    </row>
    <row r="17" spans="1:122" outlineLevel="1">
      <c r="A17" s="55">
        <v>1110052010</v>
      </c>
      <c r="B17" s="509" t="s">
        <v>2208</v>
      </c>
      <c r="C17" s="679" t="s">
        <v>64</v>
      </c>
      <c r="D17" s="1469">
        <v>1100000897</v>
      </c>
      <c r="E17" s="1470">
        <v>44936</v>
      </c>
      <c r="F17" s="416"/>
      <c r="G17" s="1251"/>
      <c r="H17" s="511"/>
      <c r="I17" s="1374"/>
      <c r="J17" s="1425">
        <v>1</v>
      </c>
      <c r="K17" s="1426">
        <v>1</v>
      </c>
      <c r="L17" s="419"/>
      <c r="M17" s="1337">
        <f t="shared" si="16"/>
        <v>0</v>
      </c>
      <c r="N17" s="504">
        <f ca="1">IF(OR(E17="",E17&gt;TODAY()),0,IF(ISERROR(VLOOKUP($E17,'TRM BanRep'!$A:$G,7,0)),0,VLOOKUP($E17,'TRM BanRep'!$A:$G,7,0)))</f>
        <v>4885.66</v>
      </c>
      <c r="O17" s="513">
        <f t="shared" ca="1" si="17"/>
        <v>0</v>
      </c>
      <c r="P17" s="514">
        <v>-788263.92</v>
      </c>
      <c r="Q17" s="514">
        <f t="shared" si="18"/>
        <v>-788263.92</v>
      </c>
      <c r="R17" s="515">
        <v>4760.6099999999997</v>
      </c>
      <c r="S17" s="515">
        <f ca="1">IF(OR(E17="",E17&gt;TODAY()),0,IF(ISERROR(VLOOKUP($E17,'TRM BanRep'!$A:$G,7,0)),0,VLOOKUP($E17,'TRM BanRep'!$A:$G,7,0)))</f>
        <v>4885.66</v>
      </c>
      <c r="T17" s="516">
        <f t="shared" ca="1" si="19"/>
        <v>-3851189503.3871999</v>
      </c>
      <c r="U17" s="418">
        <f t="shared" si="20"/>
        <v>-788263.92</v>
      </c>
      <c r="V17" s="517">
        <f t="shared" ca="1" si="21"/>
        <v>-3752617100.1911998</v>
      </c>
      <c r="W17" s="518">
        <f t="shared" ca="1" si="12"/>
        <v>0</v>
      </c>
      <c r="X17" s="975">
        <f t="shared" ca="1" si="13"/>
        <v>-98572403.196000099</v>
      </c>
      <c r="Y17" s="519"/>
      <c r="Z17" s="1055"/>
      <c r="AA17" s="2309">
        <f t="shared" ca="1" si="22"/>
        <v>-788263.92</v>
      </c>
      <c r="AB17" s="2310">
        <f t="shared" ca="1" si="22"/>
        <v>0</v>
      </c>
      <c r="AC17" s="2310">
        <f t="shared" ca="1" si="22"/>
        <v>0</v>
      </c>
      <c r="AD17" s="2310">
        <f t="shared" ca="1" si="22"/>
        <v>0</v>
      </c>
      <c r="AE17" s="2310">
        <f t="shared" ca="1" si="22"/>
        <v>0</v>
      </c>
      <c r="AF17" s="2307">
        <f t="shared" ca="1" si="22"/>
        <v>0</v>
      </c>
      <c r="AG17" s="2307">
        <f t="shared" ca="1" si="22"/>
        <v>0</v>
      </c>
      <c r="AH17" s="2307">
        <f t="shared" ca="1" si="22"/>
        <v>0</v>
      </c>
      <c r="AI17" s="2307">
        <f t="shared" ca="1" si="22"/>
        <v>0</v>
      </c>
      <c r="AJ17" s="2307">
        <f t="shared" ca="1" si="10"/>
        <v>0</v>
      </c>
      <c r="AK17" s="2307">
        <f t="shared" ca="1" si="22"/>
        <v>0</v>
      </c>
      <c r="AL17" s="2308">
        <f t="shared" ca="1" si="22"/>
        <v>0</v>
      </c>
      <c r="AM17" s="2307">
        <f t="shared" ca="1" si="22"/>
        <v>0</v>
      </c>
      <c r="AN17" s="2307">
        <f t="shared" ca="1" si="22"/>
        <v>0</v>
      </c>
      <c r="AO17" s="2307">
        <f t="shared" ca="1" si="22"/>
        <v>0</v>
      </c>
      <c r="AP17" s="2307">
        <f t="shared" ca="1" si="22"/>
        <v>0</v>
      </c>
      <c r="AQ17" s="2307">
        <f t="shared" ca="1" si="22"/>
        <v>0</v>
      </c>
      <c r="AR17" s="2307">
        <f t="shared" ca="1" si="22"/>
        <v>0</v>
      </c>
      <c r="AS17" s="2307">
        <f t="shared" ca="1" si="22"/>
        <v>0</v>
      </c>
      <c r="AT17" s="2307">
        <f t="shared" ca="1" si="22"/>
        <v>0</v>
      </c>
      <c r="AU17" s="2307">
        <f t="shared" ca="1" si="22"/>
        <v>0</v>
      </c>
      <c r="AV17" s="2307">
        <f t="shared" ca="1" si="22"/>
        <v>0</v>
      </c>
      <c r="AW17" s="2307">
        <f t="shared" ca="1" si="22"/>
        <v>0</v>
      </c>
      <c r="AX17" s="2307">
        <f t="shared" ca="1" si="22"/>
        <v>0</v>
      </c>
      <c r="AY17" s="2307">
        <f t="shared" ca="1" si="22"/>
        <v>0</v>
      </c>
      <c r="AZ17" s="2307">
        <f t="shared" ca="1" si="22"/>
        <v>0</v>
      </c>
      <c r="BA17" s="2307">
        <f t="shared" ca="1" si="22"/>
        <v>0</v>
      </c>
      <c r="BB17" s="2307">
        <f t="shared" ca="1" si="22"/>
        <v>0</v>
      </c>
      <c r="BC17" s="2307">
        <f t="shared" ca="1" si="22"/>
        <v>0</v>
      </c>
      <c r="BD17" s="2307">
        <f t="shared" ca="1" si="22"/>
        <v>0</v>
      </c>
      <c r="BE17" s="2307">
        <f t="shared" ca="1" si="22"/>
        <v>0</v>
      </c>
      <c r="BF17" s="2307">
        <f t="shared" ca="1" si="22"/>
        <v>0</v>
      </c>
      <c r="BG17" s="2307">
        <f t="shared" ca="1" si="22"/>
        <v>0</v>
      </c>
      <c r="BH17" s="2307">
        <f t="shared" ca="1" si="22"/>
        <v>0</v>
      </c>
      <c r="BI17" s="2307">
        <f t="shared" ca="1" si="22"/>
        <v>0</v>
      </c>
      <c r="BJ17" s="2307">
        <f t="shared" ca="1" si="22"/>
        <v>0</v>
      </c>
      <c r="BK17" s="2307">
        <f t="shared" ca="1" si="22"/>
        <v>0</v>
      </c>
      <c r="BL17" s="2307">
        <f t="shared" ca="1" si="22"/>
        <v>0</v>
      </c>
      <c r="BM17" s="2307">
        <f t="shared" ca="1" si="22"/>
        <v>0</v>
      </c>
      <c r="BN17" s="2307">
        <f t="shared" ca="1" si="22"/>
        <v>0</v>
      </c>
      <c r="BO17" s="2307">
        <f t="shared" ca="1" si="22"/>
        <v>0</v>
      </c>
      <c r="BP17" s="2307">
        <f t="shared" ca="1" si="22"/>
        <v>0</v>
      </c>
      <c r="BQ17" s="2307">
        <f t="shared" ca="1" si="22"/>
        <v>0</v>
      </c>
      <c r="BR17" s="2307">
        <f t="shared" ca="1" si="22"/>
        <v>0</v>
      </c>
      <c r="BS17" s="2307">
        <f t="shared" ca="1" si="22"/>
        <v>0</v>
      </c>
      <c r="BT17" s="2307">
        <f t="shared" ca="1" si="22"/>
        <v>0</v>
      </c>
      <c r="BU17" s="2307">
        <f t="shared" ca="1" si="22"/>
        <v>0</v>
      </c>
      <c r="BV17" s="2307">
        <f t="shared" ca="1" si="22"/>
        <v>0</v>
      </c>
      <c r="BW17" s="2307">
        <f t="shared" ca="1" si="22"/>
        <v>0</v>
      </c>
      <c r="BX17" s="2307">
        <f t="shared" ca="1" si="22"/>
        <v>0</v>
      </c>
      <c r="BY17" s="2307">
        <f t="shared" ca="1" si="22"/>
        <v>0</v>
      </c>
      <c r="BZ17" s="2307">
        <f t="shared" ca="1" si="22"/>
        <v>0</v>
      </c>
      <c r="CA17" s="2307">
        <f t="shared" ca="1" si="22"/>
        <v>0</v>
      </c>
      <c r="CB17" s="2307">
        <f t="shared" ca="1" si="22"/>
        <v>0</v>
      </c>
      <c r="CC17" s="2307">
        <f t="shared" ca="1" si="22"/>
        <v>0</v>
      </c>
      <c r="CD17" s="2307">
        <f t="shared" ca="1" si="22"/>
        <v>0</v>
      </c>
      <c r="CE17" s="2307">
        <f t="shared" ca="1" si="22"/>
        <v>0</v>
      </c>
      <c r="CF17" s="2307">
        <f t="shared" ca="1" si="22"/>
        <v>0</v>
      </c>
      <c r="CG17" s="2307">
        <f t="shared" ca="1" si="22"/>
        <v>0</v>
      </c>
      <c r="CH17" s="2307">
        <f t="shared" ca="1" si="22"/>
        <v>0</v>
      </c>
      <c r="CI17" s="2307">
        <f t="shared" ca="1" si="22"/>
        <v>0</v>
      </c>
      <c r="CJ17" s="2307">
        <f t="shared" ca="1" si="22"/>
        <v>0</v>
      </c>
      <c r="CK17" s="2307">
        <f t="shared" ca="1" si="22"/>
        <v>0</v>
      </c>
      <c r="CL17" s="2307">
        <f t="shared" ca="1" si="22"/>
        <v>0</v>
      </c>
      <c r="CM17" s="2307">
        <f t="shared" ca="1" si="14"/>
        <v>0</v>
      </c>
      <c r="CN17" s="2307">
        <f t="shared" ca="1" si="14"/>
        <v>0</v>
      </c>
      <c r="CO17" s="2307">
        <f t="shared" ca="1" si="14"/>
        <v>0</v>
      </c>
      <c r="CP17" s="2307">
        <f t="shared" ca="1" si="14"/>
        <v>0</v>
      </c>
      <c r="CQ17" s="2307">
        <f t="shared" ca="1" si="14"/>
        <v>0</v>
      </c>
      <c r="CR17" s="2307">
        <f t="shared" ca="1" si="14"/>
        <v>0</v>
      </c>
      <c r="CS17" s="2307">
        <f t="shared" ca="1" si="14"/>
        <v>0</v>
      </c>
      <c r="CT17" s="2307">
        <f t="shared" ca="1" si="14"/>
        <v>0</v>
      </c>
      <c r="CU17" s="2307">
        <f t="shared" ca="1" si="14"/>
        <v>0</v>
      </c>
      <c r="CV17" s="2307">
        <f t="shared" ca="1" si="14"/>
        <v>0</v>
      </c>
      <c r="CW17" s="2307">
        <f t="shared" ca="1" si="14"/>
        <v>0</v>
      </c>
      <c r="CX17" s="2307">
        <f t="shared" ca="1" si="14"/>
        <v>0</v>
      </c>
      <c r="CY17" s="2307">
        <f t="shared" ca="1" si="14"/>
        <v>0</v>
      </c>
      <c r="CZ17" s="2307">
        <f t="shared" ca="1" si="14"/>
        <v>0</v>
      </c>
      <c r="DA17" s="2307">
        <f t="shared" ca="1" si="14"/>
        <v>0</v>
      </c>
      <c r="DB17" s="2307">
        <f t="shared" ca="1" si="14"/>
        <v>0</v>
      </c>
      <c r="DC17" s="2307">
        <f t="shared" ca="1" si="14"/>
        <v>0</v>
      </c>
      <c r="DD17" s="2307">
        <f t="shared" ca="1" si="14"/>
        <v>0</v>
      </c>
      <c r="DE17" s="2307">
        <f t="shared" ca="1" si="14"/>
        <v>0</v>
      </c>
      <c r="DF17" s="2307">
        <f t="shared" ca="1" si="14"/>
        <v>0</v>
      </c>
      <c r="DG17" s="2307">
        <f t="shared" ca="1" si="14"/>
        <v>0</v>
      </c>
      <c r="DH17" s="2307">
        <f t="shared" ca="1" si="14"/>
        <v>0</v>
      </c>
      <c r="DI17" s="2307">
        <f t="shared" ca="1" si="14"/>
        <v>0</v>
      </c>
      <c r="DJ17" s="2307">
        <f t="shared" ca="1" si="14"/>
        <v>0</v>
      </c>
      <c r="DK17" s="2307">
        <f t="shared" ca="1" si="14"/>
        <v>0</v>
      </c>
      <c r="DL17" s="2307">
        <f t="shared" ca="1" si="14"/>
        <v>0</v>
      </c>
      <c r="DM17" s="2307">
        <f t="shared" ca="1" si="14"/>
        <v>0</v>
      </c>
      <c r="DN17" s="2307">
        <f t="shared" ca="1" si="14"/>
        <v>0</v>
      </c>
      <c r="DO17" s="2307">
        <f t="shared" ca="1" si="14"/>
        <v>0</v>
      </c>
      <c r="DP17" s="2307">
        <f t="shared" ca="1" si="14"/>
        <v>0</v>
      </c>
      <c r="DR17" t="s">
        <v>290</v>
      </c>
    </row>
    <row r="18" spans="1:122" outlineLevel="1">
      <c r="A18" s="55">
        <v>1110052010</v>
      </c>
      <c r="B18" s="509" t="s">
        <v>2209</v>
      </c>
      <c r="C18" s="679" t="s">
        <v>64</v>
      </c>
      <c r="D18" s="1469">
        <v>1100000898</v>
      </c>
      <c r="E18" s="1470">
        <v>44936</v>
      </c>
      <c r="F18" s="416"/>
      <c r="G18" s="1251"/>
      <c r="H18" s="511"/>
      <c r="I18" s="1374"/>
      <c r="J18" s="1425">
        <v>1</v>
      </c>
      <c r="K18" s="1426">
        <v>1</v>
      </c>
      <c r="L18" s="419"/>
      <c r="M18" s="1337">
        <f t="shared" si="16"/>
        <v>0</v>
      </c>
      <c r="N18" s="504">
        <f ca="1">IF(OR(E18="",E18&gt;TODAY()),0,IF(ISERROR(VLOOKUP($E18,'TRM BanRep'!$A:$G,7,0)),0,VLOOKUP($E18,'TRM BanRep'!$A:$G,7,0)))</f>
        <v>4885.66</v>
      </c>
      <c r="O18" s="513">
        <f t="shared" ca="1" si="17"/>
        <v>0</v>
      </c>
      <c r="P18" s="514">
        <v>-720339.5</v>
      </c>
      <c r="Q18" s="514">
        <f t="shared" si="18"/>
        <v>-720339.5</v>
      </c>
      <c r="R18" s="515">
        <v>4760.6099999999997</v>
      </c>
      <c r="S18" s="515">
        <f ca="1">IF(OR(E18="",E18&gt;TODAY()),0,IF(ISERROR(VLOOKUP($E18,'TRM BanRep'!$A:$G,7,0)),0,VLOOKUP($E18,'TRM BanRep'!$A:$G,7,0)))</f>
        <v>4885.66</v>
      </c>
      <c r="T18" s="516">
        <f t="shared" ca="1" si="19"/>
        <v>-3519333881.5699997</v>
      </c>
      <c r="U18" s="418">
        <f t="shared" si="20"/>
        <v>-720339.5</v>
      </c>
      <c r="V18" s="517">
        <f t="shared" ca="1" si="21"/>
        <v>-3429255427.0949998</v>
      </c>
      <c r="W18" s="518">
        <f t="shared" ref="W18:W30" ca="1" si="23">IF((-P18*J18*R18)-(-P18*K18*S18)&gt;0,(-P18*J18*R18)-(-P18*K18*S18),0)</f>
        <v>0</v>
      </c>
      <c r="X18" s="975">
        <f t="shared" ref="X18:X30" ca="1" si="24">IF((-P18*J18*R18)-(-P18*K18*S18)&lt;0,(-P18*J18*R18)-(-P18*K18*S18),0)</f>
        <v>-90078454.474999905</v>
      </c>
      <c r="Y18" s="519"/>
      <c r="Z18" s="1055"/>
      <c r="AA18" s="2309">
        <f t="shared" ca="1" si="22"/>
        <v>-720339.5</v>
      </c>
      <c r="AB18" s="2310">
        <f t="shared" ca="1" si="22"/>
        <v>0</v>
      </c>
      <c r="AC18" s="2310">
        <f t="shared" ca="1" si="22"/>
        <v>0</v>
      </c>
      <c r="AD18" s="2310">
        <f t="shared" ca="1" si="22"/>
        <v>0</v>
      </c>
      <c r="AE18" s="2310">
        <f t="shared" ca="1" si="22"/>
        <v>0</v>
      </c>
      <c r="AF18" s="2307">
        <f t="shared" ca="1" si="22"/>
        <v>0</v>
      </c>
      <c r="AG18" s="2307">
        <f t="shared" ca="1" si="22"/>
        <v>0</v>
      </c>
      <c r="AH18" s="2307">
        <f t="shared" ca="1" si="22"/>
        <v>0</v>
      </c>
      <c r="AI18" s="2307">
        <f t="shared" ca="1" si="22"/>
        <v>0</v>
      </c>
      <c r="AJ18" s="2307">
        <f t="shared" ca="1" si="10"/>
        <v>0</v>
      </c>
      <c r="AK18" s="2307">
        <f t="shared" ca="1" si="22"/>
        <v>0</v>
      </c>
      <c r="AL18" s="2308">
        <f t="shared" ca="1" si="22"/>
        <v>0</v>
      </c>
      <c r="AM18" s="2307">
        <f t="shared" ca="1" si="22"/>
        <v>0</v>
      </c>
      <c r="AN18" s="2307">
        <f t="shared" ca="1" si="22"/>
        <v>0</v>
      </c>
      <c r="AO18" s="2307">
        <f t="shared" ca="1" si="22"/>
        <v>0</v>
      </c>
      <c r="AP18" s="2307">
        <f t="shared" ca="1" si="22"/>
        <v>0</v>
      </c>
      <c r="AQ18" s="2307">
        <f t="shared" ca="1" si="22"/>
        <v>0</v>
      </c>
      <c r="AR18" s="2307">
        <f t="shared" ca="1" si="22"/>
        <v>0</v>
      </c>
      <c r="AS18" s="2307">
        <f t="shared" ca="1" si="22"/>
        <v>0</v>
      </c>
      <c r="AT18" s="2307">
        <f t="shared" ca="1" si="22"/>
        <v>0</v>
      </c>
      <c r="AU18" s="2307">
        <f t="shared" ca="1" si="22"/>
        <v>0</v>
      </c>
      <c r="AV18" s="2307">
        <f t="shared" ca="1" si="22"/>
        <v>0</v>
      </c>
      <c r="AW18" s="2307">
        <f t="shared" ca="1" si="22"/>
        <v>0</v>
      </c>
      <c r="AX18" s="2307">
        <f t="shared" ca="1" si="22"/>
        <v>0</v>
      </c>
      <c r="AY18" s="2307">
        <f t="shared" ca="1" si="22"/>
        <v>0</v>
      </c>
      <c r="AZ18" s="2307">
        <f t="shared" ca="1" si="22"/>
        <v>0</v>
      </c>
      <c r="BA18" s="2307">
        <f t="shared" ca="1" si="22"/>
        <v>0</v>
      </c>
      <c r="BB18" s="2307">
        <f t="shared" ca="1" si="22"/>
        <v>0</v>
      </c>
      <c r="BC18" s="2307">
        <f t="shared" ca="1" si="22"/>
        <v>0</v>
      </c>
      <c r="BD18" s="2307">
        <f t="shared" ca="1" si="22"/>
        <v>0</v>
      </c>
      <c r="BE18" s="2307">
        <f t="shared" ca="1" si="22"/>
        <v>0</v>
      </c>
      <c r="BF18" s="2307">
        <f t="shared" ca="1" si="22"/>
        <v>0</v>
      </c>
      <c r="BG18" s="2307">
        <f t="shared" ca="1" si="22"/>
        <v>0</v>
      </c>
      <c r="BH18" s="2307">
        <f t="shared" ca="1" si="22"/>
        <v>0</v>
      </c>
      <c r="BI18" s="2307">
        <f t="shared" ca="1" si="22"/>
        <v>0</v>
      </c>
      <c r="BJ18" s="2307">
        <f t="shared" ca="1" si="22"/>
        <v>0</v>
      </c>
      <c r="BK18" s="2307">
        <f t="shared" ca="1" si="22"/>
        <v>0</v>
      </c>
      <c r="BL18" s="2307">
        <f t="shared" ca="1" si="22"/>
        <v>0</v>
      </c>
      <c r="BM18" s="2307">
        <f t="shared" ca="1" si="22"/>
        <v>0</v>
      </c>
      <c r="BN18" s="2307">
        <f t="shared" ca="1" si="22"/>
        <v>0</v>
      </c>
      <c r="BO18" s="2307">
        <f t="shared" ca="1" si="22"/>
        <v>0</v>
      </c>
      <c r="BP18" s="2307">
        <f t="shared" ca="1" si="22"/>
        <v>0</v>
      </c>
      <c r="BQ18" s="2307">
        <f t="shared" ca="1" si="22"/>
        <v>0</v>
      </c>
      <c r="BR18" s="2307">
        <f t="shared" ca="1" si="22"/>
        <v>0</v>
      </c>
      <c r="BS18" s="2307">
        <f t="shared" ca="1" si="22"/>
        <v>0</v>
      </c>
      <c r="BT18" s="2307">
        <f t="shared" ca="1" si="22"/>
        <v>0</v>
      </c>
      <c r="BU18" s="2307">
        <f t="shared" ca="1" si="22"/>
        <v>0</v>
      </c>
      <c r="BV18" s="2307">
        <f t="shared" ca="1" si="22"/>
        <v>0</v>
      </c>
      <c r="BW18" s="2307">
        <f t="shared" ca="1" si="22"/>
        <v>0</v>
      </c>
      <c r="BX18" s="2307">
        <f t="shared" ca="1" si="22"/>
        <v>0</v>
      </c>
      <c r="BY18" s="2307">
        <f t="shared" ca="1" si="22"/>
        <v>0</v>
      </c>
      <c r="BZ18" s="2307">
        <f t="shared" ca="1" si="22"/>
        <v>0</v>
      </c>
      <c r="CA18" s="2307">
        <f t="shared" ca="1" si="22"/>
        <v>0</v>
      </c>
      <c r="CB18" s="2307">
        <f t="shared" ca="1" si="22"/>
        <v>0</v>
      </c>
      <c r="CC18" s="2307">
        <f t="shared" ca="1" si="22"/>
        <v>0</v>
      </c>
      <c r="CD18" s="2307">
        <f t="shared" ca="1" si="22"/>
        <v>0</v>
      </c>
      <c r="CE18" s="2307">
        <f t="shared" ca="1" si="22"/>
        <v>0</v>
      </c>
      <c r="CF18" s="2307">
        <f t="shared" ca="1" si="22"/>
        <v>0</v>
      </c>
      <c r="CG18" s="2307">
        <f t="shared" ca="1" si="22"/>
        <v>0</v>
      </c>
      <c r="CH18" s="2307">
        <f t="shared" ca="1" si="22"/>
        <v>0</v>
      </c>
      <c r="CI18" s="2307">
        <f t="shared" ca="1" si="22"/>
        <v>0</v>
      </c>
      <c r="CJ18" s="2307">
        <f t="shared" ca="1" si="22"/>
        <v>0</v>
      </c>
      <c r="CK18" s="2307">
        <f t="shared" ca="1" si="22"/>
        <v>0</v>
      </c>
      <c r="CL18" s="2307">
        <f t="shared" ca="1" si="14"/>
        <v>0</v>
      </c>
      <c r="CM18" s="2307">
        <f t="shared" ca="1" si="14"/>
        <v>0</v>
      </c>
      <c r="CN18" s="2307">
        <f t="shared" ca="1" si="14"/>
        <v>0</v>
      </c>
      <c r="CO18" s="2307">
        <f t="shared" ca="1" si="14"/>
        <v>0</v>
      </c>
      <c r="CP18" s="2307">
        <f t="shared" ca="1" si="14"/>
        <v>0</v>
      </c>
      <c r="CQ18" s="2307">
        <f t="shared" ca="1" si="14"/>
        <v>0</v>
      </c>
      <c r="CR18" s="2307">
        <f t="shared" ca="1" si="14"/>
        <v>0</v>
      </c>
      <c r="CS18" s="2307">
        <f t="shared" ca="1" si="14"/>
        <v>0</v>
      </c>
      <c r="CT18" s="2307">
        <f t="shared" ca="1" si="14"/>
        <v>0</v>
      </c>
      <c r="CU18" s="2307">
        <f t="shared" ca="1" si="14"/>
        <v>0</v>
      </c>
      <c r="CV18" s="2307">
        <f t="shared" ca="1" si="14"/>
        <v>0</v>
      </c>
      <c r="CW18" s="2307">
        <f t="shared" ca="1" si="14"/>
        <v>0</v>
      </c>
      <c r="CX18" s="2307">
        <f t="shared" ca="1" si="14"/>
        <v>0</v>
      </c>
      <c r="CY18" s="2307">
        <f t="shared" ca="1" si="14"/>
        <v>0</v>
      </c>
      <c r="CZ18" s="2307">
        <f t="shared" ca="1" si="14"/>
        <v>0</v>
      </c>
      <c r="DA18" s="2307">
        <f t="shared" ca="1" si="14"/>
        <v>0</v>
      </c>
      <c r="DB18" s="2307">
        <f t="shared" ca="1" si="14"/>
        <v>0</v>
      </c>
      <c r="DC18" s="2307">
        <f t="shared" ca="1" si="14"/>
        <v>0</v>
      </c>
      <c r="DD18" s="2307">
        <f t="shared" ca="1" si="14"/>
        <v>0</v>
      </c>
      <c r="DE18" s="2307">
        <f t="shared" ca="1" si="14"/>
        <v>0</v>
      </c>
      <c r="DF18" s="2307">
        <f t="shared" ca="1" si="14"/>
        <v>0</v>
      </c>
      <c r="DG18" s="2307">
        <f t="shared" ca="1" si="14"/>
        <v>0</v>
      </c>
      <c r="DH18" s="2307">
        <f t="shared" ca="1" si="14"/>
        <v>0</v>
      </c>
      <c r="DI18" s="2307">
        <f t="shared" ca="1" si="14"/>
        <v>0</v>
      </c>
      <c r="DJ18" s="2307">
        <f t="shared" ca="1" si="14"/>
        <v>0</v>
      </c>
      <c r="DK18" s="2307">
        <f t="shared" ca="1" si="14"/>
        <v>0</v>
      </c>
      <c r="DL18" s="2307">
        <f t="shared" ca="1" si="14"/>
        <v>0</v>
      </c>
      <c r="DM18" s="2307">
        <f t="shared" ca="1" si="14"/>
        <v>0</v>
      </c>
      <c r="DN18" s="2307">
        <f t="shared" ca="1" si="14"/>
        <v>0</v>
      </c>
      <c r="DO18" s="2307">
        <f t="shared" ca="1" si="14"/>
        <v>0</v>
      </c>
      <c r="DP18" s="2307">
        <f t="shared" ca="1" si="14"/>
        <v>0</v>
      </c>
      <c r="DR18" t="s">
        <v>290</v>
      </c>
    </row>
    <row r="19" spans="1:122" outlineLevel="1">
      <c r="A19" s="55">
        <v>1110052010</v>
      </c>
      <c r="B19" s="509" t="s">
        <v>2210</v>
      </c>
      <c r="C19" s="679" t="s">
        <v>64</v>
      </c>
      <c r="D19" s="1469">
        <v>1100000899</v>
      </c>
      <c r="E19" s="1470">
        <v>44937</v>
      </c>
      <c r="F19" s="416"/>
      <c r="G19" s="1251"/>
      <c r="H19" s="511"/>
      <c r="I19" s="1374"/>
      <c r="J19" s="1425">
        <v>1</v>
      </c>
      <c r="K19" s="1426">
        <v>1</v>
      </c>
      <c r="L19" s="419"/>
      <c r="M19" s="1337">
        <f t="shared" si="16"/>
        <v>0</v>
      </c>
      <c r="N19" s="504">
        <f ca="1">IF(OR(E19="",E19&gt;TODAY()),0,IF(ISERROR(VLOOKUP($E19,'TRM BanRep'!$A:$G,7,0)),0,VLOOKUP($E19,'TRM BanRep'!$A:$G,7,0)))</f>
        <v>4807.8500000000004</v>
      </c>
      <c r="O19" s="513">
        <f t="shared" ca="1" si="17"/>
        <v>0</v>
      </c>
      <c r="P19" s="514">
        <v>-550</v>
      </c>
      <c r="Q19" s="514">
        <f t="shared" si="18"/>
        <v>-550</v>
      </c>
      <c r="R19" s="515">
        <v>4760.6099999999997</v>
      </c>
      <c r="S19" s="515">
        <f ca="1">IF(OR(E19="",E19&gt;TODAY()),0,IF(ISERROR(VLOOKUP($E19,'TRM BanRep'!$A:$G,7,0)),0,VLOOKUP($E19,'TRM BanRep'!$A:$G,7,0)))</f>
        <v>4807.8500000000004</v>
      </c>
      <c r="T19" s="516">
        <f t="shared" ca="1" si="19"/>
        <v>-2644317.5</v>
      </c>
      <c r="U19" s="418">
        <f t="shared" si="20"/>
        <v>-550</v>
      </c>
      <c r="V19" s="517">
        <f t="shared" ca="1" si="21"/>
        <v>-2618335.5</v>
      </c>
      <c r="W19" s="518">
        <f t="shared" ca="1" si="23"/>
        <v>0</v>
      </c>
      <c r="X19" s="975">
        <f t="shared" ca="1" si="24"/>
        <v>-25982</v>
      </c>
      <c r="Y19" s="519"/>
      <c r="Z19" s="1055"/>
      <c r="AA19" s="2309">
        <f t="shared" ca="1" si="22"/>
        <v>-550</v>
      </c>
      <c r="AB19" s="2310">
        <f t="shared" ca="1" si="22"/>
        <v>0</v>
      </c>
      <c r="AC19" s="2310">
        <f t="shared" ca="1" si="22"/>
        <v>0</v>
      </c>
      <c r="AD19" s="2310">
        <f t="shared" ca="1" si="22"/>
        <v>0</v>
      </c>
      <c r="AE19" s="2310">
        <f t="shared" ca="1" si="22"/>
        <v>0</v>
      </c>
      <c r="AF19" s="2307">
        <f t="shared" ca="1" si="22"/>
        <v>0</v>
      </c>
      <c r="AG19" s="2307">
        <f t="shared" ca="1" si="22"/>
        <v>0</v>
      </c>
      <c r="AH19" s="2307">
        <f t="shared" ca="1" si="22"/>
        <v>0</v>
      </c>
      <c r="AI19" s="2307">
        <f t="shared" ca="1" si="22"/>
        <v>0</v>
      </c>
      <c r="AJ19" s="2307">
        <f t="shared" ca="1" si="10"/>
        <v>0</v>
      </c>
      <c r="AK19" s="2307">
        <f t="shared" ca="1" si="22"/>
        <v>0</v>
      </c>
      <c r="AL19" s="2308">
        <f t="shared" ca="1" si="22"/>
        <v>0</v>
      </c>
      <c r="AM19" s="2307">
        <f t="shared" ca="1" si="22"/>
        <v>0</v>
      </c>
      <c r="AN19" s="2307">
        <f t="shared" ca="1" si="22"/>
        <v>0</v>
      </c>
      <c r="AO19" s="2307">
        <f t="shared" ca="1" si="22"/>
        <v>0</v>
      </c>
      <c r="AP19" s="2307">
        <f t="shared" ca="1" si="22"/>
        <v>0</v>
      </c>
      <c r="AQ19" s="2307">
        <f t="shared" ca="1" si="22"/>
        <v>0</v>
      </c>
      <c r="AR19" s="2307">
        <f t="shared" ca="1" si="22"/>
        <v>0</v>
      </c>
      <c r="AS19" s="2307">
        <f t="shared" ca="1" si="22"/>
        <v>0</v>
      </c>
      <c r="AT19" s="2307">
        <f t="shared" ca="1" si="22"/>
        <v>0</v>
      </c>
      <c r="AU19" s="2307">
        <f t="shared" ca="1" si="22"/>
        <v>0</v>
      </c>
      <c r="AV19" s="2307">
        <f t="shared" ca="1" si="22"/>
        <v>0</v>
      </c>
      <c r="AW19" s="2307">
        <f t="shared" ca="1" si="22"/>
        <v>0</v>
      </c>
      <c r="AX19" s="2307">
        <f t="shared" ca="1" si="22"/>
        <v>0</v>
      </c>
      <c r="AY19" s="2307">
        <f t="shared" ca="1" si="22"/>
        <v>0</v>
      </c>
      <c r="AZ19" s="2307">
        <f t="shared" ca="1" si="22"/>
        <v>0</v>
      </c>
      <c r="BA19" s="2307">
        <f t="shared" ca="1" si="22"/>
        <v>0</v>
      </c>
      <c r="BB19" s="2307">
        <f t="shared" ca="1" si="22"/>
        <v>0</v>
      </c>
      <c r="BC19" s="2307">
        <f t="shared" ca="1" si="22"/>
        <v>0</v>
      </c>
      <c r="BD19" s="2307">
        <f t="shared" ca="1" si="22"/>
        <v>0</v>
      </c>
      <c r="BE19" s="2307">
        <f t="shared" ca="1" si="22"/>
        <v>0</v>
      </c>
      <c r="BF19" s="2307">
        <f t="shared" ca="1" si="22"/>
        <v>0</v>
      </c>
      <c r="BG19" s="2307">
        <f t="shared" ca="1" si="22"/>
        <v>0</v>
      </c>
      <c r="BH19" s="2307">
        <f t="shared" ca="1" si="22"/>
        <v>0</v>
      </c>
      <c r="BI19" s="2307">
        <f t="shared" ca="1" si="22"/>
        <v>0</v>
      </c>
      <c r="BJ19" s="2307">
        <f t="shared" ca="1" si="22"/>
        <v>0</v>
      </c>
      <c r="BK19" s="2307">
        <f t="shared" ca="1" si="22"/>
        <v>0</v>
      </c>
      <c r="BL19" s="2307">
        <f t="shared" ca="1" si="22"/>
        <v>0</v>
      </c>
      <c r="BM19" s="2307">
        <f t="shared" ca="1" si="22"/>
        <v>0</v>
      </c>
      <c r="BN19" s="2307">
        <f t="shared" ca="1" si="22"/>
        <v>0</v>
      </c>
      <c r="BO19" s="2307">
        <f t="shared" ca="1" si="22"/>
        <v>0</v>
      </c>
      <c r="BP19" s="2307">
        <f t="shared" ca="1" si="22"/>
        <v>0</v>
      </c>
      <c r="BQ19" s="2307">
        <f t="shared" ca="1" si="22"/>
        <v>0</v>
      </c>
      <c r="BR19" s="2307">
        <f t="shared" ca="1" si="22"/>
        <v>0</v>
      </c>
      <c r="BS19" s="2307">
        <f t="shared" ca="1" si="22"/>
        <v>0</v>
      </c>
      <c r="BT19" s="2307">
        <f t="shared" ca="1" si="22"/>
        <v>0</v>
      </c>
      <c r="BU19" s="2307">
        <f t="shared" ca="1" si="22"/>
        <v>0</v>
      </c>
      <c r="BV19" s="2307">
        <f t="shared" ca="1" si="22"/>
        <v>0</v>
      </c>
      <c r="BW19" s="2307">
        <f t="shared" ca="1" si="22"/>
        <v>0</v>
      </c>
      <c r="BX19" s="2307">
        <f t="shared" ca="1" si="22"/>
        <v>0</v>
      </c>
      <c r="BY19" s="2307">
        <f t="shared" ca="1" si="22"/>
        <v>0</v>
      </c>
      <c r="BZ19" s="2307">
        <f t="shared" ca="1" si="22"/>
        <v>0</v>
      </c>
      <c r="CA19" s="2307">
        <f t="shared" ca="1" si="22"/>
        <v>0</v>
      </c>
      <c r="CB19" s="2307">
        <f t="shared" ca="1" si="22"/>
        <v>0</v>
      </c>
      <c r="CC19" s="2307">
        <f t="shared" ca="1" si="22"/>
        <v>0</v>
      </c>
      <c r="CD19" s="2307">
        <f t="shared" ca="1" si="22"/>
        <v>0</v>
      </c>
      <c r="CE19" s="2307">
        <f t="shared" ca="1" si="22"/>
        <v>0</v>
      </c>
      <c r="CF19" s="2307">
        <f t="shared" ca="1" si="22"/>
        <v>0</v>
      </c>
      <c r="CG19" s="2307">
        <f t="shared" ca="1" si="22"/>
        <v>0</v>
      </c>
      <c r="CH19" s="2307">
        <f t="shared" ca="1" si="22"/>
        <v>0</v>
      </c>
      <c r="CI19" s="2307">
        <f t="shared" ca="1" si="22"/>
        <v>0</v>
      </c>
      <c r="CJ19" s="2307">
        <f t="shared" ca="1" si="22"/>
        <v>0</v>
      </c>
      <c r="CK19" s="2307">
        <f t="shared" ca="1" si="22"/>
        <v>0</v>
      </c>
      <c r="CL19" s="2307">
        <f t="shared" ca="1" si="22"/>
        <v>0</v>
      </c>
      <c r="CM19" s="2307">
        <f t="shared" ca="1" si="14"/>
        <v>0</v>
      </c>
      <c r="CN19" s="2307">
        <f t="shared" ca="1" si="14"/>
        <v>0</v>
      </c>
      <c r="CO19" s="2307">
        <f t="shared" ca="1" si="14"/>
        <v>0</v>
      </c>
      <c r="CP19" s="2307">
        <f t="shared" ca="1" si="14"/>
        <v>0</v>
      </c>
      <c r="CQ19" s="2307">
        <f t="shared" ca="1" si="14"/>
        <v>0</v>
      </c>
      <c r="CR19" s="2307">
        <f t="shared" ca="1" si="14"/>
        <v>0</v>
      </c>
      <c r="CS19" s="2307">
        <f t="shared" ca="1" si="14"/>
        <v>0</v>
      </c>
      <c r="CT19" s="2307">
        <f t="shared" ca="1" si="14"/>
        <v>0</v>
      </c>
      <c r="CU19" s="2307">
        <f t="shared" ca="1" si="14"/>
        <v>0</v>
      </c>
      <c r="CV19" s="2307">
        <f t="shared" ca="1" si="14"/>
        <v>0</v>
      </c>
      <c r="CW19" s="2307">
        <f t="shared" ca="1" si="14"/>
        <v>0</v>
      </c>
      <c r="CX19" s="2307">
        <f t="shared" ca="1" si="14"/>
        <v>0</v>
      </c>
      <c r="CY19" s="2307">
        <f t="shared" ca="1" si="14"/>
        <v>0</v>
      </c>
      <c r="CZ19" s="2307">
        <f t="shared" ca="1" si="14"/>
        <v>0</v>
      </c>
      <c r="DA19" s="2307">
        <f t="shared" ca="1" si="14"/>
        <v>0</v>
      </c>
      <c r="DB19" s="2307">
        <f t="shared" ca="1" si="14"/>
        <v>0</v>
      </c>
      <c r="DC19" s="2307">
        <f t="shared" ca="1" si="14"/>
        <v>0</v>
      </c>
      <c r="DD19" s="2307">
        <f t="shared" ca="1" si="14"/>
        <v>0</v>
      </c>
      <c r="DE19" s="2307">
        <f t="shared" ca="1" si="14"/>
        <v>0</v>
      </c>
      <c r="DF19" s="2307">
        <f t="shared" ca="1" si="14"/>
        <v>0</v>
      </c>
      <c r="DG19" s="2307">
        <f t="shared" ca="1" si="14"/>
        <v>0</v>
      </c>
      <c r="DH19" s="2307">
        <f t="shared" ca="1" si="14"/>
        <v>0</v>
      </c>
      <c r="DI19" s="2307">
        <f t="shared" ca="1" si="14"/>
        <v>0</v>
      </c>
      <c r="DJ19" s="2307">
        <f t="shared" ca="1" si="14"/>
        <v>0</v>
      </c>
      <c r="DK19" s="2307">
        <f t="shared" ca="1" si="14"/>
        <v>0</v>
      </c>
      <c r="DL19" s="2307">
        <f t="shared" ca="1" si="14"/>
        <v>0</v>
      </c>
      <c r="DM19" s="2307">
        <f t="shared" ca="1" si="14"/>
        <v>0</v>
      </c>
      <c r="DN19" s="2307">
        <f t="shared" ca="1" si="14"/>
        <v>0</v>
      </c>
      <c r="DO19" s="2307">
        <f t="shared" ca="1" si="14"/>
        <v>0</v>
      </c>
      <c r="DP19" s="2307">
        <f t="shared" ca="1" si="14"/>
        <v>0</v>
      </c>
      <c r="DR19" t="s">
        <v>290</v>
      </c>
    </row>
    <row r="20" spans="1:122" outlineLevel="1">
      <c r="A20" s="55">
        <v>1110052010</v>
      </c>
      <c r="B20" s="509" t="s">
        <v>2205</v>
      </c>
      <c r="C20" s="679" t="s">
        <v>64</v>
      </c>
      <c r="D20" s="1469">
        <v>1100001034</v>
      </c>
      <c r="E20" s="1470">
        <v>44938</v>
      </c>
      <c r="F20" s="416"/>
      <c r="G20" s="1251"/>
      <c r="H20" s="511"/>
      <c r="I20" s="1374"/>
      <c r="J20" s="1425">
        <v>1</v>
      </c>
      <c r="K20" s="1426">
        <v>1</v>
      </c>
      <c r="L20" s="419">
        <v>14000000</v>
      </c>
      <c r="M20" s="1337">
        <f t="shared" si="16"/>
        <v>14000000</v>
      </c>
      <c r="N20" s="504">
        <f ca="1">IF(OR(E20="",E20&gt;TODAY()),0,IF(ISERROR(VLOOKUP($E20,'TRM BanRep'!$A:$G,7,0)),0,VLOOKUP($E20,'TRM BanRep'!$A:$G,7,0)))</f>
        <v>4748.54</v>
      </c>
      <c r="O20" s="513">
        <f t="shared" ca="1" si="17"/>
        <v>66479560000</v>
      </c>
      <c r="P20" s="514"/>
      <c r="Q20" s="514">
        <f t="shared" si="18"/>
        <v>0</v>
      </c>
      <c r="R20" s="515"/>
      <c r="S20" s="515">
        <f ca="1">IF(OR(E20="",E20&gt;TODAY()),0,IF(ISERROR(VLOOKUP($E20,'TRM BanRep'!$A:$G,7,0)),0,VLOOKUP($E20,'TRM BanRep'!$A:$G,7,0)))</f>
        <v>4748.54</v>
      </c>
      <c r="T20" s="516">
        <f t="shared" ca="1" si="19"/>
        <v>0</v>
      </c>
      <c r="U20" s="418">
        <f t="shared" si="20"/>
        <v>14000000</v>
      </c>
      <c r="V20" s="517">
        <f t="shared" ca="1" si="21"/>
        <v>66479560000</v>
      </c>
      <c r="W20" s="518">
        <f t="shared" ca="1" si="23"/>
        <v>0</v>
      </c>
      <c r="X20" s="975">
        <f t="shared" ca="1" si="24"/>
        <v>0</v>
      </c>
      <c r="Y20" s="519"/>
      <c r="Z20" s="1055"/>
      <c r="AA20" s="2309">
        <f t="shared" ref="AA20:CL23" si="25">IF($L20="",IF(OR($P20="",$R20=""),0,IF($R20=AA$6,$Q20,0)),IF($E20=AA$5,$M20,))</f>
        <v>0</v>
      </c>
      <c r="AB20" s="2310">
        <f t="shared" si="25"/>
        <v>0</v>
      </c>
      <c r="AC20" s="2310">
        <f t="shared" si="25"/>
        <v>0</v>
      </c>
      <c r="AD20" s="2310">
        <f t="shared" si="25"/>
        <v>0</v>
      </c>
      <c r="AE20" s="2310">
        <f t="shared" si="25"/>
        <v>0</v>
      </c>
      <c r="AF20" s="2307">
        <f t="shared" si="25"/>
        <v>0</v>
      </c>
      <c r="AG20" s="2307">
        <f t="shared" si="25"/>
        <v>0</v>
      </c>
      <c r="AH20" s="2307">
        <f t="shared" si="25"/>
        <v>0</v>
      </c>
      <c r="AI20" s="2307">
        <f t="shared" si="25"/>
        <v>14000000</v>
      </c>
      <c r="AJ20" s="2307">
        <f t="shared" si="10"/>
        <v>0</v>
      </c>
      <c r="AK20" s="2307">
        <f t="shared" si="25"/>
        <v>0</v>
      </c>
      <c r="AL20" s="2308">
        <f t="shared" si="25"/>
        <v>0</v>
      </c>
      <c r="AM20" s="2307">
        <f t="shared" si="25"/>
        <v>0</v>
      </c>
      <c r="AN20" s="2307">
        <f t="shared" si="25"/>
        <v>0</v>
      </c>
      <c r="AO20" s="2307">
        <f t="shared" si="25"/>
        <v>0</v>
      </c>
      <c r="AP20" s="2307">
        <f t="shared" si="25"/>
        <v>0</v>
      </c>
      <c r="AQ20" s="2307">
        <f t="shared" si="25"/>
        <v>0</v>
      </c>
      <c r="AR20" s="2307">
        <f t="shared" si="25"/>
        <v>0</v>
      </c>
      <c r="AS20" s="2307">
        <f t="shared" si="25"/>
        <v>0</v>
      </c>
      <c r="AT20" s="2307">
        <f t="shared" si="25"/>
        <v>0</v>
      </c>
      <c r="AU20" s="2307">
        <f t="shared" si="25"/>
        <v>0</v>
      </c>
      <c r="AV20" s="2307">
        <f t="shared" si="25"/>
        <v>0</v>
      </c>
      <c r="AW20" s="2307">
        <f t="shared" si="25"/>
        <v>0</v>
      </c>
      <c r="AX20" s="2307">
        <f t="shared" si="25"/>
        <v>0</v>
      </c>
      <c r="AY20" s="2307">
        <f t="shared" si="25"/>
        <v>0</v>
      </c>
      <c r="AZ20" s="2307">
        <f t="shared" si="25"/>
        <v>0</v>
      </c>
      <c r="BA20" s="2307">
        <f t="shared" si="25"/>
        <v>0</v>
      </c>
      <c r="BB20" s="2307">
        <f t="shared" si="25"/>
        <v>0</v>
      </c>
      <c r="BC20" s="2307">
        <f t="shared" si="25"/>
        <v>0</v>
      </c>
      <c r="BD20" s="2307">
        <f t="shared" si="25"/>
        <v>0</v>
      </c>
      <c r="BE20" s="2307">
        <f t="shared" si="25"/>
        <v>0</v>
      </c>
      <c r="BF20" s="2307">
        <f t="shared" si="25"/>
        <v>0</v>
      </c>
      <c r="BG20" s="2307">
        <f t="shared" si="25"/>
        <v>0</v>
      </c>
      <c r="BH20" s="2307">
        <f t="shared" si="25"/>
        <v>0</v>
      </c>
      <c r="BI20" s="2307">
        <f t="shared" si="25"/>
        <v>0</v>
      </c>
      <c r="BJ20" s="2307">
        <f t="shared" si="25"/>
        <v>0</v>
      </c>
      <c r="BK20" s="2307">
        <f t="shared" si="25"/>
        <v>0</v>
      </c>
      <c r="BL20" s="2307">
        <f t="shared" si="25"/>
        <v>0</v>
      </c>
      <c r="BM20" s="2307">
        <f t="shared" si="25"/>
        <v>0</v>
      </c>
      <c r="BN20" s="2307">
        <f t="shared" si="25"/>
        <v>0</v>
      </c>
      <c r="BO20" s="2307">
        <f t="shared" si="25"/>
        <v>0</v>
      </c>
      <c r="BP20" s="2307">
        <f t="shared" si="25"/>
        <v>0</v>
      </c>
      <c r="BQ20" s="2307">
        <f t="shared" si="25"/>
        <v>0</v>
      </c>
      <c r="BR20" s="2307">
        <f t="shared" si="25"/>
        <v>0</v>
      </c>
      <c r="BS20" s="2307">
        <f t="shared" si="25"/>
        <v>0</v>
      </c>
      <c r="BT20" s="2307">
        <f t="shared" si="25"/>
        <v>0</v>
      </c>
      <c r="BU20" s="2307">
        <f t="shared" si="25"/>
        <v>0</v>
      </c>
      <c r="BV20" s="2307">
        <f t="shared" si="25"/>
        <v>0</v>
      </c>
      <c r="BW20" s="2307">
        <f t="shared" si="25"/>
        <v>0</v>
      </c>
      <c r="BX20" s="2307">
        <f t="shared" si="25"/>
        <v>0</v>
      </c>
      <c r="BY20" s="2307">
        <f t="shared" si="25"/>
        <v>0</v>
      </c>
      <c r="BZ20" s="2307">
        <f t="shared" si="25"/>
        <v>0</v>
      </c>
      <c r="CA20" s="2307">
        <f t="shared" si="25"/>
        <v>0</v>
      </c>
      <c r="CB20" s="2307">
        <f t="shared" si="25"/>
        <v>0</v>
      </c>
      <c r="CC20" s="2307">
        <f t="shared" si="25"/>
        <v>0</v>
      </c>
      <c r="CD20" s="2307">
        <f t="shared" si="25"/>
        <v>0</v>
      </c>
      <c r="CE20" s="2307">
        <f t="shared" si="25"/>
        <v>0</v>
      </c>
      <c r="CF20" s="2307">
        <f t="shared" si="25"/>
        <v>0</v>
      </c>
      <c r="CG20" s="2307">
        <f t="shared" si="25"/>
        <v>0</v>
      </c>
      <c r="CH20" s="2307">
        <f t="shared" si="25"/>
        <v>0</v>
      </c>
      <c r="CI20" s="2307">
        <f t="shared" si="25"/>
        <v>0</v>
      </c>
      <c r="CJ20" s="2307">
        <f t="shared" si="25"/>
        <v>0</v>
      </c>
      <c r="CK20" s="2307">
        <f t="shared" si="25"/>
        <v>0</v>
      </c>
      <c r="CL20" s="2307">
        <f t="shared" si="25"/>
        <v>0</v>
      </c>
      <c r="CM20" s="2307">
        <f t="shared" si="14"/>
        <v>0</v>
      </c>
      <c r="CN20" s="2307">
        <f t="shared" si="14"/>
        <v>0</v>
      </c>
      <c r="CO20" s="2307">
        <f t="shared" si="14"/>
        <v>0</v>
      </c>
      <c r="CP20" s="2307">
        <f t="shared" si="14"/>
        <v>0</v>
      </c>
      <c r="CQ20" s="2307">
        <f t="shared" si="14"/>
        <v>0</v>
      </c>
      <c r="CR20" s="2307">
        <f t="shared" si="14"/>
        <v>0</v>
      </c>
      <c r="CS20" s="2307">
        <f t="shared" si="14"/>
        <v>0</v>
      </c>
      <c r="CT20" s="2307">
        <f t="shared" si="14"/>
        <v>0</v>
      </c>
      <c r="CU20" s="2307">
        <f t="shared" si="14"/>
        <v>0</v>
      </c>
      <c r="CV20" s="2307">
        <f t="shared" si="14"/>
        <v>0</v>
      </c>
      <c r="CW20" s="2307">
        <f t="shared" si="14"/>
        <v>0</v>
      </c>
      <c r="CX20" s="2307">
        <f t="shared" si="14"/>
        <v>0</v>
      </c>
      <c r="CY20" s="2307">
        <f t="shared" si="14"/>
        <v>0</v>
      </c>
      <c r="CZ20" s="2307">
        <f t="shared" ref="CZ20:DP20" si="26">IF($L20="",IF(OR($P20="",$R20=""),0,IF($R20=CZ$6,$Q20,0)),IF($E20=CZ$5,$M20,))</f>
        <v>0</v>
      </c>
      <c r="DA20" s="2307">
        <f t="shared" si="26"/>
        <v>0</v>
      </c>
      <c r="DB20" s="2307">
        <f t="shared" si="26"/>
        <v>0</v>
      </c>
      <c r="DC20" s="2307">
        <f t="shared" si="26"/>
        <v>0</v>
      </c>
      <c r="DD20" s="2307">
        <f t="shared" si="26"/>
        <v>0</v>
      </c>
      <c r="DE20" s="2307">
        <f t="shared" si="26"/>
        <v>0</v>
      </c>
      <c r="DF20" s="2307">
        <f t="shared" si="26"/>
        <v>0</v>
      </c>
      <c r="DG20" s="2307">
        <f t="shared" si="26"/>
        <v>0</v>
      </c>
      <c r="DH20" s="2307">
        <f t="shared" si="26"/>
        <v>0</v>
      </c>
      <c r="DI20" s="2307">
        <f t="shared" si="26"/>
        <v>0</v>
      </c>
      <c r="DJ20" s="2307">
        <f t="shared" si="26"/>
        <v>0</v>
      </c>
      <c r="DK20" s="2307">
        <f t="shared" si="26"/>
        <v>0</v>
      </c>
      <c r="DL20" s="2307">
        <f t="shared" si="26"/>
        <v>0</v>
      </c>
      <c r="DM20" s="2307">
        <f t="shared" si="26"/>
        <v>0</v>
      </c>
      <c r="DN20" s="2307">
        <f t="shared" si="26"/>
        <v>0</v>
      </c>
      <c r="DO20" s="2307">
        <f t="shared" si="26"/>
        <v>0</v>
      </c>
      <c r="DP20" s="2307">
        <f t="shared" si="26"/>
        <v>0</v>
      </c>
      <c r="DR20" t="s">
        <v>290</v>
      </c>
    </row>
    <row r="21" spans="1:122" outlineLevel="1">
      <c r="A21" s="55">
        <v>1110052010</v>
      </c>
      <c r="B21" s="509" t="s">
        <v>2205</v>
      </c>
      <c r="C21" s="679" t="s">
        <v>64</v>
      </c>
      <c r="D21" s="1469">
        <v>1100001035</v>
      </c>
      <c r="E21" s="1470">
        <v>44938</v>
      </c>
      <c r="F21" s="416"/>
      <c r="G21" s="1251"/>
      <c r="H21" s="511"/>
      <c r="I21" s="1374"/>
      <c r="J21" s="1425">
        <v>1</v>
      </c>
      <c r="K21" s="1426">
        <v>1</v>
      </c>
      <c r="L21" s="419">
        <v>14000000</v>
      </c>
      <c r="M21" s="1337">
        <f t="shared" si="16"/>
        <v>14000000</v>
      </c>
      <c r="N21" s="504">
        <f ca="1">IF(OR(E21="",E21&gt;TODAY()),0,IF(ISERROR(VLOOKUP($E21,'TRM BanRep'!$A:$G,7,0)),0,VLOOKUP($E21,'TRM BanRep'!$A:$G,7,0)))</f>
        <v>4748.54</v>
      </c>
      <c r="O21" s="513">
        <f t="shared" ca="1" si="17"/>
        <v>66479560000</v>
      </c>
      <c r="P21" s="514"/>
      <c r="Q21" s="514">
        <f t="shared" si="18"/>
        <v>0</v>
      </c>
      <c r="R21" s="515"/>
      <c r="S21" s="515">
        <f ca="1">IF(OR(E21="",E21&gt;TODAY()),0,IF(ISERROR(VLOOKUP($E21,'TRM BanRep'!$A:$G,7,0)),0,VLOOKUP($E21,'TRM BanRep'!$A:$G,7,0)))</f>
        <v>4748.54</v>
      </c>
      <c r="T21" s="516">
        <f t="shared" ca="1" si="19"/>
        <v>0</v>
      </c>
      <c r="U21" s="418">
        <f t="shared" si="20"/>
        <v>14000000</v>
      </c>
      <c r="V21" s="517">
        <f t="shared" ca="1" si="21"/>
        <v>66479560000</v>
      </c>
      <c r="W21" s="518">
        <f t="shared" ca="1" si="23"/>
        <v>0</v>
      </c>
      <c r="X21" s="975">
        <f t="shared" ca="1" si="24"/>
        <v>0</v>
      </c>
      <c r="Y21" s="519"/>
      <c r="Z21" s="1055"/>
      <c r="AA21" s="2309">
        <f t="shared" si="25"/>
        <v>0</v>
      </c>
      <c r="AB21" s="2310">
        <f t="shared" si="25"/>
        <v>0</v>
      </c>
      <c r="AC21" s="2310">
        <f t="shared" si="25"/>
        <v>0</v>
      </c>
      <c r="AD21" s="2310">
        <f t="shared" si="25"/>
        <v>0</v>
      </c>
      <c r="AE21" s="2310">
        <f t="shared" si="25"/>
        <v>0</v>
      </c>
      <c r="AF21" s="2307">
        <f t="shared" si="25"/>
        <v>0</v>
      </c>
      <c r="AG21" s="2307">
        <f t="shared" si="25"/>
        <v>0</v>
      </c>
      <c r="AH21" s="2307">
        <f t="shared" si="25"/>
        <v>0</v>
      </c>
      <c r="AI21" s="2307">
        <f t="shared" si="25"/>
        <v>14000000</v>
      </c>
      <c r="AJ21" s="2307">
        <f t="shared" si="10"/>
        <v>0</v>
      </c>
      <c r="AK21" s="2307">
        <f t="shared" si="25"/>
        <v>0</v>
      </c>
      <c r="AL21" s="2308">
        <f t="shared" si="25"/>
        <v>0</v>
      </c>
      <c r="AM21" s="2307">
        <f t="shared" si="25"/>
        <v>0</v>
      </c>
      <c r="AN21" s="2307">
        <f t="shared" si="25"/>
        <v>0</v>
      </c>
      <c r="AO21" s="2307">
        <f t="shared" si="25"/>
        <v>0</v>
      </c>
      <c r="AP21" s="2307">
        <f t="shared" si="25"/>
        <v>0</v>
      </c>
      <c r="AQ21" s="2307">
        <f t="shared" si="25"/>
        <v>0</v>
      </c>
      <c r="AR21" s="2307">
        <f t="shared" si="25"/>
        <v>0</v>
      </c>
      <c r="AS21" s="2307">
        <f t="shared" si="25"/>
        <v>0</v>
      </c>
      <c r="AT21" s="2307">
        <f t="shared" si="25"/>
        <v>0</v>
      </c>
      <c r="AU21" s="2307">
        <f t="shared" si="25"/>
        <v>0</v>
      </c>
      <c r="AV21" s="2307">
        <f t="shared" si="25"/>
        <v>0</v>
      </c>
      <c r="AW21" s="2307">
        <f t="shared" si="25"/>
        <v>0</v>
      </c>
      <c r="AX21" s="2307">
        <f t="shared" si="25"/>
        <v>0</v>
      </c>
      <c r="AY21" s="2307">
        <f t="shared" si="25"/>
        <v>0</v>
      </c>
      <c r="AZ21" s="2307">
        <f t="shared" si="25"/>
        <v>0</v>
      </c>
      <c r="BA21" s="2307">
        <f t="shared" si="25"/>
        <v>0</v>
      </c>
      <c r="BB21" s="2307">
        <f t="shared" si="25"/>
        <v>0</v>
      </c>
      <c r="BC21" s="2307">
        <f t="shared" si="25"/>
        <v>0</v>
      </c>
      <c r="BD21" s="2307">
        <f t="shared" si="25"/>
        <v>0</v>
      </c>
      <c r="BE21" s="2307">
        <f t="shared" si="25"/>
        <v>0</v>
      </c>
      <c r="BF21" s="2307">
        <f t="shared" si="25"/>
        <v>0</v>
      </c>
      <c r="BG21" s="2307">
        <f t="shared" si="25"/>
        <v>0</v>
      </c>
      <c r="BH21" s="2307">
        <f t="shared" si="25"/>
        <v>0</v>
      </c>
      <c r="BI21" s="2307">
        <f t="shared" si="25"/>
        <v>0</v>
      </c>
      <c r="BJ21" s="2307">
        <f t="shared" si="25"/>
        <v>0</v>
      </c>
      <c r="BK21" s="2307">
        <f t="shared" si="25"/>
        <v>0</v>
      </c>
      <c r="BL21" s="2307">
        <f t="shared" si="25"/>
        <v>0</v>
      </c>
      <c r="BM21" s="2307">
        <f t="shared" si="25"/>
        <v>0</v>
      </c>
      <c r="BN21" s="2307">
        <f t="shared" si="25"/>
        <v>0</v>
      </c>
      <c r="BO21" s="2307">
        <f t="shared" si="25"/>
        <v>0</v>
      </c>
      <c r="BP21" s="2307">
        <f t="shared" si="25"/>
        <v>0</v>
      </c>
      <c r="BQ21" s="2307">
        <f t="shared" si="25"/>
        <v>0</v>
      </c>
      <c r="BR21" s="2307">
        <f t="shared" si="25"/>
        <v>0</v>
      </c>
      <c r="BS21" s="2307">
        <f t="shared" si="25"/>
        <v>0</v>
      </c>
      <c r="BT21" s="2307">
        <f t="shared" si="25"/>
        <v>0</v>
      </c>
      <c r="BU21" s="2307">
        <f t="shared" si="25"/>
        <v>0</v>
      </c>
      <c r="BV21" s="2307">
        <f t="shared" si="25"/>
        <v>0</v>
      </c>
      <c r="BW21" s="2307">
        <f t="shared" si="25"/>
        <v>0</v>
      </c>
      <c r="BX21" s="2307">
        <f t="shared" si="25"/>
        <v>0</v>
      </c>
      <c r="BY21" s="2307">
        <f t="shared" si="25"/>
        <v>0</v>
      </c>
      <c r="BZ21" s="2307">
        <f t="shared" si="25"/>
        <v>0</v>
      </c>
      <c r="CA21" s="2307">
        <f t="shared" si="25"/>
        <v>0</v>
      </c>
      <c r="CB21" s="2307">
        <f t="shared" si="25"/>
        <v>0</v>
      </c>
      <c r="CC21" s="2307">
        <f t="shared" si="25"/>
        <v>0</v>
      </c>
      <c r="CD21" s="2307">
        <f t="shared" si="25"/>
        <v>0</v>
      </c>
      <c r="CE21" s="2307">
        <f t="shared" si="25"/>
        <v>0</v>
      </c>
      <c r="CF21" s="2307">
        <f t="shared" si="25"/>
        <v>0</v>
      </c>
      <c r="CG21" s="2307">
        <f t="shared" si="25"/>
        <v>0</v>
      </c>
      <c r="CH21" s="2307">
        <f t="shared" si="25"/>
        <v>0</v>
      </c>
      <c r="CI21" s="2307">
        <f t="shared" si="25"/>
        <v>0</v>
      </c>
      <c r="CJ21" s="2307">
        <f t="shared" si="25"/>
        <v>0</v>
      </c>
      <c r="CK21" s="2307">
        <f t="shared" si="25"/>
        <v>0</v>
      </c>
      <c r="CL21" s="2307">
        <f t="shared" si="25"/>
        <v>0</v>
      </c>
      <c r="CM21" s="2307">
        <f t="shared" ref="CM21:DP22" si="27">IF($L21="",IF(OR($P21="",$R21=""),0,IF($R21=CM$6,$Q21,0)),IF($E21=CM$5,$M21,))</f>
        <v>0</v>
      </c>
      <c r="CN21" s="2307">
        <f t="shared" si="27"/>
        <v>0</v>
      </c>
      <c r="CO21" s="2307">
        <f t="shared" si="27"/>
        <v>0</v>
      </c>
      <c r="CP21" s="2307">
        <f t="shared" si="27"/>
        <v>0</v>
      </c>
      <c r="CQ21" s="2307">
        <f t="shared" si="27"/>
        <v>0</v>
      </c>
      <c r="CR21" s="2307">
        <f t="shared" si="27"/>
        <v>0</v>
      </c>
      <c r="CS21" s="2307">
        <f t="shared" si="27"/>
        <v>0</v>
      </c>
      <c r="CT21" s="2307">
        <f t="shared" si="27"/>
        <v>0</v>
      </c>
      <c r="CU21" s="2307">
        <f t="shared" si="27"/>
        <v>0</v>
      </c>
      <c r="CV21" s="2307">
        <f t="shared" si="27"/>
        <v>0</v>
      </c>
      <c r="CW21" s="2307">
        <f t="shared" si="27"/>
        <v>0</v>
      </c>
      <c r="CX21" s="2307">
        <f t="shared" si="27"/>
        <v>0</v>
      </c>
      <c r="CY21" s="2307">
        <f t="shared" si="27"/>
        <v>0</v>
      </c>
      <c r="CZ21" s="2307">
        <f t="shared" si="27"/>
        <v>0</v>
      </c>
      <c r="DA21" s="2307">
        <f t="shared" si="27"/>
        <v>0</v>
      </c>
      <c r="DB21" s="2307">
        <f t="shared" si="27"/>
        <v>0</v>
      </c>
      <c r="DC21" s="2307">
        <f t="shared" si="27"/>
        <v>0</v>
      </c>
      <c r="DD21" s="2307">
        <f t="shared" si="27"/>
        <v>0</v>
      </c>
      <c r="DE21" s="2307">
        <f t="shared" si="27"/>
        <v>0</v>
      </c>
      <c r="DF21" s="2307">
        <f t="shared" si="27"/>
        <v>0</v>
      </c>
      <c r="DG21" s="2307">
        <f t="shared" si="27"/>
        <v>0</v>
      </c>
      <c r="DH21" s="2307">
        <f t="shared" si="27"/>
        <v>0</v>
      </c>
      <c r="DI21" s="2307">
        <f t="shared" si="27"/>
        <v>0</v>
      </c>
      <c r="DJ21" s="2307">
        <f t="shared" si="27"/>
        <v>0</v>
      </c>
      <c r="DK21" s="2307">
        <f t="shared" si="27"/>
        <v>0</v>
      </c>
      <c r="DL21" s="2307">
        <f t="shared" si="27"/>
        <v>0</v>
      </c>
      <c r="DM21" s="2307">
        <f t="shared" si="27"/>
        <v>0</v>
      </c>
      <c r="DN21" s="2307">
        <f t="shared" si="27"/>
        <v>0</v>
      </c>
      <c r="DO21" s="2307">
        <f t="shared" si="27"/>
        <v>0</v>
      </c>
      <c r="DP21" s="2307">
        <f t="shared" si="27"/>
        <v>0</v>
      </c>
      <c r="DR21" t="s">
        <v>290</v>
      </c>
    </row>
    <row r="22" spans="1:122" outlineLevel="1">
      <c r="A22" s="1221">
        <v>1110052010</v>
      </c>
      <c r="B22" s="1222" t="s">
        <v>2223</v>
      </c>
      <c r="C22" s="2385" t="s">
        <v>64</v>
      </c>
      <c r="D22" s="1602">
        <v>1100001757</v>
      </c>
      <c r="E22" s="1603">
        <v>44939</v>
      </c>
      <c r="F22" s="1224"/>
      <c r="G22" s="1266"/>
      <c r="H22" s="1225"/>
      <c r="I22" s="2386"/>
      <c r="J22" s="1604">
        <v>1</v>
      </c>
      <c r="K22" s="1605">
        <v>1</v>
      </c>
      <c r="L22" s="1606"/>
      <c r="M22" s="2387">
        <f t="shared" si="16"/>
        <v>0</v>
      </c>
      <c r="N22" s="1228">
        <f ca="1">IF(OR(E22="",E22&gt;TODAY()),0,IF(ISERROR(VLOOKUP($E22,'TRM BanRep'!$A:$G,7,0)),0,VLOOKUP($E22,'TRM BanRep'!$A:$G,7,0)))</f>
        <v>4692.04</v>
      </c>
      <c r="O22" s="1229">
        <f t="shared" ca="1" si="17"/>
        <v>0</v>
      </c>
      <c r="P22" s="1230">
        <v>-28000000</v>
      </c>
      <c r="Q22" s="1230">
        <f t="shared" si="18"/>
        <v>-28000000</v>
      </c>
      <c r="R22" s="1231">
        <v>4748.54</v>
      </c>
      <c r="S22" s="1231">
        <v>4748.54</v>
      </c>
      <c r="T22" s="2388">
        <f t="shared" si="19"/>
        <v>-132959120000</v>
      </c>
      <c r="U22" s="111">
        <f t="shared" si="20"/>
        <v>-28000000</v>
      </c>
      <c r="V22" s="566">
        <f t="shared" ca="1" si="21"/>
        <v>-132959120000</v>
      </c>
      <c r="W22" s="2389">
        <f t="shared" si="23"/>
        <v>0</v>
      </c>
      <c r="X22" s="1236">
        <f t="shared" si="24"/>
        <v>0</v>
      </c>
      <c r="Y22" s="519"/>
      <c r="Z22" s="1055"/>
      <c r="AA22" s="2309">
        <f t="shared" ca="1" si="25"/>
        <v>0</v>
      </c>
      <c r="AB22" s="2310">
        <f t="shared" ca="1" si="25"/>
        <v>0</v>
      </c>
      <c r="AC22" s="2310">
        <f t="shared" ca="1" si="25"/>
        <v>0</v>
      </c>
      <c r="AD22" s="2310">
        <f t="shared" ca="1" si="25"/>
        <v>0</v>
      </c>
      <c r="AE22" s="2310">
        <f t="shared" ca="1" si="25"/>
        <v>0</v>
      </c>
      <c r="AF22" s="2307">
        <f t="shared" ca="1" si="25"/>
        <v>0</v>
      </c>
      <c r="AG22" s="2307">
        <f t="shared" ca="1" si="25"/>
        <v>0</v>
      </c>
      <c r="AH22" s="2307">
        <f t="shared" ca="1" si="25"/>
        <v>0</v>
      </c>
      <c r="AI22" s="2307">
        <f t="shared" ca="1" si="25"/>
        <v>-28000000</v>
      </c>
      <c r="AJ22" s="2307">
        <f t="shared" ca="1" si="10"/>
        <v>0</v>
      </c>
      <c r="AK22" s="2307">
        <f t="shared" ca="1" si="25"/>
        <v>0</v>
      </c>
      <c r="AL22" s="2308">
        <f t="shared" ca="1" si="25"/>
        <v>0</v>
      </c>
      <c r="AM22" s="2307">
        <f t="shared" ca="1" si="25"/>
        <v>0</v>
      </c>
      <c r="AN22" s="2307">
        <f t="shared" ca="1" si="25"/>
        <v>0</v>
      </c>
      <c r="AO22" s="2307">
        <f t="shared" ca="1" si="25"/>
        <v>0</v>
      </c>
      <c r="AP22" s="2307">
        <f t="shared" ca="1" si="25"/>
        <v>0</v>
      </c>
      <c r="AQ22" s="2307">
        <f t="shared" ca="1" si="25"/>
        <v>0</v>
      </c>
      <c r="AR22" s="2307">
        <f t="shared" ca="1" si="25"/>
        <v>0</v>
      </c>
      <c r="AS22" s="2307">
        <f t="shared" ca="1" si="25"/>
        <v>0</v>
      </c>
      <c r="AT22" s="2307">
        <f t="shared" ca="1" si="25"/>
        <v>0</v>
      </c>
      <c r="AU22" s="2307">
        <f t="shared" ca="1" si="25"/>
        <v>0</v>
      </c>
      <c r="AV22" s="2307">
        <f t="shared" ca="1" si="25"/>
        <v>0</v>
      </c>
      <c r="AW22" s="2307">
        <f t="shared" ca="1" si="25"/>
        <v>0</v>
      </c>
      <c r="AX22" s="2307">
        <f t="shared" ca="1" si="25"/>
        <v>0</v>
      </c>
      <c r="AY22" s="2307">
        <f t="shared" ca="1" si="25"/>
        <v>0</v>
      </c>
      <c r="AZ22" s="2307">
        <f t="shared" ca="1" si="25"/>
        <v>0</v>
      </c>
      <c r="BA22" s="2307">
        <f t="shared" ca="1" si="25"/>
        <v>0</v>
      </c>
      <c r="BB22" s="2307">
        <f t="shared" ca="1" si="25"/>
        <v>0</v>
      </c>
      <c r="BC22" s="2307">
        <f t="shared" ca="1" si="25"/>
        <v>0</v>
      </c>
      <c r="BD22" s="2307">
        <f t="shared" ca="1" si="25"/>
        <v>0</v>
      </c>
      <c r="BE22" s="2307">
        <f t="shared" ca="1" si="25"/>
        <v>0</v>
      </c>
      <c r="BF22" s="2307">
        <f t="shared" ca="1" si="25"/>
        <v>0</v>
      </c>
      <c r="BG22" s="2307">
        <f t="shared" ca="1" si="25"/>
        <v>0</v>
      </c>
      <c r="BH22" s="2307">
        <f t="shared" ca="1" si="25"/>
        <v>0</v>
      </c>
      <c r="BI22" s="2307">
        <f t="shared" ca="1" si="25"/>
        <v>0</v>
      </c>
      <c r="BJ22" s="2307">
        <f t="shared" ca="1" si="25"/>
        <v>0</v>
      </c>
      <c r="BK22" s="2307">
        <f t="shared" ca="1" si="25"/>
        <v>0</v>
      </c>
      <c r="BL22" s="2307">
        <f t="shared" ca="1" si="25"/>
        <v>0</v>
      </c>
      <c r="BM22" s="2307">
        <f t="shared" ca="1" si="25"/>
        <v>0</v>
      </c>
      <c r="BN22" s="2307">
        <f t="shared" ca="1" si="25"/>
        <v>0</v>
      </c>
      <c r="BO22" s="2307">
        <f t="shared" ca="1" si="25"/>
        <v>0</v>
      </c>
      <c r="BP22" s="2307">
        <f t="shared" ca="1" si="25"/>
        <v>0</v>
      </c>
      <c r="BQ22" s="2307">
        <f t="shared" ca="1" si="25"/>
        <v>0</v>
      </c>
      <c r="BR22" s="2307">
        <f t="shared" ca="1" si="25"/>
        <v>0</v>
      </c>
      <c r="BS22" s="2307">
        <f t="shared" ca="1" si="25"/>
        <v>0</v>
      </c>
      <c r="BT22" s="2307">
        <f t="shared" ca="1" si="25"/>
        <v>0</v>
      </c>
      <c r="BU22" s="2307">
        <f t="shared" ca="1" si="25"/>
        <v>0</v>
      </c>
      <c r="BV22" s="2307">
        <f t="shared" ca="1" si="25"/>
        <v>0</v>
      </c>
      <c r="BW22" s="2307">
        <f t="shared" ca="1" si="25"/>
        <v>0</v>
      </c>
      <c r="BX22" s="2307">
        <f t="shared" ca="1" si="25"/>
        <v>0</v>
      </c>
      <c r="BY22" s="2307">
        <f t="shared" ca="1" si="25"/>
        <v>0</v>
      </c>
      <c r="BZ22" s="2307">
        <f t="shared" ca="1" si="25"/>
        <v>0</v>
      </c>
      <c r="CA22" s="2307">
        <f t="shared" ca="1" si="25"/>
        <v>0</v>
      </c>
      <c r="CB22" s="2307">
        <f t="shared" ca="1" si="25"/>
        <v>0</v>
      </c>
      <c r="CC22" s="2307">
        <f t="shared" ca="1" si="25"/>
        <v>0</v>
      </c>
      <c r="CD22" s="2307">
        <f t="shared" ca="1" si="25"/>
        <v>0</v>
      </c>
      <c r="CE22" s="2307">
        <f t="shared" ca="1" si="25"/>
        <v>0</v>
      </c>
      <c r="CF22" s="2307">
        <f t="shared" ca="1" si="25"/>
        <v>0</v>
      </c>
      <c r="CG22" s="2307">
        <f t="shared" ca="1" si="25"/>
        <v>0</v>
      </c>
      <c r="CH22" s="2307">
        <f t="shared" ca="1" si="25"/>
        <v>0</v>
      </c>
      <c r="CI22" s="2307">
        <f t="shared" ca="1" si="25"/>
        <v>0</v>
      </c>
      <c r="CJ22" s="2307">
        <f t="shared" ca="1" si="25"/>
        <v>0</v>
      </c>
      <c r="CK22" s="2307">
        <f t="shared" ca="1" si="25"/>
        <v>0</v>
      </c>
      <c r="CL22" s="2307">
        <f t="shared" ca="1" si="25"/>
        <v>0</v>
      </c>
      <c r="CM22" s="2307">
        <f t="shared" ca="1" si="27"/>
        <v>0</v>
      </c>
      <c r="CN22" s="2307">
        <f t="shared" ca="1" si="27"/>
        <v>0</v>
      </c>
      <c r="CO22" s="2307">
        <f t="shared" ca="1" si="27"/>
        <v>0</v>
      </c>
      <c r="CP22" s="2307">
        <f t="shared" ca="1" si="27"/>
        <v>0</v>
      </c>
      <c r="CQ22" s="2307">
        <f t="shared" ca="1" si="27"/>
        <v>0</v>
      </c>
      <c r="CR22" s="2307">
        <f t="shared" ca="1" si="27"/>
        <v>0</v>
      </c>
      <c r="CS22" s="2307">
        <f t="shared" ca="1" si="27"/>
        <v>0</v>
      </c>
      <c r="CT22" s="2307">
        <f t="shared" ca="1" si="27"/>
        <v>0</v>
      </c>
      <c r="CU22" s="2307">
        <f t="shared" ca="1" si="27"/>
        <v>0</v>
      </c>
      <c r="CV22" s="2307">
        <f t="shared" ca="1" si="27"/>
        <v>0</v>
      </c>
      <c r="CW22" s="2307">
        <f t="shared" ca="1" si="27"/>
        <v>0</v>
      </c>
      <c r="CX22" s="2307">
        <f t="shared" ca="1" si="27"/>
        <v>0</v>
      </c>
      <c r="CY22" s="2307">
        <f t="shared" ca="1" si="27"/>
        <v>0</v>
      </c>
      <c r="CZ22" s="2307">
        <f t="shared" ca="1" si="27"/>
        <v>0</v>
      </c>
      <c r="DA22" s="2307">
        <f t="shared" ca="1" si="27"/>
        <v>0</v>
      </c>
      <c r="DB22" s="2307">
        <f t="shared" ca="1" si="27"/>
        <v>0</v>
      </c>
      <c r="DC22" s="2307">
        <f t="shared" ca="1" si="27"/>
        <v>0</v>
      </c>
      <c r="DD22" s="2307">
        <f t="shared" ca="1" si="27"/>
        <v>0</v>
      </c>
      <c r="DE22" s="2307">
        <f t="shared" ca="1" si="27"/>
        <v>0</v>
      </c>
      <c r="DF22" s="2307">
        <f t="shared" ca="1" si="27"/>
        <v>0</v>
      </c>
      <c r="DG22" s="2307">
        <f t="shared" ca="1" si="27"/>
        <v>0</v>
      </c>
      <c r="DH22" s="2307">
        <f t="shared" ca="1" si="27"/>
        <v>0</v>
      </c>
      <c r="DI22" s="2307">
        <f t="shared" ca="1" si="27"/>
        <v>0</v>
      </c>
      <c r="DJ22" s="2307">
        <f t="shared" ca="1" si="27"/>
        <v>0</v>
      </c>
      <c r="DK22" s="2307">
        <f t="shared" ca="1" si="27"/>
        <v>0</v>
      </c>
      <c r="DL22" s="2307">
        <f t="shared" ca="1" si="27"/>
        <v>0</v>
      </c>
      <c r="DM22" s="2307">
        <f t="shared" ca="1" si="27"/>
        <v>0</v>
      </c>
      <c r="DN22" s="2307">
        <f t="shared" ca="1" si="27"/>
        <v>0</v>
      </c>
      <c r="DO22" s="2307">
        <f t="shared" ca="1" si="27"/>
        <v>0</v>
      </c>
      <c r="DP22" s="2307">
        <f t="shared" ca="1" si="27"/>
        <v>0</v>
      </c>
      <c r="DR22" t="s">
        <v>290</v>
      </c>
    </row>
    <row r="23" spans="1:122" outlineLevel="1">
      <c r="A23" s="1612">
        <v>1110052010</v>
      </c>
      <c r="B23" s="2414" t="s">
        <v>2211</v>
      </c>
      <c r="C23" s="679" t="s">
        <v>64</v>
      </c>
      <c r="D23" s="1469">
        <v>100002719</v>
      </c>
      <c r="E23" s="1470">
        <v>44943</v>
      </c>
      <c r="F23" s="416"/>
      <c r="G23" s="1251"/>
      <c r="H23" s="511"/>
      <c r="I23" s="1374"/>
      <c r="J23" s="1425">
        <v>1</v>
      </c>
      <c r="K23" s="1426">
        <v>1</v>
      </c>
      <c r="L23" s="419"/>
      <c r="M23" s="1337">
        <f t="shared" si="16"/>
        <v>0</v>
      </c>
      <c r="N23" s="504">
        <f ca="1">IF(OR(E23="",E23&gt;TODAY()),0,IF(ISERROR(VLOOKUP($E23,'TRM BanRep'!$A:$G,7,0)),0,VLOOKUP($E23,'TRM BanRep'!$A:$G,7,0)))</f>
        <v>4693.99</v>
      </c>
      <c r="O23" s="513">
        <f t="shared" ca="1" si="17"/>
        <v>0</v>
      </c>
      <c r="P23" s="514">
        <v>-615.34</v>
      </c>
      <c r="Q23" s="514">
        <f t="shared" si="18"/>
        <v>-615.34</v>
      </c>
      <c r="R23" s="515">
        <v>4760.6099999999997</v>
      </c>
      <c r="S23" s="515">
        <f ca="1">IF(OR(E23="",E23&gt;TODAY()),0,IF(ISERROR(VLOOKUP($E23,'TRM BanRep'!$A:$G,7,0)),0,VLOOKUP($E23,'TRM BanRep'!$A:$G,7,0)))</f>
        <v>4693.99</v>
      </c>
      <c r="T23" s="516">
        <f t="shared" ca="1" si="19"/>
        <v>-2888399.8066000002</v>
      </c>
      <c r="U23" s="418">
        <f t="shared" si="20"/>
        <v>-615.34</v>
      </c>
      <c r="V23" s="517">
        <f t="shared" ca="1" si="21"/>
        <v>-2929393.7574</v>
      </c>
      <c r="W23" s="518">
        <f t="shared" ca="1" si="23"/>
        <v>40993.950799999759</v>
      </c>
      <c r="X23" s="975">
        <f t="shared" ca="1" si="24"/>
        <v>0</v>
      </c>
      <c r="Y23" s="519"/>
      <c r="Z23" s="1055"/>
      <c r="AA23" s="2309">
        <f t="shared" ca="1" si="25"/>
        <v>-615.34</v>
      </c>
      <c r="AB23" s="2310">
        <f t="shared" ca="1" si="25"/>
        <v>0</v>
      </c>
      <c r="AC23" s="2310">
        <f t="shared" ca="1" si="25"/>
        <v>0</v>
      </c>
      <c r="AD23" s="2310">
        <f t="shared" ca="1" si="25"/>
        <v>0</v>
      </c>
      <c r="AE23" s="2310">
        <f t="shared" ca="1" si="25"/>
        <v>0</v>
      </c>
      <c r="AF23" s="2307">
        <f t="shared" ca="1" si="25"/>
        <v>0</v>
      </c>
      <c r="AG23" s="2307">
        <f t="shared" ca="1" si="25"/>
        <v>0</v>
      </c>
      <c r="AH23" s="2307">
        <f t="shared" ca="1" si="25"/>
        <v>0</v>
      </c>
      <c r="AI23" s="2307">
        <f t="shared" ca="1" si="25"/>
        <v>0</v>
      </c>
      <c r="AJ23" s="2307">
        <f t="shared" ca="1" si="10"/>
        <v>0</v>
      </c>
      <c r="AK23" s="2307">
        <f t="shared" ca="1" si="25"/>
        <v>0</v>
      </c>
      <c r="AL23" s="2308">
        <f t="shared" ca="1" si="25"/>
        <v>0</v>
      </c>
      <c r="AM23" s="2307">
        <f t="shared" ca="1" si="25"/>
        <v>0</v>
      </c>
      <c r="AN23" s="2307">
        <f t="shared" ca="1" si="25"/>
        <v>0</v>
      </c>
      <c r="AO23" s="2307">
        <f t="shared" ca="1" si="25"/>
        <v>0</v>
      </c>
      <c r="AP23" s="2307">
        <f t="shared" ca="1" si="25"/>
        <v>0</v>
      </c>
      <c r="AQ23" s="2307">
        <f t="shared" ca="1" si="25"/>
        <v>0</v>
      </c>
      <c r="AR23" s="2307">
        <f t="shared" ca="1" si="25"/>
        <v>0</v>
      </c>
      <c r="AS23" s="2307">
        <f t="shared" ca="1" si="25"/>
        <v>0</v>
      </c>
      <c r="AT23" s="2307">
        <f t="shared" ca="1" si="25"/>
        <v>0</v>
      </c>
      <c r="AU23" s="2307">
        <f t="shared" ca="1" si="25"/>
        <v>0</v>
      </c>
      <c r="AV23" s="2307">
        <f t="shared" ca="1" si="25"/>
        <v>0</v>
      </c>
      <c r="AW23" s="2307">
        <f t="shared" ca="1" si="25"/>
        <v>0</v>
      </c>
      <c r="AX23" s="2307">
        <f t="shared" ca="1" si="25"/>
        <v>0</v>
      </c>
      <c r="AY23" s="2307">
        <f t="shared" ca="1" si="25"/>
        <v>0</v>
      </c>
      <c r="AZ23" s="2307">
        <f t="shared" ca="1" si="25"/>
        <v>0</v>
      </c>
      <c r="BA23" s="2307">
        <f t="shared" ca="1" si="25"/>
        <v>0</v>
      </c>
      <c r="BB23" s="2307">
        <f t="shared" ca="1" si="25"/>
        <v>0</v>
      </c>
      <c r="BC23" s="2307">
        <f t="shared" ca="1" si="25"/>
        <v>0</v>
      </c>
      <c r="BD23" s="2307">
        <f t="shared" ca="1" si="25"/>
        <v>0</v>
      </c>
      <c r="BE23" s="2307">
        <f t="shared" ca="1" si="25"/>
        <v>0</v>
      </c>
      <c r="BF23" s="2307">
        <f t="shared" ca="1" si="25"/>
        <v>0</v>
      </c>
      <c r="BG23" s="2307">
        <f t="shared" ca="1" si="25"/>
        <v>0</v>
      </c>
      <c r="BH23" s="2307">
        <f t="shared" ca="1" si="25"/>
        <v>0</v>
      </c>
      <c r="BI23" s="2307">
        <f t="shared" ca="1" si="25"/>
        <v>0</v>
      </c>
      <c r="BJ23" s="2307">
        <f t="shared" ca="1" si="25"/>
        <v>0</v>
      </c>
      <c r="BK23" s="2307">
        <f t="shared" ca="1" si="25"/>
        <v>0</v>
      </c>
      <c r="BL23" s="2307">
        <f t="shared" ca="1" si="25"/>
        <v>0</v>
      </c>
      <c r="BM23" s="2307">
        <f t="shared" ca="1" si="25"/>
        <v>0</v>
      </c>
      <c r="BN23" s="2307">
        <f t="shared" ca="1" si="25"/>
        <v>0</v>
      </c>
      <c r="BO23" s="2307">
        <f t="shared" ca="1" si="25"/>
        <v>0</v>
      </c>
      <c r="BP23" s="2307">
        <f t="shared" ca="1" si="25"/>
        <v>0</v>
      </c>
      <c r="BQ23" s="2307">
        <f t="shared" ca="1" si="25"/>
        <v>0</v>
      </c>
      <c r="BR23" s="2307">
        <f t="shared" ca="1" si="25"/>
        <v>0</v>
      </c>
      <c r="BS23" s="2307">
        <f t="shared" ca="1" si="25"/>
        <v>0</v>
      </c>
      <c r="BT23" s="2307">
        <f t="shared" ca="1" si="25"/>
        <v>0</v>
      </c>
      <c r="BU23" s="2307">
        <f t="shared" ca="1" si="25"/>
        <v>0</v>
      </c>
      <c r="BV23" s="2307">
        <f t="shared" ca="1" si="25"/>
        <v>0</v>
      </c>
      <c r="BW23" s="2307">
        <f t="shared" ca="1" si="25"/>
        <v>0</v>
      </c>
      <c r="BX23" s="2307">
        <f t="shared" ca="1" si="25"/>
        <v>0</v>
      </c>
      <c r="BY23" s="2307">
        <f t="shared" ca="1" si="25"/>
        <v>0</v>
      </c>
      <c r="BZ23" s="2307">
        <f t="shared" ca="1" si="25"/>
        <v>0</v>
      </c>
      <c r="CA23" s="2307">
        <f t="shared" ca="1" si="25"/>
        <v>0</v>
      </c>
      <c r="CB23" s="2307">
        <f t="shared" ca="1" si="25"/>
        <v>0</v>
      </c>
      <c r="CC23" s="2307">
        <f t="shared" ca="1" si="25"/>
        <v>0</v>
      </c>
      <c r="CD23" s="2307">
        <f t="shared" ca="1" si="25"/>
        <v>0</v>
      </c>
      <c r="CE23" s="2307">
        <f t="shared" ca="1" si="25"/>
        <v>0</v>
      </c>
      <c r="CF23" s="2307">
        <f t="shared" ca="1" si="25"/>
        <v>0</v>
      </c>
      <c r="CG23" s="2307">
        <f t="shared" ca="1" si="25"/>
        <v>0</v>
      </c>
      <c r="CH23" s="2307">
        <f t="shared" ca="1" si="25"/>
        <v>0</v>
      </c>
      <c r="CI23" s="2307">
        <f t="shared" ca="1" si="25"/>
        <v>0</v>
      </c>
      <c r="CJ23" s="2307">
        <f t="shared" ca="1" si="25"/>
        <v>0</v>
      </c>
      <c r="CK23" s="2307">
        <f t="shared" ca="1" si="25"/>
        <v>0</v>
      </c>
      <c r="CL23" s="2307">
        <f t="shared" ref="CL23:DP36" ca="1" si="28">IF($L23="",IF(OR($P23="",$R23=""),0,IF($R23=CL$6,$Q23,0)),IF($E23=CL$5,$M23,))</f>
        <v>0</v>
      </c>
      <c r="CM23" s="2307">
        <f t="shared" ca="1" si="28"/>
        <v>0</v>
      </c>
      <c r="CN23" s="2307">
        <f t="shared" ca="1" si="28"/>
        <v>0</v>
      </c>
      <c r="CO23" s="2307">
        <f t="shared" ca="1" si="28"/>
        <v>0</v>
      </c>
      <c r="CP23" s="2307">
        <f t="shared" ca="1" si="28"/>
        <v>0</v>
      </c>
      <c r="CQ23" s="2307">
        <f t="shared" ca="1" si="28"/>
        <v>0</v>
      </c>
      <c r="CR23" s="2307">
        <f t="shared" ca="1" si="28"/>
        <v>0</v>
      </c>
      <c r="CS23" s="2307">
        <f t="shared" ca="1" si="28"/>
        <v>0</v>
      </c>
      <c r="CT23" s="2307">
        <f t="shared" ca="1" si="28"/>
        <v>0</v>
      </c>
      <c r="CU23" s="2307">
        <f t="shared" ca="1" si="28"/>
        <v>0</v>
      </c>
      <c r="CV23" s="2307">
        <f t="shared" ca="1" si="28"/>
        <v>0</v>
      </c>
      <c r="CW23" s="2307">
        <f t="shared" ca="1" si="28"/>
        <v>0</v>
      </c>
      <c r="CX23" s="2307">
        <f t="shared" ca="1" si="28"/>
        <v>0</v>
      </c>
      <c r="CY23" s="2307">
        <f t="shared" ca="1" si="28"/>
        <v>0</v>
      </c>
      <c r="CZ23" s="2307">
        <f t="shared" ca="1" si="28"/>
        <v>0</v>
      </c>
      <c r="DA23" s="2307">
        <f t="shared" ca="1" si="28"/>
        <v>0</v>
      </c>
      <c r="DB23" s="2307">
        <f t="shared" ca="1" si="28"/>
        <v>0</v>
      </c>
      <c r="DC23" s="2307">
        <f t="shared" ca="1" si="28"/>
        <v>0</v>
      </c>
      <c r="DD23" s="2307">
        <f t="shared" ca="1" si="28"/>
        <v>0</v>
      </c>
      <c r="DE23" s="2307">
        <f t="shared" ca="1" si="28"/>
        <v>0</v>
      </c>
      <c r="DF23" s="2307">
        <f t="shared" ca="1" si="28"/>
        <v>0</v>
      </c>
      <c r="DG23" s="2307">
        <f t="shared" ca="1" si="28"/>
        <v>0</v>
      </c>
      <c r="DH23" s="2307">
        <f t="shared" ca="1" si="28"/>
        <v>0</v>
      </c>
      <c r="DI23" s="2307">
        <f t="shared" ca="1" si="28"/>
        <v>0</v>
      </c>
      <c r="DJ23" s="2307">
        <f t="shared" ca="1" si="28"/>
        <v>0</v>
      </c>
      <c r="DK23" s="2307">
        <f t="shared" ca="1" si="28"/>
        <v>0</v>
      </c>
      <c r="DL23" s="2307">
        <f t="shared" ca="1" si="28"/>
        <v>0</v>
      </c>
      <c r="DM23" s="2307">
        <f t="shared" ca="1" si="28"/>
        <v>0</v>
      </c>
      <c r="DN23" s="2307">
        <f t="shared" ca="1" si="28"/>
        <v>0</v>
      </c>
      <c r="DO23" s="2307">
        <f t="shared" ca="1" si="28"/>
        <v>0</v>
      </c>
      <c r="DP23" s="2307">
        <f t="shared" ca="1" si="28"/>
        <v>0</v>
      </c>
      <c r="DR23" t="s">
        <v>290</v>
      </c>
    </row>
    <row r="24" spans="1:122" outlineLevel="1">
      <c r="A24" s="55">
        <v>1110052010</v>
      </c>
      <c r="B24" s="509" t="s">
        <v>2212</v>
      </c>
      <c r="C24" s="679" t="s">
        <v>64</v>
      </c>
      <c r="D24" s="1469">
        <v>1100002053</v>
      </c>
      <c r="E24" s="1470">
        <v>44943</v>
      </c>
      <c r="F24" s="416"/>
      <c r="G24" s="1251"/>
      <c r="H24" s="511"/>
      <c r="I24" s="1374"/>
      <c r="J24" s="1425">
        <v>1</v>
      </c>
      <c r="K24" s="1426">
        <v>1</v>
      </c>
      <c r="L24" s="419"/>
      <c r="M24" s="1337">
        <f t="shared" si="16"/>
        <v>0</v>
      </c>
      <c r="N24" s="504">
        <f ca="1">IF(OR(E24="",E24&gt;TODAY()),0,IF(ISERROR(VLOOKUP($E24,'TRM BanRep'!$A:$G,7,0)),0,VLOOKUP($E24,'TRM BanRep'!$A:$G,7,0)))</f>
        <v>4693.99</v>
      </c>
      <c r="O24" s="513">
        <f t="shared" ca="1" si="17"/>
        <v>0</v>
      </c>
      <c r="P24" s="514">
        <v>-15880</v>
      </c>
      <c r="Q24" s="514">
        <f t="shared" si="18"/>
        <v>-15880</v>
      </c>
      <c r="R24" s="515">
        <v>4760.6099999999997</v>
      </c>
      <c r="S24" s="515">
        <f ca="1">IF(OR(E24="",E24&gt;TODAY()),0,IF(ISERROR(VLOOKUP($E24,'TRM BanRep'!$A:$G,7,0)),0,VLOOKUP($E24,'TRM BanRep'!$A:$G,7,0)))</f>
        <v>4693.99</v>
      </c>
      <c r="T24" s="516">
        <f t="shared" ca="1" si="19"/>
        <v>-74540561.200000003</v>
      </c>
      <c r="U24" s="418">
        <f t="shared" si="20"/>
        <v>-15880</v>
      </c>
      <c r="V24" s="517">
        <f t="shared" ca="1" si="21"/>
        <v>-75598486.799999997</v>
      </c>
      <c r="W24" s="518">
        <f t="shared" ca="1" si="23"/>
        <v>1057925.599999994</v>
      </c>
      <c r="X24" s="975">
        <f t="shared" ca="1" si="24"/>
        <v>0</v>
      </c>
      <c r="Y24" s="519"/>
      <c r="Z24" s="1055"/>
      <c r="AA24" s="2309">
        <f t="shared" ref="AA24:CL30" ca="1" si="29">IF($L24="",IF(OR($P24="",$R24=""),0,IF($R24=AA$6,$Q24,0)),IF($E24=AA$5,$M24,))</f>
        <v>-15880</v>
      </c>
      <c r="AB24" s="2310">
        <f t="shared" ca="1" si="29"/>
        <v>0</v>
      </c>
      <c r="AC24" s="2310">
        <f t="shared" ca="1" si="29"/>
        <v>0</v>
      </c>
      <c r="AD24" s="2310">
        <f t="shared" ca="1" si="29"/>
        <v>0</v>
      </c>
      <c r="AE24" s="2310">
        <f t="shared" ca="1" si="29"/>
        <v>0</v>
      </c>
      <c r="AF24" s="2307">
        <f t="shared" ca="1" si="29"/>
        <v>0</v>
      </c>
      <c r="AG24" s="2307">
        <f t="shared" ca="1" si="29"/>
        <v>0</v>
      </c>
      <c r="AH24" s="2307">
        <f t="shared" ca="1" si="29"/>
        <v>0</v>
      </c>
      <c r="AI24" s="2307">
        <f t="shared" ca="1" si="29"/>
        <v>0</v>
      </c>
      <c r="AJ24" s="2307">
        <f t="shared" ca="1" si="10"/>
        <v>0</v>
      </c>
      <c r="AK24" s="2307">
        <f t="shared" ca="1" si="29"/>
        <v>0</v>
      </c>
      <c r="AL24" s="2308">
        <f t="shared" ca="1" si="29"/>
        <v>0</v>
      </c>
      <c r="AM24" s="2307">
        <f t="shared" ca="1" si="29"/>
        <v>0</v>
      </c>
      <c r="AN24" s="2307">
        <f t="shared" ca="1" si="29"/>
        <v>0</v>
      </c>
      <c r="AO24" s="2307">
        <f t="shared" ca="1" si="29"/>
        <v>0</v>
      </c>
      <c r="AP24" s="2307">
        <f t="shared" ca="1" si="29"/>
        <v>0</v>
      </c>
      <c r="AQ24" s="2307">
        <f t="shared" ca="1" si="29"/>
        <v>0</v>
      </c>
      <c r="AR24" s="2307">
        <f t="shared" ca="1" si="29"/>
        <v>0</v>
      </c>
      <c r="AS24" s="2307">
        <f t="shared" ca="1" si="29"/>
        <v>0</v>
      </c>
      <c r="AT24" s="2307">
        <f t="shared" ca="1" si="29"/>
        <v>0</v>
      </c>
      <c r="AU24" s="2307">
        <f t="shared" ca="1" si="29"/>
        <v>0</v>
      </c>
      <c r="AV24" s="2307">
        <f t="shared" ca="1" si="29"/>
        <v>0</v>
      </c>
      <c r="AW24" s="2307">
        <f t="shared" ca="1" si="29"/>
        <v>0</v>
      </c>
      <c r="AX24" s="2307">
        <f t="shared" ca="1" si="29"/>
        <v>0</v>
      </c>
      <c r="AY24" s="2307">
        <f t="shared" ca="1" si="29"/>
        <v>0</v>
      </c>
      <c r="AZ24" s="2307">
        <f t="shared" ca="1" si="29"/>
        <v>0</v>
      </c>
      <c r="BA24" s="2307">
        <f t="shared" ca="1" si="29"/>
        <v>0</v>
      </c>
      <c r="BB24" s="2307">
        <f t="shared" ca="1" si="29"/>
        <v>0</v>
      </c>
      <c r="BC24" s="2307">
        <f t="shared" ca="1" si="29"/>
        <v>0</v>
      </c>
      <c r="BD24" s="2307">
        <f t="shared" ca="1" si="29"/>
        <v>0</v>
      </c>
      <c r="BE24" s="2307">
        <f t="shared" ca="1" si="29"/>
        <v>0</v>
      </c>
      <c r="BF24" s="2307">
        <f t="shared" ca="1" si="29"/>
        <v>0</v>
      </c>
      <c r="BG24" s="2307">
        <f t="shared" ca="1" si="29"/>
        <v>0</v>
      </c>
      <c r="BH24" s="2307">
        <f t="shared" ca="1" si="29"/>
        <v>0</v>
      </c>
      <c r="BI24" s="2307">
        <f t="shared" ca="1" si="29"/>
        <v>0</v>
      </c>
      <c r="BJ24" s="2307">
        <f t="shared" ca="1" si="29"/>
        <v>0</v>
      </c>
      <c r="BK24" s="2307">
        <f t="shared" ca="1" si="29"/>
        <v>0</v>
      </c>
      <c r="BL24" s="2307">
        <f t="shared" ca="1" si="29"/>
        <v>0</v>
      </c>
      <c r="BM24" s="2307">
        <f t="shared" ca="1" si="29"/>
        <v>0</v>
      </c>
      <c r="BN24" s="2307">
        <f t="shared" ca="1" si="29"/>
        <v>0</v>
      </c>
      <c r="BO24" s="2307">
        <f t="shared" ca="1" si="29"/>
        <v>0</v>
      </c>
      <c r="BP24" s="2307">
        <f t="shared" ca="1" si="29"/>
        <v>0</v>
      </c>
      <c r="BQ24" s="2307">
        <f t="shared" ca="1" si="29"/>
        <v>0</v>
      </c>
      <c r="BR24" s="2307">
        <f t="shared" ca="1" si="29"/>
        <v>0</v>
      </c>
      <c r="BS24" s="2307">
        <f t="shared" ca="1" si="29"/>
        <v>0</v>
      </c>
      <c r="BT24" s="2307">
        <f t="shared" ca="1" si="29"/>
        <v>0</v>
      </c>
      <c r="BU24" s="2307">
        <f t="shared" ca="1" si="29"/>
        <v>0</v>
      </c>
      <c r="BV24" s="2307">
        <f t="shared" ca="1" si="29"/>
        <v>0</v>
      </c>
      <c r="BW24" s="2307">
        <f t="shared" ca="1" si="29"/>
        <v>0</v>
      </c>
      <c r="BX24" s="2307">
        <f t="shared" ca="1" si="29"/>
        <v>0</v>
      </c>
      <c r="BY24" s="2307">
        <f t="shared" ca="1" si="29"/>
        <v>0</v>
      </c>
      <c r="BZ24" s="2307">
        <f t="shared" ca="1" si="29"/>
        <v>0</v>
      </c>
      <c r="CA24" s="2307">
        <f t="shared" ca="1" si="29"/>
        <v>0</v>
      </c>
      <c r="CB24" s="2307">
        <f t="shared" ca="1" si="29"/>
        <v>0</v>
      </c>
      <c r="CC24" s="2307">
        <f t="shared" ca="1" si="29"/>
        <v>0</v>
      </c>
      <c r="CD24" s="2307">
        <f t="shared" ca="1" si="29"/>
        <v>0</v>
      </c>
      <c r="CE24" s="2307">
        <f t="shared" ca="1" si="29"/>
        <v>0</v>
      </c>
      <c r="CF24" s="2307">
        <f t="shared" ca="1" si="29"/>
        <v>0</v>
      </c>
      <c r="CG24" s="2307">
        <f t="shared" ca="1" si="29"/>
        <v>0</v>
      </c>
      <c r="CH24" s="2307">
        <f t="shared" ca="1" si="29"/>
        <v>0</v>
      </c>
      <c r="CI24" s="2307">
        <f t="shared" ca="1" si="29"/>
        <v>0</v>
      </c>
      <c r="CJ24" s="2307">
        <f t="shared" ca="1" si="29"/>
        <v>0</v>
      </c>
      <c r="CK24" s="2307">
        <f t="shared" ca="1" si="29"/>
        <v>0</v>
      </c>
      <c r="CL24" s="2307">
        <f t="shared" ca="1" si="29"/>
        <v>0</v>
      </c>
      <c r="CM24" s="2307">
        <f t="shared" ca="1" si="28"/>
        <v>0</v>
      </c>
      <c r="CN24" s="2307">
        <f t="shared" ca="1" si="28"/>
        <v>0</v>
      </c>
      <c r="CO24" s="2307">
        <f t="shared" ca="1" si="28"/>
        <v>0</v>
      </c>
      <c r="CP24" s="2307">
        <f t="shared" ca="1" si="28"/>
        <v>0</v>
      </c>
      <c r="CQ24" s="2307">
        <f t="shared" ca="1" si="28"/>
        <v>0</v>
      </c>
      <c r="CR24" s="2307">
        <f t="shared" ca="1" si="28"/>
        <v>0</v>
      </c>
      <c r="CS24" s="2307">
        <f t="shared" ca="1" si="28"/>
        <v>0</v>
      </c>
      <c r="CT24" s="2307">
        <f t="shared" ca="1" si="28"/>
        <v>0</v>
      </c>
      <c r="CU24" s="2307">
        <f t="shared" ca="1" si="28"/>
        <v>0</v>
      </c>
      <c r="CV24" s="2307">
        <f t="shared" ca="1" si="28"/>
        <v>0</v>
      </c>
      <c r="CW24" s="2307">
        <f t="shared" ca="1" si="28"/>
        <v>0</v>
      </c>
      <c r="CX24" s="2307">
        <f t="shared" ca="1" si="28"/>
        <v>0</v>
      </c>
      <c r="CY24" s="2307">
        <f t="shared" ca="1" si="28"/>
        <v>0</v>
      </c>
      <c r="CZ24" s="2307">
        <f t="shared" ca="1" si="28"/>
        <v>0</v>
      </c>
      <c r="DA24" s="2307">
        <f t="shared" ca="1" si="28"/>
        <v>0</v>
      </c>
      <c r="DB24" s="2307">
        <f t="shared" ca="1" si="28"/>
        <v>0</v>
      </c>
      <c r="DC24" s="2307">
        <f t="shared" ca="1" si="28"/>
        <v>0</v>
      </c>
      <c r="DD24" s="2307">
        <f t="shared" ca="1" si="28"/>
        <v>0</v>
      </c>
      <c r="DE24" s="2307">
        <f t="shared" ca="1" si="28"/>
        <v>0</v>
      </c>
      <c r="DF24" s="2307">
        <f t="shared" ca="1" si="28"/>
        <v>0</v>
      </c>
      <c r="DG24" s="2307">
        <f t="shared" ca="1" si="28"/>
        <v>0</v>
      </c>
      <c r="DH24" s="2307">
        <f t="shared" ca="1" si="28"/>
        <v>0</v>
      </c>
      <c r="DI24" s="2307">
        <f t="shared" ca="1" si="28"/>
        <v>0</v>
      </c>
      <c r="DJ24" s="2307">
        <f t="shared" ca="1" si="28"/>
        <v>0</v>
      </c>
      <c r="DK24" s="2307">
        <f t="shared" ca="1" si="28"/>
        <v>0</v>
      </c>
      <c r="DL24" s="2307">
        <f t="shared" ca="1" si="28"/>
        <v>0</v>
      </c>
      <c r="DM24" s="2307">
        <f t="shared" ca="1" si="28"/>
        <v>0</v>
      </c>
      <c r="DN24" s="2307">
        <f t="shared" ca="1" si="28"/>
        <v>0</v>
      </c>
      <c r="DO24" s="2307">
        <f t="shared" ca="1" si="28"/>
        <v>0</v>
      </c>
      <c r="DP24" s="2307">
        <f t="shared" ca="1" si="28"/>
        <v>0</v>
      </c>
      <c r="DR24" t="s">
        <v>290</v>
      </c>
    </row>
    <row r="25" spans="1:122" outlineLevel="1">
      <c r="A25" s="1221">
        <v>1110052010</v>
      </c>
      <c r="B25" s="1222" t="s">
        <v>2224</v>
      </c>
      <c r="C25" s="2385" t="s">
        <v>64</v>
      </c>
      <c r="D25" s="1602">
        <v>1100002199</v>
      </c>
      <c r="E25" s="1603">
        <v>44946</v>
      </c>
      <c r="F25" s="1224"/>
      <c r="G25" s="1266"/>
      <c r="H25" s="1225"/>
      <c r="I25" s="2386"/>
      <c r="J25" s="1604">
        <v>1</v>
      </c>
      <c r="K25" s="1605">
        <v>1</v>
      </c>
      <c r="L25" s="1606"/>
      <c r="M25" s="2387">
        <f t="shared" si="16"/>
        <v>0</v>
      </c>
      <c r="N25" s="1228">
        <f ca="1">IF(OR(E25="",E25&gt;TODAY()),0,IF(ISERROR(VLOOKUP($E25,'TRM BanRep'!$A:$G,7,0)),0,VLOOKUP($E25,'TRM BanRep'!$A:$G,7,0)))</f>
        <v>4683.8500000000004</v>
      </c>
      <c r="O25" s="1229">
        <f t="shared" ca="1" si="17"/>
        <v>0</v>
      </c>
      <c r="P25" s="1230">
        <v>-7488276.1900000004</v>
      </c>
      <c r="Q25" s="1230">
        <f t="shared" si="18"/>
        <v>-7488276.1900000004</v>
      </c>
      <c r="R25" s="1231">
        <v>4760.6099999999997</v>
      </c>
      <c r="S25" s="1231">
        <v>4760.6099999999997</v>
      </c>
      <c r="T25" s="2388">
        <f t="shared" si="19"/>
        <v>-35648762512.8759</v>
      </c>
      <c r="U25" s="111">
        <f t="shared" si="20"/>
        <v>-7488276.1900000004</v>
      </c>
      <c r="V25" s="566">
        <f t="shared" ca="1" si="21"/>
        <v>-35648762512.8759</v>
      </c>
      <c r="W25" s="2389">
        <f t="shared" si="23"/>
        <v>0</v>
      </c>
      <c r="X25" s="1236">
        <f t="shared" si="24"/>
        <v>0</v>
      </c>
      <c r="Y25" s="519"/>
      <c r="Z25" s="1055"/>
      <c r="AA25" s="2309">
        <f t="shared" ca="1" si="29"/>
        <v>-7488276.1900000004</v>
      </c>
      <c r="AB25" s="2310">
        <f t="shared" ca="1" si="29"/>
        <v>0</v>
      </c>
      <c r="AC25" s="2310">
        <f t="shared" ca="1" si="29"/>
        <v>0</v>
      </c>
      <c r="AD25" s="2310">
        <f t="shared" ca="1" si="29"/>
        <v>0</v>
      </c>
      <c r="AE25" s="2310">
        <f t="shared" ca="1" si="29"/>
        <v>0</v>
      </c>
      <c r="AF25" s="2307">
        <f t="shared" ca="1" si="29"/>
        <v>0</v>
      </c>
      <c r="AG25" s="2307">
        <f t="shared" ca="1" si="29"/>
        <v>0</v>
      </c>
      <c r="AH25" s="2307">
        <f t="shared" ca="1" si="29"/>
        <v>0</v>
      </c>
      <c r="AI25" s="2307">
        <f t="shared" ca="1" si="29"/>
        <v>0</v>
      </c>
      <c r="AJ25" s="2307">
        <f t="shared" ca="1" si="10"/>
        <v>0</v>
      </c>
      <c r="AK25" s="2307">
        <f t="shared" ca="1" si="29"/>
        <v>0</v>
      </c>
      <c r="AL25" s="2308">
        <f t="shared" ca="1" si="29"/>
        <v>0</v>
      </c>
      <c r="AM25" s="2307">
        <f t="shared" ca="1" si="29"/>
        <v>0</v>
      </c>
      <c r="AN25" s="2307">
        <f t="shared" ca="1" si="29"/>
        <v>0</v>
      </c>
      <c r="AO25" s="2307">
        <f t="shared" ca="1" si="29"/>
        <v>0</v>
      </c>
      <c r="AP25" s="2307">
        <f t="shared" ca="1" si="29"/>
        <v>0</v>
      </c>
      <c r="AQ25" s="2307">
        <f t="shared" ca="1" si="29"/>
        <v>0</v>
      </c>
      <c r="AR25" s="2307">
        <f t="shared" ca="1" si="29"/>
        <v>0</v>
      </c>
      <c r="AS25" s="2307">
        <f t="shared" ca="1" si="29"/>
        <v>0</v>
      </c>
      <c r="AT25" s="2307">
        <f t="shared" ca="1" si="29"/>
        <v>0</v>
      </c>
      <c r="AU25" s="2307">
        <f t="shared" ca="1" si="29"/>
        <v>0</v>
      </c>
      <c r="AV25" s="2307">
        <f t="shared" ca="1" si="29"/>
        <v>0</v>
      </c>
      <c r="AW25" s="2307">
        <f t="shared" ca="1" si="29"/>
        <v>0</v>
      </c>
      <c r="AX25" s="2307">
        <f t="shared" ca="1" si="29"/>
        <v>0</v>
      </c>
      <c r="AY25" s="2307">
        <f t="shared" ca="1" si="29"/>
        <v>0</v>
      </c>
      <c r="AZ25" s="2307">
        <f t="shared" ca="1" si="29"/>
        <v>0</v>
      </c>
      <c r="BA25" s="2307">
        <f t="shared" ca="1" si="29"/>
        <v>0</v>
      </c>
      <c r="BB25" s="2307">
        <f t="shared" ca="1" si="29"/>
        <v>0</v>
      </c>
      <c r="BC25" s="2307">
        <f t="shared" ca="1" si="29"/>
        <v>0</v>
      </c>
      <c r="BD25" s="2307">
        <f t="shared" ca="1" si="29"/>
        <v>0</v>
      </c>
      <c r="BE25" s="2307">
        <f t="shared" ca="1" si="29"/>
        <v>0</v>
      </c>
      <c r="BF25" s="2307">
        <f t="shared" ca="1" si="29"/>
        <v>0</v>
      </c>
      <c r="BG25" s="2307">
        <f t="shared" ca="1" si="29"/>
        <v>0</v>
      </c>
      <c r="BH25" s="2307">
        <f t="shared" ca="1" si="29"/>
        <v>0</v>
      </c>
      <c r="BI25" s="2307">
        <f t="shared" ca="1" si="29"/>
        <v>0</v>
      </c>
      <c r="BJ25" s="2307">
        <f t="shared" ca="1" si="29"/>
        <v>0</v>
      </c>
      <c r="BK25" s="2307">
        <f t="shared" ca="1" si="29"/>
        <v>0</v>
      </c>
      <c r="BL25" s="2307">
        <f t="shared" ca="1" si="29"/>
        <v>0</v>
      </c>
      <c r="BM25" s="2307">
        <f t="shared" ca="1" si="29"/>
        <v>0</v>
      </c>
      <c r="BN25" s="2307">
        <f t="shared" ca="1" si="29"/>
        <v>0</v>
      </c>
      <c r="BO25" s="2307">
        <f t="shared" ca="1" si="29"/>
        <v>0</v>
      </c>
      <c r="BP25" s="2307">
        <f t="shared" ca="1" si="29"/>
        <v>0</v>
      </c>
      <c r="BQ25" s="2307">
        <f t="shared" ca="1" si="29"/>
        <v>0</v>
      </c>
      <c r="BR25" s="2307">
        <f t="shared" ca="1" si="29"/>
        <v>0</v>
      </c>
      <c r="BS25" s="2307">
        <f t="shared" ca="1" si="29"/>
        <v>0</v>
      </c>
      <c r="BT25" s="2307">
        <f t="shared" ca="1" si="29"/>
        <v>0</v>
      </c>
      <c r="BU25" s="2307">
        <f t="shared" ca="1" si="29"/>
        <v>0</v>
      </c>
      <c r="BV25" s="2307">
        <f t="shared" ca="1" si="29"/>
        <v>0</v>
      </c>
      <c r="BW25" s="2307">
        <f t="shared" ca="1" si="29"/>
        <v>0</v>
      </c>
      <c r="BX25" s="2307">
        <f t="shared" ca="1" si="29"/>
        <v>0</v>
      </c>
      <c r="BY25" s="2307">
        <f t="shared" ca="1" si="29"/>
        <v>0</v>
      </c>
      <c r="BZ25" s="2307">
        <f t="shared" ca="1" si="29"/>
        <v>0</v>
      </c>
      <c r="CA25" s="2307">
        <f t="shared" ca="1" si="29"/>
        <v>0</v>
      </c>
      <c r="CB25" s="2307">
        <f t="shared" ca="1" si="29"/>
        <v>0</v>
      </c>
      <c r="CC25" s="2307">
        <f t="shared" ca="1" si="29"/>
        <v>0</v>
      </c>
      <c r="CD25" s="2307">
        <f t="shared" ca="1" si="29"/>
        <v>0</v>
      </c>
      <c r="CE25" s="2307">
        <f t="shared" ca="1" si="29"/>
        <v>0</v>
      </c>
      <c r="CF25" s="2307">
        <f t="shared" ca="1" si="29"/>
        <v>0</v>
      </c>
      <c r="CG25" s="2307">
        <f t="shared" ca="1" si="29"/>
        <v>0</v>
      </c>
      <c r="CH25" s="2307">
        <f t="shared" ca="1" si="29"/>
        <v>0</v>
      </c>
      <c r="CI25" s="2307">
        <f t="shared" ca="1" si="29"/>
        <v>0</v>
      </c>
      <c r="CJ25" s="2307">
        <f t="shared" ca="1" si="29"/>
        <v>0</v>
      </c>
      <c r="CK25" s="2307">
        <f t="shared" ca="1" si="29"/>
        <v>0</v>
      </c>
      <c r="CL25" s="2307">
        <f t="shared" ca="1" si="29"/>
        <v>0</v>
      </c>
      <c r="CM25" s="2307">
        <f t="shared" ca="1" si="28"/>
        <v>0</v>
      </c>
      <c r="CN25" s="2307">
        <f t="shared" ca="1" si="28"/>
        <v>0</v>
      </c>
      <c r="CO25" s="2307">
        <f t="shared" ca="1" si="28"/>
        <v>0</v>
      </c>
      <c r="CP25" s="2307">
        <f t="shared" ca="1" si="28"/>
        <v>0</v>
      </c>
      <c r="CQ25" s="2307">
        <f t="shared" ca="1" si="28"/>
        <v>0</v>
      </c>
      <c r="CR25" s="2307">
        <f t="shared" ca="1" si="28"/>
        <v>0</v>
      </c>
      <c r="CS25" s="2307">
        <f t="shared" ca="1" si="28"/>
        <v>0</v>
      </c>
      <c r="CT25" s="2307">
        <f t="shared" ca="1" si="28"/>
        <v>0</v>
      </c>
      <c r="CU25" s="2307">
        <f t="shared" ca="1" si="28"/>
        <v>0</v>
      </c>
      <c r="CV25" s="2307">
        <f t="shared" ca="1" si="28"/>
        <v>0</v>
      </c>
      <c r="CW25" s="2307">
        <f t="shared" ca="1" si="28"/>
        <v>0</v>
      </c>
      <c r="CX25" s="2307">
        <f t="shared" ca="1" si="28"/>
        <v>0</v>
      </c>
      <c r="CY25" s="2307">
        <f t="shared" ca="1" si="28"/>
        <v>0</v>
      </c>
      <c r="CZ25" s="2307">
        <f t="shared" ca="1" si="28"/>
        <v>0</v>
      </c>
      <c r="DA25" s="2307">
        <f t="shared" ca="1" si="28"/>
        <v>0</v>
      </c>
      <c r="DB25" s="2307">
        <f t="shared" ca="1" si="28"/>
        <v>0</v>
      </c>
      <c r="DC25" s="2307">
        <f t="shared" ca="1" si="28"/>
        <v>0</v>
      </c>
      <c r="DD25" s="2307">
        <f t="shared" ca="1" si="28"/>
        <v>0</v>
      </c>
      <c r="DE25" s="2307">
        <f t="shared" ca="1" si="28"/>
        <v>0</v>
      </c>
      <c r="DF25" s="2307">
        <f t="shared" ca="1" si="28"/>
        <v>0</v>
      </c>
      <c r="DG25" s="2307">
        <f t="shared" ca="1" si="28"/>
        <v>0</v>
      </c>
      <c r="DH25" s="2307">
        <f t="shared" ca="1" si="28"/>
        <v>0</v>
      </c>
      <c r="DI25" s="2307">
        <f t="shared" ca="1" si="28"/>
        <v>0</v>
      </c>
      <c r="DJ25" s="2307">
        <f t="shared" ca="1" si="28"/>
        <v>0</v>
      </c>
      <c r="DK25" s="2307">
        <f t="shared" ca="1" si="28"/>
        <v>0</v>
      </c>
      <c r="DL25" s="2307">
        <f t="shared" ca="1" si="28"/>
        <v>0</v>
      </c>
      <c r="DM25" s="2307">
        <f t="shared" ca="1" si="28"/>
        <v>0</v>
      </c>
      <c r="DN25" s="2307">
        <f t="shared" ca="1" si="28"/>
        <v>0</v>
      </c>
      <c r="DO25" s="2307">
        <f t="shared" ca="1" si="28"/>
        <v>0</v>
      </c>
      <c r="DP25" s="2307">
        <f t="shared" ca="1" si="28"/>
        <v>0</v>
      </c>
      <c r="DR25" t="s">
        <v>290</v>
      </c>
    </row>
    <row r="26" spans="1:122" outlineLevel="1">
      <c r="A26" s="1221">
        <v>1110052010</v>
      </c>
      <c r="B26" s="1222" t="s">
        <v>2224</v>
      </c>
      <c r="C26" s="2385" t="s">
        <v>64</v>
      </c>
      <c r="D26" s="1602">
        <v>1100002199</v>
      </c>
      <c r="E26" s="1603">
        <v>44946</v>
      </c>
      <c r="F26" s="1224"/>
      <c r="G26" s="1266"/>
      <c r="H26" s="1225"/>
      <c r="I26" s="2386"/>
      <c r="J26" s="1604">
        <v>1</v>
      </c>
      <c r="K26" s="1605">
        <v>1</v>
      </c>
      <c r="L26" s="1606"/>
      <c r="M26" s="2387">
        <f t="shared" si="16"/>
        <v>0</v>
      </c>
      <c r="N26" s="1228">
        <f ca="1">IF(OR(E26="",E26&gt;TODAY()),0,IF(ISERROR(VLOOKUP($E26,'TRM BanRep'!$A:$G,7,0)),0,VLOOKUP($E26,'TRM BanRep'!$A:$G,7,0)))</f>
        <v>4683.8500000000004</v>
      </c>
      <c r="O26" s="1229">
        <f t="shared" ca="1" si="17"/>
        <v>0</v>
      </c>
      <c r="P26" s="1230">
        <v>-7422.84</v>
      </c>
      <c r="Q26" s="1230">
        <f t="shared" si="18"/>
        <v>-7422.84</v>
      </c>
      <c r="R26" s="1231">
        <v>4745.04</v>
      </c>
      <c r="S26" s="1231">
        <v>4745.04</v>
      </c>
      <c r="T26" s="2388">
        <f t="shared" si="19"/>
        <v>-35221672.713600002</v>
      </c>
      <c r="U26" s="111">
        <f t="shared" si="20"/>
        <v>-7422.84</v>
      </c>
      <c r="V26" s="566">
        <f t="shared" ca="1" si="21"/>
        <v>-35221672.713600002</v>
      </c>
      <c r="W26" s="2389">
        <f t="shared" si="23"/>
        <v>0</v>
      </c>
      <c r="X26" s="1236">
        <f t="shared" si="24"/>
        <v>0</v>
      </c>
      <c r="Y26" s="519"/>
      <c r="Z26" s="1055"/>
      <c r="AA26" s="2309">
        <f t="shared" ref="AA26:CL28" ca="1" si="30">IF($L26="",IF(OR($P26="",$R26=""),0,IF($R26=AA$6,$Q26,0)),IF($E26=AA$5,$M26,))</f>
        <v>0</v>
      </c>
      <c r="AB26" s="2310">
        <f t="shared" ca="1" si="30"/>
        <v>-7422.84</v>
      </c>
      <c r="AC26" s="2310">
        <f t="shared" ca="1" si="30"/>
        <v>0</v>
      </c>
      <c r="AD26" s="2310">
        <f t="shared" ca="1" si="30"/>
        <v>0</v>
      </c>
      <c r="AE26" s="2310">
        <f t="shared" ca="1" si="30"/>
        <v>0</v>
      </c>
      <c r="AF26" s="2307">
        <f t="shared" ca="1" si="30"/>
        <v>0</v>
      </c>
      <c r="AG26" s="2307">
        <f t="shared" ca="1" si="30"/>
        <v>0</v>
      </c>
      <c r="AH26" s="2307">
        <f t="shared" ca="1" si="30"/>
        <v>0</v>
      </c>
      <c r="AI26" s="2307">
        <f t="shared" ca="1" si="30"/>
        <v>0</v>
      </c>
      <c r="AJ26" s="2307">
        <f t="shared" ca="1" si="10"/>
        <v>0</v>
      </c>
      <c r="AK26" s="2307">
        <f t="shared" ca="1" si="30"/>
        <v>0</v>
      </c>
      <c r="AL26" s="2308">
        <f t="shared" ca="1" si="30"/>
        <v>0</v>
      </c>
      <c r="AM26" s="2307">
        <f t="shared" ca="1" si="30"/>
        <v>0</v>
      </c>
      <c r="AN26" s="2307">
        <f t="shared" ca="1" si="30"/>
        <v>0</v>
      </c>
      <c r="AO26" s="2307">
        <f t="shared" ca="1" si="30"/>
        <v>0</v>
      </c>
      <c r="AP26" s="2307">
        <f t="shared" ca="1" si="30"/>
        <v>0</v>
      </c>
      <c r="AQ26" s="2307">
        <f t="shared" ca="1" si="30"/>
        <v>0</v>
      </c>
      <c r="AR26" s="2307">
        <f t="shared" ca="1" si="30"/>
        <v>0</v>
      </c>
      <c r="AS26" s="2307">
        <f t="shared" ca="1" si="30"/>
        <v>0</v>
      </c>
      <c r="AT26" s="2307">
        <f t="shared" ca="1" si="30"/>
        <v>0</v>
      </c>
      <c r="AU26" s="2307">
        <f t="shared" ca="1" si="30"/>
        <v>0</v>
      </c>
      <c r="AV26" s="2307">
        <f t="shared" ca="1" si="30"/>
        <v>0</v>
      </c>
      <c r="AW26" s="2307">
        <f t="shared" ca="1" si="30"/>
        <v>0</v>
      </c>
      <c r="AX26" s="2307">
        <f t="shared" ca="1" si="30"/>
        <v>0</v>
      </c>
      <c r="AY26" s="2307">
        <f t="shared" ca="1" si="30"/>
        <v>0</v>
      </c>
      <c r="AZ26" s="2307">
        <f t="shared" ca="1" si="30"/>
        <v>0</v>
      </c>
      <c r="BA26" s="2307">
        <f t="shared" ca="1" si="30"/>
        <v>0</v>
      </c>
      <c r="BB26" s="2307">
        <f t="shared" ca="1" si="30"/>
        <v>0</v>
      </c>
      <c r="BC26" s="2307">
        <f t="shared" ca="1" si="30"/>
        <v>0</v>
      </c>
      <c r="BD26" s="2307">
        <f t="shared" ca="1" si="30"/>
        <v>0</v>
      </c>
      <c r="BE26" s="2307">
        <f t="shared" ca="1" si="30"/>
        <v>0</v>
      </c>
      <c r="BF26" s="2307">
        <f t="shared" ca="1" si="30"/>
        <v>0</v>
      </c>
      <c r="BG26" s="2307">
        <f t="shared" ca="1" si="30"/>
        <v>0</v>
      </c>
      <c r="BH26" s="2307">
        <f t="shared" ca="1" si="30"/>
        <v>0</v>
      </c>
      <c r="BI26" s="2307">
        <f t="shared" ca="1" si="30"/>
        <v>0</v>
      </c>
      <c r="BJ26" s="2307">
        <f t="shared" ca="1" si="30"/>
        <v>0</v>
      </c>
      <c r="BK26" s="2307">
        <f t="shared" ca="1" si="30"/>
        <v>0</v>
      </c>
      <c r="BL26" s="2307">
        <f t="shared" ca="1" si="30"/>
        <v>0</v>
      </c>
      <c r="BM26" s="2307">
        <f t="shared" ca="1" si="30"/>
        <v>0</v>
      </c>
      <c r="BN26" s="2307">
        <f t="shared" ca="1" si="30"/>
        <v>0</v>
      </c>
      <c r="BO26" s="2307">
        <f t="shared" ca="1" si="30"/>
        <v>0</v>
      </c>
      <c r="BP26" s="2307">
        <f t="shared" ca="1" si="30"/>
        <v>0</v>
      </c>
      <c r="BQ26" s="2307">
        <f t="shared" ca="1" si="30"/>
        <v>0</v>
      </c>
      <c r="BR26" s="2307">
        <f t="shared" ca="1" si="30"/>
        <v>0</v>
      </c>
      <c r="BS26" s="2307">
        <f t="shared" ca="1" si="30"/>
        <v>0</v>
      </c>
      <c r="BT26" s="2307">
        <f t="shared" ca="1" si="30"/>
        <v>0</v>
      </c>
      <c r="BU26" s="2307">
        <f t="shared" ca="1" si="30"/>
        <v>0</v>
      </c>
      <c r="BV26" s="2307">
        <f t="shared" ca="1" si="30"/>
        <v>0</v>
      </c>
      <c r="BW26" s="2307">
        <f t="shared" ca="1" si="30"/>
        <v>0</v>
      </c>
      <c r="BX26" s="2307">
        <f t="shared" ca="1" si="30"/>
        <v>0</v>
      </c>
      <c r="BY26" s="2307">
        <f t="shared" ca="1" si="30"/>
        <v>0</v>
      </c>
      <c r="BZ26" s="2307">
        <f t="shared" ca="1" si="30"/>
        <v>0</v>
      </c>
      <c r="CA26" s="2307">
        <f t="shared" ca="1" si="30"/>
        <v>0</v>
      </c>
      <c r="CB26" s="2307">
        <f t="shared" ca="1" si="30"/>
        <v>0</v>
      </c>
      <c r="CC26" s="2307">
        <f t="shared" ca="1" si="30"/>
        <v>0</v>
      </c>
      <c r="CD26" s="2307">
        <f t="shared" ca="1" si="30"/>
        <v>0</v>
      </c>
      <c r="CE26" s="2307">
        <f t="shared" ca="1" si="30"/>
        <v>0</v>
      </c>
      <c r="CF26" s="2307">
        <f t="shared" ca="1" si="30"/>
        <v>0</v>
      </c>
      <c r="CG26" s="2307">
        <f t="shared" ca="1" si="30"/>
        <v>0</v>
      </c>
      <c r="CH26" s="2307">
        <f t="shared" ca="1" si="30"/>
        <v>0</v>
      </c>
      <c r="CI26" s="2307">
        <f t="shared" ca="1" si="30"/>
        <v>0</v>
      </c>
      <c r="CJ26" s="2307">
        <f t="shared" ca="1" si="30"/>
        <v>0</v>
      </c>
      <c r="CK26" s="2307">
        <f t="shared" ca="1" si="30"/>
        <v>0</v>
      </c>
      <c r="CL26" s="2307">
        <f t="shared" ca="1" si="30"/>
        <v>0</v>
      </c>
      <c r="CM26" s="2307">
        <f t="shared" ref="CM26:CY26" ca="1" si="31">IF($L26="",IF(OR($P26="",$R26=""),0,IF($R26=CM$6,$Q26,0)),IF($E26=CM$5,$M26,))</f>
        <v>0</v>
      </c>
      <c r="CN26" s="2307">
        <f t="shared" ca="1" si="31"/>
        <v>0</v>
      </c>
      <c r="CO26" s="2307">
        <f t="shared" ca="1" si="31"/>
        <v>0</v>
      </c>
      <c r="CP26" s="2307">
        <f t="shared" ca="1" si="31"/>
        <v>0</v>
      </c>
      <c r="CQ26" s="2307">
        <f t="shared" ca="1" si="31"/>
        <v>0</v>
      </c>
      <c r="CR26" s="2307">
        <f t="shared" ca="1" si="31"/>
        <v>0</v>
      </c>
      <c r="CS26" s="2307">
        <f t="shared" ca="1" si="31"/>
        <v>0</v>
      </c>
      <c r="CT26" s="2307">
        <f t="shared" ca="1" si="31"/>
        <v>0</v>
      </c>
      <c r="CU26" s="2307">
        <f t="shared" ca="1" si="31"/>
        <v>0</v>
      </c>
      <c r="CV26" s="2307">
        <f t="shared" ca="1" si="31"/>
        <v>0</v>
      </c>
      <c r="CW26" s="2307">
        <f t="shared" ca="1" si="31"/>
        <v>0</v>
      </c>
      <c r="CX26" s="2307">
        <f t="shared" ca="1" si="31"/>
        <v>0</v>
      </c>
      <c r="CY26" s="2307">
        <f t="shared" ca="1" si="31"/>
        <v>0</v>
      </c>
      <c r="CZ26" s="2307">
        <f t="shared" ref="CZ26:DP28" ca="1" si="32">IF($L26="",IF(OR($P26="",$R26=""),0,IF($R26=CZ$6,$Q26,0)),IF($E26=CZ$5,$M26,))</f>
        <v>0</v>
      </c>
      <c r="DA26" s="2307">
        <f t="shared" ca="1" si="32"/>
        <v>0</v>
      </c>
      <c r="DB26" s="2307">
        <f t="shared" ca="1" si="32"/>
        <v>0</v>
      </c>
      <c r="DC26" s="2307">
        <f t="shared" ca="1" si="32"/>
        <v>0</v>
      </c>
      <c r="DD26" s="2307">
        <f t="shared" ca="1" si="32"/>
        <v>0</v>
      </c>
      <c r="DE26" s="2307">
        <f t="shared" ca="1" si="32"/>
        <v>0</v>
      </c>
      <c r="DF26" s="2307">
        <f t="shared" ca="1" si="32"/>
        <v>0</v>
      </c>
      <c r="DG26" s="2307">
        <f t="shared" ca="1" si="32"/>
        <v>0</v>
      </c>
      <c r="DH26" s="2307">
        <f t="shared" ca="1" si="32"/>
        <v>0</v>
      </c>
      <c r="DI26" s="2307">
        <f t="shared" ca="1" si="32"/>
        <v>0</v>
      </c>
      <c r="DJ26" s="2307">
        <f t="shared" ca="1" si="32"/>
        <v>0</v>
      </c>
      <c r="DK26" s="2307">
        <f t="shared" ca="1" si="32"/>
        <v>0</v>
      </c>
      <c r="DL26" s="2307">
        <f t="shared" ca="1" si="32"/>
        <v>0</v>
      </c>
      <c r="DM26" s="2307">
        <f t="shared" ca="1" si="32"/>
        <v>0</v>
      </c>
      <c r="DN26" s="2307">
        <f t="shared" ca="1" si="32"/>
        <v>0</v>
      </c>
      <c r="DO26" s="2307">
        <f t="shared" ca="1" si="32"/>
        <v>0</v>
      </c>
      <c r="DP26" s="2307">
        <f t="shared" ca="1" si="32"/>
        <v>0</v>
      </c>
      <c r="DR26" t="s">
        <v>290</v>
      </c>
    </row>
    <row r="27" spans="1:122" outlineLevel="1">
      <c r="A27" s="1221">
        <v>1110052010</v>
      </c>
      <c r="B27" s="1222" t="s">
        <v>2224</v>
      </c>
      <c r="C27" s="2385" t="s">
        <v>64</v>
      </c>
      <c r="D27" s="1602">
        <v>1100002199</v>
      </c>
      <c r="E27" s="1603">
        <v>44946</v>
      </c>
      <c r="F27" s="1224"/>
      <c r="G27" s="1266"/>
      <c r="H27" s="1225"/>
      <c r="I27" s="2386"/>
      <c r="J27" s="1604">
        <v>1</v>
      </c>
      <c r="K27" s="1605">
        <v>1</v>
      </c>
      <c r="L27" s="1606"/>
      <c r="M27" s="2387">
        <f t="shared" ref="M27" si="33">+L27*J27</f>
        <v>0</v>
      </c>
      <c r="N27" s="1228">
        <f ca="1">IF(OR(E27="",E27&gt;TODAY()),0,IF(ISERROR(VLOOKUP($E27,'TRM BanRep'!$A:$G,7,0)),0,VLOOKUP($E27,'TRM BanRep'!$A:$G,7,0)))</f>
        <v>4683.8500000000004</v>
      </c>
      <c r="O27" s="1229">
        <f t="shared" ref="O27" ca="1" si="34">+L27*J27*N27</f>
        <v>0</v>
      </c>
      <c r="P27" s="1230">
        <v>-79310.679999999993</v>
      </c>
      <c r="Q27" s="1230">
        <f t="shared" ref="Q27" si="35">+P27*K27</f>
        <v>-79310.679999999993</v>
      </c>
      <c r="R27" s="1231">
        <v>4810.2</v>
      </c>
      <c r="S27" s="1231">
        <v>4810.2</v>
      </c>
      <c r="T27" s="2388">
        <f t="shared" ref="T27" si="36">+P27*K27*S27</f>
        <v>-381500232.93599993</v>
      </c>
      <c r="U27" s="111">
        <f t="shared" ref="U27" si="37">+L27+P27+F27</f>
        <v>-79310.679999999993</v>
      </c>
      <c r="V27" s="566">
        <f t="shared" ref="V27" ca="1" si="38">+P27*J27*R27+L27*J27*N27+F27*J27*H27</f>
        <v>-381500232.93599993</v>
      </c>
      <c r="W27" s="2389">
        <f t="shared" ref="W27" si="39">IF((-P27*J27*R27)-(-P27*K27*S27)&gt;0,(-P27*J27*R27)-(-P27*K27*S27),0)</f>
        <v>0</v>
      </c>
      <c r="X27" s="1236">
        <f t="shared" ref="X27" si="40">IF((-P27*J27*R27)-(-P27*K27*S27)&lt;0,(-P27*J27*R27)-(-P27*K27*S27),0)</f>
        <v>0</v>
      </c>
      <c r="Y27" s="519"/>
      <c r="Z27" s="1055"/>
      <c r="AA27" s="2309">
        <f t="shared" ca="1" si="30"/>
        <v>0</v>
      </c>
      <c r="AB27" s="2310">
        <f t="shared" ca="1" si="30"/>
        <v>0</v>
      </c>
      <c r="AC27" s="2310">
        <f t="shared" ca="1" si="30"/>
        <v>0</v>
      </c>
      <c r="AD27" s="2310">
        <f t="shared" ca="1" si="30"/>
        <v>0</v>
      </c>
      <c r="AE27" s="2310">
        <f t="shared" ca="1" si="30"/>
        <v>0</v>
      </c>
      <c r="AF27" s="2307">
        <v>0</v>
      </c>
      <c r="AG27" s="2307">
        <f t="shared" ca="1" si="30"/>
        <v>-79310.679999999993</v>
      </c>
      <c r="AH27" s="2307">
        <f t="shared" ca="1" si="30"/>
        <v>0</v>
      </c>
      <c r="AI27" s="2307">
        <f t="shared" ca="1" si="30"/>
        <v>0</v>
      </c>
      <c r="AJ27" s="2307">
        <f t="shared" ca="1" si="10"/>
        <v>0</v>
      </c>
      <c r="AK27" s="2307">
        <f t="shared" ca="1" si="30"/>
        <v>0</v>
      </c>
      <c r="AL27" s="2308">
        <f t="shared" ca="1" si="30"/>
        <v>0</v>
      </c>
      <c r="AM27" s="2307">
        <f t="shared" ca="1" si="30"/>
        <v>0</v>
      </c>
      <c r="AN27" s="2307">
        <f t="shared" ca="1" si="30"/>
        <v>0</v>
      </c>
      <c r="AO27" s="2307">
        <f t="shared" ca="1" si="30"/>
        <v>0</v>
      </c>
      <c r="AP27" s="2307">
        <f t="shared" ca="1" si="30"/>
        <v>0</v>
      </c>
      <c r="AQ27" s="2307">
        <f t="shared" ca="1" si="30"/>
        <v>0</v>
      </c>
      <c r="AR27" s="2307">
        <f t="shared" ca="1" si="30"/>
        <v>0</v>
      </c>
      <c r="AS27" s="2307">
        <f t="shared" ca="1" si="30"/>
        <v>0</v>
      </c>
      <c r="AT27" s="2307">
        <f t="shared" ca="1" si="30"/>
        <v>0</v>
      </c>
      <c r="AU27" s="2307">
        <f t="shared" ca="1" si="30"/>
        <v>0</v>
      </c>
      <c r="AV27" s="2307">
        <f t="shared" ca="1" si="30"/>
        <v>0</v>
      </c>
      <c r="AW27" s="2307">
        <f t="shared" ca="1" si="30"/>
        <v>0</v>
      </c>
      <c r="AX27" s="2307">
        <f t="shared" ca="1" si="30"/>
        <v>0</v>
      </c>
      <c r="AY27" s="2307">
        <f t="shared" ca="1" si="30"/>
        <v>0</v>
      </c>
      <c r="AZ27" s="2307">
        <f t="shared" ca="1" si="30"/>
        <v>0</v>
      </c>
      <c r="BA27" s="2307">
        <f t="shared" ca="1" si="30"/>
        <v>0</v>
      </c>
      <c r="BB27" s="2307">
        <f t="shared" ca="1" si="30"/>
        <v>0</v>
      </c>
      <c r="BC27" s="2307">
        <f t="shared" ca="1" si="30"/>
        <v>0</v>
      </c>
      <c r="BD27" s="2307">
        <f t="shared" ca="1" si="30"/>
        <v>0</v>
      </c>
      <c r="BE27" s="2307">
        <f t="shared" ca="1" si="30"/>
        <v>0</v>
      </c>
      <c r="BF27" s="2307">
        <f t="shared" ca="1" si="30"/>
        <v>0</v>
      </c>
      <c r="BG27" s="2307">
        <f t="shared" ca="1" si="30"/>
        <v>0</v>
      </c>
      <c r="BH27" s="2307">
        <f t="shared" ca="1" si="30"/>
        <v>0</v>
      </c>
      <c r="BI27" s="2307">
        <f t="shared" ca="1" si="30"/>
        <v>0</v>
      </c>
      <c r="BJ27" s="2307">
        <f t="shared" ca="1" si="30"/>
        <v>0</v>
      </c>
      <c r="BK27" s="2307">
        <f t="shared" ca="1" si="30"/>
        <v>0</v>
      </c>
      <c r="BL27" s="2307">
        <f t="shared" ca="1" si="30"/>
        <v>0</v>
      </c>
      <c r="BM27" s="2307">
        <f t="shared" ca="1" si="30"/>
        <v>0</v>
      </c>
      <c r="BN27" s="2307">
        <f t="shared" ca="1" si="30"/>
        <v>0</v>
      </c>
      <c r="BO27" s="2307">
        <f t="shared" ca="1" si="30"/>
        <v>0</v>
      </c>
      <c r="BP27" s="2307">
        <f t="shared" ca="1" si="30"/>
        <v>0</v>
      </c>
      <c r="BQ27" s="2307">
        <f t="shared" ca="1" si="30"/>
        <v>0</v>
      </c>
      <c r="BR27" s="2307">
        <f t="shared" ca="1" si="30"/>
        <v>0</v>
      </c>
      <c r="BS27" s="2307">
        <f t="shared" ca="1" si="30"/>
        <v>0</v>
      </c>
      <c r="BT27" s="2307">
        <f t="shared" ca="1" si="30"/>
        <v>0</v>
      </c>
      <c r="BU27" s="2307">
        <f t="shared" ca="1" si="30"/>
        <v>0</v>
      </c>
      <c r="BV27" s="2307">
        <f t="shared" ca="1" si="30"/>
        <v>0</v>
      </c>
      <c r="BW27" s="2307">
        <f t="shared" ca="1" si="30"/>
        <v>0</v>
      </c>
      <c r="BX27" s="2307">
        <f t="shared" ca="1" si="30"/>
        <v>0</v>
      </c>
      <c r="BY27" s="2307">
        <f t="shared" ca="1" si="30"/>
        <v>0</v>
      </c>
      <c r="BZ27" s="2307">
        <f t="shared" ca="1" si="30"/>
        <v>0</v>
      </c>
      <c r="CA27" s="2307">
        <f t="shared" ca="1" si="30"/>
        <v>0</v>
      </c>
      <c r="CB27" s="2307">
        <f t="shared" ca="1" si="30"/>
        <v>0</v>
      </c>
      <c r="CC27" s="2307">
        <f t="shared" ca="1" si="30"/>
        <v>0</v>
      </c>
      <c r="CD27" s="2307">
        <f t="shared" ca="1" si="30"/>
        <v>0</v>
      </c>
      <c r="CE27" s="2307">
        <f t="shared" ca="1" si="30"/>
        <v>0</v>
      </c>
      <c r="CF27" s="2307">
        <f t="shared" ca="1" si="30"/>
        <v>0</v>
      </c>
      <c r="CG27" s="2307">
        <f t="shared" ca="1" si="30"/>
        <v>0</v>
      </c>
      <c r="CH27" s="2307">
        <f t="shared" ca="1" si="30"/>
        <v>0</v>
      </c>
      <c r="CI27" s="2307">
        <f t="shared" ca="1" si="30"/>
        <v>0</v>
      </c>
      <c r="CJ27" s="2307">
        <f t="shared" ca="1" si="30"/>
        <v>0</v>
      </c>
      <c r="CK27" s="2307">
        <f t="shared" ca="1" si="30"/>
        <v>0</v>
      </c>
      <c r="CL27" s="2307">
        <f t="shared" ca="1" si="30"/>
        <v>0</v>
      </c>
      <c r="CM27" s="2307">
        <f t="shared" ca="1" si="28"/>
        <v>0</v>
      </c>
      <c r="CN27" s="2307">
        <f t="shared" ca="1" si="28"/>
        <v>0</v>
      </c>
      <c r="CO27" s="2307">
        <f t="shared" ca="1" si="28"/>
        <v>0</v>
      </c>
      <c r="CP27" s="2307">
        <f t="shared" ca="1" si="28"/>
        <v>0</v>
      </c>
      <c r="CQ27" s="2307">
        <f t="shared" ca="1" si="28"/>
        <v>0</v>
      </c>
      <c r="CR27" s="2307">
        <f t="shared" ca="1" si="28"/>
        <v>0</v>
      </c>
      <c r="CS27" s="2307">
        <f t="shared" ca="1" si="28"/>
        <v>0</v>
      </c>
      <c r="CT27" s="2307">
        <f t="shared" ca="1" si="28"/>
        <v>0</v>
      </c>
      <c r="CU27" s="2307">
        <f t="shared" ca="1" si="28"/>
        <v>0</v>
      </c>
      <c r="CV27" s="2307">
        <f t="shared" ca="1" si="28"/>
        <v>0</v>
      </c>
      <c r="CW27" s="2307">
        <f t="shared" ca="1" si="28"/>
        <v>0</v>
      </c>
      <c r="CX27" s="2307">
        <f t="shared" ca="1" si="28"/>
        <v>0</v>
      </c>
      <c r="CY27" s="2307">
        <f t="shared" ca="1" si="28"/>
        <v>0</v>
      </c>
      <c r="CZ27" s="2307">
        <f t="shared" ca="1" si="32"/>
        <v>0</v>
      </c>
      <c r="DA27" s="2307">
        <f t="shared" ca="1" si="32"/>
        <v>0</v>
      </c>
      <c r="DB27" s="2307">
        <f t="shared" ca="1" si="32"/>
        <v>0</v>
      </c>
      <c r="DC27" s="2307">
        <f t="shared" ca="1" si="32"/>
        <v>0</v>
      </c>
      <c r="DD27" s="2307">
        <f t="shared" ca="1" si="32"/>
        <v>0</v>
      </c>
      <c r="DE27" s="2307">
        <f t="shared" ca="1" si="32"/>
        <v>0</v>
      </c>
      <c r="DF27" s="2307">
        <f t="shared" ca="1" si="32"/>
        <v>0</v>
      </c>
      <c r="DG27" s="2307">
        <f t="shared" ca="1" si="32"/>
        <v>0</v>
      </c>
      <c r="DH27" s="2307">
        <f t="shared" ca="1" si="32"/>
        <v>0</v>
      </c>
      <c r="DI27" s="2307">
        <f t="shared" ca="1" si="32"/>
        <v>0</v>
      </c>
      <c r="DJ27" s="2307">
        <f t="shared" ca="1" si="32"/>
        <v>0</v>
      </c>
      <c r="DK27" s="2307">
        <f t="shared" ca="1" si="32"/>
        <v>0</v>
      </c>
      <c r="DL27" s="2307">
        <f t="shared" ca="1" si="32"/>
        <v>0</v>
      </c>
      <c r="DM27" s="2307">
        <f t="shared" ca="1" si="32"/>
        <v>0</v>
      </c>
      <c r="DN27" s="2307">
        <f t="shared" ca="1" si="32"/>
        <v>0</v>
      </c>
      <c r="DO27" s="2307">
        <f t="shared" ca="1" si="32"/>
        <v>0</v>
      </c>
      <c r="DP27" s="2307">
        <f t="shared" ca="1" si="32"/>
        <v>0</v>
      </c>
      <c r="DR27" t="s">
        <v>290</v>
      </c>
    </row>
    <row r="28" spans="1:122" outlineLevel="1">
      <c r="A28" s="1221">
        <v>1110052010</v>
      </c>
      <c r="B28" s="1222" t="s">
        <v>2224</v>
      </c>
      <c r="C28" s="2385" t="s">
        <v>64</v>
      </c>
      <c r="D28" s="1602">
        <v>1100002199</v>
      </c>
      <c r="E28" s="1603">
        <v>44946</v>
      </c>
      <c r="F28" s="1224"/>
      <c r="G28" s="1266"/>
      <c r="H28" s="1225"/>
      <c r="I28" s="2386"/>
      <c r="J28" s="1604">
        <v>1</v>
      </c>
      <c r="K28" s="1605">
        <v>1</v>
      </c>
      <c r="L28" s="1606"/>
      <c r="M28" s="2387">
        <f t="shared" ref="M28" si="41">+L28*J28</f>
        <v>0</v>
      </c>
      <c r="N28" s="1228">
        <f ca="1">IF(OR(E28="",E28&gt;TODAY()),0,IF(ISERROR(VLOOKUP($E28,'TRM BanRep'!$A:$G,7,0)),0,VLOOKUP($E28,'TRM BanRep'!$A:$G,7,0)))</f>
        <v>4683.8500000000004</v>
      </c>
      <c r="O28" s="1229">
        <f t="shared" ref="O28" ca="1" si="42">+L28*J28*N28</f>
        <v>0</v>
      </c>
      <c r="P28" s="1230">
        <v>-424990.29</v>
      </c>
      <c r="Q28" s="1230">
        <f t="shared" ref="Q28" si="43">+P28*K28</f>
        <v>-424990.29</v>
      </c>
      <c r="R28" s="1231">
        <v>4924</v>
      </c>
      <c r="S28" s="1231">
        <v>4924</v>
      </c>
      <c r="T28" s="2388">
        <f t="shared" ref="T28" si="44">+P28*K28*S28</f>
        <v>-2092652187.9599998</v>
      </c>
      <c r="U28" s="111">
        <f t="shared" ref="U28" si="45">+L28+P28+F28</f>
        <v>-424990.29</v>
      </c>
      <c r="V28" s="566">
        <f t="shared" ref="V28" ca="1" si="46">+P28*J28*R28+L28*J28*N28+F28*J28*H28</f>
        <v>-2092652187.9599998</v>
      </c>
      <c r="W28" s="2389">
        <f t="shared" ref="W28" si="47">IF((-P28*J28*R28)-(-P28*K28*S28)&gt;0,(-P28*J28*R28)-(-P28*K28*S28),0)</f>
        <v>0</v>
      </c>
      <c r="X28" s="1236">
        <f t="shared" ref="X28" si="48">IF((-P28*J28*R28)-(-P28*K28*S28)&lt;0,(-P28*J28*R28)-(-P28*K28*S28),0)</f>
        <v>0</v>
      </c>
      <c r="Y28" s="519"/>
      <c r="Z28" s="1055"/>
      <c r="AA28" s="2309">
        <f t="shared" ca="1" si="30"/>
        <v>0</v>
      </c>
      <c r="AB28" s="2310">
        <f t="shared" ca="1" si="30"/>
        <v>0</v>
      </c>
      <c r="AC28" s="2310">
        <f t="shared" ca="1" si="30"/>
        <v>0</v>
      </c>
      <c r="AD28" s="2310">
        <f t="shared" ca="1" si="30"/>
        <v>0</v>
      </c>
      <c r="AE28" s="2310">
        <f t="shared" ca="1" si="30"/>
        <v>0</v>
      </c>
      <c r="AF28" s="2307">
        <f t="shared" ca="1" si="30"/>
        <v>0</v>
      </c>
      <c r="AG28" s="2307">
        <f t="shared" ca="1" si="30"/>
        <v>0</v>
      </c>
      <c r="AH28" s="2307">
        <f t="shared" ca="1" si="30"/>
        <v>-424990.29</v>
      </c>
      <c r="AI28" s="2307">
        <f t="shared" ca="1" si="30"/>
        <v>0</v>
      </c>
      <c r="AJ28" s="2307">
        <f t="shared" ca="1" si="30"/>
        <v>0</v>
      </c>
      <c r="AK28" s="2307">
        <f t="shared" ca="1" si="30"/>
        <v>0</v>
      </c>
      <c r="AL28" s="2308">
        <f t="shared" ca="1" si="30"/>
        <v>0</v>
      </c>
      <c r="AM28" s="2307">
        <f t="shared" ca="1" si="30"/>
        <v>0</v>
      </c>
      <c r="AN28" s="2307">
        <f t="shared" ca="1" si="30"/>
        <v>0</v>
      </c>
      <c r="AO28" s="2307">
        <f t="shared" ca="1" si="30"/>
        <v>0</v>
      </c>
      <c r="AP28" s="2307">
        <f t="shared" ca="1" si="30"/>
        <v>0</v>
      </c>
      <c r="AQ28" s="2307">
        <f t="shared" ca="1" si="30"/>
        <v>0</v>
      </c>
      <c r="AR28" s="2307">
        <f t="shared" ca="1" si="30"/>
        <v>0</v>
      </c>
      <c r="AS28" s="2307">
        <f t="shared" ca="1" si="30"/>
        <v>0</v>
      </c>
      <c r="AT28" s="2307">
        <f t="shared" ca="1" si="30"/>
        <v>0</v>
      </c>
      <c r="AU28" s="2307">
        <f t="shared" ca="1" si="30"/>
        <v>0</v>
      </c>
      <c r="AV28" s="2307">
        <f t="shared" ca="1" si="30"/>
        <v>0</v>
      </c>
      <c r="AW28" s="2307">
        <f t="shared" ca="1" si="30"/>
        <v>0</v>
      </c>
      <c r="AX28" s="2307">
        <f t="shared" ca="1" si="30"/>
        <v>0</v>
      </c>
      <c r="AY28" s="2307">
        <f t="shared" ca="1" si="30"/>
        <v>0</v>
      </c>
      <c r="AZ28" s="2307">
        <f t="shared" ca="1" si="30"/>
        <v>0</v>
      </c>
      <c r="BA28" s="2307">
        <f t="shared" ca="1" si="30"/>
        <v>0</v>
      </c>
      <c r="BB28" s="2307">
        <f t="shared" ca="1" si="30"/>
        <v>0</v>
      </c>
      <c r="BC28" s="2307">
        <f t="shared" ca="1" si="30"/>
        <v>0</v>
      </c>
      <c r="BD28" s="2307">
        <f t="shared" ca="1" si="30"/>
        <v>0</v>
      </c>
      <c r="BE28" s="2307">
        <f t="shared" ca="1" si="30"/>
        <v>0</v>
      </c>
      <c r="BF28" s="2307">
        <f t="shared" ca="1" si="30"/>
        <v>0</v>
      </c>
      <c r="BG28" s="2307">
        <f t="shared" ca="1" si="30"/>
        <v>0</v>
      </c>
      <c r="BH28" s="2307">
        <f t="shared" ca="1" si="30"/>
        <v>0</v>
      </c>
      <c r="BI28" s="2307">
        <f t="shared" ca="1" si="30"/>
        <v>0</v>
      </c>
      <c r="BJ28" s="2307">
        <f t="shared" ca="1" si="30"/>
        <v>0</v>
      </c>
      <c r="BK28" s="2307">
        <f t="shared" ca="1" si="30"/>
        <v>0</v>
      </c>
      <c r="BL28" s="2307">
        <f t="shared" ca="1" si="30"/>
        <v>0</v>
      </c>
      <c r="BM28" s="2307">
        <f t="shared" ca="1" si="30"/>
        <v>0</v>
      </c>
      <c r="BN28" s="2307">
        <f t="shared" ca="1" si="30"/>
        <v>0</v>
      </c>
      <c r="BO28" s="2307">
        <f t="shared" ca="1" si="30"/>
        <v>0</v>
      </c>
      <c r="BP28" s="2307">
        <f t="shared" ca="1" si="30"/>
        <v>0</v>
      </c>
      <c r="BQ28" s="2307">
        <f t="shared" ca="1" si="30"/>
        <v>0</v>
      </c>
      <c r="BR28" s="2307">
        <f t="shared" ca="1" si="30"/>
        <v>0</v>
      </c>
      <c r="BS28" s="2307">
        <f t="shared" ca="1" si="30"/>
        <v>0</v>
      </c>
      <c r="BT28" s="2307">
        <f t="shared" ca="1" si="30"/>
        <v>0</v>
      </c>
      <c r="BU28" s="2307">
        <f t="shared" ca="1" si="30"/>
        <v>0</v>
      </c>
      <c r="BV28" s="2307">
        <f t="shared" ca="1" si="30"/>
        <v>0</v>
      </c>
      <c r="BW28" s="2307">
        <f t="shared" ca="1" si="30"/>
        <v>0</v>
      </c>
      <c r="BX28" s="2307">
        <f t="shared" ca="1" si="30"/>
        <v>0</v>
      </c>
      <c r="BY28" s="2307">
        <f t="shared" ca="1" si="30"/>
        <v>0</v>
      </c>
      <c r="BZ28" s="2307">
        <f t="shared" ca="1" si="30"/>
        <v>0</v>
      </c>
      <c r="CA28" s="2307">
        <f t="shared" ca="1" si="30"/>
        <v>0</v>
      </c>
      <c r="CB28" s="2307">
        <f t="shared" ca="1" si="30"/>
        <v>0</v>
      </c>
      <c r="CC28" s="2307">
        <f t="shared" ca="1" si="30"/>
        <v>0</v>
      </c>
      <c r="CD28" s="2307">
        <f t="shared" ca="1" si="30"/>
        <v>0</v>
      </c>
      <c r="CE28" s="2307">
        <f t="shared" ca="1" si="30"/>
        <v>0</v>
      </c>
      <c r="CF28" s="2307">
        <f t="shared" ca="1" si="30"/>
        <v>0</v>
      </c>
      <c r="CG28" s="2307">
        <f t="shared" ca="1" si="30"/>
        <v>0</v>
      </c>
      <c r="CH28" s="2307">
        <f t="shared" ca="1" si="30"/>
        <v>0</v>
      </c>
      <c r="CI28" s="2307">
        <f t="shared" ca="1" si="30"/>
        <v>0</v>
      </c>
      <c r="CJ28" s="2307">
        <f t="shared" ca="1" si="30"/>
        <v>0</v>
      </c>
      <c r="CK28" s="2307">
        <f t="shared" ca="1" si="30"/>
        <v>0</v>
      </c>
      <c r="CL28" s="2307">
        <f t="shared" ca="1" si="30"/>
        <v>0</v>
      </c>
      <c r="CM28" s="2307">
        <f t="shared" ref="CM28:CY28" ca="1" si="49">IF($L28="",IF(OR($P28="",$R28=""),0,IF($R28=CM$6,$Q28,0)),IF($E28=CM$5,$M28,))</f>
        <v>0</v>
      </c>
      <c r="CN28" s="2307">
        <f t="shared" ca="1" si="49"/>
        <v>0</v>
      </c>
      <c r="CO28" s="2307">
        <f t="shared" ca="1" si="49"/>
        <v>0</v>
      </c>
      <c r="CP28" s="2307">
        <f t="shared" ca="1" si="49"/>
        <v>0</v>
      </c>
      <c r="CQ28" s="2307">
        <f t="shared" ca="1" si="49"/>
        <v>0</v>
      </c>
      <c r="CR28" s="2307">
        <f t="shared" ca="1" si="49"/>
        <v>0</v>
      </c>
      <c r="CS28" s="2307">
        <f t="shared" ca="1" si="49"/>
        <v>0</v>
      </c>
      <c r="CT28" s="2307">
        <f t="shared" ca="1" si="49"/>
        <v>0</v>
      </c>
      <c r="CU28" s="2307">
        <f t="shared" ca="1" si="49"/>
        <v>0</v>
      </c>
      <c r="CV28" s="2307">
        <f t="shared" ca="1" si="49"/>
        <v>0</v>
      </c>
      <c r="CW28" s="2307">
        <f t="shared" ca="1" si="49"/>
        <v>0</v>
      </c>
      <c r="CX28" s="2307">
        <f t="shared" ca="1" si="49"/>
        <v>0</v>
      </c>
      <c r="CY28" s="2307">
        <f t="shared" ca="1" si="49"/>
        <v>0</v>
      </c>
      <c r="CZ28" s="2307">
        <f t="shared" ca="1" si="32"/>
        <v>0</v>
      </c>
      <c r="DA28" s="2307">
        <f t="shared" ca="1" si="32"/>
        <v>0</v>
      </c>
      <c r="DB28" s="2307">
        <f t="shared" ca="1" si="32"/>
        <v>0</v>
      </c>
      <c r="DC28" s="2307">
        <f t="shared" ca="1" si="32"/>
        <v>0</v>
      </c>
      <c r="DD28" s="2307">
        <f t="shared" ca="1" si="32"/>
        <v>0</v>
      </c>
      <c r="DE28" s="2307">
        <f t="shared" ca="1" si="32"/>
        <v>0</v>
      </c>
      <c r="DF28" s="2307">
        <f t="shared" ca="1" si="32"/>
        <v>0</v>
      </c>
      <c r="DG28" s="2307">
        <f t="shared" ca="1" si="32"/>
        <v>0</v>
      </c>
      <c r="DH28" s="2307">
        <f t="shared" ca="1" si="32"/>
        <v>0</v>
      </c>
      <c r="DI28" s="2307">
        <f t="shared" ca="1" si="32"/>
        <v>0</v>
      </c>
      <c r="DJ28" s="2307">
        <f t="shared" ca="1" si="32"/>
        <v>0</v>
      </c>
      <c r="DK28" s="2307">
        <f t="shared" ca="1" si="32"/>
        <v>0</v>
      </c>
      <c r="DL28" s="2307">
        <f t="shared" ca="1" si="32"/>
        <v>0</v>
      </c>
      <c r="DM28" s="2307">
        <f t="shared" ca="1" si="32"/>
        <v>0</v>
      </c>
      <c r="DN28" s="2307">
        <f t="shared" ca="1" si="32"/>
        <v>0</v>
      </c>
      <c r="DO28" s="2307">
        <f t="shared" ca="1" si="32"/>
        <v>0</v>
      </c>
      <c r="DP28" s="2307">
        <f t="shared" ca="1" si="32"/>
        <v>0</v>
      </c>
      <c r="DR28" t="s">
        <v>290</v>
      </c>
    </row>
    <row r="29" spans="1:122" outlineLevel="1">
      <c r="A29" s="55">
        <v>1110052010</v>
      </c>
      <c r="B29" s="509" t="s">
        <v>2256</v>
      </c>
      <c r="C29" s="679" t="s">
        <v>64</v>
      </c>
      <c r="D29" s="1469">
        <v>1100002262</v>
      </c>
      <c r="E29" s="1470">
        <v>44949</v>
      </c>
      <c r="F29" s="416"/>
      <c r="G29" s="1251"/>
      <c r="H29" s="511"/>
      <c r="I29" s="1374"/>
      <c r="J29" s="1425">
        <v>1</v>
      </c>
      <c r="K29" s="1426">
        <v>1</v>
      </c>
      <c r="L29" s="419"/>
      <c r="M29" s="1337">
        <f t="shared" ref="M29:M36" si="50">+L29*J29</f>
        <v>0</v>
      </c>
      <c r="N29" s="504">
        <f ca="1">IF(OR(E29="",E29&gt;TODAY()),0,IF(ISERROR(VLOOKUP($E29,'TRM BanRep'!$A:$G,7,0)),0,VLOOKUP($E29,'TRM BanRep'!$A:$G,7,0)))</f>
        <v>4631.6400000000003</v>
      </c>
      <c r="O29" s="513">
        <f t="shared" ref="O29:O36" ca="1" si="51">+L29*J29*N29</f>
        <v>0</v>
      </c>
      <c r="P29" s="514">
        <v>-1263410.92</v>
      </c>
      <c r="Q29" s="514">
        <f t="shared" ref="Q29:Q36" si="52">+P29*K29</f>
        <v>-1263410.92</v>
      </c>
      <c r="R29" s="515">
        <v>4924</v>
      </c>
      <c r="S29" s="515">
        <f ca="1">IF(OR(E29="",E29&gt;TODAY()),0,IF(ISERROR(VLOOKUP($E29,'TRM BanRep'!$A:$G,7,0)),0,VLOOKUP($E29,'TRM BanRep'!$A:$G,7,0)))</f>
        <v>4631.6400000000003</v>
      </c>
      <c r="T29" s="516">
        <f t="shared" ref="T29:T36" ca="1" si="53">+P29*K29*S29</f>
        <v>-5851664553.5088005</v>
      </c>
      <c r="U29" s="418">
        <f t="shared" ref="U29:U36" si="54">+L29+P29+F29</f>
        <v>-1263410.92</v>
      </c>
      <c r="V29" s="517">
        <f t="shared" ref="V29:V36" ca="1" si="55">+P29*J29*R29+L29*J29*N29+F29*J29*H29</f>
        <v>-6221035370.0799999</v>
      </c>
      <c r="W29" s="518">
        <f t="shared" ca="1" si="23"/>
        <v>369370816.57119942</v>
      </c>
      <c r="X29" s="975">
        <f t="shared" ca="1" si="24"/>
        <v>0</v>
      </c>
      <c r="Y29" s="519"/>
      <c r="Z29" s="1055"/>
      <c r="AA29" s="2309">
        <f t="shared" ca="1" si="29"/>
        <v>0</v>
      </c>
      <c r="AB29" s="2310">
        <f t="shared" ca="1" si="29"/>
        <v>0</v>
      </c>
      <c r="AC29" s="2310">
        <f t="shared" ca="1" si="29"/>
        <v>0</v>
      </c>
      <c r="AD29" s="2310">
        <f t="shared" ca="1" si="29"/>
        <v>0</v>
      </c>
      <c r="AE29" s="2310">
        <f t="shared" ca="1" si="29"/>
        <v>0</v>
      </c>
      <c r="AF29" s="2307">
        <f t="shared" ca="1" si="29"/>
        <v>0</v>
      </c>
      <c r="AG29" s="2307">
        <f t="shared" ca="1" si="29"/>
        <v>0</v>
      </c>
      <c r="AH29" s="2307">
        <f t="shared" ca="1" si="29"/>
        <v>-1263410.92</v>
      </c>
      <c r="AI29" s="2307">
        <f t="shared" ca="1" si="29"/>
        <v>0</v>
      </c>
      <c r="AJ29" s="2307">
        <f t="shared" ref="AJ29:AJ34" ca="1" si="56">IF($L29="",IF(OR($P29="",$R29=""),0,IF($R29=AJ$6,$Q29,0)),IF($E29=AJ$5,$M29,))</f>
        <v>0</v>
      </c>
      <c r="AK29" s="2307">
        <f t="shared" ca="1" si="29"/>
        <v>0</v>
      </c>
      <c r="AL29" s="2308">
        <f t="shared" ca="1" si="29"/>
        <v>0</v>
      </c>
      <c r="AM29" s="2307">
        <f t="shared" ca="1" si="29"/>
        <v>0</v>
      </c>
      <c r="AN29" s="2307">
        <f t="shared" ca="1" si="29"/>
        <v>0</v>
      </c>
      <c r="AO29" s="2307">
        <f t="shared" ca="1" si="29"/>
        <v>0</v>
      </c>
      <c r="AP29" s="2307">
        <f t="shared" ca="1" si="29"/>
        <v>0</v>
      </c>
      <c r="AQ29" s="2307">
        <f t="shared" ca="1" si="29"/>
        <v>0</v>
      </c>
      <c r="AR29" s="2307">
        <f t="shared" ca="1" si="29"/>
        <v>0</v>
      </c>
      <c r="AS29" s="2307">
        <f t="shared" ca="1" si="29"/>
        <v>0</v>
      </c>
      <c r="AT29" s="2307">
        <f t="shared" ca="1" si="29"/>
        <v>0</v>
      </c>
      <c r="AU29" s="2307">
        <f t="shared" ca="1" si="29"/>
        <v>0</v>
      </c>
      <c r="AV29" s="2307">
        <f t="shared" ca="1" si="29"/>
        <v>0</v>
      </c>
      <c r="AW29" s="2307">
        <f t="shared" ca="1" si="29"/>
        <v>0</v>
      </c>
      <c r="AX29" s="2307">
        <f t="shared" ca="1" si="29"/>
        <v>0</v>
      </c>
      <c r="AY29" s="2307">
        <f t="shared" ca="1" si="29"/>
        <v>0</v>
      </c>
      <c r="AZ29" s="2307">
        <f t="shared" ca="1" si="29"/>
        <v>0</v>
      </c>
      <c r="BA29" s="2307">
        <f t="shared" ca="1" si="29"/>
        <v>0</v>
      </c>
      <c r="BB29" s="2307">
        <f t="shared" ca="1" si="29"/>
        <v>0</v>
      </c>
      <c r="BC29" s="2307">
        <f t="shared" ca="1" si="29"/>
        <v>0</v>
      </c>
      <c r="BD29" s="2307">
        <f t="shared" ca="1" si="29"/>
        <v>0</v>
      </c>
      <c r="BE29" s="2307">
        <f t="shared" ca="1" si="29"/>
        <v>0</v>
      </c>
      <c r="BF29" s="2307">
        <f t="shared" ca="1" si="29"/>
        <v>0</v>
      </c>
      <c r="BG29" s="2307">
        <f t="shared" ca="1" si="29"/>
        <v>0</v>
      </c>
      <c r="BH29" s="2307">
        <f t="shared" ca="1" si="29"/>
        <v>0</v>
      </c>
      <c r="BI29" s="2307">
        <f t="shared" ca="1" si="29"/>
        <v>0</v>
      </c>
      <c r="BJ29" s="2307">
        <f t="shared" ca="1" si="29"/>
        <v>0</v>
      </c>
      <c r="BK29" s="2307">
        <f t="shared" ca="1" si="29"/>
        <v>0</v>
      </c>
      <c r="BL29" s="2307">
        <f t="shared" ca="1" si="29"/>
        <v>0</v>
      </c>
      <c r="BM29" s="2307">
        <f t="shared" ca="1" si="29"/>
        <v>0</v>
      </c>
      <c r="BN29" s="2307">
        <f t="shared" ca="1" si="29"/>
        <v>0</v>
      </c>
      <c r="BO29" s="2307">
        <f t="shared" ca="1" si="29"/>
        <v>0</v>
      </c>
      <c r="BP29" s="2307">
        <f t="shared" ca="1" si="29"/>
        <v>0</v>
      </c>
      <c r="BQ29" s="2307">
        <f t="shared" ca="1" si="29"/>
        <v>0</v>
      </c>
      <c r="BR29" s="2307">
        <f t="shared" ca="1" si="29"/>
        <v>0</v>
      </c>
      <c r="BS29" s="2307">
        <f t="shared" ca="1" si="29"/>
        <v>0</v>
      </c>
      <c r="BT29" s="2307">
        <f t="shared" ca="1" si="29"/>
        <v>0</v>
      </c>
      <c r="BU29" s="2307">
        <f t="shared" ca="1" si="29"/>
        <v>0</v>
      </c>
      <c r="BV29" s="2307">
        <f t="shared" ca="1" si="29"/>
        <v>0</v>
      </c>
      <c r="BW29" s="2307">
        <f t="shared" ca="1" si="29"/>
        <v>0</v>
      </c>
      <c r="BX29" s="2307">
        <f t="shared" ca="1" si="29"/>
        <v>0</v>
      </c>
      <c r="BY29" s="2307">
        <f t="shared" ca="1" si="29"/>
        <v>0</v>
      </c>
      <c r="BZ29" s="2307">
        <f t="shared" ca="1" si="29"/>
        <v>0</v>
      </c>
      <c r="CA29" s="2307">
        <f t="shared" ca="1" si="29"/>
        <v>0</v>
      </c>
      <c r="CB29" s="2307">
        <f t="shared" ca="1" si="29"/>
        <v>0</v>
      </c>
      <c r="CC29" s="2307">
        <f t="shared" ca="1" si="29"/>
        <v>0</v>
      </c>
      <c r="CD29" s="2307">
        <f t="shared" ca="1" si="29"/>
        <v>0</v>
      </c>
      <c r="CE29" s="2307">
        <f t="shared" ca="1" si="29"/>
        <v>0</v>
      </c>
      <c r="CF29" s="2307">
        <f t="shared" ca="1" si="29"/>
        <v>0</v>
      </c>
      <c r="CG29" s="2307">
        <f t="shared" ca="1" si="29"/>
        <v>0</v>
      </c>
      <c r="CH29" s="2307">
        <f t="shared" ca="1" si="29"/>
        <v>0</v>
      </c>
      <c r="CI29" s="2307">
        <f t="shared" ca="1" si="29"/>
        <v>0</v>
      </c>
      <c r="CJ29" s="2307">
        <f t="shared" ca="1" si="29"/>
        <v>0</v>
      </c>
      <c r="CK29" s="2307">
        <f t="shared" ca="1" si="29"/>
        <v>0</v>
      </c>
      <c r="CL29" s="2307">
        <f t="shared" ca="1" si="29"/>
        <v>0</v>
      </c>
      <c r="CM29" s="2307">
        <f t="shared" ca="1" si="28"/>
        <v>0</v>
      </c>
      <c r="CN29" s="2307">
        <f t="shared" ca="1" si="28"/>
        <v>0</v>
      </c>
      <c r="CO29" s="2307">
        <f t="shared" ca="1" si="28"/>
        <v>0</v>
      </c>
      <c r="CP29" s="2307">
        <f t="shared" ca="1" si="28"/>
        <v>0</v>
      </c>
      <c r="CQ29" s="2307">
        <f t="shared" ca="1" si="28"/>
        <v>0</v>
      </c>
      <c r="CR29" s="2307">
        <f t="shared" ca="1" si="28"/>
        <v>0</v>
      </c>
      <c r="CS29" s="2307">
        <f t="shared" ca="1" si="28"/>
        <v>0</v>
      </c>
      <c r="CT29" s="2307">
        <f t="shared" ca="1" si="28"/>
        <v>0</v>
      </c>
      <c r="CU29" s="2307">
        <f t="shared" ca="1" si="28"/>
        <v>0</v>
      </c>
      <c r="CV29" s="2307">
        <f t="shared" ca="1" si="28"/>
        <v>0</v>
      </c>
      <c r="CW29" s="2307">
        <f t="shared" ca="1" si="28"/>
        <v>0</v>
      </c>
      <c r="CX29" s="2307">
        <f t="shared" ca="1" si="28"/>
        <v>0</v>
      </c>
      <c r="CY29" s="2307">
        <f t="shared" ca="1" si="28"/>
        <v>0</v>
      </c>
      <c r="CZ29" s="2307">
        <f t="shared" ca="1" si="28"/>
        <v>0</v>
      </c>
      <c r="DA29" s="2307">
        <f t="shared" ca="1" si="28"/>
        <v>0</v>
      </c>
      <c r="DB29" s="2307">
        <f t="shared" ca="1" si="28"/>
        <v>0</v>
      </c>
      <c r="DC29" s="2307">
        <f t="shared" ca="1" si="28"/>
        <v>0</v>
      </c>
      <c r="DD29" s="2307">
        <f t="shared" ca="1" si="28"/>
        <v>0</v>
      </c>
      <c r="DE29" s="2307">
        <f t="shared" ca="1" si="28"/>
        <v>0</v>
      </c>
      <c r="DF29" s="2307">
        <f t="shared" ca="1" si="28"/>
        <v>0</v>
      </c>
      <c r="DG29" s="2307">
        <f t="shared" ca="1" si="28"/>
        <v>0</v>
      </c>
      <c r="DH29" s="2307">
        <f t="shared" ca="1" si="28"/>
        <v>0</v>
      </c>
      <c r="DI29" s="2307">
        <f t="shared" ca="1" si="28"/>
        <v>0</v>
      </c>
      <c r="DJ29" s="2307">
        <f t="shared" ca="1" si="28"/>
        <v>0</v>
      </c>
      <c r="DK29" s="2307">
        <f t="shared" ca="1" si="28"/>
        <v>0</v>
      </c>
      <c r="DL29" s="2307">
        <f t="shared" ca="1" si="28"/>
        <v>0</v>
      </c>
      <c r="DM29" s="2307">
        <f t="shared" ca="1" si="28"/>
        <v>0</v>
      </c>
      <c r="DN29" s="2307">
        <f t="shared" ca="1" si="28"/>
        <v>0</v>
      </c>
      <c r="DO29" s="2307">
        <f t="shared" ca="1" si="28"/>
        <v>0</v>
      </c>
      <c r="DP29" s="2307">
        <f t="shared" ca="1" si="28"/>
        <v>0</v>
      </c>
      <c r="DR29" t="s">
        <v>290</v>
      </c>
    </row>
    <row r="30" spans="1:122" outlineLevel="1">
      <c r="A30" s="55">
        <v>1110052010</v>
      </c>
      <c r="B30" s="509" t="s">
        <v>2213</v>
      </c>
      <c r="C30" s="679" t="s">
        <v>64</v>
      </c>
      <c r="D30" s="1469">
        <v>1100002391</v>
      </c>
      <c r="E30" s="1470">
        <v>44952</v>
      </c>
      <c r="F30" s="416"/>
      <c r="G30" s="1251"/>
      <c r="H30" s="511"/>
      <c r="I30" s="1374"/>
      <c r="J30" s="1425">
        <v>1</v>
      </c>
      <c r="K30" s="1426">
        <v>1</v>
      </c>
      <c r="L30" s="419"/>
      <c r="M30" s="1337">
        <f t="shared" si="50"/>
        <v>0</v>
      </c>
      <c r="N30" s="504">
        <f ca="1">IF(OR(E30="",E30&gt;TODAY()),0,IF(ISERROR(VLOOKUP($E30,'TRM BanRep'!$A:$G,7,0)),0,VLOOKUP($E30,'TRM BanRep'!$A:$G,7,0)))</f>
        <v>4538.91</v>
      </c>
      <c r="O30" s="513">
        <f t="shared" ca="1" si="51"/>
        <v>0</v>
      </c>
      <c r="P30" s="514">
        <v>-7163.1</v>
      </c>
      <c r="Q30" s="514">
        <f t="shared" si="52"/>
        <v>-7163.1</v>
      </c>
      <c r="R30" s="515">
        <v>4924</v>
      </c>
      <c r="S30" s="515">
        <f ca="1">IF(OR(E30="",E30&gt;TODAY()),0,IF(ISERROR(VLOOKUP($E30,'TRM BanRep'!$A:$G,7,0)),0,VLOOKUP($E30,'TRM BanRep'!$A:$G,7,0)))</f>
        <v>4538.91</v>
      </c>
      <c r="T30" s="516">
        <f t="shared" ca="1" si="53"/>
        <v>-32512666.221000001</v>
      </c>
      <c r="U30" s="418">
        <f t="shared" si="54"/>
        <v>-7163.1</v>
      </c>
      <c r="V30" s="517">
        <f t="shared" ca="1" si="55"/>
        <v>-35271104.399999999</v>
      </c>
      <c r="W30" s="518">
        <f t="shared" ca="1" si="23"/>
        <v>2758438.1789999977</v>
      </c>
      <c r="X30" s="975">
        <f t="shared" ca="1" si="24"/>
        <v>0</v>
      </c>
      <c r="Y30" s="519"/>
      <c r="Z30" s="1055"/>
      <c r="AA30" s="2309">
        <f t="shared" ca="1" si="29"/>
        <v>0</v>
      </c>
      <c r="AB30" s="2310">
        <f t="shared" ca="1" si="29"/>
        <v>0</v>
      </c>
      <c r="AC30" s="2310">
        <f t="shared" ca="1" si="29"/>
        <v>0</v>
      </c>
      <c r="AD30" s="2310">
        <f t="shared" ca="1" si="29"/>
        <v>0</v>
      </c>
      <c r="AE30" s="2310">
        <f t="shared" ca="1" si="29"/>
        <v>0</v>
      </c>
      <c r="AF30" s="2307">
        <f t="shared" ca="1" si="29"/>
        <v>0</v>
      </c>
      <c r="AG30" s="2307">
        <f t="shared" ca="1" si="29"/>
        <v>0</v>
      </c>
      <c r="AH30" s="2307">
        <f t="shared" ca="1" si="29"/>
        <v>-7163.1</v>
      </c>
      <c r="AI30" s="2307">
        <f t="shared" ca="1" si="29"/>
        <v>0</v>
      </c>
      <c r="AJ30" s="2307">
        <f t="shared" ca="1" si="56"/>
        <v>0</v>
      </c>
      <c r="AK30" s="2307">
        <f t="shared" ca="1" si="29"/>
        <v>0</v>
      </c>
      <c r="AL30" s="2308">
        <f t="shared" ca="1" si="29"/>
        <v>0</v>
      </c>
      <c r="AM30" s="2307">
        <f t="shared" ca="1" si="29"/>
        <v>0</v>
      </c>
      <c r="AN30" s="2307">
        <f t="shared" ca="1" si="29"/>
        <v>0</v>
      </c>
      <c r="AO30" s="2307">
        <f t="shared" ca="1" si="29"/>
        <v>0</v>
      </c>
      <c r="AP30" s="2307">
        <f t="shared" ca="1" si="29"/>
        <v>0</v>
      </c>
      <c r="AQ30" s="2307">
        <f t="shared" ca="1" si="29"/>
        <v>0</v>
      </c>
      <c r="AR30" s="2307">
        <f t="shared" ca="1" si="29"/>
        <v>0</v>
      </c>
      <c r="AS30" s="2307">
        <f t="shared" ca="1" si="29"/>
        <v>0</v>
      </c>
      <c r="AT30" s="2307">
        <f t="shared" ca="1" si="29"/>
        <v>0</v>
      </c>
      <c r="AU30" s="2307">
        <f t="shared" ca="1" si="29"/>
        <v>0</v>
      </c>
      <c r="AV30" s="2307">
        <f t="shared" ca="1" si="29"/>
        <v>0</v>
      </c>
      <c r="AW30" s="2307">
        <f t="shared" ca="1" si="29"/>
        <v>0</v>
      </c>
      <c r="AX30" s="2307">
        <f t="shared" ca="1" si="29"/>
        <v>0</v>
      </c>
      <c r="AY30" s="2307">
        <f t="shared" ca="1" si="29"/>
        <v>0</v>
      </c>
      <c r="AZ30" s="2307">
        <f t="shared" ca="1" si="29"/>
        <v>0</v>
      </c>
      <c r="BA30" s="2307">
        <f t="shared" ca="1" si="29"/>
        <v>0</v>
      </c>
      <c r="BB30" s="2307">
        <f t="shared" ca="1" si="29"/>
        <v>0</v>
      </c>
      <c r="BC30" s="2307">
        <f t="shared" ca="1" si="29"/>
        <v>0</v>
      </c>
      <c r="BD30" s="2307">
        <f t="shared" ca="1" si="29"/>
        <v>0</v>
      </c>
      <c r="BE30" s="2307">
        <f t="shared" ca="1" si="29"/>
        <v>0</v>
      </c>
      <c r="BF30" s="2307">
        <f t="shared" ca="1" si="29"/>
        <v>0</v>
      </c>
      <c r="BG30" s="2307">
        <f t="shared" ca="1" si="29"/>
        <v>0</v>
      </c>
      <c r="BH30" s="2307">
        <f t="shared" ca="1" si="29"/>
        <v>0</v>
      </c>
      <c r="BI30" s="2307">
        <f t="shared" ca="1" si="29"/>
        <v>0</v>
      </c>
      <c r="BJ30" s="2307">
        <f t="shared" ca="1" si="29"/>
        <v>0</v>
      </c>
      <c r="BK30" s="2307">
        <f t="shared" ca="1" si="29"/>
        <v>0</v>
      </c>
      <c r="BL30" s="2307">
        <f t="shared" ca="1" si="29"/>
        <v>0</v>
      </c>
      <c r="BM30" s="2307">
        <f t="shared" ca="1" si="29"/>
        <v>0</v>
      </c>
      <c r="BN30" s="2307">
        <f t="shared" ca="1" si="29"/>
        <v>0</v>
      </c>
      <c r="BO30" s="2307">
        <f t="shared" ca="1" si="29"/>
        <v>0</v>
      </c>
      <c r="BP30" s="2307">
        <f t="shared" ca="1" si="29"/>
        <v>0</v>
      </c>
      <c r="BQ30" s="2307">
        <f t="shared" ca="1" si="29"/>
        <v>0</v>
      </c>
      <c r="BR30" s="2307">
        <f t="shared" ca="1" si="29"/>
        <v>0</v>
      </c>
      <c r="BS30" s="2307">
        <f t="shared" ca="1" si="29"/>
        <v>0</v>
      </c>
      <c r="BT30" s="2307">
        <f t="shared" ca="1" si="29"/>
        <v>0</v>
      </c>
      <c r="BU30" s="2307">
        <f t="shared" ca="1" si="29"/>
        <v>0</v>
      </c>
      <c r="BV30" s="2307">
        <f t="shared" ca="1" si="29"/>
        <v>0</v>
      </c>
      <c r="BW30" s="2307">
        <f t="shared" ca="1" si="29"/>
        <v>0</v>
      </c>
      <c r="BX30" s="2307">
        <f t="shared" ca="1" si="29"/>
        <v>0</v>
      </c>
      <c r="BY30" s="2307">
        <f t="shared" ca="1" si="29"/>
        <v>0</v>
      </c>
      <c r="BZ30" s="2307">
        <f t="shared" ca="1" si="29"/>
        <v>0</v>
      </c>
      <c r="CA30" s="2307">
        <f t="shared" ca="1" si="29"/>
        <v>0</v>
      </c>
      <c r="CB30" s="2307">
        <f t="shared" ca="1" si="29"/>
        <v>0</v>
      </c>
      <c r="CC30" s="2307">
        <f t="shared" ca="1" si="29"/>
        <v>0</v>
      </c>
      <c r="CD30" s="2307">
        <f t="shared" ca="1" si="29"/>
        <v>0</v>
      </c>
      <c r="CE30" s="2307">
        <f t="shared" ca="1" si="29"/>
        <v>0</v>
      </c>
      <c r="CF30" s="2307">
        <f t="shared" ca="1" si="29"/>
        <v>0</v>
      </c>
      <c r="CG30" s="2307">
        <f t="shared" ca="1" si="29"/>
        <v>0</v>
      </c>
      <c r="CH30" s="2307">
        <f t="shared" ca="1" si="29"/>
        <v>0</v>
      </c>
      <c r="CI30" s="2307">
        <f t="shared" ca="1" si="29"/>
        <v>0</v>
      </c>
      <c r="CJ30" s="2307">
        <f t="shared" ca="1" si="29"/>
        <v>0</v>
      </c>
      <c r="CK30" s="2307">
        <f t="shared" ca="1" si="29"/>
        <v>0</v>
      </c>
      <c r="CL30" s="2307">
        <f t="shared" ref="CL30" ca="1" si="57">IF($L30="",IF(OR($P30="",$R30=""),0,IF($R30=CL$6,$Q30,0)),IF($E30=CL$5,$M30,))</f>
        <v>0</v>
      </c>
      <c r="CM30" s="2307">
        <f t="shared" ca="1" si="28"/>
        <v>0</v>
      </c>
      <c r="CN30" s="2307">
        <f t="shared" ca="1" si="28"/>
        <v>0</v>
      </c>
      <c r="CO30" s="2307">
        <f t="shared" ca="1" si="28"/>
        <v>0</v>
      </c>
      <c r="CP30" s="2307">
        <f t="shared" ca="1" si="28"/>
        <v>0</v>
      </c>
      <c r="CQ30" s="2307">
        <f t="shared" ca="1" si="28"/>
        <v>0</v>
      </c>
      <c r="CR30" s="2307">
        <f t="shared" ca="1" si="28"/>
        <v>0</v>
      </c>
      <c r="CS30" s="2307">
        <f t="shared" ca="1" si="28"/>
        <v>0</v>
      </c>
      <c r="CT30" s="2307">
        <f t="shared" ca="1" si="28"/>
        <v>0</v>
      </c>
      <c r="CU30" s="2307">
        <f t="shared" ca="1" si="28"/>
        <v>0</v>
      </c>
      <c r="CV30" s="2307">
        <f t="shared" ca="1" si="28"/>
        <v>0</v>
      </c>
      <c r="CW30" s="2307">
        <f t="shared" ca="1" si="28"/>
        <v>0</v>
      </c>
      <c r="CX30" s="2307">
        <f t="shared" ca="1" si="28"/>
        <v>0</v>
      </c>
      <c r="CY30" s="2307">
        <f t="shared" ca="1" si="28"/>
        <v>0</v>
      </c>
      <c r="CZ30" s="2307">
        <f t="shared" ca="1" si="28"/>
        <v>0</v>
      </c>
      <c r="DA30" s="2307">
        <f t="shared" ca="1" si="28"/>
        <v>0</v>
      </c>
      <c r="DB30" s="2307">
        <f t="shared" ca="1" si="28"/>
        <v>0</v>
      </c>
      <c r="DC30" s="2307">
        <f t="shared" ca="1" si="28"/>
        <v>0</v>
      </c>
      <c r="DD30" s="2307">
        <f t="shared" ca="1" si="28"/>
        <v>0</v>
      </c>
      <c r="DE30" s="2307">
        <f t="shared" ca="1" si="28"/>
        <v>0</v>
      </c>
      <c r="DF30" s="2307">
        <f t="shared" ca="1" si="28"/>
        <v>0</v>
      </c>
      <c r="DG30" s="2307">
        <f t="shared" ca="1" si="28"/>
        <v>0</v>
      </c>
      <c r="DH30" s="2307">
        <f t="shared" ca="1" si="28"/>
        <v>0</v>
      </c>
      <c r="DI30" s="2307">
        <f t="shared" ca="1" si="28"/>
        <v>0</v>
      </c>
      <c r="DJ30" s="2307">
        <f t="shared" ca="1" si="28"/>
        <v>0</v>
      </c>
      <c r="DK30" s="2307">
        <f t="shared" ca="1" si="28"/>
        <v>0</v>
      </c>
      <c r="DL30" s="2307">
        <f t="shared" ca="1" si="28"/>
        <v>0</v>
      </c>
      <c r="DM30" s="2307">
        <f t="shared" ca="1" si="28"/>
        <v>0</v>
      </c>
      <c r="DN30" s="2307">
        <f t="shared" ca="1" si="28"/>
        <v>0</v>
      </c>
      <c r="DO30" s="2307">
        <f t="shared" ca="1" si="28"/>
        <v>0</v>
      </c>
      <c r="DP30" s="2307">
        <f t="shared" ca="1" si="28"/>
        <v>0</v>
      </c>
      <c r="DR30" t="s">
        <v>290</v>
      </c>
    </row>
    <row r="31" spans="1:122" outlineLevel="1">
      <c r="A31" s="1221">
        <v>1110052010</v>
      </c>
      <c r="B31" s="1222" t="s">
        <v>2225</v>
      </c>
      <c r="C31" s="2385" t="s">
        <v>64</v>
      </c>
      <c r="D31" s="1602">
        <v>1100002826</v>
      </c>
      <c r="E31" s="2446">
        <v>44943</v>
      </c>
      <c r="F31" s="1224"/>
      <c r="G31" s="1266"/>
      <c r="H31" s="1225"/>
      <c r="I31" s="2386"/>
      <c r="J31" s="1604">
        <v>1</v>
      </c>
      <c r="K31" s="1605">
        <v>1</v>
      </c>
      <c r="L31" s="1606">
        <v>3077498.61</v>
      </c>
      <c r="M31" s="2387">
        <f t="shared" si="50"/>
        <v>3077498.61</v>
      </c>
      <c r="N31" s="1228">
        <v>4693.99</v>
      </c>
      <c r="O31" s="1229">
        <f t="shared" si="51"/>
        <v>14445747700.353899</v>
      </c>
      <c r="P31" s="1230"/>
      <c r="Q31" s="1230">
        <f t="shared" si="52"/>
        <v>0</v>
      </c>
      <c r="R31" s="1231"/>
      <c r="S31" s="1231">
        <f ca="1">IF(OR(E31="",E31&gt;TODAY()),0,IF(ISERROR(VLOOKUP($E31,'TRM BanRep'!$A:$G,7,0)),0,VLOOKUP($E31,'TRM BanRep'!$A:$G,7,0)))</f>
        <v>4693.99</v>
      </c>
      <c r="T31" s="2388">
        <f t="shared" ca="1" si="53"/>
        <v>0</v>
      </c>
      <c r="U31" s="111">
        <f t="shared" si="54"/>
        <v>3077498.61</v>
      </c>
      <c r="V31" s="566">
        <f t="shared" si="55"/>
        <v>14445747700.353899</v>
      </c>
      <c r="W31" s="2389">
        <f t="shared" ref="W31:W36" ca="1" si="58">IF((-P31*J31*R31)-(-P31*K31*S31)&gt;0,(-P31*J31*R31)-(-P31*K31*S31),0)</f>
        <v>0</v>
      </c>
      <c r="X31" s="1236">
        <f t="shared" ref="X31:X36" ca="1" si="59">IF((-P31*J31*R31)-(-P31*K31*S31)&lt;0,(-P31*J31*R31)-(-P31*K31*S31),0)</f>
        <v>0</v>
      </c>
      <c r="Y31" s="519"/>
      <c r="Z31" s="1055"/>
      <c r="AA31" s="2309">
        <f t="shared" ref="AA31:CL36" si="60">IF($L31="",IF(OR($P31="",$R31=""),0,IF($R31=AA$6,$Q31,0)),IF($E31=AA$5,$M31,))</f>
        <v>0</v>
      </c>
      <c r="AB31" s="2310">
        <f t="shared" si="60"/>
        <v>0</v>
      </c>
      <c r="AC31" s="2310">
        <f t="shared" si="60"/>
        <v>0</v>
      </c>
      <c r="AD31" s="2310">
        <f t="shared" si="60"/>
        <v>0</v>
      </c>
      <c r="AE31" s="2310">
        <f t="shared" si="60"/>
        <v>0</v>
      </c>
      <c r="AF31" s="2307">
        <f t="shared" si="60"/>
        <v>0</v>
      </c>
      <c r="AG31" s="2307">
        <f t="shared" si="60"/>
        <v>0</v>
      </c>
      <c r="AH31" s="2307">
        <f t="shared" si="60"/>
        <v>0</v>
      </c>
      <c r="AI31" s="2307">
        <f t="shared" si="60"/>
        <v>0</v>
      </c>
      <c r="AJ31" s="2307">
        <f t="shared" si="56"/>
        <v>3077498.61</v>
      </c>
      <c r="AK31" s="2307">
        <f t="shared" si="60"/>
        <v>0</v>
      </c>
      <c r="AL31" s="2308">
        <f t="shared" si="60"/>
        <v>0</v>
      </c>
      <c r="AM31" s="2307">
        <f t="shared" si="60"/>
        <v>0</v>
      </c>
      <c r="AN31" s="2307">
        <f t="shared" si="60"/>
        <v>0</v>
      </c>
      <c r="AO31" s="2307">
        <f t="shared" si="60"/>
        <v>0</v>
      </c>
      <c r="AP31" s="2307">
        <f t="shared" si="60"/>
        <v>0</v>
      </c>
      <c r="AQ31" s="2307">
        <f t="shared" si="60"/>
        <v>0</v>
      </c>
      <c r="AR31" s="2307">
        <f t="shared" si="60"/>
        <v>0</v>
      </c>
      <c r="AS31" s="2307">
        <f t="shared" si="60"/>
        <v>0</v>
      </c>
      <c r="AT31" s="2307">
        <f t="shared" si="60"/>
        <v>0</v>
      </c>
      <c r="AU31" s="2307">
        <f t="shared" si="60"/>
        <v>0</v>
      </c>
      <c r="AV31" s="2307">
        <f t="shared" si="60"/>
        <v>0</v>
      </c>
      <c r="AW31" s="2307">
        <f t="shared" si="60"/>
        <v>0</v>
      </c>
      <c r="AX31" s="2307">
        <f t="shared" si="60"/>
        <v>0</v>
      </c>
      <c r="AY31" s="2307">
        <f t="shared" si="60"/>
        <v>0</v>
      </c>
      <c r="AZ31" s="2307">
        <f t="shared" si="60"/>
        <v>0</v>
      </c>
      <c r="BA31" s="2307">
        <f t="shared" si="60"/>
        <v>0</v>
      </c>
      <c r="BB31" s="2307">
        <f t="shared" si="60"/>
        <v>0</v>
      </c>
      <c r="BC31" s="2307">
        <f t="shared" si="60"/>
        <v>0</v>
      </c>
      <c r="BD31" s="2307">
        <f t="shared" si="60"/>
        <v>0</v>
      </c>
      <c r="BE31" s="2307">
        <f t="shared" si="60"/>
        <v>0</v>
      </c>
      <c r="BF31" s="2307">
        <f t="shared" si="60"/>
        <v>0</v>
      </c>
      <c r="BG31" s="2307">
        <f t="shared" si="60"/>
        <v>0</v>
      </c>
      <c r="BH31" s="2307">
        <f t="shared" si="60"/>
        <v>0</v>
      </c>
      <c r="BI31" s="2307">
        <f t="shared" si="60"/>
        <v>0</v>
      </c>
      <c r="BJ31" s="2307">
        <f t="shared" si="60"/>
        <v>0</v>
      </c>
      <c r="BK31" s="2307">
        <f t="shared" si="60"/>
        <v>0</v>
      </c>
      <c r="BL31" s="2307">
        <f t="shared" si="60"/>
        <v>0</v>
      </c>
      <c r="BM31" s="2307">
        <f t="shared" si="60"/>
        <v>0</v>
      </c>
      <c r="BN31" s="2307">
        <f t="shared" si="60"/>
        <v>0</v>
      </c>
      <c r="BO31" s="2307">
        <f t="shared" si="60"/>
        <v>0</v>
      </c>
      <c r="BP31" s="2307">
        <f t="shared" si="60"/>
        <v>0</v>
      </c>
      <c r="BQ31" s="2307">
        <f t="shared" si="60"/>
        <v>0</v>
      </c>
      <c r="BR31" s="2307">
        <f t="shared" si="60"/>
        <v>0</v>
      </c>
      <c r="BS31" s="2307">
        <f t="shared" si="60"/>
        <v>0</v>
      </c>
      <c r="BT31" s="2307">
        <f t="shared" si="60"/>
        <v>0</v>
      </c>
      <c r="BU31" s="2307">
        <f t="shared" si="60"/>
        <v>0</v>
      </c>
      <c r="BV31" s="2307">
        <f t="shared" si="60"/>
        <v>0</v>
      </c>
      <c r="BW31" s="2307">
        <f t="shared" si="60"/>
        <v>0</v>
      </c>
      <c r="BX31" s="2307">
        <f t="shared" si="60"/>
        <v>0</v>
      </c>
      <c r="BY31" s="2307">
        <f t="shared" si="60"/>
        <v>0</v>
      </c>
      <c r="BZ31" s="2307">
        <f t="shared" si="60"/>
        <v>0</v>
      </c>
      <c r="CA31" s="2307">
        <f t="shared" si="60"/>
        <v>0</v>
      </c>
      <c r="CB31" s="2307">
        <f t="shared" si="60"/>
        <v>0</v>
      </c>
      <c r="CC31" s="2307">
        <f t="shared" si="60"/>
        <v>0</v>
      </c>
      <c r="CD31" s="2307">
        <f t="shared" si="60"/>
        <v>0</v>
      </c>
      <c r="CE31" s="2307">
        <f t="shared" si="60"/>
        <v>0</v>
      </c>
      <c r="CF31" s="2307">
        <f t="shared" si="60"/>
        <v>0</v>
      </c>
      <c r="CG31" s="2307">
        <f t="shared" si="60"/>
        <v>0</v>
      </c>
      <c r="CH31" s="2307">
        <f t="shared" si="60"/>
        <v>0</v>
      </c>
      <c r="CI31" s="2307">
        <f t="shared" si="60"/>
        <v>0</v>
      </c>
      <c r="CJ31" s="2307">
        <f t="shared" si="60"/>
        <v>0</v>
      </c>
      <c r="CK31" s="2307">
        <f t="shared" si="60"/>
        <v>0</v>
      </c>
      <c r="CL31" s="2307">
        <f t="shared" si="28"/>
        <v>0</v>
      </c>
      <c r="CM31" s="2307">
        <f t="shared" si="28"/>
        <v>0</v>
      </c>
      <c r="CN31" s="2307">
        <f t="shared" si="28"/>
        <v>0</v>
      </c>
      <c r="CO31" s="2307">
        <f t="shared" si="28"/>
        <v>0</v>
      </c>
      <c r="CP31" s="2307">
        <f t="shared" si="28"/>
        <v>0</v>
      </c>
      <c r="CQ31" s="2307">
        <f t="shared" si="28"/>
        <v>0</v>
      </c>
      <c r="CR31" s="2307">
        <f t="shared" si="28"/>
        <v>0</v>
      </c>
      <c r="CS31" s="2307">
        <f t="shared" si="28"/>
        <v>0</v>
      </c>
      <c r="CT31" s="2307">
        <f t="shared" si="28"/>
        <v>0</v>
      </c>
      <c r="CU31" s="2307">
        <f t="shared" si="28"/>
        <v>0</v>
      </c>
      <c r="CV31" s="2307">
        <f t="shared" si="28"/>
        <v>0</v>
      </c>
      <c r="CW31" s="2307">
        <f t="shared" si="28"/>
        <v>0</v>
      </c>
      <c r="CX31" s="2307">
        <f t="shared" si="28"/>
        <v>0</v>
      </c>
      <c r="CY31" s="2307">
        <f t="shared" si="28"/>
        <v>0</v>
      </c>
      <c r="CZ31" s="2307">
        <f t="shared" si="28"/>
        <v>0</v>
      </c>
      <c r="DA31" s="2307">
        <f t="shared" si="28"/>
        <v>0</v>
      </c>
      <c r="DB31" s="2307">
        <f t="shared" si="28"/>
        <v>0</v>
      </c>
      <c r="DC31" s="2307">
        <f t="shared" si="28"/>
        <v>0</v>
      </c>
      <c r="DD31" s="2307">
        <f t="shared" si="28"/>
        <v>0</v>
      </c>
      <c r="DE31" s="2307">
        <f t="shared" si="28"/>
        <v>0</v>
      </c>
      <c r="DF31" s="2307">
        <f t="shared" si="28"/>
        <v>0</v>
      </c>
      <c r="DG31" s="2307">
        <f t="shared" si="28"/>
        <v>0</v>
      </c>
      <c r="DH31" s="2307">
        <f t="shared" si="28"/>
        <v>0</v>
      </c>
      <c r="DI31" s="2307">
        <f t="shared" si="28"/>
        <v>0</v>
      </c>
      <c r="DJ31" s="2307">
        <f t="shared" si="28"/>
        <v>0</v>
      </c>
      <c r="DK31" s="2307">
        <f t="shared" si="28"/>
        <v>0</v>
      </c>
      <c r="DL31" s="2307">
        <f t="shared" si="28"/>
        <v>0</v>
      </c>
      <c r="DM31" s="2307">
        <f t="shared" si="28"/>
        <v>0</v>
      </c>
      <c r="DN31" s="2307">
        <f t="shared" si="28"/>
        <v>0</v>
      </c>
      <c r="DO31" s="2307">
        <f t="shared" si="28"/>
        <v>0</v>
      </c>
      <c r="DP31" s="2307">
        <f t="shared" si="28"/>
        <v>0</v>
      </c>
      <c r="DR31" t="s">
        <v>290</v>
      </c>
    </row>
    <row r="32" spans="1:122" outlineLevel="1">
      <c r="A32" s="1221">
        <v>1110052010</v>
      </c>
      <c r="B32" s="1222" t="s">
        <v>2225</v>
      </c>
      <c r="C32" s="2385" t="s">
        <v>64</v>
      </c>
      <c r="D32" s="1602">
        <v>1100002826</v>
      </c>
      <c r="E32" s="2446">
        <v>44918</v>
      </c>
      <c r="F32" s="1224"/>
      <c r="G32" s="1266"/>
      <c r="H32" s="1225"/>
      <c r="I32" s="2386"/>
      <c r="J32" s="1604">
        <v>1</v>
      </c>
      <c r="K32" s="1605">
        <v>1</v>
      </c>
      <c r="L32" s="1606">
        <v>6782501.3899999997</v>
      </c>
      <c r="M32" s="2387">
        <f t="shared" ref="M32" si="61">+L32*J32</f>
        <v>6782501.3899999997</v>
      </c>
      <c r="N32" s="1228">
        <v>4760.6099999999997</v>
      </c>
      <c r="O32" s="1229">
        <f t="shared" ref="O32" si="62">+L32*J32*N32</f>
        <v>32288843942.247894</v>
      </c>
      <c r="P32" s="1230"/>
      <c r="Q32" s="1230">
        <f t="shared" ref="Q32" si="63">+P32*K32</f>
        <v>0</v>
      </c>
      <c r="R32" s="1231"/>
      <c r="S32" s="1231">
        <f ca="1">IF(OR(E32="",E32&gt;TODAY()),0,IF(ISERROR(VLOOKUP($E32,'TRM BanRep'!$A:$G,7,0)),0,VLOOKUP($E32,'TRM BanRep'!$A:$G,7,0)))</f>
        <v>4760.6099999999997</v>
      </c>
      <c r="T32" s="2388">
        <f t="shared" ref="T32" ca="1" si="64">+P32*K32*S32</f>
        <v>0</v>
      </c>
      <c r="U32" s="111">
        <f t="shared" ref="U32" si="65">+L32+P32+F32</f>
        <v>6782501.3899999997</v>
      </c>
      <c r="V32" s="566">
        <f t="shared" ref="V32" si="66">+P32*J32*R32+L32*J32*N32+F32*J32*H32</f>
        <v>32288843942.247894</v>
      </c>
      <c r="W32" s="2389">
        <f t="shared" ref="W32" ca="1" si="67">IF((-P32*J32*R32)-(-P32*K32*S32)&gt;0,(-P32*J32*R32)-(-P32*K32*S32),0)</f>
        <v>0</v>
      </c>
      <c r="X32" s="1236">
        <f t="shared" ref="X32" ca="1" si="68">IF((-P32*J32*R32)-(-P32*K32*S32)&lt;0,(-P32*J32*R32)-(-P32*K32*S32),0)</f>
        <v>0</v>
      </c>
      <c r="Y32" s="519"/>
      <c r="Z32" s="1055"/>
      <c r="AA32" s="2309">
        <f t="shared" ref="AA32:CL32" si="69">IF($L32="",IF(OR($P32="",$R32=""),0,IF($R32=AA$6,$Q32,0)),IF($E32=AA$5,$M32,))</f>
        <v>6782501.3899999997</v>
      </c>
      <c r="AB32" s="2310">
        <f t="shared" si="69"/>
        <v>0</v>
      </c>
      <c r="AC32" s="2310">
        <f t="shared" si="69"/>
        <v>0</v>
      </c>
      <c r="AD32" s="2310">
        <f t="shared" si="69"/>
        <v>0</v>
      </c>
      <c r="AE32" s="2310">
        <f t="shared" si="69"/>
        <v>0</v>
      </c>
      <c r="AF32" s="2307">
        <f t="shared" si="69"/>
        <v>0</v>
      </c>
      <c r="AG32" s="2307">
        <f t="shared" si="69"/>
        <v>0</v>
      </c>
      <c r="AH32" s="2307">
        <f t="shared" si="69"/>
        <v>0</v>
      </c>
      <c r="AI32" s="2307">
        <f t="shared" si="69"/>
        <v>0</v>
      </c>
      <c r="AJ32" s="2307">
        <f t="shared" si="56"/>
        <v>0</v>
      </c>
      <c r="AK32" s="2307">
        <f t="shared" si="69"/>
        <v>0</v>
      </c>
      <c r="AL32" s="2308">
        <f t="shared" si="69"/>
        <v>0</v>
      </c>
      <c r="AM32" s="2307">
        <f t="shared" si="69"/>
        <v>0</v>
      </c>
      <c r="AN32" s="2307">
        <f t="shared" si="69"/>
        <v>0</v>
      </c>
      <c r="AO32" s="2307">
        <f t="shared" si="69"/>
        <v>0</v>
      </c>
      <c r="AP32" s="2307">
        <f t="shared" si="69"/>
        <v>0</v>
      </c>
      <c r="AQ32" s="2307">
        <f t="shared" si="69"/>
        <v>0</v>
      </c>
      <c r="AR32" s="2307">
        <f t="shared" si="69"/>
        <v>0</v>
      </c>
      <c r="AS32" s="2307">
        <f t="shared" si="69"/>
        <v>0</v>
      </c>
      <c r="AT32" s="2307">
        <f t="shared" si="69"/>
        <v>0</v>
      </c>
      <c r="AU32" s="2307">
        <f t="shared" si="69"/>
        <v>0</v>
      </c>
      <c r="AV32" s="2307">
        <f t="shared" si="69"/>
        <v>0</v>
      </c>
      <c r="AW32" s="2307">
        <f t="shared" si="69"/>
        <v>0</v>
      </c>
      <c r="AX32" s="2307">
        <f t="shared" si="69"/>
        <v>0</v>
      </c>
      <c r="AY32" s="2307">
        <f t="shared" si="69"/>
        <v>0</v>
      </c>
      <c r="AZ32" s="2307">
        <f t="shared" si="69"/>
        <v>0</v>
      </c>
      <c r="BA32" s="2307">
        <f t="shared" si="69"/>
        <v>0</v>
      </c>
      <c r="BB32" s="2307">
        <f t="shared" si="69"/>
        <v>0</v>
      </c>
      <c r="BC32" s="2307">
        <f t="shared" si="69"/>
        <v>0</v>
      </c>
      <c r="BD32" s="2307">
        <f t="shared" si="69"/>
        <v>0</v>
      </c>
      <c r="BE32" s="2307">
        <f t="shared" si="69"/>
        <v>0</v>
      </c>
      <c r="BF32" s="2307">
        <f t="shared" si="69"/>
        <v>0</v>
      </c>
      <c r="BG32" s="2307">
        <f t="shared" si="69"/>
        <v>0</v>
      </c>
      <c r="BH32" s="2307">
        <f t="shared" si="69"/>
        <v>0</v>
      </c>
      <c r="BI32" s="2307">
        <f t="shared" si="69"/>
        <v>0</v>
      </c>
      <c r="BJ32" s="2307">
        <f t="shared" si="69"/>
        <v>0</v>
      </c>
      <c r="BK32" s="2307">
        <f t="shared" si="69"/>
        <v>0</v>
      </c>
      <c r="BL32" s="2307">
        <f t="shared" si="69"/>
        <v>0</v>
      </c>
      <c r="BM32" s="2307">
        <f t="shared" si="69"/>
        <v>0</v>
      </c>
      <c r="BN32" s="2307">
        <f t="shared" si="69"/>
        <v>0</v>
      </c>
      <c r="BO32" s="2307">
        <f t="shared" si="69"/>
        <v>0</v>
      </c>
      <c r="BP32" s="2307">
        <f t="shared" si="69"/>
        <v>0</v>
      </c>
      <c r="BQ32" s="2307">
        <f t="shared" si="69"/>
        <v>0</v>
      </c>
      <c r="BR32" s="2307">
        <f t="shared" si="69"/>
        <v>0</v>
      </c>
      <c r="BS32" s="2307">
        <f t="shared" si="69"/>
        <v>0</v>
      </c>
      <c r="BT32" s="2307">
        <f t="shared" si="69"/>
        <v>0</v>
      </c>
      <c r="BU32" s="2307">
        <f t="shared" si="69"/>
        <v>0</v>
      </c>
      <c r="BV32" s="2307">
        <f t="shared" si="69"/>
        <v>0</v>
      </c>
      <c r="BW32" s="2307">
        <f t="shared" si="69"/>
        <v>0</v>
      </c>
      <c r="BX32" s="2307">
        <f t="shared" si="69"/>
        <v>0</v>
      </c>
      <c r="BY32" s="2307">
        <f t="shared" si="69"/>
        <v>0</v>
      </c>
      <c r="BZ32" s="2307">
        <f t="shared" si="69"/>
        <v>0</v>
      </c>
      <c r="CA32" s="2307">
        <f t="shared" si="69"/>
        <v>0</v>
      </c>
      <c r="CB32" s="2307">
        <f t="shared" si="69"/>
        <v>0</v>
      </c>
      <c r="CC32" s="2307">
        <f t="shared" si="69"/>
        <v>0</v>
      </c>
      <c r="CD32" s="2307">
        <f t="shared" si="69"/>
        <v>0</v>
      </c>
      <c r="CE32" s="2307">
        <f t="shared" si="69"/>
        <v>0</v>
      </c>
      <c r="CF32" s="2307">
        <f t="shared" si="69"/>
        <v>0</v>
      </c>
      <c r="CG32" s="2307">
        <f t="shared" si="69"/>
        <v>0</v>
      </c>
      <c r="CH32" s="2307">
        <f t="shared" si="69"/>
        <v>0</v>
      </c>
      <c r="CI32" s="2307">
        <f t="shared" si="69"/>
        <v>0</v>
      </c>
      <c r="CJ32" s="2307">
        <f t="shared" si="69"/>
        <v>0</v>
      </c>
      <c r="CK32" s="2307">
        <f t="shared" si="69"/>
        <v>0</v>
      </c>
      <c r="CL32" s="2307">
        <f t="shared" si="69"/>
        <v>0</v>
      </c>
      <c r="CM32" s="2307">
        <f t="shared" ref="CM32:DP32" si="70">IF($L32="",IF(OR($P32="",$R32=""),0,IF($R32=CM$6,$Q32,0)),IF($E32=CM$5,$M32,))</f>
        <v>0</v>
      </c>
      <c r="CN32" s="2307">
        <f t="shared" si="70"/>
        <v>0</v>
      </c>
      <c r="CO32" s="2307">
        <f t="shared" si="70"/>
        <v>0</v>
      </c>
      <c r="CP32" s="2307">
        <f t="shared" si="70"/>
        <v>0</v>
      </c>
      <c r="CQ32" s="2307">
        <f t="shared" si="70"/>
        <v>0</v>
      </c>
      <c r="CR32" s="2307">
        <f t="shared" si="70"/>
        <v>0</v>
      </c>
      <c r="CS32" s="2307">
        <f t="shared" si="70"/>
        <v>0</v>
      </c>
      <c r="CT32" s="2307">
        <f t="shared" si="70"/>
        <v>0</v>
      </c>
      <c r="CU32" s="2307">
        <f t="shared" si="70"/>
        <v>0</v>
      </c>
      <c r="CV32" s="2307">
        <f t="shared" si="70"/>
        <v>0</v>
      </c>
      <c r="CW32" s="2307">
        <f t="shared" si="70"/>
        <v>0</v>
      </c>
      <c r="CX32" s="2307">
        <f t="shared" si="70"/>
        <v>0</v>
      </c>
      <c r="CY32" s="2307">
        <f t="shared" si="70"/>
        <v>0</v>
      </c>
      <c r="CZ32" s="2307">
        <f t="shared" si="70"/>
        <v>0</v>
      </c>
      <c r="DA32" s="2307">
        <f t="shared" si="70"/>
        <v>0</v>
      </c>
      <c r="DB32" s="2307">
        <f t="shared" si="70"/>
        <v>0</v>
      </c>
      <c r="DC32" s="2307">
        <f t="shared" si="70"/>
        <v>0</v>
      </c>
      <c r="DD32" s="2307">
        <f t="shared" si="70"/>
        <v>0</v>
      </c>
      <c r="DE32" s="2307">
        <f t="shared" si="70"/>
        <v>0</v>
      </c>
      <c r="DF32" s="2307">
        <f t="shared" si="70"/>
        <v>0</v>
      </c>
      <c r="DG32" s="2307">
        <f t="shared" si="70"/>
        <v>0</v>
      </c>
      <c r="DH32" s="2307">
        <f t="shared" si="70"/>
        <v>0</v>
      </c>
      <c r="DI32" s="2307">
        <f t="shared" si="70"/>
        <v>0</v>
      </c>
      <c r="DJ32" s="2307">
        <f t="shared" si="70"/>
        <v>0</v>
      </c>
      <c r="DK32" s="2307">
        <f t="shared" si="70"/>
        <v>0</v>
      </c>
      <c r="DL32" s="2307">
        <f t="shared" si="70"/>
        <v>0</v>
      </c>
      <c r="DM32" s="2307">
        <f t="shared" si="70"/>
        <v>0</v>
      </c>
      <c r="DN32" s="2307">
        <f t="shared" si="70"/>
        <v>0</v>
      </c>
      <c r="DO32" s="2307">
        <f t="shared" si="70"/>
        <v>0</v>
      </c>
      <c r="DP32" s="2307">
        <f t="shared" si="70"/>
        <v>0</v>
      </c>
      <c r="DR32" t="s">
        <v>290</v>
      </c>
    </row>
    <row r="33" spans="1:122" outlineLevel="1">
      <c r="A33" s="57">
        <v>1110052010</v>
      </c>
      <c r="B33" s="2415" t="s">
        <v>2214</v>
      </c>
      <c r="C33" s="1466" t="s">
        <v>64</v>
      </c>
      <c r="D33" s="1471">
        <v>1100002799</v>
      </c>
      <c r="E33" s="1472">
        <v>44957</v>
      </c>
      <c r="F33" s="58"/>
      <c r="G33" s="1252"/>
      <c r="H33" s="522"/>
      <c r="I33" s="1375"/>
      <c r="J33" s="1451">
        <v>1</v>
      </c>
      <c r="K33" s="1452">
        <v>1</v>
      </c>
      <c r="L33" s="1191"/>
      <c r="M33" s="1450">
        <f t="shared" si="50"/>
        <v>0</v>
      </c>
      <c r="N33" s="524">
        <f ca="1">IF(OR(E33="",E33&gt;TODAY()),0,IF(ISERROR(VLOOKUP($E33,'TRM BanRep'!$A:$G,7,0)),0,VLOOKUP($E33,'TRM BanRep'!$A:$G,7,0)))</f>
        <v>4632.2</v>
      </c>
      <c r="O33" s="525">
        <f t="shared" ca="1" si="51"/>
        <v>0</v>
      </c>
      <c r="P33" s="526">
        <v>-1704435.69</v>
      </c>
      <c r="Q33" s="526">
        <f t="shared" si="52"/>
        <v>-1704435.69</v>
      </c>
      <c r="R33" s="527">
        <v>4924</v>
      </c>
      <c r="S33" s="527">
        <f ca="1">IF(OR(E33="",E33&gt;TODAY()),0,IF(ISERROR(VLOOKUP($E33,'TRM BanRep'!$A:$G,7,0)),0,VLOOKUP($E33,'TRM BanRep'!$A:$G,7,0)))</f>
        <v>4632.2</v>
      </c>
      <c r="T33" s="528">
        <f t="shared" ca="1" si="53"/>
        <v>-7895287003.2179995</v>
      </c>
      <c r="U33" s="60">
        <f t="shared" si="54"/>
        <v>-1704435.69</v>
      </c>
      <c r="V33" s="529">
        <f t="shared" ca="1" si="55"/>
        <v>-8392641337.5599995</v>
      </c>
      <c r="W33" s="1453">
        <f t="shared" ca="1" si="58"/>
        <v>497354334.34200001</v>
      </c>
      <c r="X33" s="530">
        <f t="shared" ca="1" si="59"/>
        <v>0</v>
      </c>
      <c r="Y33" s="531"/>
      <c r="Z33" s="1055"/>
      <c r="AA33" s="2309">
        <f t="shared" ca="1" si="60"/>
        <v>0</v>
      </c>
      <c r="AB33" s="2310">
        <f t="shared" ca="1" si="60"/>
        <v>0</v>
      </c>
      <c r="AC33" s="2310">
        <f t="shared" ca="1" si="60"/>
        <v>0</v>
      </c>
      <c r="AD33" s="2310">
        <f t="shared" ca="1" si="60"/>
        <v>0</v>
      </c>
      <c r="AE33" s="2310">
        <f t="shared" ca="1" si="60"/>
        <v>0</v>
      </c>
      <c r="AF33" s="2307">
        <f t="shared" ca="1" si="60"/>
        <v>0</v>
      </c>
      <c r="AG33" s="2307">
        <f t="shared" ca="1" si="60"/>
        <v>0</v>
      </c>
      <c r="AH33" s="2307">
        <f t="shared" ca="1" si="60"/>
        <v>-1704435.69</v>
      </c>
      <c r="AI33" s="2307">
        <f t="shared" ca="1" si="60"/>
        <v>0</v>
      </c>
      <c r="AJ33" s="2307">
        <f t="shared" ca="1" si="56"/>
        <v>0</v>
      </c>
      <c r="AK33" s="2307">
        <f t="shared" ca="1" si="60"/>
        <v>0</v>
      </c>
      <c r="AL33" s="2308">
        <f t="shared" ca="1" si="60"/>
        <v>0</v>
      </c>
      <c r="AM33" s="2307">
        <f t="shared" ca="1" si="60"/>
        <v>0</v>
      </c>
      <c r="AN33" s="2307">
        <f t="shared" ca="1" si="60"/>
        <v>0</v>
      </c>
      <c r="AO33" s="2307">
        <f t="shared" ca="1" si="60"/>
        <v>0</v>
      </c>
      <c r="AP33" s="2307">
        <f t="shared" ca="1" si="60"/>
        <v>0</v>
      </c>
      <c r="AQ33" s="2307">
        <f t="shared" ca="1" si="60"/>
        <v>0</v>
      </c>
      <c r="AR33" s="2307">
        <f t="shared" ca="1" si="60"/>
        <v>0</v>
      </c>
      <c r="AS33" s="2307">
        <f t="shared" ca="1" si="60"/>
        <v>0</v>
      </c>
      <c r="AT33" s="2307">
        <f t="shared" ca="1" si="60"/>
        <v>0</v>
      </c>
      <c r="AU33" s="2307">
        <f t="shared" ca="1" si="60"/>
        <v>0</v>
      </c>
      <c r="AV33" s="2307">
        <f t="shared" ca="1" si="60"/>
        <v>0</v>
      </c>
      <c r="AW33" s="2307">
        <f t="shared" ca="1" si="60"/>
        <v>0</v>
      </c>
      <c r="AX33" s="2307">
        <f t="shared" ca="1" si="60"/>
        <v>0</v>
      </c>
      <c r="AY33" s="2307">
        <f t="shared" ca="1" si="60"/>
        <v>0</v>
      </c>
      <c r="AZ33" s="2307">
        <f t="shared" ca="1" si="60"/>
        <v>0</v>
      </c>
      <c r="BA33" s="2307">
        <f t="shared" ca="1" si="60"/>
        <v>0</v>
      </c>
      <c r="BB33" s="2307">
        <f t="shared" ca="1" si="60"/>
        <v>0</v>
      </c>
      <c r="BC33" s="2307">
        <f t="shared" ca="1" si="60"/>
        <v>0</v>
      </c>
      <c r="BD33" s="2307">
        <f t="shared" ca="1" si="60"/>
        <v>0</v>
      </c>
      <c r="BE33" s="2307">
        <f t="shared" ca="1" si="60"/>
        <v>0</v>
      </c>
      <c r="BF33" s="2307">
        <f t="shared" ca="1" si="60"/>
        <v>0</v>
      </c>
      <c r="BG33" s="2307">
        <f t="shared" ca="1" si="60"/>
        <v>0</v>
      </c>
      <c r="BH33" s="2307">
        <f t="shared" ca="1" si="60"/>
        <v>0</v>
      </c>
      <c r="BI33" s="2307">
        <f t="shared" ca="1" si="60"/>
        <v>0</v>
      </c>
      <c r="BJ33" s="2307">
        <f t="shared" ca="1" si="60"/>
        <v>0</v>
      </c>
      <c r="BK33" s="2307">
        <f t="shared" ca="1" si="60"/>
        <v>0</v>
      </c>
      <c r="BL33" s="2307">
        <f t="shared" ca="1" si="60"/>
        <v>0</v>
      </c>
      <c r="BM33" s="2307">
        <f t="shared" ca="1" si="60"/>
        <v>0</v>
      </c>
      <c r="BN33" s="2307">
        <f t="shared" ca="1" si="60"/>
        <v>0</v>
      </c>
      <c r="BO33" s="2307">
        <f t="shared" ca="1" si="60"/>
        <v>0</v>
      </c>
      <c r="BP33" s="2307">
        <f t="shared" ca="1" si="60"/>
        <v>0</v>
      </c>
      <c r="BQ33" s="2307">
        <f t="shared" ca="1" si="60"/>
        <v>0</v>
      </c>
      <c r="BR33" s="2307">
        <f t="shared" ca="1" si="60"/>
        <v>0</v>
      </c>
      <c r="BS33" s="2307">
        <f t="shared" ca="1" si="60"/>
        <v>0</v>
      </c>
      <c r="BT33" s="2307">
        <f t="shared" ca="1" si="60"/>
        <v>0</v>
      </c>
      <c r="BU33" s="2307">
        <f t="shared" ca="1" si="60"/>
        <v>0</v>
      </c>
      <c r="BV33" s="2307">
        <f t="shared" ca="1" si="60"/>
        <v>0</v>
      </c>
      <c r="BW33" s="2307">
        <f t="shared" ca="1" si="60"/>
        <v>0</v>
      </c>
      <c r="BX33" s="2307">
        <f t="shared" ca="1" si="60"/>
        <v>0</v>
      </c>
      <c r="BY33" s="2307">
        <f t="shared" ca="1" si="60"/>
        <v>0</v>
      </c>
      <c r="BZ33" s="2307">
        <f t="shared" ca="1" si="60"/>
        <v>0</v>
      </c>
      <c r="CA33" s="2307">
        <f t="shared" ca="1" si="60"/>
        <v>0</v>
      </c>
      <c r="CB33" s="2307">
        <f t="shared" ca="1" si="60"/>
        <v>0</v>
      </c>
      <c r="CC33" s="2307">
        <f t="shared" ca="1" si="60"/>
        <v>0</v>
      </c>
      <c r="CD33" s="2307">
        <f t="shared" ca="1" si="60"/>
        <v>0</v>
      </c>
      <c r="CE33" s="2307">
        <f t="shared" ca="1" si="60"/>
        <v>0</v>
      </c>
      <c r="CF33" s="2307">
        <f t="shared" ca="1" si="60"/>
        <v>0</v>
      </c>
      <c r="CG33" s="2307">
        <f t="shared" ca="1" si="60"/>
        <v>0</v>
      </c>
      <c r="CH33" s="2307">
        <f t="shared" ca="1" si="60"/>
        <v>0</v>
      </c>
      <c r="CI33" s="2307">
        <f t="shared" ca="1" si="60"/>
        <v>0</v>
      </c>
      <c r="CJ33" s="2307">
        <f t="shared" ca="1" si="60"/>
        <v>0</v>
      </c>
      <c r="CK33" s="2307">
        <f t="shared" ca="1" si="60"/>
        <v>0</v>
      </c>
      <c r="CL33" s="2307">
        <f t="shared" ca="1" si="60"/>
        <v>0</v>
      </c>
      <c r="CM33" s="2307">
        <f t="shared" ca="1" si="28"/>
        <v>0</v>
      </c>
      <c r="CN33" s="2307">
        <f t="shared" ca="1" si="28"/>
        <v>0</v>
      </c>
      <c r="CO33" s="2307">
        <f t="shared" ca="1" si="28"/>
        <v>0</v>
      </c>
      <c r="CP33" s="2307">
        <f t="shared" ca="1" si="28"/>
        <v>0</v>
      </c>
      <c r="CQ33" s="2307">
        <f t="shared" ca="1" si="28"/>
        <v>0</v>
      </c>
      <c r="CR33" s="2307">
        <f t="shared" ca="1" si="28"/>
        <v>0</v>
      </c>
      <c r="CS33" s="2307">
        <f t="shared" ca="1" si="28"/>
        <v>0</v>
      </c>
      <c r="CT33" s="2307">
        <f t="shared" ca="1" si="28"/>
        <v>0</v>
      </c>
      <c r="CU33" s="2307">
        <f t="shared" ca="1" si="28"/>
        <v>0</v>
      </c>
      <c r="CV33" s="2307">
        <f t="shared" ca="1" si="28"/>
        <v>0</v>
      </c>
      <c r="CW33" s="2307">
        <f t="shared" ca="1" si="28"/>
        <v>0</v>
      </c>
      <c r="CX33" s="2307">
        <f t="shared" ca="1" si="28"/>
        <v>0</v>
      </c>
      <c r="CY33" s="2307">
        <f t="shared" ca="1" si="28"/>
        <v>0</v>
      </c>
      <c r="CZ33" s="2307">
        <f t="shared" ca="1" si="28"/>
        <v>0</v>
      </c>
      <c r="DA33" s="2307">
        <f t="shared" ca="1" si="28"/>
        <v>0</v>
      </c>
      <c r="DB33" s="2307">
        <f t="shared" ca="1" si="28"/>
        <v>0</v>
      </c>
      <c r="DC33" s="2307">
        <f t="shared" ca="1" si="28"/>
        <v>0</v>
      </c>
      <c r="DD33" s="2307">
        <f t="shared" ca="1" si="28"/>
        <v>0</v>
      </c>
      <c r="DE33" s="2307">
        <f t="shared" ca="1" si="28"/>
        <v>0</v>
      </c>
      <c r="DF33" s="2307">
        <f t="shared" ca="1" si="28"/>
        <v>0</v>
      </c>
      <c r="DG33" s="2307">
        <f t="shared" ca="1" si="28"/>
        <v>0</v>
      </c>
      <c r="DH33" s="2307">
        <f t="shared" ca="1" si="28"/>
        <v>0</v>
      </c>
      <c r="DI33" s="2307">
        <f t="shared" ca="1" si="28"/>
        <v>0</v>
      </c>
      <c r="DJ33" s="2307">
        <f t="shared" ca="1" si="28"/>
        <v>0</v>
      </c>
      <c r="DK33" s="2307">
        <f t="shared" ca="1" si="28"/>
        <v>0</v>
      </c>
      <c r="DL33" s="2307">
        <f t="shared" ca="1" si="28"/>
        <v>0</v>
      </c>
      <c r="DM33" s="2307">
        <f t="shared" ca="1" si="28"/>
        <v>0</v>
      </c>
      <c r="DN33" s="2307">
        <f t="shared" ca="1" si="28"/>
        <v>0</v>
      </c>
      <c r="DO33" s="2307">
        <f t="shared" ca="1" si="28"/>
        <v>0</v>
      </c>
      <c r="DP33" s="2307">
        <f t="shared" ca="1" si="28"/>
        <v>0</v>
      </c>
      <c r="DR33" t="s">
        <v>290</v>
      </c>
    </row>
    <row r="34" spans="1:122" outlineLevel="1">
      <c r="A34" s="57">
        <v>1110052010</v>
      </c>
      <c r="B34" s="2415" t="s">
        <v>2214</v>
      </c>
      <c r="C34" s="1466" t="s">
        <v>64</v>
      </c>
      <c r="D34" s="1471">
        <v>1100002799</v>
      </c>
      <c r="E34" s="1472">
        <v>44957</v>
      </c>
      <c r="F34" s="58"/>
      <c r="G34" s="1252"/>
      <c r="H34" s="522"/>
      <c r="I34" s="1375"/>
      <c r="J34" s="1451">
        <v>1</v>
      </c>
      <c r="K34" s="1452">
        <v>1</v>
      </c>
      <c r="L34" s="1191"/>
      <c r="M34" s="1450">
        <f t="shared" ref="M34" si="71">+L34*J34</f>
        <v>0</v>
      </c>
      <c r="N34" s="524">
        <f ca="1">IF(OR(E34="",E34&gt;TODAY()),0,IF(ISERROR(VLOOKUP($E34,'TRM BanRep'!$A:$G,7,0)),0,VLOOKUP($E34,'TRM BanRep'!$A:$G,7,0)))</f>
        <v>4632.2</v>
      </c>
      <c r="O34" s="525">
        <f t="shared" ref="O34" ca="1" si="72">+L34*J34*N34</f>
        <v>0</v>
      </c>
      <c r="P34" s="526">
        <v>-6782501.3899999997</v>
      </c>
      <c r="Q34" s="526">
        <f t="shared" ref="Q34" si="73">+P34*K34</f>
        <v>-6782501.3899999997</v>
      </c>
      <c r="R34" s="527">
        <v>4760.6099999999997</v>
      </c>
      <c r="S34" s="527">
        <f ca="1">IF(OR(E34="",E34&gt;TODAY()),0,IF(ISERROR(VLOOKUP($E34,'TRM BanRep'!$A:$G,7,0)),0,VLOOKUP($E34,'TRM BanRep'!$A:$G,7,0)))</f>
        <v>4632.2</v>
      </c>
      <c r="T34" s="528">
        <f t="shared" ref="T34" ca="1" si="74">+P34*K34*S34</f>
        <v>-31417902938.757996</v>
      </c>
      <c r="U34" s="60">
        <f t="shared" ref="U34" si="75">+L34+P34+F34</f>
        <v>-6782501.3899999997</v>
      </c>
      <c r="V34" s="529">
        <f t="shared" ref="V34" ca="1" si="76">+P34*J34*R34+L34*J34*N34+F34*J34*H34</f>
        <v>-32288843942.247894</v>
      </c>
      <c r="W34" s="1453">
        <f t="shared" ref="W34" ca="1" si="77">IF((-P34*J34*R34)-(-P34*K34*S34)&gt;0,(-P34*J34*R34)-(-P34*K34*S34),0)</f>
        <v>870941003.48989868</v>
      </c>
      <c r="X34" s="530">
        <f t="shared" ref="X34" ca="1" si="78">IF((-P34*J34*R34)-(-P34*K34*S34)&lt;0,(-P34*J34*R34)-(-P34*K34*S34),0)</f>
        <v>0</v>
      </c>
      <c r="Y34" s="531"/>
      <c r="Z34" s="1055"/>
      <c r="AA34" s="2309">
        <f t="shared" ref="AA34:CL34" ca="1" si="79">IF($L34="",IF(OR($P34="",$R34=""),0,IF($R34=AA$6,$Q34,0)),IF($E34=AA$5,$M34,))</f>
        <v>-6782501.3899999997</v>
      </c>
      <c r="AB34" s="2310">
        <f t="shared" ca="1" si="79"/>
        <v>0</v>
      </c>
      <c r="AC34" s="2310">
        <f t="shared" ca="1" si="79"/>
        <v>0</v>
      </c>
      <c r="AD34" s="2310">
        <f t="shared" ca="1" si="79"/>
        <v>0</v>
      </c>
      <c r="AE34" s="2310">
        <f t="shared" ca="1" si="79"/>
        <v>0</v>
      </c>
      <c r="AF34" s="2307">
        <f t="shared" ca="1" si="79"/>
        <v>0</v>
      </c>
      <c r="AG34" s="2307">
        <f t="shared" ca="1" si="79"/>
        <v>0</v>
      </c>
      <c r="AH34" s="2307">
        <f t="shared" ca="1" si="79"/>
        <v>0</v>
      </c>
      <c r="AI34" s="2307">
        <f t="shared" ca="1" si="79"/>
        <v>0</v>
      </c>
      <c r="AJ34" s="2307">
        <f t="shared" ca="1" si="56"/>
        <v>0</v>
      </c>
      <c r="AK34" s="2307">
        <f t="shared" ca="1" si="79"/>
        <v>0</v>
      </c>
      <c r="AL34" s="2308">
        <f t="shared" ca="1" si="79"/>
        <v>0</v>
      </c>
      <c r="AM34" s="2307">
        <f t="shared" ca="1" si="79"/>
        <v>0</v>
      </c>
      <c r="AN34" s="2307">
        <f t="shared" ca="1" si="79"/>
        <v>0</v>
      </c>
      <c r="AO34" s="2307">
        <f t="shared" ca="1" si="79"/>
        <v>0</v>
      </c>
      <c r="AP34" s="2307">
        <f t="shared" ca="1" si="79"/>
        <v>0</v>
      </c>
      <c r="AQ34" s="2307">
        <f t="shared" ca="1" si="79"/>
        <v>0</v>
      </c>
      <c r="AR34" s="2307">
        <f t="shared" ca="1" si="79"/>
        <v>0</v>
      </c>
      <c r="AS34" s="2307">
        <f t="shared" ca="1" si="79"/>
        <v>0</v>
      </c>
      <c r="AT34" s="2307">
        <f t="shared" ca="1" si="79"/>
        <v>0</v>
      </c>
      <c r="AU34" s="2307">
        <f t="shared" ca="1" si="79"/>
        <v>0</v>
      </c>
      <c r="AV34" s="2307">
        <f t="shared" ca="1" si="79"/>
        <v>0</v>
      </c>
      <c r="AW34" s="2307">
        <f t="shared" ca="1" si="79"/>
        <v>0</v>
      </c>
      <c r="AX34" s="2307">
        <f t="shared" ca="1" si="79"/>
        <v>0</v>
      </c>
      <c r="AY34" s="2307">
        <f t="shared" ca="1" si="79"/>
        <v>0</v>
      </c>
      <c r="AZ34" s="2307">
        <f t="shared" ca="1" si="79"/>
        <v>0</v>
      </c>
      <c r="BA34" s="2307">
        <f t="shared" ca="1" si="79"/>
        <v>0</v>
      </c>
      <c r="BB34" s="2307">
        <f t="shared" ca="1" si="79"/>
        <v>0</v>
      </c>
      <c r="BC34" s="2307">
        <f t="shared" ca="1" si="79"/>
        <v>0</v>
      </c>
      <c r="BD34" s="2307">
        <f t="shared" ca="1" si="79"/>
        <v>0</v>
      </c>
      <c r="BE34" s="2307">
        <f t="shared" ca="1" si="79"/>
        <v>0</v>
      </c>
      <c r="BF34" s="2307">
        <f t="shared" ca="1" si="79"/>
        <v>0</v>
      </c>
      <c r="BG34" s="2307">
        <f t="shared" ca="1" si="79"/>
        <v>0</v>
      </c>
      <c r="BH34" s="2307">
        <f t="shared" ca="1" si="79"/>
        <v>0</v>
      </c>
      <c r="BI34" s="2307">
        <f t="shared" ca="1" si="79"/>
        <v>0</v>
      </c>
      <c r="BJ34" s="2307">
        <f t="shared" ca="1" si="79"/>
        <v>0</v>
      </c>
      <c r="BK34" s="2307">
        <f t="shared" ca="1" si="79"/>
        <v>0</v>
      </c>
      <c r="BL34" s="2307">
        <f t="shared" ca="1" si="79"/>
        <v>0</v>
      </c>
      <c r="BM34" s="2307">
        <f t="shared" ca="1" si="79"/>
        <v>0</v>
      </c>
      <c r="BN34" s="2307">
        <f t="shared" ca="1" si="79"/>
        <v>0</v>
      </c>
      <c r="BO34" s="2307">
        <f t="shared" ca="1" si="79"/>
        <v>0</v>
      </c>
      <c r="BP34" s="2307">
        <f t="shared" ca="1" si="79"/>
        <v>0</v>
      </c>
      <c r="BQ34" s="2307">
        <f t="shared" ca="1" si="79"/>
        <v>0</v>
      </c>
      <c r="BR34" s="2307">
        <f t="shared" ca="1" si="79"/>
        <v>0</v>
      </c>
      <c r="BS34" s="2307">
        <f t="shared" ca="1" si="79"/>
        <v>0</v>
      </c>
      <c r="BT34" s="2307">
        <f t="shared" ca="1" si="79"/>
        <v>0</v>
      </c>
      <c r="BU34" s="2307">
        <f t="shared" ca="1" si="79"/>
        <v>0</v>
      </c>
      <c r="BV34" s="2307">
        <f t="shared" ca="1" si="79"/>
        <v>0</v>
      </c>
      <c r="BW34" s="2307">
        <f t="shared" ca="1" si="79"/>
        <v>0</v>
      </c>
      <c r="BX34" s="2307">
        <f t="shared" ca="1" si="79"/>
        <v>0</v>
      </c>
      <c r="BY34" s="2307">
        <f t="shared" ca="1" si="79"/>
        <v>0</v>
      </c>
      <c r="BZ34" s="2307">
        <f t="shared" ca="1" si="79"/>
        <v>0</v>
      </c>
      <c r="CA34" s="2307">
        <f t="shared" ca="1" si="79"/>
        <v>0</v>
      </c>
      <c r="CB34" s="2307">
        <f t="shared" ca="1" si="79"/>
        <v>0</v>
      </c>
      <c r="CC34" s="2307">
        <f t="shared" ca="1" si="79"/>
        <v>0</v>
      </c>
      <c r="CD34" s="2307">
        <f t="shared" ca="1" si="79"/>
        <v>0</v>
      </c>
      <c r="CE34" s="2307">
        <f t="shared" ca="1" si="79"/>
        <v>0</v>
      </c>
      <c r="CF34" s="2307">
        <f t="shared" ca="1" si="79"/>
        <v>0</v>
      </c>
      <c r="CG34" s="2307">
        <f t="shared" ca="1" si="79"/>
        <v>0</v>
      </c>
      <c r="CH34" s="2307">
        <f t="shared" ca="1" si="79"/>
        <v>0</v>
      </c>
      <c r="CI34" s="2307">
        <f t="shared" ca="1" si="79"/>
        <v>0</v>
      </c>
      <c r="CJ34" s="2307">
        <f t="shared" ca="1" si="79"/>
        <v>0</v>
      </c>
      <c r="CK34" s="2307">
        <f t="shared" ca="1" si="79"/>
        <v>0</v>
      </c>
      <c r="CL34" s="2307">
        <f t="shared" ca="1" si="79"/>
        <v>0</v>
      </c>
      <c r="CM34" s="2307">
        <f t="shared" ref="CM34:DP34" ca="1" si="80">IF($L34="",IF(OR($P34="",$R34=""),0,IF($R34=CM$6,$Q34,0)),IF($E34=CM$5,$M34,))</f>
        <v>0</v>
      </c>
      <c r="CN34" s="2307">
        <f t="shared" ca="1" si="80"/>
        <v>0</v>
      </c>
      <c r="CO34" s="2307">
        <f t="shared" ca="1" si="80"/>
        <v>0</v>
      </c>
      <c r="CP34" s="2307">
        <f t="shared" ca="1" si="80"/>
        <v>0</v>
      </c>
      <c r="CQ34" s="2307">
        <f t="shared" ca="1" si="80"/>
        <v>0</v>
      </c>
      <c r="CR34" s="2307">
        <f t="shared" ca="1" si="80"/>
        <v>0</v>
      </c>
      <c r="CS34" s="2307">
        <f t="shared" ca="1" si="80"/>
        <v>0</v>
      </c>
      <c r="CT34" s="2307">
        <f t="shared" ca="1" si="80"/>
        <v>0</v>
      </c>
      <c r="CU34" s="2307">
        <f t="shared" ca="1" si="80"/>
        <v>0</v>
      </c>
      <c r="CV34" s="2307">
        <f t="shared" ca="1" si="80"/>
        <v>0</v>
      </c>
      <c r="CW34" s="2307">
        <f t="shared" ca="1" si="80"/>
        <v>0</v>
      </c>
      <c r="CX34" s="2307">
        <f t="shared" ca="1" si="80"/>
        <v>0</v>
      </c>
      <c r="CY34" s="2307">
        <f t="shared" ca="1" si="80"/>
        <v>0</v>
      </c>
      <c r="CZ34" s="2307">
        <f t="shared" ca="1" si="80"/>
        <v>0</v>
      </c>
      <c r="DA34" s="2307">
        <f t="shared" ca="1" si="80"/>
        <v>0</v>
      </c>
      <c r="DB34" s="2307">
        <f t="shared" ca="1" si="80"/>
        <v>0</v>
      </c>
      <c r="DC34" s="2307">
        <f t="shared" ca="1" si="80"/>
        <v>0</v>
      </c>
      <c r="DD34" s="2307">
        <f t="shared" ca="1" si="80"/>
        <v>0</v>
      </c>
      <c r="DE34" s="2307">
        <f t="shared" ca="1" si="80"/>
        <v>0</v>
      </c>
      <c r="DF34" s="2307">
        <f t="shared" ca="1" si="80"/>
        <v>0</v>
      </c>
      <c r="DG34" s="2307">
        <f t="shared" ca="1" si="80"/>
        <v>0</v>
      </c>
      <c r="DH34" s="2307">
        <f t="shared" ca="1" si="80"/>
        <v>0</v>
      </c>
      <c r="DI34" s="2307">
        <f t="shared" ca="1" si="80"/>
        <v>0</v>
      </c>
      <c r="DJ34" s="2307">
        <f t="shared" ca="1" si="80"/>
        <v>0</v>
      </c>
      <c r="DK34" s="2307">
        <f t="shared" ca="1" si="80"/>
        <v>0</v>
      </c>
      <c r="DL34" s="2307">
        <f t="shared" ca="1" si="80"/>
        <v>0</v>
      </c>
      <c r="DM34" s="2307">
        <f t="shared" ca="1" si="80"/>
        <v>0</v>
      </c>
      <c r="DN34" s="2307">
        <f t="shared" ca="1" si="80"/>
        <v>0</v>
      </c>
      <c r="DO34" s="2307">
        <f t="shared" ca="1" si="80"/>
        <v>0</v>
      </c>
      <c r="DP34" s="2307">
        <f t="shared" ca="1" si="80"/>
        <v>0</v>
      </c>
      <c r="DR34" t="s">
        <v>290</v>
      </c>
    </row>
    <row r="35" spans="1:122" outlineLevel="1">
      <c r="A35" s="57">
        <v>1110052010</v>
      </c>
      <c r="B35" s="2415" t="s">
        <v>2214</v>
      </c>
      <c r="C35" s="1466" t="s">
        <v>64</v>
      </c>
      <c r="D35" s="1471">
        <v>1100002799</v>
      </c>
      <c r="E35" s="1472">
        <v>44957</v>
      </c>
      <c r="F35" s="58"/>
      <c r="G35" s="1252"/>
      <c r="H35" s="522"/>
      <c r="I35" s="1375"/>
      <c r="J35" s="1451">
        <v>1</v>
      </c>
      <c r="K35" s="1452">
        <v>1</v>
      </c>
      <c r="L35" s="1191"/>
      <c r="M35" s="1450">
        <f t="shared" ref="M35" si="81">+L35*J35</f>
        <v>0</v>
      </c>
      <c r="N35" s="524">
        <f ca="1">IF(OR(E35="",E35&gt;TODAY()),0,IF(ISERROR(VLOOKUP($E35,'TRM BanRep'!$A:$G,7,0)),0,VLOOKUP($E35,'TRM BanRep'!$A:$G,7,0)))</f>
        <v>4632.2</v>
      </c>
      <c r="O35" s="525">
        <f t="shared" ref="O35" ca="1" si="82">+L35*J35*N35</f>
        <v>0</v>
      </c>
      <c r="P35" s="526">
        <v>-1372593.36</v>
      </c>
      <c r="Q35" s="526">
        <f t="shared" ref="Q35" si="83">+P35*K35</f>
        <v>-1372593.36</v>
      </c>
      <c r="R35" s="527">
        <v>4693.99</v>
      </c>
      <c r="S35" s="527">
        <f ca="1">IF(OR(E35="",E35&gt;TODAY()),0,IF(ISERROR(VLOOKUP($E35,'TRM BanRep'!$A:$G,7,0)),0,VLOOKUP($E35,'TRM BanRep'!$A:$G,7,0)))</f>
        <v>4632.2</v>
      </c>
      <c r="T35" s="528">
        <f t="shared" ref="T35" ca="1" si="84">+P35*K35*S35</f>
        <v>-6358126962.1920004</v>
      </c>
      <c r="U35" s="60">
        <f t="shared" ref="U35" si="85">+L35+P35+F35</f>
        <v>-1372593.36</v>
      </c>
      <c r="V35" s="529">
        <f t="shared" ref="V35" ca="1" si="86">+P35*J35*R35+L35*J35*N35+F35*J35*H35</f>
        <v>-6442939505.9063997</v>
      </c>
      <c r="W35" s="1453">
        <f t="shared" ref="W35" ca="1" si="87">IF((-P35*J35*R35)-(-P35*K35*S35)&gt;0,(-P35*J35*R35)-(-P35*K35*S35),0)</f>
        <v>84812543.714399338</v>
      </c>
      <c r="X35" s="530">
        <f t="shared" ref="X35" ca="1" si="88">IF((-P35*J35*R35)-(-P35*K35*S35)&lt;0,(-P35*J35*R35)-(-P35*K35*S35),0)</f>
        <v>0</v>
      </c>
      <c r="Y35" s="531"/>
      <c r="Z35" s="1055"/>
      <c r="AA35" s="2309">
        <f t="shared" ca="1" si="60"/>
        <v>0</v>
      </c>
      <c r="AB35" s="2310">
        <f t="shared" ca="1" si="60"/>
        <v>0</v>
      </c>
      <c r="AC35" s="2310">
        <f t="shared" ca="1" si="60"/>
        <v>0</v>
      </c>
      <c r="AD35" s="2310">
        <f t="shared" ca="1" si="60"/>
        <v>0</v>
      </c>
      <c r="AE35" s="2310">
        <f t="shared" ca="1" si="60"/>
        <v>0</v>
      </c>
      <c r="AF35" s="2307">
        <f t="shared" ca="1" si="60"/>
        <v>0</v>
      </c>
      <c r="AG35" s="2307">
        <f t="shared" ca="1" si="60"/>
        <v>0</v>
      </c>
      <c r="AH35" s="2307">
        <f t="shared" ca="1" si="60"/>
        <v>0</v>
      </c>
      <c r="AI35" s="2307">
        <f t="shared" ca="1" si="60"/>
        <v>0</v>
      </c>
      <c r="AJ35" s="2307">
        <f t="shared" ca="1" si="60"/>
        <v>-1372593.36</v>
      </c>
      <c r="AK35" s="2307">
        <f t="shared" ca="1" si="60"/>
        <v>0</v>
      </c>
      <c r="AL35" s="2308">
        <f t="shared" ca="1" si="60"/>
        <v>0</v>
      </c>
      <c r="AM35" s="2307">
        <f t="shared" ca="1" si="60"/>
        <v>0</v>
      </c>
      <c r="AN35" s="2307">
        <f t="shared" ca="1" si="60"/>
        <v>0</v>
      </c>
      <c r="AO35" s="2307">
        <f t="shared" ca="1" si="60"/>
        <v>0</v>
      </c>
      <c r="AP35" s="2307">
        <f t="shared" ca="1" si="60"/>
        <v>0</v>
      </c>
      <c r="AQ35" s="2307">
        <f t="shared" ca="1" si="60"/>
        <v>0</v>
      </c>
      <c r="AR35" s="2307">
        <f t="shared" ca="1" si="60"/>
        <v>0</v>
      </c>
      <c r="AS35" s="2307">
        <f t="shared" ca="1" si="60"/>
        <v>0</v>
      </c>
      <c r="AT35" s="2307">
        <f t="shared" ca="1" si="60"/>
        <v>0</v>
      </c>
      <c r="AU35" s="2307">
        <f t="shared" ca="1" si="60"/>
        <v>0</v>
      </c>
      <c r="AV35" s="2307">
        <f t="shared" ca="1" si="60"/>
        <v>0</v>
      </c>
      <c r="AW35" s="2307">
        <f t="shared" ca="1" si="60"/>
        <v>0</v>
      </c>
      <c r="AX35" s="2307">
        <f t="shared" ca="1" si="60"/>
        <v>0</v>
      </c>
      <c r="AY35" s="2307">
        <f t="shared" ca="1" si="60"/>
        <v>0</v>
      </c>
      <c r="AZ35" s="2307">
        <f t="shared" ca="1" si="60"/>
        <v>0</v>
      </c>
      <c r="BA35" s="2307">
        <f t="shared" ca="1" si="60"/>
        <v>0</v>
      </c>
      <c r="BB35" s="2307">
        <f t="shared" ca="1" si="60"/>
        <v>0</v>
      </c>
      <c r="BC35" s="2307">
        <f t="shared" ca="1" si="60"/>
        <v>0</v>
      </c>
      <c r="BD35" s="2307">
        <f t="shared" ca="1" si="60"/>
        <v>0</v>
      </c>
      <c r="BE35" s="2307">
        <f t="shared" ca="1" si="60"/>
        <v>0</v>
      </c>
      <c r="BF35" s="2307">
        <f t="shared" ca="1" si="60"/>
        <v>0</v>
      </c>
      <c r="BG35" s="2307">
        <f t="shared" ca="1" si="60"/>
        <v>0</v>
      </c>
      <c r="BH35" s="2307">
        <f t="shared" ca="1" si="60"/>
        <v>0</v>
      </c>
      <c r="BI35" s="2307">
        <f t="shared" ca="1" si="60"/>
        <v>0</v>
      </c>
      <c r="BJ35" s="2307">
        <f t="shared" ca="1" si="60"/>
        <v>0</v>
      </c>
      <c r="BK35" s="2307">
        <f t="shared" ca="1" si="60"/>
        <v>0</v>
      </c>
      <c r="BL35" s="2307">
        <f t="shared" ca="1" si="60"/>
        <v>0</v>
      </c>
      <c r="BM35" s="2307">
        <f t="shared" ca="1" si="60"/>
        <v>0</v>
      </c>
      <c r="BN35" s="2307">
        <f t="shared" ca="1" si="60"/>
        <v>0</v>
      </c>
      <c r="BO35" s="2307">
        <f t="shared" ca="1" si="60"/>
        <v>0</v>
      </c>
      <c r="BP35" s="2307">
        <f t="shared" ca="1" si="60"/>
        <v>0</v>
      </c>
      <c r="BQ35" s="2307">
        <f t="shared" ca="1" si="60"/>
        <v>0</v>
      </c>
      <c r="BR35" s="2307">
        <f t="shared" ca="1" si="60"/>
        <v>0</v>
      </c>
      <c r="BS35" s="2307">
        <f t="shared" ca="1" si="60"/>
        <v>0</v>
      </c>
      <c r="BT35" s="2307">
        <f t="shared" ca="1" si="60"/>
        <v>0</v>
      </c>
      <c r="BU35" s="2307">
        <f t="shared" ca="1" si="60"/>
        <v>0</v>
      </c>
      <c r="BV35" s="2307">
        <f t="shared" ca="1" si="60"/>
        <v>0</v>
      </c>
      <c r="BW35" s="2307">
        <f t="shared" ca="1" si="60"/>
        <v>0</v>
      </c>
      <c r="BX35" s="2307">
        <f t="shared" ca="1" si="60"/>
        <v>0</v>
      </c>
      <c r="BY35" s="2307">
        <f t="shared" ca="1" si="60"/>
        <v>0</v>
      </c>
      <c r="BZ35" s="2307">
        <f t="shared" ca="1" si="60"/>
        <v>0</v>
      </c>
      <c r="CA35" s="2307">
        <f t="shared" ca="1" si="60"/>
        <v>0</v>
      </c>
      <c r="CB35" s="2307">
        <f t="shared" ca="1" si="60"/>
        <v>0</v>
      </c>
      <c r="CC35" s="2307">
        <f t="shared" ca="1" si="60"/>
        <v>0</v>
      </c>
      <c r="CD35" s="2307">
        <f t="shared" ca="1" si="60"/>
        <v>0</v>
      </c>
      <c r="CE35" s="2307">
        <f t="shared" ca="1" si="60"/>
        <v>0</v>
      </c>
      <c r="CF35" s="2307">
        <f t="shared" ca="1" si="60"/>
        <v>0</v>
      </c>
      <c r="CG35" s="2307">
        <f t="shared" ca="1" si="60"/>
        <v>0</v>
      </c>
      <c r="CH35" s="2307">
        <f t="shared" ca="1" si="60"/>
        <v>0</v>
      </c>
      <c r="CI35" s="2307">
        <f t="shared" ca="1" si="60"/>
        <v>0</v>
      </c>
      <c r="CJ35" s="2307">
        <f t="shared" ca="1" si="60"/>
        <v>0</v>
      </c>
      <c r="CK35" s="2307">
        <f t="shared" ca="1" si="60"/>
        <v>0</v>
      </c>
      <c r="CL35" s="2307">
        <f t="shared" ca="1" si="60"/>
        <v>0</v>
      </c>
      <c r="CM35" s="2307">
        <f t="shared" ref="CM35:DP35" ca="1" si="89">IF($L35="",IF(OR($P35="",$R35=""),0,IF($R35=CM$6,$Q35,0)),IF($E35=CM$5,$M35,))</f>
        <v>0</v>
      </c>
      <c r="CN35" s="2307">
        <f t="shared" ca="1" si="89"/>
        <v>0</v>
      </c>
      <c r="CO35" s="2307">
        <f t="shared" ca="1" si="89"/>
        <v>0</v>
      </c>
      <c r="CP35" s="2307">
        <f t="shared" ca="1" si="89"/>
        <v>0</v>
      </c>
      <c r="CQ35" s="2307">
        <f t="shared" ca="1" si="89"/>
        <v>0</v>
      </c>
      <c r="CR35" s="2307">
        <f t="shared" ca="1" si="89"/>
        <v>0</v>
      </c>
      <c r="CS35" s="2307">
        <f t="shared" ca="1" si="89"/>
        <v>0</v>
      </c>
      <c r="CT35" s="2307">
        <f t="shared" ca="1" si="89"/>
        <v>0</v>
      </c>
      <c r="CU35" s="2307">
        <f t="shared" ca="1" si="89"/>
        <v>0</v>
      </c>
      <c r="CV35" s="2307">
        <f t="shared" ca="1" si="89"/>
        <v>0</v>
      </c>
      <c r="CW35" s="2307">
        <f t="shared" ca="1" si="89"/>
        <v>0</v>
      </c>
      <c r="CX35" s="2307">
        <f t="shared" ca="1" si="89"/>
        <v>0</v>
      </c>
      <c r="CY35" s="2307">
        <f t="shared" ca="1" si="89"/>
        <v>0</v>
      </c>
      <c r="CZ35" s="2307">
        <f t="shared" ca="1" si="89"/>
        <v>0</v>
      </c>
      <c r="DA35" s="2307">
        <f t="shared" ca="1" si="89"/>
        <v>0</v>
      </c>
      <c r="DB35" s="2307">
        <f t="shared" ca="1" si="89"/>
        <v>0</v>
      </c>
      <c r="DC35" s="2307">
        <f t="shared" ca="1" si="89"/>
        <v>0</v>
      </c>
      <c r="DD35" s="2307">
        <f t="shared" ca="1" si="89"/>
        <v>0</v>
      </c>
      <c r="DE35" s="2307">
        <f t="shared" ca="1" si="89"/>
        <v>0</v>
      </c>
      <c r="DF35" s="2307">
        <f t="shared" ca="1" si="89"/>
        <v>0</v>
      </c>
      <c r="DG35" s="2307">
        <f t="shared" ca="1" si="89"/>
        <v>0</v>
      </c>
      <c r="DH35" s="2307">
        <f t="shared" ca="1" si="89"/>
        <v>0</v>
      </c>
      <c r="DI35" s="2307">
        <f t="shared" ca="1" si="89"/>
        <v>0</v>
      </c>
      <c r="DJ35" s="2307">
        <f t="shared" ca="1" si="89"/>
        <v>0</v>
      </c>
      <c r="DK35" s="2307">
        <f t="shared" ca="1" si="89"/>
        <v>0</v>
      </c>
      <c r="DL35" s="2307">
        <f t="shared" ca="1" si="89"/>
        <v>0</v>
      </c>
      <c r="DM35" s="2307">
        <f t="shared" ca="1" si="89"/>
        <v>0</v>
      </c>
      <c r="DN35" s="2307">
        <f t="shared" ca="1" si="89"/>
        <v>0</v>
      </c>
      <c r="DO35" s="2307">
        <f t="shared" ca="1" si="89"/>
        <v>0</v>
      </c>
      <c r="DP35" s="2307">
        <f t="shared" ca="1" si="89"/>
        <v>0</v>
      </c>
      <c r="DR35" t="s">
        <v>290</v>
      </c>
    </row>
    <row r="36" spans="1:122" outlineLevel="1">
      <c r="A36" s="55">
        <v>1110052010</v>
      </c>
      <c r="B36" s="509" t="s">
        <v>2215</v>
      </c>
      <c r="C36" s="679" t="s">
        <v>64</v>
      </c>
      <c r="D36" s="1469">
        <v>1100002801</v>
      </c>
      <c r="E36" s="1470">
        <v>44957</v>
      </c>
      <c r="F36" s="416"/>
      <c r="G36" s="1251"/>
      <c r="H36" s="511"/>
      <c r="I36" s="1374"/>
      <c r="J36" s="1425">
        <v>1</v>
      </c>
      <c r="K36" s="1426">
        <v>1</v>
      </c>
      <c r="L36" s="419"/>
      <c r="M36" s="1337">
        <f t="shared" si="50"/>
        <v>0</v>
      </c>
      <c r="N36" s="504">
        <f ca="1">IF(OR(E36="",E36&gt;TODAY()),0,IF(ISERROR(VLOOKUP($E36,'TRM BanRep'!$A:$G,7,0)),0,VLOOKUP($E36,'TRM BanRep'!$A:$G,7,0)))</f>
        <v>4632.2</v>
      </c>
      <c r="O36" s="513">
        <f t="shared" ca="1" si="51"/>
        <v>0</v>
      </c>
      <c r="P36" s="514">
        <v>-3183.71</v>
      </c>
      <c r="Q36" s="514">
        <f t="shared" si="52"/>
        <v>-3183.71</v>
      </c>
      <c r="R36" s="515">
        <v>4693.99</v>
      </c>
      <c r="S36" s="515">
        <f ca="1">IF(OR(E36="",E36&gt;TODAY()),0,IF(ISERROR(VLOOKUP($E36,'TRM BanRep'!$A:$G,7,0)),0,VLOOKUP($E36,'TRM BanRep'!$A:$G,7,0)))</f>
        <v>4632.2</v>
      </c>
      <c r="T36" s="516">
        <f t="shared" ca="1" si="53"/>
        <v>-14747581.461999999</v>
      </c>
      <c r="U36" s="418">
        <f t="shared" si="54"/>
        <v>-3183.71</v>
      </c>
      <c r="V36" s="517">
        <f t="shared" ca="1" si="55"/>
        <v>-14944302.902899999</v>
      </c>
      <c r="W36" s="518">
        <f t="shared" ca="1" si="58"/>
        <v>196721.44089999981</v>
      </c>
      <c r="X36" s="975">
        <f t="shared" ca="1" si="59"/>
        <v>0</v>
      </c>
      <c r="Y36" s="519"/>
      <c r="Z36" s="1055"/>
      <c r="AA36" s="2309">
        <f t="shared" ca="1" si="60"/>
        <v>0</v>
      </c>
      <c r="AB36" s="2310">
        <f t="shared" ca="1" si="60"/>
        <v>0</v>
      </c>
      <c r="AC36" s="2310">
        <f t="shared" ca="1" si="60"/>
        <v>0</v>
      </c>
      <c r="AD36" s="2310">
        <f t="shared" ca="1" si="60"/>
        <v>0</v>
      </c>
      <c r="AE36" s="2310">
        <f t="shared" ca="1" si="60"/>
        <v>0</v>
      </c>
      <c r="AF36" s="2307">
        <f t="shared" ca="1" si="60"/>
        <v>0</v>
      </c>
      <c r="AG36" s="2307">
        <f t="shared" ca="1" si="60"/>
        <v>0</v>
      </c>
      <c r="AH36" s="2307">
        <f t="shared" ca="1" si="60"/>
        <v>0</v>
      </c>
      <c r="AI36" s="2307">
        <f t="shared" ca="1" si="60"/>
        <v>0</v>
      </c>
      <c r="AJ36" s="2307">
        <f ca="1">IF($L36="",IF(OR($P36="",$R36=""),0,IF($R36=AJ$6,$Q36,0)),IF($E36=AJ$5,$M36,))</f>
        <v>-3183.71</v>
      </c>
      <c r="AK36" s="2307">
        <f t="shared" ca="1" si="60"/>
        <v>0</v>
      </c>
      <c r="AL36" s="2308">
        <f t="shared" ca="1" si="60"/>
        <v>0</v>
      </c>
      <c r="AM36" s="2307">
        <f t="shared" ca="1" si="60"/>
        <v>0</v>
      </c>
      <c r="AN36" s="2307">
        <f t="shared" ca="1" si="60"/>
        <v>0</v>
      </c>
      <c r="AO36" s="2307">
        <f t="shared" ca="1" si="60"/>
        <v>0</v>
      </c>
      <c r="AP36" s="2307">
        <f t="shared" ca="1" si="60"/>
        <v>0</v>
      </c>
      <c r="AQ36" s="2307">
        <f t="shared" ca="1" si="60"/>
        <v>0</v>
      </c>
      <c r="AR36" s="2307">
        <f t="shared" ca="1" si="60"/>
        <v>0</v>
      </c>
      <c r="AS36" s="2307">
        <f t="shared" ca="1" si="60"/>
        <v>0</v>
      </c>
      <c r="AT36" s="2307">
        <f t="shared" ca="1" si="60"/>
        <v>0</v>
      </c>
      <c r="AU36" s="2307">
        <f t="shared" ca="1" si="60"/>
        <v>0</v>
      </c>
      <c r="AV36" s="2307">
        <f t="shared" ca="1" si="60"/>
        <v>0</v>
      </c>
      <c r="AW36" s="2307">
        <f t="shared" ca="1" si="60"/>
        <v>0</v>
      </c>
      <c r="AX36" s="2307">
        <f t="shared" ca="1" si="60"/>
        <v>0</v>
      </c>
      <c r="AY36" s="2307">
        <f t="shared" ca="1" si="60"/>
        <v>0</v>
      </c>
      <c r="AZ36" s="2307">
        <f t="shared" ca="1" si="60"/>
        <v>0</v>
      </c>
      <c r="BA36" s="2307">
        <f t="shared" ca="1" si="60"/>
        <v>0</v>
      </c>
      <c r="BB36" s="2307">
        <f t="shared" ca="1" si="60"/>
        <v>0</v>
      </c>
      <c r="BC36" s="2307">
        <f t="shared" ca="1" si="60"/>
        <v>0</v>
      </c>
      <c r="BD36" s="2307">
        <f t="shared" ca="1" si="60"/>
        <v>0</v>
      </c>
      <c r="BE36" s="2307">
        <f t="shared" ca="1" si="60"/>
        <v>0</v>
      </c>
      <c r="BF36" s="2307">
        <f t="shared" ca="1" si="60"/>
        <v>0</v>
      </c>
      <c r="BG36" s="2307">
        <f t="shared" ca="1" si="60"/>
        <v>0</v>
      </c>
      <c r="BH36" s="2307">
        <f t="shared" ca="1" si="60"/>
        <v>0</v>
      </c>
      <c r="BI36" s="2307">
        <f t="shared" ca="1" si="60"/>
        <v>0</v>
      </c>
      <c r="BJ36" s="2307">
        <f t="shared" ca="1" si="60"/>
        <v>0</v>
      </c>
      <c r="BK36" s="2307">
        <f t="shared" ca="1" si="60"/>
        <v>0</v>
      </c>
      <c r="BL36" s="2307">
        <f t="shared" ca="1" si="60"/>
        <v>0</v>
      </c>
      <c r="BM36" s="2307">
        <f t="shared" ca="1" si="60"/>
        <v>0</v>
      </c>
      <c r="BN36" s="2307">
        <f t="shared" ca="1" si="60"/>
        <v>0</v>
      </c>
      <c r="BO36" s="2307">
        <f t="shared" ca="1" si="60"/>
        <v>0</v>
      </c>
      <c r="BP36" s="2307">
        <f t="shared" ca="1" si="60"/>
        <v>0</v>
      </c>
      <c r="BQ36" s="2307">
        <f t="shared" ca="1" si="60"/>
        <v>0</v>
      </c>
      <c r="BR36" s="2307">
        <f t="shared" ca="1" si="60"/>
        <v>0</v>
      </c>
      <c r="BS36" s="2307">
        <f t="shared" ca="1" si="60"/>
        <v>0</v>
      </c>
      <c r="BT36" s="2307">
        <f t="shared" ca="1" si="60"/>
        <v>0</v>
      </c>
      <c r="BU36" s="2307">
        <f t="shared" ca="1" si="60"/>
        <v>0</v>
      </c>
      <c r="BV36" s="2307">
        <f t="shared" ca="1" si="60"/>
        <v>0</v>
      </c>
      <c r="BW36" s="2307">
        <f t="shared" ca="1" si="60"/>
        <v>0</v>
      </c>
      <c r="BX36" s="2307">
        <f t="shared" ca="1" si="60"/>
        <v>0</v>
      </c>
      <c r="BY36" s="2307">
        <f t="shared" ca="1" si="60"/>
        <v>0</v>
      </c>
      <c r="BZ36" s="2307">
        <f t="shared" ca="1" si="60"/>
        <v>0</v>
      </c>
      <c r="CA36" s="2307">
        <f t="shared" ca="1" si="60"/>
        <v>0</v>
      </c>
      <c r="CB36" s="2307">
        <f t="shared" ca="1" si="60"/>
        <v>0</v>
      </c>
      <c r="CC36" s="2307">
        <f t="shared" ca="1" si="60"/>
        <v>0</v>
      </c>
      <c r="CD36" s="2307">
        <f t="shared" ca="1" si="60"/>
        <v>0</v>
      </c>
      <c r="CE36" s="2307">
        <f t="shared" ca="1" si="60"/>
        <v>0</v>
      </c>
      <c r="CF36" s="2307">
        <f t="shared" ca="1" si="60"/>
        <v>0</v>
      </c>
      <c r="CG36" s="2307">
        <f t="shared" ca="1" si="60"/>
        <v>0</v>
      </c>
      <c r="CH36" s="2307">
        <f t="shared" ca="1" si="60"/>
        <v>0</v>
      </c>
      <c r="CI36" s="2307">
        <f t="shared" ca="1" si="60"/>
        <v>0</v>
      </c>
      <c r="CJ36" s="2307">
        <f t="shared" ca="1" si="60"/>
        <v>0</v>
      </c>
      <c r="CK36" s="2307">
        <f t="shared" ca="1" si="60"/>
        <v>0</v>
      </c>
      <c r="CL36" s="2307">
        <f t="shared" ca="1" si="60"/>
        <v>0</v>
      </c>
      <c r="CM36" s="2307">
        <f t="shared" ca="1" si="28"/>
        <v>0</v>
      </c>
      <c r="CN36" s="2307">
        <f t="shared" ca="1" si="28"/>
        <v>0</v>
      </c>
      <c r="CO36" s="2307">
        <f t="shared" ca="1" si="28"/>
        <v>0</v>
      </c>
      <c r="CP36" s="2307">
        <f t="shared" ca="1" si="28"/>
        <v>0</v>
      </c>
      <c r="CQ36" s="2307">
        <f t="shared" ca="1" si="28"/>
        <v>0</v>
      </c>
      <c r="CR36" s="2307">
        <f t="shared" ca="1" si="28"/>
        <v>0</v>
      </c>
      <c r="CS36" s="2307">
        <f t="shared" ca="1" si="28"/>
        <v>0</v>
      </c>
      <c r="CT36" s="2307">
        <f t="shared" ca="1" si="28"/>
        <v>0</v>
      </c>
      <c r="CU36" s="2307">
        <f t="shared" ca="1" si="28"/>
        <v>0</v>
      </c>
      <c r="CV36" s="2307">
        <f t="shared" ca="1" si="28"/>
        <v>0</v>
      </c>
      <c r="CW36" s="2307">
        <f t="shared" ca="1" si="28"/>
        <v>0</v>
      </c>
      <c r="CX36" s="2307">
        <f t="shared" ca="1" si="28"/>
        <v>0</v>
      </c>
      <c r="CY36" s="2307">
        <f t="shared" ca="1" si="28"/>
        <v>0</v>
      </c>
      <c r="CZ36" s="2307">
        <f t="shared" ca="1" si="28"/>
        <v>0</v>
      </c>
      <c r="DA36" s="2307">
        <f t="shared" ca="1" si="28"/>
        <v>0</v>
      </c>
      <c r="DB36" s="2307">
        <f t="shared" ca="1" si="28"/>
        <v>0</v>
      </c>
      <c r="DC36" s="2307">
        <f t="shared" ca="1" si="28"/>
        <v>0</v>
      </c>
      <c r="DD36" s="2307">
        <f t="shared" ca="1" si="28"/>
        <v>0</v>
      </c>
      <c r="DE36" s="2307">
        <f t="shared" ca="1" si="28"/>
        <v>0</v>
      </c>
      <c r="DF36" s="2307">
        <f t="shared" ca="1" si="28"/>
        <v>0</v>
      </c>
      <c r="DG36" s="2307">
        <f t="shared" ca="1" si="28"/>
        <v>0</v>
      </c>
      <c r="DH36" s="2307">
        <f t="shared" ca="1" si="28"/>
        <v>0</v>
      </c>
      <c r="DI36" s="2307">
        <f t="shared" ca="1" si="28"/>
        <v>0</v>
      </c>
      <c r="DJ36" s="2307">
        <f t="shared" ca="1" si="28"/>
        <v>0</v>
      </c>
      <c r="DK36" s="2307">
        <f t="shared" ca="1" si="28"/>
        <v>0</v>
      </c>
      <c r="DL36" s="2307">
        <f t="shared" ca="1" si="28"/>
        <v>0</v>
      </c>
      <c r="DM36" s="2307">
        <f t="shared" ca="1" si="28"/>
        <v>0</v>
      </c>
      <c r="DN36" s="2307">
        <f t="shared" ca="1" si="28"/>
        <v>0</v>
      </c>
      <c r="DO36" s="2307">
        <f t="shared" ca="1" si="28"/>
        <v>0</v>
      </c>
      <c r="DP36" s="2307">
        <f t="shared" ca="1" si="28"/>
        <v>0</v>
      </c>
      <c r="DR36" t="s">
        <v>290</v>
      </c>
    </row>
    <row r="37" spans="1:122" outlineLevel="1">
      <c r="A37" s="1886"/>
      <c r="B37" s="1887"/>
      <c r="C37" s="1512"/>
      <c r="D37" s="1538"/>
      <c r="E37" s="1539"/>
      <c r="F37" s="1703"/>
      <c r="G37" s="1704"/>
      <c r="H37" s="1705"/>
      <c r="I37" s="1888"/>
      <c r="J37" s="1706"/>
      <c r="K37" s="1707"/>
      <c r="L37" s="1889"/>
      <c r="M37" s="1600"/>
      <c r="N37" s="504">
        <f ca="1">IF(OR(E37="",E37&gt;TODAY()),0,IF(ISERROR(VLOOKUP($E37,'TRM BanRep'!$A:$G,7,0)),0,VLOOKUP($E37,'TRM BanRep'!$A:$G,7,0)))</f>
        <v>0</v>
      </c>
      <c r="O37" s="1890"/>
      <c r="P37" s="1708"/>
      <c r="Q37" s="1708"/>
      <c r="R37" s="1709"/>
      <c r="S37" s="515">
        <f ca="1">IF(OR(E37="",E37&gt;TODAY()),0,IF(ISERROR(VLOOKUP($E37,'TRM BanRep'!$A:$G,7,0)),0,VLOOKUP($E37,'TRM BanRep'!$A:$G,7,0)))</f>
        <v>0</v>
      </c>
      <c r="T37" s="516">
        <f t="shared" ca="1" si="2"/>
        <v>0</v>
      </c>
      <c r="U37" s="418">
        <f t="shared" si="7"/>
        <v>0</v>
      </c>
      <c r="V37" s="517">
        <f t="shared" ca="1" si="8"/>
        <v>0</v>
      </c>
      <c r="W37" s="1891"/>
      <c r="X37" s="1710"/>
      <c r="Y37" s="1711"/>
      <c r="Z37" s="1055"/>
      <c r="AA37" s="2311">
        <f t="shared" si="15"/>
        <v>0</v>
      </c>
      <c r="AB37" s="2312">
        <f t="shared" si="15"/>
        <v>0</v>
      </c>
      <c r="AC37" s="2312">
        <f t="shared" si="15"/>
        <v>0</v>
      </c>
      <c r="AD37" s="2312">
        <f t="shared" si="15"/>
        <v>0</v>
      </c>
      <c r="AE37" s="2312">
        <f t="shared" si="15"/>
        <v>0</v>
      </c>
      <c r="AF37" s="2308">
        <f t="shared" si="15"/>
        <v>0</v>
      </c>
      <c r="AG37" s="2308">
        <f t="shared" si="15"/>
        <v>0</v>
      </c>
      <c r="AH37" s="2308">
        <f t="shared" si="15"/>
        <v>0</v>
      </c>
      <c r="AI37" s="2308">
        <f t="shared" si="15"/>
        <v>0</v>
      </c>
      <c r="AJ37" s="2308">
        <f>IF($L37="",IF(OR($P37="",$R37=""),0,IF($R37=AJ$6,$Q37,0)),IF($E37=AJ$5,$M37,))</f>
        <v>0</v>
      </c>
      <c r="AK37" s="2308">
        <f t="shared" si="15"/>
        <v>0</v>
      </c>
      <c r="AL37" s="2308">
        <f t="shared" si="15"/>
        <v>0</v>
      </c>
      <c r="AM37" s="2308">
        <f t="shared" si="15"/>
        <v>0</v>
      </c>
      <c r="AN37" s="2308">
        <f t="shared" si="15"/>
        <v>0</v>
      </c>
      <c r="AO37" s="2308">
        <f t="shared" si="15"/>
        <v>0</v>
      </c>
      <c r="AP37" s="2308">
        <f t="shared" si="15"/>
        <v>0</v>
      </c>
      <c r="AQ37" s="2308">
        <f t="shared" si="15"/>
        <v>0</v>
      </c>
      <c r="AR37" s="2308">
        <f t="shared" si="15"/>
        <v>0</v>
      </c>
      <c r="AS37" s="2308">
        <f t="shared" si="15"/>
        <v>0</v>
      </c>
      <c r="AT37" s="2308">
        <f t="shared" si="15"/>
        <v>0</v>
      </c>
      <c r="AU37" s="2308">
        <f t="shared" si="15"/>
        <v>0</v>
      </c>
      <c r="AV37" s="2308">
        <f t="shared" si="15"/>
        <v>0</v>
      </c>
      <c r="AW37" s="2308">
        <f t="shared" si="15"/>
        <v>0</v>
      </c>
      <c r="AX37" s="2308">
        <f t="shared" si="15"/>
        <v>0</v>
      </c>
      <c r="AY37" s="2308">
        <f t="shared" si="15"/>
        <v>0</v>
      </c>
      <c r="AZ37" s="2308">
        <f t="shared" si="15"/>
        <v>0</v>
      </c>
      <c r="BA37" s="2308">
        <f t="shared" si="15"/>
        <v>0</v>
      </c>
      <c r="BB37" s="2308">
        <f t="shared" si="15"/>
        <v>0</v>
      </c>
      <c r="BC37" s="2308">
        <f t="shared" si="15"/>
        <v>0</v>
      </c>
      <c r="BD37" s="2308">
        <f t="shared" si="15"/>
        <v>0</v>
      </c>
      <c r="BE37" s="2308">
        <f t="shared" si="15"/>
        <v>0</v>
      </c>
      <c r="BF37" s="2308">
        <f t="shared" si="15"/>
        <v>0</v>
      </c>
      <c r="BG37" s="2308">
        <f t="shared" si="15"/>
        <v>0</v>
      </c>
      <c r="BH37" s="2308">
        <f t="shared" si="15"/>
        <v>0</v>
      </c>
      <c r="BI37" s="2308">
        <f t="shared" si="15"/>
        <v>0</v>
      </c>
      <c r="BJ37" s="2308">
        <f t="shared" si="15"/>
        <v>0</v>
      </c>
      <c r="BK37" s="2308">
        <f t="shared" si="15"/>
        <v>0</v>
      </c>
      <c r="BL37" s="2308">
        <f t="shared" si="15"/>
        <v>0</v>
      </c>
      <c r="BM37" s="2308">
        <f t="shared" si="15"/>
        <v>0</v>
      </c>
      <c r="BN37" s="2308">
        <f t="shared" si="15"/>
        <v>0</v>
      </c>
      <c r="BO37" s="2308">
        <f t="shared" si="15"/>
        <v>0</v>
      </c>
      <c r="BP37" s="2308">
        <f t="shared" si="15"/>
        <v>0</v>
      </c>
      <c r="BQ37" s="2308">
        <f t="shared" si="15"/>
        <v>0</v>
      </c>
      <c r="BR37" s="2308">
        <f t="shared" si="15"/>
        <v>0</v>
      </c>
      <c r="BS37" s="2308">
        <f t="shared" si="15"/>
        <v>0</v>
      </c>
      <c r="BT37" s="2308">
        <f t="shared" si="15"/>
        <v>0</v>
      </c>
      <c r="BU37" s="2308">
        <f t="shared" si="15"/>
        <v>0</v>
      </c>
      <c r="BV37" s="2308">
        <f t="shared" si="15"/>
        <v>0</v>
      </c>
      <c r="BW37" s="2308">
        <f t="shared" si="15"/>
        <v>0</v>
      </c>
      <c r="BX37" s="2308">
        <f t="shared" si="15"/>
        <v>0</v>
      </c>
      <c r="BY37" s="2308">
        <f t="shared" si="15"/>
        <v>0</v>
      </c>
      <c r="BZ37" s="2308">
        <f t="shared" si="15"/>
        <v>0</v>
      </c>
      <c r="CA37" s="2308">
        <f t="shared" si="15"/>
        <v>0</v>
      </c>
      <c r="CB37" s="2308">
        <f t="shared" si="15"/>
        <v>0</v>
      </c>
      <c r="CC37" s="2308">
        <f t="shared" si="15"/>
        <v>0</v>
      </c>
      <c r="CD37" s="2308">
        <f t="shared" si="15"/>
        <v>0</v>
      </c>
      <c r="CE37" s="2308">
        <f t="shared" si="15"/>
        <v>0</v>
      </c>
      <c r="CF37" s="2308">
        <f t="shared" si="15"/>
        <v>0</v>
      </c>
      <c r="CG37" s="2308">
        <f t="shared" si="15"/>
        <v>0</v>
      </c>
      <c r="CH37" s="2308">
        <f t="shared" si="15"/>
        <v>0</v>
      </c>
      <c r="CI37" s="2308">
        <f t="shared" si="15"/>
        <v>0</v>
      </c>
      <c r="CJ37" s="2308">
        <f t="shared" si="15"/>
        <v>0</v>
      </c>
      <c r="CK37" s="2308">
        <f t="shared" si="15"/>
        <v>0</v>
      </c>
      <c r="CL37" s="2308">
        <f t="shared" si="15"/>
        <v>0</v>
      </c>
      <c r="CM37" s="2308">
        <f t="shared" si="14"/>
        <v>0</v>
      </c>
      <c r="CN37" s="2308">
        <f t="shared" si="14"/>
        <v>0</v>
      </c>
      <c r="CO37" s="2308">
        <f t="shared" si="14"/>
        <v>0</v>
      </c>
      <c r="CP37" s="2308">
        <f t="shared" si="14"/>
        <v>0</v>
      </c>
      <c r="CQ37" s="2308">
        <f t="shared" si="14"/>
        <v>0</v>
      </c>
      <c r="CR37" s="2308">
        <f t="shared" si="14"/>
        <v>0</v>
      </c>
      <c r="CS37" s="2308">
        <f t="shared" si="14"/>
        <v>0</v>
      </c>
      <c r="CT37" s="2308">
        <f t="shared" si="14"/>
        <v>0</v>
      </c>
      <c r="CU37" s="2308">
        <f t="shared" si="14"/>
        <v>0</v>
      </c>
      <c r="CV37" s="2308">
        <f t="shared" si="14"/>
        <v>0</v>
      </c>
      <c r="CW37" s="2308">
        <f t="shared" si="14"/>
        <v>0</v>
      </c>
      <c r="CX37" s="2308">
        <f t="shared" si="14"/>
        <v>0</v>
      </c>
      <c r="CY37" s="2308">
        <f t="shared" si="14"/>
        <v>0</v>
      </c>
      <c r="CZ37" s="2308">
        <f t="shared" si="14"/>
        <v>0</v>
      </c>
      <c r="DA37" s="2308">
        <f t="shared" si="14"/>
        <v>0</v>
      </c>
      <c r="DB37" s="2308">
        <f t="shared" si="14"/>
        <v>0</v>
      </c>
      <c r="DC37" s="2308">
        <f t="shared" si="14"/>
        <v>0</v>
      </c>
      <c r="DD37" s="2308">
        <f t="shared" si="14"/>
        <v>0</v>
      </c>
      <c r="DE37" s="2308">
        <f t="shared" si="14"/>
        <v>0</v>
      </c>
      <c r="DF37" s="2308">
        <f t="shared" si="14"/>
        <v>0</v>
      </c>
      <c r="DG37" s="2308">
        <f t="shared" si="14"/>
        <v>0</v>
      </c>
      <c r="DH37" s="2308">
        <f t="shared" si="14"/>
        <v>0</v>
      </c>
      <c r="DI37" s="2308">
        <f t="shared" si="14"/>
        <v>0</v>
      </c>
      <c r="DJ37" s="2308">
        <f t="shared" si="14"/>
        <v>0</v>
      </c>
      <c r="DK37" s="2308">
        <f t="shared" si="14"/>
        <v>0</v>
      </c>
      <c r="DL37" s="2308">
        <f t="shared" si="14"/>
        <v>0</v>
      </c>
      <c r="DM37" s="2308">
        <f t="shared" si="14"/>
        <v>0</v>
      </c>
      <c r="DN37" s="2308">
        <f t="shared" si="14"/>
        <v>0</v>
      </c>
      <c r="DO37" s="2308">
        <f t="shared" si="14"/>
        <v>0</v>
      </c>
      <c r="DP37" s="2308">
        <f t="shared" si="14"/>
        <v>0</v>
      </c>
      <c r="DR37" t="s">
        <v>290</v>
      </c>
    </row>
    <row r="38" spans="1:122" outlineLevel="1">
      <c r="A38" s="55"/>
      <c r="B38" s="509"/>
      <c r="C38" s="679"/>
      <c r="D38" s="1469"/>
      <c r="E38" s="1470"/>
      <c r="F38" s="416"/>
      <c r="G38" s="1251"/>
      <c r="H38" s="511"/>
      <c r="I38" s="1374"/>
      <c r="J38" s="1424"/>
      <c r="K38" s="1190"/>
      <c r="L38" s="419"/>
      <c r="M38" s="1337"/>
      <c r="N38" s="504"/>
      <c r="O38" s="513"/>
      <c r="P38" s="514"/>
      <c r="Q38" s="514"/>
      <c r="R38" s="515"/>
      <c r="S38" s="515"/>
      <c r="T38" s="516"/>
      <c r="U38" s="418">
        <f t="shared" si="7"/>
        <v>0</v>
      </c>
      <c r="V38" s="517">
        <f t="shared" si="8"/>
        <v>0</v>
      </c>
      <c r="W38" s="518">
        <f>IF((-P38*R38)-(-P38*S38)&gt;0,(-P38*R38)-(-P38*S38),0)</f>
        <v>0</v>
      </c>
      <c r="X38" s="975">
        <f>IF((-P38*R38)-(-P38*S38)&lt;0,(-P38*R38)-(-P38*S38),0)</f>
        <v>0</v>
      </c>
      <c r="Y38" s="519"/>
      <c r="Z38" s="1055"/>
      <c r="AA38" s="2309">
        <f t="shared" ref="AA38:CL38" si="90">IF($L38="",IF(OR($P38="",$R38=""),0,IF($R38=AA$6,$Q38,0)),IF($E38=AA$5,$M38,))</f>
        <v>0</v>
      </c>
      <c r="AB38" s="2310">
        <f t="shared" si="90"/>
        <v>0</v>
      </c>
      <c r="AC38" s="2310">
        <f t="shared" si="90"/>
        <v>0</v>
      </c>
      <c r="AD38" s="2310">
        <f t="shared" si="90"/>
        <v>0</v>
      </c>
      <c r="AE38" s="2310">
        <f t="shared" si="90"/>
        <v>0</v>
      </c>
      <c r="AF38" s="2307">
        <f t="shared" si="90"/>
        <v>0</v>
      </c>
      <c r="AG38" s="2307">
        <f t="shared" si="90"/>
        <v>0</v>
      </c>
      <c r="AH38" s="2307">
        <f t="shared" si="90"/>
        <v>0</v>
      </c>
      <c r="AI38" s="2307">
        <f t="shared" si="90"/>
        <v>0</v>
      </c>
      <c r="AJ38" s="2307">
        <f t="shared" si="90"/>
        <v>0</v>
      </c>
      <c r="AK38" s="2307">
        <f t="shared" si="90"/>
        <v>0</v>
      </c>
      <c r="AL38" s="2308">
        <f t="shared" si="90"/>
        <v>0</v>
      </c>
      <c r="AM38" s="2307">
        <f t="shared" si="90"/>
        <v>0</v>
      </c>
      <c r="AN38" s="2307">
        <f t="shared" si="90"/>
        <v>0</v>
      </c>
      <c r="AO38" s="2307">
        <f t="shared" si="90"/>
        <v>0</v>
      </c>
      <c r="AP38" s="2307">
        <f t="shared" si="90"/>
        <v>0</v>
      </c>
      <c r="AQ38" s="2307">
        <f t="shared" si="90"/>
        <v>0</v>
      </c>
      <c r="AR38" s="2307">
        <f t="shared" si="90"/>
        <v>0</v>
      </c>
      <c r="AS38" s="2307">
        <f t="shared" si="90"/>
        <v>0</v>
      </c>
      <c r="AT38" s="2307">
        <f t="shared" si="90"/>
        <v>0</v>
      </c>
      <c r="AU38" s="2307">
        <f t="shared" si="90"/>
        <v>0</v>
      </c>
      <c r="AV38" s="2307">
        <f t="shared" si="90"/>
        <v>0</v>
      </c>
      <c r="AW38" s="2307">
        <f t="shared" si="90"/>
        <v>0</v>
      </c>
      <c r="AX38" s="2307">
        <f t="shared" si="90"/>
        <v>0</v>
      </c>
      <c r="AY38" s="2307">
        <f t="shared" si="90"/>
        <v>0</v>
      </c>
      <c r="AZ38" s="2307">
        <f t="shared" si="90"/>
        <v>0</v>
      </c>
      <c r="BA38" s="2307">
        <f t="shared" si="90"/>
        <v>0</v>
      </c>
      <c r="BB38" s="2307">
        <f t="shared" si="90"/>
        <v>0</v>
      </c>
      <c r="BC38" s="2307">
        <f t="shared" si="90"/>
        <v>0</v>
      </c>
      <c r="BD38" s="2307">
        <f t="shared" si="90"/>
        <v>0</v>
      </c>
      <c r="BE38" s="2307">
        <f t="shared" si="90"/>
        <v>0</v>
      </c>
      <c r="BF38" s="2307">
        <f t="shared" si="90"/>
        <v>0</v>
      </c>
      <c r="BG38" s="2307">
        <f t="shared" si="90"/>
        <v>0</v>
      </c>
      <c r="BH38" s="2307">
        <f t="shared" si="90"/>
        <v>0</v>
      </c>
      <c r="BI38" s="2307">
        <f t="shared" si="90"/>
        <v>0</v>
      </c>
      <c r="BJ38" s="2307">
        <f t="shared" si="90"/>
        <v>0</v>
      </c>
      <c r="BK38" s="2307">
        <f t="shared" si="90"/>
        <v>0</v>
      </c>
      <c r="BL38" s="2307">
        <f t="shared" si="90"/>
        <v>0</v>
      </c>
      <c r="BM38" s="2307">
        <f t="shared" si="90"/>
        <v>0</v>
      </c>
      <c r="BN38" s="2307">
        <f t="shared" si="90"/>
        <v>0</v>
      </c>
      <c r="BO38" s="2307">
        <f t="shared" si="90"/>
        <v>0</v>
      </c>
      <c r="BP38" s="2307">
        <f t="shared" si="90"/>
        <v>0</v>
      </c>
      <c r="BQ38" s="2307">
        <f t="shared" si="90"/>
        <v>0</v>
      </c>
      <c r="BR38" s="2307">
        <f t="shared" si="90"/>
        <v>0</v>
      </c>
      <c r="BS38" s="2307">
        <f t="shared" si="90"/>
        <v>0</v>
      </c>
      <c r="BT38" s="2307">
        <f t="shared" si="90"/>
        <v>0</v>
      </c>
      <c r="BU38" s="2307">
        <f t="shared" si="90"/>
        <v>0</v>
      </c>
      <c r="BV38" s="2307">
        <f t="shared" si="90"/>
        <v>0</v>
      </c>
      <c r="BW38" s="2307">
        <f t="shared" si="90"/>
        <v>0</v>
      </c>
      <c r="BX38" s="2307">
        <f t="shared" si="90"/>
        <v>0</v>
      </c>
      <c r="BY38" s="2307">
        <f t="shared" si="90"/>
        <v>0</v>
      </c>
      <c r="BZ38" s="2307">
        <f t="shared" si="90"/>
        <v>0</v>
      </c>
      <c r="CA38" s="2307">
        <f t="shared" si="90"/>
        <v>0</v>
      </c>
      <c r="CB38" s="2307">
        <f t="shared" si="90"/>
        <v>0</v>
      </c>
      <c r="CC38" s="2307">
        <f t="shared" si="90"/>
        <v>0</v>
      </c>
      <c r="CD38" s="2307">
        <f t="shared" si="90"/>
        <v>0</v>
      </c>
      <c r="CE38" s="2307">
        <f t="shared" si="90"/>
        <v>0</v>
      </c>
      <c r="CF38" s="2307">
        <f t="shared" si="90"/>
        <v>0</v>
      </c>
      <c r="CG38" s="2307">
        <f t="shared" si="90"/>
        <v>0</v>
      </c>
      <c r="CH38" s="2307">
        <f t="shared" si="90"/>
        <v>0</v>
      </c>
      <c r="CI38" s="2307">
        <f t="shared" si="90"/>
        <v>0</v>
      </c>
      <c r="CJ38" s="2307">
        <f t="shared" si="90"/>
        <v>0</v>
      </c>
      <c r="CK38" s="2307">
        <f t="shared" si="90"/>
        <v>0</v>
      </c>
      <c r="CL38" s="2307">
        <f t="shared" si="90"/>
        <v>0</v>
      </c>
      <c r="CM38" s="2307">
        <f t="shared" ref="CM38:DP38" si="91">IF($L38="",IF(OR($P38="",$R38=""),0,IF($R38=CM$6,$Q38,0)),IF($E38=CM$5,$M38,))</f>
        <v>0</v>
      </c>
      <c r="CN38" s="2307">
        <f t="shared" si="91"/>
        <v>0</v>
      </c>
      <c r="CO38" s="2307">
        <f t="shared" si="91"/>
        <v>0</v>
      </c>
      <c r="CP38" s="2307">
        <f t="shared" si="91"/>
        <v>0</v>
      </c>
      <c r="CQ38" s="2307">
        <f t="shared" si="91"/>
        <v>0</v>
      </c>
      <c r="CR38" s="2307">
        <f t="shared" si="91"/>
        <v>0</v>
      </c>
      <c r="CS38" s="2307">
        <f t="shared" si="91"/>
        <v>0</v>
      </c>
      <c r="CT38" s="2307">
        <f t="shared" si="91"/>
        <v>0</v>
      </c>
      <c r="CU38" s="2307">
        <f t="shared" si="91"/>
        <v>0</v>
      </c>
      <c r="CV38" s="2307">
        <f t="shared" si="91"/>
        <v>0</v>
      </c>
      <c r="CW38" s="2307">
        <f t="shared" si="91"/>
        <v>0</v>
      </c>
      <c r="CX38" s="2307">
        <f t="shared" si="91"/>
        <v>0</v>
      </c>
      <c r="CY38" s="2307">
        <f t="shared" si="91"/>
        <v>0</v>
      </c>
      <c r="CZ38" s="2307">
        <f t="shared" si="91"/>
        <v>0</v>
      </c>
      <c r="DA38" s="2307">
        <f t="shared" si="91"/>
        <v>0</v>
      </c>
      <c r="DB38" s="2307">
        <f t="shared" si="91"/>
        <v>0</v>
      </c>
      <c r="DC38" s="2307">
        <f t="shared" si="91"/>
        <v>0</v>
      </c>
      <c r="DD38" s="2307">
        <f t="shared" si="91"/>
        <v>0</v>
      </c>
      <c r="DE38" s="2307">
        <f t="shared" si="91"/>
        <v>0</v>
      </c>
      <c r="DF38" s="2307">
        <f t="shared" si="91"/>
        <v>0</v>
      </c>
      <c r="DG38" s="2307">
        <f t="shared" si="91"/>
        <v>0</v>
      </c>
      <c r="DH38" s="2307">
        <f t="shared" si="91"/>
        <v>0</v>
      </c>
      <c r="DI38" s="2307">
        <f t="shared" si="91"/>
        <v>0</v>
      </c>
      <c r="DJ38" s="2307">
        <f t="shared" si="91"/>
        <v>0</v>
      </c>
      <c r="DK38" s="2307">
        <f t="shared" si="91"/>
        <v>0</v>
      </c>
      <c r="DL38" s="2307">
        <f t="shared" si="91"/>
        <v>0</v>
      </c>
      <c r="DM38" s="2307">
        <f t="shared" si="91"/>
        <v>0</v>
      </c>
      <c r="DN38" s="2307">
        <f t="shared" si="91"/>
        <v>0</v>
      </c>
      <c r="DO38" s="2307">
        <f t="shared" si="91"/>
        <v>0</v>
      </c>
      <c r="DP38" s="2307">
        <f t="shared" si="91"/>
        <v>0</v>
      </c>
      <c r="DR38" t="s">
        <v>290</v>
      </c>
    </row>
    <row r="39" spans="1:122" ht="19.5" thickBot="1">
      <c r="A39" s="62" t="s">
        <v>226</v>
      </c>
      <c r="B39" s="63"/>
      <c r="C39" s="184"/>
      <c r="D39" s="1473"/>
      <c r="E39" s="1474"/>
      <c r="F39" s="66">
        <f>SUM(F10:F38)</f>
        <v>0</v>
      </c>
      <c r="G39" s="1253"/>
      <c r="H39" s="67"/>
      <c r="I39" s="76">
        <f>SUM(I10:I38)</f>
        <v>0</v>
      </c>
      <c r="J39" s="1376"/>
      <c r="K39" s="76"/>
      <c r="L39" s="1051">
        <f>SUM(L10:L38)</f>
        <v>41339310.68</v>
      </c>
      <c r="M39" s="1598">
        <f>SUM(M10:M38)</f>
        <v>41339310.68</v>
      </c>
      <c r="N39" s="70"/>
      <c r="O39" s="71">
        <f ca="1">SUM(O10:O38)</f>
        <v>196816811875.53781</v>
      </c>
      <c r="P39" s="72">
        <f>SUM(P10:P38)</f>
        <v>-54751751.310000002</v>
      </c>
      <c r="Q39" s="1339">
        <f>SUM(Q10:Q38)</f>
        <v>-54751751.310000002</v>
      </c>
      <c r="R39" s="73"/>
      <c r="S39" s="73"/>
      <c r="T39" s="74">
        <f ca="1">SUM(T10:T38)</f>
        <v>-259776662009.1839</v>
      </c>
      <c r="U39" s="75">
        <f>SUM(U10:U38)</f>
        <v>-13412440.630000003</v>
      </c>
      <c r="V39" s="76">
        <f ca="1">SUM(V10:V38)</f>
        <v>-63964652102.960304</v>
      </c>
      <c r="W39" s="77">
        <f ca="1">SUM(W10:W38)</f>
        <v>1826532777.2881975</v>
      </c>
      <c r="X39" s="78">
        <f ca="1">SUM(X10:X38)</f>
        <v>-821730807.9740026</v>
      </c>
      <c r="Y39" s="43"/>
      <c r="AA39" s="2315">
        <f t="shared" ref="AA39:BF39" ca="1" si="92">SUM(AA8:AA38)</f>
        <v>-2.7939677238464355E-9</v>
      </c>
      <c r="AB39" s="2316">
        <f t="shared" ca="1" si="92"/>
        <v>0</v>
      </c>
      <c r="AC39" s="2316">
        <f t="shared" ca="1" si="92"/>
        <v>0</v>
      </c>
      <c r="AD39" s="2316">
        <f t="shared" ca="1" si="92"/>
        <v>0</v>
      </c>
      <c r="AE39" s="2316">
        <f t="shared" ca="1" si="92"/>
        <v>0</v>
      </c>
      <c r="AF39" s="2316">
        <f t="shared" ca="1" si="92"/>
        <v>0</v>
      </c>
      <c r="AG39" s="2316">
        <f t="shared" ca="1" si="92"/>
        <v>0</v>
      </c>
      <c r="AH39" s="2316">
        <f t="shared" ca="1" si="92"/>
        <v>0</v>
      </c>
      <c r="AI39" s="2316">
        <f t="shared" ca="1" si="92"/>
        <v>0</v>
      </c>
      <c r="AJ39" s="2316">
        <f t="shared" ca="1" si="92"/>
        <v>1701721.5399999998</v>
      </c>
      <c r="AK39" s="2316">
        <f t="shared" ca="1" si="92"/>
        <v>0</v>
      </c>
      <c r="AL39" s="2316">
        <f t="shared" ca="1" si="92"/>
        <v>0</v>
      </c>
      <c r="AM39" s="2316">
        <f t="shared" ca="1" si="92"/>
        <v>0</v>
      </c>
      <c r="AN39" s="2316">
        <f t="shared" ca="1" si="92"/>
        <v>0</v>
      </c>
      <c r="AO39" s="2316">
        <f t="shared" ca="1" si="92"/>
        <v>0</v>
      </c>
      <c r="AP39" s="2316">
        <f t="shared" ca="1" si="92"/>
        <v>0</v>
      </c>
      <c r="AQ39" s="2316">
        <f t="shared" ca="1" si="92"/>
        <v>0</v>
      </c>
      <c r="AR39" s="2316">
        <f t="shared" ca="1" si="92"/>
        <v>0</v>
      </c>
      <c r="AS39" s="2316">
        <f t="shared" ca="1" si="92"/>
        <v>0</v>
      </c>
      <c r="AT39" s="2316">
        <f t="shared" ca="1" si="92"/>
        <v>0</v>
      </c>
      <c r="AU39" s="2316">
        <f t="shared" ca="1" si="92"/>
        <v>0</v>
      </c>
      <c r="AV39" s="2316">
        <f t="shared" ca="1" si="92"/>
        <v>0</v>
      </c>
      <c r="AW39" s="2316">
        <f t="shared" ca="1" si="92"/>
        <v>0</v>
      </c>
      <c r="AX39" s="2316">
        <f t="shared" ca="1" si="92"/>
        <v>0</v>
      </c>
      <c r="AY39" s="2316">
        <f t="shared" ca="1" si="92"/>
        <v>0</v>
      </c>
      <c r="AZ39" s="2316">
        <f t="shared" ca="1" si="92"/>
        <v>0</v>
      </c>
      <c r="BA39" s="2316">
        <f t="shared" ca="1" si="92"/>
        <v>0</v>
      </c>
      <c r="BB39" s="2316">
        <f t="shared" ca="1" si="92"/>
        <v>0</v>
      </c>
      <c r="BC39" s="2316">
        <f t="shared" ca="1" si="92"/>
        <v>0</v>
      </c>
      <c r="BD39" s="2316">
        <f t="shared" ca="1" si="92"/>
        <v>0</v>
      </c>
      <c r="BE39" s="2316">
        <f t="shared" ca="1" si="92"/>
        <v>0</v>
      </c>
      <c r="BF39" s="2316">
        <f t="shared" ca="1" si="92"/>
        <v>0</v>
      </c>
      <c r="BG39" s="2316">
        <f t="shared" ref="BG39:CL39" ca="1" si="93">SUM(BG8:BG38)</f>
        <v>0</v>
      </c>
      <c r="BH39" s="2316">
        <f t="shared" ca="1" si="93"/>
        <v>0</v>
      </c>
      <c r="BI39" s="2316">
        <f t="shared" ca="1" si="93"/>
        <v>0</v>
      </c>
      <c r="BJ39" s="2316">
        <f t="shared" ca="1" si="93"/>
        <v>0</v>
      </c>
      <c r="BK39" s="2316">
        <f t="shared" ca="1" si="93"/>
        <v>0</v>
      </c>
      <c r="BL39" s="2316">
        <f t="shared" ca="1" si="93"/>
        <v>0</v>
      </c>
      <c r="BM39" s="2316">
        <f t="shared" ca="1" si="93"/>
        <v>0</v>
      </c>
      <c r="BN39" s="2316">
        <f t="shared" ca="1" si="93"/>
        <v>0</v>
      </c>
      <c r="BO39" s="2316">
        <f t="shared" ca="1" si="93"/>
        <v>0</v>
      </c>
      <c r="BP39" s="2316">
        <f t="shared" ca="1" si="93"/>
        <v>0</v>
      </c>
      <c r="BQ39" s="2316">
        <f t="shared" ca="1" si="93"/>
        <v>0</v>
      </c>
      <c r="BR39" s="2316">
        <f t="shared" ca="1" si="93"/>
        <v>0</v>
      </c>
      <c r="BS39" s="2316">
        <f t="shared" ca="1" si="93"/>
        <v>0</v>
      </c>
      <c r="BT39" s="2316">
        <f t="shared" ca="1" si="93"/>
        <v>0</v>
      </c>
      <c r="BU39" s="2316">
        <f t="shared" ca="1" si="93"/>
        <v>0</v>
      </c>
      <c r="BV39" s="2316">
        <f t="shared" ca="1" si="93"/>
        <v>0</v>
      </c>
      <c r="BW39" s="2316">
        <f t="shared" ca="1" si="93"/>
        <v>0</v>
      </c>
      <c r="BX39" s="2316">
        <f t="shared" ca="1" si="93"/>
        <v>0</v>
      </c>
      <c r="BY39" s="2316">
        <f t="shared" ca="1" si="93"/>
        <v>0</v>
      </c>
      <c r="BZ39" s="2316">
        <f t="shared" ca="1" si="93"/>
        <v>0</v>
      </c>
      <c r="CA39" s="2316">
        <f t="shared" ca="1" si="93"/>
        <v>0</v>
      </c>
      <c r="CB39" s="2316">
        <f t="shared" ca="1" si="93"/>
        <v>0</v>
      </c>
      <c r="CC39" s="2316">
        <f t="shared" ca="1" si="93"/>
        <v>0</v>
      </c>
      <c r="CD39" s="2316">
        <f t="shared" ca="1" si="93"/>
        <v>0</v>
      </c>
      <c r="CE39" s="2316">
        <f t="shared" ca="1" si="93"/>
        <v>0</v>
      </c>
      <c r="CF39" s="2316">
        <f t="shared" ca="1" si="93"/>
        <v>0</v>
      </c>
      <c r="CG39" s="2316">
        <f t="shared" ca="1" si="93"/>
        <v>0</v>
      </c>
      <c r="CH39" s="2316">
        <f t="shared" ca="1" si="93"/>
        <v>0</v>
      </c>
      <c r="CI39" s="2316">
        <f t="shared" ca="1" si="93"/>
        <v>0</v>
      </c>
      <c r="CJ39" s="2316">
        <f t="shared" ca="1" si="93"/>
        <v>0</v>
      </c>
      <c r="CK39" s="2316">
        <f t="shared" ca="1" si="93"/>
        <v>0</v>
      </c>
      <c r="CL39" s="2316">
        <f t="shared" ca="1" si="93"/>
        <v>0</v>
      </c>
      <c r="CM39" s="2316">
        <f t="shared" ref="CM39:DP39" ca="1" si="94">SUM(CM8:CM38)</f>
        <v>0</v>
      </c>
      <c r="CN39" s="2316">
        <f t="shared" ca="1" si="94"/>
        <v>0</v>
      </c>
      <c r="CO39" s="2316">
        <f t="shared" ca="1" si="94"/>
        <v>0</v>
      </c>
      <c r="CP39" s="2316">
        <f t="shared" ca="1" si="94"/>
        <v>0</v>
      </c>
      <c r="CQ39" s="2316">
        <f t="shared" ca="1" si="94"/>
        <v>0</v>
      </c>
      <c r="CR39" s="2316">
        <f t="shared" ca="1" si="94"/>
        <v>0</v>
      </c>
      <c r="CS39" s="2316">
        <f t="shared" ca="1" si="94"/>
        <v>0</v>
      </c>
      <c r="CT39" s="2316">
        <f t="shared" ca="1" si="94"/>
        <v>0</v>
      </c>
      <c r="CU39" s="2316">
        <f t="shared" ca="1" si="94"/>
        <v>0</v>
      </c>
      <c r="CV39" s="2316">
        <f t="shared" ca="1" si="94"/>
        <v>0</v>
      </c>
      <c r="CW39" s="2316">
        <f t="shared" ca="1" si="94"/>
        <v>0</v>
      </c>
      <c r="CX39" s="2316">
        <f t="shared" ca="1" si="94"/>
        <v>0</v>
      </c>
      <c r="CY39" s="2316">
        <f t="shared" ca="1" si="94"/>
        <v>0</v>
      </c>
      <c r="CZ39" s="2316">
        <f t="shared" ca="1" si="94"/>
        <v>0</v>
      </c>
      <c r="DA39" s="2316">
        <f t="shared" ca="1" si="94"/>
        <v>0</v>
      </c>
      <c r="DB39" s="2316">
        <f t="shared" ca="1" si="94"/>
        <v>0</v>
      </c>
      <c r="DC39" s="2316">
        <f t="shared" ca="1" si="94"/>
        <v>0</v>
      </c>
      <c r="DD39" s="2316">
        <f t="shared" ca="1" si="94"/>
        <v>0</v>
      </c>
      <c r="DE39" s="2316">
        <f t="shared" ca="1" si="94"/>
        <v>0</v>
      </c>
      <c r="DF39" s="2316">
        <f t="shared" ca="1" si="94"/>
        <v>0</v>
      </c>
      <c r="DG39" s="2316">
        <f t="shared" ca="1" si="94"/>
        <v>0</v>
      </c>
      <c r="DH39" s="2316">
        <f t="shared" ca="1" si="94"/>
        <v>0</v>
      </c>
      <c r="DI39" s="2316">
        <f t="shared" ca="1" si="94"/>
        <v>0</v>
      </c>
      <c r="DJ39" s="2316">
        <f t="shared" ca="1" si="94"/>
        <v>0</v>
      </c>
      <c r="DK39" s="2316">
        <f t="shared" ca="1" si="94"/>
        <v>0</v>
      </c>
      <c r="DL39" s="2316">
        <f t="shared" ca="1" si="94"/>
        <v>0</v>
      </c>
      <c r="DM39" s="2316">
        <f t="shared" ca="1" si="94"/>
        <v>0</v>
      </c>
      <c r="DN39" s="2316">
        <f t="shared" ca="1" si="94"/>
        <v>0</v>
      </c>
      <c r="DO39" s="2316">
        <f t="shared" ca="1" si="94"/>
        <v>0</v>
      </c>
      <c r="DP39" s="2316">
        <f t="shared" ca="1" si="94"/>
        <v>0</v>
      </c>
      <c r="DR39" t="s">
        <v>290</v>
      </c>
    </row>
    <row r="40" spans="1:122" ht="15.75" thickBot="1"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</row>
    <row r="41" spans="1:122" outlineLevel="1">
      <c r="A41" s="532"/>
      <c r="B41" s="533"/>
      <c r="C41" s="678"/>
      <c r="D41" s="1477"/>
      <c r="E41" s="1478"/>
      <c r="F41" s="535"/>
      <c r="G41" s="1254"/>
      <c r="H41" s="536"/>
      <c r="I41" s="537"/>
      <c r="J41" s="1382"/>
      <c r="K41" s="1382"/>
      <c r="L41" s="1042"/>
      <c r="M41" s="1593">
        <f t="shared" ref="M41:M63" si="95">+L41*J41</f>
        <v>0</v>
      </c>
      <c r="N41" s="538"/>
      <c r="O41" s="539">
        <f t="shared" ref="O41:O63" si="96">+L41*J41*N41</f>
        <v>0</v>
      </c>
      <c r="P41" s="540"/>
      <c r="Q41" s="540">
        <f t="shared" ref="Q41:Q63" si="97">+P41*K41</f>
        <v>0</v>
      </c>
      <c r="R41" s="541"/>
      <c r="S41" s="541"/>
      <c r="T41" s="542">
        <f t="shared" ref="T41:T63" si="98">+P41*K41*S41</f>
        <v>0</v>
      </c>
      <c r="U41" s="543">
        <f t="shared" ref="U41:U63" si="99">+L41+P41+F41</f>
        <v>0</v>
      </c>
      <c r="V41" s="544">
        <f>+P41*J41*R41+L41*J41*N41+F41*J41*H41</f>
        <v>0</v>
      </c>
      <c r="W41" s="545">
        <f t="shared" ref="W41:W63" si="100">IF((-P41*J41*R41)-(-P41*K41*S41)&gt;0,(-P41*J41*R41)-(-P41*K41*S41),0)</f>
        <v>0</v>
      </c>
      <c r="X41" s="546">
        <f t="shared" ref="X41:X63" si="101">IF((-P41*J41*R41)-(-P41*K41*S41)&lt;0,(-P41*J41*R41)-(-P41*K41*S41),0)</f>
        <v>0</v>
      </c>
      <c r="Y41" s="547"/>
      <c r="AA41" s="548"/>
      <c r="AB41" s="549"/>
      <c r="AC41" s="549"/>
      <c r="AD41" s="549"/>
      <c r="AE41" s="549"/>
      <c r="AF41" s="550"/>
      <c r="AG41" s="550"/>
      <c r="AH41" s="550"/>
      <c r="AI41" s="550"/>
      <c r="AJ41" s="550"/>
      <c r="AK41" s="550"/>
      <c r="AL41" s="550"/>
      <c r="AM41" s="550"/>
      <c r="AN41" s="550"/>
      <c r="AO41" s="550"/>
      <c r="AP41" s="550"/>
      <c r="AQ41" s="550"/>
      <c r="AR41" s="550"/>
      <c r="AS41" s="550"/>
      <c r="AT41" s="550"/>
      <c r="AU41" s="550"/>
      <c r="AV41" s="550"/>
      <c r="AW41" s="550"/>
      <c r="AX41" s="550"/>
      <c r="AY41" s="550"/>
      <c r="AZ41" s="550"/>
      <c r="BA41" s="550"/>
      <c r="BB41" s="550"/>
      <c r="BC41" s="550"/>
      <c r="BD41" s="550"/>
      <c r="BE41" s="550"/>
      <c r="BF41" s="550"/>
      <c r="BG41" s="550"/>
      <c r="BH41" s="550"/>
      <c r="BI41" s="550"/>
      <c r="BJ41" s="550"/>
      <c r="BK41" s="550"/>
      <c r="BL41" s="550"/>
      <c r="BM41" s="550"/>
      <c r="BN41" s="550"/>
      <c r="BO41" s="550"/>
      <c r="BP41" s="550"/>
      <c r="BQ41" s="550"/>
      <c r="BR41" s="550"/>
      <c r="BS41" s="550"/>
      <c r="BT41" s="550"/>
      <c r="BU41" s="550"/>
      <c r="BV41" s="550"/>
      <c r="BW41" s="550"/>
      <c r="BX41" s="550"/>
      <c r="BY41" s="550"/>
      <c r="BZ41" s="550"/>
      <c r="CA41" s="550"/>
      <c r="CB41" s="550"/>
      <c r="CC41" s="550"/>
      <c r="CD41" s="550"/>
      <c r="CE41" s="550"/>
      <c r="CF41" s="550"/>
      <c r="CG41" s="550"/>
      <c r="CH41" s="550"/>
      <c r="CI41" s="550"/>
      <c r="CJ41" s="550"/>
      <c r="CK41" s="550"/>
      <c r="CL41" s="550"/>
      <c r="CM41" s="550"/>
      <c r="CN41" s="550"/>
      <c r="CO41" s="550"/>
      <c r="CP41" s="550"/>
      <c r="CQ41" s="550"/>
      <c r="CR41" s="550"/>
      <c r="CS41" s="550"/>
      <c r="CT41" s="550"/>
      <c r="CU41" s="550"/>
      <c r="CV41" s="550"/>
      <c r="CW41" s="550"/>
      <c r="CX41" s="550"/>
      <c r="CY41" s="550"/>
      <c r="CZ41" s="550"/>
      <c r="DA41" s="550"/>
      <c r="DB41" s="550"/>
      <c r="DC41" s="550"/>
      <c r="DD41" s="550"/>
      <c r="DE41" s="550"/>
      <c r="DF41" s="550"/>
      <c r="DG41" s="550"/>
      <c r="DH41" s="550"/>
      <c r="DI41" s="550"/>
      <c r="DJ41" s="550"/>
      <c r="DK41" s="550"/>
      <c r="DL41" s="550"/>
      <c r="DM41" s="550"/>
      <c r="DN41" s="550"/>
      <c r="DO41" s="550"/>
      <c r="DP41" s="550"/>
    </row>
    <row r="42" spans="1:122" s="86" customFormat="1" outlineLevel="1">
      <c r="A42" s="81">
        <v>1110052010</v>
      </c>
      <c r="B42" s="551" t="s">
        <v>2204</v>
      </c>
      <c r="C42" s="1475" t="s">
        <v>64</v>
      </c>
      <c r="D42" s="1479"/>
      <c r="E42" s="1480">
        <v>44958</v>
      </c>
      <c r="F42" s="82"/>
      <c r="G42" s="1255"/>
      <c r="H42" s="552"/>
      <c r="I42" s="553"/>
      <c r="J42" s="1425">
        <v>1</v>
      </c>
      <c r="K42" s="1426">
        <v>1</v>
      </c>
      <c r="L42" s="2009">
        <v>15277.96</v>
      </c>
      <c r="M42" s="2010">
        <f t="shared" si="95"/>
        <v>15277.96</v>
      </c>
      <c r="N42" s="554">
        <f ca="1">IF(OR(E42="",E42&gt;TODAY()),0,IF(ISERROR(VLOOKUP($E42,'TRM BanRep'!$A:$G,7,0)),0,VLOOKUP($E42,'TRM BanRep'!$A:$G,7,0)))</f>
        <v>4648.7</v>
      </c>
      <c r="O42" s="555">
        <f t="shared" ca="1" si="96"/>
        <v>71022652.651999995</v>
      </c>
      <c r="P42" s="556"/>
      <c r="Q42" s="556">
        <f t="shared" si="97"/>
        <v>0</v>
      </c>
      <c r="R42" s="554"/>
      <c r="S42" s="554"/>
      <c r="T42" s="557">
        <f t="shared" si="98"/>
        <v>0</v>
      </c>
      <c r="U42" s="83">
        <f t="shared" si="99"/>
        <v>15277.96</v>
      </c>
      <c r="V42" s="557">
        <f t="shared" ref="V42:V63" ca="1" si="102">+P42*J42*R42+L42*J42*N42+F42*J42*H42</f>
        <v>71022652.651999995</v>
      </c>
      <c r="W42" s="84">
        <f t="shared" si="100"/>
        <v>0</v>
      </c>
      <c r="X42" s="558">
        <f t="shared" si="101"/>
        <v>0</v>
      </c>
      <c r="Y42" s="559"/>
      <c r="Z42" s="1055"/>
      <c r="AA42" s="85">
        <f t="shared" ref="AA42:AP62" si="103">IF($L42="",IF(OR($P42="",$R42=""),0,IF($R42=AA$6,$Q42,0)),IF($E42=AA$5,$M42,))</f>
        <v>0</v>
      </c>
      <c r="AB42" s="508">
        <f t="shared" si="103"/>
        <v>0</v>
      </c>
      <c r="AC42" s="508">
        <f t="shared" si="103"/>
        <v>0</v>
      </c>
      <c r="AD42" s="508">
        <f t="shared" si="103"/>
        <v>0</v>
      </c>
      <c r="AE42" s="508">
        <f t="shared" si="103"/>
        <v>0</v>
      </c>
      <c r="AF42" s="561">
        <f t="shared" si="103"/>
        <v>0</v>
      </c>
      <c r="AG42" s="561">
        <f t="shared" si="103"/>
        <v>0</v>
      </c>
      <c r="AH42" s="561">
        <f t="shared" si="103"/>
        <v>0</v>
      </c>
      <c r="AI42" s="561">
        <f t="shared" si="103"/>
        <v>0</v>
      </c>
      <c r="AJ42" s="561">
        <f t="shared" si="103"/>
        <v>0</v>
      </c>
      <c r="AK42" s="561">
        <f t="shared" si="103"/>
        <v>0</v>
      </c>
      <c r="AL42" s="1542">
        <f t="shared" si="103"/>
        <v>0</v>
      </c>
      <c r="AM42" s="561">
        <f t="shared" si="103"/>
        <v>0</v>
      </c>
      <c r="AN42" s="561">
        <f t="shared" si="103"/>
        <v>15277.96</v>
      </c>
      <c r="AO42" s="561">
        <f t="shared" si="103"/>
        <v>0</v>
      </c>
      <c r="AP42" s="561">
        <f t="shared" si="103"/>
        <v>0</v>
      </c>
      <c r="AQ42" s="561">
        <f t="shared" ref="AQ42:BF62" si="104">IF($L42="",IF(OR($P42="",$R42=""),0,IF($R42=AQ$6,$Q42,0)),IF($E42=AQ$5,$M42,))</f>
        <v>0</v>
      </c>
      <c r="AR42" s="561">
        <f t="shared" si="104"/>
        <v>0</v>
      </c>
      <c r="AS42" s="561">
        <f t="shared" si="104"/>
        <v>0</v>
      </c>
      <c r="AT42" s="561">
        <f t="shared" si="104"/>
        <v>0</v>
      </c>
      <c r="AU42" s="561">
        <f t="shared" si="104"/>
        <v>0</v>
      </c>
      <c r="AV42" s="561">
        <f t="shared" si="104"/>
        <v>0</v>
      </c>
      <c r="AW42" s="561">
        <f t="shared" si="104"/>
        <v>0</v>
      </c>
      <c r="AX42" s="561">
        <f t="shared" si="104"/>
        <v>0</v>
      </c>
      <c r="AY42" s="561">
        <f t="shared" si="104"/>
        <v>0</v>
      </c>
      <c r="AZ42" s="561">
        <f t="shared" si="104"/>
        <v>0</v>
      </c>
      <c r="BA42" s="561">
        <f t="shared" si="104"/>
        <v>0</v>
      </c>
      <c r="BB42" s="561">
        <f t="shared" si="104"/>
        <v>0</v>
      </c>
      <c r="BC42" s="561">
        <f t="shared" si="104"/>
        <v>0</v>
      </c>
      <c r="BD42" s="561">
        <f t="shared" si="104"/>
        <v>0</v>
      </c>
      <c r="BE42" s="561">
        <f t="shared" si="104"/>
        <v>0</v>
      </c>
      <c r="BF42" s="561">
        <f t="shared" si="104"/>
        <v>0</v>
      </c>
      <c r="BG42" s="561">
        <f t="shared" ref="BG42:BV62" si="105">IF($L42="",IF(OR($P42="",$R42=""),0,IF($R42=BG$6,$Q42,0)),IF($E42=BG$5,$M42,))</f>
        <v>0</v>
      </c>
      <c r="BH42" s="561">
        <f t="shared" si="105"/>
        <v>0</v>
      </c>
      <c r="BI42" s="561">
        <f t="shared" si="105"/>
        <v>0</v>
      </c>
      <c r="BJ42" s="561">
        <f t="shared" si="105"/>
        <v>0</v>
      </c>
      <c r="BK42" s="561">
        <f t="shared" si="105"/>
        <v>0</v>
      </c>
      <c r="BL42" s="561">
        <f t="shared" si="105"/>
        <v>0</v>
      </c>
      <c r="BM42" s="561">
        <f t="shared" si="105"/>
        <v>0</v>
      </c>
      <c r="BN42" s="561">
        <f t="shared" si="105"/>
        <v>0</v>
      </c>
      <c r="BO42" s="561">
        <f t="shared" si="105"/>
        <v>0</v>
      </c>
      <c r="BP42" s="561">
        <f t="shared" si="105"/>
        <v>0</v>
      </c>
      <c r="BQ42" s="561">
        <f t="shared" si="105"/>
        <v>0</v>
      </c>
      <c r="BR42" s="561">
        <f t="shared" si="105"/>
        <v>0</v>
      </c>
      <c r="BS42" s="561">
        <f t="shared" si="105"/>
        <v>0</v>
      </c>
      <c r="BT42" s="561">
        <f t="shared" si="105"/>
        <v>0</v>
      </c>
      <c r="BU42" s="561">
        <f t="shared" si="105"/>
        <v>0</v>
      </c>
      <c r="BV42" s="561">
        <f t="shared" si="105"/>
        <v>0</v>
      </c>
      <c r="BW42" s="561">
        <f t="shared" ref="BW42:CL62" si="106">IF($L42="",IF(OR($P42="",$R42=""),0,IF($R42=BW$6,$Q42,0)),IF($E42=BW$5,$M42,))</f>
        <v>0</v>
      </c>
      <c r="BX42" s="561">
        <f t="shared" si="106"/>
        <v>0</v>
      </c>
      <c r="BY42" s="561">
        <f t="shared" si="106"/>
        <v>0</v>
      </c>
      <c r="BZ42" s="561">
        <f t="shared" si="106"/>
        <v>0</v>
      </c>
      <c r="CA42" s="561">
        <f t="shared" si="106"/>
        <v>0</v>
      </c>
      <c r="CB42" s="561">
        <f t="shared" si="106"/>
        <v>0</v>
      </c>
      <c r="CC42" s="561">
        <f t="shared" si="106"/>
        <v>0</v>
      </c>
      <c r="CD42" s="561">
        <f t="shared" si="106"/>
        <v>0</v>
      </c>
      <c r="CE42" s="561">
        <f t="shared" si="106"/>
        <v>0</v>
      </c>
      <c r="CF42" s="561">
        <f t="shared" si="106"/>
        <v>0</v>
      </c>
      <c r="CG42" s="561">
        <f t="shared" si="106"/>
        <v>0</v>
      </c>
      <c r="CH42" s="561">
        <f t="shared" si="106"/>
        <v>0</v>
      </c>
      <c r="CI42" s="561">
        <f t="shared" si="106"/>
        <v>0</v>
      </c>
      <c r="CJ42" s="561">
        <f t="shared" si="106"/>
        <v>0</v>
      </c>
      <c r="CK42" s="561">
        <f t="shared" si="106"/>
        <v>0</v>
      </c>
      <c r="CL42" s="561">
        <f t="shared" si="106"/>
        <v>0</v>
      </c>
      <c r="CM42" s="561">
        <f t="shared" ref="CM42:DB62" si="107">IF($L42="",IF(OR($P42="",$R42=""),0,IF($R42=CM$6,$Q42,0)),IF($E42=CM$5,$M42,))</f>
        <v>0</v>
      </c>
      <c r="CN42" s="561">
        <f t="shared" si="107"/>
        <v>0</v>
      </c>
      <c r="CO42" s="561">
        <f t="shared" si="107"/>
        <v>0</v>
      </c>
      <c r="CP42" s="561">
        <f t="shared" si="107"/>
        <v>0</v>
      </c>
      <c r="CQ42" s="561">
        <f t="shared" si="107"/>
        <v>0</v>
      </c>
      <c r="CR42" s="561">
        <f t="shared" si="107"/>
        <v>0</v>
      </c>
      <c r="CS42" s="561">
        <f t="shared" si="107"/>
        <v>0</v>
      </c>
      <c r="CT42" s="561">
        <f t="shared" si="107"/>
        <v>0</v>
      </c>
      <c r="CU42" s="561">
        <f t="shared" si="107"/>
        <v>0</v>
      </c>
      <c r="CV42" s="561">
        <f t="shared" si="107"/>
        <v>0</v>
      </c>
      <c r="CW42" s="561">
        <f t="shared" si="107"/>
        <v>0</v>
      </c>
      <c r="CX42" s="561">
        <f t="shared" si="107"/>
        <v>0</v>
      </c>
      <c r="CY42" s="561">
        <f t="shared" si="107"/>
        <v>0</v>
      </c>
      <c r="CZ42" s="561">
        <f t="shared" si="107"/>
        <v>0</v>
      </c>
      <c r="DA42" s="561">
        <f t="shared" si="107"/>
        <v>0</v>
      </c>
      <c r="DB42" s="561">
        <f t="shared" si="107"/>
        <v>0</v>
      </c>
      <c r="DC42" s="561">
        <f t="shared" ref="DC42:DP62" si="108">IF($L42="",IF(OR($P42="",$R42=""),0,IF($R42=DC$6,$Q42,0)),IF($E42=DC$5,$M42,))</f>
        <v>0</v>
      </c>
      <c r="DD42" s="561">
        <f t="shared" si="108"/>
        <v>0</v>
      </c>
      <c r="DE42" s="561">
        <f t="shared" si="108"/>
        <v>0</v>
      </c>
      <c r="DF42" s="561">
        <f t="shared" si="108"/>
        <v>0</v>
      </c>
      <c r="DG42" s="561">
        <f t="shared" si="108"/>
        <v>0</v>
      </c>
      <c r="DH42" s="561">
        <f t="shared" si="108"/>
        <v>0</v>
      </c>
      <c r="DI42" s="561">
        <f t="shared" si="108"/>
        <v>0</v>
      </c>
      <c r="DJ42" s="561">
        <f t="shared" si="108"/>
        <v>0</v>
      </c>
      <c r="DK42" s="561">
        <f t="shared" si="108"/>
        <v>0</v>
      </c>
      <c r="DL42" s="561">
        <f t="shared" si="108"/>
        <v>0</v>
      </c>
      <c r="DM42" s="561">
        <f t="shared" si="108"/>
        <v>0</v>
      </c>
      <c r="DN42" s="561">
        <f t="shared" si="108"/>
        <v>0</v>
      </c>
      <c r="DO42" s="561">
        <f t="shared" si="108"/>
        <v>0</v>
      </c>
      <c r="DP42" s="561">
        <f t="shared" si="108"/>
        <v>0</v>
      </c>
    </row>
    <row r="43" spans="1:122" outlineLevel="1">
      <c r="A43" s="89">
        <v>1110052010</v>
      </c>
      <c r="B43" s="90" t="s">
        <v>2352</v>
      </c>
      <c r="C43" s="1476" t="s">
        <v>64</v>
      </c>
      <c r="D43" s="1481"/>
      <c r="E43" s="1482">
        <v>44963</v>
      </c>
      <c r="F43" s="420"/>
      <c r="G43" s="1256"/>
      <c r="H43" s="421"/>
      <c r="I43" s="422"/>
      <c r="J43" s="1425">
        <v>1</v>
      </c>
      <c r="K43" s="1426">
        <v>1</v>
      </c>
      <c r="L43" s="1043"/>
      <c r="M43" s="1594">
        <f>+L43*J43</f>
        <v>0</v>
      </c>
      <c r="N43" s="415"/>
      <c r="O43" s="424">
        <f>+L43*J43*N43</f>
        <v>0</v>
      </c>
      <c r="P43" s="425">
        <v>-30991</v>
      </c>
      <c r="Q43" s="1340">
        <f>+P43*K43</f>
        <v>-30991</v>
      </c>
      <c r="R43" s="515">
        <v>4693.99</v>
      </c>
      <c r="S43" s="426">
        <f ca="1">IF(OR(E43="",E43&gt;TODAY()),0,IF(ISERROR(VLOOKUP($E43,'TRM BanRep'!$A:$G,7,0)),0,VLOOKUP($E43,'TRM BanRep'!$A:$G,7,0)))</f>
        <v>4669.74</v>
      </c>
      <c r="T43" s="427">
        <f ca="1">+P43*K43*S43</f>
        <v>-144719912.34</v>
      </c>
      <c r="U43" s="418">
        <f>+L43+P43+F43</f>
        <v>-30991</v>
      </c>
      <c r="V43" s="517">
        <f t="shared" si="102"/>
        <v>-145471444.09</v>
      </c>
      <c r="W43" s="428">
        <f ca="1">IF((-P43*J43*R43)-(-P43*K43*S43)&gt;0,(-P43*J43*R43)-(-P43*K43*S43),0)</f>
        <v>751531.75</v>
      </c>
      <c r="X43" s="429">
        <f ca="1">IF((-P43*J43*R43)-(-P43*K43*S43)&lt;0,(-P43*J43*R43)-(-P43*K43*S43),0)</f>
        <v>0</v>
      </c>
      <c r="Y43" s="92"/>
      <c r="Z43" s="1055"/>
      <c r="AA43" s="93">
        <f t="shared" ca="1" si="103"/>
        <v>0</v>
      </c>
      <c r="AB43" s="508">
        <f t="shared" ca="1" si="103"/>
        <v>0</v>
      </c>
      <c r="AC43" s="508">
        <f t="shared" ca="1" si="103"/>
        <v>0</v>
      </c>
      <c r="AD43" s="508">
        <f t="shared" ca="1" si="103"/>
        <v>0</v>
      </c>
      <c r="AE43" s="508">
        <f t="shared" ca="1" si="103"/>
        <v>0</v>
      </c>
      <c r="AF43" s="561">
        <f t="shared" ca="1" si="103"/>
        <v>0</v>
      </c>
      <c r="AG43" s="561">
        <f t="shared" ca="1" si="103"/>
        <v>0</v>
      </c>
      <c r="AH43" s="561">
        <f t="shared" ca="1" si="103"/>
        <v>0</v>
      </c>
      <c r="AI43" s="561">
        <f t="shared" ca="1" si="103"/>
        <v>0</v>
      </c>
      <c r="AJ43" s="561">
        <f t="shared" ca="1" si="103"/>
        <v>-30991</v>
      </c>
      <c r="AK43" s="561">
        <f t="shared" ca="1" si="103"/>
        <v>0</v>
      </c>
      <c r="AL43" s="1542">
        <f t="shared" ca="1" si="103"/>
        <v>0</v>
      </c>
      <c r="AM43" s="561">
        <f t="shared" ca="1" si="103"/>
        <v>0</v>
      </c>
      <c r="AN43" s="561">
        <f t="shared" ca="1" si="103"/>
        <v>0</v>
      </c>
      <c r="AO43" s="561">
        <f t="shared" ca="1" si="103"/>
        <v>0</v>
      </c>
      <c r="AP43" s="561">
        <f t="shared" ca="1" si="103"/>
        <v>0</v>
      </c>
      <c r="AQ43" s="561">
        <f t="shared" ca="1" si="104"/>
        <v>0</v>
      </c>
      <c r="AR43" s="561">
        <f t="shared" ca="1" si="104"/>
        <v>0</v>
      </c>
      <c r="AS43" s="561">
        <f t="shared" ca="1" si="104"/>
        <v>0</v>
      </c>
      <c r="AT43" s="561">
        <f t="shared" ca="1" si="104"/>
        <v>0</v>
      </c>
      <c r="AU43" s="561">
        <f t="shared" ca="1" si="104"/>
        <v>0</v>
      </c>
      <c r="AV43" s="561">
        <f t="shared" ca="1" si="104"/>
        <v>0</v>
      </c>
      <c r="AW43" s="561">
        <f t="shared" ca="1" si="104"/>
        <v>0</v>
      </c>
      <c r="AX43" s="561">
        <f t="shared" ca="1" si="104"/>
        <v>0</v>
      </c>
      <c r="AY43" s="561">
        <f t="shared" ca="1" si="104"/>
        <v>0</v>
      </c>
      <c r="AZ43" s="561">
        <f t="shared" ca="1" si="104"/>
        <v>0</v>
      </c>
      <c r="BA43" s="561">
        <f t="shared" ca="1" si="104"/>
        <v>0</v>
      </c>
      <c r="BB43" s="561">
        <f t="shared" ca="1" si="104"/>
        <v>0</v>
      </c>
      <c r="BC43" s="561">
        <f t="shared" ca="1" si="104"/>
        <v>0</v>
      </c>
      <c r="BD43" s="561">
        <f t="shared" ca="1" si="104"/>
        <v>0</v>
      </c>
      <c r="BE43" s="561">
        <f t="shared" ca="1" si="104"/>
        <v>0</v>
      </c>
      <c r="BF43" s="561">
        <f t="shared" ca="1" si="104"/>
        <v>0</v>
      </c>
      <c r="BG43" s="561">
        <f t="shared" ca="1" si="105"/>
        <v>0</v>
      </c>
      <c r="BH43" s="561">
        <f t="shared" ca="1" si="105"/>
        <v>0</v>
      </c>
      <c r="BI43" s="561">
        <f t="shared" ca="1" si="105"/>
        <v>0</v>
      </c>
      <c r="BJ43" s="561">
        <f t="shared" ca="1" si="105"/>
        <v>0</v>
      </c>
      <c r="BK43" s="561">
        <f t="shared" ca="1" si="105"/>
        <v>0</v>
      </c>
      <c r="BL43" s="561">
        <f t="shared" ca="1" si="105"/>
        <v>0</v>
      </c>
      <c r="BM43" s="561">
        <f t="shared" ca="1" si="105"/>
        <v>0</v>
      </c>
      <c r="BN43" s="561">
        <f t="shared" ca="1" si="105"/>
        <v>0</v>
      </c>
      <c r="BO43" s="561">
        <f t="shared" ca="1" si="105"/>
        <v>0</v>
      </c>
      <c r="BP43" s="561">
        <f t="shared" ca="1" si="105"/>
        <v>0</v>
      </c>
      <c r="BQ43" s="561">
        <f t="shared" ca="1" si="105"/>
        <v>0</v>
      </c>
      <c r="BR43" s="561">
        <f t="shared" ca="1" si="105"/>
        <v>0</v>
      </c>
      <c r="BS43" s="561">
        <f t="shared" ca="1" si="105"/>
        <v>0</v>
      </c>
      <c r="BT43" s="561">
        <f t="shared" ca="1" si="105"/>
        <v>0</v>
      </c>
      <c r="BU43" s="561">
        <f t="shared" ca="1" si="105"/>
        <v>0</v>
      </c>
      <c r="BV43" s="561">
        <f t="shared" ca="1" si="105"/>
        <v>0</v>
      </c>
      <c r="BW43" s="561">
        <f t="shared" ca="1" si="106"/>
        <v>0</v>
      </c>
      <c r="BX43" s="561">
        <f t="shared" ca="1" si="106"/>
        <v>0</v>
      </c>
      <c r="BY43" s="561">
        <f t="shared" ca="1" si="106"/>
        <v>0</v>
      </c>
      <c r="BZ43" s="561">
        <f t="shared" ca="1" si="106"/>
        <v>0</v>
      </c>
      <c r="CA43" s="561">
        <f t="shared" ca="1" si="106"/>
        <v>0</v>
      </c>
      <c r="CB43" s="561">
        <f t="shared" ca="1" si="106"/>
        <v>0</v>
      </c>
      <c r="CC43" s="561">
        <f t="shared" ca="1" si="106"/>
        <v>0</v>
      </c>
      <c r="CD43" s="561">
        <f t="shared" ca="1" si="106"/>
        <v>0</v>
      </c>
      <c r="CE43" s="561">
        <f t="shared" ca="1" si="106"/>
        <v>0</v>
      </c>
      <c r="CF43" s="561">
        <f t="shared" ca="1" si="106"/>
        <v>0</v>
      </c>
      <c r="CG43" s="561">
        <f t="shared" ca="1" si="106"/>
        <v>0</v>
      </c>
      <c r="CH43" s="561">
        <f t="shared" ca="1" si="106"/>
        <v>0</v>
      </c>
      <c r="CI43" s="561">
        <f t="shared" ca="1" si="106"/>
        <v>0</v>
      </c>
      <c r="CJ43" s="561">
        <f t="shared" ca="1" si="106"/>
        <v>0</v>
      </c>
      <c r="CK43" s="561">
        <f t="shared" ca="1" si="106"/>
        <v>0</v>
      </c>
      <c r="CL43" s="561">
        <f t="shared" ca="1" si="106"/>
        <v>0</v>
      </c>
      <c r="CM43" s="561">
        <f t="shared" ca="1" si="107"/>
        <v>0</v>
      </c>
      <c r="CN43" s="561">
        <f t="shared" ca="1" si="107"/>
        <v>0</v>
      </c>
      <c r="CO43" s="561">
        <f t="shared" ca="1" si="107"/>
        <v>0</v>
      </c>
      <c r="CP43" s="561">
        <f t="shared" ca="1" si="107"/>
        <v>0</v>
      </c>
      <c r="CQ43" s="561">
        <f t="shared" ca="1" si="107"/>
        <v>0</v>
      </c>
      <c r="CR43" s="561">
        <f t="shared" ca="1" si="107"/>
        <v>0</v>
      </c>
      <c r="CS43" s="561">
        <f t="shared" ca="1" si="107"/>
        <v>0</v>
      </c>
      <c r="CT43" s="561">
        <f t="shared" ca="1" si="107"/>
        <v>0</v>
      </c>
      <c r="CU43" s="561">
        <f t="shared" ca="1" si="107"/>
        <v>0</v>
      </c>
      <c r="CV43" s="561">
        <f t="shared" ca="1" si="107"/>
        <v>0</v>
      </c>
      <c r="CW43" s="561">
        <f t="shared" ca="1" si="107"/>
        <v>0</v>
      </c>
      <c r="CX43" s="561">
        <f t="shared" ca="1" si="107"/>
        <v>0</v>
      </c>
      <c r="CY43" s="561">
        <f t="shared" ca="1" si="107"/>
        <v>0</v>
      </c>
      <c r="CZ43" s="561">
        <f t="shared" ca="1" si="107"/>
        <v>0</v>
      </c>
      <c r="DA43" s="561">
        <f t="shared" ca="1" si="107"/>
        <v>0</v>
      </c>
      <c r="DB43" s="561">
        <f t="shared" ca="1" si="107"/>
        <v>0</v>
      </c>
      <c r="DC43" s="561">
        <f t="shared" ca="1" si="108"/>
        <v>0</v>
      </c>
      <c r="DD43" s="561">
        <f t="shared" ca="1" si="108"/>
        <v>0</v>
      </c>
      <c r="DE43" s="561">
        <f t="shared" ca="1" si="108"/>
        <v>0</v>
      </c>
      <c r="DF43" s="561">
        <f t="shared" ca="1" si="108"/>
        <v>0</v>
      </c>
      <c r="DG43" s="561">
        <f t="shared" ca="1" si="108"/>
        <v>0</v>
      </c>
      <c r="DH43" s="561">
        <f t="shared" ca="1" si="108"/>
        <v>0</v>
      </c>
      <c r="DI43" s="561">
        <f t="shared" ca="1" si="108"/>
        <v>0</v>
      </c>
      <c r="DJ43" s="561">
        <f t="shared" ca="1" si="108"/>
        <v>0</v>
      </c>
      <c r="DK43" s="561">
        <f t="shared" ca="1" si="108"/>
        <v>0</v>
      </c>
      <c r="DL43" s="561">
        <f t="shared" ca="1" si="108"/>
        <v>0</v>
      </c>
      <c r="DM43" s="561">
        <f t="shared" ca="1" si="108"/>
        <v>0</v>
      </c>
      <c r="DN43" s="561">
        <f t="shared" ca="1" si="108"/>
        <v>0</v>
      </c>
      <c r="DO43" s="561">
        <f t="shared" ca="1" si="108"/>
        <v>0</v>
      </c>
      <c r="DP43" s="561">
        <f t="shared" ca="1" si="108"/>
        <v>0</v>
      </c>
    </row>
    <row r="44" spans="1:122" outlineLevel="1">
      <c r="A44" s="55">
        <v>1110052010</v>
      </c>
      <c r="B44" s="90" t="s">
        <v>2353</v>
      </c>
      <c r="C44" s="679" t="s">
        <v>64</v>
      </c>
      <c r="D44" s="1469"/>
      <c r="E44" s="1470">
        <v>44965</v>
      </c>
      <c r="F44" s="416"/>
      <c r="G44" s="1251"/>
      <c r="H44" s="511"/>
      <c r="I44" s="512"/>
      <c r="J44" s="1425">
        <v>1</v>
      </c>
      <c r="K44" s="1426">
        <v>1</v>
      </c>
      <c r="L44" s="419"/>
      <c r="M44" s="1337">
        <f t="shared" si="95"/>
        <v>0</v>
      </c>
      <c r="N44" s="504"/>
      <c r="O44" s="513">
        <f t="shared" si="96"/>
        <v>0</v>
      </c>
      <c r="P44" s="514">
        <v>-5060.49</v>
      </c>
      <c r="Q44" s="514">
        <f t="shared" si="97"/>
        <v>-5060.49</v>
      </c>
      <c r="R44" s="515">
        <v>4693.99</v>
      </c>
      <c r="S44" s="426">
        <f ca="1">IF(OR(E44="",E44&gt;TODAY()),0,IF(ISERROR(VLOOKUP($E44,'TRM BanRep'!$A:$G,7,0)),0,VLOOKUP($E44,'TRM BanRep'!$A:$G,7,0)))</f>
        <v>4775.99</v>
      </c>
      <c r="T44" s="562">
        <f t="shared" ca="1" si="98"/>
        <v>-24168849.6351</v>
      </c>
      <c r="U44" s="418">
        <f t="shared" si="99"/>
        <v>-5060.49</v>
      </c>
      <c r="V44" s="517">
        <f t="shared" si="102"/>
        <v>-23753889.455099996</v>
      </c>
      <c r="W44" s="976">
        <f t="shared" ca="1" si="100"/>
        <v>0</v>
      </c>
      <c r="X44" s="975">
        <f t="shared" ca="1" si="101"/>
        <v>-414960.18000000343</v>
      </c>
      <c r="Y44" s="519"/>
      <c r="Z44" s="1055"/>
      <c r="AA44" s="93">
        <f t="shared" ca="1" si="103"/>
        <v>0</v>
      </c>
      <c r="AB44" s="508">
        <f t="shared" ca="1" si="103"/>
        <v>0</v>
      </c>
      <c r="AC44" s="508">
        <f t="shared" ca="1" si="103"/>
        <v>0</v>
      </c>
      <c r="AD44" s="508">
        <f t="shared" ca="1" si="103"/>
        <v>0</v>
      </c>
      <c r="AE44" s="508">
        <f t="shared" ca="1" si="103"/>
        <v>0</v>
      </c>
      <c r="AF44" s="561">
        <f t="shared" ca="1" si="103"/>
        <v>0</v>
      </c>
      <c r="AG44" s="561">
        <f t="shared" ca="1" si="103"/>
        <v>0</v>
      </c>
      <c r="AH44" s="561">
        <f t="shared" ca="1" si="103"/>
        <v>0</v>
      </c>
      <c r="AI44" s="561">
        <f t="shared" ca="1" si="103"/>
        <v>0</v>
      </c>
      <c r="AJ44" s="561">
        <f t="shared" ca="1" si="103"/>
        <v>-5060.49</v>
      </c>
      <c r="AK44" s="561">
        <f t="shared" ca="1" si="103"/>
        <v>0</v>
      </c>
      <c r="AL44" s="1542">
        <f t="shared" ca="1" si="103"/>
        <v>0</v>
      </c>
      <c r="AM44" s="561">
        <f t="shared" ca="1" si="103"/>
        <v>0</v>
      </c>
      <c r="AN44" s="561">
        <f t="shared" ca="1" si="103"/>
        <v>0</v>
      </c>
      <c r="AO44" s="561">
        <f t="shared" ca="1" si="103"/>
        <v>0</v>
      </c>
      <c r="AP44" s="561">
        <f t="shared" ca="1" si="103"/>
        <v>0</v>
      </c>
      <c r="AQ44" s="561">
        <f t="shared" ca="1" si="104"/>
        <v>0</v>
      </c>
      <c r="AR44" s="561">
        <f t="shared" ca="1" si="104"/>
        <v>0</v>
      </c>
      <c r="AS44" s="561">
        <f t="shared" ca="1" si="104"/>
        <v>0</v>
      </c>
      <c r="AT44" s="561">
        <f t="shared" ca="1" si="104"/>
        <v>0</v>
      </c>
      <c r="AU44" s="561">
        <f t="shared" ca="1" si="104"/>
        <v>0</v>
      </c>
      <c r="AV44" s="561">
        <f t="shared" ca="1" si="104"/>
        <v>0</v>
      </c>
      <c r="AW44" s="561">
        <f t="shared" ca="1" si="104"/>
        <v>0</v>
      </c>
      <c r="AX44" s="561">
        <f t="shared" ca="1" si="104"/>
        <v>0</v>
      </c>
      <c r="AY44" s="561">
        <f t="shared" ca="1" si="104"/>
        <v>0</v>
      </c>
      <c r="AZ44" s="561">
        <f t="shared" ca="1" si="104"/>
        <v>0</v>
      </c>
      <c r="BA44" s="561">
        <f t="shared" ca="1" si="104"/>
        <v>0</v>
      </c>
      <c r="BB44" s="561">
        <f t="shared" ca="1" si="104"/>
        <v>0</v>
      </c>
      <c r="BC44" s="561">
        <f t="shared" ca="1" si="104"/>
        <v>0</v>
      </c>
      <c r="BD44" s="561">
        <f t="shared" ca="1" si="104"/>
        <v>0</v>
      </c>
      <c r="BE44" s="561">
        <f t="shared" ca="1" si="104"/>
        <v>0</v>
      </c>
      <c r="BF44" s="561">
        <f t="shared" ca="1" si="104"/>
        <v>0</v>
      </c>
      <c r="BG44" s="561">
        <f t="shared" ca="1" si="105"/>
        <v>0</v>
      </c>
      <c r="BH44" s="561">
        <f t="shared" ca="1" si="105"/>
        <v>0</v>
      </c>
      <c r="BI44" s="561">
        <f t="shared" ca="1" si="105"/>
        <v>0</v>
      </c>
      <c r="BJ44" s="561">
        <f t="shared" ca="1" si="105"/>
        <v>0</v>
      </c>
      <c r="BK44" s="561">
        <f t="shared" ca="1" si="105"/>
        <v>0</v>
      </c>
      <c r="BL44" s="561">
        <f t="shared" ca="1" si="105"/>
        <v>0</v>
      </c>
      <c r="BM44" s="561">
        <f t="shared" ca="1" si="105"/>
        <v>0</v>
      </c>
      <c r="BN44" s="561">
        <f t="shared" ca="1" si="105"/>
        <v>0</v>
      </c>
      <c r="BO44" s="561">
        <f t="shared" ca="1" si="105"/>
        <v>0</v>
      </c>
      <c r="BP44" s="561">
        <f t="shared" ca="1" si="105"/>
        <v>0</v>
      </c>
      <c r="BQ44" s="561">
        <f t="shared" ca="1" si="105"/>
        <v>0</v>
      </c>
      <c r="BR44" s="561">
        <f t="shared" ca="1" si="105"/>
        <v>0</v>
      </c>
      <c r="BS44" s="561">
        <f t="shared" ca="1" si="105"/>
        <v>0</v>
      </c>
      <c r="BT44" s="561">
        <f t="shared" ca="1" si="105"/>
        <v>0</v>
      </c>
      <c r="BU44" s="561">
        <f t="shared" ca="1" si="105"/>
        <v>0</v>
      </c>
      <c r="BV44" s="561">
        <f t="shared" ca="1" si="105"/>
        <v>0</v>
      </c>
      <c r="BW44" s="561">
        <f t="shared" ca="1" si="106"/>
        <v>0</v>
      </c>
      <c r="BX44" s="561">
        <f t="shared" ca="1" si="106"/>
        <v>0</v>
      </c>
      <c r="BY44" s="561">
        <f t="shared" ca="1" si="106"/>
        <v>0</v>
      </c>
      <c r="BZ44" s="561">
        <f t="shared" ca="1" si="106"/>
        <v>0</v>
      </c>
      <c r="CA44" s="561">
        <f t="shared" ca="1" si="106"/>
        <v>0</v>
      </c>
      <c r="CB44" s="561">
        <f t="shared" ca="1" si="106"/>
        <v>0</v>
      </c>
      <c r="CC44" s="561">
        <f t="shared" ca="1" si="106"/>
        <v>0</v>
      </c>
      <c r="CD44" s="561">
        <f t="shared" ca="1" si="106"/>
        <v>0</v>
      </c>
      <c r="CE44" s="561">
        <f t="shared" ca="1" si="106"/>
        <v>0</v>
      </c>
      <c r="CF44" s="561">
        <f t="shared" ca="1" si="106"/>
        <v>0</v>
      </c>
      <c r="CG44" s="561">
        <f t="shared" ca="1" si="106"/>
        <v>0</v>
      </c>
      <c r="CH44" s="561">
        <f t="shared" ca="1" si="106"/>
        <v>0</v>
      </c>
      <c r="CI44" s="561">
        <f t="shared" ca="1" si="106"/>
        <v>0</v>
      </c>
      <c r="CJ44" s="561">
        <f t="shared" ca="1" si="106"/>
        <v>0</v>
      </c>
      <c r="CK44" s="561">
        <f t="shared" ca="1" si="106"/>
        <v>0</v>
      </c>
      <c r="CL44" s="561">
        <f t="shared" ca="1" si="106"/>
        <v>0</v>
      </c>
      <c r="CM44" s="561">
        <f t="shared" ca="1" si="107"/>
        <v>0</v>
      </c>
      <c r="CN44" s="561">
        <f t="shared" ca="1" si="107"/>
        <v>0</v>
      </c>
      <c r="CO44" s="561">
        <f t="shared" ca="1" si="107"/>
        <v>0</v>
      </c>
      <c r="CP44" s="561">
        <f t="shared" ca="1" si="107"/>
        <v>0</v>
      </c>
      <c r="CQ44" s="561">
        <f t="shared" ca="1" si="107"/>
        <v>0</v>
      </c>
      <c r="CR44" s="561">
        <f t="shared" ca="1" si="107"/>
        <v>0</v>
      </c>
      <c r="CS44" s="561">
        <f t="shared" ca="1" si="107"/>
        <v>0</v>
      </c>
      <c r="CT44" s="561">
        <f t="shared" ca="1" si="107"/>
        <v>0</v>
      </c>
      <c r="CU44" s="561">
        <f t="shared" ca="1" si="107"/>
        <v>0</v>
      </c>
      <c r="CV44" s="561">
        <f t="shared" ca="1" si="107"/>
        <v>0</v>
      </c>
      <c r="CW44" s="561">
        <f t="shared" ca="1" si="107"/>
        <v>0</v>
      </c>
      <c r="CX44" s="561">
        <f t="shared" ca="1" si="107"/>
        <v>0</v>
      </c>
      <c r="CY44" s="561">
        <f t="shared" ca="1" si="107"/>
        <v>0</v>
      </c>
      <c r="CZ44" s="561">
        <f t="shared" ca="1" si="107"/>
        <v>0</v>
      </c>
      <c r="DA44" s="561">
        <f t="shared" ca="1" si="107"/>
        <v>0</v>
      </c>
      <c r="DB44" s="561">
        <f t="shared" ca="1" si="107"/>
        <v>0</v>
      </c>
      <c r="DC44" s="561">
        <f t="shared" ca="1" si="108"/>
        <v>0</v>
      </c>
      <c r="DD44" s="561">
        <f t="shared" ca="1" si="108"/>
        <v>0</v>
      </c>
      <c r="DE44" s="561">
        <f t="shared" ca="1" si="108"/>
        <v>0</v>
      </c>
      <c r="DF44" s="561">
        <f t="shared" ca="1" si="108"/>
        <v>0</v>
      </c>
      <c r="DG44" s="561">
        <f t="shared" ca="1" si="108"/>
        <v>0</v>
      </c>
      <c r="DH44" s="561">
        <f t="shared" ca="1" si="108"/>
        <v>0</v>
      </c>
      <c r="DI44" s="561">
        <f t="shared" ca="1" si="108"/>
        <v>0</v>
      </c>
      <c r="DJ44" s="561">
        <f t="shared" ca="1" si="108"/>
        <v>0</v>
      </c>
      <c r="DK44" s="561">
        <f t="shared" ca="1" si="108"/>
        <v>0</v>
      </c>
      <c r="DL44" s="561">
        <f t="shared" ca="1" si="108"/>
        <v>0</v>
      </c>
      <c r="DM44" s="561">
        <f t="shared" ca="1" si="108"/>
        <v>0</v>
      </c>
      <c r="DN44" s="561">
        <f t="shared" ca="1" si="108"/>
        <v>0</v>
      </c>
      <c r="DO44" s="561">
        <f t="shared" ca="1" si="108"/>
        <v>0</v>
      </c>
      <c r="DP44" s="561">
        <f t="shared" ca="1" si="108"/>
        <v>0</v>
      </c>
    </row>
    <row r="45" spans="1:122" outlineLevel="1">
      <c r="A45" s="89">
        <v>1110052010</v>
      </c>
      <c r="B45" s="90" t="s">
        <v>1477</v>
      </c>
      <c r="C45" s="1476" t="s">
        <v>64</v>
      </c>
      <c r="D45" s="1481"/>
      <c r="E45" s="1482">
        <v>44972</v>
      </c>
      <c r="F45" s="420"/>
      <c r="G45" s="1256"/>
      <c r="H45" s="421"/>
      <c r="I45" s="422"/>
      <c r="J45" s="1425">
        <v>1</v>
      </c>
      <c r="K45" s="1426">
        <v>1</v>
      </c>
      <c r="L45" s="1043"/>
      <c r="M45" s="1594">
        <f t="shared" si="95"/>
        <v>0</v>
      </c>
      <c r="N45" s="504"/>
      <c r="O45" s="424">
        <f t="shared" si="96"/>
        <v>0</v>
      </c>
      <c r="P45" s="425">
        <v>-570.42999999999995</v>
      </c>
      <c r="Q45" s="1340">
        <f t="shared" si="97"/>
        <v>-570.42999999999995</v>
      </c>
      <c r="R45" s="515">
        <v>4693.99</v>
      </c>
      <c r="S45" s="426">
        <f ca="1">IF(OR(E45="",E45&gt;TODAY()),0,IF(ISERROR(VLOOKUP($E45,'TRM BanRep'!$A:$G,7,0)),0,VLOOKUP($E45,'TRM BanRep'!$A:$G,7,0)))</f>
        <v>4783.24</v>
      </c>
      <c r="T45" s="427">
        <f t="shared" ca="1" si="98"/>
        <v>-2728503.5931999995</v>
      </c>
      <c r="U45" s="418">
        <f t="shared" si="99"/>
        <v>-570.42999999999995</v>
      </c>
      <c r="V45" s="517">
        <f t="shared" si="102"/>
        <v>-2677592.7156999996</v>
      </c>
      <c r="W45" s="428">
        <f t="shared" ca="1" si="100"/>
        <v>0</v>
      </c>
      <c r="X45" s="429">
        <f t="shared" ca="1" si="101"/>
        <v>-50910.877499999944</v>
      </c>
      <c r="Y45" s="92"/>
      <c r="Z45" s="1055"/>
      <c r="AA45" s="93">
        <f t="shared" ca="1" si="103"/>
        <v>0</v>
      </c>
      <c r="AB45" s="508">
        <f t="shared" ca="1" si="103"/>
        <v>0</v>
      </c>
      <c r="AC45" s="508">
        <f t="shared" ca="1" si="103"/>
        <v>0</v>
      </c>
      <c r="AD45" s="508">
        <f t="shared" ca="1" si="103"/>
        <v>0</v>
      </c>
      <c r="AE45" s="508">
        <f t="shared" ca="1" si="103"/>
        <v>0</v>
      </c>
      <c r="AF45" s="561">
        <f t="shared" ca="1" si="103"/>
        <v>0</v>
      </c>
      <c r="AG45" s="561">
        <f t="shared" ca="1" si="103"/>
        <v>0</v>
      </c>
      <c r="AH45" s="561">
        <f t="shared" ca="1" si="103"/>
        <v>0</v>
      </c>
      <c r="AI45" s="561">
        <f t="shared" ca="1" si="103"/>
        <v>0</v>
      </c>
      <c r="AJ45" s="561">
        <f t="shared" ca="1" si="103"/>
        <v>-570.42999999999995</v>
      </c>
      <c r="AK45" s="561">
        <f t="shared" ca="1" si="103"/>
        <v>0</v>
      </c>
      <c r="AL45" s="1542">
        <f t="shared" ca="1" si="103"/>
        <v>0</v>
      </c>
      <c r="AM45" s="561">
        <f t="shared" ca="1" si="103"/>
        <v>0</v>
      </c>
      <c r="AN45" s="561">
        <f t="shared" ca="1" si="103"/>
        <v>0</v>
      </c>
      <c r="AO45" s="561">
        <f t="shared" ca="1" si="103"/>
        <v>0</v>
      </c>
      <c r="AP45" s="561">
        <f t="shared" ca="1" si="103"/>
        <v>0</v>
      </c>
      <c r="AQ45" s="561">
        <f t="shared" ca="1" si="104"/>
        <v>0</v>
      </c>
      <c r="AR45" s="561">
        <f t="shared" ca="1" si="104"/>
        <v>0</v>
      </c>
      <c r="AS45" s="561">
        <f t="shared" ca="1" si="104"/>
        <v>0</v>
      </c>
      <c r="AT45" s="561">
        <f t="shared" ca="1" si="104"/>
        <v>0</v>
      </c>
      <c r="AU45" s="561">
        <f t="shared" ca="1" si="104"/>
        <v>0</v>
      </c>
      <c r="AV45" s="561">
        <f t="shared" ca="1" si="104"/>
        <v>0</v>
      </c>
      <c r="AW45" s="561">
        <f t="shared" ca="1" si="104"/>
        <v>0</v>
      </c>
      <c r="AX45" s="561">
        <f t="shared" ca="1" si="104"/>
        <v>0</v>
      </c>
      <c r="AY45" s="561">
        <f t="shared" ca="1" si="104"/>
        <v>0</v>
      </c>
      <c r="AZ45" s="561">
        <f t="shared" ca="1" si="104"/>
        <v>0</v>
      </c>
      <c r="BA45" s="561">
        <f t="shared" ca="1" si="104"/>
        <v>0</v>
      </c>
      <c r="BB45" s="561">
        <f t="shared" ca="1" si="104"/>
        <v>0</v>
      </c>
      <c r="BC45" s="561">
        <f t="shared" ca="1" si="104"/>
        <v>0</v>
      </c>
      <c r="BD45" s="561">
        <f t="shared" ca="1" si="104"/>
        <v>0</v>
      </c>
      <c r="BE45" s="561">
        <f t="shared" ca="1" si="104"/>
        <v>0</v>
      </c>
      <c r="BF45" s="561">
        <f t="shared" ca="1" si="104"/>
        <v>0</v>
      </c>
      <c r="BG45" s="561">
        <f t="shared" ca="1" si="105"/>
        <v>0</v>
      </c>
      <c r="BH45" s="561">
        <f t="shared" ca="1" si="105"/>
        <v>0</v>
      </c>
      <c r="BI45" s="561">
        <f t="shared" ca="1" si="105"/>
        <v>0</v>
      </c>
      <c r="BJ45" s="561">
        <f t="shared" ca="1" si="105"/>
        <v>0</v>
      </c>
      <c r="BK45" s="561">
        <f t="shared" ca="1" si="105"/>
        <v>0</v>
      </c>
      <c r="BL45" s="561">
        <f t="shared" ca="1" si="105"/>
        <v>0</v>
      </c>
      <c r="BM45" s="561">
        <f t="shared" ca="1" si="105"/>
        <v>0</v>
      </c>
      <c r="BN45" s="561">
        <f t="shared" ca="1" si="105"/>
        <v>0</v>
      </c>
      <c r="BO45" s="561">
        <f t="shared" ca="1" si="105"/>
        <v>0</v>
      </c>
      <c r="BP45" s="561">
        <f t="shared" ca="1" si="105"/>
        <v>0</v>
      </c>
      <c r="BQ45" s="561">
        <f t="shared" ca="1" si="105"/>
        <v>0</v>
      </c>
      <c r="BR45" s="561">
        <f t="shared" ca="1" si="105"/>
        <v>0</v>
      </c>
      <c r="BS45" s="561">
        <f t="shared" ca="1" si="105"/>
        <v>0</v>
      </c>
      <c r="BT45" s="561">
        <f t="shared" ca="1" si="105"/>
        <v>0</v>
      </c>
      <c r="BU45" s="561">
        <f t="shared" ca="1" si="105"/>
        <v>0</v>
      </c>
      <c r="BV45" s="561">
        <f t="shared" ca="1" si="105"/>
        <v>0</v>
      </c>
      <c r="BW45" s="561">
        <f t="shared" ca="1" si="106"/>
        <v>0</v>
      </c>
      <c r="BX45" s="561">
        <f t="shared" ca="1" si="106"/>
        <v>0</v>
      </c>
      <c r="BY45" s="561">
        <f t="shared" ca="1" si="106"/>
        <v>0</v>
      </c>
      <c r="BZ45" s="561">
        <f t="shared" ca="1" si="106"/>
        <v>0</v>
      </c>
      <c r="CA45" s="561">
        <f t="shared" ca="1" si="106"/>
        <v>0</v>
      </c>
      <c r="CB45" s="561">
        <f t="shared" ca="1" si="106"/>
        <v>0</v>
      </c>
      <c r="CC45" s="561">
        <f t="shared" ca="1" si="106"/>
        <v>0</v>
      </c>
      <c r="CD45" s="561">
        <f t="shared" ca="1" si="106"/>
        <v>0</v>
      </c>
      <c r="CE45" s="561">
        <f t="shared" ca="1" si="106"/>
        <v>0</v>
      </c>
      <c r="CF45" s="561">
        <f t="shared" ca="1" si="106"/>
        <v>0</v>
      </c>
      <c r="CG45" s="561">
        <f t="shared" ca="1" si="106"/>
        <v>0</v>
      </c>
      <c r="CH45" s="561">
        <f t="shared" ca="1" si="106"/>
        <v>0</v>
      </c>
      <c r="CI45" s="561">
        <f t="shared" ca="1" si="106"/>
        <v>0</v>
      </c>
      <c r="CJ45" s="561">
        <f t="shared" ca="1" si="106"/>
        <v>0</v>
      </c>
      <c r="CK45" s="561">
        <f t="shared" ca="1" si="106"/>
        <v>0</v>
      </c>
      <c r="CL45" s="561">
        <f t="shared" ca="1" si="106"/>
        <v>0</v>
      </c>
      <c r="CM45" s="561">
        <f t="shared" ca="1" si="107"/>
        <v>0</v>
      </c>
      <c r="CN45" s="561">
        <f t="shared" ca="1" si="107"/>
        <v>0</v>
      </c>
      <c r="CO45" s="561">
        <f t="shared" ca="1" si="107"/>
        <v>0</v>
      </c>
      <c r="CP45" s="561">
        <f t="shared" ca="1" si="107"/>
        <v>0</v>
      </c>
      <c r="CQ45" s="561">
        <f t="shared" ca="1" si="107"/>
        <v>0</v>
      </c>
      <c r="CR45" s="561">
        <f t="shared" ca="1" si="107"/>
        <v>0</v>
      </c>
      <c r="CS45" s="561">
        <f t="shared" ca="1" si="107"/>
        <v>0</v>
      </c>
      <c r="CT45" s="561">
        <f t="shared" ca="1" si="107"/>
        <v>0</v>
      </c>
      <c r="CU45" s="561">
        <f t="shared" ca="1" si="107"/>
        <v>0</v>
      </c>
      <c r="CV45" s="561">
        <f t="shared" ca="1" si="107"/>
        <v>0</v>
      </c>
      <c r="CW45" s="561">
        <f t="shared" ca="1" si="107"/>
        <v>0</v>
      </c>
      <c r="CX45" s="561">
        <f t="shared" ca="1" si="107"/>
        <v>0</v>
      </c>
      <c r="CY45" s="561">
        <f t="shared" ca="1" si="107"/>
        <v>0</v>
      </c>
      <c r="CZ45" s="561">
        <f t="shared" ca="1" si="107"/>
        <v>0</v>
      </c>
      <c r="DA45" s="561">
        <f t="shared" ca="1" si="107"/>
        <v>0</v>
      </c>
      <c r="DB45" s="561">
        <f t="shared" ca="1" si="107"/>
        <v>0</v>
      </c>
      <c r="DC45" s="561">
        <f t="shared" ca="1" si="108"/>
        <v>0</v>
      </c>
      <c r="DD45" s="561">
        <f t="shared" ca="1" si="108"/>
        <v>0</v>
      </c>
      <c r="DE45" s="561">
        <f t="shared" ca="1" si="108"/>
        <v>0</v>
      </c>
      <c r="DF45" s="561">
        <f t="shared" ca="1" si="108"/>
        <v>0</v>
      </c>
      <c r="DG45" s="561">
        <f t="shared" ca="1" si="108"/>
        <v>0</v>
      </c>
      <c r="DH45" s="561">
        <f t="shared" ca="1" si="108"/>
        <v>0</v>
      </c>
      <c r="DI45" s="561">
        <f t="shared" ca="1" si="108"/>
        <v>0</v>
      </c>
      <c r="DJ45" s="561">
        <f t="shared" ca="1" si="108"/>
        <v>0</v>
      </c>
      <c r="DK45" s="561">
        <f t="shared" ca="1" si="108"/>
        <v>0</v>
      </c>
      <c r="DL45" s="561">
        <f t="shared" ca="1" si="108"/>
        <v>0</v>
      </c>
      <c r="DM45" s="561">
        <f t="shared" ca="1" si="108"/>
        <v>0</v>
      </c>
      <c r="DN45" s="561">
        <f t="shared" ca="1" si="108"/>
        <v>0</v>
      </c>
      <c r="DO45" s="561">
        <f t="shared" ca="1" si="108"/>
        <v>0</v>
      </c>
      <c r="DP45" s="561">
        <f t="shared" ca="1" si="108"/>
        <v>0</v>
      </c>
    </row>
    <row r="46" spans="1:122" outlineLevel="1">
      <c r="A46" s="89">
        <v>1110052010</v>
      </c>
      <c r="B46" s="90" t="s">
        <v>2354</v>
      </c>
      <c r="C46" s="1476" t="s">
        <v>64</v>
      </c>
      <c r="D46" s="1481"/>
      <c r="E46" s="1482">
        <v>44978</v>
      </c>
      <c r="F46" s="420"/>
      <c r="G46" s="1256"/>
      <c r="H46" s="421"/>
      <c r="I46" s="422"/>
      <c r="J46" s="1425">
        <v>1</v>
      </c>
      <c r="K46" s="1426">
        <v>1</v>
      </c>
      <c r="L46" s="1043"/>
      <c r="M46" s="1594">
        <f t="shared" si="95"/>
        <v>0</v>
      </c>
      <c r="N46" s="504"/>
      <c r="O46" s="424">
        <f t="shared" si="96"/>
        <v>0</v>
      </c>
      <c r="P46" s="425">
        <v>-6117</v>
      </c>
      <c r="Q46" s="1340">
        <f t="shared" si="97"/>
        <v>-6117</v>
      </c>
      <c r="R46" s="515">
        <v>4693.99</v>
      </c>
      <c r="S46" s="426">
        <f ca="1">IF(OR(E46="",E46&gt;TODAY()),0,IF(ISERROR(VLOOKUP($E46,'TRM BanRep'!$A:$G,7,0)),0,VLOOKUP($E46,'TRM BanRep'!$A:$G,7,0)))</f>
        <v>4918.9399999999996</v>
      </c>
      <c r="T46" s="427">
        <f t="shared" ca="1" si="98"/>
        <v>-30089155.979999997</v>
      </c>
      <c r="U46" s="418">
        <f t="shared" si="99"/>
        <v>-6117</v>
      </c>
      <c r="V46" s="517">
        <f t="shared" si="102"/>
        <v>-28713136.829999998</v>
      </c>
      <c r="W46" s="428">
        <f t="shared" ca="1" si="100"/>
        <v>0</v>
      </c>
      <c r="X46" s="429">
        <f t="shared" ca="1" si="101"/>
        <v>-1376019.1499999985</v>
      </c>
      <c r="Y46" s="92"/>
      <c r="Z46" s="1055"/>
      <c r="AA46" s="93">
        <f t="shared" ca="1" si="103"/>
        <v>0</v>
      </c>
      <c r="AB46" s="508">
        <f t="shared" ca="1" si="103"/>
        <v>0</v>
      </c>
      <c r="AC46" s="508">
        <f t="shared" ca="1" si="103"/>
        <v>0</v>
      </c>
      <c r="AD46" s="508">
        <f t="shared" ca="1" si="103"/>
        <v>0</v>
      </c>
      <c r="AE46" s="508">
        <f t="shared" ca="1" si="103"/>
        <v>0</v>
      </c>
      <c r="AF46" s="561">
        <f t="shared" ca="1" si="103"/>
        <v>0</v>
      </c>
      <c r="AG46" s="561">
        <f t="shared" ca="1" si="103"/>
        <v>0</v>
      </c>
      <c r="AH46" s="561">
        <f t="shared" ca="1" si="103"/>
        <v>0</v>
      </c>
      <c r="AI46" s="561">
        <f t="shared" ca="1" si="103"/>
        <v>0</v>
      </c>
      <c r="AJ46" s="561">
        <f t="shared" ca="1" si="103"/>
        <v>-6117</v>
      </c>
      <c r="AK46" s="561">
        <f t="shared" ca="1" si="103"/>
        <v>0</v>
      </c>
      <c r="AL46" s="1542">
        <f t="shared" ca="1" si="103"/>
        <v>0</v>
      </c>
      <c r="AM46" s="561">
        <f t="shared" ca="1" si="103"/>
        <v>0</v>
      </c>
      <c r="AN46" s="561">
        <f t="shared" ca="1" si="103"/>
        <v>0</v>
      </c>
      <c r="AO46" s="561">
        <f t="shared" ca="1" si="103"/>
        <v>0</v>
      </c>
      <c r="AP46" s="561">
        <f t="shared" ca="1" si="103"/>
        <v>0</v>
      </c>
      <c r="AQ46" s="561">
        <f t="shared" ca="1" si="104"/>
        <v>0</v>
      </c>
      <c r="AR46" s="561">
        <f t="shared" ca="1" si="104"/>
        <v>0</v>
      </c>
      <c r="AS46" s="561">
        <f t="shared" ca="1" si="104"/>
        <v>0</v>
      </c>
      <c r="AT46" s="561">
        <f t="shared" ca="1" si="104"/>
        <v>0</v>
      </c>
      <c r="AU46" s="561">
        <f t="shared" ca="1" si="104"/>
        <v>0</v>
      </c>
      <c r="AV46" s="561">
        <f t="shared" ca="1" si="104"/>
        <v>0</v>
      </c>
      <c r="AW46" s="561">
        <f t="shared" ca="1" si="104"/>
        <v>0</v>
      </c>
      <c r="AX46" s="561">
        <f t="shared" ca="1" si="104"/>
        <v>0</v>
      </c>
      <c r="AY46" s="561">
        <f t="shared" ca="1" si="104"/>
        <v>0</v>
      </c>
      <c r="AZ46" s="561">
        <f t="shared" ca="1" si="104"/>
        <v>0</v>
      </c>
      <c r="BA46" s="561">
        <f t="shared" ca="1" si="104"/>
        <v>0</v>
      </c>
      <c r="BB46" s="561">
        <f t="shared" ca="1" si="104"/>
        <v>0</v>
      </c>
      <c r="BC46" s="561">
        <f t="shared" ca="1" si="104"/>
        <v>0</v>
      </c>
      <c r="BD46" s="561">
        <f t="shared" ca="1" si="104"/>
        <v>0</v>
      </c>
      <c r="BE46" s="561">
        <f t="shared" ca="1" si="104"/>
        <v>0</v>
      </c>
      <c r="BF46" s="561">
        <f t="shared" ca="1" si="104"/>
        <v>0</v>
      </c>
      <c r="BG46" s="561">
        <f t="shared" ca="1" si="105"/>
        <v>0</v>
      </c>
      <c r="BH46" s="561">
        <f t="shared" ca="1" si="105"/>
        <v>0</v>
      </c>
      <c r="BI46" s="561">
        <f t="shared" ca="1" si="105"/>
        <v>0</v>
      </c>
      <c r="BJ46" s="561">
        <f t="shared" ca="1" si="105"/>
        <v>0</v>
      </c>
      <c r="BK46" s="561">
        <f t="shared" ca="1" si="105"/>
        <v>0</v>
      </c>
      <c r="BL46" s="561">
        <f t="shared" ca="1" si="105"/>
        <v>0</v>
      </c>
      <c r="BM46" s="561">
        <f t="shared" ca="1" si="105"/>
        <v>0</v>
      </c>
      <c r="BN46" s="561">
        <f t="shared" ca="1" si="105"/>
        <v>0</v>
      </c>
      <c r="BO46" s="561">
        <f t="shared" ca="1" si="105"/>
        <v>0</v>
      </c>
      <c r="BP46" s="561">
        <f t="shared" ca="1" si="105"/>
        <v>0</v>
      </c>
      <c r="BQ46" s="561">
        <f t="shared" ca="1" si="105"/>
        <v>0</v>
      </c>
      <c r="BR46" s="561">
        <f t="shared" ca="1" si="105"/>
        <v>0</v>
      </c>
      <c r="BS46" s="561">
        <f t="shared" ca="1" si="105"/>
        <v>0</v>
      </c>
      <c r="BT46" s="561">
        <f t="shared" ca="1" si="105"/>
        <v>0</v>
      </c>
      <c r="BU46" s="561">
        <f t="shared" ca="1" si="105"/>
        <v>0</v>
      </c>
      <c r="BV46" s="561">
        <f t="shared" ca="1" si="105"/>
        <v>0</v>
      </c>
      <c r="BW46" s="561">
        <f t="shared" ca="1" si="106"/>
        <v>0</v>
      </c>
      <c r="BX46" s="561">
        <f t="shared" ca="1" si="106"/>
        <v>0</v>
      </c>
      <c r="BY46" s="561">
        <f t="shared" ca="1" si="106"/>
        <v>0</v>
      </c>
      <c r="BZ46" s="561">
        <f t="shared" ca="1" si="106"/>
        <v>0</v>
      </c>
      <c r="CA46" s="561">
        <f t="shared" ca="1" si="106"/>
        <v>0</v>
      </c>
      <c r="CB46" s="561">
        <f t="shared" ca="1" si="106"/>
        <v>0</v>
      </c>
      <c r="CC46" s="561">
        <f t="shared" ca="1" si="106"/>
        <v>0</v>
      </c>
      <c r="CD46" s="561">
        <f t="shared" ca="1" si="106"/>
        <v>0</v>
      </c>
      <c r="CE46" s="561">
        <f t="shared" ca="1" si="106"/>
        <v>0</v>
      </c>
      <c r="CF46" s="561">
        <f t="shared" ca="1" si="106"/>
        <v>0</v>
      </c>
      <c r="CG46" s="561">
        <f t="shared" ca="1" si="106"/>
        <v>0</v>
      </c>
      <c r="CH46" s="561">
        <f t="shared" ca="1" si="106"/>
        <v>0</v>
      </c>
      <c r="CI46" s="561">
        <f t="shared" ca="1" si="106"/>
        <v>0</v>
      </c>
      <c r="CJ46" s="561">
        <f t="shared" ca="1" si="106"/>
        <v>0</v>
      </c>
      <c r="CK46" s="561">
        <f t="shared" ca="1" si="106"/>
        <v>0</v>
      </c>
      <c r="CL46" s="561">
        <f t="shared" ca="1" si="106"/>
        <v>0</v>
      </c>
      <c r="CM46" s="561">
        <f t="shared" ca="1" si="107"/>
        <v>0</v>
      </c>
      <c r="CN46" s="561">
        <f t="shared" ca="1" si="107"/>
        <v>0</v>
      </c>
      <c r="CO46" s="561">
        <f t="shared" ca="1" si="107"/>
        <v>0</v>
      </c>
      <c r="CP46" s="561">
        <f t="shared" ca="1" si="107"/>
        <v>0</v>
      </c>
      <c r="CQ46" s="561">
        <f t="shared" ca="1" si="107"/>
        <v>0</v>
      </c>
      <c r="CR46" s="561">
        <f t="shared" ca="1" si="107"/>
        <v>0</v>
      </c>
      <c r="CS46" s="561">
        <f t="shared" ca="1" si="107"/>
        <v>0</v>
      </c>
      <c r="CT46" s="561">
        <f t="shared" ca="1" si="107"/>
        <v>0</v>
      </c>
      <c r="CU46" s="561">
        <f t="shared" ca="1" si="107"/>
        <v>0</v>
      </c>
      <c r="CV46" s="561">
        <f t="shared" ca="1" si="107"/>
        <v>0</v>
      </c>
      <c r="CW46" s="561">
        <f t="shared" ca="1" si="107"/>
        <v>0</v>
      </c>
      <c r="CX46" s="561">
        <f t="shared" ca="1" si="107"/>
        <v>0</v>
      </c>
      <c r="CY46" s="561">
        <f t="shared" ca="1" si="107"/>
        <v>0</v>
      </c>
      <c r="CZ46" s="561">
        <f t="shared" ca="1" si="107"/>
        <v>0</v>
      </c>
      <c r="DA46" s="561">
        <f t="shared" ca="1" si="107"/>
        <v>0</v>
      </c>
      <c r="DB46" s="561">
        <f t="shared" ca="1" si="107"/>
        <v>0</v>
      </c>
      <c r="DC46" s="561">
        <f t="shared" ca="1" si="108"/>
        <v>0</v>
      </c>
      <c r="DD46" s="561">
        <f t="shared" ca="1" si="108"/>
        <v>0</v>
      </c>
      <c r="DE46" s="561">
        <f t="shared" ca="1" si="108"/>
        <v>0</v>
      </c>
      <c r="DF46" s="561">
        <f t="shared" ca="1" si="108"/>
        <v>0</v>
      </c>
      <c r="DG46" s="561">
        <f t="shared" ca="1" si="108"/>
        <v>0</v>
      </c>
      <c r="DH46" s="561">
        <f t="shared" ca="1" si="108"/>
        <v>0</v>
      </c>
      <c r="DI46" s="561">
        <f t="shared" ca="1" si="108"/>
        <v>0</v>
      </c>
      <c r="DJ46" s="561">
        <f t="shared" ca="1" si="108"/>
        <v>0</v>
      </c>
      <c r="DK46" s="561">
        <f t="shared" ca="1" si="108"/>
        <v>0</v>
      </c>
      <c r="DL46" s="561">
        <f t="shared" ca="1" si="108"/>
        <v>0</v>
      </c>
      <c r="DM46" s="561">
        <f t="shared" ca="1" si="108"/>
        <v>0</v>
      </c>
      <c r="DN46" s="561">
        <f t="shared" ca="1" si="108"/>
        <v>0</v>
      </c>
      <c r="DO46" s="561">
        <f t="shared" ca="1" si="108"/>
        <v>0</v>
      </c>
      <c r="DP46" s="561">
        <f t="shared" ca="1" si="108"/>
        <v>0</v>
      </c>
    </row>
    <row r="47" spans="1:122" outlineLevel="1">
      <c r="A47" s="55">
        <v>1110052010</v>
      </c>
      <c r="B47" s="509" t="s">
        <v>2355</v>
      </c>
      <c r="C47" s="679" t="s">
        <v>64</v>
      </c>
      <c r="D47" s="1469"/>
      <c r="E47" s="1470">
        <v>44980</v>
      </c>
      <c r="F47" s="416"/>
      <c r="G47" s="1251"/>
      <c r="H47" s="511"/>
      <c r="I47" s="512"/>
      <c r="J47" s="1425">
        <v>1</v>
      </c>
      <c r="K47" s="1426">
        <v>1</v>
      </c>
      <c r="L47" s="419"/>
      <c r="M47" s="1337">
        <f t="shared" si="95"/>
        <v>0</v>
      </c>
      <c r="N47" s="504"/>
      <c r="O47" s="513">
        <f t="shared" si="96"/>
        <v>0</v>
      </c>
      <c r="P47" s="514">
        <v>-2526</v>
      </c>
      <c r="Q47" s="514">
        <f t="shared" si="97"/>
        <v>-2526</v>
      </c>
      <c r="R47" s="515">
        <v>4693.99</v>
      </c>
      <c r="S47" s="426">
        <f ca="1">IF(OR(E47="",E47&gt;TODAY()),0,IF(ISERROR(VLOOKUP($E47,'TRM BanRep'!$A:$G,7,0)),0,VLOOKUP($E47,'TRM BanRep'!$A:$G,7,0)))</f>
        <v>4924.91</v>
      </c>
      <c r="T47" s="562">
        <f t="shared" ca="1" si="98"/>
        <v>-12440322.66</v>
      </c>
      <c r="U47" s="418">
        <f t="shared" si="99"/>
        <v>-2526</v>
      </c>
      <c r="V47" s="517">
        <f t="shared" si="102"/>
        <v>-11857018.74</v>
      </c>
      <c r="W47" s="976">
        <f t="shared" ca="1" si="100"/>
        <v>0</v>
      </c>
      <c r="X47" s="975">
        <f t="shared" ca="1" si="101"/>
        <v>-583303.91999999993</v>
      </c>
      <c r="Y47" s="519"/>
      <c r="Z47" s="1055"/>
      <c r="AA47" s="93">
        <f t="shared" ca="1" si="103"/>
        <v>0</v>
      </c>
      <c r="AB47" s="508">
        <f t="shared" ca="1" si="103"/>
        <v>0</v>
      </c>
      <c r="AC47" s="508">
        <f t="shared" ca="1" si="103"/>
        <v>0</v>
      </c>
      <c r="AD47" s="508">
        <f t="shared" ca="1" si="103"/>
        <v>0</v>
      </c>
      <c r="AE47" s="508">
        <f t="shared" ca="1" si="103"/>
        <v>0</v>
      </c>
      <c r="AF47" s="561">
        <f t="shared" ca="1" si="103"/>
        <v>0</v>
      </c>
      <c r="AG47" s="561">
        <f t="shared" ca="1" si="103"/>
        <v>0</v>
      </c>
      <c r="AH47" s="561">
        <f t="shared" ca="1" si="103"/>
        <v>0</v>
      </c>
      <c r="AI47" s="561">
        <f t="shared" ca="1" si="103"/>
        <v>0</v>
      </c>
      <c r="AJ47" s="561">
        <f t="shared" ca="1" si="103"/>
        <v>-2526</v>
      </c>
      <c r="AK47" s="561">
        <f t="shared" ca="1" si="103"/>
        <v>0</v>
      </c>
      <c r="AL47" s="1542">
        <f t="shared" ca="1" si="103"/>
        <v>0</v>
      </c>
      <c r="AM47" s="561">
        <f t="shared" ca="1" si="103"/>
        <v>0</v>
      </c>
      <c r="AN47" s="561">
        <f t="shared" ca="1" si="103"/>
        <v>0</v>
      </c>
      <c r="AO47" s="561">
        <f t="shared" ca="1" si="103"/>
        <v>0</v>
      </c>
      <c r="AP47" s="561">
        <f t="shared" ca="1" si="103"/>
        <v>0</v>
      </c>
      <c r="AQ47" s="561">
        <f t="shared" ca="1" si="104"/>
        <v>0</v>
      </c>
      <c r="AR47" s="561">
        <f t="shared" ca="1" si="104"/>
        <v>0</v>
      </c>
      <c r="AS47" s="561">
        <f t="shared" ca="1" si="104"/>
        <v>0</v>
      </c>
      <c r="AT47" s="561">
        <f t="shared" ca="1" si="104"/>
        <v>0</v>
      </c>
      <c r="AU47" s="561">
        <f t="shared" ca="1" si="104"/>
        <v>0</v>
      </c>
      <c r="AV47" s="561">
        <f t="shared" ca="1" si="104"/>
        <v>0</v>
      </c>
      <c r="AW47" s="561">
        <f t="shared" ca="1" si="104"/>
        <v>0</v>
      </c>
      <c r="AX47" s="561">
        <f t="shared" ca="1" si="104"/>
        <v>0</v>
      </c>
      <c r="AY47" s="561">
        <f t="shared" ca="1" si="104"/>
        <v>0</v>
      </c>
      <c r="AZ47" s="561">
        <f t="shared" ca="1" si="104"/>
        <v>0</v>
      </c>
      <c r="BA47" s="561">
        <f t="shared" ca="1" si="104"/>
        <v>0</v>
      </c>
      <c r="BB47" s="561">
        <f t="shared" ca="1" si="104"/>
        <v>0</v>
      </c>
      <c r="BC47" s="561">
        <f t="shared" ca="1" si="104"/>
        <v>0</v>
      </c>
      <c r="BD47" s="561">
        <f t="shared" ca="1" si="104"/>
        <v>0</v>
      </c>
      <c r="BE47" s="561">
        <f t="shared" ca="1" si="104"/>
        <v>0</v>
      </c>
      <c r="BF47" s="561">
        <f t="shared" ca="1" si="104"/>
        <v>0</v>
      </c>
      <c r="BG47" s="561">
        <f t="shared" ca="1" si="105"/>
        <v>0</v>
      </c>
      <c r="BH47" s="561">
        <f t="shared" ca="1" si="105"/>
        <v>0</v>
      </c>
      <c r="BI47" s="561">
        <f t="shared" ca="1" si="105"/>
        <v>0</v>
      </c>
      <c r="BJ47" s="561">
        <f t="shared" ca="1" si="105"/>
        <v>0</v>
      </c>
      <c r="BK47" s="561">
        <f t="shared" ca="1" si="105"/>
        <v>0</v>
      </c>
      <c r="BL47" s="561">
        <f t="shared" ca="1" si="105"/>
        <v>0</v>
      </c>
      <c r="BM47" s="561">
        <f t="shared" ca="1" si="105"/>
        <v>0</v>
      </c>
      <c r="BN47" s="561">
        <f t="shared" ca="1" si="105"/>
        <v>0</v>
      </c>
      <c r="BO47" s="561">
        <f t="shared" ca="1" si="105"/>
        <v>0</v>
      </c>
      <c r="BP47" s="561">
        <f t="shared" ca="1" si="105"/>
        <v>0</v>
      </c>
      <c r="BQ47" s="561">
        <f t="shared" ca="1" si="105"/>
        <v>0</v>
      </c>
      <c r="BR47" s="561">
        <f t="shared" ca="1" si="105"/>
        <v>0</v>
      </c>
      <c r="BS47" s="561">
        <f t="shared" ca="1" si="105"/>
        <v>0</v>
      </c>
      <c r="BT47" s="561">
        <f t="shared" ca="1" si="105"/>
        <v>0</v>
      </c>
      <c r="BU47" s="561">
        <f t="shared" ca="1" si="105"/>
        <v>0</v>
      </c>
      <c r="BV47" s="561">
        <f t="shared" ca="1" si="105"/>
        <v>0</v>
      </c>
      <c r="BW47" s="561">
        <f t="shared" ca="1" si="106"/>
        <v>0</v>
      </c>
      <c r="BX47" s="561">
        <f t="shared" ca="1" si="106"/>
        <v>0</v>
      </c>
      <c r="BY47" s="561">
        <f t="shared" ca="1" si="106"/>
        <v>0</v>
      </c>
      <c r="BZ47" s="561">
        <f t="shared" ca="1" si="106"/>
        <v>0</v>
      </c>
      <c r="CA47" s="561">
        <f t="shared" ca="1" si="106"/>
        <v>0</v>
      </c>
      <c r="CB47" s="561">
        <f t="shared" ca="1" si="106"/>
        <v>0</v>
      </c>
      <c r="CC47" s="561">
        <f t="shared" ca="1" si="106"/>
        <v>0</v>
      </c>
      <c r="CD47" s="561">
        <f t="shared" ca="1" si="106"/>
        <v>0</v>
      </c>
      <c r="CE47" s="561">
        <f t="shared" ca="1" si="106"/>
        <v>0</v>
      </c>
      <c r="CF47" s="561">
        <f t="shared" ca="1" si="106"/>
        <v>0</v>
      </c>
      <c r="CG47" s="561">
        <f t="shared" ca="1" si="106"/>
        <v>0</v>
      </c>
      <c r="CH47" s="561">
        <f t="shared" ca="1" si="106"/>
        <v>0</v>
      </c>
      <c r="CI47" s="561">
        <f t="shared" ca="1" si="106"/>
        <v>0</v>
      </c>
      <c r="CJ47" s="561">
        <f t="shared" ca="1" si="106"/>
        <v>0</v>
      </c>
      <c r="CK47" s="561">
        <f t="shared" ca="1" si="106"/>
        <v>0</v>
      </c>
      <c r="CL47" s="561">
        <f t="shared" ca="1" si="106"/>
        <v>0</v>
      </c>
      <c r="CM47" s="561">
        <f t="shared" ca="1" si="107"/>
        <v>0</v>
      </c>
      <c r="CN47" s="561">
        <f t="shared" ca="1" si="107"/>
        <v>0</v>
      </c>
      <c r="CO47" s="561">
        <f t="shared" ca="1" si="107"/>
        <v>0</v>
      </c>
      <c r="CP47" s="561">
        <f t="shared" ca="1" si="107"/>
        <v>0</v>
      </c>
      <c r="CQ47" s="561">
        <f t="shared" ca="1" si="107"/>
        <v>0</v>
      </c>
      <c r="CR47" s="561">
        <f t="shared" ca="1" si="107"/>
        <v>0</v>
      </c>
      <c r="CS47" s="561">
        <f t="shared" ca="1" si="107"/>
        <v>0</v>
      </c>
      <c r="CT47" s="561">
        <f t="shared" ca="1" si="107"/>
        <v>0</v>
      </c>
      <c r="CU47" s="561">
        <f t="shared" ca="1" si="107"/>
        <v>0</v>
      </c>
      <c r="CV47" s="561">
        <f t="shared" ca="1" si="107"/>
        <v>0</v>
      </c>
      <c r="CW47" s="561">
        <f t="shared" ca="1" si="107"/>
        <v>0</v>
      </c>
      <c r="CX47" s="561">
        <f t="shared" ca="1" si="107"/>
        <v>0</v>
      </c>
      <c r="CY47" s="561">
        <f t="shared" ca="1" si="107"/>
        <v>0</v>
      </c>
      <c r="CZ47" s="561">
        <f t="shared" ca="1" si="107"/>
        <v>0</v>
      </c>
      <c r="DA47" s="561">
        <f t="shared" ca="1" si="107"/>
        <v>0</v>
      </c>
      <c r="DB47" s="561">
        <f t="shared" ca="1" si="107"/>
        <v>0</v>
      </c>
      <c r="DC47" s="561">
        <f t="shared" ca="1" si="108"/>
        <v>0</v>
      </c>
      <c r="DD47" s="561">
        <f t="shared" ca="1" si="108"/>
        <v>0</v>
      </c>
      <c r="DE47" s="561">
        <f t="shared" ca="1" si="108"/>
        <v>0</v>
      </c>
      <c r="DF47" s="561">
        <f t="shared" ca="1" si="108"/>
        <v>0</v>
      </c>
      <c r="DG47" s="561">
        <f t="shared" ca="1" si="108"/>
        <v>0</v>
      </c>
      <c r="DH47" s="561">
        <f t="shared" ca="1" si="108"/>
        <v>0</v>
      </c>
      <c r="DI47" s="561">
        <f t="shared" ca="1" si="108"/>
        <v>0</v>
      </c>
      <c r="DJ47" s="561">
        <f t="shared" ca="1" si="108"/>
        <v>0</v>
      </c>
      <c r="DK47" s="561">
        <f t="shared" ca="1" si="108"/>
        <v>0</v>
      </c>
      <c r="DL47" s="561">
        <f t="shared" ca="1" si="108"/>
        <v>0</v>
      </c>
      <c r="DM47" s="561">
        <f t="shared" ca="1" si="108"/>
        <v>0</v>
      </c>
      <c r="DN47" s="561">
        <f t="shared" ca="1" si="108"/>
        <v>0</v>
      </c>
      <c r="DO47" s="561">
        <f t="shared" ca="1" si="108"/>
        <v>0</v>
      </c>
      <c r="DP47" s="561">
        <f t="shared" ca="1" si="108"/>
        <v>0</v>
      </c>
    </row>
    <row r="48" spans="1:122" outlineLevel="1">
      <c r="A48" s="55">
        <v>1110052010</v>
      </c>
      <c r="B48" s="509" t="s">
        <v>2356</v>
      </c>
      <c r="C48" s="679" t="s">
        <v>64</v>
      </c>
      <c r="D48" s="1469"/>
      <c r="E48" s="1470">
        <v>44981</v>
      </c>
      <c r="F48" s="416"/>
      <c r="G48" s="1251"/>
      <c r="H48" s="511"/>
      <c r="I48" s="512"/>
      <c r="J48" s="1425">
        <v>1</v>
      </c>
      <c r="K48" s="1426">
        <v>1</v>
      </c>
      <c r="L48" s="419"/>
      <c r="M48" s="1594">
        <f t="shared" si="95"/>
        <v>0</v>
      </c>
      <c r="N48" s="415"/>
      <c r="O48" s="513">
        <f t="shared" si="96"/>
        <v>0</v>
      </c>
      <c r="P48" s="514">
        <v>-9181.6</v>
      </c>
      <c r="Q48" s="514">
        <f t="shared" si="97"/>
        <v>-9181.6</v>
      </c>
      <c r="R48" s="515">
        <v>4693.99</v>
      </c>
      <c r="S48" s="426">
        <f ca="1">IF(OR(E48="",E48&gt;TODAY()),0,IF(ISERROR(VLOOKUP($E48,'TRM BanRep'!$A:$G,7,0)),0,VLOOKUP($E48,'TRM BanRep'!$A:$G,7,0)))</f>
        <v>4853.8999999999996</v>
      </c>
      <c r="T48" s="562">
        <f t="shared" ca="1" si="98"/>
        <v>-44566568.240000002</v>
      </c>
      <c r="U48" s="418">
        <f t="shared" si="99"/>
        <v>-9181.6</v>
      </c>
      <c r="V48" s="517">
        <f t="shared" si="102"/>
        <v>-43098338.583999999</v>
      </c>
      <c r="W48" s="976">
        <f t="shared" ca="1" si="100"/>
        <v>0</v>
      </c>
      <c r="X48" s="975">
        <f t="shared" ca="1" si="101"/>
        <v>-1468229.6560000032</v>
      </c>
      <c r="Y48" s="519"/>
      <c r="Z48" s="1055"/>
      <c r="AA48" s="93">
        <f t="shared" ca="1" si="103"/>
        <v>0</v>
      </c>
      <c r="AB48" s="508">
        <f t="shared" ca="1" si="103"/>
        <v>0</v>
      </c>
      <c r="AC48" s="508">
        <f t="shared" ca="1" si="103"/>
        <v>0</v>
      </c>
      <c r="AD48" s="508">
        <f t="shared" ca="1" si="103"/>
        <v>0</v>
      </c>
      <c r="AE48" s="508">
        <f t="shared" ca="1" si="103"/>
        <v>0</v>
      </c>
      <c r="AF48" s="561">
        <f t="shared" ca="1" si="103"/>
        <v>0</v>
      </c>
      <c r="AG48" s="561">
        <f t="shared" ca="1" si="103"/>
        <v>0</v>
      </c>
      <c r="AH48" s="561">
        <f t="shared" ca="1" si="103"/>
        <v>0</v>
      </c>
      <c r="AI48" s="561">
        <f t="shared" ca="1" si="103"/>
        <v>0</v>
      </c>
      <c r="AJ48" s="561">
        <f t="shared" ca="1" si="103"/>
        <v>-9181.6</v>
      </c>
      <c r="AK48" s="561">
        <f t="shared" ca="1" si="103"/>
        <v>0</v>
      </c>
      <c r="AL48" s="1542">
        <f t="shared" ca="1" si="103"/>
        <v>0</v>
      </c>
      <c r="AM48" s="561">
        <f t="shared" ca="1" si="103"/>
        <v>0</v>
      </c>
      <c r="AN48" s="561">
        <f t="shared" ca="1" si="103"/>
        <v>0</v>
      </c>
      <c r="AO48" s="561">
        <f t="shared" ca="1" si="103"/>
        <v>0</v>
      </c>
      <c r="AP48" s="561">
        <f t="shared" ca="1" si="103"/>
        <v>0</v>
      </c>
      <c r="AQ48" s="561">
        <f t="shared" ca="1" si="104"/>
        <v>0</v>
      </c>
      <c r="AR48" s="561">
        <f t="shared" ca="1" si="104"/>
        <v>0</v>
      </c>
      <c r="AS48" s="561">
        <f t="shared" ca="1" si="104"/>
        <v>0</v>
      </c>
      <c r="AT48" s="561">
        <f t="shared" ca="1" si="104"/>
        <v>0</v>
      </c>
      <c r="AU48" s="561">
        <f t="shared" ca="1" si="104"/>
        <v>0</v>
      </c>
      <c r="AV48" s="561">
        <f t="shared" ca="1" si="104"/>
        <v>0</v>
      </c>
      <c r="AW48" s="561">
        <f t="shared" ca="1" si="104"/>
        <v>0</v>
      </c>
      <c r="AX48" s="561">
        <f t="shared" ca="1" si="104"/>
        <v>0</v>
      </c>
      <c r="AY48" s="561">
        <f t="shared" ca="1" si="104"/>
        <v>0</v>
      </c>
      <c r="AZ48" s="561">
        <f t="shared" ca="1" si="104"/>
        <v>0</v>
      </c>
      <c r="BA48" s="561">
        <f t="shared" ca="1" si="104"/>
        <v>0</v>
      </c>
      <c r="BB48" s="561">
        <f t="shared" ca="1" si="104"/>
        <v>0</v>
      </c>
      <c r="BC48" s="561">
        <f t="shared" ca="1" si="104"/>
        <v>0</v>
      </c>
      <c r="BD48" s="561">
        <f t="shared" ca="1" si="104"/>
        <v>0</v>
      </c>
      <c r="BE48" s="561">
        <f t="shared" ca="1" si="104"/>
        <v>0</v>
      </c>
      <c r="BF48" s="561">
        <f t="shared" ca="1" si="104"/>
        <v>0</v>
      </c>
      <c r="BG48" s="561">
        <f t="shared" ca="1" si="105"/>
        <v>0</v>
      </c>
      <c r="BH48" s="561">
        <f t="shared" ca="1" si="105"/>
        <v>0</v>
      </c>
      <c r="BI48" s="561">
        <f t="shared" ca="1" si="105"/>
        <v>0</v>
      </c>
      <c r="BJ48" s="561">
        <f t="shared" ca="1" si="105"/>
        <v>0</v>
      </c>
      <c r="BK48" s="561">
        <f t="shared" ca="1" si="105"/>
        <v>0</v>
      </c>
      <c r="BL48" s="561">
        <f t="shared" ca="1" si="105"/>
        <v>0</v>
      </c>
      <c r="BM48" s="561">
        <f t="shared" ca="1" si="105"/>
        <v>0</v>
      </c>
      <c r="BN48" s="561">
        <f t="shared" ca="1" si="105"/>
        <v>0</v>
      </c>
      <c r="BO48" s="561">
        <f t="shared" ca="1" si="105"/>
        <v>0</v>
      </c>
      <c r="BP48" s="561">
        <f t="shared" ca="1" si="105"/>
        <v>0</v>
      </c>
      <c r="BQ48" s="561">
        <f t="shared" ca="1" si="105"/>
        <v>0</v>
      </c>
      <c r="BR48" s="561">
        <f t="shared" ca="1" si="105"/>
        <v>0</v>
      </c>
      <c r="BS48" s="561">
        <f t="shared" ca="1" si="105"/>
        <v>0</v>
      </c>
      <c r="BT48" s="561">
        <f t="shared" ca="1" si="105"/>
        <v>0</v>
      </c>
      <c r="BU48" s="561">
        <f t="shared" ca="1" si="105"/>
        <v>0</v>
      </c>
      <c r="BV48" s="561">
        <f t="shared" ca="1" si="105"/>
        <v>0</v>
      </c>
      <c r="BW48" s="561">
        <f t="shared" ca="1" si="106"/>
        <v>0</v>
      </c>
      <c r="BX48" s="561">
        <f t="shared" ca="1" si="106"/>
        <v>0</v>
      </c>
      <c r="BY48" s="561">
        <f t="shared" ca="1" si="106"/>
        <v>0</v>
      </c>
      <c r="BZ48" s="561">
        <f t="shared" ca="1" si="106"/>
        <v>0</v>
      </c>
      <c r="CA48" s="561">
        <f t="shared" ca="1" si="106"/>
        <v>0</v>
      </c>
      <c r="CB48" s="561">
        <f t="shared" ca="1" si="106"/>
        <v>0</v>
      </c>
      <c r="CC48" s="561">
        <f t="shared" ca="1" si="106"/>
        <v>0</v>
      </c>
      <c r="CD48" s="561">
        <f t="shared" ca="1" si="106"/>
        <v>0</v>
      </c>
      <c r="CE48" s="561">
        <f t="shared" ca="1" si="106"/>
        <v>0</v>
      </c>
      <c r="CF48" s="561">
        <f t="shared" ca="1" si="106"/>
        <v>0</v>
      </c>
      <c r="CG48" s="561">
        <f t="shared" ca="1" si="106"/>
        <v>0</v>
      </c>
      <c r="CH48" s="561">
        <f t="shared" ca="1" si="106"/>
        <v>0</v>
      </c>
      <c r="CI48" s="561">
        <f t="shared" ca="1" si="106"/>
        <v>0</v>
      </c>
      <c r="CJ48" s="561">
        <f t="shared" ca="1" si="106"/>
        <v>0</v>
      </c>
      <c r="CK48" s="561">
        <f t="shared" ca="1" si="106"/>
        <v>0</v>
      </c>
      <c r="CL48" s="561">
        <f t="shared" ca="1" si="106"/>
        <v>0</v>
      </c>
      <c r="CM48" s="561">
        <f t="shared" ca="1" si="107"/>
        <v>0</v>
      </c>
      <c r="CN48" s="561">
        <f t="shared" ca="1" si="107"/>
        <v>0</v>
      </c>
      <c r="CO48" s="561">
        <f t="shared" ca="1" si="107"/>
        <v>0</v>
      </c>
      <c r="CP48" s="561">
        <f t="shared" ca="1" si="107"/>
        <v>0</v>
      </c>
      <c r="CQ48" s="561">
        <f t="shared" ca="1" si="107"/>
        <v>0</v>
      </c>
      <c r="CR48" s="561">
        <f t="shared" ca="1" si="107"/>
        <v>0</v>
      </c>
      <c r="CS48" s="561">
        <f t="shared" ca="1" si="107"/>
        <v>0</v>
      </c>
      <c r="CT48" s="561">
        <f t="shared" ca="1" si="107"/>
        <v>0</v>
      </c>
      <c r="CU48" s="561">
        <f t="shared" ca="1" si="107"/>
        <v>0</v>
      </c>
      <c r="CV48" s="561">
        <f t="shared" ca="1" si="107"/>
        <v>0</v>
      </c>
      <c r="CW48" s="561">
        <f t="shared" ca="1" si="107"/>
        <v>0</v>
      </c>
      <c r="CX48" s="561">
        <f t="shared" ca="1" si="107"/>
        <v>0</v>
      </c>
      <c r="CY48" s="561">
        <f t="shared" ca="1" si="107"/>
        <v>0</v>
      </c>
      <c r="CZ48" s="561">
        <f t="shared" ca="1" si="107"/>
        <v>0</v>
      </c>
      <c r="DA48" s="561">
        <f t="shared" ca="1" si="107"/>
        <v>0</v>
      </c>
      <c r="DB48" s="561">
        <f t="shared" ca="1" si="107"/>
        <v>0</v>
      </c>
      <c r="DC48" s="561">
        <f t="shared" ca="1" si="108"/>
        <v>0</v>
      </c>
      <c r="DD48" s="561">
        <f t="shared" ca="1" si="108"/>
        <v>0</v>
      </c>
      <c r="DE48" s="561">
        <f t="shared" ca="1" si="108"/>
        <v>0</v>
      </c>
      <c r="DF48" s="561">
        <f t="shared" ca="1" si="108"/>
        <v>0</v>
      </c>
      <c r="DG48" s="561">
        <f t="shared" ca="1" si="108"/>
        <v>0</v>
      </c>
      <c r="DH48" s="561">
        <f t="shared" ca="1" si="108"/>
        <v>0</v>
      </c>
      <c r="DI48" s="561">
        <f t="shared" ca="1" si="108"/>
        <v>0</v>
      </c>
      <c r="DJ48" s="561">
        <f t="shared" ca="1" si="108"/>
        <v>0</v>
      </c>
      <c r="DK48" s="561">
        <f t="shared" ca="1" si="108"/>
        <v>0</v>
      </c>
      <c r="DL48" s="561">
        <f t="shared" ca="1" si="108"/>
        <v>0</v>
      </c>
      <c r="DM48" s="561">
        <f t="shared" ca="1" si="108"/>
        <v>0</v>
      </c>
      <c r="DN48" s="561">
        <f t="shared" ca="1" si="108"/>
        <v>0</v>
      </c>
      <c r="DO48" s="561">
        <f t="shared" ca="1" si="108"/>
        <v>0</v>
      </c>
      <c r="DP48" s="561">
        <f t="shared" ca="1" si="108"/>
        <v>0</v>
      </c>
    </row>
    <row r="49" spans="1:120" outlineLevel="1">
      <c r="A49" s="55">
        <v>1110052010</v>
      </c>
      <c r="B49" s="509" t="s">
        <v>2357</v>
      </c>
      <c r="C49" s="679" t="s">
        <v>64</v>
      </c>
      <c r="D49" s="1469"/>
      <c r="E49" s="1470">
        <v>44984</v>
      </c>
      <c r="F49" s="416"/>
      <c r="G49" s="1251"/>
      <c r="H49" s="511"/>
      <c r="I49" s="512"/>
      <c r="J49" s="1425">
        <v>1</v>
      </c>
      <c r="K49" s="1426">
        <v>1</v>
      </c>
      <c r="L49" s="419"/>
      <c r="M49" s="1594">
        <f t="shared" ref="M49" si="109">+L49*J49</f>
        <v>0</v>
      </c>
      <c r="N49" s="415"/>
      <c r="O49" s="513">
        <f t="shared" ref="O49" si="110">+L49*J49*N49</f>
        <v>0</v>
      </c>
      <c r="P49" s="514">
        <v>-8207.5</v>
      </c>
      <c r="Q49" s="514">
        <f t="shared" ref="Q49" si="111">+P49*K49</f>
        <v>-8207.5</v>
      </c>
      <c r="R49" s="515">
        <v>4693.99</v>
      </c>
      <c r="S49" s="426">
        <f ca="1">IF(OR(E49="",E49&gt;TODAY()),0,IF(ISERROR(VLOOKUP($E49,'TRM BanRep'!$A:$G,7,0)),0,VLOOKUP($E49,'TRM BanRep'!$A:$G,7,0)))</f>
        <v>4849.6499999999996</v>
      </c>
      <c r="T49" s="562">
        <f t="shared" ref="T49" ca="1" si="112">+P49*K49*S49</f>
        <v>-39803502.375</v>
      </c>
      <c r="U49" s="418">
        <f t="shared" ref="U49" si="113">+L49+P49+F49</f>
        <v>-8207.5</v>
      </c>
      <c r="V49" s="517">
        <f t="shared" si="102"/>
        <v>-38525922.924999997</v>
      </c>
      <c r="W49" s="976">
        <f t="shared" ref="W49" ca="1" si="114">IF((-P49*J49*R49)-(-P49*K49*S49)&gt;0,(-P49*J49*R49)-(-P49*K49*S49),0)</f>
        <v>0</v>
      </c>
      <c r="X49" s="975">
        <f t="shared" ref="X49" ca="1" si="115">IF((-P49*J49*R49)-(-P49*K49*S49)&lt;0,(-P49*J49*R49)-(-P49*K49*S49),0)</f>
        <v>-1277579.450000003</v>
      </c>
      <c r="Y49" s="519"/>
      <c r="Z49" s="1055"/>
      <c r="AA49" s="93">
        <f t="shared" ca="1" si="103"/>
        <v>0</v>
      </c>
      <c r="AB49" s="508">
        <f t="shared" ca="1" si="103"/>
        <v>0</v>
      </c>
      <c r="AC49" s="508">
        <f t="shared" ca="1" si="103"/>
        <v>0</v>
      </c>
      <c r="AD49" s="508">
        <f t="shared" ca="1" si="103"/>
        <v>0</v>
      </c>
      <c r="AE49" s="508">
        <f t="shared" ca="1" si="103"/>
        <v>0</v>
      </c>
      <c r="AF49" s="561">
        <f t="shared" ca="1" si="103"/>
        <v>0</v>
      </c>
      <c r="AG49" s="561">
        <f t="shared" ca="1" si="103"/>
        <v>0</v>
      </c>
      <c r="AH49" s="561">
        <f t="shared" ca="1" si="103"/>
        <v>0</v>
      </c>
      <c r="AI49" s="561">
        <f t="shared" ca="1" si="103"/>
        <v>0</v>
      </c>
      <c r="AJ49" s="561">
        <f t="shared" ca="1" si="103"/>
        <v>-8207.5</v>
      </c>
      <c r="AK49" s="561">
        <f t="shared" ca="1" si="103"/>
        <v>0</v>
      </c>
      <c r="AL49" s="1542">
        <f t="shared" ca="1" si="103"/>
        <v>0</v>
      </c>
      <c r="AM49" s="561">
        <f t="shared" ca="1" si="103"/>
        <v>0</v>
      </c>
      <c r="AN49" s="561">
        <f t="shared" ca="1" si="103"/>
        <v>0</v>
      </c>
      <c r="AO49" s="561">
        <f t="shared" ca="1" si="103"/>
        <v>0</v>
      </c>
      <c r="AP49" s="561">
        <f t="shared" ca="1" si="103"/>
        <v>0</v>
      </c>
      <c r="AQ49" s="561">
        <f t="shared" ca="1" si="104"/>
        <v>0</v>
      </c>
      <c r="AR49" s="561">
        <f t="shared" ca="1" si="104"/>
        <v>0</v>
      </c>
      <c r="AS49" s="561">
        <f t="shared" ca="1" si="104"/>
        <v>0</v>
      </c>
      <c r="AT49" s="561">
        <f t="shared" ca="1" si="104"/>
        <v>0</v>
      </c>
      <c r="AU49" s="561">
        <f t="shared" ca="1" si="104"/>
        <v>0</v>
      </c>
      <c r="AV49" s="561">
        <f t="shared" ca="1" si="104"/>
        <v>0</v>
      </c>
      <c r="AW49" s="561">
        <f t="shared" ca="1" si="104"/>
        <v>0</v>
      </c>
      <c r="AX49" s="561">
        <f t="shared" ca="1" si="104"/>
        <v>0</v>
      </c>
      <c r="AY49" s="561">
        <f t="shared" ca="1" si="104"/>
        <v>0</v>
      </c>
      <c r="AZ49" s="561">
        <f t="shared" ca="1" si="104"/>
        <v>0</v>
      </c>
      <c r="BA49" s="561">
        <f t="shared" ca="1" si="104"/>
        <v>0</v>
      </c>
      <c r="BB49" s="561">
        <f t="shared" ca="1" si="104"/>
        <v>0</v>
      </c>
      <c r="BC49" s="561">
        <f t="shared" ca="1" si="104"/>
        <v>0</v>
      </c>
      <c r="BD49" s="561">
        <f t="shared" ca="1" si="104"/>
        <v>0</v>
      </c>
      <c r="BE49" s="561">
        <f t="shared" ca="1" si="104"/>
        <v>0</v>
      </c>
      <c r="BF49" s="561">
        <f t="shared" ca="1" si="104"/>
        <v>0</v>
      </c>
      <c r="BG49" s="561">
        <f t="shared" ca="1" si="105"/>
        <v>0</v>
      </c>
      <c r="BH49" s="561">
        <f t="shared" ca="1" si="105"/>
        <v>0</v>
      </c>
      <c r="BI49" s="561">
        <f t="shared" ca="1" si="105"/>
        <v>0</v>
      </c>
      <c r="BJ49" s="561">
        <f t="shared" ca="1" si="105"/>
        <v>0</v>
      </c>
      <c r="BK49" s="561">
        <f t="shared" ca="1" si="105"/>
        <v>0</v>
      </c>
      <c r="BL49" s="561">
        <f t="shared" ca="1" si="105"/>
        <v>0</v>
      </c>
      <c r="BM49" s="561">
        <f t="shared" ca="1" si="105"/>
        <v>0</v>
      </c>
      <c r="BN49" s="561">
        <f t="shared" ca="1" si="105"/>
        <v>0</v>
      </c>
      <c r="BO49" s="561">
        <f t="shared" ca="1" si="105"/>
        <v>0</v>
      </c>
      <c r="BP49" s="561">
        <f t="shared" ca="1" si="105"/>
        <v>0</v>
      </c>
      <c r="BQ49" s="561">
        <f t="shared" ca="1" si="105"/>
        <v>0</v>
      </c>
      <c r="BR49" s="561">
        <f t="shared" ca="1" si="105"/>
        <v>0</v>
      </c>
      <c r="BS49" s="561">
        <f t="shared" ca="1" si="105"/>
        <v>0</v>
      </c>
      <c r="BT49" s="561">
        <f t="shared" ca="1" si="105"/>
        <v>0</v>
      </c>
      <c r="BU49" s="561">
        <f t="shared" ca="1" si="105"/>
        <v>0</v>
      </c>
      <c r="BV49" s="561">
        <f t="shared" ca="1" si="105"/>
        <v>0</v>
      </c>
      <c r="BW49" s="561">
        <f t="shared" ca="1" si="106"/>
        <v>0</v>
      </c>
      <c r="BX49" s="561">
        <f t="shared" ca="1" si="106"/>
        <v>0</v>
      </c>
      <c r="BY49" s="561">
        <f t="shared" ca="1" si="106"/>
        <v>0</v>
      </c>
      <c r="BZ49" s="561">
        <f t="shared" ca="1" si="106"/>
        <v>0</v>
      </c>
      <c r="CA49" s="561">
        <f t="shared" ca="1" si="106"/>
        <v>0</v>
      </c>
      <c r="CB49" s="561">
        <f t="shared" ca="1" si="106"/>
        <v>0</v>
      </c>
      <c r="CC49" s="561">
        <f t="shared" ca="1" si="106"/>
        <v>0</v>
      </c>
      <c r="CD49" s="561">
        <f t="shared" ca="1" si="106"/>
        <v>0</v>
      </c>
      <c r="CE49" s="561">
        <f t="shared" ca="1" si="106"/>
        <v>0</v>
      </c>
      <c r="CF49" s="561">
        <f t="shared" ca="1" si="106"/>
        <v>0</v>
      </c>
      <c r="CG49" s="561">
        <f t="shared" ca="1" si="106"/>
        <v>0</v>
      </c>
      <c r="CH49" s="561">
        <f t="shared" ca="1" si="106"/>
        <v>0</v>
      </c>
      <c r="CI49" s="561">
        <f t="shared" ca="1" si="106"/>
        <v>0</v>
      </c>
      <c r="CJ49" s="561">
        <f t="shared" ca="1" si="106"/>
        <v>0</v>
      </c>
      <c r="CK49" s="561">
        <f t="shared" ca="1" si="106"/>
        <v>0</v>
      </c>
      <c r="CL49" s="561">
        <f t="shared" ca="1" si="106"/>
        <v>0</v>
      </c>
      <c r="CM49" s="561">
        <f t="shared" ca="1" si="107"/>
        <v>0</v>
      </c>
      <c r="CN49" s="561">
        <f t="shared" ca="1" si="107"/>
        <v>0</v>
      </c>
      <c r="CO49" s="561">
        <f t="shared" ca="1" si="107"/>
        <v>0</v>
      </c>
      <c r="CP49" s="561">
        <f t="shared" ca="1" si="107"/>
        <v>0</v>
      </c>
      <c r="CQ49" s="561">
        <f t="shared" ca="1" si="107"/>
        <v>0</v>
      </c>
      <c r="CR49" s="561">
        <f t="shared" ca="1" si="107"/>
        <v>0</v>
      </c>
      <c r="CS49" s="561">
        <f t="shared" ca="1" si="107"/>
        <v>0</v>
      </c>
      <c r="CT49" s="561">
        <f t="shared" ca="1" si="107"/>
        <v>0</v>
      </c>
      <c r="CU49" s="561">
        <f t="shared" ca="1" si="107"/>
        <v>0</v>
      </c>
      <c r="CV49" s="561">
        <f t="shared" ca="1" si="107"/>
        <v>0</v>
      </c>
      <c r="CW49" s="561">
        <f t="shared" ca="1" si="107"/>
        <v>0</v>
      </c>
      <c r="CX49" s="561">
        <f t="shared" ca="1" si="107"/>
        <v>0</v>
      </c>
      <c r="CY49" s="561">
        <f t="shared" ca="1" si="107"/>
        <v>0</v>
      </c>
      <c r="CZ49" s="561">
        <f t="shared" ca="1" si="107"/>
        <v>0</v>
      </c>
      <c r="DA49" s="561">
        <f t="shared" ca="1" si="107"/>
        <v>0</v>
      </c>
      <c r="DB49" s="561">
        <f t="shared" ca="1" si="107"/>
        <v>0</v>
      </c>
      <c r="DC49" s="561">
        <f t="shared" ca="1" si="108"/>
        <v>0</v>
      </c>
      <c r="DD49" s="561">
        <f t="shared" ca="1" si="108"/>
        <v>0</v>
      </c>
      <c r="DE49" s="561">
        <f t="shared" ca="1" si="108"/>
        <v>0</v>
      </c>
      <c r="DF49" s="561">
        <f t="shared" ca="1" si="108"/>
        <v>0</v>
      </c>
      <c r="DG49" s="561">
        <f t="shared" ca="1" si="108"/>
        <v>0</v>
      </c>
      <c r="DH49" s="561">
        <f t="shared" ca="1" si="108"/>
        <v>0</v>
      </c>
      <c r="DI49" s="561">
        <f t="shared" ca="1" si="108"/>
        <v>0</v>
      </c>
      <c r="DJ49" s="561">
        <f t="shared" ca="1" si="108"/>
        <v>0</v>
      </c>
      <c r="DK49" s="561">
        <f t="shared" ca="1" si="108"/>
        <v>0</v>
      </c>
      <c r="DL49" s="561">
        <f t="shared" ca="1" si="108"/>
        <v>0</v>
      </c>
      <c r="DM49" s="561">
        <f t="shared" ca="1" si="108"/>
        <v>0</v>
      </c>
      <c r="DN49" s="561">
        <f t="shared" ca="1" si="108"/>
        <v>0</v>
      </c>
      <c r="DO49" s="561">
        <f t="shared" ca="1" si="108"/>
        <v>0</v>
      </c>
      <c r="DP49" s="561">
        <f t="shared" ca="1" si="108"/>
        <v>0</v>
      </c>
    </row>
    <row r="50" spans="1:120" outlineLevel="1">
      <c r="A50" s="55">
        <v>1110052010</v>
      </c>
      <c r="B50" s="509" t="s">
        <v>2358</v>
      </c>
      <c r="C50" s="679" t="s">
        <v>64</v>
      </c>
      <c r="D50" s="1469"/>
      <c r="E50" s="1470">
        <v>44984</v>
      </c>
      <c r="F50" s="416"/>
      <c r="G50" s="1251"/>
      <c r="H50" s="511"/>
      <c r="I50" s="512"/>
      <c r="J50" s="1425">
        <v>1</v>
      </c>
      <c r="K50" s="1426">
        <v>1</v>
      </c>
      <c r="L50" s="419">
        <v>256730.18</v>
      </c>
      <c r="M50" s="1594">
        <f t="shared" ref="M50" si="116">+L50*J50</f>
        <v>256730.18</v>
      </c>
      <c r="N50" s="415">
        <f ca="1">IF(OR(E50="",E50&gt;TODAY()),0,IF(ISERROR(VLOOKUP($E50,'TRM BanRep'!$A:$G,7,0)),0,VLOOKUP($E50,'TRM BanRep'!$A:$G,7,0)))</f>
        <v>4849.6499999999996</v>
      </c>
      <c r="O50" s="513">
        <f t="shared" ref="O50" ca="1" si="117">+L50*J50*N50</f>
        <v>1245051517.4369998</v>
      </c>
      <c r="P50" s="514"/>
      <c r="Q50" s="514">
        <f t="shared" ref="Q50" si="118">+P50*K50</f>
        <v>0</v>
      </c>
      <c r="R50" s="515"/>
      <c r="S50" s="426">
        <f ca="1">IF(OR(E50="",E50&gt;TODAY()),0,IF(ISERROR(VLOOKUP($E50,'TRM BanRep'!$A:$G,7,0)),0,VLOOKUP($E50,'TRM BanRep'!$A:$G,7,0)))</f>
        <v>4849.6499999999996</v>
      </c>
      <c r="T50" s="562">
        <f t="shared" ref="T50" ca="1" si="119">+P50*K50*S50</f>
        <v>0</v>
      </c>
      <c r="U50" s="418">
        <f t="shared" ref="U50" si="120">+L50+P50+F50</f>
        <v>256730.18</v>
      </c>
      <c r="V50" s="517">
        <f t="shared" ca="1" si="102"/>
        <v>1245051517.4369998</v>
      </c>
      <c r="W50" s="976">
        <f t="shared" ref="W50" ca="1" si="121">IF((-P50*J50*R50)-(-P50*K50*S50)&gt;0,(-P50*J50*R50)-(-P50*K50*S50),0)</f>
        <v>0</v>
      </c>
      <c r="X50" s="975">
        <f t="shared" ref="X50" ca="1" si="122">IF((-P50*J50*R50)-(-P50*K50*S50)&lt;0,(-P50*J50*R50)-(-P50*K50*S50),0)</f>
        <v>0</v>
      </c>
      <c r="Y50" s="519"/>
      <c r="Z50" s="1055"/>
      <c r="AA50" s="93">
        <f t="shared" si="103"/>
        <v>0</v>
      </c>
      <c r="AB50" s="508">
        <f t="shared" si="103"/>
        <v>0</v>
      </c>
      <c r="AC50" s="508">
        <f t="shared" si="103"/>
        <v>0</v>
      </c>
      <c r="AD50" s="508">
        <f t="shared" si="103"/>
        <v>0</v>
      </c>
      <c r="AE50" s="508">
        <f t="shared" si="103"/>
        <v>0</v>
      </c>
      <c r="AF50" s="561">
        <f t="shared" si="103"/>
        <v>0</v>
      </c>
      <c r="AG50" s="561">
        <f t="shared" si="103"/>
        <v>0</v>
      </c>
      <c r="AH50" s="561">
        <f t="shared" si="103"/>
        <v>0</v>
      </c>
      <c r="AI50" s="561">
        <f t="shared" si="103"/>
        <v>0</v>
      </c>
      <c r="AJ50" s="561">
        <f t="shared" si="103"/>
        <v>0</v>
      </c>
      <c r="AK50" s="561">
        <f t="shared" si="103"/>
        <v>0</v>
      </c>
      <c r="AL50" s="1542">
        <f t="shared" si="103"/>
        <v>0</v>
      </c>
      <c r="AM50" s="561">
        <f t="shared" si="103"/>
        <v>0</v>
      </c>
      <c r="AN50" s="561">
        <f t="shared" si="103"/>
        <v>0</v>
      </c>
      <c r="AO50" s="561">
        <f t="shared" si="103"/>
        <v>0</v>
      </c>
      <c r="AP50" s="561">
        <f t="shared" si="103"/>
        <v>256730.18</v>
      </c>
      <c r="AQ50" s="561">
        <f t="shared" si="104"/>
        <v>0</v>
      </c>
      <c r="AR50" s="561">
        <f t="shared" si="104"/>
        <v>0</v>
      </c>
      <c r="AS50" s="561">
        <f t="shared" si="104"/>
        <v>0</v>
      </c>
      <c r="AT50" s="561">
        <f t="shared" si="104"/>
        <v>0</v>
      </c>
      <c r="AU50" s="561">
        <f t="shared" si="104"/>
        <v>0</v>
      </c>
      <c r="AV50" s="561">
        <f t="shared" si="104"/>
        <v>0</v>
      </c>
      <c r="AW50" s="561">
        <f t="shared" si="104"/>
        <v>0</v>
      </c>
      <c r="AX50" s="561">
        <f t="shared" si="104"/>
        <v>0</v>
      </c>
      <c r="AY50" s="561">
        <f t="shared" si="104"/>
        <v>0</v>
      </c>
      <c r="AZ50" s="561">
        <f t="shared" si="104"/>
        <v>0</v>
      </c>
      <c r="BA50" s="561">
        <f t="shared" si="104"/>
        <v>0</v>
      </c>
      <c r="BB50" s="561">
        <f t="shared" si="104"/>
        <v>0</v>
      </c>
      <c r="BC50" s="561">
        <f t="shared" si="104"/>
        <v>0</v>
      </c>
      <c r="BD50" s="561">
        <f t="shared" si="104"/>
        <v>0</v>
      </c>
      <c r="BE50" s="561">
        <f t="shared" si="104"/>
        <v>0</v>
      </c>
      <c r="BF50" s="561">
        <f t="shared" si="104"/>
        <v>0</v>
      </c>
      <c r="BG50" s="561">
        <f t="shared" si="105"/>
        <v>0</v>
      </c>
      <c r="BH50" s="561">
        <f t="shared" si="105"/>
        <v>0</v>
      </c>
      <c r="BI50" s="561">
        <f t="shared" si="105"/>
        <v>0</v>
      </c>
      <c r="BJ50" s="561">
        <f t="shared" si="105"/>
        <v>0</v>
      </c>
      <c r="BK50" s="561">
        <f t="shared" si="105"/>
        <v>0</v>
      </c>
      <c r="BL50" s="561">
        <f t="shared" si="105"/>
        <v>0</v>
      </c>
      <c r="BM50" s="561">
        <f t="shared" si="105"/>
        <v>0</v>
      </c>
      <c r="BN50" s="561">
        <f t="shared" si="105"/>
        <v>0</v>
      </c>
      <c r="BO50" s="561">
        <f t="shared" si="105"/>
        <v>0</v>
      </c>
      <c r="BP50" s="561">
        <f t="shared" si="105"/>
        <v>0</v>
      </c>
      <c r="BQ50" s="561">
        <f t="shared" si="105"/>
        <v>0</v>
      </c>
      <c r="BR50" s="561">
        <f t="shared" si="105"/>
        <v>0</v>
      </c>
      <c r="BS50" s="561">
        <f t="shared" si="105"/>
        <v>0</v>
      </c>
      <c r="BT50" s="561">
        <f t="shared" si="105"/>
        <v>0</v>
      </c>
      <c r="BU50" s="561">
        <f t="shared" si="105"/>
        <v>0</v>
      </c>
      <c r="BV50" s="561">
        <f t="shared" si="105"/>
        <v>0</v>
      </c>
      <c r="BW50" s="561">
        <f t="shared" si="106"/>
        <v>0</v>
      </c>
      <c r="BX50" s="561">
        <f t="shared" si="106"/>
        <v>0</v>
      </c>
      <c r="BY50" s="561">
        <f t="shared" si="106"/>
        <v>0</v>
      </c>
      <c r="BZ50" s="561">
        <f t="shared" si="106"/>
        <v>0</v>
      </c>
      <c r="CA50" s="561">
        <f t="shared" si="106"/>
        <v>0</v>
      </c>
      <c r="CB50" s="561">
        <f t="shared" si="106"/>
        <v>0</v>
      </c>
      <c r="CC50" s="561">
        <f t="shared" si="106"/>
        <v>0</v>
      </c>
      <c r="CD50" s="561">
        <f t="shared" si="106"/>
        <v>0</v>
      </c>
      <c r="CE50" s="561">
        <f t="shared" si="106"/>
        <v>0</v>
      </c>
      <c r="CF50" s="561">
        <f t="shared" si="106"/>
        <v>0</v>
      </c>
      <c r="CG50" s="561">
        <f t="shared" si="106"/>
        <v>0</v>
      </c>
      <c r="CH50" s="561">
        <f t="shared" si="106"/>
        <v>0</v>
      </c>
      <c r="CI50" s="561">
        <f t="shared" si="106"/>
        <v>0</v>
      </c>
      <c r="CJ50" s="561">
        <f t="shared" si="106"/>
        <v>0</v>
      </c>
      <c r="CK50" s="561">
        <f t="shared" si="106"/>
        <v>0</v>
      </c>
      <c r="CL50" s="561">
        <f t="shared" si="106"/>
        <v>0</v>
      </c>
      <c r="CM50" s="561">
        <f t="shared" si="107"/>
        <v>0</v>
      </c>
      <c r="CN50" s="561">
        <f t="shared" si="107"/>
        <v>0</v>
      </c>
      <c r="CO50" s="561">
        <f t="shared" si="107"/>
        <v>0</v>
      </c>
      <c r="CP50" s="561">
        <f t="shared" si="107"/>
        <v>0</v>
      </c>
      <c r="CQ50" s="561">
        <f t="shared" si="107"/>
        <v>0</v>
      </c>
      <c r="CR50" s="561">
        <f t="shared" si="107"/>
        <v>0</v>
      </c>
      <c r="CS50" s="561">
        <f t="shared" si="107"/>
        <v>0</v>
      </c>
      <c r="CT50" s="561">
        <f t="shared" si="107"/>
        <v>0</v>
      </c>
      <c r="CU50" s="561">
        <f t="shared" si="107"/>
        <v>0</v>
      </c>
      <c r="CV50" s="561">
        <f t="shared" si="107"/>
        <v>0</v>
      </c>
      <c r="CW50" s="561">
        <f t="shared" si="107"/>
        <v>0</v>
      </c>
      <c r="CX50" s="561">
        <f t="shared" si="107"/>
        <v>0</v>
      </c>
      <c r="CY50" s="561">
        <f t="shared" si="107"/>
        <v>0</v>
      </c>
      <c r="CZ50" s="561">
        <f t="shared" si="107"/>
        <v>0</v>
      </c>
      <c r="DA50" s="561">
        <f t="shared" si="107"/>
        <v>0</v>
      </c>
      <c r="DB50" s="561">
        <f t="shared" si="107"/>
        <v>0</v>
      </c>
      <c r="DC50" s="561">
        <f t="shared" si="108"/>
        <v>0</v>
      </c>
      <c r="DD50" s="561">
        <f t="shared" si="108"/>
        <v>0</v>
      </c>
      <c r="DE50" s="561">
        <f t="shared" si="108"/>
        <v>0</v>
      </c>
      <c r="DF50" s="561">
        <f t="shared" si="108"/>
        <v>0</v>
      </c>
      <c r="DG50" s="561">
        <f t="shared" si="108"/>
        <v>0</v>
      </c>
      <c r="DH50" s="561">
        <f t="shared" si="108"/>
        <v>0</v>
      </c>
      <c r="DI50" s="561">
        <f t="shared" si="108"/>
        <v>0</v>
      </c>
      <c r="DJ50" s="561">
        <f t="shared" si="108"/>
        <v>0</v>
      </c>
      <c r="DK50" s="561">
        <f t="shared" si="108"/>
        <v>0</v>
      </c>
      <c r="DL50" s="561">
        <f t="shared" si="108"/>
        <v>0</v>
      </c>
      <c r="DM50" s="561">
        <f t="shared" si="108"/>
        <v>0</v>
      </c>
      <c r="DN50" s="561">
        <f t="shared" si="108"/>
        <v>0</v>
      </c>
      <c r="DO50" s="561">
        <f t="shared" si="108"/>
        <v>0</v>
      </c>
      <c r="DP50" s="561">
        <f t="shared" si="108"/>
        <v>0</v>
      </c>
    </row>
    <row r="51" spans="1:120" outlineLevel="1">
      <c r="A51" s="1221">
        <v>1110052010</v>
      </c>
      <c r="B51" s="1222" t="s">
        <v>2359</v>
      </c>
      <c r="C51" s="2385" t="s">
        <v>64</v>
      </c>
      <c r="D51" s="1602"/>
      <c r="E51" s="2446">
        <v>44918</v>
      </c>
      <c r="F51" s="1224"/>
      <c r="G51" s="1266"/>
      <c r="H51" s="1225"/>
      <c r="I51" s="2386"/>
      <c r="J51" s="1604">
        <v>1</v>
      </c>
      <c r="K51" s="1605">
        <v>1</v>
      </c>
      <c r="L51" s="1606">
        <v>705751.8</v>
      </c>
      <c r="M51" s="2387">
        <f t="shared" si="95"/>
        <v>705751.8</v>
      </c>
      <c r="N51" s="1228">
        <v>4760.6099999999997</v>
      </c>
      <c r="O51" s="1229">
        <f t="shared" si="96"/>
        <v>3359809076.598</v>
      </c>
      <c r="P51" s="1230"/>
      <c r="Q51" s="1230">
        <f t="shared" si="97"/>
        <v>0</v>
      </c>
      <c r="R51" s="1231"/>
      <c r="S51" s="1231">
        <f ca="1">IF(OR(E51="",E51&gt;TODAY()),0,IF(ISERROR(VLOOKUP($E51,'TRM BanRep'!$A:$G,7,0)),0,VLOOKUP($E51,'TRM BanRep'!$A:$G,7,0)))</f>
        <v>4760.6099999999997</v>
      </c>
      <c r="T51" s="2388">
        <f t="shared" ca="1" si="98"/>
        <v>0</v>
      </c>
      <c r="U51" s="111">
        <f t="shared" si="99"/>
        <v>705751.8</v>
      </c>
      <c r="V51" s="566">
        <f t="shared" si="102"/>
        <v>3359809076.598</v>
      </c>
      <c r="W51" s="2389">
        <f t="shared" ca="1" si="100"/>
        <v>0</v>
      </c>
      <c r="X51" s="1236">
        <f t="shared" ca="1" si="101"/>
        <v>0</v>
      </c>
      <c r="Y51" s="519"/>
      <c r="Z51" s="1055"/>
      <c r="AA51" s="2309">
        <f t="shared" si="103"/>
        <v>705751.8</v>
      </c>
      <c r="AB51" s="2310">
        <f t="shared" si="103"/>
        <v>0</v>
      </c>
      <c r="AC51" s="2310">
        <f t="shared" si="103"/>
        <v>0</v>
      </c>
      <c r="AD51" s="2310">
        <f t="shared" si="103"/>
        <v>0</v>
      </c>
      <c r="AE51" s="2310">
        <f t="shared" si="103"/>
        <v>0</v>
      </c>
      <c r="AF51" s="2307">
        <f t="shared" si="103"/>
        <v>0</v>
      </c>
      <c r="AG51" s="2307">
        <f t="shared" si="103"/>
        <v>0</v>
      </c>
      <c r="AH51" s="2307">
        <f t="shared" si="103"/>
        <v>0</v>
      </c>
      <c r="AI51" s="2307">
        <f t="shared" si="103"/>
        <v>0</v>
      </c>
      <c r="AJ51" s="2307">
        <f t="shared" si="103"/>
        <v>0</v>
      </c>
      <c r="AK51" s="2307">
        <f t="shared" si="103"/>
        <v>0</v>
      </c>
      <c r="AL51" s="2308">
        <f t="shared" si="103"/>
        <v>0</v>
      </c>
      <c r="AM51" s="2307">
        <f t="shared" si="103"/>
        <v>0</v>
      </c>
      <c r="AN51" s="2307">
        <f t="shared" si="103"/>
        <v>0</v>
      </c>
      <c r="AO51" s="2307">
        <f t="shared" si="103"/>
        <v>0</v>
      </c>
      <c r="AP51" s="2307">
        <f t="shared" si="103"/>
        <v>0</v>
      </c>
      <c r="AQ51" s="2307">
        <f t="shared" si="104"/>
        <v>0</v>
      </c>
      <c r="AR51" s="2307">
        <f t="shared" si="104"/>
        <v>0</v>
      </c>
      <c r="AS51" s="2307">
        <f t="shared" si="104"/>
        <v>0</v>
      </c>
      <c r="AT51" s="2307">
        <f t="shared" si="104"/>
        <v>0</v>
      </c>
      <c r="AU51" s="2307">
        <f t="shared" si="104"/>
        <v>0</v>
      </c>
      <c r="AV51" s="2307">
        <f t="shared" si="104"/>
        <v>0</v>
      </c>
      <c r="AW51" s="2307">
        <f t="shared" si="104"/>
        <v>0</v>
      </c>
      <c r="AX51" s="2307">
        <f t="shared" si="104"/>
        <v>0</v>
      </c>
      <c r="AY51" s="2307">
        <f t="shared" si="104"/>
        <v>0</v>
      </c>
      <c r="AZ51" s="2307">
        <f t="shared" si="104"/>
        <v>0</v>
      </c>
      <c r="BA51" s="2307">
        <f t="shared" si="104"/>
        <v>0</v>
      </c>
      <c r="BB51" s="2307">
        <f t="shared" si="104"/>
        <v>0</v>
      </c>
      <c r="BC51" s="2307">
        <f t="shared" si="104"/>
        <v>0</v>
      </c>
      <c r="BD51" s="2307">
        <f t="shared" si="104"/>
        <v>0</v>
      </c>
      <c r="BE51" s="2307">
        <f t="shared" si="104"/>
        <v>0</v>
      </c>
      <c r="BF51" s="2307">
        <f t="shared" si="104"/>
        <v>0</v>
      </c>
      <c r="BG51" s="2307">
        <f t="shared" si="105"/>
        <v>0</v>
      </c>
      <c r="BH51" s="2307">
        <f t="shared" si="105"/>
        <v>0</v>
      </c>
      <c r="BI51" s="2307">
        <f t="shared" si="105"/>
        <v>0</v>
      </c>
      <c r="BJ51" s="2307">
        <f t="shared" si="105"/>
        <v>0</v>
      </c>
      <c r="BK51" s="2307">
        <f t="shared" si="105"/>
        <v>0</v>
      </c>
      <c r="BL51" s="2307">
        <f t="shared" si="105"/>
        <v>0</v>
      </c>
      <c r="BM51" s="2307">
        <f t="shared" si="105"/>
        <v>0</v>
      </c>
      <c r="BN51" s="2307">
        <f t="shared" si="105"/>
        <v>0</v>
      </c>
      <c r="BO51" s="2307">
        <f t="shared" si="105"/>
        <v>0</v>
      </c>
      <c r="BP51" s="2307">
        <f t="shared" si="105"/>
        <v>0</v>
      </c>
      <c r="BQ51" s="2307">
        <f t="shared" si="105"/>
        <v>0</v>
      </c>
      <c r="BR51" s="2307">
        <f t="shared" si="105"/>
        <v>0</v>
      </c>
      <c r="BS51" s="2307">
        <f t="shared" si="105"/>
        <v>0</v>
      </c>
      <c r="BT51" s="2307">
        <f t="shared" si="105"/>
        <v>0</v>
      </c>
      <c r="BU51" s="2307">
        <f t="shared" si="105"/>
        <v>0</v>
      </c>
      <c r="BV51" s="2307">
        <f t="shared" si="105"/>
        <v>0</v>
      </c>
      <c r="BW51" s="2307">
        <f t="shared" si="106"/>
        <v>0</v>
      </c>
      <c r="BX51" s="2307">
        <f t="shared" si="106"/>
        <v>0</v>
      </c>
      <c r="BY51" s="2307">
        <f t="shared" si="106"/>
        <v>0</v>
      </c>
      <c r="BZ51" s="2307">
        <f t="shared" si="106"/>
        <v>0</v>
      </c>
      <c r="CA51" s="2307">
        <f t="shared" si="106"/>
        <v>0</v>
      </c>
      <c r="CB51" s="2307">
        <f t="shared" si="106"/>
        <v>0</v>
      </c>
      <c r="CC51" s="2307">
        <f t="shared" si="106"/>
        <v>0</v>
      </c>
      <c r="CD51" s="2307">
        <f t="shared" si="106"/>
        <v>0</v>
      </c>
      <c r="CE51" s="2307">
        <f t="shared" si="106"/>
        <v>0</v>
      </c>
      <c r="CF51" s="2307">
        <f t="shared" si="106"/>
        <v>0</v>
      </c>
      <c r="CG51" s="2307">
        <f t="shared" si="106"/>
        <v>0</v>
      </c>
      <c r="CH51" s="2307">
        <f t="shared" si="106"/>
        <v>0</v>
      </c>
      <c r="CI51" s="2307">
        <f t="shared" si="106"/>
        <v>0</v>
      </c>
      <c r="CJ51" s="2307">
        <f t="shared" si="106"/>
        <v>0</v>
      </c>
      <c r="CK51" s="2307">
        <f t="shared" si="106"/>
        <v>0</v>
      </c>
      <c r="CL51" s="2307">
        <f t="shared" si="106"/>
        <v>0</v>
      </c>
      <c r="CM51" s="2307">
        <f t="shared" si="107"/>
        <v>0</v>
      </c>
      <c r="CN51" s="2307">
        <f t="shared" si="107"/>
        <v>0</v>
      </c>
      <c r="CO51" s="2307">
        <f t="shared" si="107"/>
        <v>0</v>
      </c>
      <c r="CP51" s="2307">
        <f t="shared" si="107"/>
        <v>0</v>
      </c>
      <c r="CQ51" s="2307">
        <f t="shared" si="107"/>
        <v>0</v>
      </c>
      <c r="CR51" s="2307">
        <f t="shared" si="107"/>
        <v>0</v>
      </c>
      <c r="CS51" s="2307">
        <f t="shared" si="107"/>
        <v>0</v>
      </c>
      <c r="CT51" s="2307">
        <f t="shared" si="107"/>
        <v>0</v>
      </c>
      <c r="CU51" s="2307">
        <f t="shared" si="107"/>
        <v>0</v>
      </c>
      <c r="CV51" s="2307">
        <f t="shared" si="107"/>
        <v>0</v>
      </c>
      <c r="CW51" s="2307">
        <f t="shared" si="107"/>
        <v>0</v>
      </c>
      <c r="CX51" s="2307">
        <f t="shared" si="107"/>
        <v>0</v>
      </c>
      <c r="CY51" s="2307">
        <f t="shared" si="107"/>
        <v>0</v>
      </c>
      <c r="CZ51" s="2307">
        <f t="shared" si="107"/>
        <v>0</v>
      </c>
      <c r="DA51" s="2307">
        <f t="shared" si="107"/>
        <v>0</v>
      </c>
      <c r="DB51" s="2307">
        <f t="shared" si="107"/>
        <v>0</v>
      </c>
      <c r="DC51" s="2307">
        <f t="shared" si="108"/>
        <v>0</v>
      </c>
      <c r="DD51" s="2307">
        <f t="shared" si="108"/>
        <v>0</v>
      </c>
      <c r="DE51" s="2307">
        <f t="shared" si="108"/>
        <v>0</v>
      </c>
      <c r="DF51" s="2307">
        <f t="shared" si="108"/>
        <v>0</v>
      </c>
      <c r="DG51" s="2307">
        <f t="shared" si="108"/>
        <v>0</v>
      </c>
      <c r="DH51" s="2307">
        <f t="shared" si="108"/>
        <v>0</v>
      </c>
      <c r="DI51" s="2307">
        <f t="shared" si="108"/>
        <v>0</v>
      </c>
      <c r="DJ51" s="2307">
        <f t="shared" si="108"/>
        <v>0</v>
      </c>
      <c r="DK51" s="2307">
        <f t="shared" si="108"/>
        <v>0</v>
      </c>
      <c r="DL51" s="2307">
        <f t="shared" si="108"/>
        <v>0</v>
      </c>
      <c r="DM51" s="2307">
        <f t="shared" si="108"/>
        <v>0</v>
      </c>
      <c r="DN51" s="2307">
        <f t="shared" si="108"/>
        <v>0</v>
      </c>
      <c r="DO51" s="2307">
        <f t="shared" si="108"/>
        <v>0</v>
      </c>
      <c r="DP51" s="2307">
        <f t="shared" si="108"/>
        <v>0</v>
      </c>
    </row>
    <row r="52" spans="1:120" outlineLevel="1">
      <c r="A52" s="1221">
        <v>1110052010</v>
      </c>
      <c r="B52" s="1222" t="s">
        <v>2359</v>
      </c>
      <c r="C52" s="2385" t="s">
        <v>64</v>
      </c>
      <c r="D52" s="1602"/>
      <c r="E52" s="2446">
        <v>44922</v>
      </c>
      <c r="F52" s="1224"/>
      <c r="G52" s="1266"/>
      <c r="H52" s="1225"/>
      <c r="I52" s="2386"/>
      <c r="J52" s="1604">
        <v>1</v>
      </c>
      <c r="K52" s="1605">
        <v>1</v>
      </c>
      <c r="L52" s="1606">
        <v>7422.84</v>
      </c>
      <c r="M52" s="2387">
        <f t="shared" ref="M52:M53" si="123">+L52*J52</f>
        <v>7422.84</v>
      </c>
      <c r="N52" s="1228">
        <v>4745.04</v>
      </c>
      <c r="O52" s="1229">
        <f t="shared" ref="O52:O53" si="124">+L52*J52*N52</f>
        <v>35221672.713600002</v>
      </c>
      <c r="P52" s="1230"/>
      <c r="Q52" s="1230">
        <f t="shared" ref="Q52:Q53" si="125">+P52*K52</f>
        <v>0</v>
      </c>
      <c r="R52" s="1231"/>
      <c r="S52" s="1231">
        <f ca="1">IF(OR(E52="",E52&gt;TODAY()),0,IF(ISERROR(VLOOKUP($E52,'TRM BanRep'!$A:$G,7,0)),0,VLOOKUP($E52,'TRM BanRep'!$A:$G,7,0)))</f>
        <v>4745.04</v>
      </c>
      <c r="T52" s="2388">
        <f t="shared" ref="T52:T53" ca="1" si="126">+P52*K52*S52</f>
        <v>0</v>
      </c>
      <c r="U52" s="111">
        <f t="shared" ref="U52:U53" si="127">+L52+P52+F52</f>
        <v>7422.84</v>
      </c>
      <c r="V52" s="566">
        <f t="shared" ref="V52:V53" si="128">+P52*J52*R52+L52*J52*N52+F52*J52*H52</f>
        <v>35221672.713600002</v>
      </c>
      <c r="W52" s="2389">
        <f t="shared" ref="W52:W53" ca="1" si="129">IF((-P52*J52*R52)-(-P52*K52*S52)&gt;0,(-P52*J52*R52)-(-P52*K52*S52),0)</f>
        <v>0</v>
      </c>
      <c r="X52" s="1236">
        <f t="shared" ref="X52:X53" ca="1" si="130">IF((-P52*J52*R52)-(-P52*K52*S52)&lt;0,(-P52*J52*R52)-(-P52*K52*S52),0)</f>
        <v>0</v>
      </c>
      <c r="Y52" s="519"/>
      <c r="Z52" s="1055"/>
      <c r="AA52" s="2309">
        <f t="shared" si="103"/>
        <v>0</v>
      </c>
      <c r="AB52" s="2310">
        <f t="shared" si="103"/>
        <v>7422.84</v>
      </c>
      <c r="AC52" s="2310">
        <f t="shared" si="103"/>
        <v>0</v>
      </c>
      <c r="AD52" s="2310">
        <f t="shared" si="103"/>
        <v>0</v>
      </c>
      <c r="AE52" s="2310">
        <f t="shared" si="103"/>
        <v>0</v>
      </c>
      <c r="AF52" s="2307">
        <f t="shared" si="103"/>
        <v>0</v>
      </c>
      <c r="AG52" s="2307">
        <f t="shared" si="103"/>
        <v>0</v>
      </c>
      <c r="AH52" s="2307">
        <f t="shared" si="103"/>
        <v>0</v>
      </c>
      <c r="AI52" s="2307">
        <f t="shared" si="103"/>
        <v>0</v>
      </c>
      <c r="AJ52" s="2307">
        <f t="shared" si="103"/>
        <v>0</v>
      </c>
      <c r="AK52" s="2307">
        <f t="shared" si="103"/>
        <v>0</v>
      </c>
      <c r="AL52" s="2308">
        <f t="shared" si="103"/>
        <v>0</v>
      </c>
      <c r="AM52" s="2307">
        <f t="shared" si="103"/>
        <v>0</v>
      </c>
      <c r="AN52" s="2307">
        <f t="shared" si="103"/>
        <v>0</v>
      </c>
      <c r="AO52" s="2307">
        <f t="shared" si="103"/>
        <v>0</v>
      </c>
      <c r="AP52" s="2307">
        <f t="shared" si="103"/>
        <v>0</v>
      </c>
      <c r="AQ52" s="2307">
        <f t="shared" si="104"/>
        <v>0</v>
      </c>
      <c r="AR52" s="2307">
        <f t="shared" si="104"/>
        <v>0</v>
      </c>
      <c r="AS52" s="2307">
        <f t="shared" si="104"/>
        <v>0</v>
      </c>
      <c r="AT52" s="2307">
        <f t="shared" si="104"/>
        <v>0</v>
      </c>
      <c r="AU52" s="2307">
        <f t="shared" si="104"/>
        <v>0</v>
      </c>
      <c r="AV52" s="2307">
        <f t="shared" si="104"/>
        <v>0</v>
      </c>
      <c r="AW52" s="2307">
        <f t="shared" si="104"/>
        <v>0</v>
      </c>
      <c r="AX52" s="2307">
        <f t="shared" si="104"/>
        <v>0</v>
      </c>
      <c r="AY52" s="2307">
        <f t="shared" si="104"/>
        <v>0</v>
      </c>
      <c r="AZ52" s="2307">
        <f t="shared" si="104"/>
        <v>0</v>
      </c>
      <c r="BA52" s="2307">
        <f t="shared" si="104"/>
        <v>0</v>
      </c>
      <c r="BB52" s="2307">
        <f t="shared" si="104"/>
        <v>0</v>
      </c>
      <c r="BC52" s="2307">
        <f t="shared" si="104"/>
        <v>0</v>
      </c>
      <c r="BD52" s="2307">
        <f t="shared" si="104"/>
        <v>0</v>
      </c>
      <c r="BE52" s="2307">
        <f t="shared" si="104"/>
        <v>0</v>
      </c>
      <c r="BF52" s="2307">
        <f t="shared" si="104"/>
        <v>0</v>
      </c>
      <c r="BG52" s="2307">
        <f t="shared" si="105"/>
        <v>0</v>
      </c>
      <c r="BH52" s="2307">
        <f t="shared" si="105"/>
        <v>0</v>
      </c>
      <c r="BI52" s="2307">
        <f t="shared" si="105"/>
        <v>0</v>
      </c>
      <c r="BJ52" s="2307">
        <f t="shared" si="105"/>
        <v>0</v>
      </c>
      <c r="BK52" s="2307">
        <f t="shared" si="105"/>
        <v>0</v>
      </c>
      <c r="BL52" s="2307">
        <f t="shared" si="105"/>
        <v>0</v>
      </c>
      <c r="BM52" s="2307">
        <f t="shared" si="105"/>
        <v>0</v>
      </c>
      <c r="BN52" s="2307">
        <f t="shared" si="105"/>
        <v>0</v>
      </c>
      <c r="BO52" s="2307">
        <f t="shared" si="105"/>
        <v>0</v>
      </c>
      <c r="BP52" s="2307">
        <f t="shared" si="105"/>
        <v>0</v>
      </c>
      <c r="BQ52" s="2307">
        <f t="shared" si="105"/>
        <v>0</v>
      </c>
      <c r="BR52" s="2307">
        <f t="shared" si="105"/>
        <v>0</v>
      </c>
      <c r="BS52" s="2307">
        <f t="shared" si="105"/>
        <v>0</v>
      </c>
      <c r="BT52" s="2307">
        <f t="shared" si="105"/>
        <v>0</v>
      </c>
      <c r="BU52" s="2307">
        <f t="shared" si="105"/>
        <v>0</v>
      </c>
      <c r="BV52" s="2307">
        <f t="shared" si="105"/>
        <v>0</v>
      </c>
      <c r="BW52" s="2307">
        <f t="shared" si="106"/>
        <v>0</v>
      </c>
      <c r="BX52" s="2307">
        <f t="shared" si="106"/>
        <v>0</v>
      </c>
      <c r="BY52" s="2307">
        <f t="shared" si="106"/>
        <v>0</v>
      </c>
      <c r="BZ52" s="2307">
        <f t="shared" si="106"/>
        <v>0</v>
      </c>
      <c r="CA52" s="2307">
        <f t="shared" si="106"/>
        <v>0</v>
      </c>
      <c r="CB52" s="2307">
        <f t="shared" si="106"/>
        <v>0</v>
      </c>
      <c r="CC52" s="2307">
        <f t="shared" si="106"/>
        <v>0</v>
      </c>
      <c r="CD52" s="2307">
        <f t="shared" si="106"/>
        <v>0</v>
      </c>
      <c r="CE52" s="2307">
        <f t="shared" si="106"/>
        <v>0</v>
      </c>
      <c r="CF52" s="2307">
        <f t="shared" si="106"/>
        <v>0</v>
      </c>
      <c r="CG52" s="2307">
        <f t="shared" si="106"/>
        <v>0</v>
      </c>
      <c r="CH52" s="2307">
        <f t="shared" si="106"/>
        <v>0</v>
      </c>
      <c r="CI52" s="2307">
        <f t="shared" si="106"/>
        <v>0</v>
      </c>
      <c r="CJ52" s="2307">
        <f t="shared" si="106"/>
        <v>0</v>
      </c>
      <c r="CK52" s="2307">
        <f t="shared" si="106"/>
        <v>0</v>
      </c>
      <c r="CL52" s="2307">
        <f t="shared" si="106"/>
        <v>0</v>
      </c>
      <c r="CM52" s="2307">
        <f t="shared" si="107"/>
        <v>0</v>
      </c>
      <c r="CN52" s="2307">
        <f t="shared" si="107"/>
        <v>0</v>
      </c>
      <c r="CO52" s="2307">
        <f t="shared" si="107"/>
        <v>0</v>
      </c>
      <c r="CP52" s="2307">
        <f t="shared" si="107"/>
        <v>0</v>
      </c>
      <c r="CQ52" s="2307">
        <f t="shared" si="107"/>
        <v>0</v>
      </c>
      <c r="CR52" s="2307">
        <f t="shared" si="107"/>
        <v>0</v>
      </c>
      <c r="CS52" s="2307">
        <f t="shared" si="107"/>
        <v>0</v>
      </c>
      <c r="CT52" s="2307">
        <f t="shared" si="107"/>
        <v>0</v>
      </c>
      <c r="CU52" s="2307">
        <f t="shared" si="107"/>
        <v>0</v>
      </c>
      <c r="CV52" s="2307">
        <f t="shared" si="107"/>
        <v>0</v>
      </c>
      <c r="CW52" s="2307">
        <f t="shared" si="107"/>
        <v>0</v>
      </c>
      <c r="CX52" s="2307">
        <f t="shared" si="107"/>
        <v>0</v>
      </c>
      <c r="CY52" s="2307">
        <f t="shared" si="107"/>
        <v>0</v>
      </c>
      <c r="CZ52" s="2307">
        <f t="shared" si="107"/>
        <v>0</v>
      </c>
      <c r="DA52" s="2307">
        <f t="shared" si="107"/>
        <v>0</v>
      </c>
      <c r="DB52" s="2307">
        <f t="shared" si="107"/>
        <v>0</v>
      </c>
      <c r="DC52" s="2307">
        <f t="shared" si="108"/>
        <v>0</v>
      </c>
      <c r="DD52" s="2307">
        <f t="shared" si="108"/>
        <v>0</v>
      </c>
      <c r="DE52" s="2307">
        <f t="shared" si="108"/>
        <v>0</v>
      </c>
      <c r="DF52" s="2307">
        <f t="shared" si="108"/>
        <v>0</v>
      </c>
      <c r="DG52" s="2307">
        <f t="shared" si="108"/>
        <v>0</v>
      </c>
      <c r="DH52" s="2307">
        <f t="shared" si="108"/>
        <v>0</v>
      </c>
      <c r="DI52" s="2307">
        <f t="shared" si="108"/>
        <v>0</v>
      </c>
      <c r="DJ52" s="2307">
        <f t="shared" si="108"/>
        <v>0</v>
      </c>
      <c r="DK52" s="2307">
        <f t="shared" si="108"/>
        <v>0</v>
      </c>
      <c r="DL52" s="2307">
        <f t="shared" si="108"/>
        <v>0</v>
      </c>
      <c r="DM52" s="2307">
        <f t="shared" si="108"/>
        <v>0</v>
      </c>
      <c r="DN52" s="2307">
        <f t="shared" si="108"/>
        <v>0</v>
      </c>
      <c r="DO52" s="2307">
        <f t="shared" si="108"/>
        <v>0</v>
      </c>
      <c r="DP52" s="2307">
        <f t="shared" si="108"/>
        <v>0</v>
      </c>
    </row>
    <row r="53" spans="1:120" outlineLevel="1">
      <c r="A53" s="1221">
        <v>1110052010</v>
      </c>
      <c r="B53" s="1222" t="s">
        <v>2359</v>
      </c>
      <c r="C53" s="2385" t="s">
        <v>64</v>
      </c>
      <c r="D53" s="1602"/>
      <c r="E53" s="2446">
        <v>44929</v>
      </c>
      <c r="F53" s="1224"/>
      <c r="G53" s="1266"/>
      <c r="H53" s="1225"/>
      <c r="I53" s="2386"/>
      <c r="J53" s="1604">
        <v>1</v>
      </c>
      <c r="K53" s="1605">
        <v>1</v>
      </c>
      <c r="L53" s="1606">
        <v>79310.679999999993</v>
      </c>
      <c r="M53" s="2387">
        <f t="shared" si="123"/>
        <v>79310.679999999993</v>
      </c>
      <c r="N53" s="1228">
        <v>4810.2</v>
      </c>
      <c r="O53" s="1229">
        <f t="shared" si="124"/>
        <v>381500232.93599993</v>
      </c>
      <c r="P53" s="1230"/>
      <c r="Q53" s="1230">
        <f t="shared" si="125"/>
        <v>0</v>
      </c>
      <c r="R53" s="1231"/>
      <c r="S53" s="1231">
        <f ca="1">IF(OR(E53="",E53&gt;TODAY()),0,IF(ISERROR(VLOOKUP($E53,'TRM BanRep'!$A:$G,7,0)),0,VLOOKUP($E53,'TRM BanRep'!$A:$G,7,0)))</f>
        <v>4810.2</v>
      </c>
      <c r="T53" s="2388">
        <f t="shared" ca="1" si="126"/>
        <v>0</v>
      </c>
      <c r="U53" s="111">
        <f t="shared" si="127"/>
        <v>79310.679999999993</v>
      </c>
      <c r="V53" s="566">
        <f t="shared" si="128"/>
        <v>381500232.93599993</v>
      </c>
      <c r="W53" s="2389">
        <f t="shared" ca="1" si="129"/>
        <v>0</v>
      </c>
      <c r="X53" s="1236">
        <f t="shared" ca="1" si="130"/>
        <v>0</v>
      </c>
      <c r="Y53" s="519"/>
      <c r="Z53" s="1055"/>
      <c r="AA53" s="2309">
        <f t="shared" si="103"/>
        <v>0</v>
      </c>
      <c r="AB53" s="2310">
        <f t="shared" si="103"/>
        <v>0</v>
      </c>
      <c r="AC53" s="2310">
        <f t="shared" si="103"/>
        <v>0</v>
      </c>
      <c r="AD53" s="2310">
        <f t="shared" si="103"/>
        <v>0</v>
      </c>
      <c r="AE53" s="2310">
        <f t="shared" si="103"/>
        <v>0</v>
      </c>
      <c r="AF53" s="2307">
        <f t="shared" si="103"/>
        <v>0</v>
      </c>
      <c r="AG53" s="2307">
        <f t="shared" si="103"/>
        <v>79310.679999999993</v>
      </c>
      <c r="AH53" s="2307">
        <f t="shared" si="103"/>
        <v>0</v>
      </c>
      <c r="AI53" s="2307">
        <f t="shared" si="103"/>
        <v>0</v>
      </c>
      <c r="AJ53" s="2307">
        <f t="shared" si="103"/>
        <v>0</v>
      </c>
      <c r="AK53" s="2307">
        <f t="shared" si="103"/>
        <v>0</v>
      </c>
      <c r="AL53" s="2308">
        <f t="shared" si="103"/>
        <v>0</v>
      </c>
      <c r="AM53" s="2307">
        <f t="shared" si="103"/>
        <v>0</v>
      </c>
      <c r="AN53" s="2307">
        <f t="shared" si="103"/>
        <v>0</v>
      </c>
      <c r="AO53" s="2307">
        <f t="shared" si="103"/>
        <v>0</v>
      </c>
      <c r="AP53" s="2307">
        <f t="shared" ref="AP53" si="131">IF($L53="",IF(OR($P53="",$R53=""),0,IF($R53=AP$6,$Q53,0)),IF($E53=AP$5,$M53,))</f>
        <v>0</v>
      </c>
      <c r="AQ53" s="2307">
        <f t="shared" si="104"/>
        <v>0</v>
      </c>
      <c r="AR53" s="2307">
        <f t="shared" si="104"/>
        <v>0</v>
      </c>
      <c r="AS53" s="2307">
        <f t="shared" si="104"/>
        <v>0</v>
      </c>
      <c r="AT53" s="2307">
        <f t="shared" si="104"/>
        <v>0</v>
      </c>
      <c r="AU53" s="2307">
        <f t="shared" si="104"/>
        <v>0</v>
      </c>
      <c r="AV53" s="2307">
        <f t="shared" si="104"/>
        <v>0</v>
      </c>
      <c r="AW53" s="2307">
        <f t="shared" si="104"/>
        <v>0</v>
      </c>
      <c r="AX53" s="2307">
        <f t="shared" si="104"/>
        <v>0</v>
      </c>
      <c r="AY53" s="2307">
        <f t="shared" si="104"/>
        <v>0</v>
      </c>
      <c r="AZ53" s="2307">
        <f t="shared" si="104"/>
        <v>0</v>
      </c>
      <c r="BA53" s="2307">
        <f t="shared" si="104"/>
        <v>0</v>
      </c>
      <c r="BB53" s="2307">
        <f t="shared" si="104"/>
        <v>0</v>
      </c>
      <c r="BC53" s="2307">
        <f t="shared" si="104"/>
        <v>0</v>
      </c>
      <c r="BD53" s="2307">
        <f t="shared" si="104"/>
        <v>0</v>
      </c>
      <c r="BE53" s="2307">
        <f t="shared" si="104"/>
        <v>0</v>
      </c>
      <c r="BF53" s="2307">
        <f t="shared" ref="BF53" si="132">IF($L53="",IF(OR($P53="",$R53=""),0,IF($R53=BF$6,$Q53,0)),IF($E53=BF$5,$M53,))</f>
        <v>0</v>
      </c>
      <c r="BG53" s="2307">
        <f t="shared" si="105"/>
        <v>0</v>
      </c>
      <c r="BH53" s="2307">
        <f t="shared" si="105"/>
        <v>0</v>
      </c>
      <c r="BI53" s="2307">
        <f t="shared" si="105"/>
        <v>0</v>
      </c>
      <c r="BJ53" s="2307">
        <f t="shared" si="105"/>
        <v>0</v>
      </c>
      <c r="BK53" s="2307">
        <f t="shared" si="105"/>
        <v>0</v>
      </c>
      <c r="BL53" s="2307">
        <f t="shared" si="105"/>
        <v>0</v>
      </c>
      <c r="BM53" s="2307">
        <f t="shared" si="105"/>
        <v>0</v>
      </c>
      <c r="BN53" s="2307">
        <f t="shared" si="105"/>
        <v>0</v>
      </c>
      <c r="BO53" s="2307">
        <f t="shared" si="105"/>
        <v>0</v>
      </c>
      <c r="BP53" s="2307">
        <f t="shared" si="105"/>
        <v>0</v>
      </c>
      <c r="BQ53" s="2307">
        <f t="shared" si="105"/>
        <v>0</v>
      </c>
      <c r="BR53" s="2307">
        <f t="shared" si="105"/>
        <v>0</v>
      </c>
      <c r="BS53" s="2307">
        <f t="shared" si="105"/>
        <v>0</v>
      </c>
      <c r="BT53" s="2307">
        <f t="shared" si="105"/>
        <v>0</v>
      </c>
      <c r="BU53" s="2307">
        <f t="shared" si="105"/>
        <v>0</v>
      </c>
      <c r="BV53" s="2307">
        <f t="shared" ref="BV53" si="133">IF($L53="",IF(OR($P53="",$R53=""),0,IF($R53=BV$6,$Q53,0)),IF($E53=BV$5,$M53,))</f>
        <v>0</v>
      </c>
      <c r="BW53" s="2307">
        <f t="shared" si="106"/>
        <v>0</v>
      </c>
      <c r="BX53" s="2307">
        <f t="shared" si="106"/>
        <v>0</v>
      </c>
      <c r="BY53" s="2307">
        <f t="shared" si="106"/>
        <v>0</v>
      </c>
      <c r="BZ53" s="2307">
        <f t="shared" si="106"/>
        <v>0</v>
      </c>
      <c r="CA53" s="2307">
        <f t="shared" si="106"/>
        <v>0</v>
      </c>
      <c r="CB53" s="2307">
        <f t="shared" si="106"/>
        <v>0</v>
      </c>
      <c r="CC53" s="2307">
        <f t="shared" si="106"/>
        <v>0</v>
      </c>
      <c r="CD53" s="2307">
        <f t="shared" si="106"/>
        <v>0</v>
      </c>
      <c r="CE53" s="2307">
        <f t="shared" si="106"/>
        <v>0</v>
      </c>
      <c r="CF53" s="2307">
        <f t="shared" si="106"/>
        <v>0</v>
      </c>
      <c r="CG53" s="2307">
        <f t="shared" si="106"/>
        <v>0</v>
      </c>
      <c r="CH53" s="2307">
        <f t="shared" si="106"/>
        <v>0</v>
      </c>
      <c r="CI53" s="2307">
        <f t="shared" si="106"/>
        <v>0</v>
      </c>
      <c r="CJ53" s="2307">
        <f t="shared" si="106"/>
        <v>0</v>
      </c>
      <c r="CK53" s="2307">
        <f t="shared" si="106"/>
        <v>0</v>
      </c>
      <c r="CL53" s="2307">
        <f t="shared" ref="CL53" si="134">IF($L53="",IF(OR($P53="",$R53=""),0,IF($R53=CL$6,$Q53,0)),IF($E53=CL$5,$M53,))</f>
        <v>0</v>
      </c>
      <c r="CM53" s="2307">
        <f t="shared" si="107"/>
        <v>0</v>
      </c>
      <c r="CN53" s="2307">
        <f t="shared" si="107"/>
        <v>0</v>
      </c>
      <c r="CO53" s="2307">
        <f t="shared" si="107"/>
        <v>0</v>
      </c>
      <c r="CP53" s="2307">
        <f t="shared" si="107"/>
        <v>0</v>
      </c>
      <c r="CQ53" s="2307">
        <f t="shared" si="107"/>
        <v>0</v>
      </c>
      <c r="CR53" s="2307">
        <f t="shared" si="107"/>
        <v>0</v>
      </c>
      <c r="CS53" s="2307">
        <f t="shared" si="107"/>
        <v>0</v>
      </c>
      <c r="CT53" s="2307">
        <f t="shared" si="107"/>
        <v>0</v>
      </c>
      <c r="CU53" s="2307">
        <f t="shared" si="107"/>
        <v>0</v>
      </c>
      <c r="CV53" s="2307">
        <f t="shared" si="107"/>
        <v>0</v>
      </c>
      <c r="CW53" s="2307">
        <f t="shared" si="107"/>
        <v>0</v>
      </c>
      <c r="CX53" s="2307">
        <f t="shared" si="107"/>
        <v>0</v>
      </c>
      <c r="CY53" s="2307">
        <f t="shared" si="107"/>
        <v>0</v>
      </c>
      <c r="CZ53" s="2307">
        <f t="shared" si="107"/>
        <v>0</v>
      </c>
      <c r="DA53" s="2307">
        <f t="shared" si="107"/>
        <v>0</v>
      </c>
      <c r="DB53" s="2307">
        <f t="shared" ref="DB53" si="135">IF($L53="",IF(OR($P53="",$R53=""),0,IF($R53=DB$6,$Q53,0)),IF($E53=DB$5,$M53,))</f>
        <v>0</v>
      </c>
      <c r="DC53" s="2307">
        <f t="shared" si="108"/>
        <v>0</v>
      </c>
      <c r="DD53" s="2307">
        <f t="shared" si="108"/>
        <v>0</v>
      </c>
      <c r="DE53" s="2307">
        <f t="shared" si="108"/>
        <v>0</v>
      </c>
      <c r="DF53" s="2307">
        <f t="shared" si="108"/>
        <v>0</v>
      </c>
      <c r="DG53" s="2307">
        <f t="shared" si="108"/>
        <v>0</v>
      </c>
      <c r="DH53" s="2307">
        <f t="shared" si="108"/>
        <v>0</v>
      </c>
      <c r="DI53" s="2307">
        <f t="shared" si="108"/>
        <v>0</v>
      </c>
      <c r="DJ53" s="2307">
        <f t="shared" si="108"/>
        <v>0</v>
      </c>
      <c r="DK53" s="2307">
        <f t="shared" si="108"/>
        <v>0</v>
      </c>
      <c r="DL53" s="2307">
        <f t="shared" si="108"/>
        <v>0</v>
      </c>
      <c r="DM53" s="2307">
        <f t="shared" si="108"/>
        <v>0</v>
      </c>
      <c r="DN53" s="2307">
        <f t="shared" si="108"/>
        <v>0</v>
      </c>
      <c r="DO53" s="2307">
        <f t="shared" si="108"/>
        <v>0</v>
      </c>
      <c r="DP53" s="2307">
        <f t="shared" si="108"/>
        <v>0</v>
      </c>
    </row>
    <row r="54" spans="1:120" outlineLevel="1">
      <c r="A54" s="1221">
        <v>1110052010</v>
      </c>
      <c r="B54" s="1222" t="s">
        <v>2359</v>
      </c>
      <c r="C54" s="2385" t="s">
        <v>64</v>
      </c>
      <c r="D54" s="1602"/>
      <c r="E54" s="2446">
        <v>44931</v>
      </c>
      <c r="F54" s="1224"/>
      <c r="G54" s="1266"/>
      <c r="H54" s="1225"/>
      <c r="I54" s="2386"/>
      <c r="J54" s="1604">
        <v>1</v>
      </c>
      <c r="K54" s="1605">
        <v>1</v>
      </c>
      <c r="L54" s="1606">
        <v>424990.29</v>
      </c>
      <c r="M54" s="2387">
        <f t="shared" ref="M54" si="136">+L54*J54</f>
        <v>424990.29</v>
      </c>
      <c r="N54" s="1228">
        <v>4924</v>
      </c>
      <c r="O54" s="1229">
        <f t="shared" ref="O54" si="137">+L54*J54*N54</f>
        <v>2092652187.9599998</v>
      </c>
      <c r="P54" s="1230"/>
      <c r="Q54" s="1230">
        <f t="shared" ref="Q54" si="138">+P54*K54</f>
        <v>0</v>
      </c>
      <c r="R54" s="1231"/>
      <c r="S54" s="1231">
        <f ca="1">IF(OR(E54="",E54&gt;TODAY()),0,IF(ISERROR(VLOOKUP($E54,'TRM BanRep'!$A:$G,7,0)),0,VLOOKUP($E54,'TRM BanRep'!$A:$G,7,0)))</f>
        <v>4924</v>
      </c>
      <c r="T54" s="2388">
        <f t="shared" ref="T54" ca="1" si="139">+P54*K54*S54</f>
        <v>0</v>
      </c>
      <c r="U54" s="111">
        <f t="shared" ref="U54" si="140">+L54+P54+F54</f>
        <v>424990.29</v>
      </c>
      <c r="V54" s="566">
        <f t="shared" ref="V54" si="141">+P54*J54*R54+L54*J54*N54+F54*J54*H54</f>
        <v>2092652187.9599998</v>
      </c>
      <c r="W54" s="2389">
        <f t="shared" ref="W54" ca="1" si="142">IF((-P54*J54*R54)-(-P54*K54*S54)&gt;0,(-P54*J54*R54)-(-P54*K54*S54),0)</f>
        <v>0</v>
      </c>
      <c r="X54" s="1236">
        <f t="shared" ref="X54" ca="1" si="143">IF((-P54*J54*R54)-(-P54*K54*S54)&lt;0,(-P54*J54*R54)-(-P54*K54*S54),0)</f>
        <v>0</v>
      </c>
      <c r="Y54" s="519"/>
      <c r="Z54" s="1055"/>
      <c r="AA54" s="2309">
        <f t="shared" ref="AA54:CL55" si="144">IF($L54="",IF(OR($P54="",$R54=""),0,IF($R54=AA$6,$Q54,0)),IF($E54=AA$5,$M54,))</f>
        <v>0</v>
      </c>
      <c r="AB54" s="2310">
        <f t="shared" si="144"/>
        <v>0</v>
      </c>
      <c r="AC54" s="2310">
        <f t="shared" si="144"/>
        <v>0</v>
      </c>
      <c r="AD54" s="2310">
        <f t="shared" si="144"/>
        <v>0</v>
      </c>
      <c r="AE54" s="2310">
        <f t="shared" si="144"/>
        <v>0</v>
      </c>
      <c r="AF54" s="2307">
        <f t="shared" si="144"/>
        <v>0</v>
      </c>
      <c r="AG54" s="2307">
        <f t="shared" si="144"/>
        <v>0</v>
      </c>
      <c r="AH54" s="2307">
        <f t="shared" si="144"/>
        <v>424990.29</v>
      </c>
      <c r="AI54" s="2307">
        <f t="shared" si="144"/>
        <v>0</v>
      </c>
      <c r="AJ54" s="2307">
        <f t="shared" si="144"/>
        <v>0</v>
      </c>
      <c r="AK54" s="2307">
        <f t="shared" si="144"/>
        <v>0</v>
      </c>
      <c r="AL54" s="2308">
        <f t="shared" si="144"/>
        <v>0</v>
      </c>
      <c r="AM54" s="2307">
        <f t="shared" si="144"/>
        <v>0</v>
      </c>
      <c r="AN54" s="2307">
        <f t="shared" si="144"/>
        <v>0</v>
      </c>
      <c r="AO54" s="2307">
        <f t="shared" si="144"/>
        <v>0</v>
      </c>
      <c r="AP54" s="2307">
        <f t="shared" si="144"/>
        <v>0</v>
      </c>
      <c r="AQ54" s="2307">
        <f t="shared" si="144"/>
        <v>0</v>
      </c>
      <c r="AR54" s="2307">
        <f t="shared" si="144"/>
        <v>0</v>
      </c>
      <c r="AS54" s="2307">
        <f t="shared" si="144"/>
        <v>0</v>
      </c>
      <c r="AT54" s="2307">
        <f t="shared" si="144"/>
        <v>0</v>
      </c>
      <c r="AU54" s="2307">
        <f t="shared" si="144"/>
        <v>0</v>
      </c>
      <c r="AV54" s="2307">
        <f t="shared" si="144"/>
        <v>0</v>
      </c>
      <c r="AW54" s="2307">
        <f t="shared" si="144"/>
        <v>0</v>
      </c>
      <c r="AX54" s="2307">
        <f t="shared" si="144"/>
        <v>0</v>
      </c>
      <c r="AY54" s="2307">
        <f t="shared" si="144"/>
        <v>0</v>
      </c>
      <c r="AZ54" s="2307">
        <f t="shared" si="144"/>
        <v>0</v>
      </c>
      <c r="BA54" s="2307">
        <f t="shared" si="144"/>
        <v>0</v>
      </c>
      <c r="BB54" s="2307">
        <f t="shared" si="144"/>
        <v>0</v>
      </c>
      <c r="BC54" s="2307">
        <f t="shared" si="144"/>
        <v>0</v>
      </c>
      <c r="BD54" s="2307">
        <f t="shared" si="144"/>
        <v>0</v>
      </c>
      <c r="BE54" s="2307">
        <f t="shared" si="144"/>
        <v>0</v>
      </c>
      <c r="BF54" s="2307">
        <f t="shared" si="144"/>
        <v>0</v>
      </c>
      <c r="BG54" s="2307">
        <f t="shared" si="144"/>
        <v>0</v>
      </c>
      <c r="BH54" s="2307">
        <f t="shared" si="144"/>
        <v>0</v>
      </c>
      <c r="BI54" s="2307">
        <f t="shared" si="144"/>
        <v>0</v>
      </c>
      <c r="BJ54" s="2307">
        <f t="shared" si="144"/>
        <v>0</v>
      </c>
      <c r="BK54" s="2307">
        <f t="shared" si="144"/>
        <v>0</v>
      </c>
      <c r="BL54" s="2307">
        <f t="shared" si="144"/>
        <v>0</v>
      </c>
      <c r="BM54" s="2307">
        <f t="shared" si="144"/>
        <v>0</v>
      </c>
      <c r="BN54" s="2307">
        <f t="shared" si="144"/>
        <v>0</v>
      </c>
      <c r="BO54" s="2307">
        <f t="shared" si="144"/>
        <v>0</v>
      </c>
      <c r="BP54" s="2307">
        <f t="shared" si="144"/>
        <v>0</v>
      </c>
      <c r="BQ54" s="2307">
        <f t="shared" si="144"/>
        <v>0</v>
      </c>
      <c r="BR54" s="2307">
        <f t="shared" si="144"/>
        <v>0</v>
      </c>
      <c r="BS54" s="2307">
        <f t="shared" si="144"/>
        <v>0</v>
      </c>
      <c r="BT54" s="2307">
        <f t="shared" si="144"/>
        <v>0</v>
      </c>
      <c r="BU54" s="2307">
        <f t="shared" si="144"/>
        <v>0</v>
      </c>
      <c r="BV54" s="2307">
        <f t="shared" si="144"/>
        <v>0</v>
      </c>
      <c r="BW54" s="2307">
        <f t="shared" si="144"/>
        <v>0</v>
      </c>
      <c r="BX54" s="2307">
        <f t="shared" si="144"/>
        <v>0</v>
      </c>
      <c r="BY54" s="2307">
        <f t="shared" si="144"/>
        <v>0</v>
      </c>
      <c r="BZ54" s="2307">
        <f t="shared" si="144"/>
        <v>0</v>
      </c>
      <c r="CA54" s="2307">
        <f t="shared" si="144"/>
        <v>0</v>
      </c>
      <c r="CB54" s="2307">
        <f t="shared" si="144"/>
        <v>0</v>
      </c>
      <c r="CC54" s="2307">
        <f t="shared" si="144"/>
        <v>0</v>
      </c>
      <c r="CD54" s="2307">
        <f t="shared" si="144"/>
        <v>0</v>
      </c>
      <c r="CE54" s="2307">
        <f t="shared" si="144"/>
        <v>0</v>
      </c>
      <c r="CF54" s="2307">
        <f t="shared" si="144"/>
        <v>0</v>
      </c>
      <c r="CG54" s="2307">
        <f t="shared" si="144"/>
        <v>0</v>
      </c>
      <c r="CH54" s="2307">
        <f t="shared" si="144"/>
        <v>0</v>
      </c>
      <c r="CI54" s="2307">
        <f t="shared" si="144"/>
        <v>0</v>
      </c>
      <c r="CJ54" s="2307">
        <f t="shared" si="144"/>
        <v>0</v>
      </c>
      <c r="CK54" s="2307">
        <f t="shared" si="144"/>
        <v>0</v>
      </c>
      <c r="CL54" s="2307">
        <f t="shared" si="144"/>
        <v>0</v>
      </c>
      <c r="CM54" s="2307">
        <f t="shared" ref="CM54:DB55" si="145">IF($L54="",IF(OR($P54="",$R54=""),0,IF($R54=CM$6,$Q54,0)),IF($E54=CM$5,$M54,))</f>
        <v>0</v>
      </c>
      <c r="CN54" s="2307">
        <f t="shared" si="145"/>
        <v>0</v>
      </c>
      <c r="CO54" s="2307">
        <f t="shared" si="145"/>
        <v>0</v>
      </c>
      <c r="CP54" s="2307">
        <f t="shared" si="145"/>
        <v>0</v>
      </c>
      <c r="CQ54" s="2307">
        <f t="shared" si="145"/>
        <v>0</v>
      </c>
      <c r="CR54" s="2307">
        <f t="shared" si="145"/>
        <v>0</v>
      </c>
      <c r="CS54" s="2307">
        <f t="shared" si="145"/>
        <v>0</v>
      </c>
      <c r="CT54" s="2307">
        <f t="shared" si="145"/>
        <v>0</v>
      </c>
      <c r="CU54" s="2307">
        <f t="shared" si="145"/>
        <v>0</v>
      </c>
      <c r="CV54" s="2307">
        <f t="shared" si="145"/>
        <v>0</v>
      </c>
      <c r="CW54" s="2307">
        <f t="shared" si="145"/>
        <v>0</v>
      </c>
      <c r="CX54" s="2307">
        <f t="shared" si="145"/>
        <v>0</v>
      </c>
      <c r="CY54" s="2307">
        <f t="shared" si="145"/>
        <v>0</v>
      </c>
      <c r="CZ54" s="2307">
        <f t="shared" si="145"/>
        <v>0</v>
      </c>
      <c r="DA54" s="2307">
        <f t="shared" si="145"/>
        <v>0</v>
      </c>
      <c r="DB54" s="2307">
        <f t="shared" si="145"/>
        <v>0</v>
      </c>
      <c r="DC54" s="2307">
        <f t="shared" si="108"/>
        <v>0</v>
      </c>
      <c r="DD54" s="2307">
        <f t="shared" si="108"/>
        <v>0</v>
      </c>
      <c r="DE54" s="2307">
        <f t="shared" si="108"/>
        <v>0</v>
      </c>
      <c r="DF54" s="2307">
        <f t="shared" si="108"/>
        <v>0</v>
      </c>
      <c r="DG54" s="2307">
        <f t="shared" si="108"/>
        <v>0</v>
      </c>
      <c r="DH54" s="2307">
        <f t="shared" si="108"/>
        <v>0</v>
      </c>
      <c r="DI54" s="2307">
        <f t="shared" si="108"/>
        <v>0</v>
      </c>
      <c r="DJ54" s="2307">
        <f t="shared" si="108"/>
        <v>0</v>
      </c>
      <c r="DK54" s="2307">
        <f t="shared" si="108"/>
        <v>0</v>
      </c>
      <c r="DL54" s="2307">
        <f t="shared" si="108"/>
        <v>0</v>
      </c>
      <c r="DM54" s="2307">
        <f t="shared" si="108"/>
        <v>0</v>
      </c>
      <c r="DN54" s="2307">
        <f t="shared" si="108"/>
        <v>0</v>
      </c>
      <c r="DO54" s="2307">
        <f t="shared" si="108"/>
        <v>0</v>
      </c>
      <c r="DP54" s="2307">
        <f t="shared" si="108"/>
        <v>0</v>
      </c>
    </row>
    <row r="55" spans="1:120" outlineLevel="1">
      <c r="A55" s="1221">
        <v>1110052010</v>
      </c>
      <c r="B55" s="1222" t="s">
        <v>2359</v>
      </c>
      <c r="C55" s="2385" t="s">
        <v>64</v>
      </c>
      <c r="D55" s="1602"/>
      <c r="E55" s="2446">
        <v>44953</v>
      </c>
      <c r="F55" s="1224"/>
      <c r="G55" s="1266"/>
      <c r="H55" s="1225"/>
      <c r="I55" s="2386"/>
      <c r="J55" s="1604">
        <v>1</v>
      </c>
      <c r="K55" s="1605">
        <v>1</v>
      </c>
      <c r="L55" s="1606">
        <v>6782524.3899999997</v>
      </c>
      <c r="M55" s="2387">
        <f t="shared" ref="M55" si="146">+L55*J55</f>
        <v>6782524.3899999997</v>
      </c>
      <c r="N55" s="1228">
        <v>4531.75</v>
      </c>
      <c r="O55" s="1229">
        <f t="shared" ref="O55" si="147">+L55*J55*N55</f>
        <v>30736704904.3825</v>
      </c>
      <c r="P55" s="1230"/>
      <c r="Q55" s="1230">
        <f t="shared" ref="Q55" si="148">+P55*K55</f>
        <v>0</v>
      </c>
      <c r="R55" s="1231"/>
      <c r="S55" s="1231">
        <f ca="1">IF(OR(E55="",E55&gt;TODAY()),0,IF(ISERROR(VLOOKUP($E55,'TRM BanRep'!$A:$G,7,0)),0,VLOOKUP($E55,'TRM BanRep'!$A:$G,7,0)))</f>
        <v>4531.75</v>
      </c>
      <c r="T55" s="2388">
        <f t="shared" ref="T55" ca="1" si="149">+P55*K55*S55</f>
        <v>0</v>
      </c>
      <c r="U55" s="111">
        <f t="shared" ref="U55" si="150">+L55+P55+F55</f>
        <v>6782524.3899999997</v>
      </c>
      <c r="V55" s="566">
        <f t="shared" ref="V55" si="151">+P55*J55*R55+L55*J55*N55+F55*J55*H55</f>
        <v>30736704904.3825</v>
      </c>
      <c r="W55" s="2389">
        <f t="shared" ref="W55" ca="1" si="152">IF((-P55*J55*R55)-(-P55*K55*S55)&gt;0,(-P55*J55*R55)-(-P55*K55*S55),0)</f>
        <v>0</v>
      </c>
      <c r="X55" s="1236">
        <f t="shared" ref="X55" ca="1" si="153">IF((-P55*J55*R55)-(-P55*K55*S55)&lt;0,(-P55*J55*R55)-(-P55*K55*S55),0)</f>
        <v>0</v>
      </c>
      <c r="Y55" s="519"/>
      <c r="Z55" s="1055"/>
      <c r="AA55" s="2309">
        <f t="shared" si="144"/>
        <v>0</v>
      </c>
      <c r="AB55" s="2310">
        <f t="shared" si="144"/>
        <v>0</v>
      </c>
      <c r="AC55" s="2310">
        <f t="shared" si="144"/>
        <v>0</v>
      </c>
      <c r="AD55" s="2310">
        <f t="shared" si="144"/>
        <v>0</v>
      </c>
      <c r="AE55" s="2310">
        <f t="shared" si="144"/>
        <v>0</v>
      </c>
      <c r="AF55" s="2307">
        <f t="shared" si="144"/>
        <v>0</v>
      </c>
      <c r="AG55" s="2307">
        <f t="shared" si="144"/>
        <v>0</v>
      </c>
      <c r="AH55" s="2307">
        <f t="shared" si="144"/>
        <v>0</v>
      </c>
      <c r="AI55" s="2307">
        <f t="shared" si="144"/>
        <v>0</v>
      </c>
      <c r="AJ55" s="2307">
        <f t="shared" si="144"/>
        <v>0</v>
      </c>
      <c r="AK55" s="2307">
        <f t="shared" si="144"/>
        <v>6782524.3899999997</v>
      </c>
      <c r="AL55" s="2308">
        <f t="shared" si="144"/>
        <v>0</v>
      </c>
      <c r="AM55" s="2307">
        <f t="shared" si="144"/>
        <v>0</v>
      </c>
      <c r="AN55" s="2307">
        <f t="shared" si="144"/>
        <v>0</v>
      </c>
      <c r="AO55" s="2307">
        <f t="shared" si="144"/>
        <v>0</v>
      </c>
      <c r="AP55" s="2307">
        <f t="shared" si="144"/>
        <v>0</v>
      </c>
      <c r="AQ55" s="2307">
        <f t="shared" si="144"/>
        <v>0</v>
      </c>
      <c r="AR55" s="2307">
        <f t="shared" si="144"/>
        <v>0</v>
      </c>
      <c r="AS55" s="2307">
        <f t="shared" si="144"/>
        <v>0</v>
      </c>
      <c r="AT55" s="2307">
        <f t="shared" si="144"/>
        <v>0</v>
      </c>
      <c r="AU55" s="2307">
        <f t="shared" si="144"/>
        <v>0</v>
      </c>
      <c r="AV55" s="2307">
        <f t="shared" si="144"/>
        <v>0</v>
      </c>
      <c r="AW55" s="2307">
        <f t="shared" si="144"/>
        <v>0</v>
      </c>
      <c r="AX55" s="2307">
        <f t="shared" si="144"/>
        <v>0</v>
      </c>
      <c r="AY55" s="2307">
        <f t="shared" si="144"/>
        <v>0</v>
      </c>
      <c r="AZ55" s="2307">
        <f t="shared" si="144"/>
        <v>0</v>
      </c>
      <c r="BA55" s="2307">
        <f t="shared" si="144"/>
        <v>0</v>
      </c>
      <c r="BB55" s="2307">
        <f t="shared" si="144"/>
        <v>0</v>
      </c>
      <c r="BC55" s="2307">
        <f t="shared" si="144"/>
        <v>0</v>
      </c>
      <c r="BD55" s="2307">
        <f t="shared" si="144"/>
        <v>0</v>
      </c>
      <c r="BE55" s="2307">
        <f t="shared" si="144"/>
        <v>0</v>
      </c>
      <c r="BF55" s="2307">
        <f t="shared" si="144"/>
        <v>0</v>
      </c>
      <c r="BG55" s="2307">
        <f t="shared" si="144"/>
        <v>0</v>
      </c>
      <c r="BH55" s="2307">
        <f t="shared" si="144"/>
        <v>0</v>
      </c>
      <c r="BI55" s="2307">
        <f t="shared" si="144"/>
        <v>0</v>
      </c>
      <c r="BJ55" s="2307">
        <f t="shared" si="144"/>
        <v>0</v>
      </c>
      <c r="BK55" s="2307">
        <f t="shared" si="144"/>
        <v>0</v>
      </c>
      <c r="BL55" s="2307">
        <f t="shared" si="144"/>
        <v>0</v>
      </c>
      <c r="BM55" s="2307">
        <f t="shared" si="144"/>
        <v>0</v>
      </c>
      <c r="BN55" s="2307">
        <f t="shared" si="144"/>
        <v>0</v>
      </c>
      <c r="BO55" s="2307">
        <f t="shared" si="144"/>
        <v>0</v>
      </c>
      <c r="BP55" s="2307">
        <f t="shared" si="144"/>
        <v>0</v>
      </c>
      <c r="BQ55" s="2307">
        <f t="shared" si="144"/>
        <v>0</v>
      </c>
      <c r="BR55" s="2307">
        <f t="shared" si="144"/>
        <v>0</v>
      </c>
      <c r="BS55" s="2307">
        <f t="shared" si="144"/>
        <v>0</v>
      </c>
      <c r="BT55" s="2307">
        <f t="shared" si="144"/>
        <v>0</v>
      </c>
      <c r="BU55" s="2307">
        <f t="shared" si="144"/>
        <v>0</v>
      </c>
      <c r="BV55" s="2307">
        <f t="shared" si="144"/>
        <v>0</v>
      </c>
      <c r="BW55" s="2307">
        <f t="shared" si="144"/>
        <v>0</v>
      </c>
      <c r="BX55" s="2307">
        <f t="shared" si="144"/>
        <v>0</v>
      </c>
      <c r="BY55" s="2307">
        <f t="shared" si="144"/>
        <v>0</v>
      </c>
      <c r="BZ55" s="2307">
        <f t="shared" si="144"/>
        <v>0</v>
      </c>
      <c r="CA55" s="2307">
        <f t="shared" si="144"/>
        <v>0</v>
      </c>
      <c r="CB55" s="2307">
        <f t="shared" si="144"/>
        <v>0</v>
      </c>
      <c r="CC55" s="2307">
        <f t="shared" si="144"/>
        <v>0</v>
      </c>
      <c r="CD55" s="2307">
        <f t="shared" si="144"/>
        <v>0</v>
      </c>
      <c r="CE55" s="2307">
        <f t="shared" si="144"/>
        <v>0</v>
      </c>
      <c r="CF55" s="2307">
        <f t="shared" si="144"/>
        <v>0</v>
      </c>
      <c r="CG55" s="2307">
        <f t="shared" si="144"/>
        <v>0</v>
      </c>
      <c r="CH55" s="2307">
        <f t="shared" si="144"/>
        <v>0</v>
      </c>
      <c r="CI55" s="2307">
        <f t="shared" si="144"/>
        <v>0</v>
      </c>
      <c r="CJ55" s="2307">
        <f t="shared" si="144"/>
        <v>0</v>
      </c>
      <c r="CK55" s="2307">
        <f t="shared" si="144"/>
        <v>0</v>
      </c>
      <c r="CL55" s="2307">
        <f t="shared" si="144"/>
        <v>0</v>
      </c>
      <c r="CM55" s="2307">
        <f t="shared" si="145"/>
        <v>0</v>
      </c>
      <c r="CN55" s="2307">
        <f t="shared" si="145"/>
        <v>0</v>
      </c>
      <c r="CO55" s="2307">
        <f t="shared" si="145"/>
        <v>0</v>
      </c>
      <c r="CP55" s="2307">
        <f t="shared" si="145"/>
        <v>0</v>
      </c>
      <c r="CQ55" s="2307">
        <f t="shared" si="145"/>
        <v>0</v>
      </c>
      <c r="CR55" s="2307">
        <f t="shared" si="145"/>
        <v>0</v>
      </c>
      <c r="CS55" s="2307">
        <f t="shared" si="145"/>
        <v>0</v>
      </c>
      <c r="CT55" s="2307">
        <f t="shared" si="145"/>
        <v>0</v>
      </c>
      <c r="CU55" s="2307">
        <f t="shared" si="145"/>
        <v>0</v>
      </c>
      <c r="CV55" s="2307">
        <f t="shared" si="145"/>
        <v>0</v>
      </c>
      <c r="CW55" s="2307">
        <f t="shared" si="145"/>
        <v>0</v>
      </c>
      <c r="CX55" s="2307">
        <f t="shared" si="145"/>
        <v>0</v>
      </c>
      <c r="CY55" s="2307">
        <f t="shared" si="145"/>
        <v>0</v>
      </c>
      <c r="CZ55" s="2307">
        <f t="shared" si="145"/>
        <v>0</v>
      </c>
      <c r="DA55" s="2307">
        <f t="shared" si="145"/>
        <v>0</v>
      </c>
      <c r="DB55" s="2307">
        <f t="shared" si="145"/>
        <v>0</v>
      </c>
      <c r="DC55" s="2307">
        <f t="shared" si="108"/>
        <v>0</v>
      </c>
      <c r="DD55" s="2307">
        <f t="shared" si="108"/>
        <v>0</v>
      </c>
      <c r="DE55" s="2307">
        <f t="shared" si="108"/>
        <v>0</v>
      </c>
      <c r="DF55" s="2307">
        <f t="shared" si="108"/>
        <v>0</v>
      </c>
      <c r="DG55" s="2307">
        <f t="shared" si="108"/>
        <v>0</v>
      </c>
      <c r="DH55" s="2307">
        <f t="shared" si="108"/>
        <v>0</v>
      </c>
      <c r="DI55" s="2307">
        <f t="shared" si="108"/>
        <v>0</v>
      </c>
      <c r="DJ55" s="2307">
        <f t="shared" si="108"/>
        <v>0</v>
      </c>
      <c r="DK55" s="2307">
        <f t="shared" si="108"/>
        <v>0</v>
      </c>
      <c r="DL55" s="2307">
        <f t="shared" si="108"/>
        <v>0</v>
      </c>
      <c r="DM55" s="2307">
        <f t="shared" si="108"/>
        <v>0</v>
      </c>
      <c r="DN55" s="2307">
        <f t="shared" si="108"/>
        <v>0</v>
      </c>
      <c r="DO55" s="2307">
        <f t="shared" si="108"/>
        <v>0</v>
      </c>
      <c r="DP55" s="2307">
        <f t="shared" si="108"/>
        <v>0</v>
      </c>
    </row>
    <row r="56" spans="1:120" s="61" customFormat="1" outlineLevel="1">
      <c r="A56" s="57">
        <v>1110052010</v>
      </c>
      <c r="B56" s="521" t="s">
        <v>2360</v>
      </c>
      <c r="C56" s="1466" t="s">
        <v>64</v>
      </c>
      <c r="D56" s="1471"/>
      <c r="E56" s="1472">
        <v>44985</v>
      </c>
      <c r="F56" s="58"/>
      <c r="G56" s="1252"/>
      <c r="H56" s="522"/>
      <c r="I56" s="523"/>
      <c r="J56" s="1425">
        <v>1</v>
      </c>
      <c r="K56" s="1426">
        <v>1</v>
      </c>
      <c r="L56" s="1191"/>
      <c r="M56" s="1450">
        <f t="shared" si="95"/>
        <v>0</v>
      </c>
      <c r="N56" s="524"/>
      <c r="O56" s="525">
        <f t="shared" si="96"/>
        <v>0</v>
      </c>
      <c r="P56" s="526">
        <v>-705751.8</v>
      </c>
      <c r="Q56" s="526">
        <f t="shared" si="97"/>
        <v>-705751.8</v>
      </c>
      <c r="R56" s="527">
        <v>4760.6099999999997</v>
      </c>
      <c r="S56" s="527">
        <f ca="1">IF(OR(E56="",E56&gt;TODAY()),0,IF(ISERROR(VLOOKUP($E56,'TRM BanRep'!$A:$G,7,0)),0,VLOOKUP($E56,'TRM BanRep'!$A:$G,7,0)))</f>
        <v>4808.1400000000003</v>
      </c>
      <c r="T56" s="564">
        <f t="shared" ca="1" si="98"/>
        <v>-3393353459.6520004</v>
      </c>
      <c r="U56" s="60">
        <f t="shared" si="99"/>
        <v>-705751.8</v>
      </c>
      <c r="V56" s="529">
        <f t="shared" si="102"/>
        <v>-3359809076.598</v>
      </c>
      <c r="W56" s="94">
        <f t="shared" ca="1" si="100"/>
        <v>0</v>
      </c>
      <c r="X56" s="530">
        <f t="shared" ca="1" si="101"/>
        <v>-33544383.054000378</v>
      </c>
      <c r="Y56" s="531"/>
      <c r="Z56" s="1056"/>
      <c r="AA56" s="2462">
        <f t="shared" ca="1" si="103"/>
        <v>-705751.8</v>
      </c>
      <c r="AB56" s="508">
        <f t="shared" ca="1" si="103"/>
        <v>0</v>
      </c>
      <c r="AC56" s="508">
        <f t="shared" ca="1" si="103"/>
        <v>0</v>
      </c>
      <c r="AD56" s="508">
        <f t="shared" ca="1" si="103"/>
        <v>0</v>
      </c>
      <c r="AE56" s="508">
        <f t="shared" ca="1" si="103"/>
        <v>0</v>
      </c>
      <c r="AF56" s="561">
        <f t="shared" ca="1" si="103"/>
        <v>0</v>
      </c>
      <c r="AG56" s="561">
        <f t="shared" ca="1" si="103"/>
        <v>0</v>
      </c>
      <c r="AH56" s="561">
        <f t="shared" ca="1" si="103"/>
        <v>0</v>
      </c>
      <c r="AI56" s="561">
        <f t="shared" ca="1" si="103"/>
        <v>0</v>
      </c>
      <c r="AJ56" s="561">
        <f t="shared" ca="1" si="103"/>
        <v>0</v>
      </c>
      <c r="AK56" s="561">
        <f t="shared" ca="1" si="103"/>
        <v>0</v>
      </c>
      <c r="AL56" s="1542">
        <f t="shared" ca="1" si="103"/>
        <v>0</v>
      </c>
      <c r="AM56" s="561">
        <f t="shared" ca="1" si="103"/>
        <v>0</v>
      </c>
      <c r="AN56" s="561">
        <f t="shared" ca="1" si="103"/>
        <v>0</v>
      </c>
      <c r="AO56" s="561">
        <f t="shared" ca="1" si="103"/>
        <v>0</v>
      </c>
      <c r="AP56" s="561">
        <f t="shared" ca="1" si="103"/>
        <v>0</v>
      </c>
      <c r="AQ56" s="561">
        <f t="shared" ca="1" si="104"/>
        <v>0</v>
      </c>
      <c r="AR56" s="561">
        <f t="shared" ca="1" si="104"/>
        <v>0</v>
      </c>
      <c r="AS56" s="561">
        <f t="shared" ca="1" si="104"/>
        <v>0</v>
      </c>
      <c r="AT56" s="561">
        <f t="shared" ca="1" si="104"/>
        <v>0</v>
      </c>
      <c r="AU56" s="561">
        <f t="shared" ca="1" si="104"/>
        <v>0</v>
      </c>
      <c r="AV56" s="561">
        <f t="shared" ca="1" si="104"/>
        <v>0</v>
      </c>
      <c r="AW56" s="561">
        <f t="shared" ca="1" si="104"/>
        <v>0</v>
      </c>
      <c r="AX56" s="561">
        <f t="shared" ca="1" si="104"/>
        <v>0</v>
      </c>
      <c r="AY56" s="561">
        <f t="shared" ca="1" si="104"/>
        <v>0</v>
      </c>
      <c r="AZ56" s="561">
        <f t="shared" ca="1" si="104"/>
        <v>0</v>
      </c>
      <c r="BA56" s="561">
        <f t="shared" ca="1" si="104"/>
        <v>0</v>
      </c>
      <c r="BB56" s="561">
        <f t="shared" ca="1" si="104"/>
        <v>0</v>
      </c>
      <c r="BC56" s="561">
        <f t="shared" ca="1" si="104"/>
        <v>0</v>
      </c>
      <c r="BD56" s="561">
        <f t="shared" ca="1" si="104"/>
        <v>0</v>
      </c>
      <c r="BE56" s="561">
        <f t="shared" ca="1" si="104"/>
        <v>0</v>
      </c>
      <c r="BF56" s="561">
        <f t="shared" ca="1" si="104"/>
        <v>0</v>
      </c>
      <c r="BG56" s="561">
        <f t="shared" ca="1" si="105"/>
        <v>0</v>
      </c>
      <c r="BH56" s="561">
        <f t="shared" ca="1" si="105"/>
        <v>0</v>
      </c>
      <c r="BI56" s="561">
        <f t="shared" ca="1" si="105"/>
        <v>0</v>
      </c>
      <c r="BJ56" s="561">
        <f t="shared" ca="1" si="105"/>
        <v>0</v>
      </c>
      <c r="BK56" s="561">
        <f t="shared" ca="1" si="105"/>
        <v>0</v>
      </c>
      <c r="BL56" s="561">
        <f t="shared" ca="1" si="105"/>
        <v>0</v>
      </c>
      <c r="BM56" s="561">
        <f t="shared" ca="1" si="105"/>
        <v>0</v>
      </c>
      <c r="BN56" s="561">
        <f t="shared" ca="1" si="105"/>
        <v>0</v>
      </c>
      <c r="BO56" s="561">
        <f t="shared" ca="1" si="105"/>
        <v>0</v>
      </c>
      <c r="BP56" s="561">
        <f t="shared" ca="1" si="105"/>
        <v>0</v>
      </c>
      <c r="BQ56" s="561">
        <f t="shared" ca="1" si="105"/>
        <v>0</v>
      </c>
      <c r="BR56" s="561">
        <f t="shared" ca="1" si="105"/>
        <v>0</v>
      </c>
      <c r="BS56" s="561">
        <f t="shared" ca="1" si="105"/>
        <v>0</v>
      </c>
      <c r="BT56" s="561">
        <f t="shared" ca="1" si="105"/>
        <v>0</v>
      </c>
      <c r="BU56" s="561">
        <f t="shared" ca="1" si="105"/>
        <v>0</v>
      </c>
      <c r="BV56" s="561">
        <f t="shared" ca="1" si="105"/>
        <v>0</v>
      </c>
      <c r="BW56" s="561">
        <f t="shared" ca="1" si="106"/>
        <v>0</v>
      </c>
      <c r="BX56" s="561">
        <f t="shared" ca="1" si="106"/>
        <v>0</v>
      </c>
      <c r="BY56" s="561">
        <f t="shared" ca="1" si="106"/>
        <v>0</v>
      </c>
      <c r="BZ56" s="561">
        <f t="shared" ca="1" si="106"/>
        <v>0</v>
      </c>
      <c r="CA56" s="561">
        <f t="shared" ca="1" si="106"/>
        <v>0</v>
      </c>
      <c r="CB56" s="561">
        <f t="shared" ca="1" si="106"/>
        <v>0</v>
      </c>
      <c r="CC56" s="561">
        <f t="shared" ca="1" si="106"/>
        <v>0</v>
      </c>
      <c r="CD56" s="561">
        <f t="shared" ca="1" si="106"/>
        <v>0</v>
      </c>
      <c r="CE56" s="561">
        <f t="shared" ca="1" si="106"/>
        <v>0</v>
      </c>
      <c r="CF56" s="561">
        <f t="shared" ca="1" si="106"/>
        <v>0</v>
      </c>
      <c r="CG56" s="561">
        <f t="shared" ca="1" si="106"/>
        <v>0</v>
      </c>
      <c r="CH56" s="561">
        <f t="shared" ca="1" si="106"/>
        <v>0</v>
      </c>
      <c r="CI56" s="561">
        <f t="shared" ca="1" si="106"/>
        <v>0</v>
      </c>
      <c r="CJ56" s="561">
        <f t="shared" ca="1" si="106"/>
        <v>0</v>
      </c>
      <c r="CK56" s="561">
        <f t="shared" ca="1" si="106"/>
        <v>0</v>
      </c>
      <c r="CL56" s="561">
        <f t="shared" ca="1" si="106"/>
        <v>0</v>
      </c>
      <c r="CM56" s="561">
        <f t="shared" ca="1" si="107"/>
        <v>0</v>
      </c>
      <c r="CN56" s="561">
        <f t="shared" ca="1" si="107"/>
        <v>0</v>
      </c>
      <c r="CO56" s="561">
        <f t="shared" ca="1" si="107"/>
        <v>0</v>
      </c>
      <c r="CP56" s="561">
        <f t="shared" ca="1" si="107"/>
        <v>0</v>
      </c>
      <c r="CQ56" s="561">
        <f t="shared" ca="1" si="107"/>
        <v>0</v>
      </c>
      <c r="CR56" s="561">
        <f t="shared" ca="1" si="107"/>
        <v>0</v>
      </c>
      <c r="CS56" s="561">
        <f t="shared" ca="1" si="107"/>
        <v>0</v>
      </c>
      <c r="CT56" s="561">
        <f t="shared" ca="1" si="107"/>
        <v>0</v>
      </c>
      <c r="CU56" s="561">
        <f t="shared" ca="1" si="107"/>
        <v>0</v>
      </c>
      <c r="CV56" s="561">
        <f t="shared" ca="1" si="107"/>
        <v>0</v>
      </c>
      <c r="CW56" s="561">
        <f t="shared" ca="1" si="107"/>
        <v>0</v>
      </c>
      <c r="CX56" s="561">
        <f t="shared" ca="1" si="107"/>
        <v>0</v>
      </c>
      <c r="CY56" s="561">
        <f t="shared" ca="1" si="107"/>
        <v>0</v>
      </c>
      <c r="CZ56" s="561">
        <f t="shared" ca="1" si="107"/>
        <v>0</v>
      </c>
      <c r="DA56" s="561">
        <f t="shared" ca="1" si="107"/>
        <v>0</v>
      </c>
      <c r="DB56" s="561">
        <f t="shared" ca="1" si="107"/>
        <v>0</v>
      </c>
      <c r="DC56" s="561">
        <f t="shared" ca="1" si="108"/>
        <v>0</v>
      </c>
      <c r="DD56" s="561">
        <f t="shared" ca="1" si="108"/>
        <v>0</v>
      </c>
      <c r="DE56" s="561">
        <f t="shared" ca="1" si="108"/>
        <v>0</v>
      </c>
      <c r="DF56" s="561">
        <f t="shared" ca="1" si="108"/>
        <v>0</v>
      </c>
      <c r="DG56" s="561">
        <f t="shared" ca="1" si="108"/>
        <v>0</v>
      </c>
      <c r="DH56" s="561">
        <f t="shared" ca="1" si="108"/>
        <v>0</v>
      </c>
      <c r="DI56" s="561">
        <f t="shared" ca="1" si="108"/>
        <v>0</v>
      </c>
      <c r="DJ56" s="561">
        <f t="shared" ca="1" si="108"/>
        <v>0</v>
      </c>
      <c r="DK56" s="561">
        <f t="shared" ca="1" si="108"/>
        <v>0</v>
      </c>
      <c r="DL56" s="561">
        <f t="shared" ca="1" si="108"/>
        <v>0</v>
      </c>
      <c r="DM56" s="561">
        <f t="shared" ca="1" si="108"/>
        <v>0</v>
      </c>
      <c r="DN56" s="561">
        <f t="shared" ca="1" si="108"/>
        <v>0</v>
      </c>
      <c r="DO56" s="561">
        <f t="shared" ca="1" si="108"/>
        <v>0</v>
      </c>
      <c r="DP56" s="561">
        <f t="shared" ca="1" si="108"/>
        <v>0</v>
      </c>
    </row>
    <row r="57" spans="1:120" s="61" customFormat="1" outlineLevel="1">
      <c r="A57" s="57">
        <v>1110052010</v>
      </c>
      <c r="B57" s="521" t="s">
        <v>2360</v>
      </c>
      <c r="C57" s="1466" t="s">
        <v>64</v>
      </c>
      <c r="D57" s="1471"/>
      <c r="E57" s="1472">
        <v>44985</v>
      </c>
      <c r="F57" s="58"/>
      <c r="G57" s="1252"/>
      <c r="H57" s="522"/>
      <c r="I57" s="523"/>
      <c r="J57" s="1425">
        <v>1</v>
      </c>
      <c r="K57" s="1426">
        <v>1</v>
      </c>
      <c r="L57" s="1191"/>
      <c r="M57" s="1450">
        <f t="shared" ref="M57:M58" si="154">+L57*J57</f>
        <v>0</v>
      </c>
      <c r="N57" s="524"/>
      <c r="O57" s="525">
        <f t="shared" ref="O57:O58" si="155">+L57*J57*N57</f>
        <v>0</v>
      </c>
      <c r="P57" s="526">
        <v>-7422.84</v>
      </c>
      <c r="Q57" s="526">
        <f t="shared" ref="Q57:Q58" si="156">+P57*K57</f>
        <v>-7422.84</v>
      </c>
      <c r="R57" s="527">
        <v>4745.04</v>
      </c>
      <c r="S57" s="527">
        <f ca="1">IF(OR(E57="",E57&gt;TODAY()),0,IF(ISERROR(VLOOKUP($E57,'TRM BanRep'!$A:$G,7,0)),0,VLOOKUP($E57,'TRM BanRep'!$A:$G,7,0)))</f>
        <v>4808.1400000000003</v>
      </c>
      <c r="T57" s="564">
        <f t="shared" ref="T57:T58" ca="1" si="157">+P57*K57*S57</f>
        <v>-35690053.917600006</v>
      </c>
      <c r="U57" s="60">
        <f t="shared" ref="U57:U58" si="158">+L57+P57+F57</f>
        <v>-7422.84</v>
      </c>
      <c r="V57" s="529">
        <f t="shared" ref="V57:V58" si="159">+P57*J57*R57+L57*J57*N57+F57*J57*H57</f>
        <v>-35221672.713600002</v>
      </c>
      <c r="W57" s="94">
        <f t="shared" ref="W57:W58" ca="1" si="160">IF((-P57*J57*R57)-(-P57*K57*S57)&gt;0,(-P57*J57*R57)-(-P57*K57*S57),0)</f>
        <v>0</v>
      </c>
      <c r="X57" s="530">
        <f t="shared" ref="X57:X58" ca="1" si="161">IF((-P57*J57*R57)-(-P57*K57*S57)&lt;0,(-P57*J57*R57)-(-P57*K57*S57),0)</f>
        <v>-468381.20400000364</v>
      </c>
      <c r="Y57" s="531"/>
      <c r="Z57" s="1056"/>
      <c r="AA57" s="95">
        <f t="shared" ref="AA57:CL60" ca="1" si="162">IF($L57="",IF(OR($P57="",$R57=""),0,IF($R57=AA$6,$Q57,0)),IF($E57=AA$5,$M57,))</f>
        <v>0</v>
      </c>
      <c r="AB57" s="508">
        <f t="shared" ca="1" si="162"/>
        <v>-7422.84</v>
      </c>
      <c r="AC57" s="508">
        <f t="shared" ca="1" si="162"/>
        <v>0</v>
      </c>
      <c r="AD57" s="508">
        <f t="shared" ca="1" si="162"/>
        <v>0</v>
      </c>
      <c r="AE57" s="508">
        <f t="shared" ca="1" si="162"/>
        <v>0</v>
      </c>
      <c r="AF57" s="561">
        <f t="shared" ca="1" si="162"/>
        <v>0</v>
      </c>
      <c r="AG57" s="561">
        <f t="shared" ca="1" si="162"/>
        <v>0</v>
      </c>
      <c r="AH57" s="561">
        <f t="shared" ca="1" si="162"/>
        <v>0</v>
      </c>
      <c r="AI57" s="561">
        <f t="shared" ca="1" si="162"/>
        <v>0</v>
      </c>
      <c r="AJ57" s="561">
        <f t="shared" ca="1" si="162"/>
        <v>0</v>
      </c>
      <c r="AK57" s="561">
        <f t="shared" ca="1" si="162"/>
        <v>0</v>
      </c>
      <c r="AL57" s="1542">
        <f t="shared" ca="1" si="162"/>
        <v>0</v>
      </c>
      <c r="AM57" s="561">
        <f t="shared" ca="1" si="162"/>
        <v>0</v>
      </c>
      <c r="AN57" s="561">
        <f t="shared" ca="1" si="162"/>
        <v>0</v>
      </c>
      <c r="AO57" s="561">
        <f t="shared" ca="1" si="162"/>
        <v>0</v>
      </c>
      <c r="AP57" s="561">
        <f t="shared" ca="1" si="162"/>
        <v>0</v>
      </c>
      <c r="AQ57" s="561">
        <f t="shared" ca="1" si="162"/>
        <v>0</v>
      </c>
      <c r="AR57" s="561">
        <f t="shared" ca="1" si="162"/>
        <v>0</v>
      </c>
      <c r="AS57" s="561">
        <f t="shared" ca="1" si="162"/>
        <v>0</v>
      </c>
      <c r="AT57" s="561">
        <f t="shared" ca="1" si="162"/>
        <v>0</v>
      </c>
      <c r="AU57" s="561">
        <f t="shared" ca="1" si="162"/>
        <v>0</v>
      </c>
      <c r="AV57" s="561">
        <f t="shared" ca="1" si="162"/>
        <v>0</v>
      </c>
      <c r="AW57" s="561">
        <f t="shared" ca="1" si="162"/>
        <v>0</v>
      </c>
      <c r="AX57" s="561">
        <f t="shared" ca="1" si="162"/>
        <v>0</v>
      </c>
      <c r="AY57" s="561">
        <f t="shared" ca="1" si="162"/>
        <v>0</v>
      </c>
      <c r="AZ57" s="561">
        <f t="shared" ca="1" si="162"/>
        <v>0</v>
      </c>
      <c r="BA57" s="561">
        <f t="shared" ca="1" si="162"/>
        <v>0</v>
      </c>
      <c r="BB57" s="561">
        <f t="shared" ca="1" si="162"/>
        <v>0</v>
      </c>
      <c r="BC57" s="561">
        <f t="shared" ca="1" si="162"/>
        <v>0</v>
      </c>
      <c r="BD57" s="561">
        <f t="shared" ca="1" si="162"/>
        <v>0</v>
      </c>
      <c r="BE57" s="561">
        <f t="shared" ca="1" si="162"/>
        <v>0</v>
      </c>
      <c r="BF57" s="561">
        <f t="shared" ca="1" si="162"/>
        <v>0</v>
      </c>
      <c r="BG57" s="561">
        <f t="shared" ca="1" si="162"/>
        <v>0</v>
      </c>
      <c r="BH57" s="561">
        <f t="shared" ca="1" si="162"/>
        <v>0</v>
      </c>
      <c r="BI57" s="561">
        <f t="shared" ca="1" si="162"/>
        <v>0</v>
      </c>
      <c r="BJ57" s="561">
        <f t="shared" ca="1" si="162"/>
        <v>0</v>
      </c>
      <c r="BK57" s="561">
        <f t="shared" ca="1" si="162"/>
        <v>0</v>
      </c>
      <c r="BL57" s="561">
        <f t="shared" ca="1" si="162"/>
        <v>0</v>
      </c>
      <c r="BM57" s="561">
        <f t="shared" ca="1" si="162"/>
        <v>0</v>
      </c>
      <c r="BN57" s="561">
        <f t="shared" ca="1" si="162"/>
        <v>0</v>
      </c>
      <c r="BO57" s="561">
        <f t="shared" ca="1" si="162"/>
        <v>0</v>
      </c>
      <c r="BP57" s="561">
        <f t="shared" ca="1" si="162"/>
        <v>0</v>
      </c>
      <c r="BQ57" s="561">
        <f t="shared" ca="1" si="162"/>
        <v>0</v>
      </c>
      <c r="BR57" s="561">
        <f t="shared" ca="1" si="162"/>
        <v>0</v>
      </c>
      <c r="BS57" s="561">
        <f t="shared" ca="1" si="162"/>
        <v>0</v>
      </c>
      <c r="BT57" s="561">
        <f t="shared" ca="1" si="162"/>
        <v>0</v>
      </c>
      <c r="BU57" s="561">
        <f t="shared" ca="1" si="162"/>
        <v>0</v>
      </c>
      <c r="BV57" s="561">
        <f t="shared" ca="1" si="162"/>
        <v>0</v>
      </c>
      <c r="BW57" s="561">
        <f t="shared" ca="1" si="162"/>
        <v>0</v>
      </c>
      <c r="BX57" s="561">
        <f t="shared" ca="1" si="162"/>
        <v>0</v>
      </c>
      <c r="BY57" s="561">
        <f t="shared" ca="1" si="162"/>
        <v>0</v>
      </c>
      <c r="BZ57" s="561">
        <f t="shared" ca="1" si="162"/>
        <v>0</v>
      </c>
      <c r="CA57" s="561">
        <f t="shared" ca="1" si="162"/>
        <v>0</v>
      </c>
      <c r="CB57" s="561">
        <f t="shared" ca="1" si="162"/>
        <v>0</v>
      </c>
      <c r="CC57" s="561">
        <f t="shared" ca="1" si="162"/>
        <v>0</v>
      </c>
      <c r="CD57" s="561">
        <f t="shared" ca="1" si="162"/>
        <v>0</v>
      </c>
      <c r="CE57" s="561">
        <f t="shared" ca="1" si="162"/>
        <v>0</v>
      </c>
      <c r="CF57" s="561">
        <f t="shared" ca="1" si="162"/>
        <v>0</v>
      </c>
      <c r="CG57" s="561">
        <f t="shared" ca="1" si="162"/>
        <v>0</v>
      </c>
      <c r="CH57" s="561">
        <f t="shared" ca="1" si="162"/>
        <v>0</v>
      </c>
      <c r="CI57" s="561">
        <f t="shared" ca="1" si="162"/>
        <v>0</v>
      </c>
      <c r="CJ57" s="561">
        <f t="shared" ca="1" si="162"/>
        <v>0</v>
      </c>
      <c r="CK57" s="561">
        <f t="shared" ca="1" si="162"/>
        <v>0</v>
      </c>
      <c r="CL57" s="561">
        <f t="shared" ca="1" si="162"/>
        <v>0</v>
      </c>
      <c r="CM57" s="561">
        <f t="shared" ref="CM57:DB61" ca="1" si="163">IF($L57="",IF(OR($P57="",$R57=""),0,IF($R57=CM$6,$Q57,0)),IF($E57=CM$5,$M57,))</f>
        <v>0</v>
      </c>
      <c r="CN57" s="561">
        <f t="shared" ca="1" si="163"/>
        <v>0</v>
      </c>
      <c r="CO57" s="561">
        <f t="shared" ca="1" si="163"/>
        <v>0</v>
      </c>
      <c r="CP57" s="561">
        <f t="shared" ca="1" si="163"/>
        <v>0</v>
      </c>
      <c r="CQ57" s="561">
        <f t="shared" ca="1" si="163"/>
        <v>0</v>
      </c>
      <c r="CR57" s="561">
        <f t="shared" ca="1" si="163"/>
        <v>0</v>
      </c>
      <c r="CS57" s="561">
        <f t="shared" ca="1" si="163"/>
        <v>0</v>
      </c>
      <c r="CT57" s="561">
        <f t="shared" ca="1" si="163"/>
        <v>0</v>
      </c>
      <c r="CU57" s="561">
        <f t="shared" ca="1" si="163"/>
        <v>0</v>
      </c>
      <c r="CV57" s="561">
        <f t="shared" ca="1" si="163"/>
        <v>0</v>
      </c>
      <c r="CW57" s="561">
        <f t="shared" ca="1" si="163"/>
        <v>0</v>
      </c>
      <c r="CX57" s="561">
        <f t="shared" ca="1" si="163"/>
        <v>0</v>
      </c>
      <c r="CY57" s="561">
        <f t="shared" ca="1" si="163"/>
        <v>0</v>
      </c>
      <c r="CZ57" s="561">
        <f t="shared" ca="1" si="163"/>
        <v>0</v>
      </c>
      <c r="DA57" s="561">
        <f t="shared" ca="1" si="163"/>
        <v>0</v>
      </c>
      <c r="DB57" s="561">
        <f t="shared" ca="1" si="163"/>
        <v>0</v>
      </c>
      <c r="DC57" s="561">
        <f t="shared" ca="1" si="108"/>
        <v>0</v>
      </c>
      <c r="DD57" s="561">
        <f t="shared" ca="1" si="108"/>
        <v>0</v>
      </c>
      <c r="DE57" s="561">
        <f t="shared" ca="1" si="108"/>
        <v>0</v>
      </c>
      <c r="DF57" s="561">
        <f t="shared" ref="DF57:DP61" ca="1" si="164">IF($L57="",IF(OR($P57="",$R57=""),0,IF($R57=DF$6,$Q57,0)),IF($E57=DF$5,$M57,))</f>
        <v>0</v>
      </c>
      <c r="DG57" s="561">
        <f t="shared" ca="1" si="164"/>
        <v>0</v>
      </c>
      <c r="DH57" s="561">
        <f t="shared" ca="1" si="164"/>
        <v>0</v>
      </c>
      <c r="DI57" s="561">
        <f t="shared" ca="1" si="164"/>
        <v>0</v>
      </c>
      <c r="DJ57" s="561">
        <f t="shared" ca="1" si="164"/>
        <v>0</v>
      </c>
      <c r="DK57" s="561">
        <f t="shared" ca="1" si="164"/>
        <v>0</v>
      </c>
      <c r="DL57" s="561">
        <f t="shared" ca="1" si="164"/>
        <v>0</v>
      </c>
      <c r="DM57" s="561">
        <f t="shared" ca="1" si="164"/>
        <v>0</v>
      </c>
      <c r="DN57" s="561">
        <f t="shared" ca="1" si="164"/>
        <v>0</v>
      </c>
      <c r="DO57" s="561">
        <f t="shared" ca="1" si="164"/>
        <v>0</v>
      </c>
      <c r="DP57" s="561">
        <f t="shared" ca="1" si="164"/>
        <v>0</v>
      </c>
    </row>
    <row r="58" spans="1:120" s="61" customFormat="1" outlineLevel="1">
      <c r="A58" s="57">
        <v>1110052010</v>
      </c>
      <c r="B58" s="521" t="s">
        <v>2360</v>
      </c>
      <c r="C58" s="1466" t="s">
        <v>64</v>
      </c>
      <c r="D58" s="1471"/>
      <c r="E58" s="1472">
        <v>44985</v>
      </c>
      <c r="F58" s="58"/>
      <c r="G58" s="1252"/>
      <c r="H58" s="522"/>
      <c r="I58" s="523"/>
      <c r="J58" s="1425">
        <v>1</v>
      </c>
      <c r="K58" s="1426">
        <v>1</v>
      </c>
      <c r="L58" s="1191"/>
      <c r="M58" s="1450">
        <f t="shared" si="154"/>
        <v>0</v>
      </c>
      <c r="N58" s="524"/>
      <c r="O58" s="525">
        <f t="shared" si="155"/>
        <v>0</v>
      </c>
      <c r="P58" s="526">
        <v>-79310.679999999993</v>
      </c>
      <c r="Q58" s="526">
        <f t="shared" si="156"/>
        <v>-79310.679999999993</v>
      </c>
      <c r="R58" s="527">
        <v>4810.2</v>
      </c>
      <c r="S58" s="527">
        <f ca="1">IF(OR(E58="",E58&gt;TODAY()),0,IF(ISERROR(VLOOKUP($E58,'TRM BanRep'!$A:$G,7,0)),0,VLOOKUP($E58,'TRM BanRep'!$A:$G,7,0)))</f>
        <v>4808.1400000000003</v>
      </c>
      <c r="T58" s="564">
        <f t="shared" ca="1" si="157"/>
        <v>-381336852.93519998</v>
      </c>
      <c r="U58" s="60">
        <f t="shared" si="158"/>
        <v>-79310.679999999993</v>
      </c>
      <c r="V58" s="529">
        <f t="shared" si="159"/>
        <v>-381500232.93599993</v>
      </c>
      <c r="W58" s="94">
        <f t="shared" ca="1" si="160"/>
        <v>163380.00079995394</v>
      </c>
      <c r="X58" s="530">
        <f t="shared" ca="1" si="161"/>
        <v>0</v>
      </c>
      <c r="Y58" s="531"/>
      <c r="Z58" s="1056"/>
      <c r="AA58" s="95">
        <f t="shared" ca="1" si="162"/>
        <v>0</v>
      </c>
      <c r="AB58" s="508">
        <f t="shared" ca="1" si="162"/>
        <v>0</v>
      </c>
      <c r="AC58" s="508">
        <f t="shared" ca="1" si="162"/>
        <v>0</v>
      </c>
      <c r="AD58" s="508">
        <f t="shared" ca="1" si="162"/>
        <v>0</v>
      </c>
      <c r="AE58" s="508">
        <f t="shared" ca="1" si="162"/>
        <v>0</v>
      </c>
      <c r="AF58" s="2011">
        <v>0</v>
      </c>
      <c r="AG58" s="561">
        <f t="shared" ca="1" si="162"/>
        <v>-79310.679999999993</v>
      </c>
      <c r="AH58" s="561">
        <f t="shared" ca="1" si="162"/>
        <v>0</v>
      </c>
      <c r="AI58" s="561">
        <f t="shared" ca="1" si="162"/>
        <v>0</v>
      </c>
      <c r="AJ58" s="561">
        <f t="shared" ca="1" si="162"/>
        <v>0</v>
      </c>
      <c r="AK58" s="561">
        <f t="shared" ca="1" si="162"/>
        <v>0</v>
      </c>
      <c r="AL58" s="1542">
        <f t="shared" ca="1" si="162"/>
        <v>0</v>
      </c>
      <c r="AM58" s="561">
        <f t="shared" ca="1" si="162"/>
        <v>0</v>
      </c>
      <c r="AN58" s="561">
        <f t="shared" ca="1" si="162"/>
        <v>0</v>
      </c>
      <c r="AO58" s="561">
        <f t="shared" ca="1" si="162"/>
        <v>0</v>
      </c>
      <c r="AP58" s="561">
        <f t="shared" ca="1" si="162"/>
        <v>0</v>
      </c>
      <c r="AQ58" s="561">
        <f t="shared" ca="1" si="162"/>
        <v>0</v>
      </c>
      <c r="AR58" s="561">
        <f t="shared" ca="1" si="162"/>
        <v>0</v>
      </c>
      <c r="AS58" s="561">
        <f t="shared" ca="1" si="162"/>
        <v>0</v>
      </c>
      <c r="AT58" s="561">
        <f t="shared" ca="1" si="162"/>
        <v>0</v>
      </c>
      <c r="AU58" s="561">
        <f t="shared" ca="1" si="162"/>
        <v>0</v>
      </c>
      <c r="AV58" s="561">
        <f t="shared" ca="1" si="162"/>
        <v>0</v>
      </c>
      <c r="AW58" s="561">
        <f t="shared" ca="1" si="162"/>
        <v>0</v>
      </c>
      <c r="AX58" s="561">
        <f t="shared" ca="1" si="162"/>
        <v>0</v>
      </c>
      <c r="AY58" s="561">
        <f t="shared" ca="1" si="162"/>
        <v>0</v>
      </c>
      <c r="AZ58" s="561">
        <f t="shared" ca="1" si="162"/>
        <v>0</v>
      </c>
      <c r="BA58" s="561">
        <f t="shared" ca="1" si="162"/>
        <v>0</v>
      </c>
      <c r="BB58" s="561">
        <f t="shared" ca="1" si="162"/>
        <v>0</v>
      </c>
      <c r="BC58" s="561">
        <f t="shared" ca="1" si="162"/>
        <v>0</v>
      </c>
      <c r="BD58" s="561">
        <f t="shared" ca="1" si="162"/>
        <v>0</v>
      </c>
      <c r="BE58" s="561">
        <f t="shared" ca="1" si="162"/>
        <v>0</v>
      </c>
      <c r="BF58" s="561">
        <f t="shared" ca="1" si="162"/>
        <v>0</v>
      </c>
      <c r="BG58" s="561">
        <f t="shared" ca="1" si="162"/>
        <v>0</v>
      </c>
      <c r="BH58" s="561">
        <f t="shared" ca="1" si="162"/>
        <v>0</v>
      </c>
      <c r="BI58" s="561">
        <f t="shared" ca="1" si="162"/>
        <v>0</v>
      </c>
      <c r="BJ58" s="561">
        <f t="shared" ca="1" si="162"/>
        <v>0</v>
      </c>
      <c r="BK58" s="561">
        <f t="shared" ca="1" si="162"/>
        <v>0</v>
      </c>
      <c r="BL58" s="561">
        <f t="shared" ca="1" si="162"/>
        <v>0</v>
      </c>
      <c r="BM58" s="561">
        <f t="shared" ca="1" si="162"/>
        <v>0</v>
      </c>
      <c r="BN58" s="561">
        <f t="shared" ca="1" si="162"/>
        <v>0</v>
      </c>
      <c r="BO58" s="561">
        <f t="shared" ca="1" si="162"/>
        <v>0</v>
      </c>
      <c r="BP58" s="561">
        <f t="shared" ca="1" si="162"/>
        <v>0</v>
      </c>
      <c r="BQ58" s="561">
        <f t="shared" ca="1" si="162"/>
        <v>0</v>
      </c>
      <c r="BR58" s="561">
        <f t="shared" ca="1" si="162"/>
        <v>0</v>
      </c>
      <c r="BS58" s="561">
        <f t="shared" ca="1" si="162"/>
        <v>0</v>
      </c>
      <c r="BT58" s="561">
        <f t="shared" ca="1" si="162"/>
        <v>0</v>
      </c>
      <c r="BU58" s="561">
        <f t="shared" ca="1" si="162"/>
        <v>0</v>
      </c>
      <c r="BV58" s="561">
        <f t="shared" ca="1" si="162"/>
        <v>0</v>
      </c>
      <c r="BW58" s="561">
        <f t="shared" ca="1" si="162"/>
        <v>0</v>
      </c>
      <c r="BX58" s="561">
        <f t="shared" ca="1" si="162"/>
        <v>0</v>
      </c>
      <c r="BY58" s="561">
        <f t="shared" ca="1" si="162"/>
        <v>0</v>
      </c>
      <c r="BZ58" s="561">
        <f t="shared" ca="1" si="162"/>
        <v>0</v>
      </c>
      <c r="CA58" s="561">
        <f t="shared" ca="1" si="162"/>
        <v>0</v>
      </c>
      <c r="CB58" s="561">
        <f t="shared" ca="1" si="162"/>
        <v>0</v>
      </c>
      <c r="CC58" s="561">
        <f t="shared" ca="1" si="162"/>
        <v>0</v>
      </c>
      <c r="CD58" s="561">
        <f t="shared" ca="1" si="162"/>
        <v>0</v>
      </c>
      <c r="CE58" s="561">
        <f t="shared" ca="1" si="162"/>
        <v>0</v>
      </c>
      <c r="CF58" s="561">
        <f t="shared" ca="1" si="162"/>
        <v>0</v>
      </c>
      <c r="CG58" s="561">
        <f t="shared" ca="1" si="162"/>
        <v>0</v>
      </c>
      <c r="CH58" s="561">
        <f t="shared" ca="1" si="162"/>
        <v>0</v>
      </c>
      <c r="CI58" s="561">
        <f t="shared" ca="1" si="162"/>
        <v>0</v>
      </c>
      <c r="CJ58" s="561">
        <f t="shared" ca="1" si="162"/>
        <v>0</v>
      </c>
      <c r="CK58" s="561">
        <f t="shared" ca="1" si="162"/>
        <v>0</v>
      </c>
      <c r="CL58" s="561">
        <f t="shared" ca="1" si="162"/>
        <v>0</v>
      </c>
      <c r="CM58" s="561">
        <f t="shared" ca="1" si="163"/>
        <v>0</v>
      </c>
      <c r="CN58" s="561">
        <f t="shared" ca="1" si="163"/>
        <v>0</v>
      </c>
      <c r="CO58" s="561">
        <f t="shared" ca="1" si="163"/>
        <v>0</v>
      </c>
      <c r="CP58" s="561">
        <f t="shared" ca="1" si="163"/>
        <v>0</v>
      </c>
      <c r="CQ58" s="561">
        <f t="shared" ca="1" si="163"/>
        <v>0</v>
      </c>
      <c r="CR58" s="561">
        <f t="shared" ca="1" si="163"/>
        <v>0</v>
      </c>
      <c r="CS58" s="561">
        <f t="shared" ca="1" si="163"/>
        <v>0</v>
      </c>
      <c r="CT58" s="561">
        <f t="shared" ca="1" si="163"/>
        <v>0</v>
      </c>
      <c r="CU58" s="561">
        <f t="shared" ca="1" si="163"/>
        <v>0</v>
      </c>
      <c r="CV58" s="561">
        <f t="shared" ca="1" si="163"/>
        <v>0</v>
      </c>
      <c r="CW58" s="561">
        <f t="shared" ca="1" si="163"/>
        <v>0</v>
      </c>
      <c r="CX58" s="561">
        <f t="shared" ca="1" si="163"/>
        <v>0</v>
      </c>
      <c r="CY58" s="561">
        <f t="shared" ca="1" si="163"/>
        <v>0</v>
      </c>
      <c r="CZ58" s="561">
        <f t="shared" ca="1" si="163"/>
        <v>0</v>
      </c>
      <c r="DA58" s="561">
        <f t="shared" ca="1" si="163"/>
        <v>0</v>
      </c>
      <c r="DB58" s="561">
        <f t="shared" ca="1" si="163"/>
        <v>0</v>
      </c>
      <c r="DC58" s="561">
        <f t="shared" ref="DC58:DP61" ca="1" si="165">IF($L58="",IF(OR($P58="",$R58=""),0,IF($R58=DC$6,$Q58,0)),IF($E58=DC$5,$M58,))</f>
        <v>0</v>
      </c>
      <c r="DD58" s="561">
        <f t="shared" ca="1" si="165"/>
        <v>0</v>
      </c>
      <c r="DE58" s="561">
        <f t="shared" ca="1" si="165"/>
        <v>0</v>
      </c>
      <c r="DF58" s="561">
        <f t="shared" ca="1" si="165"/>
        <v>0</v>
      </c>
      <c r="DG58" s="561">
        <f t="shared" ca="1" si="165"/>
        <v>0</v>
      </c>
      <c r="DH58" s="561">
        <f t="shared" ca="1" si="165"/>
        <v>0</v>
      </c>
      <c r="DI58" s="561">
        <f t="shared" ca="1" si="165"/>
        <v>0</v>
      </c>
      <c r="DJ58" s="561">
        <f t="shared" ca="1" si="165"/>
        <v>0</v>
      </c>
      <c r="DK58" s="561">
        <f t="shared" ca="1" si="165"/>
        <v>0</v>
      </c>
      <c r="DL58" s="561">
        <f t="shared" ca="1" si="165"/>
        <v>0</v>
      </c>
      <c r="DM58" s="561">
        <f t="shared" ca="1" si="165"/>
        <v>0</v>
      </c>
      <c r="DN58" s="561">
        <f t="shared" ca="1" si="165"/>
        <v>0</v>
      </c>
      <c r="DO58" s="561">
        <f t="shared" ca="1" si="165"/>
        <v>0</v>
      </c>
      <c r="DP58" s="561">
        <f t="shared" ca="1" si="165"/>
        <v>0</v>
      </c>
    </row>
    <row r="59" spans="1:120" s="61" customFormat="1" outlineLevel="1">
      <c r="A59" s="57">
        <v>1110052010</v>
      </c>
      <c r="B59" s="521" t="s">
        <v>2360</v>
      </c>
      <c r="C59" s="1466" t="s">
        <v>64</v>
      </c>
      <c r="D59" s="1471"/>
      <c r="E59" s="1472">
        <v>44985</v>
      </c>
      <c r="F59" s="58"/>
      <c r="G59" s="1252"/>
      <c r="H59" s="522"/>
      <c r="I59" s="523"/>
      <c r="J59" s="1425">
        <v>1</v>
      </c>
      <c r="K59" s="1426">
        <v>1</v>
      </c>
      <c r="L59" s="1191"/>
      <c r="M59" s="1450">
        <f t="shared" ref="M59:M60" si="166">+L59*J59</f>
        <v>0</v>
      </c>
      <c r="N59" s="524"/>
      <c r="O59" s="525">
        <f t="shared" ref="O59:O60" si="167">+L59*J59*N59</f>
        <v>0</v>
      </c>
      <c r="P59" s="526">
        <v>-424990.29</v>
      </c>
      <c r="Q59" s="526">
        <f t="shared" ref="Q59:Q60" si="168">+P59*K59</f>
        <v>-424990.29</v>
      </c>
      <c r="R59" s="527">
        <v>4924</v>
      </c>
      <c r="S59" s="527">
        <f ca="1">IF(OR(E59="",E59&gt;TODAY()),0,IF(ISERROR(VLOOKUP($E59,'TRM BanRep'!$A:$G,7,0)),0,VLOOKUP($E59,'TRM BanRep'!$A:$G,7,0)))</f>
        <v>4808.1400000000003</v>
      </c>
      <c r="T59" s="564">
        <f t="shared" ref="T59:T60" ca="1" si="169">+P59*K59*S59</f>
        <v>-2043412812.9606001</v>
      </c>
      <c r="U59" s="60">
        <f t="shared" ref="U59:U60" si="170">+L59+P59+F59</f>
        <v>-424990.29</v>
      </c>
      <c r="V59" s="529">
        <f t="shared" ref="V59:V60" si="171">+P59*J59*R59+L59*J59*N59+F59*J59*H59</f>
        <v>-2092652187.9599998</v>
      </c>
      <c r="W59" s="94">
        <f t="shared" ref="W59:W60" ca="1" si="172">IF((-P59*J59*R59)-(-P59*K59*S59)&gt;0,(-P59*J59*R59)-(-P59*K59*S59),0)</f>
        <v>49239374.999399662</v>
      </c>
      <c r="X59" s="530">
        <f t="shared" ref="X59:X60" ca="1" si="173">IF((-P59*J59*R59)-(-P59*K59*S59)&lt;0,(-P59*J59*R59)-(-P59*K59*S59),0)</f>
        <v>0</v>
      </c>
      <c r="Y59" s="531"/>
      <c r="Z59" s="1056"/>
      <c r="AA59" s="95">
        <f t="shared" ca="1" si="162"/>
        <v>0</v>
      </c>
      <c r="AB59" s="508">
        <f t="shared" ca="1" si="162"/>
        <v>0</v>
      </c>
      <c r="AC59" s="508">
        <f t="shared" ca="1" si="162"/>
        <v>0</v>
      </c>
      <c r="AD59" s="508">
        <f t="shared" ca="1" si="162"/>
        <v>0</v>
      </c>
      <c r="AE59" s="508">
        <f t="shared" ca="1" si="162"/>
        <v>0</v>
      </c>
      <c r="AF59" s="561">
        <f t="shared" ca="1" si="162"/>
        <v>0</v>
      </c>
      <c r="AG59" s="561">
        <f t="shared" ca="1" si="162"/>
        <v>0</v>
      </c>
      <c r="AH59" s="561">
        <f t="shared" ca="1" si="162"/>
        <v>-424990.29</v>
      </c>
      <c r="AI59" s="561">
        <f t="shared" ca="1" si="162"/>
        <v>0</v>
      </c>
      <c r="AJ59" s="561">
        <f t="shared" ca="1" si="162"/>
        <v>0</v>
      </c>
      <c r="AK59" s="561">
        <f t="shared" ca="1" si="162"/>
        <v>0</v>
      </c>
      <c r="AL59" s="1542">
        <f t="shared" ca="1" si="162"/>
        <v>0</v>
      </c>
      <c r="AM59" s="561">
        <f t="shared" ca="1" si="162"/>
        <v>0</v>
      </c>
      <c r="AN59" s="561">
        <f t="shared" ca="1" si="162"/>
        <v>0</v>
      </c>
      <c r="AO59" s="561">
        <f t="shared" ca="1" si="162"/>
        <v>0</v>
      </c>
      <c r="AP59" s="561">
        <f t="shared" ca="1" si="162"/>
        <v>0</v>
      </c>
      <c r="AQ59" s="561">
        <f t="shared" ca="1" si="162"/>
        <v>0</v>
      </c>
      <c r="AR59" s="561">
        <f t="shared" ca="1" si="162"/>
        <v>0</v>
      </c>
      <c r="AS59" s="561">
        <f t="shared" ca="1" si="162"/>
        <v>0</v>
      </c>
      <c r="AT59" s="561">
        <f t="shared" ca="1" si="162"/>
        <v>0</v>
      </c>
      <c r="AU59" s="561">
        <f t="shared" ca="1" si="162"/>
        <v>0</v>
      </c>
      <c r="AV59" s="561">
        <f t="shared" ca="1" si="162"/>
        <v>0</v>
      </c>
      <c r="AW59" s="561">
        <f t="shared" ca="1" si="162"/>
        <v>0</v>
      </c>
      <c r="AX59" s="561">
        <f t="shared" ca="1" si="162"/>
        <v>0</v>
      </c>
      <c r="AY59" s="561">
        <f t="shared" ca="1" si="162"/>
        <v>0</v>
      </c>
      <c r="AZ59" s="561">
        <f t="shared" ca="1" si="162"/>
        <v>0</v>
      </c>
      <c r="BA59" s="561">
        <f t="shared" ca="1" si="162"/>
        <v>0</v>
      </c>
      <c r="BB59" s="561">
        <f t="shared" ca="1" si="162"/>
        <v>0</v>
      </c>
      <c r="BC59" s="561">
        <f t="shared" ca="1" si="162"/>
        <v>0</v>
      </c>
      <c r="BD59" s="561">
        <f t="shared" ca="1" si="162"/>
        <v>0</v>
      </c>
      <c r="BE59" s="561">
        <f t="shared" ca="1" si="162"/>
        <v>0</v>
      </c>
      <c r="BF59" s="561">
        <f t="shared" ca="1" si="162"/>
        <v>0</v>
      </c>
      <c r="BG59" s="561">
        <f t="shared" ca="1" si="162"/>
        <v>0</v>
      </c>
      <c r="BH59" s="561">
        <f t="shared" ca="1" si="162"/>
        <v>0</v>
      </c>
      <c r="BI59" s="561">
        <f t="shared" ca="1" si="162"/>
        <v>0</v>
      </c>
      <c r="BJ59" s="561">
        <f t="shared" ca="1" si="162"/>
        <v>0</v>
      </c>
      <c r="BK59" s="561">
        <f t="shared" ca="1" si="162"/>
        <v>0</v>
      </c>
      <c r="BL59" s="561">
        <f t="shared" ca="1" si="162"/>
        <v>0</v>
      </c>
      <c r="BM59" s="561">
        <f t="shared" ca="1" si="162"/>
        <v>0</v>
      </c>
      <c r="BN59" s="561">
        <f t="shared" ca="1" si="162"/>
        <v>0</v>
      </c>
      <c r="BO59" s="561">
        <f t="shared" ca="1" si="162"/>
        <v>0</v>
      </c>
      <c r="BP59" s="561">
        <f t="shared" ca="1" si="162"/>
        <v>0</v>
      </c>
      <c r="BQ59" s="561">
        <f t="shared" ca="1" si="162"/>
        <v>0</v>
      </c>
      <c r="BR59" s="561">
        <f t="shared" ca="1" si="162"/>
        <v>0</v>
      </c>
      <c r="BS59" s="561">
        <f t="shared" ca="1" si="162"/>
        <v>0</v>
      </c>
      <c r="BT59" s="561">
        <f t="shared" ca="1" si="162"/>
        <v>0</v>
      </c>
      <c r="BU59" s="561">
        <f t="shared" ca="1" si="162"/>
        <v>0</v>
      </c>
      <c r="BV59" s="561">
        <f t="shared" ca="1" si="162"/>
        <v>0</v>
      </c>
      <c r="BW59" s="561">
        <f t="shared" ca="1" si="162"/>
        <v>0</v>
      </c>
      <c r="BX59" s="561">
        <f t="shared" ca="1" si="162"/>
        <v>0</v>
      </c>
      <c r="BY59" s="561">
        <f t="shared" ca="1" si="162"/>
        <v>0</v>
      </c>
      <c r="BZ59" s="561">
        <f t="shared" ca="1" si="162"/>
        <v>0</v>
      </c>
      <c r="CA59" s="561">
        <f t="shared" ca="1" si="162"/>
        <v>0</v>
      </c>
      <c r="CB59" s="561">
        <f t="shared" ca="1" si="162"/>
        <v>0</v>
      </c>
      <c r="CC59" s="561">
        <f t="shared" ca="1" si="162"/>
        <v>0</v>
      </c>
      <c r="CD59" s="561">
        <f t="shared" ca="1" si="162"/>
        <v>0</v>
      </c>
      <c r="CE59" s="561">
        <f t="shared" ca="1" si="162"/>
        <v>0</v>
      </c>
      <c r="CF59" s="561">
        <f t="shared" ca="1" si="162"/>
        <v>0</v>
      </c>
      <c r="CG59" s="561">
        <f t="shared" ca="1" si="162"/>
        <v>0</v>
      </c>
      <c r="CH59" s="561">
        <f t="shared" ca="1" si="162"/>
        <v>0</v>
      </c>
      <c r="CI59" s="561">
        <f t="shared" ca="1" si="162"/>
        <v>0</v>
      </c>
      <c r="CJ59" s="561">
        <f t="shared" ca="1" si="162"/>
        <v>0</v>
      </c>
      <c r="CK59" s="561">
        <f t="shared" ca="1" si="162"/>
        <v>0</v>
      </c>
      <c r="CL59" s="561">
        <f t="shared" ca="1" si="162"/>
        <v>0</v>
      </c>
      <c r="CM59" s="561">
        <f t="shared" ca="1" si="163"/>
        <v>0</v>
      </c>
      <c r="CN59" s="561">
        <f t="shared" ca="1" si="163"/>
        <v>0</v>
      </c>
      <c r="CO59" s="561">
        <f t="shared" ca="1" si="163"/>
        <v>0</v>
      </c>
      <c r="CP59" s="561">
        <f t="shared" ca="1" si="163"/>
        <v>0</v>
      </c>
      <c r="CQ59" s="561">
        <f t="shared" ca="1" si="163"/>
        <v>0</v>
      </c>
      <c r="CR59" s="561">
        <f t="shared" ca="1" si="163"/>
        <v>0</v>
      </c>
      <c r="CS59" s="561">
        <f t="shared" ca="1" si="163"/>
        <v>0</v>
      </c>
      <c r="CT59" s="561">
        <f t="shared" ca="1" si="163"/>
        <v>0</v>
      </c>
      <c r="CU59" s="561">
        <f t="shared" ca="1" si="163"/>
        <v>0</v>
      </c>
      <c r="CV59" s="561">
        <f t="shared" ca="1" si="163"/>
        <v>0</v>
      </c>
      <c r="CW59" s="561">
        <f t="shared" ca="1" si="163"/>
        <v>0</v>
      </c>
      <c r="CX59" s="561">
        <f t="shared" ca="1" si="163"/>
        <v>0</v>
      </c>
      <c r="CY59" s="561">
        <f t="shared" ca="1" si="163"/>
        <v>0</v>
      </c>
      <c r="CZ59" s="561">
        <f t="shared" ca="1" si="163"/>
        <v>0</v>
      </c>
      <c r="DA59" s="561">
        <f t="shared" ca="1" si="163"/>
        <v>0</v>
      </c>
      <c r="DB59" s="561">
        <f t="shared" ca="1" si="163"/>
        <v>0</v>
      </c>
      <c r="DC59" s="561">
        <f t="shared" ca="1" si="165"/>
        <v>0</v>
      </c>
      <c r="DD59" s="561">
        <f t="shared" ca="1" si="165"/>
        <v>0</v>
      </c>
      <c r="DE59" s="561">
        <f t="shared" ca="1" si="165"/>
        <v>0</v>
      </c>
      <c r="DF59" s="561">
        <f t="shared" ca="1" si="164"/>
        <v>0</v>
      </c>
      <c r="DG59" s="561">
        <f t="shared" ca="1" si="164"/>
        <v>0</v>
      </c>
      <c r="DH59" s="561">
        <f t="shared" ca="1" si="164"/>
        <v>0</v>
      </c>
      <c r="DI59" s="561">
        <f t="shared" ca="1" si="164"/>
        <v>0</v>
      </c>
      <c r="DJ59" s="561">
        <f t="shared" ca="1" si="164"/>
        <v>0</v>
      </c>
      <c r="DK59" s="561">
        <f t="shared" ca="1" si="164"/>
        <v>0</v>
      </c>
      <c r="DL59" s="561">
        <f t="shared" ca="1" si="164"/>
        <v>0</v>
      </c>
      <c r="DM59" s="561">
        <f t="shared" ca="1" si="164"/>
        <v>0</v>
      </c>
      <c r="DN59" s="561">
        <f t="shared" ca="1" si="164"/>
        <v>0</v>
      </c>
      <c r="DO59" s="561">
        <f t="shared" ca="1" si="164"/>
        <v>0</v>
      </c>
      <c r="DP59" s="561">
        <f t="shared" ca="1" si="164"/>
        <v>0</v>
      </c>
    </row>
    <row r="60" spans="1:120" s="61" customFormat="1" outlineLevel="1">
      <c r="A60" s="57">
        <v>1110052010</v>
      </c>
      <c r="B60" s="521" t="s">
        <v>2360</v>
      </c>
      <c r="C60" s="1466" t="s">
        <v>64</v>
      </c>
      <c r="D60" s="1471"/>
      <c r="E60" s="1472">
        <v>44985</v>
      </c>
      <c r="F60" s="58"/>
      <c r="G60" s="1252"/>
      <c r="H60" s="522"/>
      <c r="I60" s="523"/>
      <c r="J60" s="1425">
        <v>1</v>
      </c>
      <c r="K60" s="1426">
        <v>1</v>
      </c>
      <c r="L60" s="1191"/>
      <c r="M60" s="1450">
        <f t="shared" si="166"/>
        <v>0</v>
      </c>
      <c r="N60" s="524"/>
      <c r="O60" s="525">
        <f t="shared" si="167"/>
        <v>0</v>
      </c>
      <c r="P60" s="526">
        <v>-1639067.52</v>
      </c>
      <c r="Q60" s="526">
        <f t="shared" si="168"/>
        <v>-1639067.52</v>
      </c>
      <c r="R60" s="527">
        <v>4693.99</v>
      </c>
      <c r="S60" s="527">
        <f ca="1">IF(OR(E60="",E60&gt;TODAY()),0,IF(ISERROR(VLOOKUP($E60,'TRM BanRep'!$A:$G,7,0)),0,VLOOKUP($E60,'TRM BanRep'!$A:$G,7,0)))</f>
        <v>4808.1400000000003</v>
      </c>
      <c r="T60" s="564">
        <f t="shared" ca="1" si="169"/>
        <v>-7880866105.6128006</v>
      </c>
      <c r="U60" s="60">
        <f t="shared" si="170"/>
        <v>-1639067.52</v>
      </c>
      <c r="V60" s="529">
        <f t="shared" si="171"/>
        <v>-7693766548.2047997</v>
      </c>
      <c r="W60" s="94">
        <f t="shared" ca="1" si="172"/>
        <v>0</v>
      </c>
      <c r="X60" s="530">
        <f t="shared" ca="1" si="173"/>
        <v>-187099557.40800095</v>
      </c>
      <c r="Y60" s="531"/>
      <c r="Z60" s="1056"/>
      <c r="AA60" s="95">
        <f t="shared" ca="1" si="162"/>
        <v>0</v>
      </c>
      <c r="AB60" s="508">
        <f t="shared" ca="1" si="162"/>
        <v>0</v>
      </c>
      <c r="AC60" s="508">
        <f t="shared" ca="1" si="162"/>
        <v>0</v>
      </c>
      <c r="AD60" s="508">
        <f t="shared" ca="1" si="162"/>
        <v>0</v>
      </c>
      <c r="AE60" s="508">
        <f t="shared" ca="1" si="162"/>
        <v>0</v>
      </c>
      <c r="AF60" s="561">
        <f t="shared" ca="1" si="162"/>
        <v>0</v>
      </c>
      <c r="AG60" s="561">
        <f t="shared" ca="1" si="162"/>
        <v>0</v>
      </c>
      <c r="AH60" s="561">
        <f t="shared" ca="1" si="162"/>
        <v>0</v>
      </c>
      <c r="AI60" s="561">
        <f t="shared" ca="1" si="162"/>
        <v>0</v>
      </c>
      <c r="AJ60" s="561">
        <f t="shared" ca="1" si="162"/>
        <v>-1639067.52</v>
      </c>
      <c r="AK60" s="561">
        <f t="shared" ca="1" si="162"/>
        <v>0</v>
      </c>
      <c r="AL60" s="1542">
        <f t="shared" ca="1" si="162"/>
        <v>0</v>
      </c>
      <c r="AM60" s="561">
        <f t="shared" ca="1" si="162"/>
        <v>0</v>
      </c>
      <c r="AN60" s="561">
        <f t="shared" ca="1" si="162"/>
        <v>0</v>
      </c>
      <c r="AO60" s="561">
        <f t="shared" ca="1" si="162"/>
        <v>0</v>
      </c>
      <c r="AP60" s="561">
        <f t="shared" ca="1" si="162"/>
        <v>0</v>
      </c>
      <c r="AQ60" s="561">
        <f t="shared" ca="1" si="162"/>
        <v>0</v>
      </c>
      <c r="AR60" s="561">
        <f t="shared" ca="1" si="162"/>
        <v>0</v>
      </c>
      <c r="AS60" s="561">
        <f t="shared" ca="1" si="162"/>
        <v>0</v>
      </c>
      <c r="AT60" s="561">
        <f t="shared" ca="1" si="162"/>
        <v>0</v>
      </c>
      <c r="AU60" s="561">
        <f t="shared" ca="1" si="162"/>
        <v>0</v>
      </c>
      <c r="AV60" s="561">
        <f t="shared" ca="1" si="162"/>
        <v>0</v>
      </c>
      <c r="AW60" s="561">
        <f t="shared" ca="1" si="162"/>
        <v>0</v>
      </c>
      <c r="AX60" s="561">
        <f t="shared" ca="1" si="162"/>
        <v>0</v>
      </c>
      <c r="AY60" s="561">
        <f t="shared" ca="1" si="162"/>
        <v>0</v>
      </c>
      <c r="AZ60" s="561">
        <f t="shared" ca="1" si="162"/>
        <v>0</v>
      </c>
      <c r="BA60" s="561">
        <f t="shared" ca="1" si="162"/>
        <v>0</v>
      </c>
      <c r="BB60" s="561">
        <f t="shared" ca="1" si="162"/>
        <v>0</v>
      </c>
      <c r="BC60" s="561">
        <f t="shared" ca="1" si="162"/>
        <v>0</v>
      </c>
      <c r="BD60" s="561">
        <f t="shared" ca="1" si="162"/>
        <v>0</v>
      </c>
      <c r="BE60" s="561">
        <f t="shared" ca="1" si="162"/>
        <v>0</v>
      </c>
      <c r="BF60" s="561">
        <f t="shared" ca="1" si="162"/>
        <v>0</v>
      </c>
      <c r="BG60" s="561">
        <f t="shared" ca="1" si="162"/>
        <v>0</v>
      </c>
      <c r="BH60" s="561">
        <f t="shared" ca="1" si="162"/>
        <v>0</v>
      </c>
      <c r="BI60" s="561">
        <f t="shared" ca="1" si="162"/>
        <v>0</v>
      </c>
      <c r="BJ60" s="561">
        <f t="shared" ca="1" si="162"/>
        <v>0</v>
      </c>
      <c r="BK60" s="561">
        <f t="shared" ca="1" si="162"/>
        <v>0</v>
      </c>
      <c r="BL60" s="561">
        <f t="shared" ca="1" si="162"/>
        <v>0</v>
      </c>
      <c r="BM60" s="561">
        <f t="shared" ca="1" si="162"/>
        <v>0</v>
      </c>
      <c r="BN60" s="561">
        <f t="shared" ca="1" si="162"/>
        <v>0</v>
      </c>
      <c r="BO60" s="561">
        <f t="shared" ca="1" si="162"/>
        <v>0</v>
      </c>
      <c r="BP60" s="561">
        <f t="shared" ca="1" si="162"/>
        <v>0</v>
      </c>
      <c r="BQ60" s="561">
        <f t="shared" ca="1" si="162"/>
        <v>0</v>
      </c>
      <c r="BR60" s="561">
        <f t="shared" ca="1" si="162"/>
        <v>0</v>
      </c>
      <c r="BS60" s="561">
        <f t="shared" ca="1" si="162"/>
        <v>0</v>
      </c>
      <c r="BT60" s="561">
        <f t="shared" ca="1" si="162"/>
        <v>0</v>
      </c>
      <c r="BU60" s="561">
        <f t="shared" ca="1" si="162"/>
        <v>0</v>
      </c>
      <c r="BV60" s="561">
        <f t="shared" ca="1" si="162"/>
        <v>0</v>
      </c>
      <c r="BW60" s="561">
        <f t="shared" ca="1" si="162"/>
        <v>0</v>
      </c>
      <c r="BX60" s="561">
        <f t="shared" ca="1" si="162"/>
        <v>0</v>
      </c>
      <c r="BY60" s="561">
        <f t="shared" ca="1" si="162"/>
        <v>0</v>
      </c>
      <c r="BZ60" s="561">
        <f t="shared" ca="1" si="162"/>
        <v>0</v>
      </c>
      <c r="CA60" s="561">
        <f t="shared" ca="1" si="162"/>
        <v>0</v>
      </c>
      <c r="CB60" s="561">
        <f t="shared" ca="1" si="162"/>
        <v>0</v>
      </c>
      <c r="CC60" s="561">
        <f t="shared" ca="1" si="162"/>
        <v>0</v>
      </c>
      <c r="CD60" s="561">
        <f t="shared" ca="1" si="162"/>
        <v>0</v>
      </c>
      <c r="CE60" s="561">
        <f t="shared" ca="1" si="162"/>
        <v>0</v>
      </c>
      <c r="CF60" s="561">
        <f t="shared" ca="1" si="162"/>
        <v>0</v>
      </c>
      <c r="CG60" s="561">
        <f t="shared" ca="1" si="162"/>
        <v>0</v>
      </c>
      <c r="CH60" s="561">
        <f t="shared" ca="1" si="162"/>
        <v>0</v>
      </c>
      <c r="CI60" s="561">
        <f t="shared" ca="1" si="162"/>
        <v>0</v>
      </c>
      <c r="CJ60" s="561">
        <f t="shared" ca="1" si="162"/>
        <v>0</v>
      </c>
      <c r="CK60" s="561">
        <f t="shared" ca="1" si="162"/>
        <v>0</v>
      </c>
      <c r="CL60" s="561">
        <f t="shared" ref="CL60" ca="1" si="174">IF($L60="",IF(OR($P60="",$R60=""),0,IF($R60=CL$6,$Q60,0)),IF($E60=CL$5,$M60,))</f>
        <v>0</v>
      </c>
      <c r="CM60" s="561">
        <f t="shared" ca="1" si="163"/>
        <v>0</v>
      </c>
      <c r="CN60" s="561">
        <f t="shared" ca="1" si="163"/>
        <v>0</v>
      </c>
      <c r="CO60" s="561">
        <f t="shared" ca="1" si="163"/>
        <v>0</v>
      </c>
      <c r="CP60" s="561">
        <f t="shared" ca="1" si="163"/>
        <v>0</v>
      </c>
      <c r="CQ60" s="561">
        <f t="shared" ca="1" si="163"/>
        <v>0</v>
      </c>
      <c r="CR60" s="561">
        <f t="shared" ca="1" si="163"/>
        <v>0</v>
      </c>
      <c r="CS60" s="561">
        <f t="shared" ca="1" si="163"/>
        <v>0</v>
      </c>
      <c r="CT60" s="561">
        <f t="shared" ca="1" si="163"/>
        <v>0</v>
      </c>
      <c r="CU60" s="561">
        <f t="shared" ca="1" si="163"/>
        <v>0</v>
      </c>
      <c r="CV60" s="561">
        <f t="shared" ca="1" si="163"/>
        <v>0</v>
      </c>
      <c r="CW60" s="561">
        <f t="shared" ca="1" si="163"/>
        <v>0</v>
      </c>
      <c r="CX60" s="561">
        <f t="shared" ca="1" si="163"/>
        <v>0</v>
      </c>
      <c r="CY60" s="561">
        <f t="shared" ca="1" si="163"/>
        <v>0</v>
      </c>
      <c r="CZ60" s="561">
        <f t="shared" ca="1" si="163"/>
        <v>0</v>
      </c>
      <c r="DA60" s="561">
        <f t="shared" ca="1" si="163"/>
        <v>0</v>
      </c>
      <c r="DB60" s="561">
        <f t="shared" ca="1" si="163"/>
        <v>0</v>
      </c>
      <c r="DC60" s="561">
        <f t="shared" ca="1" si="165"/>
        <v>0</v>
      </c>
      <c r="DD60" s="561">
        <f t="shared" ca="1" si="165"/>
        <v>0</v>
      </c>
      <c r="DE60" s="561">
        <f t="shared" ca="1" si="165"/>
        <v>0</v>
      </c>
      <c r="DF60" s="561">
        <f t="shared" ca="1" si="165"/>
        <v>0</v>
      </c>
      <c r="DG60" s="561">
        <f t="shared" ca="1" si="165"/>
        <v>0</v>
      </c>
      <c r="DH60" s="561">
        <f t="shared" ca="1" si="165"/>
        <v>0</v>
      </c>
      <c r="DI60" s="561">
        <f t="shared" ca="1" si="165"/>
        <v>0</v>
      </c>
      <c r="DJ60" s="561">
        <f t="shared" ca="1" si="165"/>
        <v>0</v>
      </c>
      <c r="DK60" s="561">
        <f t="shared" ca="1" si="165"/>
        <v>0</v>
      </c>
      <c r="DL60" s="561">
        <f t="shared" ca="1" si="165"/>
        <v>0</v>
      </c>
      <c r="DM60" s="561">
        <f t="shared" ca="1" si="165"/>
        <v>0</v>
      </c>
      <c r="DN60" s="561">
        <f t="shared" ca="1" si="165"/>
        <v>0</v>
      </c>
      <c r="DO60" s="561">
        <f t="shared" ca="1" si="165"/>
        <v>0</v>
      </c>
      <c r="DP60" s="561">
        <f t="shared" ca="1" si="165"/>
        <v>0</v>
      </c>
    </row>
    <row r="61" spans="1:120" s="61" customFormat="1" outlineLevel="1">
      <c r="A61" s="57">
        <v>1110052010</v>
      </c>
      <c r="B61" s="521" t="s">
        <v>2360</v>
      </c>
      <c r="C61" s="1466" t="s">
        <v>64</v>
      </c>
      <c r="D61" s="1471"/>
      <c r="E61" s="1472">
        <v>44985</v>
      </c>
      <c r="F61" s="58"/>
      <c r="G61" s="1252"/>
      <c r="H61" s="522"/>
      <c r="I61" s="523"/>
      <c r="J61" s="1425">
        <v>1</v>
      </c>
      <c r="K61" s="1426">
        <v>1</v>
      </c>
      <c r="L61" s="1191"/>
      <c r="M61" s="1450">
        <f t="shared" ref="M61" si="175">+L61*J61</f>
        <v>0</v>
      </c>
      <c r="N61" s="524"/>
      <c r="O61" s="525">
        <f t="shared" ref="O61" si="176">+L61*J61*N61</f>
        <v>0</v>
      </c>
      <c r="P61" s="526">
        <v>-4983201.21</v>
      </c>
      <c r="Q61" s="526">
        <f t="shared" ref="Q61" si="177">+P61*K61</f>
        <v>-4983201.21</v>
      </c>
      <c r="R61" s="527">
        <v>4531.75</v>
      </c>
      <c r="S61" s="527">
        <f ca="1">IF(OR(E61="",E61&gt;TODAY()),0,IF(ISERROR(VLOOKUP($E61,'TRM BanRep'!$A:$G,7,0)),0,VLOOKUP($E61,'TRM BanRep'!$A:$G,7,0)))</f>
        <v>4808.1400000000003</v>
      </c>
      <c r="T61" s="564">
        <f t="shared" ref="T61" ca="1" si="178">+P61*K61*S61</f>
        <v>-23959929065.8494</v>
      </c>
      <c r="U61" s="60">
        <f t="shared" ref="U61" si="179">+L61+P61+F61</f>
        <v>-4983201.21</v>
      </c>
      <c r="V61" s="529">
        <f t="shared" ref="V61" si="180">+P61*J61*R61+L61*J61*N61+F61*J61*H61</f>
        <v>-22582622083.4175</v>
      </c>
      <c r="W61" s="94">
        <f t="shared" ref="W61" ca="1" si="181">IF((-P61*J61*R61)-(-P61*K61*S61)&gt;0,(-P61*J61*R61)-(-P61*K61*S61),0)</f>
        <v>0</v>
      </c>
      <c r="X61" s="530">
        <f t="shared" ref="X61" ca="1" si="182">IF((-P61*J61*R61)-(-P61*K61*S61)&lt;0,(-P61*J61*R61)-(-P61*K61*S61),0)</f>
        <v>-1377306982.4319</v>
      </c>
      <c r="Y61" s="531"/>
      <c r="Z61" s="1056"/>
      <c r="AA61" s="95">
        <f t="shared" ref="AA61:CL61" ca="1" si="183">IF($L61="",IF(OR($P61="",$R61=""),0,IF($R61=AA$6,$Q61,0)),IF($E61=AA$5,$M61,))</f>
        <v>0</v>
      </c>
      <c r="AB61" s="508">
        <f t="shared" ca="1" si="183"/>
        <v>0</v>
      </c>
      <c r="AC61" s="508">
        <f t="shared" ca="1" si="183"/>
        <v>0</v>
      </c>
      <c r="AD61" s="508">
        <f t="shared" ca="1" si="183"/>
        <v>0</v>
      </c>
      <c r="AE61" s="508">
        <f t="shared" ca="1" si="183"/>
        <v>0</v>
      </c>
      <c r="AF61" s="561">
        <f t="shared" ca="1" si="183"/>
        <v>0</v>
      </c>
      <c r="AG61" s="561">
        <f t="shared" ca="1" si="183"/>
        <v>0</v>
      </c>
      <c r="AH61" s="561">
        <f t="shared" ca="1" si="183"/>
        <v>0</v>
      </c>
      <c r="AI61" s="561">
        <f t="shared" ca="1" si="183"/>
        <v>0</v>
      </c>
      <c r="AJ61" s="561">
        <f t="shared" ca="1" si="183"/>
        <v>0</v>
      </c>
      <c r="AK61" s="561">
        <f t="shared" ca="1" si="183"/>
        <v>-4983201.21</v>
      </c>
      <c r="AL61" s="1542">
        <f t="shared" ca="1" si="183"/>
        <v>0</v>
      </c>
      <c r="AM61" s="561">
        <f t="shared" ca="1" si="183"/>
        <v>0</v>
      </c>
      <c r="AN61" s="561">
        <f t="shared" ca="1" si="183"/>
        <v>0</v>
      </c>
      <c r="AO61" s="561">
        <f t="shared" ca="1" si="183"/>
        <v>0</v>
      </c>
      <c r="AP61" s="561">
        <f t="shared" ca="1" si="183"/>
        <v>0</v>
      </c>
      <c r="AQ61" s="561">
        <f t="shared" ca="1" si="183"/>
        <v>0</v>
      </c>
      <c r="AR61" s="561">
        <f t="shared" ca="1" si="183"/>
        <v>0</v>
      </c>
      <c r="AS61" s="561">
        <f t="shared" ca="1" si="183"/>
        <v>0</v>
      </c>
      <c r="AT61" s="561">
        <f t="shared" ca="1" si="183"/>
        <v>0</v>
      </c>
      <c r="AU61" s="561">
        <f t="shared" ca="1" si="183"/>
        <v>0</v>
      </c>
      <c r="AV61" s="561">
        <f t="shared" ca="1" si="183"/>
        <v>0</v>
      </c>
      <c r="AW61" s="561">
        <f t="shared" ca="1" si="183"/>
        <v>0</v>
      </c>
      <c r="AX61" s="561">
        <f t="shared" ca="1" si="183"/>
        <v>0</v>
      </c>
      <c r="AY61" s="561">
        <f t="shared" ca="1" si="183"/>
        <v>0</v>
      </c>
      <c r="AZ61" s="561">
        <f t="shared" ca="1" si="183"/>
        <v>0</v>
      </c>
      <c r="BA61" s="561">
        <f t="shared" ca="1" si="183"/>
        <v>0</v>
      </c>
      <c r="BB61" s="561">
        <f t="shared" ca="1" si="183"/>
        <v>0</v>
      </c>
      <c r="BC61" s="561">
        <f t="shared" ca="1" si="183"/>
        <v>0</v>
      </c>
      <c r="BD61" s="561">
        <f t="shared" ca="1" si="183"/>
        <v>0</v>
      </c>
      <c r="BE61" s="561">
        <f t="shared" ca="1" si="183"/>
        <v>0</v>
      </c>
      <c r="BF61" s="561">
        <f t="shared" ca="1" si="183"/>
        <v>0</v>
      </c>
      <c r="BG61" s="561">
        <f t="shared" ca="1" si="183"/>
        <v>0</v>
      </c>
      <c r="BH61" s="561">
        <f t="shared" ca="1" si="183"/>
        <v>0</v>
      </c>
      <c r="BI61" s="561">
        <f t="shared" ca="1" si="183"/>
        <v>0</v>
      </c>
      <c r="BJ61" s="561">
        <f t="shared" ca="1" si="183"/>
        <v>0</v>
      </c>
      <c r="BK61" s="561">
        <f t="shared" ca="1" si="183"/>
        <v>0</v>
      </c>
      <c r="BL61" s="561">
        <f t="shared" ca="1" si="183"/>
        <v>0</v>
      </c>
      <c r="BM61" s="561">
        <f t="shared" ca="1" si="183"/>
        <v>0</v>
      </c>
      <c r="BN61" s="561">
        <f t="shared" ca="1" si="183"/>
        <v>0</v>
      </c>
      <c r="BO61" s="561">
        <f t="shared" ca="1" si="183"/>
        <v>0</v>
      </c>
      <c r="BP61" s="561">
        <f t="shared" ca="1" si="183"/>
        <v>0</v>
      </c>
      <c r="BQ61" s="561">
        <f t="shared" ca="1" si="183"/>
        <v>0</v>
      </c>
      <c r="BR61" s="561">
        <f t="shared" ca="1" si="183"/>
        <v>0</v>
      </c>
      <c r="BS61" s="561">
        <f t="shared" ca="1" si="183"/>
        <v>0</v>
      </c>
      <c r="BT61" s="561">
        <f t="shared" ca="1" si="183"/>
        <v>0</v>
      </c>
      <c r="BU61" s="561">
        <f t="shared" ca="1" si="183"/>
        <v>0</v>
      </c>
      <c r="BV61" s="561">
        <f t="shared" ca="1" si="183"/>
        <v>0</v>
      </c>
      <c r="BW61" s="561">
        <f t="shared" ca="1" si="183"/>
        <v>0</v>
      </c>
      <c r="BX61" s="561">
        <f t="shared" ca="1" si="183"/>
        <v>0</v>
      </c>
      <c r="BY61" s="561">
        <f t="shared" ca="1" si="183"/>
        <v>0</v>
      </c>
      <c r="BZ61" s="561">
        <f t="shared" ca="1" si="183"/>
        <v>0</v>
      </c>
      <c r="CA61" s="561">
        <f t="shared" ca="1" si="183"/>
        <v>0</v>
      </c>
      <c r="CB61" s="561">
        <f t="shared" ca="1" si="183"/>
        <v>0</v>
      </c>
      <c r="CC61" s="561">
        <f t="shared" ca="1" si="183"/>
        <v>0</v>
      </c>
      <c r="CD61" s="561">
        <f t="shared" ca="1" si="183"/>
        <v>0</v>
      </c>
      <c r="CE61" s="561">
        <f t="shared" ca="1" si="183"/>
        <v>0</v>
      </c>
      <c r="CF61" s="561">
        <f t="shared" ca="1" si="183"/>
        <v>0</v>
      </c>
      <c r="CG61" s="561">
        <f t="shared" ca="1" si="183"/>
        <v>0</v>
      </c>
      <c r="CH61" s="561">
        <f t="shared" ca="1" si="183"/>
        <v>0</v>
      </c>
      <c r="CI61" s="561">
        <f t="shared" ca="1" si="183"/>
        <v>0</v>
      </c>
      <c r="CJ61" s="561">
        <f t="shared" ca="1" si="183"/>
        <v>0</v>
      </c>
      <c r="CK61" s="561">
        <f t="shared" ca="1" si="183"/>
        <v>0</v>
      </c>
      <c r="CL61" s="561">
        <f t="shared" ca="1" si="183"/>
        <v>0</v>
      </c>
      <c r="CM61" s="561">
        <f t="shared" ca="1" si="163"/>
        <v>0</v>
      </c>
      <c r="CN61" s="561">
        <f t="shared" ca="1" si="163"/>
        <v>0</v>
      </c>
      <c r="CO61" s="561">
        <f t="shared" ca="1" si="163"/>
        <v>0</v>
      </c>
      <c r="CP61" s="561">
        <f t="shared" ca="1" si="163"/>
        <v>0</v>
      </c>
      <c r="CQ61" s="561">
        <f t="shared" ca="1" si="163"/>
        <v>0</v>
      </c>
      <c r="CR61" s="561">
        <f t="shared" ca="1" si="163"/>
        <v>0</v>
      </c>
      <c r="CS61" s="561">
        <f t="shared" ca="1" si="163"/>
        <v>0</v>
      </c>
      <c r="CT61" s="561">
        <f t="shared" ca="1" si="163"/>
        <v>0</v>
      </c>
      <c r="CU61" s="561">
        <f t="shared" ca="1" si="163"/>
        <v>0</v>
      </c>
      <c r="CV61" s="561">
        <f t="shared" ca="1" si="163"/>
        <v>0</v>
      </c>
      <c r="CW61" s="561">
        <f t="shared" ca="1" si="163"/>
        <v>0</v>
      </c>
      <c r="CX61" s="561">
        <f t="shared" ca="1" si="163"/>
        <v>0</v>
      </c>
      <c r="CY61" s="561">
        <f t="shared" ca="1" si="163"/>
        <v>0</v>
      </c>
      <c r="CZ61" s="561">
        <f t="shared" ca="1" si="163"/>
        <v>0</v>
      </c>
      <c r="DA61" s="561">
        <f t="shared" ca="1" si="163"/>
        <v>0</v>
      </c>
      <c r="DB61" s="561">
        <f t="shared" ca="1" si="163"/>
        <v>0</v>
      </c>
      <c r="DC61" s="561">
        <f t="shared" ca="1" si="165"/>
        <v>0</v>
      </c>
      <c r="DD61" s="561">
        <f t="shared" ca="1" si="165"/>
        <v>0</v>
      </c>
      <c r="DE61" s="561">
        <f t="shared" ca="1" si="165"/>
        <v>0</v>
      </c>
      <c r="DF61" s="561">
        <f t="shared" ca="1" si="164"/>
        <v>0</v>
      </c>
      <c r="DG61" s="561">
        <f t="shared" ca="1" si="164"/>
        <v>0</v>
      </c>
      <c r="DH61" s="561">
        <f t="shared" ca="1" si="164"/>
        <v>0</v>
      </c>
      <c r="DI61" s="561">
        <f t="shared" ca="1" si="164"/>
        <v>0</v>
      </c>
      <c r="DJ61" s="561">
        <f t="shared" ca="1" si="164"/>
        <v>0</v>
      </c>
      <c r="DK61" s="561">
        <f t="shared" ca="1" si="164"/>
        <v>0</v>
      </c>
      <c r="DL61" s="561">
        <f t="shared" ca="1" si="164"/>
        <v>0</v>
      </c>
      <c r="DM61" s="561">
        <f t="shared" ca="1" si="164"/>
        <v>0</v>
      </c>
      <c r="DN61" s="561">
        <f t="shared" ca="1" si="164"/>
        <v>0</v>
      </c>
      <c r="DO61" s="561">
        <f t="shared" ca="1" si="164"/>
        <v>0</v>
      </c>
      <c r="DP61" s="561">
        <f t="shared" ca="1" si="164"/>
        <v>0</v>
      </c>
    </row>
    <row r="62" spans="1:120" s="61" customFormat="1" outlineLevel="1">
      <c r="A62" s="57">
        <v>1110052015</v>
      </c>
      <c r="B62" s="521"/>
      <c r="C62" s="1466" t="s">
        <v>64</v>
      </c>
      <c r="D62" s="1471"/>
      <c r="E62" s="1472"/>
      <c r="F62" s="58"/>
      <c r="G62" s="1252"/>
      <c r="H62" s="522"/>
      <c r="I62" s="523"/>
      <c r="J62" s="1425">
        <v>1</v>
      </c>
      <c r="K62" s="1426">
        <v>1</v>
      </c>
      <c r="L62" s="1191"/>
      <c r="M62" s="1450">
        <f t="shared" si="95"/>
        <v>0</v>
      </c>
      <c r="N62" s="524"/>
      <c r="O62" s="525">
        <f t="shared" si="96"/>
        <v>0</v>
      </c>
      <c r="P62" s="526"/>
      <c r="Q62" s="526">
        <f t="shared" si="97"/>
        <v>0</v>
      </c>
      <c r="R62" s="527"/>
      <c r="S62" s="527"/>
      <c r="T62" s="564">
        <f t="shared" si="98"/>
        <v>0</v>
      </c>
      <c r="U62" s="60">
        <f t="shared" si="99"/>
        <v>0</v>
      </c>
      <c r="V62" s="529">
        <f t="shared" si="102"/>
        <v>0</v>
      </c>
      <c r="W62" s="94">
        <f t="shared" si="100"/>
        <v>0</v>
      </c>
      <c r="X62" s="530">
        <f t="shared" si="101"/>
        <v>0</v>
      </c>
      <c r="Y62" s="531"/>
      <c r="Z62" s="1056"/>
      <c r="AA62" s="95">
        <f t="shared" si="103"/>
        <v>0</v>
      </c>
      <c r="AB62" s="508">
        <f t="shared" si="103"/>
        <v>0</v>
      </c>
      <c r="AC62" s="508">
        <f t="shared" si="103"/>
        <v>0</v>
      </c>
      <c r="AD62" s="508">
        <f t="shared" si="103"/>
        <v>0</v>
      </c>
      <c r="AE62" s="508">
        <f t="shared" si="103"/>
        <v>0</v>
      </c>
      <c r="AF62" s="561">
        <f t="shared" si="103"/>
        <v>0</v>
      </c>
      <c r="AG62" s="561">
        <f t="shared" si="103"/>
        <v>0</v>
      </c>
      <c r="AH62" s="561">
        <f t="shared" si="103"/>
        <v>0</v>
      </c>
      <c r="AI62" s="561">
        <f t="shared" si="103"/>
        <v>0</v>
      </c>
      <c r="AJ62" s="561">
        <f t="shared" si="103"/>
        <v>0</v>
      </c>
      <c r="AK62" s="561">
        <f t="shared" si="103"/>
        <v>0</v>
      </c>
      <c r="AL62" s="1542">
        <f t="shared" si="103"/>
        <v>0</v>
      </c>
      <c r="AM62" s="561">
        <f t="shared" si="103"/>
        <v>0</v>
      </c>
      <c r="AN62" s="561">
        <f t="shared" si="103"/>
        <v>0</v>
      </c>
      <c r="AO62" s="561">
        <f t="shared" si="103"/>
        <v>0</v>
      </c>
      <c r="AP62" s="561">
        <f t="shared" si="103"/>
        <v>0</v>
      </c>
      <c r="AQ62" s="561">
        <f t="shared" si="104"/>
        <v>0</v>
      </c>
      <c r="AR62" s="561">
        <f t="shared" si="104"/>
        <v>0</v>
      </c>
      <c r="AS62" s="561">
        <f t="shared" si="104"/>
        <v>0</v>
      </c>
      <c r="AT62" s="561">
        <f t="shared" si="104"/>
        <v>0</v>
      </c>
      <c r="AU62" s="561">
        <f t="shared" si="104"/>
        <v>0</v>
      </c>
      <c r="AV62" s="561">
        <f t="shared" si="104"/>
        <v>0</v>
      </c>
      <c r="AW62" s="561">
        <f t="shared" si="104"/>
        <v>0</v>
      </c>
      <c r="AX62" s="561">
        <f t="shared" si="104"/>
        <v>0</v>
      </c>
      <c r="AY62" s="561">
        <f t="shared" si="104"/>
        <v>0</v>
      </c>
      <c r="AZ62" s="561">
        <f t="shared" si="104"/>
        <v>0</v>
      </c>
      <c r="BA62" s="561">
        <f t="shared" si="104"/>
        <v>0</v>
      </c>
      <c r="BB62" s="561">
        <f t="shared" si="104"/>
        <v>0</v>
      </c>
      <c r="BC62" s="561">
        <f t="shared" si="104"/>
        <v>0</v>
      </c>
      <c r="BD62" s="561">
        <f t="shared" si="104"/>
        <v>0</v>
      </c>
      <c r="BE62" s="561">
        <f t="shared" si="104"/>
        <v>0</v>
      </c>
      <c r="BF62" s="561">
        <f t="shared" si="104"/>
        <v>0</v>
      </c>
      <c r="BG62" s="561">
        <f t="shared" si="105"/>
        <v>0</v>
      </c>
      <c r="BH62" s="561">
        <f t="shared" si="105"/>
        <v>0</v>
      </c>
      <c r="BI62" s="561">
        <f t="shared" si="105"/>
        <v>0</v>
      </c>
      <c r="BJ62" s="561">
        <f t="shared" si="105"/>
        <v>0</v>
      </c>
      <c r="BK62" s="561">
        <f t="shared" si="105"/>
        <v>0</v>
      </c>
      <c r="BL62" s="561">
        <f t="shared" si="105"/>
        <v>0</v>
      </c>
      <c r="BM62" s="561">
        <f t="shared" si="105"/>
        <v>0</v>
      </c>
      <c r="BN62" s="561">
        <f t="shared" si="105"/>
        <v>0</v>
      </c>
      <c r="BO62" s="561">
        <f t="shared" si="105"/>
        <v>0</v>
      </c>
      <c r="BP62" s="561">
        <f t="shared" si="105"/>
        <v>0</v>
      </c>
      <c r="BQ62" s="561">
        <f t="shared" si="105"/>
        <v>0</v>
      </c>
      <c r="BR62" s="561">
        <f t="shared" si="105"/>
        <v>0</v>
      </c>
      <c r="BS62" s="561">
        <f t="shared" si="105"/>
        <v>0</v>
      </c>
      <c r="BT62" s="561">
        <f t="shared" si="105"/>
        <v>0</v>
      </c>
      <c r="BU62" s="561">
        <f t="shared" si="105"/>
        <v>0</v>
      </c>
      <c r="BV62" s="561">
        <f t="shared" si="105"/>
        <v>0</v>
      </c>
      <c r="BW62" s="561">
        <f t="shared" si="106"/>
        <v>0</v>
      </c>
      <c r="BX62" s="561">
        <f t="shared" si="106"/>
        <v>0</v>
      </c>
      <c r="BY62" s="561">
        <f t="shared" si="106"/>
        <v>0</v>
      </c>
      <c r="BZ62" s="561">
        <f t="shared" si="106"/>
        <v>0</v>
      </c>
      <c r="CA62" s="561">
        <f t="shared" si="106"/>
        <v>0</v>
      </c>
      <c r="CB62" s="561">
        <f t="shared" si="106"/>
        <v>0</v>
      </c>
      <c r="CC62" s="561">
        <f t="shared" si="106"/>
        <v>0</v>
      </c>
      <c r="CD62" s="561">
        <f t="shared" si="106"/>
        <v>0</v>
      </c>
      <c r="CE62" s="561">
        <f t="shared" si="106"/>
        <v>0</v>
      </c>
      <c r="CF62" s="561">
        <f t="shared" si="106"/>
        <v>0</v>
      </c>
      <c r="CG62" s="561">
        <f t="shared" si="106"/>
        <v>0</v>
      </c>
      <c r="CH62" s="561">
        <f t="shared" si="106"/>
        <v>0</v>
      </c>
      <c r="CI62" s="561">
        <f t="shared" si="106"/>
        <v>0</v>
      </c>
      <c r="CJ62" s="561">
        <f t="shared" si="106"/>
        <v>0</v>
      </c>
      <c r="CK62" s="561">
        <f t="shared" si="106"/>
        <v>0</v>
      </c>
      <c r="CL62" s="561">
        <f t="shared" si="106"/>
        <v>0</v>
      </c>
      <c r="CM62" s="561">
        <f t="shared" si="107"/>
        <v>0</v>
      </c>
      <c r="CN62" s="561">
        <f t="shared" si="107"/>
        <v>0</v>
      </c>
      <c r="CO62" s="561">
        <f t="shared" si="107"/>
        <v>0</v>
      </c>
      <c r="CP62" s="561">
        <f t="shared" si="107"/>
        <v>0</v>
      </c>
      <c r="CQ62" s="561">
        <f t="shared" si="107"/>
        <v>0</v>
      </c>
      <c r="CR62" s="561">
        <f t="shared" si="107"/>
        <v>0</v>
      </c>
      <c r="CS62" s="561">
        <f t="shared" si="107"/>
        <v>0</v>
      </c>
      <c r="CT62" s="561">
        <f t="shared" si="107"/>
        <v>0</v>
      </c>
      <c r="CU62" s="561">
        <f t="shared" si="107"/>
        <v>0</v>
      </c>
      <c r="CV62" s="561">
        <f t="shared" si="107"/>
        <v>0</v>
      </c>
      <c r="CW62" s="561">
        <f t="shared" si="107"/>
        <v>0</v>
      </c>
      <c r="CX62" s="561">
        <f t="shared" si="107"/>
        <v>0</v>
      </c>
      <c r="CY62" s="561">
        <f t="shared" si="107"/>
        <v>0</v>
      </c>
      <c r="CZ62" s="561">
        <f t="shared" si="107"/>
        <v>0</v>
      </c>
      <c r="DA62" s="561">
        <f t="shared" si="107"/>
        <v>0</v>
      </c>
      <c r="DB62" s="561">
        <f t="shared" si="107"/>
        <v>0</v>
      </c>
      <c r="DC62" s="561">
        <f t="shared" si="108"/>
        <v>0</v>
      </c>
      <c r="DD62" s="561">
        <f t="shared" si="108"/>
        <v>0</v>
      </c>
      <c r="DE62" s="561">
        <f t="shared" si="108"/>
        <v>0</v>
      </c>
      <c r="DF62" s="561">
        <f t="shared" si="108"/>
        <v>0</v>
      </c>
      <c r="DG62" s="561">
        <f t="shared" si="108"/>
        <v>0</v>
      </c>
      <c r="DH62" s="561">
        <f t="shared" si="108"/>
        <v>0</v>
      </c>
      <c r="DI62" s="561">
        <f t="shared" si="108"/>
        <v>0</v>
      </c>
      <c r="DJ62" s="561">
        <f t="shared" si="108"/>
        <v>0</v>
      </c>
      <c r="DK62" s="561">
        <f t="shared" si="108"/>
        <v>0</v>
      </c>
      <c r="DL62" s="561">
        <f t="shared" si="108"/>
        <v>0</v>
      </c>
      <c r="DM62" s="561">
        <f t="shared" si="108"/>
        <v>0</v>
      </c>
      <c r="DN62" s="561">
        <f t="shared" si="108"/>
        <v>0</v>
      </c>
      <c r="DO62" s="561">
        <f t="shared" si="108"/>
        <v>0</v>
      </c>
      <c r="DP62" s="561">
        <f t="shared" si="108"/>
        <v>0</v>
      </c>
    </row>
    <row r="63" spans="1:120" outlineLevel="1">
      <c r="A63" s="55"/>
      <c r="B63" s="509"/>
      <c r="C63" s="679"/>
      <c r="D63" s="1469"/>
      <c r="E63" s="1470"/>
      <c r="F63" s="416"/>
      <c r="G63" s="1251"/>
      <c r="H63" s="511"/>
      <c r="I63" s="512"/>
      <c r="J63" s="1383"/>
      <c r="K63" s="1383"/>
      <c r="L63" s="419"/>
      <c r="M63" s="1337">
        <f t="shared" si="95"/>
        <v>0</v>
      </c>
      <c r="N63" s="504"/>
      <c r="O63" s="513">
        <f t="shared" si="96"/>
        <v>0</v>
      </c>
      <c r="P63" s="514"/>
      <c r="Q63" s="514">
        <f t="shared" si="97"/>
        <v>0</v>
      </c>
      <c r="R63" s="515"/>
      <c r="S63" s="515"/>
      <c r="T63" s="562">
        <f t="shared" si="98"/>
        <v>0</v>
      </c>
      <c r="U63" s="418">
        <f t="shared" si="99"/>
        <v>0</v>
      </c>
      <c r="V63" s="517">
        <f t="shared" si="102"/>
        <v>0</v>
      </c>
      <c r="W63" s="976">
        <f t="shared" si="100"/>
        <v>0</v>
      </c>
      <c r="X63" s="975">
        <f t="shared" si="101"/>
        <v>0</v>
      </c>
      <c r="Y63" s="519"/>
      <c r="Z63" s="1055"/>
      <c r="AA63" s="53"/>
      <c r="AB63" s="508"/>
      <c r="AC63" s="508"/>
      <c r="AD63" s="508"/>
      <c r="AE63" s="508"/>
      <c r="AF63" s="561"/>
      <c r="AG63" s="561"/>
      <c r="AH63" s="561"/>
      <c r="AI63" s="561"/>
      <c r="AJ63" s="561"/>
      <c r="AK63" s="561"/>
      <c r="AL63" s="1542"/>
      <c r="AM63" s="561"/>
      <c r="AN63" s="561"/>
      <c r="AO63" s="561"/>
      <c r="AP63" s="561"/>
      <c r="AQ63" s="561"/>
      <c r="AR63" s="561"/>
      <c r="AS63" s="561"/>
      <c r="AT63" s="561"/>
      <c r="AU63" s="561"/>
      <c r="AV63" s="561"/>
      <c r="AW63" s="561"/>
      <c r="AX63" s="561"/>
      <c r="AY63" s="561"/>
      <c r="AZ63" s="561"/>
      <c r="BA63" s="561"/>
      <c r="BB63" s="561"/>
      <c r="BC63" s="561"/>
      <c r="BD63" s="561"/>
      <c r="BE63" s="561"/>
      <c r="BF63" s="561"/>
      <c r="BG63" s="561"/>
      <c r="BH63" s="561"/>
      <c r="BI63" s="561"/>
      <c r="BJ63" s="561"/>
      <c r="BK63" s="561"/>
      <c r="BL63" s="561"/>
      <c r="BM63" s="561"/>
      <c r="BN63" s="561"/>
      <c r="BO63" s="561"/>
      <c r="BP63" s="561"/>
      <c r="BQ63" s="561"/>
      <c r="BR63" s="561"/>
      <c r="BS63" s="561"/>
      <c r="BT63" s="561"/>
      <c r="BU63" s="561"/>
      <c r="BV63" s="561"/>
      <c r="BW63" s="561"/>
      <c r="BX63" s="561"/>
      <c r="BY63" s="561"/>
      <c r="BZ63" s="561"/>
      <c r="CA63" s="561"/>
      <c r="CB63" s="561"/>
      <c r="CC63" s="561"/>
      <c r="CD63" s="561"/>
      <c r="CE63" s="561"/>
      <c r="CF63" s="561"/>
      <c r="CG63" s="561"/>
      <c r="CH63" s="561"/>
      <c r="CI63" s="561"/>
      <c r="CJ63" s="561"/>
      <c r="CK63" s="561"/>
      <c r="CL63" s="561"/>
      <c r="CM63" s="561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1"/>
      <c r="DM63" s="561"/>
      <c r="DN63" s="561"/>
      <c r="DO63" s="561"/>
      <c r="DP63" s="561"/>
    </row>
    <row r="64" spans="1:120" ht="16.5" thickBot="1">
      <c r="A64" s="62" t="s">
        <v>227</v>
      </c>
      <c r="B64" s="63"/>
      <c r="C64" s="184"/>
      <c r="D64" s="1473"/>
      <c r="E64" s="1474"/>
      <c r="F64" s="66">
        <f>SUM(F41:F63)</f>
        <v>0</v>
      </c>
      <c r="G64" s="1253"/>
      <c r="H64" s="67"/>
      <c r="I64" s="68">
        <f>SUM(I41:I63)</f>
        <v>0</v>
      </c>
      <c r="J64" s="1376"/>
      <c r="K64" s="76"/>
      <c r="L64" s="1051">
        <f>SUM(L41:L63)</f>
        <v>8272008.1399999997</v>
      </c>
      <c r="M64" s="1598">
        <f>SUM(M41:M63)</f>
        <v>8272008.1399999997</v>
      </c>
      <c r="N64" s="70"/>
      <c r="O64" s="71">
        <f ca="1">SUM(O41:O63)</f>
        <v>37921962244.6791</v>
      </c>
      <c r="P64" s="72">
        <f>SUM(P41:P63)</f>
        <v>-7902398.3600000003</v>
      </c>
      <c r="Q64" s="1339"/>
      <c r="R64" s="73"/>
      <c r="S64" s="73"/>
      <c r="T64" s="96">
        <f ca="1">SUM(T41:T63)</f>
        <v>-37993105165.7509</v>
      </c>
      <c r="U64" s="66">
        <f>SUM(U41:U63)</f>
        <v>369609.78000000026</v>
      </c>
      <c r="V64" s="76">
        <f ca="1">SUM(V41:V63)</f>
        <v>1482293099.5094032</v>
      </c>
      <c r="W64" s="97">
        <f ca="1">SUM(W41:W63)</f>
        <v>50154286.750199616</v>
      </c>
      <c r="X64" s="98">
        <f ca="1">SUM(X41:X63)</f>
        <v>-1603590307.3314013</v>
      </c>
      <c r="Y64" s="43"/>
      <c r="AA64" s="79">
        <f t="shared" ref="AA64:BF64" ca="1" si="184">SUM(AA39:AA63)</f>
        <v>-2.7939677238464355E-9</v>
      </c>
      <c r="AB64" s="80">
        <f t="shared" ca="1" si="184"/>
        <v>0</v>
      </c>
      <c r="AC64" s="80">
        <f t="shared" ca="1" si="184"/>
        <v>0</v>
      </c>
      <c r="AD64" s="80">
        <f t="shared" ca="1" si="184"/>
        <v>0</v>
      </c>
      <c r="AE64" s="80">
        <f t="shared" ca="1" si="184"/>
        <v>0</v>
      </c>
      <c r="AF64" s="80">
        <f t="shared" ca="1" si="184"/>
        <v>0</v>
      </c>
      <c r="AG64" s="80">
        <f t="shared" ca="1" si="184"/>
        <v>0</v>
      </c>
      <c r="AH64" s="80">
        <f t="shared" ca="1" si="184"/>
        <v>0</v>
      </c>
      <c r="AI64" s="80">
        <f t="shared" ca="1" si="184"/>
        <v>0</v>
      </c>
      <c r="AJ64" s="80">
        <f ca="1">SUM(AJ39:AJ63)</f>
        <v>-2.3283064365386963E-10</v>
      </c>
      <c r="AK64" s="80">
        <f t="shared" ca="1" si="184"/>
        <v>1799323.1799999997</v>
      </c>
      <c r="AL64" s="80">
        <f t="shared" ca="1" si="184"/>
        <v>0</v>
      </c>
      <c r="AM64" s="80">
        <f t="shared" ca="1" si="184"/>
        <v>0</v>
      </c>
      <c r="AN64" s="80">
        <f t="shared" ca="1" si="184"/>
        <v>15277.96</v>
      </c>
      <c r="AO64" s="80">
        <f t="shared" ca="1" si="184"/>
        <v>0</v>
      </c>
      <c r="AP64" s="80">
        <f t="shared" ca="1" si="184"/>
        <v>256730.18</v>
      </c>
      <c r="AQ64" s="80">
        <f t="shared" ca="1" si="184"/>
        <v>0</v>
      </c>
      <c r="AR64" s="80">
        <f t="shared" ca="1" si="184"/>
        <v>0</v>
      </c>
      <c r="AS64" s="80">
        <f t="shared" ca="1" si="184"/>
        <v>0</v>
      </c>
      <c r="AT64" s="80">
        <f t="shared" ca="1" si="184"/>
        <v>0</v>
      </c>
      <c r="AU64" s="80">
        <f t="shared" ca="1" si="184"/>
        <v>0</v>
      </c>
      <c r="AV64" s="80">
        <f t="shared" ca="1" si="184"/>
        <v>0</v>
      </c>
      <c r="AW64" s="80">
        <f t="shared" ca="1" si="184"/>
        <v>0</v>
      </c>
      <c r="AX64" s="80">
        <f t="shared" ca="1" si="184"/>
        <v>0</v>
      </c>
      <c r="AY64" s="80">
        <f t="shared" ca="1" si="184"/>
        <v>0</v>
      </c>
      <c r="AZ64" s="80">
        <f t="shared" ca="1" si="184"/>
        <v>0</v>
      </c>
      <c r="BA64" s="80">
        <f t="shared" ca="1" si="184"/>
        <v>0</v>
      </c>
      <c r="BB64" s="80">
        <f t="shared" ca="1" si="184"/>
        <v>0</v>
      </c>
      <c r="BC64" s="80">
        <f t="shared" ca="1" si="184"/>
        <v>0</v>
      </c>
      <c r="BD64" s="80">
        <f t="shared" ca="1" si="184"/>
        <v>0</v>
      </c>
      <c r="BE64" s="80">
        <f t="shared" ca="1" si="184"/>
        <v>0</v>
      </c>
      <c r="BF64" s="80">
        <f t="shared" ca="1" si="184"/>
        <v>0</v>
      </c>
      <c r="BG64" s="80">
        <f t="shared" ref="BG64:CL64" ca="1" si="185">SUM(BG39:BG63)</f>
        <v>0</v>
      </c>
      <c r="BH64" s="80">
        <f t="shared" ca="1" si="185"/>
        <v>0</v>
      </c>
      <c r="BI64" s="80">
        <f t="shared" ca="1" si="185"/>
        <v>0</v>
      </c>
      <c r="BJ64" s="80">
        <f t="shared" ca="1" si="185"/>
        <v>0</v>
      </c>
      <c r="BK64" s="80">
        <f t="shared" ca="1" si="185"/>
        <v>0</v>
      </c>
      <c r="BL64" s="80">
        <f t="shared" ca="1" si="185"/>
        <v>0</v>
      </c>
      <c r="BM64" s="80">
        <f t="shared" ca="1" si="185"/>
        <v>0</v>
      </c>
      <c r="BN64" s="80">
        <f t="shared" ca="1" si="185"/>
        <v>0</v>
      </c>
      <c r="BO64" s="80">
        <f t="shared" ca="1" si="185"/>
        <v>0</v>
      </c>
      <c r="BP64" s="80">
        <f t="shared" ca="1" si="185"/>
        <v>0</v>
      </c>
      <c r="BQ64" s="80">
        <f t="shared" ca="1" si="185"/>
        <v>0</v>
      </c>
      <c r="BR64" s="80">
        <f t="shared" ca="1" si="185"/>
        <v>0</v>
      </c>
      <c r="BS64" s="80">
        <f t="shared" ca="1" si="185"/>
        <v>0</v>
      </c>
      <c r="BT64" s="80">
        <f t="shared" ca="1" si="185"/>
        <v>0</v>
      </c>
      <c r="BU64" s="80">
        <f t="shared" ca="1" si="185"/>
        <v>0</v>
      </c>
      <c r="BV64" s="80">
        <f t="shared" ca="1" si="185"/>
        <v>0</v>
      </c>
      <c r="BW64" s="80">
        <f t="shared" ca="1" si="185"/>
        <v>0</v>
      </c>
      <c r="BX64" s="80">
        <f t="shared" ca="1" si="185"/>
        <v>0</v>
      </c>
      <c r="BY64" s="80">
        <f t="shared" ca="1" si="185"/>
        <v>0</v>
      </c>
      <c r="BZ64" s="80">
        <f t="shared" ca="1" si="185"/>
        <v>0</v>
      </c>
      <c r="CA64" s="80">
        <f t="shared" ca="1" si="185"/>
        <v>0</v>
      </c>
      <c r="CB64" s="80">
        <f t="shared" ca="1" si="185"/>
        <v>0</v>
      </c>
      <c r="CC64" s="80">
        <f t="shared" ca="1" si="185"/>
        <v>0</v>
      </c>
      <c r="CD64" s="80">
        <f t="shared" ca="1" si="185"/>
        <v>0</v>
      </c>
      <c r="CE64" s="80">
        <f t="shared" ca="1" si="185"/>
        <v>0</v>
      </c>
      <c r="CF64" s="80">
        <f t="shared" ca="1" si="185"/>
        <v>0</v>
      </c>
      <c r="CG64" s="80">
        <f t="shared" ca="1" si="185"/>
        <v>0</v>
      </c>
      <c r="CH64" s="80">
        <f t="shared" ca="1" si="185"/>
        <v>0</v>
      </c>
      <c r="CI64" s="80">
        <f t="shared" ca="1" si="185"/>
        <v>0</v>
      </c>
      <c r="CJ64" s="80">
        <f t="shared" ca="1" si="185"/>
        <v>0</v>
      </c>
      <c r="CK64" s="80">
        <f t="shared" ca="1" si="185"/>
        <v>0</v>
      </c>
      <c r="CL64" s="80">
        <f t="shared" ca="1" si="185"/>
        <v>0</v>
      </c>
      <c r="CM64" s="80">
        <f t="shared" ref="CM64:DP64" ca="1" si="186">SUM(CM39:CM63)</f>
        <v>0</v>
      </c>
      <c r="CN64" s="80">
        <f t="shared" ca="1" si="186"/>
        <v>0</v>
      </c>
      <c r="CO64" s="80">
        <f t="shared" ca="1" si="186"/>
        <v>0</v>
      </c>
      <c r="CP64" s="80">
        <f t="shared" ca="1" si="186"/>
        <v>0</v>
      </c>
      <c r="CQ64" s="80">
        <f t="shared" ca="1" si="186"/>
        <v>0</v>
      </c>
      <c r="CR64" s="80">
        <f t="shared" ca="1" si="186"/>
        <v>0</v>
      </c>
      <c r="CS64" s="80">
        <f t="shared" ca="1" si="186"/>
        <v>0</v>
      </c>
      <c r="CT64" s="80">
        <f t="shared" ca="1" si="186"/>
        <v>0</v>
      </c>
      <c r="CU64" s="80">
        <f t="shared" ca="1" si="186"/>
        <v>0</v>
      </c>
      <c r="CV64" s="80">
        <f t="shared" ca="1" si="186"/>
        <v>0</v>
      </c>
      <c r="CW64" s="80">
        <f t="shared" ca="1" si="186"/>
        <v>0</v>
      </c>
      <c r="CX64" s="80">
        <f t="shared" ca="1" si="186"/>
        <v>0</v>
      </c>
      <c r="CY64" s="80">
        <f t="shared" ca="1" si="186"/>
        <v>0</v>
      </c>
      <c r="CZ64" s="80">
        <f t="shared" ca="1" si="186"/>
        <v>0</v>
      </c>
      <c r="DA64" s="80">
        <f t="shared" ca="1" si="186"/>
        <v>0</v>
      </c>
      <c r="DB64" s="80">
        <f t="shared" ca="1" si="186"/>
        <v>0</v>
      </c>
      <c r="DC64" s="80">
        <f t="shared" ca="1" si="186"/>
        <v>0</v>
      </c>
      <c r="DD64" s="80">
        <f t="shared" ca="1" si="186"/>
        <v>0</v>
      </c>
      <c r="DE64" s="80">
        <f t="shared" ca="1" si="186"/>
        <v>0</v>
      </c>
      <c r="DF64" s="80">
        <f t="shared" ca="1" si="186"/>
        <v>0</v>
      </c>
      <c r="DG64" s="80">
        <f t="shared" ca="1" si="186"/>
        <v>0</v>
      </c>
      <c r="DH64" s="80">
        <f t="shared" ca="1" si="186"/>
        <v>0</v>
      </c>
      <c r="DI64" s="80">
        <f t="shared" ca="1" si="186"/>
        <v>0</v>
      </c>
      <c r="DJ64" s="80">
        <f t="shared" ca="1" si="186"/>
        <v>0</v>
      </c>
      <c r="DK64" s="80">
        <f t="shared" ca="1" si="186"/>
        <v>0</v>
      </c>
      <c r="DL64" s="80">
        <f t="shared" ca="1" si="186"/>
        <v>0</v>
      </c>
      <c r="DM64" s="80">
        <f t="shared" ca="1" si="186"/>
        <v>0</v>
      </c>
      <c r="DN64" s="80">
        <f t="shared" ca="1" si="186"/>
        <v>0</v>
      </c>
      <c r="DO64" s="80">
        <f t="shared" ca="1" si="186"/>
        <v>0</v>
      </c>
      <c r="DP64" s="80">
        <f t="shared" ca="1" si="186"/>
        <v>0</v>
      </c>
    </row>
    <row r="65" spans="1:120" ht="15.75" thickBot="1"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  <c r="DH65" s="99"/>
      <c r="DI65" s="99"/>
      <c r="DJ65" s="99"/>
      <c r="DK65" s="99"/>
      <c r="DL65" s="99"/>
      <c r="DM65" s="99"/>
      <c r="DN65" s="99"/>
      <c r="DO65" s="99"/>
      <c r="DP65" s="99"/>
    </row>
    <row r="66" spans="1:120" s="86" customFormat="1" outlineLevel="1">
      <c r="A66" s="708">
        <v>1110052010</v>
      </c>
      <c r="B66" s="709" t="s">
        <v>78</v>
      </c>
      <c r="C66" s="1543" t="s">
        <v>64</v>
      </c>
      <c r="D66" s="1544"/>
      <c r="E66" s="1545">
        <v>44986</v>
      </c>
      <c r="F66" s="711"/>
      <c r="G66" s="1269"/>
      <c r="H66" s="712"/>
      <c r="I66" s="713"/>
      <c r="J66" s="1483">
        <v>1</v>
      </c>
      <c r="K66" s="1484">
        <v>1</v>
      </c>
      <c r="L66" s="2007">
        <v>2880.86</v>
      </c>
      <c r="M66" s="2008">
        <f t="shared" ref="M66:M93" si="187">+L66*J66</f>
        <v>2880.86</v>
      </c>
      <c r="N66" s="716">
        <f ca="1">IF(OR(E66="",E66&gt;TODAY()),0,IF(ISERROR(VLOOKUP($E66,'TRM BanRep'!$A:$G,7,0)),0,VLOOKUP($E66,'TRM BanRep'!$A:$G,7,0)))</f>
        <v>4814.1099999999997</v>
      </c>
      <c r="O66" s="714">
        <f t="shared" ref="O66:O110" ca="1" si="188">+L66*N66</f>
        <v>13868776.934599999</v>
      </c>
      <c r="P66" s="715"/>
      <c r="Q66" s="715">
        <f t="shared" ref="Q66:Q93" si="189">+P66*K66</f>
        <v>0</v>
      </c>
      <c r="R66" s="716"/>
      <c r="S66" s="716">
        <f ca="1">IF(OR(E66="",E66&gt;TODAY()),0,IF(ISERROR(VLOOKUP($E66,'TRM BanRep'!$A:$G,7,0)),0,VLOOKUP($E66,'TRM BanRep'!$A:$G,7,0)))</f>
        <v>4814.1099999999997</v>
      </c>
      <c r="T66" s="717">
        <f t="shared" ref="T66:T110" ca="1" si="190">+P66*S66</f>
        <v>0</v>
      </c>
      <c r="U66" s="1546">
        <f t="shared" ref="U66:U110" si="191">+L66+P66+F66</f>
        <v>2880.86</v>
      </c>
      <c r="V66" s="717">
        <f ca="1">+I66+T66+O66</f>
        <v>13868776.934599999</v>
      </c>
      <c r="W66" s="719">
        <f t="shared" ref="W66:W110" ca="1" si="192">(IF(R66&gt;S66,(-P66*R66)-(-P66*S66),0))</f>
        <v>0</v>
      </c>
      <c r="X66" s="720">
        <f t="shared" ref="X66:X110" ca="1" si="193">(IF(R66&lt;S66,(-P66*R66)-(-P66*S66),0))</f>
        <v>0</v>
      </c>
      <c r="Y66" s="1547"/>
      <c r="Z66" s="1055"/>
      <c r="AA66" s="705">
        <f t="shared" ref="AA66:CL66" si="194">IF($L66="",IF(OR($P66="",$R66=""),0,IF($R66=AA$6,$Q66,0)),IF($E66=AA$5,$M66,))</f>
        <v>0</v>
      </c>
      <c r="AB66" s="706">
        <f t="shared" si="194"/>
        <v>0</v>
      </c>
      <c r="AC66" s="706">
        <f t="shared" si="194"/>
        <v>0</v>
      </c>
      <c r="AD66" s="706">
        <f t="shared" si="194"/>
        <v>0</v>
      </c>
      <c r="AE66" s="706">
        <f t="shared" si="194"/>
        <v>0</v>
      </c>
      <c r="AF66" s="706">
        <f t="shared" si="194"/>
        <v>0</v>
      </c>
      <c r="AG66" s="706">
        <f t="shared" si="194"/>
        <v>0</v>
      </c>
      <c r="AH66" s="706">
        <f t="shared" si="194"/>
        <v>0</v>
      </c>
      <c r="AI66" s="706">
        <f t="shared" si="194"/>
        <v>0</v>
      </c>
      <c r="AJ66" s="706">
        <f t="shared" si="194"/>
        <v>0</v>
      </c>
      <c r="AK66" s="706">
        <f t="shared" si="194"/>
        <v>0</v>
      </c>
      <c r="AL66" s="731">
        <f t="shared" si="194"/>
        <v>0</v>
      </c>
      <c r="AM66" s="706">
        <f t="shared" si="194"/>
        <v>0</v>
      </c>
      <c r="AN66" s="706">
        <f t="shared" si="194"/>
        <v>0</v>
      </c>
      <c r="AO66" s="706">
        <f t="shared" si="194"/>
        <v>0</v>
      </c>
      <c r="AP66" s="706">
        <f t="shared" si="194"/>
        <v>0</v>
      </c>
      <c r="AQ66" s="706">
        <f t="shared" si="194"/>
        <v>0</v>
      </c>
      <c r="AR66" s="706">
        <f t="shared" si="194"/>
        <v>2880.86</v>
      </c>
      <c r="AS66" s="706">
        <f t="shared" si="194"/>
        <v>0</v>
      </c>
      <c r="AT66" s="706">
        <f t="shared" si="194"/>
        <v>0</v>
      </c>
      <c r="AU66" s="706">
        <f t="shared" si="194"/>
        <v>0</v>
      </c>
      <c r="AV66" s="706">
        <f t="shared" si="194"/>
        <v>0</v>
      </c>
      <c r="AW66" s="706">
        <f t="shared" si="194"/>
        <v>0</v>
      </c>
      <c r="AX66" s="706">
        <f t="shared" si="194"/>
        <v>0</v>
      </c>
      <c r="AY66" s="706">
        <f t="shared" si="194"/>
        <v>0</v>
      </c>
      <c r="AZ66" s="706">
        <f t="shared" si="194"/>
        <v>0</v>
      </c>
      <c r="BA66" s="706">
        <f t="shared" si="194"/>
        <v>0</v>
      </c>
      <c r="BB66" s="706">
        <f t="shared" si="194"/>
        <v>0</v>
      </c>
      <c r="BC66" s="706">
        <f t="shared" si="194"/>
        <v>0</v>
      </c>
      <c r="BD66" s="706">
        <f t="shared" si="194"/>
        <v>0</v>
      </c>
      <c r="BE66" s="706">
        <f t="shared" si="194"/>
        <v>0</v>
      </c>
      <c r="BF66" s="706">
        <f t="shared" si="194"/>
        <v>0</v>
      </c>
      <c r="BG66" s="706">
        <f t="shared" si="194"/>
        <v>0</v>
      </c>
      <c r="BH66" s="706">
        <f t="shared" si="194"/>
        <v>0</v>
      </c>
      <c r="BI66" s="706">
        <f t="shared" si="194"/>
        <v>0</v>
      </c>
      <c r="BJ66" s="706">
        <f t="shared" si="194"/>
        <v>0</v>
      </c>
      <c r="BK66" s="706">
        <f t="shared" si="194"/>
        <v>0</v>
      </c>
      <c r="BL66" s="706">
        <f t="shared" si="194"/>
        <v>0</v>
      </c>
      <c r="BM66" s="706">
        <f t="shared" si="194"/>
        <v>0</v>
      </c>
      <c r="BN66" s="706">
        <f t="shared" si="194"/>
        <v>0</v>
      </c>
      <c r="BO66" s="706">
        <f t="shared" si="194"/>
        <v>0</v>
      </c>
      <c r="BP66" s="706">
        <f t="shared" si="194"/>
        <v>0</v>
      </c>
      <c r="BQ66" s="706">
        <f t="shared" si="194"/>
        <v>0</v>
      </c>
      <c r="BR66" s="706">
        <f t="shared" si="194"/>
        <v>0</v>
      </c>
      <c r="BS66" s="706">
        <f t="shared" si="194"/>
        <v>0</v>
      </c>
      <c r="BT66" s="706">
        <f t="shared" si="194"/>
        <v>0</v>
      </c>
      <c r="BU66" s="706">
        <f t="shared" si="194"/>
        <v>0</v>
      </c>
      <c r="BV66" s="706">
        <f t="shared" si="194"/>
        <v>0</v>
      </c>
      <c r="BW66" s="706">
        <f t="shared" si="194"/>
        <v>0</v>
      </c>
      <c r="BX66" s="706">
        <f t="shared" si="194"/>
        <v>0</v>
      </c>
      <c r="BY66" s="706">
        <f t="shared" si="194"/>
        <v>0</v>
      </c>
      <c r="BZ66" s="706">
        <f t="shared" si="194"/>
        <v>0</v>
      </c>
      <c r="CA66" s="706">
        <f t="shared" si="194"/>
        <v>0</v>
      </c>
      <c r="CB66" s="706">
        <f t="shared" si="194"/>
        <v>0</v>
      </c>
      <c r="CC66" s="706">
        <f t="shared" si="194"/>
        <v>0</v>
      </c>
      <c r="CD66" s="706">
        <f t="shared" si="194"/>
        <v>0</v>
      </c>
      <c r="CE66" s="706">
        <f t="shared" si="194"/>
        <v>0</v>
      </c>
      <c r="CF66" s="706">
        <f t="shared" si="194"/>
        <v>0</v>
      </c>
      <c r="CG66" s="706">
        <f t="shared" si="194"/>
        <v>0</v>
      </c>
      <c r="CH66" s="706">
        <f t="shared" si="194"/>
        <v>0</v>
      </c>
      <c r="CI66" s="706">
        <f t="shared" si="194"/>
        <v>0</v>
      </c>
      <c r="CJ66" s="706">
        <f t="shared" si="194"/>
        <v>0</v>
      </c>
      <c r="CK66" s="706">
        <f t="shared" si="194"/>
        <v>0</v>
      </c>
      <c r="CL66" s="706">
        <f t="shared" si="194"/>
        <v>0</v>
      </c>
      <c r="CM66" s="706">
        <f t="shared" ref="CM66:DP66" si="195">IF($L66="",IF(OR($P66="",$R66=""),0,IF($R66=CM$6,$Q66,0)),IF($E66=CM$5,$M66,))</f>
        <v>0</v>
      </c>
      <c r="CN66" s="706">
        <f t="shared" si="195"/>
        <v>0</v>
      </c>
      <c r="CO66" s="706">
        <f t="shared" si="195"/>
        <v>0</v>
      </c>
      <c r="CP66" s="706">
        <f t="shared" si="195"/>
        <v>0</v>
      </c>
      <c r="CQ66" s="706">
        <f t="shared" si="195"/>
        <v>0</v>
      </c>
      <c r="CR66" s="706">
        <f t="shared" si="195"/>
        <v>0</v>
      </c>
      <c r="CS66" s="706">
        <f t="shared" si="195"/>
        <v>0</v>
      </c>
      <c r="CT66" s="706">
        <f t="shared" si="195"/>
        <v>0</v>
      </c>
      <c r="CU66" s="706">
        <f t="shared" si="195"/>
        <v>0</v>
      </c>
      <c r="CV66" s="706">
        <f t="shared" si="195"/>
        <v>0</v>
      </c>
      <c r="CW66" s="706">
        <f t="shared" si="195"/>
        <v>0</v>
      </c>
      <c r="CX66" s="706">
        <f t="shared" si="195"/>
        <v>0</v>
      </c>
      <c r="CY66" s="706">
        <f t="shared" si="195"/>
        <v>0</v>
      </c>
      <c r="CZ66" s="706">
        <f t="shared" si="195"/>
        <v>0</v>
      </c>
      <c r="DA66" s="706">
        <f t="shared" si="195"/>
        <v>0</v>
      </c>
      <c r="DB66" s="706">
        <f t="shared" si="195"/>
        <v>0</v>
      </c>
      <c r="DC66" s="706">
        <f t="shared" si="195"/>
        <v>0</v>
      </c>
      <c r="DD66" s="706">
        <f t="shared" si="195"/>
        <v>0</v>
      </c>
      <c r="DE66" s="706">
        <f t="shared" si="195"/>
        <v>0</v>
      </c>
      <c r="DF66" s="706">
        <f t="shared" si="195"/>
        <v>0</v>
      </c>
      <c r="DG66" s="706">
        <f t="shared" si="195"/>
        <v>0</v>
      </c>
      <c r="DH66" s="706">
        <f t="shared" si="195"/>
        <v>0</v>
      </c>
      <c r="DI66" s="706">
        <f t="shared" si="195"/>
        <v>0</v>
      </c>
      <c r="DJ66" s="706">
        <f t="shared" si="195"/>
        <v>0</v>
      </c>
      <c r="DK66" s="706">
        <f t="shared" si="195"/>
        <v>0</v>
      </c>
      <c r="DL66" s="706">
        <f t="shared" si="195"/>
        <v>0</v>
      </c>
      <c r="DM66" s="706">
        <f t="shared" si="195"/>
        <v>0</v>
      </c>
      <c r="DN66" s="706">
        <f t="shared" si="195"/>
        <v>0</v>
      </c>
      <c r="DO66" s="706">
        <f t="shared" si="195"/>
        <v>0</v>
      </c>
      <c r="DP66" s="706">
        <f t="shared" si="195"/>
        <v>0</v>
      </c>
    </row>
    <row r="67" spans="1:120" outlineLevel="1">
      <c r="A67" s="89">
        <v>1110052010</v>
      </c>
      <c r="B67" s="90" t="s">
        <v>2449</v>
      </c>
      <c r="C67" s="1476" t="s">
        <v>64</v>
      </c>
      <c r="D67" s="1481"/>
      <c r="E67" s="1482">
        <v>44986</v>
      </c>
      <c r="F67" s="420"/>
      <c r="G67" s="1256"/>
      <c r="H67" s="421"/>
      <c r="I67" s="422"/>
      <c r="J67" s="1425">
        <v>1</v>
      </c>
      <c r="K67" s="1426">
        <v>1</v>
      </c>
      <c r="L67" s="1043">
        <v>2540000</v>
      </c>
      <c r="M67" s="1594">
        <f t="shared" si="187"/>
        <v>2540000</v>
      </c>
      <c r="N67" s="504">
        <f ca="1">IF(OR(E67="",E67&gt;TODAY()),0,IF(ISERROR(VLOOKUP($E67,'TRM BanRep'!$A:$G,7,0)),0,VLOOKUP($E67,'TRM BanRep'!$A:$G,7,0)))</f>
        <v>4814.1099999999997</v>
      </c>
      <c r="O67" s="424">
        <f t="shared" ref="O67:O93" ca="1" si="196">+L67*J67*N67</f>
        <v>12227839400</v>
      </c>
      <c r="P67" s="425"/>
      <c r="Q67" s="1340">
        <f t="shared" si="189"/>
        <v>0</v>
      </c>
      <c r="R67" s="515"/>
      <c r="S67" s="426">
        <f ca="1">IF(OR(E67="",E67&gt;TODAY()),0,IF(ISERROR(VLOOKUP($E67,'TRM BanRep'!$A:$G,7,0)),0,VLOOKUP($E67,'TRM BanRep'!$A:$G,7,0)))</f>
        <v>4814.1099999999997</v>
      </c>
      <c r="T67" s="427">
        <f t="shared" ref="T67:T93" ca="1" si="197">+P67*K67*S67</f>
        <v>0</v>
      </c>
      <c r="U67" s="418">
        <f t="shared" si="191"/>
        <v>2540000</v>
      </c>
      <c r="V67" s="517">
        <f t="shared" ref="V67:V93" ca="1" si="198">+P67*J67*R67+L67*J67*N67+F67*J67*H67</f>
        <v>12227839400</v>
      </c>
      <c r="W67" s="428">
        <f t="shared" ref="W67:W93" ca="1" si="199">IF((-P67*J67*R67)-(-P67*K67*S67)&gt;0,(-P67*J67*R67)-(-P67*K67*S67),0)</f>
        <v>0</v>
      </c>
      <c r="X67" s="429">
        <f t="shared" ref="X67:X93" ca="1" si="200">IF((-P67*J67*R67)-(-P67*K67*S67)&lt;0,(-P67*J67*R67)-(-P67*K67*S67),0)</f>
        <v>0</v>
      </c>
      <c r="Y67" s="92"/>
      <c r="Z67" s="1055"/>
      <c r="AA67" s="85">
        <f t="shared" ref="AA67:CL73" si="201">IF($L67="",IF(OR($P67="",$R67=""),0,IF($R67=AA$6,$Q67,0)),IF($E67=AA$5,$M67,))</f>
        <v>0</v>
      </c>
      <c r="AB67" s="508">
        <f t="shared" si="201"/>
        <v>0</v>
      </c>
      <c r="AC67" s="508">
        <f t="shared" si="201"/>
        <v>0</v>
      </c>
      <c r="AD67" s="508">
        <f t="shared" si="201"/>
        <v>0</v>
      </c>
      <c r="AE67" s="508">
        <f t="shared" si="201"/>
        <v>0</v>
      </c>
      <c r="AF67" s="561">
        <f t="shared" si="201"/>
        <v>0</v>
      </c>
      <c r="AG67" s="561">
        <f t="shared" si="201"/>
        <v>0</v>
      </c>
      <c r="AH67" s="561">
        <f t="shared" si="201"/>
        <v>0</v>
      </c>
      <c r="AI67" s="561">
        <f t="shared" si="201"/>
        <v>0</v>
      </c>
      <c r="AJ67" s="561">
        <f t="shared" si="201"/>
        <v>0</v>
      </c>
      <c r="AK67" s="561">
        <f t="shared" si="201"/>
        <v>0</v>
      </c>
      <c r="AL67" s="1542">
        <f t="shared" si="201"/>
        <v>0</v>
      </c>
      <c r="AM67" s="561">
        <f t="shared" si="201"/>
        <v>0</v>
      </c>
      <c r="AN67" s="561">
        <f t="shared" si="201"/>
        <v>0</v>
      </c>
      <c r="AO67" s="561">
        <f t="shared" si="201"/>
        <v>0</v>
      </c>
      <c r="AP67" s="561">
        <f t="shared" si="201"/>
        <v>0</v>
      </c>
      <c r="AQ67" s="561">
        <f t="shared" si="201"/>
        <v>0</v>
      </c>
      <c r="AR67" s="561">
        <f t="shared" si="201"/>
        <v>2540000</v>
      </c>
      <c r="AS67" s="561">
        <f t="shared" si="201"/>
        <v>0</v>
      </c>
      <c r="AT67" s="561">
        <f t="shared" si="201"/>
        <v>0</v>
      </c>
      <c r="AU67" s="561">
        <f t="shared" si="201"/>
        <v>0</v>
      </c>
      <c r="AV67" s="561">
        <f t="shared" si="201"/>
        <v>0</v>
      </c>
      <c r="AW67" s="561">
        <f t="shared" si="201"/>
        <v>0</v>
      </c>
      <c r="AX67" s="561">
        <f t="shared" si="201"/>
        <v>0</v>
      </c>
      <c r="AY67" s="561">
        <f t="shared" si="201"/>
        <v>0</v>
      </c>
      <c r="AZ67" s="561">
        <f t="shared" si="201"/>
        <v>0</v>
      </c>
      <c r="BA67" s="561">
        <f t="shared" si="201"/>
        <v>0</v>
      </c>
      <c r="BB67" s="561">
        <f t="shared" si="201"/>
        <v>0</v>
      </c>
      <c r="BC67" s="561">
        <f t="shared" si="201"/>
        <v>0</v>
      </c>
      <c r="BD67" s="561">
        <f t="shared" si="201"/>
        <v>0</v>
      </c>
      <c r="BE67" s="561">
        <f t="shared" si="201"/>
        <v>0</v>
      </c>
      <c r="BF67" s="561">
        <f t="shared" si="201"/>
        <v>0</v>
      </c>
      <c r="BG67" s="561">
        <f t="shared" si="201"/>
        <v>0</v>
      </c>
      <c r="BH67" s="561">
        <f t="shared" si="201"/>
        <v>0</v>
      </c>
      <c r="BI67" s="561">
        <f t="shared" si="201"/>
        <v>0</v>
      </c>
      <c r="BJ67" s="561">
        <f t="shared" si="201"/>
        <v>0</v>
      </c>
      <c r="BK67" s="561">
        <f t="shared" si="201"/>
        <v>0</v>
      </c>
      <c r="BL67" s="561">
        <f t="shared" si="201"/>
        <v>0</v>
      </c>
      <c r="BM67" s="561">
        <f t="shared" si="201"/>
        <v>0</v>
      </c>
      <c r="BN67" s="561">
        <f t="shared" si="201"/>
        <v>0</v>
      </c>
      <c r="BO67" s="561">
        <f t="shared" si="201"/>
        <v>0</v>
      </c>
      <c r="BP67" s="561">
        <f t="shared" si="201"/>
        <v>0</v>
      </c>
      <c r="BQ67" s="561">
        <f t="shared" si="201"/>
        <v>0</v>
      </c>
      <c r="BR67" s="561">
        <f t="shared" si="201"/>
        <v>0</v>
      </c>
      <c r="BS67" s="561">
        <f t="shared" si="201"/>
        <v>0</v>
      </c>
      <c r="BT67" s="561">
        <f t="shared" si="201"/>
        <v>0</v>
      </c>
      <c r="BU67" s="561">
        <f t="shared" si="201"/>
        <v>0</v>
      </c>
      <c r="BV67" s="561">
        <f t="shared" si="201"/>
        <v>0</v>
      </c>
      <c r="BW67" s="561">
        <f t="shared" si="201"/>
        <v>0</v>
      </c>
      <c r="BX67" s="561">
        <f t="shared" si="201"/>
        <v>0</v>
      </c>
      <c r="BY67" s="561">
        <f t="shared" si="201"/>
        <v>0</v>
      </c>
      <c r="BZ67" s="561">
        <f t="shared" si="201"/>
        <v>0</v>
      </c>
      <c r="CA67" s="561">
        <f t="shared" si="201"/>
        <v>0</v>
      </c>
      <c r="CB67" s="561">
        <f t="shared" si="201"/>
        <v>0</v>
      </c>
      <c r="CC67" s="561">
        <f t="shared" si="201"/>
        <v>0</v>
      </c>
      <c r="CD67" s="561">
        <f t="shared" si="201"/>
        <v>0</v>
      </c>
      <c r="CE67" s="561">
        <f t="shared" si="201"/>
        <v>0</v>
      </c>
      <c r="CF67" s="561">
        <f t="shared" si="201"/>
        <v>0</v>
      </c>
      <c r="CG67" s="561">
        <f t="shared" si="201"/>
        <v>0</v>
      </c>
      <c r="CH67" s="561">
        <f t="shared" si="201"/>
        <v>0</v>
      </c>
      <c r="CI67" s="561">
        <f t="shared" si="201"/>
        <v>0</v>
      </c>
      <c r="CJ67" s="561">
        <f t="shared" si="201"/>
        <v>0</v>
      </c>
      <c r="CK67" s="561">
        <f t="shared" si="201"/>
        <v>0</v>
      </c>
      <c r="CL67" s="561">
        <f t="shared" si="201"/>
        <v>0</v>
      </c>
      <c r="CM67" s="561">
        <f t="shared" ref="CM67:DP80" si="202">IF($L67="",IF(OR($P67="",$R67=""),0,IF($R67=CM$6,$Q67,0)),IF($E67=CM$5,$M67,))</f>
        <v>0</v>
      </c>
      <c r="CN67" s="561">
        <f t="shared" si="202"/>
        <v>0</v>
      </c>
      <c r="CO67" s="561">
        <f t="shared" si="202"/>
        <v>0</v>
      </c>
      <c r="CP67" s="561">
        <f t="shared" si="202"/>
        <v>0</v>
      </c>
      <c r="CQ67" s="561">
        <f t="shared" si="202"/>
        <v>0</v>
      </c>
      <c r="CR67" s="561">
        <f t="shared" si="202"/>
        <v>0</v>
      </c>
      <c r="CS67" s="561">
        <f t="shared" si="202"/>
        <v>0</v>
      </c>
      <c r="CT67" s="561">
        <f t="shared" si="202"/>
        <v>0</v>
      </c>
      <c r="CU67" s="561">
        <f t="shared" si="202"/>
        <v>0</v>
      </c>
      <c r="CV67" s="561">
        <f t="shared" si="202"/>
        <v>0</v>
      </c>
      <c r="CW67" s="561">
        <f t="shared" si="202"/>
        <v>0</v>
      </c>
      <c r="CX67" s="561">
        <f t="shared" si="202"/>
        <v>0</v>
      </c>
      <c r="CY67" s="561">
        <f t="shared" si="202"/>
        <v>0</v>
      </c>
      <c r="CZ67" s="561">
        <f t="shared" si="202"/>
        <v>0</v>
      </c>
      <c r="DA67" s="561">
        <f t="shared" si="202"/>
        <v>0</v>
      </c>
      <c r="DB67" s="561">
        <f t="shared" si="202"/>
        <v>0</v>
      </c>
      <c r="DC67" s="561">
        <f t="shared" si="202"/>
        <v>0</v>
      </c>
      <c r="DD67" s="561">
        <f t="shared" si="202"/>
        <v>0</v>
      </c>
      <c r="DE67" s="561">
        <f t="shared" si="202"/>
        <v>0</v>
      </c>
      <c r="DF67" s="561">
        <f t="shared" si="202"/>
        <v>0</v>
      </c>
      <c r="DG67" s="561">
        <f t="shared" si="202"/>
        <v>0</v>
      </c>
      <c r="DH67" s="561">
        <f t="shared" si="202"/>
        <v>0</v>
      </c>
      <c r="DI67" s="561">
        <f t="shared" si="202"/>
        <v>0</v>
      </c>
      <c r="DJ67" s="561">
        <f t="shared" si="202"/>
        <v>0</v>
      </c>
      <c r="DK67" s="561">
        <f t="shared" si="202"/>
        <v>0</v>
      </c>
      <c r="DL67" s="561">
        <f t="shared" si="202"/>
        <v>0</v>
      </c>
      <c r="DM67" s="561">
        <f t="shared" si="202"/>
        <v>0</v>
      </c>
      <c r="DN67" s="561">
        <f t="shared" si="202"/>
        <v>0</v>
      </c>
      <c r="DO67" s="561">
        <f t="shared" si="202"/>
        <v>0</v>
      </c>
      <c r="DP67" s="561">
        <f t="shared" si="202"/>
        <v>0</v>
      </c>
    </row>
    <row r="68" spans="1:120" outlineLevel="1">
      <c r="A68" s="89">
        <v>1110052010</v>
      </c>
      <c r="B68" s="90" t="s">
        <v>2450</v>
      </c>
      <c r="C68" s="1476" t="s">
        <v>64</v>
      </c>
      <c r="D68" s="1481"/>
      <c r="E68" s="1482">
        <v>44987</v>
      </c>
      <c r="F68" s="420"/>
      <c r="G68" s="1256"/>
      <c r="H68" s="421"/>
      <c r="I68" s="422"/>
      <c r="J68" s="1425">
        <v>1</v>
      </c>
      <c r="K68" s="1426">
        <v>1</v>
      </c>
      <c r="L68" s="1043">
        <v>1100000</v>
      </c>
      <c r="M68" s="1594">
        <f t="shared" si="187"/>
        <v>1100000</v>
      </c>
      <c r="N68" s="504">
        <f ca="1">IF(OR(E68="",E68&gt;TODAY()),0,IF(ISERROR(VLOOKUP($E68,'TRM BanRep'!$A:$G,7,0)),0,VLOOKUP($E68,'TRM BanRep'!$A:$G,7,0)))</f>
        <v>4848.78</v>
      </c>
      <c r="O68" s="424">
        <f t="shared" ca="1" si="196"/>
        <v>5333658000</v>
      </c>
      <c r="P68" s="425"/>
      <c r="Q68" s="1340">
        <f t="shared" si="189"/>
        <v>0</v>
      </c>
      <c r="R68" s="426"/>
      <c r="S68" s="426">
        <f ca="1">IF(OR(E68="",E68&gt;TODAY()),0,IF(ISERROR(VLOOKUP($E68,'TRM BanRep'!$A:$G,7,0)),0,VLOOKUP($E68,'TRM BanRep'!$A:$G,7,0)))</f>
        <v>4848.78</v>
      </c>
      <c r="T68" s="427">
        <f t="shared" ca="1" si="197"/>
        <v>0</v>
      </c>
      <c r="U68" s="418">
        <f t="shared" si="191"/>
        <v>1100000</v>
      </c>
      <c r="V68" s="517">
        <f t="shared" ca="1" si="198"/>
        <v>5333658000</v>
      </c>
      <c r="W68" s="428">
        <f t="shared" ca="1" si="199"/>
        <v>0</v>
      </c>
      <c r="X68" s="429">
        <f t="shared" ca="1" si="200"/>
        <v>0</v>
      </c>
      <c r="Y68" s="92"/>
      <c r="Z68" s="1055"/>
      <c r="AA68" s="85">
        <f t="shared" si="201"/>
        <v>0</v>
      </c>
      <c r="AB68" s="508">
        <f t="shared" si="201"/>
        <v>0</v>
      </c>
      <c r="AC68" s="508">
        <f t="shared" si="201"/>
        <v>0</v>
      </c>
      <c r="AD68" s="508">
        <f t="shared" si="201"/>
        <v>0</v>
      </c>
      <c r="AE68" s="508">
        <f t="shared" si="201"/>
        <v>0</v>
      </c>
      <c r="AF68" s="561">
        <f t="shared" si="201"/>
        <v>0</v>
      </c>
      <c r="AG68" s="561">
        <f t="shared" si="201"/>
        <v>0</v>
      </c>
      <c r="AH68" s="561">
        <f t="shared" si="201"/>
        <v>0</v>
      </c>
      <c r="AI68" s="561">
        <f t="shared" si="201"/>
        <v>0</v>
      </c>
      <c r="AJ68" s="561">
        <f t="shared" si="201"/>
        <v>0</v>
      </c>
      <c r="AK68" s="561">
        <f t="shared" si="201"/>
        <v>0</v>
      </c>
      <c r="AL68" s="1542">
        <f t="shared" si="201"/>
        <v>0</v>
      </c>
      <c r="AM68" s="561">
        <f t="shared" si="201"/>
        <v>0</v>
      </c>
      <c r="AN68" s="561">
        <f t="shared" si="201"/>
        <v>0</v>
      </c>
      <c r="AO68" s="561">
        <f t="shared" si="201"/>
        <v>0</v>
      </c>
      <c r="AP68" s="561">
        <f t="shared" si="201"/>
        <v>0</v>
      </c>
      <c r="AQ68" s="561">
        <f t="shared" si="201"/>
        <v>0</v>
      </c>
      <c r="AR68" s="561">
        <f t="shared" si="201"/>
        <v>0</v>
      </c>
      <c r="AS68" s="561">
        <f t="shared" si="201"/>
        <v>1100000</v>
      </c>
      <c r="AT68" s="561">
        <f t="shared" si="201"/>
        <v>0</v>
      </c>
      <c r="AU68" s="561">
        <f t="shared" si="201"/>
        <v>0</v>
      </c>
      <c r="AV68" s="561">
        <f t="shared" si="201"/>
        <v>0</v>
      </c>
      <c r="AW68" s="561">
        <f t="shared" si="201"/>
        <v>0</v>
      </c>
      <c r="AX68" s="561">
        <f t="shared" si="201"/>
        <v>0</v>
      </c>
      <c r="AY68" s="561">
        <f t="shared" si="201"/>
        <v>0</v>
      </c>
      <c r="AZ68" s="561">
        <f t="shared" si="201"/>
        <v>0</v>
      </c>
      <c r="BA68" s="561">
        <f t="shared" si="201"/>
        <v>0</v>
      </c>
      <c r="BB68" s="561">
        <f t="shared" si="201"/>
        <v>0</v>
      </c>
      <c r="BC68" s="561">
        <f t="shared" si="201"/>
        <v>0</v>
      </c>
      <c r="BD68" s="561">
        <f t="shared" si="201"/>
        <v>0</v>
      </c>
      <c r="BE68" s="561">
        <f t="shared" si="201"/>
        <v>0</v>
      </c>
      <c r="BF68" s="561">
        <f t="shared" si="201"/>
        <v>0</v>
      </c>
      <c r="BG68" s="561">
        <f t="shared" si="201"/>
        <v>0</v>
      </c>
      <c r="BH68" s="561">
        <f t="shared" si="201"/>
        <v>0</v>
      </c>
      <c r="BI68" s="561">
        <f t="shared" si="201"/>
        <v>0</v>
      </c>
      <c r="BJ68" s="561">
        <f t="shared" si="201"/>
        <v>0</v>
      </c>
      <c r="BK68" s="561">
        <f t="shared" si="201"/>
        <v>0</v>
      </c>
      <c r="BL68" s="561">
        <f t="shared" si="201"/>
        <v>0</v>
      </c>
      <c r="BM68" s="561">
        <f t="shared" si="201"/>
        <v>0</v>
      </c>
      <c r="BN68" s="561">
        <f t="shared" si="201"/>
        <v>0</v>
      </c>
      <c r="BO68" s="561">
        <f t="shared" si="201"/>
        <v>0</v>
      </c>
      <c r="BP68" s="561">
        <f t="shared" si="201"/>
        <v>0</v>
      </c>
      <c r="BQ68" s="561">
        <f t="shared" si="201"/>
        <v>0</v>
      </c>
      <c r="BR68" s="561">
        <f t="shared" si="201"/>
        <v>0</v>
      </c>
      <c r="BS68" s="561">
        <f t="shared" si="201"/>
        <v>0</v>
      </c>
      <c r="BT68" s="561">
        <f t="shared" si="201"/>
        <v>0</v>
      </c>
      <c r="BU68" s="561">
        <f t="shared" si="201"/>
        <v>0</v>
      </c>
      <c r="BV68" s="561">
        <f t="shared" si="201"/>
        <v>0</v>
      </c>
      <c r="BW68" s="561">
        <f t="shared" si="201"/>
        <v>0</v>
      </c>
      <c r="BX68" s="561">
        <f t="shared" si="201"/>
        <v>0</v>
      </c>
      <c r="BY68" s="561">
        <f t="shared" si="201"/>
        <v>0</v>
      </c>
      <c r="BZ68" s="561">
        <f t="shared" si="201"/>
        <v>0</v>
      </c>
      <c r="CA68" s="561">
        <f t="shared" si="201"/>
        <v>0</v>
      </c>
      <c r="CB68" s="561">
        <f t="shared" si="201"/>
        <v>0</v>
      </c>
      <c r="CC68" s="561">
        <f t="shared" si="201"/>
        <v>0</v>
      </c>
      <c r="CD68" s="561">
        <f t="shared" si="201"/>
        <v>0</v>
      </c>
      <c r="CE68" s="561">
        <f t="shared" si="201"/>
        <v>0</v>
      </c>
      <c r="CF68" s="561">
        <f t="shared" si="201"/>
        <v>0</v>
      </c>
      <c r="CG68" s="561">
        <f t="shared" si="201"/>
        <v>0</v>
      </c>
      <c r="CH68" s="561">
        <f t="shared" si="201"/>
        <v>0</v>
      </c>
      <c r="CI68" s="561">
        <f t="shared" si="201"/>
        <v>0</v>
      </c>
      <c r="CJ68" s="561">
        <f t="shared" si="201"/>
        <v>0</v>
      </c>
      <c r="CK68" s="561">
        <f t="shared" si="201"/>
        <v>0</v>
      </c>
      <c r="CL68" s="561">
        <f t="shared" si="201"/>
        <v>0</v>
      </c>
      <c r="CM68" s="561">
        <f t="shared" si="202"/>
        <v>0</v>
      </c>
      <c r="CN68" s="561">
        <f t="shared" si="202"/>
        <v>0</v>
      </c>
      <c r="CO68" s="561">
        <f t="shared" si="202"/>
        <v>0</v>
      </c>
      <c r="CP68" s="561">
        <f t="shared" si="202"/>
        <v>0</v>
      </c>
      <c r="CQ68" s="561">
        <f t="shared" si="202"/>
        <v>0</v>
      </c>
      <c r="CR68" s="561">
        <f t="shared" si="202"/>
        <v>0</v>
      </c>
      <c r="CS68" s="561">
        <f t="shared" si="202"/>
        <v>0</v>
      </c>
      <c r="CT68" s="561">
        <f t="shared" si="202"/>
        <v>0</v>
      </c>
      <c r="CU68" s="561">
        <f t="shared" si="202"/>
        <v>0</v>
      </c>
      <c r="CV68" s="561">
        <f t="shared" si="202"/>
        <v>0</v>
      </c>
      <c r="CW68" s="561">
        <f t="shared" si="202"/>
        <v>0</v>
      </c>
      <c r="CX68" s="561">
        <f t="shared" si="202"/>
        <v>0</v>
      </c>
      <c r="CY68" s="561">
        <f t="shared" si="202"/>
        <v>0</v>
      </c>
      <c r="CZ68" s="561">
        <f t="shared" si="202"/>
        <v>0</v>
      </c>
      <c r="DA68" s="561">
        <f t="shared" si="202"/>
        <v>0</v>
      </c>
      <c r="DB68" s="561">
        <f t="shared" si="202"/>
        <v>0</v>
      </c>
      <c r="DC68" s="561">
        <f t="shared" si="202"/>
        <v>0</v>
      </c>
      <c r="DD68" s="561">
        <f t="shared" si="202"/>
        <v>0</v>
      </c>
      <c r="DE68" s="561">
        <f t="shared" si="202"/>
        <v>0</v>
      </c>
      <c r="DF68" s="561">
        <f t="shared" si="202"/>
        <v>0</v>
      </c>
      <c r="DG68" s="561">
        <f t="shared" si="202"/>
        <v>0</v>
      </c>
      <c r="DH68" s="561">
        <f t="shared" si="202"/>
        <v>0</v>
      </c>
      <c r="DI68" s="561">
        <f t="shared" si="202"/>
        <v>0</v>
      </c>
      <c r="DJ68" s="561">
        <f t="shared" si="202"/>
        <v>0</v>
      </c>
      <c r="DK68" s="561">
        <f t="shared" si="202"/>
        <v>0</v>
      </c>
      <c r="DL68" s="561">
        <f t="shared" si="202"/>
        <v>0</v>
      </c>
      <c r="DM68" s="561">
        <f t="shared" si="202"/>
        <v>0</v>
      </c>
      <c r="DN68" s="561">
        <f t="shared" si="202"/>
        <v>0</v>
      </c>
      <c r="DO68" s="561">
        <f t="shared" si="202"/>
        <v>0</v>
      </c>
      <c r="DP68" s="561">
        <f t="shared" si="202"/>
        <v>0</v>
      </c>
    </row>
    <row r="69" spans="1:120" outlineLevel="1">
      <c r="A69" s="89">
        <v>1110052010</v>
      </c>
      <c r="B69" s="90" t="s">
        <v>2451</v>
      </c>
      <c r="C69" s="1476" t="s">
        <v>64</v>
      </c>
      <c r="D69" s="1481"/>
      <c r="E69" s="1482">
        <v>44987</v>
      </c>
      <c r="F69" s="420"/>
      <c r="G69" s="1256"/>
      <c r="H69" s="421"/>
      <c r="I69" s="422"/>
      <c r="J69" s="1425">
        <v>1</v>
      </c>
      <c r="K69" s="1426">
        <v>1</v>
      </c>
      <c r="L69" s="1043"/>
      <c r="M69" s="1594">
        <f t="shared" si="187"/>
        <v>0</v>
      </c>
      <c r="N69" s="504">
        <f ca="1">IF(OR(E69="",E69&gt;TODAY()),0,IF(ISERROR(VLOOKUP($E69,'TRM BanRep'!$A:$G,7,0)),0,VLOOKUP($E69,'TRM BanRep'!$A:$G,7,0)))</f>
        <v>4848.78</v>
      </c>
      <c r="O69" s="424">
        <f t="shared" ca="1" si="196"/>
        <v>0</v>
      </c>
      <c r="P69" s="425">
        <v>-1799323.18</v>
      </c>
      <c r="Q69" s="1340">
        <f t="shared" si="189"/>
        <v>-1799323.18</v>
      </c>
      <c r="R69" s="426">
        <v>4531.75</v>
      </c>
      <c r="S69" s="426">
        <f ca="1">IF(OR(E69="",E69&gt;TODAY()),0,IF(ISERROR(VLOOKUP($E69,'TRM BanRep'!$A:$G,7,0)),0,VLOOKUP($E69,'TRM BanRep'!$A:$G,7,0)))</f>
        <v>4848.78</v>
      </c>
      <c r="T69" s="427">
        <f t="shared" ca="1" si="197"/>
        <v>-8724522248.7203999</v>
      </c>
      <c r="U69" s="418">
        <f t="shared" si="191"/>
        <v>-1799323.18</v>
      </c>
      <c r="V69" s="517">
        <f t="shared" ca="1" si="198"/>
        <v>-8154082820.9650002</v>
      </c>
      <c r="W69" s="428">
        <f t="shared" ca="1" si="199"/>
        <v>0</v>
      </c>
      <c r="X69" s="429">
        <f t="shared" ca="1" si="200"/>
        <v>-570439427.7553997</v>
      </c>
      <c r="Y69" s="92"/>
      <c r="Z69" s="1055"/>
      <c r="AA69" s="85">
        <f t="shared" ca="1" si="201"/>
        <v>0</v>
      </c>
      <c r="AB69" s="508">
        <f t="shared" ca="1" si="201"/>
        <v>0</v>
      </c>
      <c r="AC69" s="508">
        <f t="shared" ca="1" si="201"/>
        <v>0</v>
      </c>
      <c r="AD69" s="508">
        <f t="shared" ca="1" si="201"/>
        <v>0</v>
      </c>
      <c r="AE69" s="508">
        <f t="shared" ca="1" si="201"/>
        <v>0</v>
      </c>
      <c r="AF69" s="561">
        <f t="shared" ca="1" si="201"/>
        <v>0</v>
      </c>
      <c r="AG69" s="561">
        <f t="shared" ca="1" si="201"/>
        <v>0</v>
      </c>
      <c r="AH69" s="561">
        <f t="shared" ca="1" si="201"/>
        <v>0</v>
      </c>
      <c r="AI69" s="561">
        <f t="shared" ca="1" si="201"/>
        <v>0</v>
      </c>
      <c r="AJ69" s="561">
        <f t="shared" ca="1" si="201"/>
        <v>0</v>
      </c>
      <c r="AK69" s="561">
        <f t="shared" ca="1" si="201"/>
        <v>-1799323.18</v>
      </c>
      <c r="AL69" s="1542">
        <f t="shared" ca="1" si="201"/>
        <v>0</v>
      </c>
      <c r="AM69" s="561">
        <f t="shared" ca="1" si="201"/>
        <v>0</v>
      </c>
      <c r="AN69" s="561">
        <f t="shared" ca="1" si="201"/>
        <v>0</v>
      </c>
      <c r="AO69" s="561">
        <f t="shared" ca="1" si="201"/>
        <v>0</v>
      </c>
      <c r="AP69" s="561">
        <f t="shared" ca="1" si="201"/>
        <v>0</v>
      </c>
      <c r="AQ69" s="561">
        <f t="shared" ca="1" si="201"/>
        <v>0</v>
      </c>
      <c r="AR69" s="561">
        <f t="shared" ca="1" si="201"/>
        <v>0</v>
      </c>
      <c r="AS69" s="561">
        <f t="shared" ca="1" si="201"/>
        <v>0</v>
      </c>
      <c r="AT69" s="561">
        <f t="shared" ca="1" si="201"/>
        <v>0</v>
      </c>
      <c r="AU69" s="561">
        <f t="shared" ca="1" si="201"/>
        <v>0</v>
      </c>
      <c r="AV69" s="561">
        <f t="shared" ca="1" si="201"/>
        <v>0</v>
      </c>
      <c r="AW69" s="561">
        <f t="shared" ca="1" si="201"/>
        <v>0</v>
      </c>
      <c r="AX69" s="561">
        <f t="shared" ca="1" si="201"/>
        <v>0</v>
      </c>
      <c r="AY69" s="561">
        <f t="shared" ca="1" si="201"/>
        <v>0</v>
      </c>
      <c r="AZ69" s="561">
        <f t="shared" ca="1" si="201"/>
        <v>0</v>
      </c>
      <c r="BA69" s="561">
        <f t="shared" ca="1" si="201"/>
        <v>0</v>
      </c>
      <c r="BB69" s="561">
        <f t="shared" ca="1" si="201"/>
        <v>0</v>
      </c>
      <c r="BC69" s="561">
        <f t="shared" ca="1" si="201"/>
        <v>0</v>
      </c>
      <c r="BD69" s="561">
        <f t="shared" ca="1" si="201"/>
        <v>0</v>
      </c>
      <c r="BE69" s="561">
        <f t="shared" ca="1" si="201"/>
        <v>0</v>
      </c>
      <c r="BF69" s="561">
        <f t="shared" ca="1" si="201"/>
        <v>0</v>
      </c>
      <c r="BG69" s="561">
        <f t="shared" ca="1" si="201"/>
        <v>0</v>
      </c>
      <c r="BH69" s="561">
        <f t="shared" ca="1" si="201"/>
        <v>0</v>
      </c>
      <c r="BI69" s="561">
        <f t="shared" ca="1" si="201"/>
        <v>0</v>
      </c>
      <c r="BJ69" s="561">
        <f t="shared" ca="1" si="201"/>
        <v>0</v>
      </c>
      <c r="BK69" s="561">
        <f t="shared" ca="1" si="201"/>
        <v>0</v>
      </c>
      <c r="BL69" s="561">
        <f t="shared" ca="1" si="201"/>
        <v>0</v>
      </c>
      <c r="BM69" s="561">
        <f t="shared" ca="1" si="201"/>
        <v>0</v>
      </c>
      <c r="BN69" s="561">
        <f t="shared" ca="1" si="201"/>
        <v>0</v>
      </c>
      <c r="BO69" s="561">
        <f t="shared" ca="1" si="201"/>
        <v>0</v>
      </c>
      <c r="BP69" s="561">
        <f t="shared" ca="1" si="201"/>
        <v>0</v>
      </c>
      <c r="BQ69" s="561">
        <f t="shared" ca="1" si="201"/>
        <v>0</v>
      </c>
      <c r="BR69" s="561">
        <f t="shared" ca="1" si="201"/>
        <v>0</v>
      </c>
      <c r="BS69" s="561">
        <f t="shared" ca="1" si="201"/>
        <v>0</v>
      </c>
      <c r="BT69" s="561">
        <f t="shared" ca="1" si="201"/>
        <v>0</v>
      </c>
      <c r="BU69" s="561">
        <f t="shared" ca="1" si="201"/>
        <v>0</v>
      </c>
      <c r="BV69" s="561">
        <f t="shared" ca="1" si="201"/>
        <v>0</v>
      </c>
      <c r="BW69" s="561">
        <f t="shared" ca="1" si="201"/>
        <v>0</v>
      </c>
      <c r="BX69" s="561">
        <f t="shared" ca="1" si="201"/>
        <v>0</v>
      </c>
      <c r="BY69" s="561">
        <f t="shared" ca="1" si="201"/>
        <v>0</v>
      </c>
      <c r="BZ69" s="561">
        <f t="shared" ca="1" si="201"/>
        <v>0</v>
      </c>
      <c r="CA69" s="561">
        <f t="shared" ca="1" si="201"/>
        <v>0</v>
      </c>
      <c r="CB69" s="561">
        <f t="shared" ca="1" si="201"/>
        <v>0</v>
      </c>
      <c r="CC69" s="561">
        <f t="shared" ca="1" si="201"/>
        <v>0</v>
      </c>
      <c r="CD69" s="561">
        <f t="shared" ca="1" si="201"/>
        <v>0</v>
      </c>
      <c r="CE69" s="561">
        <f t="shared" ca="1" si="201"/>
        <v>0</v>
      </c>
      <c r="CF69" s="561">
        <f t="shared" ca="1" si="201"/>
        <v>0</v>
      </c>
      <c r="CG69" s="561">
        <f t="shared" ca="1" si="201"/>
        <v>0</v>
      </c>
      <c r="CH69" s="561">
        <f t="shared" ca="1" si="201"/>
        <v>0</v>
      </c>
      <c r="CI69" s="561">
        <f t="shared" ca="1" si="201"/>
        <v>0</v>
      </c>
      <c r="CJ69" s="561">
        <f t="shared" ca="1" si="201"/>
        <v>0</v>
      </c>
      <c r="CK69" s="561">
        <f t="shared" ca="1" si="201"/>
        <v>0</v>
      </c>
      <c r="CL69" s="561">
        <f t="shared" ca="1" si="201"/>
        <v>0</v>
      </c>
      <c r="CM69" s="561">
        <f t="shared" ca="1" si="202"/>
        <v>0</v>
      </c>
      <c r="CN69" s="561">
        <f t="shared" ca="1" si="202"/>
        <v>0</v>
      </c>
      <c r="CO69" s="561">
        <f t="shared" ca="1" si="202"/>
        <v>0</v>
      </c>
      <c r="CP69" s="561">
        <f t="shared" ca="1" si="202"/>
        <v>0</v>
      </c>
      <c r="CQ69" s="561">
        <f t="shared" ca="1" si="202"/>
        <v>0</v>
      </c>
      <c r="CR69" s="561">
        <f t="shared" ca="1" si="202"/>
        <v>0</v>
      </c>
      <c r="CS69" s="561">
        <f t="shared" ca="1" si="202"/>
        <v>0</v>
      </c>
      <c r="CT69" s="561">
        <f t="shared" ca="1" si="202"/>
        <v>0</v>
      </c>
      <c r="CU69" s="561">
        <f t="shared" ca="1" si="202"/>
        <v>0</v>
      </c>
      <c r="CV69" s="561">
        <f t="shared" ca="1" si="202"/>
        <v>0</v>
      </c>
      <c r="CW69" s="561">
        <f t="shared" ca="1" si="202"/>
        <v>0</v>
      </c>
      <c r="CX69" s="561">
        <f t="shared" ca="1" si="202"/>
        <v>0</v>
      </c>
      <c r="CY69" s="561">
        <f t="shared" ca="1" si="202"/>
        <v>0</v>
      </c>
      <c r="CZ69" s="561">
        <f t="shared" ca="1" si="202"/>
        <v>0</v>
      </c>
      <c r="DA69" s="561">
        <f t="shared" ca="1" si="202"/>
        <v>0</v>
      </c>
      <c r="DB69" s="561">
        <f t="shared" ca="1" si="202"/>
        <v>0</v>
      </c>
      <c r="DC69" s="561">
        <f t="shared" ca="1" si="202"/>
        <v>0</v>
      </c>
      <c r="DD69" s="561">
        <f t="shared" ca="1" si="202"/>
        <v>0</v>
      </c>
      <c r="DE69" s="561">
        <f t="shared" ca="1" si="202"/>
        <v>0</v>
      </c>
      <c r="DF69" s="561">
        <f t="shared" ca="1" si="202"/>
        <v>0</v>
      </c>
      <c r="DG69" s="561">
        <f t="shared" ca="1" si="202"/>
        <v>0</v>
      </c>
      <c r="DH69" s="561">
        <f t="shared" ca="1" si="202"/>
        <v>0</v>
      </c>
      <c r="DI69" s="561">
        <f t="shared" ca="1" si="202"/>
        <v>0</v>
      </c>
      <c r="DJ69" s="561">
        <f t="shared" ca="1" si="202"/>
        <v>0</v>
      </c>
      <c r="DK69" s="561">
        <f t="shared" ca="1" si="202"/>
        <v>0</v>
      </c>
      <c r="DL69" s="561">
        <f t="shared" ca="1" si="202"/>
        <v>0</v>
      </c>
      <c r="DM69" s="561">
        <f t="shared" ca="1" si="202"/>
        <v>0</v>
      </c>
      <c r="DN69" s="561">
        <f t="shared" ca="1" si="202"/>
        <v>0</v>
      </c>
      <c r="DO69" s="561">
        <f t="shared" ca="1" si="202"/>
        <v>0</v>
      </c>
      <c r="DP69" s="561">
        <f t="shared" ca="1" si="202"/>
        <v>0</v>
      </c>
    </row>
    <row r="70" spans="1:120" outlineLevel="1">
      <c r="A70" s="89">
        <v>1110052010</v>
      </c>
      <c r="B70" s="90" t="s">
        <v>2451</v>
      </c>
      <c r="C70" s="1476" t="s">
        <v>64</v>
      </c>
      <c r="D70" s="1481"/>
      <c r="E70" s="1482">
        <v>44987</v>
      </c>
      <c r="F70" s="420"/>
      <c r="G70" s="1256"/>
      <c r="H70" s="421"/>
      <c r="I70" s="422"/>
      <c r="J70" s="1425">
        <v>1</v>
      </c>
      <c r="K70" s="1426">
        <v>1</v>
      </c>
      <c r="L70" s="1043"/>
      <c r="M70" s="1594">
        <f t="shared" ref="M70:M71" si="203">+L70*J70</f>
        <v>0</v>
      </c>
      <c r="N70" s="504">
        <f ca="1">IF(OR(E70="",E70&gt;TODAY()),0,IF(ISERROR(VLOOKUP($E70,'TRM BanRep'!$A:$G,7,0)),0,VLOOKUP($E70,'TRM BanRep'!$A:$G,7,0)))</f>
        <v>4848.78</v>
      </c>
      <c r="O70" s="424">
        <f t="shared" ref="O70:O71" ca="1" si="204">+L70*J70*N70</f>
        <v>0</v>
      </c>
      <c r="P70" s="425">
        <v>-15277.96</v>
      </c>
      <c r="Q70" s="1340">
        <f t="shared" ref="Q70:Q71" si="205">+P70*K70</f>
        <v>-15277.96</v>
      </c>
      <c r="R70" s="426">
        <v>4648.7</v>
      </c>
      <c r="S70" s="426">
        <f ca="1">IF(OR(E70="",E70&gt;TODAY()),0,IF(ISERROR(VLOOKUP($E70,'TRM BanRep'!$A:$G,7,0)),0,VLOOKUP($E70,'TRM BanRep'!$A:$G,7,0)))</f>
        <v>4848.78</v>
      </c>
      <c r="T70" s="427">
        <f t="shared" ref="T70:T71" ca="1" si="206">+P70*K70*S70</f>
        <v>-74079466.888799995</v>
      </c>
      <c r="U70" s="418">
        <f t="shared" ref="U70:U71" si="207">+L70+P70+F70</f>
        <v>-15277.96</v>
      </c>
      <c r="V70" s="517">
        <f t="shared" ref="V70:V71" ca="1" si="208">+P70*J70*R70+L70*J70*N70+F70*J70*H70</f>
        <v>-71022652.651999995</v>
      </c>
      <c r="W70" s="428">
        <f t="shared" ref="W70:W71" ca="1" si="209">IF((-P70*J70*R70)-(-P70*K70*S70)&gt;0,(-P70*J70*R70)-(-P70*K70*S70),0)</f>
        <v>0</v>
      </c>
      <c r="X70" s="429">
        <f t="shared" ref="X70:X71" ca="1" si="210">IF((-P70*J70*R70)-(-P70*K70*S70)&lt;0,(-P70*J70*R70)-(-P70*K70*S70),0)</f>
        <v>-3056814.2368000001</v>
      </c>
      <c r="Y70" s="92"/>
      <c r="Z70" s="1055"/>
      <c r="AA70" s="85">
        <f t="shared" ref="AA70:CL72" ca="1" si="211">IF($L70="",IF(OR($P70="",$R70=""),0,IF($R70=AA$6,$Q70,0)),IF($E70=AA$5,$M70,))</f>
        <v>0</v>
      </c>
      <c r="AB70" s="508">
        <f t="shared" ca="1" si="211"/>
        <v>0</v>
      </c>
      <c r="AC70" s="508">
        <f t="shared" ca="1" si="211"/>
        <v>0</v>
      </c>
      <c r="AD70" s="508">
        <f t="shared" ca="1" si="211"/>
        <v>0</v>
      </c>
      <c r="AE70" s="508">
        <f t="shared" ca="1" si="211"/>
        <v>0</v>
      </c>
      <c r="AF70" s="561">
        <f t="shared" ca="1" si="211"/>
        <v>0</v>
      </c>
      <c r="AG70" s="561">
        <f t="shared" ca="1" si="211"/>
        <v>0</v>
      </c>
      <c r="AH70" s="561">
        <f t="shared" ca="1" si="211"/>
        <v>0</v>
      </c>
      <c r="AI70" s="561">
        <f t="shared" ca="1" si="211"/>
        <v>0</v>
      </c>
      <c r="AJ70" s="561">
        <f t="shared" ca="1" si="211"/>
        <v>0</v>
      </c>
      <c r="AK70" s="561">
        <f t="shared" ca="1" si="211"/>
        <v>0</v>
      </c>
      <c r="AL70" s="1542">
        <f t="shared" ca="1" si="211"/>
        <v>0</v>
      </c>
      <c r="AM70" s="561">
        <f t="shared" ca="1" si="211"/>
        <v>0</v>
      </c>
      <c r="AN70" s="561">
        <f t="shared" ca="1" si="211"/>
        <v>-15277.96</v>
      </c>
      <c r="AO70" s="561">
        <f t="shared" ca="1" si="211"/>
        <v>0</v>
      </c>
      <c r="AP70" s="561">
        <f t="shared" ca="1" si="211"/>
        <v>0</v>
      </c>
      <c r="AQ70" s="561">
        <f t="shared" ca="1" si="211"/>
        <v>0</v>
      </c>
      <c r="AR70" s="561">
        <f t="shared" ca="1" si="211"/>
        <v>0</v>
      </c>
      <c r="AS70" s="561">
        <f t="shared" ca="1" si="211"/>
        <v>0</v>
      </c>
      <c r="AT70" s="561">
        <f t="shared" ca="1" si="211"/>
        <v>0</v>
      </c>
      <c r="AU70" s="561">
        <f t="shared" ca="1" si="211"/>
        <v>0</v>
      </c>
      <c r="AV70" s="561">
        <f t="shared" ca="1" si="211"/>
        <v>0</v>
      </c>
      <c r="AW70" s="561">
        <f t="shared" ca="1" si="211"/>
        <v>0</v>
      </c>
      <c r="AX70" s="561">
        <f t="shared" ca="1" si="211"/>
        <v>0</v>
      </c>
      <c r="AY70" s="561">
        <f t="shared" ca="1" si="211"/>
        <v>0</v>
      </c>
      <c r="AZ70" s="561">
        <f t="shared" ca="1" si="211"/>
        <v>0</v>
      </c>
      <c r="BA70" s="561">
        <f t="shared" ca="1" si="211"/>
        <v>0</v>
      </c>
      <c r="BB70" s="561">
        <f t="shared" ca="1" si="211"/>
        <v>0</v>
      </c>
      <c r="BC70" s="561">
        <f t="shared" ca="1" si="211"/>
        <v>0</v>
      </c>
      <c r="BD70" s="561">
        <f t="shared" ca="1" si="211"/>
        <v>0</v>
      </c>
      <c r="BE70" s="561">
        <f t="shared" ca="1" si="211"/>
        <v>0</v>
      </c>
      <c r="BF70" s="561">
        <f t="shared" ca="1" si="211"/>
        <v>0</v>
      </c>
      <c r="BG70" s="561">
        <f t="shared" ca="1" si="211"/>
        <v>0</v>
      </c>
      <c r="BH70" s="561">
        <f t="shared" ca="1" si="211"/>
        <v>0</v>
      </c>
      <c r="BI70" s="561">
        <f t="shared" ca="1" si="211"/>
        <v>0</v>
      </c>
      <c r="BJ70" s="561">
        <f t="shared" ca="1" si="211"/>
        <v>0</v>
      </c>
      <c r="BK70" s="561">
        <f t="shared" ca="1" si="211"/>
        <v>0</v>
      </c>
      <c r="BL70" s="561">
        <f t="shared" ca="1" si="211"/>
        <v>0</v>
      </c>
      <c r="BM70" s="561">
        <f t="shared" ca="1" si="211"/>
        <v>0</v>
      </c>
      <c r="BN70" s="561">
        <f t="shared" ca="1" si="211"/>
        <v>0</v>
      </c>
      <c r="BO70" s="561">
        <f t="shared" ca="1" si="211"/>
        <v>0</v>
      </c>
      <c r="BP70" s="561">
        <f t="shared" ca="1" si="211"/>
        <v>0</v>
      </c>
      <c r="BQ70" s="561">
        <f t="shared" ca="1" si="211"/>
        <v>0</v>
      </c>
      <c r="BR70" s="561">
        <f t="shared" ca="1" si="211"/>
        <v>0</v>
      </c>
      <c r="BS70" s="561">
        <f t="shared" ca="1" si="211"/>
        <v>0</v>
      </c>
      <c r="BT70" s="561">
        <f t="shared" ca="1" si="211"/>
        <v>0</v>
      </c>
      <c r="BU70" s="561">
        <f t="shared" ca="1" si="211"/>
        <v>0</v>
      </c>
      <c r="BV70" s="561">
        <f t="shared" ca="1" si="211"/>
        <v>0</v>
      </c>
      <c r="BW70" s="561">
        <f t="shared" ca="1" si="211"/>
        <v>0</v>
      </c>
      <c r="BX70" s="561">
        <f t="shared" ca="1" si="211"/>
        <v>0</v>
      </c>
      <c r="BY70" s="561">
        <f t="shared" ca="1" si="211"/>
        <v>0</v>
      </c>
      <c r="BZ70" s="561">
        <f t="shared" ca="1" si="211"/>
        <v>0</v>
      </c>
      <c r="CA70" s="561">
        <f t="shared" ca="1" si="211"/>
        <v>0</v>
      </c>
      <c r="CB70" s="561">
        <f t="shared" ca="1" si="211"/>
        <v>0</v>
      </c>
      <c r="CC70" s="561">
        <f t="shared" ca="1" si="211"/>
        <v>0</v>
      </c>
      <c r="CD70" s="561">
        <f t="shared" ca="1" si="211"/>
        <v>0</v>
      </c>
      <c r="CE70" s="561">
        <f t="shared" ca="1" si="211"/>
        <v>0</v>
      </c>
      <c r="CF70" s="561">
        <f t="shared" ca="1" si="211"/>
        <v>0</v>
      </c>
      <c r="CG70" s="561">
        <f t="shared" ca="1" si="211"/>
        <v>0</v>
      </c>
      <c r="CH70" s="561">
        <f t="shared" ca="1" si="211"/>
        <v>0</v>
      </c>
      <c r="CI70" s="561">
        <f t="shared" ca="1" si="211"/>
        <v>0</v>
      </c>
      <c r="CJ70" s="561">
        <f t="shared" ca="1" si="211"/>
        <v>0</v>
      </c>
      <c r="CK70" s="561">
        <f t="shared" ca="1" si="211"/>
        <v>0</v>
      </c>
      <c r="CL70" s="561">
        <f t="shared" ca="1" si="211"/>
        <v>0</v>
      </c>
      <c r="CM70" s="561">
        <f t="shared" ref="CM70:DP72" ca="1" si="212">IF($L70="",IF(OR($P70="",$R70=""),0,IF($R70=CM$6,$Q70,0)),IF($E70=CM$5,$M70,))</f>
        <v>0</v>
      </c>
      <c r="CN70" s="561">
        <f t="shared" ca="1" si="212"/>
        <v>0</v>
      </c>
      <c r="CO70" s="561">
        <f t="shared" ca="1" si="212"/>
        <v>0</v>
      </c>
      <c r="CP70" s="561">
        <f t="shared" ca="1" si="212"/>
        <v>0</v>
      </c>
      <c r="CQ70" s="561">
        <f t="shared" ca="1" si="212"/>
        <v>0</v>
      </c>
      <c r="CR70" s="561">
        <f t="shared" ca="1" si="212"/>
        <v>0</v>
      </c>
      <c r="CS70" s="561">
        <f t="shared" ca="1" si="212"/>
        <v>0</v>
      </c>
      <c r="CT70" s="561">
        <f t="shared" ca="1" si="212"/>
        <v>0</v>
      </c>
      <c r="CU70" s="561">
        <f t="shared" ca="1" si="212"/>
        <v>0</v>
      </c>
      <c r="CV70" s="561">
        <f t="shared" ca="1" si="212"/>
        <v>0</v>
      </c>
      <c r="CW70" s="561">
        <f t="shared" ca="1" si="212"/>
        <v>0</v>
      </c>
      <c r="CX70" s="561">
        <f t="shared" ca="1" si="212"/>
        <v>0</v>
      </c>
      <c r="CY70" s="561">
        <f t="shared" ca="1" si="212"/>
        <v>0</v>
      </c>
      <c r="CZ70" s="561">
        <f t="shared" ca="1" si="212"/>
        <v>0</v>
      </c>
      <c r="DA70" s="561">
        <f t="shared" ca="1" si="212"/>
        <v>0</v>
      </c>
      <c r="DB70" s="561">
        <f t="shared" ca="1" si="212"/>
        <v>0</v>
      </c>
      <c r="DC70" s="561">
        <f t="shared" ca="1" si="212"/>
        <v>0</v>
      </c>
      <c r="DD70" s="561">
        <f t="shared" ca="1" si="212"/>
        <v>0</v>
      </c>
      <c r="DE70" s="561">
        <f t="shared" ca="1" si="212"/>
        <v>0</v>
      </c>
      <c r="DF70" s="561">
        <f t="shared" ca="1" si="212"/>
        <v>0</v>
      </c>
      <c r="DG70" s="561">
        <f t="shared" ca="1" si="212"/>
        <v>0</v>
      </c>
      <c r="DH70" s="561">
        <f t="shared" ca="1" si="212"/>
        <v>0</v>
      </c>
      <c r="DI70" s="561">
        <f t="shared" ca="1" si="212"/>
        <v>0</v>
      </c>
      <c r="DJ70" s="561">
        <f t="shared" ca="1" si="212"/>
        <v>0</v>
      </c>
      <c r="DK70" s="561">
        <f t="shared" ca="1" si="212"/>
        <v>0</v>
      </c>
      <c r="DL70" s="561">
        <f t="shared" ca="1" si="212"/>
        <v>0</v>
      </c>
      <c r="DM70" s="561">
        <f t="shared" ca="1" si="212"/>
        <v>0</v>
      </c>
      <c r="DN70" s="561">
        <f t="shared" ca="1" si="212"/>
        <v>0</v>
      </c>
      <c r="DO70" s="561">
        <f t="shared" ca="1" si="212"/>
        <v>0</v>
      </c>
      <c r="DP70" s="561">
        <f t="shared" ca="1" si="212"/>
        <v>0</v>
      </c>
    </row>
    <row r="71" spans="1:120" outlineLevel="1">
      <c r="A71" s="89">
        <v>1110052010</v>
      </c>
      <c r="B71" s="90" t="s">
        <v>2451</v>
      </c>
      <c r="C71" s="1476" t="s">
        <v>64</v>
      </c>
      <c r="D71" s="1481"/>
      <c r="E71" s="1482">
        <v>44987</v>
      </c>
      <c r="F71" s="420"/>
      <c r="G71" s="1256"/>
      <c r="H71" s="421"/>
      <c r="I71" s="422"/>
      <c r="J71" s="1425">
        <v>1</v>
      </c>
      <c r="K71" s="1426">
        <v>1</v>
      </c>
      <c r="L71" s="1043"/>
      <c r="M71" s="1594">
        <f t="shared" si="203"/>
        <v>0</v>
      </c>
      <c r="N71" s="504">
        <f ca="1">IF(OR(E71="",E71&gt;TODAY()),0,IF(ISERROR(VLOOKUP($E71,'TRM BanRep'!$A:$G,7,0)),0,VLOOKUP($E71,'TRM BanRep'!$A:$G,7,0)))</f>
        <v>4848.78</v>
      </c>
      <c r="O71" s="424">
        <f t="shared" ca="1" si="204"/>
        <v>0</v>
      </c>
      <c r="P71" s="425">
        <v>-256730.18</v>
      </c>
      <c r="Q71" s="1340">
        <f t="shared" si="205"/>
        <v>-256730.18</v>
      </c>
      <c r="R71" s="426">
        <v>4849.6499999999996</v>
      </c>
      <c r="S71" s="426">
        <f ca="1">IF(OR(E71="",E71&gt;TODAY()),0,IF(ISERROR(VLOOKUP($E71,'TRM BanRep'!$A:$G,7,0)),0,VLOOKUP($E71,'TRM BanRep'!$A:$G,7,0)))</f>
        <v>4848.78</v>
      </c>
      <c r="T71" s="427">
        <f t="shared" ca="1" si="206"/>
        <v>-1244828162.1803999</v>
      </c>
      <c r="U71" s="418">
        <f t="shared" si="207"/>
        <v>-256730.18</v>
      </c>
      <c r="V71" s="517">
        <f t="shared" ca="1" si="208"/>
        <v>-1245051517.4369998</v>
      </c>
      <c r="W71" s="428">
        <f t="shared" ca="1" si="209"/>
        <v>223355.25659990311</v>
      </c>
      <c r="X71" s="429">
        <f t="shared" ca="1" si="210"/>
        <v>0</v>
      </c>
      <c r="Y71" s="92"/>
      <c r="Z71" s="1055"/>
      <c r="AA71" s="85">
        <f t="shared" ca="1" si="211"/>
        <v>0</v>
      </c>
      <c r="AB71" s="508">
        <f t="shared" ca="1" si="211"/>
        <v>0</v>
      </c>
      <c r="AC71" s="508">
        <f t="shared" ca="1" si="211"/>
        <v>0</v>
      </c>
      <c r="AD71" s="508">
        <f t="shared" ca="1" si="211"/>
        <v>0</v>
      </c>
      <c r="AE71" s="508">
        <f t="shared" ca="1" si="211"/>
        <v>0</v>
      </c>
      <c r="AF71" s="561">
        <f t="shared" ca="1" si="211"/>
        <v>0</v>
      </c>
      <c r="AG71" s="561">
        <f t="shared" ca="1" si="211"/>
        <v>0</v>
      </c>
      <c r="AH71" s="561">
        <f t="shared" ca="1" si="211"/>
        <v>0</v>
      </c>
      <c r="AI71" s="561">
        <f t="shared" ca="1" si="211"/>
        <v>0</v>
      </c>
      <c r="AJ71" s="561">
        <f t="shared" ca="1" si="211"/>
        <v>0</v>
      </c>
      <c r="AK71" s="561">
        <f t="shared" ca="1" si="211"/>
        <v>0</v>
      </c>
      <c r="AL71" s="1542">
        <f t="shared" ca="1" si="211"/>
        <v>0</v>
      </c>
      <c r="AM71" s="561">
        <f t="shared" ca="1" si="211"/>
        <v>0</v>
      </c>
      <c r="AN71" s="561">
        <f t="shared" ca="1" si="211"/>
        <v>0</v>
      </c>
      <c r="AO71" s="561">
        <f t="shared" ca="1" si="211"/>
        <v>0</v>
      </c>
      <c r="AP71" s="561">
        <f t="shared" ca="1" si="211"/>
        <v>-256730.18</v>
      </c>
      <c r="AQ71" s="561">
        <f t="shared" ca="1" si="211"/>
        <v>0</v>
      </c>
      <c r="AR71" s="561">
        <f t="shared" ca="1" si="211"/>
        <v>0</v>
      </c>
      <c r="AS71" s="561">
        <f t="shared" ca="1" si="211"/>
        <v>0</v>
      </c>
      <c r="AT71" s="561">
        <f t="shared" ca="1" si="211"/>
        <v>0</v>
      </c>
      <c r="AU71" s="561">
        <f t="shared" ca="1" si="211"/>
        <v>0</v>
      </c>
      <c r="AV71" s="561">
        <f t="shared" ca="1" si="211"/>
        <v>0</v>
      </c>
      <c r="AW71" s="561">
        <f t="shared" ca="1" si="211"/>
        <v>0</v>
      </c>
      <c r="AX71" s="561">
        <f t="shared" ca="1" si="211"/>
        <v>0</v>
      </c>
      <c r="AY71" s="561">
        <f t="shared" ca="1" si="211"/>
        <v>0</v>
      </c>
      <c r="AZ71" s="561">
        <f t="shared" ca="1" si="211"/>
        <v>0</v>
      </c>
      <c r="BA71" s="561">
        <f t="shared" ca="1" si="211"/>
        <v>0</v>
      </c>
      <c r="BB71" s="561">
        <f t="shared" ca="1" si="211"/>
        <v>0</v>
      </c>
      <c r="BC71" s="561">
        <f t="shared" ca="1" si="211"/>
        <v>0</v>
      </c>
      <c r="BD71" s="561">
        <f t="shared" ca="1" si="211"/>
        <v>0</v>
      </c>
      <c r="BE71" s="561">
        <f t="shared" ca="1" si="211"/>
        <v>0</v>
      </c>
      <c r="BF71" s="561">
        <f t="shared" ca="1" si="211"/>
        <v>0</v>
      </c>
      <c r="BG71" s="561">
        <f t="shared" ca="1" si="211"/>
        <v>0</v>
      </c>
      <c r="BH71" s="561">
        <f t="shared" ca="1" si="211"/>
        <v>0</v>
      </c>
      <c r="BI71" s="561">
        <f t="shared" ca="1" si="211"/>
        <v>0</v>
      </c>
      <c r="BJ71" s="561">
        <f t="shared" ca="1" si="211"/>
        <v>0</v>
      </c>
      <c r="BK71" s="561">
        <f t="shared" ca="1" si="211"/>
        <v>0</v>
      </c>
      <c r="BL71" s="561">
        <f t="shared" ca="1" si="211"/>
        <v>0</v>
      </c>
      <c r="BM71" s="561">
        <f t="shared" ca="1" si="211"/>
        <v>0</v>
      </c>
      <c r="BN71" s="561">
        <f t="shared" ca="1" si="211"/>
        <v>0</v>
      </c>
      <c r="BO71" s="561">
        <f t="shared" ca="1" si="211"/>
        <v>0</v>
      </c>
      <c r="BP71" s="561">
        <f t="shared" ca="1" si="211"/>
        <v>0</v>
      </c>
      <c r="BQ71" s="561">
        <f t="shared" ca="1" si="211"/>
        <v>0</v>
      </c>
      <c r="BR71" s="561">
        <f t="shared" ca="1" si="211"/>
        <v>0</v>
      </c>
      <c r="BS71" s="561">
        <f t="shared" ca="1" si="211"/>
        <v>0</v>
      </c>
      <c r="BT71" s="561">
        <f t="shared" ca="1" si="211"/>
        <v>0</v>
      </c>
      <c r="BU71" s="561">
        <f t="shared" ca="1" si="211"/>
        <v>0</v>
      </c>
      <c r="BV71" s="561">
        <f t="shared" ca="1" si="211"/>
        <v>0</v>
      </c>
      <c r="BW71" s="561">
        <f t="shared" ca="1" si="211"/>
        <v>0</v>
      </c>
      <c r="BX71" s="561">
        <f t="shared" ca="1" si="211"/>
        <v>0</v>
      </c>
      <c r="BY71" s="561">
        <f t="shared" ca="1" si="211"/>
        <v>0</v>
      </c>
      <c r="BZ71" s="561">
        <f t="shared" ca="1" si="211"/>
        <v>0</v>
      </c>
      <c r="CA71" s="561">
        <f t="shared" ca="1" si="211"/>
        <v>0</v>
      </c>
      <c r="CB71" s="561">
        <f t="shared" ca="1" si="211"/>
        <v>0</v>
      </c>
      <c r="CC71" s="561">
        <f t="shared" ca="1" si="211"/>
        <v>0</v>
      </c>
      <c r="CD71" s="561">
        <f t="shared" ca="1" si="211"/>
        <v>0</v>
      </c>
      <c r="CE71" s="561">
        <f t="shared" ca="1" si="211"/>
        <v>0</v>
      </c>
      <c r="CF71" s="561">
        <f t="shared" ca="1" si="211"/>
        <v>0</v>
      </c>
      <c r="CG71" s="561">
        <f t="shared" ca="1" si="211"/>
        <v>0</v>
      </c>
      <c r="CH71" s="561">
        <f t="shared" ca="1" si="211"/>
        <v>0</v>
      </c>
      <c r="CI71" s="561">
        <f t="shared" ca="1" si="211"/>
        <v>0</v>
      </c>
      <c r="CJ71" s="561">
        <f t="shared" ca="1" si="211"/>
        <v>0</v>
      </c>
      <c r="CK71" s="561">
        <f t="shared" ca="1" si="211"/>
        <v>0</v>
      </c>
      <c r="CL71" s="561">
        <f t="shared" ca="1" si="211"/>
        <v>0</v>
      </c>
      <c r="CM71" s="561">
        <f t="shared" ca="1" si="212"/>
        <v>0</v>
      </c>
      <c r="CN71" s="561">
        <f t="shared" ca="1" si="212"/>
        <v>0</v>
      </c>
      <c r="CO71" s="561">
        <f t="shared" ca="1" si="212"/>
        <v>0</v>
      </c>
      <c r="CP71" s="561">
        <f t="shared" ca="1" si="212"/>
        <v>0</v>
      </c>
      <c r="CQ71" s="561">
        <f t="shared" ca="1" si="212"/>
        <v>0</v>
      </c>
      <c r="CR71" s="561">
        <f t="shared" ca="1" si="212"/>
        <v>0</v>
      </c>
      <c r="CS71" s="561">
        <f t="shared" ca="1" si="212"/>
        <v>0</v>
      </c>
      <c r="CT71" s="561">
        <f t="shared" ca="1" si="212"/>
        <v>0</v>
      </c>
      <c r="CU71" s="561">
        <f t="shared" ca="1" si="212"/>
        <v>0</v>
      </c>
      <c r="CV71" s="561">
        <f t="shared" ca="1" si="212"/>
        <v>0</v>
      </c>
      <c r="CW71" s="561">
        <f t="shared" ca="1" si="212"/>
        <v>0</v>
      </c>
      <c r="CX71" s="561">
        <f t="shared" ca="1" si="212"/>
        <v>0</v>
      </c>
      <c r="CY71" s="561">
        <f t="shared" ca="1" si="212"/>
        <v>0</v>
      </c>
      <c r="CZ71" s="561">
        <f t="shared" ca="1" si="212"/>
        <v>0</v>
      </c>
      <c r="DA71" s="561">
        <f t="shared" ca="1" si="212"/>
        <v>0</v>
      </c>
      <c r="DB71" s="561">
        <f t="shared" ca="1" si="212"/>
        <v>0</v>
      </c>
      <c r="DC71" s="561">
        <f t="shared" ca="1" si="212"/>
        <v>0</v>
      </c>
      <c r="DD71" s="561">
        <f t="shared" ca="1" si="212"/>
        <v>0</v>
      </c>
      <c r="DE71" s="561">
        <f t="shared" ca="1" si="212"/>
        <v>0</v>
      </c>
      <c r="DF71" s="561">
        <f t="shared" ca="1" si="212"/>
        <v>0</v>
      </c>
      <c r="DG71" s="561">
        <f t="shared" ca="1" si="212"/>
        <v>0</v>
      </c>
      <c r="DH71" s="561">
        <f t="shared" ca="1" si="212"/>
        <v>0</v>
      </c>
      <c r="DI71" s="561">
        <f t="shared" ca="1" si="212"/>
        <v>0</v>
      </c>
      <c r="DJ71" s="561">
        <f t="shared" ca="1" si="212"/>
        <v>0</v>
      </c>
      <c r="DK71" s="561">
        <f t="shared" ca="1" si="212"/>
        <v>0</v>
      </c>
      <c r="DL71" s="561">
        <f t="shared" ca="1" si="212"/>
        <v>0</v>
      </c>
      <c r="DM71" s="561">
        <f t="shared" ca="1" si="212"/>
        <v>0</v>
      </c>
      <c r="DN71" s="561">
        <f t="shared" ca="1" si="212"/>
        <v>0</v>
      </c>
      <c r="DO71" s="561">
        <f t="shared" ca="1" si="212"/>
        <v>0</v>
      </c>
      <c r="DP71" s="561">
        <f t="shared" ca="1" si="212"/>
        <v>0</v>
      </c>
    </row>
    <row r="72" spans="1:120" outlineLevel="1">
      <c r="A72" s="89">
        <v>1110052010</v>
      </c>
      <c r="B72" s="90" t="s">
        <v>2451</v>
      </c>
      <c r="C72" s="1476" t="s">
        <v>64</v>
      </c>
      <c r="D72" s="1481"/>
      <c r="E72" s="1482">
        <v>44987</v>
      </c>
      <c r="F72" s="420"/>
      <c r="G72" s="1256"/>
      <c r="H72" s="421"/>
      <c r="I72" s="422"/>
      <c r="J72" s="1425">
        <v>1</v>
      </c>
      <c r="K72" s="1426">
        <v>1</v>
      </c>
      <c r="L72" s="1043"/>
      <c r="M72" s="1594">
        <f t="shared" ref="M72" si="213">+L72*J72</f>
        <v>0</v>
      </c>
      <c r="N72" s="504">
        <f ca="1">IF(OR(E72="",E72&gt;TODAY()),0,IF(ISERROR(VLOOKUP($E72,'TRM BanRep'!$A:$G,7,0)),0,VLOOKUP($E72,'TRM BanRep'!$A:$G,7,0)))</f>
        <v>4848.78</v>
      </c>
      <c r="O72" s="424">
        <f t="shared" ref="O72" ca="1" si="214">+L72*J72*N72</f>
        <v>0</v>
      </c>
      <c r="P72" s="425">
        <v>-466970.44</v>
      </c>
      <c r="Q72" s="1340">
        <f t="shared" ref="Q72" si="215">+P72*K72</f>
        <v>-466970.44</v>
      </c>
      <c r="R72" s="426">
        <v>4814.1099999999997</v>
      </c>
      <c r="S72" s="426">
        <f ca="1">IF(OR(E72="",E72&gt;TODAY()),0,IF(ISERROR(VLOOKUP($E72,'TRM BanRep'!$A:$G,7,0)),0,VLOOKUP($E72,'TRM BanRep'!$A:$G,7,0)))</f>
        <v>4848.78</v>
      </c>
      <c r="T72" s="427">
        <f t="shared" ref="T72" ca="1" si="216">+P72*K72*S72</f>
        <v>-2264236930.0632</v>
      </c>
      <c r="U72" s="418">
        <f t="shared" ref="U72" si="217">+L72+P72+F72</f>
        <v>-466970.44</v>
      </c>
      <c r="V72" s="517">
        <f t="shared" ref="V72" ca="1" si="218">+P72*J72*R72+L72*J72*N72+F72*J72*H72</f>
        <v>-2248047064.9084001</v>
      </c>
      <c r="W72" s="428">
        <f t="shared" ref="W72" ca="1" si="219">IF((-P72*J72*R72)-(-P72*K72*S72)&gt;0,(-P72*J72*R72)-(-P72*K72*S72),0)</f>
        <v>0</v>
      </c>
      <c r="X72" s="429">
        <f t="shared" ref="X72" ca="1" si="220">IF((-P72*J72*R72)-(-P72*K72*S72)&lt;0,(-P72*J72*R72)-(-P72*K72*S72),0)</f>
        <v>-16189865.154799938</v>
      </c>
      <c r="Y72" s="92"/>
      <c r="Z72" s="1055"/>
      <c r="AA72" s="85">
        <f t="shared" ca="1" si="211"/>
        <v>0</v>
      </c>
      <c r="AB72" s="508">
        <f t="shared" ca="1" si="211"/>
        <v>0</v>
      </c>
      <c r="AC72" s="508">
        <f t="shared" ca="1" si="211"/>
        <v>0</v>
      </c>
      <c r="AD72" s="508">
        <f t="shared" ca="1" si="211"/>
        <v>0</v>
      </c>
      <c r="AE72" s="508">
        <f t="shared" ca="1" si="211"/>
        <v>0</v>
      </c>
      <c r="AF72" s="561">
        <f t="shared" ca="1" si="211"/>
        <v>0</v>
      </c>
      <c r="AG72" s="561">
        <f t="shared" ca="1" si="211"/>
        <v>0</v>
      </c>
      <c r="AH72" s="561">
        <f t="shared" ca="1" si="211"/>
        <v>0</v>
      </c>
      <c r="AI72" s="561">
        <f t="shared" ca="1" si="211"/>
        <v>0</v>
      </c>
      <c r="AJ72" s="561">
        <f t="shared" ca="1" si="211"/>
        <v>0</v>
      </c>
      <c r="AK72" s="561">
        <f t="shared" ca="1" si="211"/>
        <v>0</v>
      </c>
      <c r="AL72" s="1542">
        <f t="shared" ca="1" si="211"/>
        <v>0</v>
      </c>
      <c r="AM72" s="561">
        <f t="shared" ca="1" si="211"/>
        <v>0</v>
      </c>
      <c r="AN72" s="561">
        <f t="shared" ca="1" si="211"/>
        <v>0</v>
      </c>
      <c r="AO72" s="561">
        <f t="shared" ca="1" si="211"/>
        <v>0</v>
      </c>
      <c r="AP72" s="561">
        <f t="shared" ca="1" si="211"/>
        <v>0</v>
      </c>
      <c r="AQ72" s="561">
        <f t="shared" ca="1" si="211"/>
        <v>0</v>
      </c>
      <c r="AR72" s="561">
        <f t="shared" ca="1" si="211"/>
        <v>-466970.44</v>
      </c>
      <c r="AS72" s="561">
        <f t="shared" ca="1" si="211"/>
        <v>0</v>
      </c>
      <c r="AT72" s="561">
        <f t="shared" ca="1" si="211"/>
        <v>0</v>
      </c>
      <c r="AU72" s="561">
        <f t="shared" ca="1" si="211"/>
        <v>0</v>
      </c>
      <c r="AV72" s="561">
        <f t="shared" ca="1" si="211"/>
        <v>0</v>
      </c>
      <c r="AW72" s="561">
        <f t="shared" ca="1" si="211"/>
        <v>0</v>
      </c>
      <c r="AX72" s="561">
        <f t="shared" ca="1" si="211"/>
        <v>0</v>
      </c>
      <c r="AY72" s="561">
        <f t="shared" ca="1" si="211"/>
        <v>0</v>
      </c>
      <c r="AZ72" s="561">
        <f t="shared" ca="1" si="211"/>
        <v>0</v>
      </c>
      <c r="BA72" s="561">
        <f t="shared" ca="1" si="211"/>
        <v>0</v>
      </c>
      <c r="BB72" s="561">
        <f t="shared" ca="1" si="211"/>
        <v>0</v>
      </c>
      <c r="BC72" s="561">
        <f t="shared" ca="1" si="211"/>
        <v>0</v>
      </c>
      <c r="BD72" s="561">
        <f t="shared" ca="1" si="211"/>
        <v>0</v>
      </c>
      <c r="BE72" s="561">
        <f t="shared" ca="1" si="211"/>
        <v>0</v>
      </c>
      <c r="BF72" s="561">
        <f t="shared" ca="1" si="211"/>
        <v>0</v>
      </c>
      <c r="BG72" s="561">
        <f t="shared" ca="1" si="211"/>
        <v>0</v>
      </c>
      <c r="BH72" s="561">
        <f t="shared" ca="1" si="211"/>
        <v>0</v>
      </c>
      <c r="BI72" s="561">
        <f t="shared" ca="1" si="211"/>
        <v>0</v>
      </c>
      <c r="BJ72" s="561">
        <f t="shared" ca="1" si="211"/>
        <v>0</v>
      </c>
      <c r="BK72" s="561">
        <f t="shared" ca="1" si="211"/>
        <v>0</v>
      </c>
      <c r="BL72" s="561">
        <f t="shared" ca="1" si="211"/>
        <v>0</v>
      </c>
      <c r="BM72" s="561">
        <f t="shared" ca="1" si="211"/>
        <v>0</v>
      </c>
      <c r="BN72" s="561">
        <f t="shared" ca="1" si="211"/>
        <v>0</v>
      </c>
      <c r="BO72" s="561">
        <f t="shared" ca="1" si="211"/>
        <v>0</v>
      </c>
      <c r="BP72" s="561">
        <f t="shared" ca="1" si="211"/>
        <v>0</v>
      </c>
      <c r="BQ72" s="561">
        <f t="shared" ca="1" si="211"/>
        <v>0</v>
      </c>
      <c r="BR72" s="561">
        <f t="shared" ca="1" si="211"/>
        <v>0</v>
      </c>
      <c r="BS72" s="561">
        <f t="shared" ca="1" si="211"/>
        <v>0</v>
      </c>
      <c r="BT72" s="561">
        <f t="shared" ca="1" si="211"/>
        <v>0</v>
      </c>
      <c r="BU72" s="561">
        <f t="shared" ca="1" si="211"/>
        <v>0</v>
      </c>
      <c r="BV72" s="561">
        <f t="shared" ca="1" si="211"/>
        <v>0</v>
      </c>
      <c r="BW72" s="561">
        <f t="shared" ca="1" si="211"/>
        <v>0</v>
      </c>
      <c r="BX72" s="561">
        <f t="shared" ca="1" si="211"/>
        <v>0</v>
      </c>
      <c r="BY72" s="561">
        <f t="shared" ca="1" si="211"/>
        <v>0</v>
      </c>
      <c r="BZ72" s="561">
        <f t="shared" ca="1" si="211"/>
        <v>0</v>
      </c>
      <c r="CA72" s="561">
        <f t="shared" ca="1" si="211"/>
        <v>0</v>
      </c>
      <c r="CB72" s="561">
        <f t="shared" ca="1" si="211"/>
        <v>0</v>
      </c>
      <c r="CC72" s="561">
        <f t="shared" ca="1" si="211"/>
        <v>0</v>
      </c>
      <c r="CD72" s="561">
        <f t="shared" ca="1" si="211"/>
        <v>0</v>
      </c>
      <c r="CE72" s="561">
        <f t="shared" ca="1" si="211"/>
        <v>0</v>
      </c>
      <c r="CF72" s="561">
        <f t="shared" ca="1" si="211"/>
        <v>0</v>
      </c>
      <c r="CG72" s="561">
        <f t="shared" ca="1" si="211"/>
        <v>0</v>
      </c>
      <c r="CH72" s="561">
        <f t="shared" ca="1" si="211"/>
        <v>0</v>
      </c>
      <c r="CI72" s="561">
        <f t="shared" ca="1" si="211"/>
        <v>0</v>
      </c>
      <c r="CJ72" s="561">
        <f t="shared" ca="1" si="211"/>
        <v>0</v>
      </c>
      <c r="CK72" s="561">
        <f t="shared" ca="1" si="211"/>
        <v>0</v>
      </c>
      <c r="CL72" s="561">
        <f t="shared" ca="1" si="211"/>
        <v>0</v>
      </c>
      <c r="CM72" s="561">
        <f t="shared" ca="1" si="212"/>
        <v>0</v>
      </c>
      <c r="CN72" s="561">
        <f t="shared" ca="1" si="212"/>
        <v>0</v>
      </c>
      <c r="CO72" s="561">
        <f t="shared" ca="1" si="212"/>
        <v>0</v>
      </c>
      <c r="CP72" s="561">
        <f t="shared" ca="1" si="212"/>
        <v>0</v>
      </c>
      <c r="CQ72" s="561">
        <f t="shared" ca="1" si="212"/>
        <v>0</v>
      </c>
      <c r="CR72" s="561">
        <f t="shared" ca="1" si="212"/>
        <v>0</v>
      </c>
      <c r="CS72" s="561">
        <f t="shared" ca="1" si="212"/>
        <v>0</v>
      </c>
      <c r="CT72" s="561">
        <f t="shared" ca="1" si="212"/>
        <v>0</v>
      </c>
      <c r="CU72" s="561">
        <f t="shared" ca="1" si="212"/>
        <v>0</v>
      </c>
      <c r="CV72" s="561">
        <f t="shared" ca="1" si="212"/>
        <v>0</v>
      </c>
      <c r="CW72" s="561">
        <f t="shared" ca="1" si="212"/>
        <v>0</v>
      </c>
      <c r="CX72" s="561">
        <f t="shared" ca="1" si="212"/>
        <v>0</v>
      </c>
      <c r="CY72" s="561">
        <f t="shared" ca="1" si="212"/>
        <v>0</v>
      </c>
      <c r="CZ72" s="561">
        <f t="shared" ca="1" si="212"/>
        <v>0</v>
      </c>
      <c r="DA72" s="561">
        <f t="shared" ca="1" si="212"/>
        <v>0</v>
      </c>
      <c r="DB72" s="561">
        <f t="shared" ca="1" si="212"/>
        <v>0</v>
      </c>
      <c r="DC72" s="561">
        <f t="shared" ca="1" si="212"/>
        <v>0</v>
      </c>
      <c r="DD72" s="561">
        <f t="shared" ca="1" si="212"/>
        <v>0</v>
      </c>
      <c r="DE72" s="561">
        <f t="shared" ca="1" si="212"/>
        <v>0</v>
      </c>
      <c r="DF72" s="561">
        <f t="shared" ca="1" si="212"/>
        <v>0</v>
      </c>
      <c r="DG72" s="561">
        <f t="shared" ca="1" si="212"/>
        <v>0</v>
      </c>
      <c r="DH72" s="561">
        <f t="shared" ca="1" si="212"/>
        <v>0</v>
      </c>
      <c r="DI72" s="561">
        <f t="shared" ca="1" si="212"/>
        <v>0</v>
      </c>
      <c r="DJ72" s="561">
        <f t="shared" ca="1" si="212"/>
        <v>0</v>
      </c>
      <c r="DK72" s="561">
        <f t="shared" ca="1" si="212"/>
        <v>0</v>
      </c>
      <c r="DL72" s="561">
        <f t="shared" ca="1" si="212"/>
        <v>0</v>
      </c>
      <c r="DM72" s="561">
        <f t="shared" ca="1" si="212"/>
        <v>0</v>
      </c>
      <c r="DN72" s="561">
        <f t="shared" ca="1" si="212"/>
        <v>0</v>
      </c>
      <c r="DO72" s="561">
        <f t="shared" ca="1" si="212"/>
        <v>0</v>
      </c>
      <c r="DP72" s="561">
        <f t="shared" ca="1" si="212"/>
        <v>0</v>
      </c>
    </row>
    <row r="73" spans="1:120" outlineLevel="1">
      <c r="A73" s="89">
        <v>1110052010</v>
      </c>
      <c r="B73" s="90" t="s">
        <v>2452</v>
      </c>
      <c r="C73" s="1476" t="s">
        <v>64</v>
      </c>
      <c r="D73" s="1481"/>
      <c r="E73" s="1482">
        <v>44988</v>
      </c>
      <c r="F73" s="420"/>
      <c r="G73" s="1256"/>
      <c r="H73" s="421"/>
      <c r="I73" s="422"/>
      <c r="J73" s="1425">
        <v>1</v>
      </c>
      <c r="K73" s="1426">
        <v>1</v>
      </c>
      <c r="L73" s="1043"/>
      <c r="M73" s="1594">
        <f t="shared" ref="M73" si="221">+L73*J73</f>
        <v>0</v>
      </c>
      <c r="N73" s="504">
        <f ca="1">IF(OR(E73="",E73&gt;TODAY()),0,IF(ISERROR(VLOOKUP($E73,'TRM BanRep'!$A:$G,7,0)),0,VLOOKUP($E73,'TRM BanRep'!$A:$G,7,0)))</f>
        <v>4855.83</v>
      </c>
      <c r="O73" s="424">
        <f t="shared" ref="O73" ca="1" si="222">+L73*J73*N73</f>
        <v>0</v>
      </c>
      <c r="P73" s="425">
        <v>-6595.59</v>
      </c>
      <c r="Q73" s="1340">
        <f t="shared" ref="Q73" si="223">+P73*K73</f>
        <v>-6595.59</v>
      </c>
      <c r="R73" s="426">
        <v>4814.1099999999997</v>
      </c>
      <c r="S73" s="426">
        <f ca="1">IF(OR(E73="",E73&gt;TODAY()),0,IF(ISERROR(VLOOKUP($E73,'TRM BanRep'!$A:$G,7,0)),0,VLOOKUP($E73,'TRM BanRep'!$A:$G,7,0)))</f>
        <v>4855.83</v>
      </c>
      <c r="T73" s="427">
        <f t="shared" ref="T73" ca="1" si="224">+P73*K73*S73</f>
        <v>-32027063.789700001</v>
      </c>
      <c r="U73" s="418">
        <f t="shared" ref="U73" si="225">+L73+P73+F73</f>
        <v>-6595.59</v>
      </c>
      <c r="V73" s="517">
        <f t="shared" ref="V73" ca="1" si="226">+P73*J73*R73+L73*J73*N73+F73*J73*H73</f>
        <v>-31751895.774899997</v>
      </c>
      <c r="W73" s="428">
        <f t="shared" ref="W73" ca="1" si="227">IF((-P73*J73*R73)-(-P73*K73*S73)&gt;0,(-P73*J73*R73)-(-P73*K73*S73),0)</f>
        <v>0</v>
      </c>
      <c r="X73" s="429">
        <f t="shared" ref="X73" ca="1" si="228">IF((-P73*J73*R73)-(-P73*K73*S73)&lt;0,(-P73*J73*R73)-(-P73*K73*S73),0)</f>
        <v>-275168.01480000466</v>
      </c>
      <c r="Y73" s="92"/>
      <c r="Z73" s="1055"/>
      <c r="AA73" s="85">
        <f t="shared" ca="1" si="201"/>
        <v>0</v>
      </c>
      <c r="AB73" s="508">
        <f t="shared" ca="1" si="201"/>
        <v>0</v>
      </c>
      <c r="AC73" s="508">
        <f t="shared" ca="1" si="201"/>
        <v>0</v>
      </c>
      <c r="AD73" s="508">
        <f t="shared" ca="1" si="201"/>
        <v>0</v>
      </c>
      <c r="AE73" s="508">
        <f t="shared" ca="1" si="201"/>
        <v>0</v>
      </c>
      <c r="AF73" s="561">
        <f t="shared" ca="1" si="201"/>
        <v>0</v>
      </c>
      <c r="AG73" s="561">
        <f t="shared" ca="1" si="201"/>
        <v>0</v>
      </c>
      <c r="AH73" s="561">
        <f t="shared" ca="1" si="201"/>
        <v>0</v>
      </c>
      <c r="AI73" s="561">
        <f t="shared" ca="1" si="201"/>
        <v>0</v>
      </c>
      <c r="AJ73" s="561">
        <f t="shared" ca="1" si="201"/>
        <v>0</v>
      </c>
      <c r="AK73" s="561">
        <f t="shared" ca="1" si="201"/>
        <v>0</v>
      </c>
      <c r="AL73" s="1542">
        <f t="shared" ca="1" si="201"/>
        <v>0</v>
      </c>
      <c r="AM73" s="561">
        <f t="shared" ca="1" si="201"/>
        <v>0</v>
      </c>
      <c r="AN73" s="561">
        <f t="shared" ca="1" si="201"/>
        <v>0</v>
      </c>
      <c r="AO73" s="561">
        <f t="shared" ca="1" si="201"/>
        <v>0</v>
      </c>
      <c r="AP73" s="561">
        <f t="shared" ca="1" si="201"/>
        <v>0</v>
      </c>
      <c r="AQ73" s="561">
        <f t="shared" ca="1" si="201"/>
        <v>0</v>
      </c>
      <c r="AR73" s="561">
        <f t="shared" ca="1" si="201"/>
        <v>-6595.59</v>
      </c>
      <c r="AS73" s="561">
        <f t="shared" ca="1" si="201"/>
        <v>0</v>
      </c>
      <c r="AT73" s="561">
        <f t="shared" ca="1" si="201"/>
        <v>0</v>
      </c>
      <c r="AU73" s="561">
        <f t="shared" ca="1" si="201"/>
        <v>0</v>
      </c>
      <c r="AV73" s="561">
        <f t="shared" ca="1" si="201"/>
        <v>0</v>
      </c>
      <c r="AW73" s="561">
        <f t="shared" ca="1" si="201"/>
        <v>0</v>
      </c>
      <c r="AX73" s="561">
        <f t="shared" ca="1" si="201"/>
        <v>0</v>
      </c>
      <c r="AY73" s="561">
        <f t="shared" ca="1" si="201"/>
        <v>0</v>
      </c>
      <c r="AZ73" s="561">
        <f t="shared" ca="1" si="201"/>
        <v>0</v>
      </c>
      <c r="BA73" s="561">
        <f t="shared" ca="1" si="201"/>
        <v>0</v>
      </c>
      <c r="BB73" s="561">
        <f t="shared" ca="1" si="201"/>
        <v>0</v>
      </c>
      <c r="BC73" s="561">
        <f t="shared" ca="1" si="201"/>
        <v>0</v>
      </c>
      <c r="BD73" s="561">
        <f t="shared" ca="1" si="201"/>
        <v>0</v>
      </c>
      <c r="BE73" s="561">
        <f t="shared" ca="1" si="201"/>
        <v>0</v>
      </c>
      <c r="BF73" s="561">
        <f t="shared" ca="1" si="201"/>
        <v>0</v>
      </c>
      <c r="BG73" s="561">
        <f t="shared" ca="1" si="201"/>
        <v>0</v>
      </c>
      <c r="BH73" s="561">
        <f t="shared" ca="1" si="201"/>
        <v>0</v>
      </c>
      <c r="BI73" s="561">
        <f t="shared" ca="1" si="201"/>
        <v>0</v>
      </c>
      <c r="BJ73" s="561">
        <f t="shared" ca="1" si="201"/>
        <v>0</v>
      </c>
      <c r="BK73" s="561">
        <f t="shared" ca="1" si="201"/>
        <v>0</v>
      </c>
      <c r="BL73" s="561">
        <f t="shared" ca="1" si="201"/>
        <v>0</v>
      </c>
      <c r="BM73" s="561">
        <f t="shared" ca="1" si="201"/>
        <v>0</v>
      </c>
      <c r="BN73" s="561">
        <f t="shared" ca="1" si="201"/>
        <v>0</v>
      </c>
      <c r="BO73" s="561">
        <f t="shared" ca="1" si="201"/>
        <v>0</v>
      </c>
      <c r="BP73" s="561">
        <f t="shared" ca="1" si="201"/>
        <v>0</v>
      </c>
      <c r="BQ73" s="561">
        <f t="shared" ca="1" si="201"/>
        <v>0</v>
      </c>
      <c r="BR73" s="561">
        <f t="shared" ca="1" si="201"/>
        <v>0</v>
      </c>
      <c r="BS73" s="561">
        <f t="shared" ca="1" si="201"/>
        <v>0</v>
      </c>
      <c r="BT73" s="561">
        <f t="shared" ca="1" si="201"/>
        <v>0</v>
      </c>
      <c r="BU73" s="561">
        <f t="shared" ca="1" si="201"/>
        <v>0</v>
      </c>
      <c r="BV73" s="561">
        <f t="shared" ca="1" si="201"/>
        <v>0</v>
      </c>
      <c r="BW73" s="561">
        <f t="shared" ca="1" si="201"/>
        <v>0</v>
      </c>
      <c r="BX73" s="561">
        <f t="shared" ca="1" si="201"/>
        <v>0</v>
      </c>
      <c r="BY73" s="561">
        <f t="shared" ca="1" si="201"/>
        <v>0</v>
      </c>
      <c r="BZ73" s="561">
        <f t="shared" ca="1" si="201"/>
        <v>0</v>
      </c>
      <c r="CA73" s="561">
        <f t="shared" ca="1" si="201"/>
        <v>0</v>
      </c>
      <c r="CB73" s="561">
        <f t="shared" ca="1" si="201"/>
        <v>0</v>
      </c>
      <c r="CC73" s="561">
        <f t="shared" ca="1" si="201"/>
        <v>0</v>
      </c>
      <c r="CD73" s="561">
        <f t="shared" ca="1" si="201"/>
        <v>0</v>
      </c>
      <c r="CE73" s="561">
        <f t="shared" ca="1" si="201"/>
        <v>0</v>
      </c>
      <c r="CF73" s="561">
        <f t="shared" ca="1" si="201"/>
        <v>0</v>
      </c>
      <c r="CG73" s="561">
        <f t="shared" ca="1" si="201"/>
        <v>0</v>
      </c>
      <c r="CH73" s="561">
        <f t="shared" ca="1" si="201"/>
        <v>0</v>
      </c>
      <c r="CI73" s="561">
        <f t="shared" ca="1" si="201"/>
        <v>0</v>
      </c>
      <c r="CJ73" s="561">
        <f t="shared" ca="1" si="201"/>
        <v>0</v>
      </c>
      <c r="CK73" s="561">
        <f t="shared" ca="1" si="201"/>
        <v>0</v>
      </c>
      <c r="CL73" s="561">
        <f t="shared" ref="AA73:CL77" ca="1" si="229">IF($L73="",IF(OR($P73="",$R73=""),0,IF($R73=CL$6,$Q73,0)),IF($E73=CL$5,$M73,))</f>
        <v>0</v>
      </c>
      <c r="CM73" s="561">
        <f t="shared" ca="1" si="202"/>
        <v>0</v>
      </c>
      <c r="CN73" s="561">
        <f t="shared" ca="1" si="202"/>
        <v>0</v>
      </c>
      <c r="CO73" s="561">
        <f t="shared" ca="1" si="202"/>
        <v>0</v>
      </c>
      <c r="CP73" s="561">
        <f t="shared" ca="1" si="202"/>
        <v>0</v>
      </c>
      <c r="CQ73" s="561">
        <f t="shared" ca="1" si="202"/>
        <v>0</v>
      </c>
      <c r="CR73" s="561">
        <f t="shared" ca="1" si="202"/>
        <v>0</v>
      </c>
      <c r="CS73" s="561">
        <f t="shared" ca="1" si="202"/>
        <v>0</v>
      </c>
      <c r="CT73" s="561">
        <f t="shared" ca="1" si="202"/>
        <v>0</v>
      </c>
      <c r="CU73" s="561">
        <f t="shared" ca="1" si="202"/>
        <v>0</v>
      </c>
      <c r="CV73" s="561">
        <f t="shared" ca="1" si="202"/>
        <v>0</v>
      </c>
      <c r="CW73" s="561">
        <f t="shared" ca="1" si="202"/>
        <v>0</v>
      </c>
      <c r="CX73" s="561">
        <f t="shared" ca="1" si="202"/>
        <v>0</v>
      </c>
      <c r="CY73" s="561">
        <f t="shared" ca="1" si="202"/>
        <v>0</v>
      </c>
      <c r="CZ73" s="561">
        <f t="shared" ca="1" si="202"/>
        <v>0</v>
      </c>
      <c r="DA73" s="561">
        <f t="shared" ca="1" si="202"/>
        <v>0</v>
      </c>
      <c r="DB73" s="561">
        <f t="shared" ca="1" si="202"/>
        <v>0</v>
      </c>
      <c r="DC73" s="561">
        <f t="shared" ca="1" si="202"/>
        <v>0</v>
      </c>
      <c r="DD73" s="561">
        <f t="shared" ca="1" si="202"/>
        <v>0</v>
      </c>
      <c r="DE73" s="561">
        <f t="shared" ca="1" si="202"/>
        <v>0</v>
      </c>
      <c r="DF73" s="561">
        <f t="shared" ca="1" si="202"/>
        <v>0</v>
      </c>
      <c r="DG73" s="561">
        <f t="shared" ca="1" si="202"/>
        <v>0</v>
      </c>
      <c r="DH73" s="561">
        <f t="shared" ca="1" si="202"/>
        <v>0</v>
      </c>
      <c r="DI73" s="561">
        <f t="shared" ca="1" si="202"/>
        <v>0</v>
      </c>
      <c r="DJ73" s="561">
        <f t="shared" ca="1" si="202"/>
        <v>0</v>
      </c>
      <c r="DK73" s="561">
        <f t="shared" ca="1" si="202"/>
        <v>0</v>
      </c>
      <c r="DL73" s="561">
        <f t="shared" ca="1" si="202"/>
        <v>0</v>
      </c>
      <c r="DM73" s="561">
        <f t="shared" ca="1" si="202"/>
        <v>0</v>
      </c>
      <c r="DN73" s="561">
        <f t="shared" ca="1" si="202"/>
        <v>0</v>
      </c>
      <c r="DO73" s="561">
        <f t="shared" ca="1" si="202"/>
        <v>0</v>
      </c>
      <c r="DP73" s="561">
        <f t="shared" ca="1" si="202"/>
        <v>0</v>
      </c>
    </row>
    <row r="74" spans="1:120" outlineLevel="1">
      <c r="A74" s="89">
        <v>1110052010</v>
      </c>
      <c r="B74" s="90" t="s">
        <v>2453</v>
      </c>
      <c r="C74" s="1476" t="s">
        <v>64</v>
      </c>
      <c r="D74" s="1481"/>
      <c r="E74" s="1482">
        <v>44991</v>
      </c>
      <c r="F74" s="420"/>
      <c r="G74" s="1256"/>
      <c r="H74" s="421"/>
      <c r="I74" s="422"/>
      <c r="J74" s="1425">
        <v>1</v>
      </c>
      <c r="K74" s="1426">
        <v>1</v>
      </c>
      <c r="L74" s="1043">
        <v>4000000</v>
      </c>
      <c r="M74" s="1594">
        <f t="shared" ref="M74" si="230">+L74*J74</f>
        <v>4000000</v>
      </c>
      <c r="N74" s="504">
        <f ca="1">IF(OR(E74="",E74&gt;TODAY()),0,IF(ISERROR(VLOOKUP($E74,'TRM BanRep'!$A:$G,7,0)),0,VLOOKUP($E74,'TRM BanRep'!$A:$G,7,0)))</f>
        <v>4780.8900000000003</v>
      </c>
      <c r="O74" s="424">
        <f t="shared" ref="O74" ca="1" si="231">+L74*J74*N74</f>
        <v>19123560000</v>
      </c>
      <c r="P74" s="425"/>
      <c r="Q74" s="1340">
        <f t="shared" ref="Q74" si="232">+P74*K74</f>
        <v>0</v>
      </c>
      <c r="R74" s="426"/>
      <c r="S74" s="426">
        <f ca="1">IF(OR(E74="",E74&gt;TODAY()),0,IF(ISERROR(VLOOKUP($E74,'TRM BanRep'!$A:$G,7,0)),0,VLOOKUP($E74,'TRM BanRep'!$A:$G,7,0)))</f>
        <v>4780.8900000000003</v>
      </c>
      <c r="T74" s="427">
        <f t="shared" ref="T74" ca="1" si="233">+P74*K74*S74</f>
        <v>0</v>
      </c>
      <c r="U74" s="418">
        <f t="shared" ref="U74" si="234">+L74+P74+F74</f>
        <v>4000000</v>
      </c>
      <c r="V74" s="517">
        <f t="shared" ref="V74" ca="1" si="235">+P74*J74*R74+L74*J74*N74+F74*J74*H74</f>
        <v>19123560000</v>
      </c>
      <c r="W74" s="428">
        <f t="shared" ref="W74" ca="1" si="236">IF((-P74*J74*R74)-(-P74*K74*S74)&gt;0,(-P74*J74*R74)-(-P74*K74*S74),0)</f>
        <v>0</v>
      </c>
      <c r="X74" s="429">
        <f t="shared" ref="X74" ca="1" si="237">IF((-P74*J74*R74)-(-P74*K74*S74)&lt;0,(-P74*J74*R74)-(-P74*K74*S74),0)</f>
        <v>0</v>
      </c>
      <c r="Y74" s="92"/>
      <c r="Z74" s="1055"/>
      <c r="AA74" s="85">
        <f t="shared" si="229"/>
        <v>0</v>
      </c>
      <c r="AB74" s="508">
        <f t="shared" si="229"/>
        <v>0</v>
      </c>
      <c r="AC74" s="508">
        <f t="shared" si="229"/>
        <v>0</v>
      </c>
      <c r="AD74" s="508">
        <f t="shared" si="229"/>
        <v>0</v>
      </c>
      <c r="AE74" s="508">
        <f t="shared" si="229"/>
        <v>0</v>
      </c>
      <c r="AF74" s="561">
        <f t="shared" si="229"/>
        <v>0</v>
      </c>
      <c r="AG74" s="561">
        <f t="shared" si="229"/>
        <v>0</v>
      </c>
      <c r="AH74" s="561">
        <f t="shared" si="229"/>
        <v>0</v>
      </c>
      <c r="AI74" s="561">
        <f t="shared" si="229"/>
        <v>0</v>
      </c>
      <c r="AJ74" s="561">
        <f t="shared" si="229"/>
        <v>0</v>
      </c>
      <c r="AK74" s="561">
        <f t="shared" si="229"/>
        <v>0</v>
      </c>
      <c r="AL74" s="1542">
        <f t="shared" si="229"/>
        <v>0</v>
      </c>
      <c r="AM74" s="561">
        <f t="shared" si="229"/>
        <v>0</v>
      </c>
      <c r="AN74" s="561">
        <f t="shared" si="229"/>
        <v>0</v>
      </c>
      <c r="AO74" s="561">
        <f t="shared" si="229"/>
        <v>0</v>
      </c>
      <c r="AP74" s="561">
        <f t="shared" si="229"/>
        <v>0</v>
      </c>
      <c r="AQ74" s="561">
        <f t="shared" si="229"/>
        <v>0</v>
      </c>
      <c r="AR74" s="561">
        <f t="shared" si="229"/>
        <v>0</v>
      </c>
      <c r="AS74" s="561">
        <f t="shared" si="229"/>
        <v>0</v>
      </c>
      <c r="AT74" s="561">
        <f t="shared" si="229"/>
        <v>4000000</v>
      </c>
      <c r="AU74" s="561">
        <f t="shared" si="229"/>
        <v>0</v>
      </c>
      <c r="AV74" s="561">
        <f t="shared" si="229"/>
        <v>0</v>
      </c>
      <c r="AW74" s="561">
        <f t="shared" si="229"/>
        <v>0</v>
      </c>
      <c r="AX74" s="561">
        <f t="shared" si="229"/>
        <v>0</v>
      </c>
      <c r="AY74" s="561">
        <f t="shared" si="229"/>
        <v>0</v>
      </c>
      <c r="AZ74" s="561">
        <f t="shared" si="229"/>
        <v>0</v>
      </c>
      <c r="BA74" s="561">
        <f t="shared" si="229"/>
        <v>0</v>
      </c>
      <c r="BB74" s="561">
        <f t="shared" si="229"/>
        <v>0</v>
      </c>
      <c r="BC74" s="561">
        <f t="shared" si="229"/>
        <v>0</v>
      </c>
      <c r="BD74" s="561">
        <f t="shared" si="229"/>
        <v>0</v>
      </c>
      <c r="BE74" s="561">
        <f t="shared" si="229"/>
        <v>0</v>
      </c>
      <c r="BF74" s="561">
        <f t="shared" si="229"/>
        <v>0</v>
      </c>
      <c r="BG74" s="561">
        <f t="shared" si="229"/>
        <v>0</v>
      </c>
      <c r="BH74" s="561">
        <f t="shared" si="229"/>
        <v>0</v>
      </c>
      <c r="BI74" s="561">
        <f t="shared" si="229"/>
        <v>0</v>
      </c>
      <c r="BJ74" s="561">
        <f t="shared" si="229"/>
        <v>0</v>
      </c>
      <c r="BK74" s="561">
        <f t="shared" si="229"/>
        <v>0</v>
      </c>
      <c r="BL74" s="561">
        <f t="shared" si="229"/>
        <v>0</v>
      </c>
      <c r="BM74" s="561">
        <f t="shared" si="229"/>
        <v>0</v>
      </c>
      <c r="BN74" s="561">
        <f t="shared" si="229"/>
        <v>0</v>
      </c>
      <c r="BO74" s="561">
        <f t="shared" si="229"/>
        <v>0</v>
      </c>
      <c r="BP74" s="561">
        <f t="shared" si="229"/>
        <v>0</v>
      </c>
      <c r="BQ74" s="561">
        <f t="shared" si="229"/>
        <v>0</v>
      </c>
      <c r="BR74" s="561">
        <f t="shared" si="229"/>
        <v>0</v>
      </c>
      <c r="BS74" s="561">
        <f t="shared" si="229"/>
        <v>0</v>
      </c>
      <c r="BT74" s="561">
        <f t="shared" si="229"/>
        <v>0</v>
      </c>
      <c r="BU74" s="561">
        <f t="shared" si="229"/>
        <v>0</v>
      </c>
      <c r="BV74" s="561">
        <f t="shared" si="229"/>
        <v>0</v>
      </c>
      <c r="BW74" s="561">
        <f t="shared" si="229"/>
        <v>0</v>
      </c>
      <c r="BX74" s="561">
        <f t="shared" si="229"/>
        <v>0</v>
      </c>
      <c r="BY74" s="561">
        <f t="shared" si="229"/>
        <v>0</v>
      </c>
      <c r="BZ74" s="561">
        <f t="shared" si="229"/>
        <v>0</v>
      </c>
      <c r="CA74" s="561">
        <f t="shared" si="229"/>
        <v>0</v>
      </c>
      <c r="CB74" s="561">
        <f t="shared" si="229"/>
        <v>0</v>
      </c>
      <c r="CC74" s="561">
        <f t="shared" si="229"/>
        <v>0</v>
      </c>
      <c r="CD74" s="561">
        <f t="shared" si="229"/>
        <v>0</v>
      </c>
      <c r="CE74" s="561">
        <f t="shared" si="229"/>
        <v>0</v>
      </c>
      <c r="CF74" s="561">
        <f t="shared" si="229"/>
        <v>0</v>
      </c>
      <c r="CG74" s="561">
        <f t="shared" si="229"/>
        <v>0</v>
      </c>
      <c r="CH74" s="561">
        <f t="shared" si="229"/>
        <v>0</v>
      </c>
      <c r="CI74" s="561">
        <f t="shared" si="229"/>
        <v>0</v>
      </c>
      <c r="CJ74" s="561">
        <f t="shared" si="229"/>
        <v>0</v>
      </c>
      <c r="CK74" s="561">
        <f t="shared" si="229"/>
        <v>0</v>
      </c>
      <c r="CL74" s="561">
        <f t="shared" si="229"/>
        <v>0</v>
      </c>
      <c r="CM74" s="561">
        <f t="shared" si="202"/>
        <v>0</v>
      </c>
      <c r="CN74" s="561">
        <f t="shared" si="202"/>
        <v>0</v>
      </c>
      <c r="CO74" s="561">
        <f t="shared" si="202"/>
        <v>0</v>
      </c>
      <c r="CP74" s="561">
        <f t="shared" si="202"/>
        <v>0</v>
      </c>
      <c r="CQ74" s="561">
        <f t="shared" si="202"/>
        <v>0</v>
      </c>
      <c r="CR74" s="561">
        <f t="shared" si="202"/>
        <v>0</v>
      </c>
      <c r="CS74" s="561">
        <f t="shared" si="202"/>
        <v>0</v>
      </c>
      <c r="CT74" s="561">
        <f t="shared" si="202"/>
        <v>0</v>
      </c>
      <c r="CU74" s="561">
        <f t="shared" si="202"/>
        <v>0</v>
      </c>
      <c r="CV74" s="561">
        <f t="shared" si="202"/>
        <v>0</v>
      </c>
      <c r="CW74" s="561">
        <f t="shared" si="202"/>
        <v>0</v>
      </c>
      <c r="CX74" s="561">
        <f t="shared" si="202"/>
        <v>0</v>
      </c>
      <c r="CY74" s="561">
        <f t="shared" si="202"/>
        <v>0</v>
      </c>
      <c r="CZ74" s="561">
        <f t="shared" si="202"/>
        <v>0</v>
      </c>
      <c r="DA74" s="561">
        <f t="shared" si="202"/>
        <v>0</v>
      </c>
      <c r="DB74" s="561">
        <f t="shared" si="202"/>
        <v>0</v>
      </c>
      <c r="DC74" s="561">
        <f t="shared" si="202"/>
        <v>0</v>
      </c>
      <c r="DD74" s="561">
        <f t="shared" si="202"/>
        <v>0</v>
      </c>
      <c r="DE74" s="561">
        <f t="shared" si="202"/>
        <v>0</v>
      </c>
      <c r="DF74" s="561">
        <f t="shared" si="202"/>
        <v>0</v>
      </c>
      <c r="DG74" s="561">
        <f t="shared" si="202"/>
        <v>0</v>
      </c>
      <c r="DH74" s="561">
        <f t="shared" si="202"/>
        <v>0</v>
      </c>
      <c r="DI74" s="561">
        <f t="shared" si="202"/>
        <v>0</v>
      </c>
      <c r="DJ74" s="561">
        <f t="shared" si="202"/>
        <v>0</v>
      </c>
      <c r="DK74" s="561">
        <f t="shared" si="202"/>
        <v>0</v>
      </c>
      <c r="DL74" s="561">
        <f t="shared" si="202"/>
        <v>0</v>
      </c>
      <c r="DM74" s="561">
        <f t="shared" si="202"/>
        <v>0</v>
      </c>
      <c r="DN74" s="561">
        <f t="shared" si="202"/>
        <v>0</v>
      </c>
      <c r="DO74" s="561">
        <f t="shared" si="202"/>
        <v>0</v>
      </c>
      <c r="DP74" s="561">
        <f t="shared" si="202"/>
        <v>0</v>
      </c>
    </row>
    <row r="75" spans="1:120" outlineLevel="1">
      <c r="A75" s="89">
        <v>1110052010</v>
      </c>
      <c r="B75" s="90" t="s">
        <v>2454</v>
      </c>
      <c r="C75" s="1476" t="s">
        <v>64</v>
      </c>
      <c r="D75" s="1481"/>
      <c r="E75" s="1482">
        <v>44991</v>
      </c>
      <c r="F75" s="420"/>
      <c r="G75" s="1256"/>
      <c r="H75" s="421"/>
      <c r="I75" s="422"/>
      <c r="J75" s="1425">
        <v>1</v>
      </c>
      <c r="K75" s="1426">
        <v>1</v>
      </c>
      <c r="L75" s="1043"/>
      <c r="M75" s="1594">
        <f t="shared" si="187"/>
        <v>0</v>
      </c>
      <c r="N75" s="504">
        <f ca="1">IF(OR(E75="",E75&gt;TODAY()),0,IF(ISERROR(VLOOKUP($E75,'TRM BanRep'!$A:$G,7,0)),0,VLOOKUP($E75,'TRM BanRep'!$A:$G,7,0)))</f>
        <v>4780.8900000000003</v>
      </c>
      <c r="O75" s="424">
        <f t="shared" ca="1" si="196"/>
        <v>0</v>
      </c>
      <c r="P75" s="425">
        <v>-1095263.3999999999</v>
      </c>
      <c r="Q75" s="1340">
        <f t="shared" si="189"/>
        <v>-1095263.3999999999</v>
      </c>
      <c r="R75" s="426">
        <v>4814.1099999999997</v>
      </c>
      <c r="S75" s="426">
        <f ca="1">IF(OR(E75="",E75&gt;TODAY()),0,IF(ISERROR(VLOOKUP($E75,'TRM BanRep'!$A:$G,7,0)),0,VLOOKUP($E75,'TRM BanRep'!$A:$G,7,0)))</f>
        <v>4780.8900000000003</v>
      </c>
      <c r="T75" s="427">
        <f t="shared" ca="1" si="197"/>
        <v>-5236333836.4259996</v>
      </c>
      <c r="U75" s="418">
        <f t="shared" si="191"/>
        <v>-1095263.3999999999</v>
      </c>
      <c r="V75" s="517">
        <f t="shared" ca="1" si="198"/>
        <v>-5272718486.5739994</v>
      </c>
      <c r="W75" s="428">
        <f t="shared" ca="1" si="199"/>
        <v>36384650.147999763</v>
      </c>
      <c r="X75" s="429">
        <f t="shared" ca="1" si="200"/>
        <v>0</v>
      </c>
      <c r="Y75" s="92"/>
      <c r="Z75" s="1055"/>
      <c r="AA75" s="85">
        <f t="shared" ca="1" si="229"/>
        <v>0</v>
      </c>
      <c r="AB75" s="508">
        <f t="shared" ca="1" si="229"/>
        <v>0</v>
      </c>
      <c r="AC75" s="508">
        <f t="shared" ca="1" si="229"/>
        <v>0</v>
      </c>
      <c r="AD75" s="508">
        <f t="shared" ca="1" si="229"/>
        <v>0</v>
      </c>
      <c r="AE75" s="508">
        <f t="shared" ca="1" si="229"/>
        <v>0</v>
      </c>
      <c r="AF75" s="561">
        <f t="shared" ca="1" si="229"/>
        <v>0</v>
      </c>
      <c r="AG75" s="561">
        <f t="shared" ca="1" si="229"/>
        <v>0</v>
      </c>
      <c r="AH75" s="561">
        <f t="shared" ca="1" si="229"/>
        <v>0</v>
      </c>
      <c r="AI75" s="561">
        <f t="shared" ca="1" si="229"/>
        <v>0</v>
      </c>
      <c r="AJ75" s="561">
        <f t="shared" ca="1" si="229"/>
        <v>0</v>
      </c>
      <c r="AK75" s="561">
        <f t="shared" ca="1" si="229"/>
        <v>0</v>
      </c>
      <c r="AL75" s="1542">
        <f t="shared" ca="1" si="229"/>
        <v>0</v>
      </c>
      <c r="AM75" s="561">
        <f t="shared" ca="1" si="229"/>
        <v>0</v>
      </c>
      <c r="AN75" s="561">
        <f t="shared" ca="1" si="229"/>
        <v>0</v>
      </c>
      <c r="AO75" s="561">
        <f t="shared" ca="1" si="229"/>
        <v>0</v>
      </c>
      <c r="AP75" s="561">
        <f t="shared" ca="1" si="229"/>
        <v>0</v>
      </c>
      <c r="AQ75" s="561">
        <f t="shared" ca="1" si="229"/>
        <v>0</v>
      </c>
      <c r="AR75" s="561">
        <f t="shared" ca="1" si="229"/>
        <v>-1095263.3999999999</v>
      </c>
      <c r="AS75" s="561">
        <f t="shared" ca="1" si="229"/>
        <v>0</v>
      </c>
      <c r="AT75" s="561">
        <f t="shared" ca="1" si="229"/>
        <v>0</v>
      </c>
      <c r="AU75" s="561">
        <f t="shared" ca="1" si="229"/>
        <v>0</v>
      </c>
      <c r="AV75" s="561">
        <f t="shared" ca="1" si="229"/>
        <v>0</v>
      </c>
      <c r="AW75" s="561">
        <f t="shared" ca="1" si="229"/>
        <v>0</v>
      </c>
      <c r="AX75" s="561">
        <f t="shared" ca="1" si="229"/>
        <v>0</v>
      </c>
      <c r="AY75" s="561">
        <f t="shared" ca="1" si="229"/>
        <v>0</v>
      </c>
      <c r="AZ75" s="561">
        <f t="shared" ca="1" si="229"/>
        <v>0</v>
      </c>
      <c r="BA75" s="561">
        <f t="shared" ca="1" si="229"/>
        <v>0</v>
      </c>
      <c r="BB75" s="561">
        <f t="shared" ca="1" si="229"/>
        <v>0</v>
      </c>
      <c r="BC75" s="561">
        <f t="shared" ca="1" si="229"/>
        <v>0</v>
      </c>
      <c r="BD75" s="561">
        <f t="shared" ca="1" si="229"/>
        <v>0</v>
      </c>
      <c r="BE75" s="561">
        <f t="shared" ca="1" si="229"/>
        <v>0</v>
      </c>
      <c r="BF75" s="561">
        <f t="shared" ca="1" si="229"/>
        <v>0</v>
      </c>
      <c r="BG75" s="561">
        <f t="shared" ca="1" si="229"/>
        <v>0</v>
      </c>
      <c r="BH75" s="561">
        <f t="shared" ca="1" si="229"/>
        <v>0</v>
      </c>
      <c r="BI75" s="561">
        <f t="shared" ca="1" si="229"/>
        <v>0</v>
      </c>
      <c r="BJ75" s="561">
        <f t="shared" ca="1" si="229"/>
        <v>0</v>
      </c>
      <c r="BK75" s="561">
        <f t="shared" ca="1" si="229"/>
        <v>0</v>
      </c>
      <c r="BL75" s="561">
        <f t="shared" ca="1" si="229"/>
        <v>0</v>
      </c>
      <c r="BM75" s="561">
        <f t="shared" ca="1" si="229"/>
        <v>0</v>
      </c>
      <c r="BN75" s="561">
        <f t="shared" ca="1" si="229"/>
        <v>0</v>
      </c>
      <c r="BO75" s="561">
        <f t="shared" ca="1" si="229"/>
        <v>0</v>
      </c>
      <c r="BP75" s="561">
        <f t="shared" ca="1" si="229"/>
        <v>0</v>
      </c>
      <c r="BQ75" s="561">
        <f t="shared" ca="1" si="229"/>
        <v>0</v>
      </c>
      <c r="BR75" s="561">
        <f t="shared" ca="1" si="229"/>
        <v>0</v>
      </c>
      <c r="BS75" s="561">
        <f t="shared" ca="1" si="229"/>
        <v>0</v>
      </c>
      <c r="BT75" s="561">
        <f t="shared" ca="1" si="229"/>
        <v>0</v>
      </c>
      <c r="BU75" s="561">
        <f t="shared" ca="1" si="229"/>
        <v>0</v>
      </c>
      <c r="BV75" s="561">
        <f t="shared" ca="1" si="229"/>
        <v>0</v>
      </c>
      <c r="BW75" s="561">
        <f t="shared" ca="1" si="229"/>
        <v>0</v>
      </c>
      <c r="BX75" s="561">
        <f t="shared" ca="1" si="229"/>
        <v>0</v>
      </c>
      <c r="BY75" s="561">
        <f t="shared" ca="1" si="229"/>
        <v>0</v>
      </c>
      <c r="BZ75" s="561">
        <f t="shared" ca="1" si="229"/>
        <v>0</v>
      </c>
      <c r="CA75" s="561">
        <f t="shared" ca="1" si="229"/>
        <v>0</v>
      </c>
      <c r="CB75" s="561">
        <f t="shared" ca="1" si="229"/>
        <v>0</v>
      </c>
      <c r="CC75" s="561">
        <f t="shared" ca="1" si="229"/>
        <v>0</v>
      </c>
      <c r="CD75" s="561">
        <f t="shared" ca="1" si="229"/>
        <v>0</v>
      </c>
      <c r="CE75" s="561">
        <f t="shared" ca="1" si="229"/>
        <v>0</v>
      </c>
      <c r="CF75" s="561">
        <f t="shared" ca="1" si="229"/>
        <v>0</v>
      </c>
      <c r="CG75" s="561">
        <f t="shared" ca="1" si="229"/>
        <v>0</v>
      </c>
      <c r="CH75" s="561">
        <f t="shared" ca="1" si="229"/>
        <v>0</v>
      </c>
      <c r="CI75" s="561">
        <f t="shared" ca="1" si="229"/>
        <v>0</v>
      </c>
      <c r="CJ75" s="561">
        <f t="shared" ca="1" si="229"/>
        <v>0</v>
      </c>
      <c r="CK75" s="561">
        <f t="shared" ca="1" si="229"/>
        <v>0</v>
      </c>
      <c r="CL75" s="561">
        <f t="shared" ca="1" si="229"/>
        <v>0</v>
      </c>
      <c r="CM75" s="561">
        <f t="shared" ca="1" si="202"/>
        <v>0</v>
      </c>
      <c r="CN75" s="561">
        <f t="shared" ca="1" si="202"/>
        <v>0</v>
      </c>
      <c r="CO75" s="561">
        <f t="shared" ca="1" si="202"/>
        <v>0</v>
      </c>
      <c r="CP75" s="561">
        <f t="shared" ca="1" si="202"/>
        <v>0</v>
      </c>
      <c r="CQ75" s="561">
        <f t="shared" ca="1" si="202"/>
        <v>0</v>
      </c>
      <c r="CR75" s="561">
        <f t="shared" ca="1" si="202"/>
        <v>0</v>
      </c>
      <c r="CS75" s="561">
        <f t="shared" ca="1" si="202"/>
        <v>0</v>
      </c>
      <c r="CT75" s="561">
        <f t="shared" ca="1" si="202"/>
        <v>0</v>
      </c>
      <c r="CU75" s="561">
        <f t="shared" ca="1" si="202"/>
        <v>0</v>
      </c>
      <c r="CV75" s="561">
        <f t="shared" ca="1" si="202"/>
        <v>0</v>
      </c>
      <c r="CW75" s="561">
        <f t="shared" ca="1" si="202"/>
        <v>0</v>
      </c>
      <c r="CX75" s="561">
        <f t="shared" ca="1" si="202"/>
        <v>0</v>
      </c>
      <c r="CY75" s="561">
        <f t="shared" ca="1" si="202"/>
        <v>0</v>
      </c>
      <c r="CZ75" s="561">
        <f t="shared" ca="1" si="202"/>
        <v>0</v>
      </c>
      <c r="DA75" s="561">
        <f t="shared" ca="1" si="202"/>
        <v>0</v>
      </c>
      <c r="DB75" s="561">
        <f t="shared" ca="1" si="202"/>
        <v>0</v>
      </c>
      <c r="DC75" s="561">
        <f t="shared" ca="1" si="202"/>
        <v>0</v>
      </c>
      <c r="DD75" s="561">
        <f t="shared" ca="1" si="202"/>
        <v>0</v>
      </c>
      <c r="DE75" s="561">
        <f t="shared" ca="1" si="202"/>
        <v>0</v>
      </c>
      <c r="DF75" s="561">
        <f t="shared" ca="1" si="202"/>
        <v>0</v>
      </c>
      <c r="DG75" s="561">
        <f t="shared" ca="1" si="202"/>
        <v>0</v>
      </c>
      <c r="DH75" s="561">
        <f t="shared" ca="1" si="202"/>
        <v>0</v>
      </c>
      <c r="DI75" s="561">
        <f t="shared" ca="1" si="202"/>
        <v>0</v>
      </c>
      <c r="DJ75" s="561">
        <f t="shared" ca="1" si="202"/>
        <v>0</v>
      </c>
      <c r="DK75" s="561">
        <f t="shared" ca="1" si="202"/>
        <v>0</v>
      </c>
      <c r="DL75" s="561">
        <f t="shared" ca="1" si="202"/>
        <v>0</v>
      </c>
      <c r="DM75" s="561">
        <f t="shared" ca="1" si="202"/>
        <v>0</v>
      </c>
      <c r="DN75" s="561">
        <f t="shared" ca="1" si="202"/>
        <v>0</v>
      </c>
      <c r="DO75" s="561">
        <f t="shared" ca="1" si="202"/>
        <v>0</v>
      </c>
      <c r="DP75" s="561">
        <f t="shared" ca="1" si="202"/>
        <v>0</v>
      </c>
    </row>
    <row r="76" spans="1:120" outlineLevel="1">
      <c r="A76" s="89">
        <v>1110052010</v>
      </c>
      <c r="B76" s="90" t="s">
        <v>2455</v>
      </c>
      <c r="C76" s="1476" t="s">
        <v>64</v>
      </c>
      <c r="D76" s="1481"/>
      <c r="E76" s="1482">
        <v>44991</v>
      </c>
      <c r="F76" s="420"/>
      <c r="G76" s="1256"/>
      <c r="H76" s="421"/>
      <c r="I76" s="422"/>
      <c r="J76" s="1425">
        <v>1</v>
      </c>
      <c r="K76" s="1426">
        <v>1</v>
      </c>
      <c r="L76" s="1043"/>
      <c r="M76" s="1594">
        <f t="shared" ref="M76" si="238">+L76*J76</f>
        <v>0</v>
      </c>
      <c r="N76" s="504">
        <f ca="1">IF(OR(E76="",E76&gt;TODAY()),0,IF(ISERROR(VLOOKUP($E76,'TRM BanRep'!$A:$G,7,0)),0,VLOOKUP($E76,'TRM BanRep'!$A:$G,7,0)))</f>
        <v>4780.8900000000003</v>
      </c>
      <c r="O76" s="424">
        <f t="shared" ref="O76" ca="1" si="239">+L76*J76*N76</f>
        <v>0</v>
      </c>
      <c r="P76" s="425">
        <v>-28453.23</v>
      </c>
      <c r="Q76" s="1340">
        <f t="shared" ref="Q76" si="240">+P76*K76</f>
        <v>-28453.23</v>
      </c>
      <c r="R76" s="426">
        <v>4814.1099999999997</v>
      </c>
      <c r="S76" s="426">
        <f ca="1">IF(OR(E76="",E76&gt;TODAY()),0,IF(ISERROR(VLOOKUP($E76,'TRM BanRep'!$A:$G,7,0)),0,VLOOKUP($E76,'TRM BanRep'!$A:$G,7,0)))</f>
        <v>4780.8900000000003</v>
      </c>
      <c r="T76" s="427">
        <f t="shared" ref="T76" ca="1" si="241">+P76*K76*S76</f>
        <v>-136031762.77470002</v>
      </c>
      <c r="U76" s="418">
        <f t="shared" ref="U76" si="242">+L76+P76+F76</f>
        <v>-28453.23</v>
      </c>
      <c r="V76" s="517">
        <f t="shared" ref="V76" ca="1" si="243">+P76*J76*R76+L76*J76*N76+F76*J76*H76</f>
        <v>-136976979.07529998</v>
      </c>
      <c r="W76" s="428">
        <f t="shared" ref="W76" ca="1" si="244">IF((-P76*J76*R76)-(-P76*K76*S76)&gt;0,(-P76*J76*R76)-(-P76*K76*S76),0)</f>
        <v>945216.30059996247</v>
      </c>
      <c r="X76" s="429">
        <f t="shared" ref="X76" ca="1" si="245">IF((-P76*J76*R76)-(-P76*K76*S76)&lt;0,(-P76*J76*R76)-(-P76*K76*S76),0)</f>
        <v>0</v>
      </c>
      <c r="Y76" s="92"/>
      <c r="Z76" s="1055"/>
      <c r="AA76" s="85">
        <f t="shared" ca="1" si="229"/>
        <v>0</v>
      </c>
      <c r="AB76" s="508">
        <f t="shared" ca="1" si="229"/>
        <v>0</v>
      </c>
      <c r="AC76" s="508">
        <f t="shared" ca="1" si="229"/>
        <v>0</v>
      </c>
      <c r="AD76" s="508">
        <f t="shared" ca="1" si="229"/>
        <v>0</v>
      </c>
      <c r="AE76" s="508">
        <f t="shared" ca="1" si="229"/>
        <v>0</v>
      </c>
      <c r="AF76" s="561">
        <f t="shared" ca="1" si="229"/>
        <v>0</v>
      </c>
      <c r="AG76" s="561">
        <f t="shared" ca="1" si="229"/>
        <v>0</v>
      </c>
      <c r="AH76" s="561">
        <f t="shared" ca="1" si="229"/>
        <v>0</v>
      </c>
      <c r="AI76" s="561">
        <f t="shared" ca="1" si="229"/>
        <v>0</v>
      </c>
      <c r="AJ76" s="561">
        <f t="shared" ca="1" si="229"/>
        <v>0</v>
      </c>
      <c r="AK76" s="561">
        <f t="shared" ca="1" si="229"/>
        <v>0</v>
      </c>
      <c r="AL76" s="1542">
        <f t="shared" ca="1" si="229"/>
        <v>0</v>
      </c>
      <c r="AM76" s="561">
        <f t="shared" ca="1" si="229"/>
        <v>0</v>
      </c>
      <c r="AN76" s="561">
        <f t="shared" ca="1" si="229"/>
        <v>0</v>
      </c>
      <c r="AO76" s="561">
        <f t="shared" ca="1" si="229"/>
        <v>0</v>
      </c>
      <c r="AP76" s="561">
        <f t="shared" ca="1" si="229"/>
        <v>0</v>
      </c>
      <c r="AQ76" s="561">
        <f t="shared" ca="1" si="229"/>
        <v>0</v>
      </c>
      <c r="AR76" s="561">
        <f t="shared" ca="1" si="229"/>
        <v>-28453.23</v>
      </c>
      <c r="AS76" s="561">
        <f t="shared" ca="1" si="229"/>
        <v>0</v>
      </c>
      <c r="AT76" s="561">
        <f t="shared" ca="1" si="229"/>
        <v>0</v>
      </c>
      <c r="AU76" s="561">
        <f t="shared" ca="1" si="229"/>
        <v>0</v>
      </c>
      <c r="AV76" s="561">
        <f t="shared" ca="1" si="229"/>
        <v>0</v>
      </c>
      <c r="AW76" s="561">
        <f t="shared" ca="1" si="229"/>
        <v>0</v>
      </c>
      <c r="AX76" s="561">
        <f t="shared" ca="1" si="229"/>
        <v>0</v>
      </c>
      <c r="AY76" s="561">
        <f t="shared" ca="1" si="229"/>
        <v>0</v>
      </c>
      <c r="AZ76" s="561">
        <f t="shared" ca="1" si="229"/>
        <v>0</v>
      </c>
      <c r="BA76" s="561">
        <f t="shared" ca="1" si="229"/>
        <v>0</v>
      </c>
      <c r="BB76" s="561">
        <f t="shared" ca="1" si="229"/>
        <v>0</v>
      </c>
      <c r="BC76" s="561">
        <f t="shared" ca="1" si="229"/>
        <v>0</v>
      </c>
      <c r="BD76" s="561">
        <f t="shared" ca="1" si="229"/>
        <v>0</v>
      </c>
      <c r="BE76" s="561">
        <f t="shared" ca="1" si="229"/>
        <v>0</v>
      </c>
      <c r="BF76" s="561">
        <f t="shared" ca="1" si="229"/>
        <v>0</v>
      </c>
      <c r="BG76" s="561">
        <f t="shared" ca="1" si="229"/>
        <v>0</v>
      </c>
      <c r="BH76" s="561">
        <f t="shared" ca="1" si="229"/>
        <v>0</v>
      </c>
      <c r="BI76" s="561">
        <f t="shared" ca="1" si="229"/>
        <v>0</v>
      </c>
      <c r="BJ76" s="561">
        <f t="shared" ca="1" si="229"/>
        <v>0</v>
      </c>
      <c r="BK76" s="561">
        <f t="shared" ca="1" si="229"/>
        <v>0</v>
      </c>
      <c r="BL76" s="561">
        <f t="shared" ca="1" si="229"/>
        <v>0</v>
      </c>
      <c r="BM76" s="561">
        <f t="shared" ca="1" si="229"/>
        <v>0</v>
      </c>
      <c r="BN76" s="561">
        <f t="shared" ca="1" si="229"/>
        <v>0</v>
      </c>
      <c r="BO76" s="561">
        <f t="shared" ca="1" si="229"/>
        <v>0</v>
      </c>
      <c r="BP76" s="561">
        <f t="shared" ca="1" si="229"/>
        <v>0</v>
      </c>
      <c r="BQ76" s="561">
        <f t="shared" ca="1" si="229"/>
        <v>0</v>
      </c>
      <c r="BR76" s="561">
        <f t="shared" ca="1" si="229"/>
        <v>0</v>
      </c>
      <c r="BS76" s="561">
        <f t="shared" ca="1" si="229"/>
        <v>0</v>
      </c>
      <c r="BT76" s="561">
        <f t="shared" ca="1" si="229"/>
        <v>0</v>
      </c>
      <c r="BU76" s="561">
        <f t="shared" ca="1" si="229"/>
        <v>0</v>
      </c>
      <c r="BV76" s="561">
        <f t="shared" ca="1" si="229"/>
        <v>0</v>
      </c>
      <c r="BW76" s="561">
        <f t="shared" ca="1" si="229"/>
        <v>0</v>
      </c>
      <c r="BX76" s="561">
        <f t="shared" ca="1" si="229"/>
        <v>0</v>
      </c>
      <c r="BY76" s="561">
        <f t="shared" ca="1" si="229"/>
        <v>0</v>
      </c>
      <c r="BZ76" s="561">
        <f t="shared" ca="1" si="229"/>
        <v>0</v>
      </c>
      <c r="CA76" s="561">
        <f t="shared" ca="1" si="229"/>
        <v>0</v>
      </c>
      <c r="CB76" s="561">
        <f t="shared" ca="1" si="229"/>
        <v>0</v>
      </c>
      <c r="CC76" s="561">
        <f t="shared" ca="1" si="229"/>
        <v>0</v>
      </c>
      <c r="CD76" s="561">
        <f t="shared" ca="1" si="229"/>
        <v>0</v>
      </c>
      <c r="CE76" s="561">
        <f t="shared" ca="1" si="229"/>
        <v>0</v>
      </c>
      <c r="CF76" s="561">
        <f t="shared" ca="1" si="229"/>
        <v>0</v>
      </c>
      <c r="CG76" s="561">
        <f t="shared" ca="1" si="229"/>
        <v>0</v>
      </c>
      <c r="CH76" s="561">
        <f t="shared" ca="1" si="229"/>
        <v>0</v>
      </c>
      <c r="CI76" s="561">
        <f t="shared" ca="1" si="229"/>
        <v>0</v>
      </c>
      <c r="CJ76" s="561">
        <f t="shared" ca="1" si="229"/>
        <v>0</v>
      </c>
      <c r="CK76" s="561">
        <f t="shared" ca="1" si="229"/>
        <v>0</v>
      </c>
      <c r="CL76" s="561">
        <f t="shared" ca="1" si="229"/>
        <v>0</v>
      </c>
      <c r="CM76" s="561">
        <f t="shared" ca="1" si="202"/>
        <v>0</v>
      </c>
      <c r="CN76" s="561">
        <f t="shared" ca="1" si="202"/>
        <v>0</v>
      </c>
      <c r="CO76" s="561">
        <f t="shared" ca="1" si="202"/>
        <v>0</v>
      </c>
      <c r="CP76" s="561">
        <f t="shared" ca="1" si="202"/>
        <v>0</v>
      </c>
      <c r="CQ76" s="561">
        <f t="shared" ca="1" si="202"/>
        <v>0</v>
      </c>
      <c r="CR76" s="561">
        <f t="shared" ca="1" si="202"/>
        <v>0</v>
      </c>
      <c r="CS76" s="561">
        <f t="shared" ca="1" si="202"/>
        <v>0</v>
      </c>
      <c r="CT76" s="561">
        <f t="shared" ca="1" si="202"/>
        <v>0</v>
      </c>
      <c r="CU76" s="561">
        <f t="shared" ca="1" si="202"/>
        <v>0</v>
      </c>
      <c r="CV76" s="561">
        <f t="shared" ca="1" si="202"/>
        <v>0</v>
      </c>
      <c r="CW76" s="561">
        <f t="shared" ca="1" si="202"/>
        <v>0</v>
      </c>
      <c r="CX76" s="561">
        <f t="shared" ca="1" si="202"/>
        <v>0</v>
      </c>
      <c r="CY76" s="561">
        <f t="shared" ca="1" si="202"/>
        <v>0</v>
      </c>
      <c r="CZ76" s="561">
        <f t="shared" ca="1" si="202"/>
        <v>0</v>
      </c>
      <c r="DA76" s="561">
        <f t="shared" ca="1" si="202"/>
        <v>0</v>
      </c>
      <c r="DB76" s="561">
        <f t="shared" ca="1" si="202"/>
        <v>0</v>
      </c>
      <c r="DC76" s="561">
        <f t="shared" ca="1" si="202"/>
        <v>0</v>
      </c>
      <c r="DD76" s="561">
        <f t="shared" ca="1" si="202"/>
        <v>0</v>
      </c>
      <c r="DE76" s="561">
        <f t="shared" ca="1" si="202"/>
        <v>0</v>
      </c>
      <c r="DF76" s="561">
        <f t="shared" ca="1" si="202"/>
        <v>0</v>
      </c>
      <c r="DG76" s="561">
        <f t="shared" ca="1" si="202"/>
        <v>0</v>
      </c>
      <c r="DH76" s="561">
        <f t="shared" ca="1" si="202"/>
        <v>0</v>
      </c>
      <c r="DI76" s="561">
        <f t="shared" ca="1" si="202"/>
        <v>0</v>
      </c>
      <c r="DJ76" s="561">
        <f t="shared" ca="1" si="202"/>
        <v>0</v>
      </c>
      <c r="DK76" s="561">
        <f t="shared" ca="1" si="202"/>
        <v>0</v>
      </c>
      <c r="DL76" s="561">
        <f t="shared" ca="1" si="202"/>
        <v>0</v>
      </c>
      <c r="DM76" s="561">
        <f t="shared" ca="1" si="202"/>
        <v>0</v>
      </c>
      <c r="DN76" s="561">
        <f t="shared" ca="1" si="202"/>
        <v>0</v>
      </c>
      <c r="DO76" s="561">
        <f t="shared" ca="1" si="202"/>
        <v>0</v>
      </c>
      <c r="DP76" s="561">
        <f t="shared" ca="1" si="202"/>
        <v>0</v>
      </c>
    </row>
    <row r="77" spans="1:120" s="116" customFormat="1" outlineLevel="1">
      <c r="A77" s="100">
        <v>1110052010</v>
      </c>
      <c r="B77" s="1216" t="s">
        <v>2456</v>
      </c>
      <c r="C77" s="1695" t="s">
        <v>64</v>
      </c>
      <c r="D77" s="1629"/>
      <c r="E77" s="1630">
        <v>44993</v>
      </c>
      <c r="F77" s="102"/>
      <c r="G77" s="1258"/>
      <c r="H77" s="103"/>
      <c r="I77" s="104"/>
      <c r="J77" s="1604">
        <v>1</v>
      </c>
      <c r="K77" s="1605">
        <v>1</v>
      </c>
      <c r="L77" s="1696"/>
      <c r="M77" s="1697">
        <f t="shared" si="187"/>
        <v>0</v>
      </c>
      <c r="N77" s="1228">
        <f ca="1">IF(OR(E77="",E77&gt;TODAY()),0,IF(ISERROR(VLOOKUP($E77,'TRM BanRep'!$A:$G,7,0)),0,VLOOKUP($E77,'TRM BanRep'!$A:$G,7,0)))</f>
        <v>4744.95</v>
      </c>
      <c r="O77" s="107">
        <f t="shared" ca="1" si="196"/>
        <v>0</v>
      </c>
      <c r="P77" s="108">
        <v>-945598.2</v>
      </c>
      <c r="Q77" s="1342">
        <f t="shared" si="189"/>
        <v>-945598.2</v>
      </c>
      <c r="R77" s="109">
        <v>4814.1099999999997</v>
      </c>
      <c r="S77" s="109">
        <v>4814.1099999999997</v>
      </c>
      <c r="T77" s="110">
        <f t="shared" si="197"/>
        <v>-4552213750.6019993</v>
      </c>
      <c r="U77" s="111">
        <f t="shared" si="191"/>
        <v>-945598.2</v>
      </c>
      <c r="V77" s="566">
        <f t="shared" ca="1" si="198"/>
        <v>-4552213750.6019993</v>
      </c>
      <c r="W77" s="112">
        <f t="shared" si="199"/>
        <v>0</v>
      </c>
      <c r="X77" s="113">
        <f t="shared" si="200"/>
        <v>0</v>
      </c>
      <c r="Y77" s="114"/>
      <c r="Z77" s="115"/>
      <c r="AA77" s="85">
        <f t="shared" ca="1" si="229"/>
        <v>0</v>
      </c>
      <c r="AB77" s="508">
        <f t="shared" ca="1" si="229"/>
        <v>0</v>
      </c>
      <c r="AC77" s="508">
        <f t="shared" ca="1" si="229"/>
        <v>0</v>
      </c>
      <c r="AD77" s="508">
        <f t="shared" ca="1" si="229"/>
        <v>0</v>
      </c>
      <c r="AE77" s="508">
        <f t="shared" ca="1" si="229"/>
        <v>0</v>
      </c>
      <c r="AF77" s="561">
        <f t="shared" ca="1" si="229"/>
        <v>0</v>
      </c>
      <c r="AG77" s="561">
        <f t="shared" ca="1" si="229"/>
        <v>0</v>
      </c>
      <c r="AH77" s="561">
        <f t="shared" ca="1" si="229"/>
        <v>0</v>
      </c>
      <c r="AI77" s="561">
        <f t="shared" ca="1" si="229"/>
        <v>0</v>
      </c>
      <c r="AJ77" s="561">
        <f t="shared" ca="1" si="229"/>
        <v>0</v>
      </c>
      <c r="AK77" s="561">
        <f t="shared" ca="1" si="229"/>
        <v>0</v>
      </c>
      <c r="AL77" s="1542">
        <f t="shared" ca="1" si="229"/>
        <v>0</v>
      </c>
      <c r="AM77" s="561">
        <f t="shared" ca="1" si="229"/>
        <v>0</v>
      </c>
      <c r="AN77" s="561">
        <f t="shared" ca="1" si="229"/>
        <v>0</v>
      </c>
      <c r="AO77" s="561">
        <f t="shared" ca="1" si="229"/>
        <v>0</v>
      </c>
      <c r="AP77" s="561">
        <f t="shared" ca="1" si="229"/>
        <v>0</v>
      </c>
      <c r="AQ77" s="561">
        <f t="shared" ca="1" si="229"/>
        <v>0</v>
      </c>
      <c r="AR77" s="561">
        <f t="shared" ca="1" si="229"/>
        <v>-945598.2</v>
      </c>
      <c r="AS77" s="561">
        <f t="shared" ca="1" si="229"/>
        <v>0</v>
      </c>
      <c r="AT77" s="561">
        <f t="shared" ca="1" si="229"/>
        <v>0</v>
      </c>
      <c r="AU77" s="561">
        <f t="shared" ca="1" si="229"/>
        <v>0</v>
      </c>
      <c r="AV77" s="561">
        <f t="shared" ca="1" si="229"/>
        <v>0</v>
      </c>
      <c r="AW77" s="561">
        <f t="shared" ca="1" si="229"/>
        <v>0</v>
      </c>
      <c r="AX77" s="561">
        <f t="shared" ca="1" si="229"/>
        <v>0</v>
      </c>
      <c r="AY77" s="561">
        <f t="shared" ca="1" si="229"/>
        <v>0</v>
      </c>
      <c r="AZ77" s="561">
        <f t="shared" ca="1" si="229"/>
        <v>0</v>
      </c>
      <c r="BA77" s="561">
        <f t="shared" ca="1" si="229"/>
        <v>0</v>
      </c>
      <c r="BB77" s="561">
        <f t="shared" ca="1" si="229"/>
        <v>0</v>
      </c>
      <c r="BC77" s="561">
        <f t="shared" ca="1" si="229"/>
        <v>0</v>
      </c>
      <c r="BD77" s="561">
        <f t="shared" ca="1" si="229"/>
        <v>0</v>
      </c>
      <c r="BE77" s="561">
        <f t="shared" ca="1" si="229"/>
        <v>0</v>
      </c>
      <c r="BF77" s="561">
        <f t="shared" ca="1" si="229"/>
        <v>0</v>
      </c>
      <c r="BG77" s="561">
        <f t="shared" ca="1" si="229"/>
        <v>0</v>
      </c>
      <c r="BH77" s="561">
        <f t="shared" ca="1" si="229"/>
        <v>0</v>
      </c>
      <c r="BI77" s="561">
        <f t="shared" ca="1" si="229"/>
        <v>0</v>
      </c>
      <c r="BJ77" s="561">
        <f t="shared" ca="1" si="229"/>
        <v>0</v>
      </c>
      <c r="BK77" s="561">
        <f t="shared" ca="1" si="229"/>
        <v>0</v>
      </c>
      <c r="BL77" s="561">
        <f t="shared" ca="1" si="229"/>
        <v>0</v>
      </c>
      <c r="BM77" s="561">
        <f t="shared" ca="1" si="229"/>
        <v>0</v>
      </c>
      <c r="BN77" s="561">
        <f t="shared" ca="1" si="229"/>
        <v>0</v>
      </c>
      <c r="BO77" s="561">
        <f t="shared" ca="1" si="229"/>
        <v>0</v>
      </c>
      <c r="BP77" s="561">
        <f t="shared" ca="1" si="229"/>
        <v>0</v>
      </c>
      <c r="BQ77" s="561">
        <f t="shared" ca="1" si="229"/>
        <v>0</v>
      </c>
      <c r="BR77" s="561">
        <f t="shared" ca="1" si="229"/>
        <v>0</v>
      </c>
      <c r="BS77" s="561">
        <f t="shared" ca="1" si="229"/>
        <v>0</v>
      </c>
      <c r="BT77" s="561">
        <f t="shared" ca="1" si="229"/>
        <v>0</v>
      </c>
      <c r="BU77" s="561">
        <f t="shared" ca="1" si="229"/>
        <v>0</v>
      </c>
      <c r="BV77" s="561">
        <f t="shared" ca="1" si="229"/>
        <v>0</v>
      </c>
      <c r="BW77" s="561">
        <f t="shared" ca="1" si="229"/>
        <v>0</v>
      </c>
      <c r="BX77" s="561">
        <f t="shared" ca="1" si="229"/>
        <v>0</v>
      </c>
      <c r="BY77" s="561">
        <f t="shared" ca="1" si="229"/>
        <v>0</v>
      </c>
      <c r="BZ77" s="561">
        <f t="shared" ca="1" si="229"/>
        <v>0</v>
      </c>
      <c r="CA77" s="561">
        <f t="shared" ca="1" si="229"/>
        <v>0</v>
      </c>
      <c r="CB77" s="561">
        <f t="shared" ca="1" si="229"/>
        <v>0</v>
      </c>
      <c r="CC77" s="561">
        <f t="shared" ca="1" si="229"/>
        <v>0</v>
      </c>
      <c r="CD77" s="561">
        <f t="shared" ca="1" si="229"/>
        <v>0</v>
      </c>
      <c r="CE77" s="561">
        <f t="shared" ca="1" si="229"/>
        <v>0</v>
      </c>
      <c r="CF77" s="561">
        <f t="shared" ca="1" si="229"/>
        <v>0</v>
      </c>
      <c r="CG77" s="561">
        <f t="shared" ca="1" si="229"/>
        <v>0</v>
      </c>
      <c r="CH77" s="561">
        <f t="shared" ca="1" si="229"/>
        <v>0</v>
      </c>
      <c r="CI77" s="561">
        <f t="shared" ca="1" si="229"/>
        <v>0</v>
      </c>
      <c r="CJ77" s="561">
        <f t="shared" ca="1" si="229"/>
        <v>0</v>
      </c>
      <c r="CK77" s="561">
        <f t="shared" ref="CK77:CZ79" ca="1" si="246">IF($L77="",IF(OR($P77="",$R77=""),0,IF($R77=CK$6,$Q77,0)),IF($E77=CK$5,$M77,))</f>
        <v>0</v>
      </c>
      <c r="CL77" s="561">
        <f t="shared" ca="1" si="246"/>
        <v>0</v>
      </c>
      <c r="CM77" s="561">
        <f t="shared" ca="1" si="202"/>
        <v>0</v>
      </c>
      <c r="CN77" s="561">
        <f t="shared" ca="1" si="202"/>
        <v>0</v>
      </c>
      <c r="CO77" s="561">
        <f t="shared" ca="1" si="202"/>
        <v>0</v>
      </c>
      <c r="CP77" s="561">
        <f t="shared" ca="1" si="202"/>
        <v>0</v>
      </c>
      <c r="CQ77" s="561">
        <f t="shared" ca="1" si="202"/>
        <v>0</v>
      </c>
      <c r="CR77" s="561">
        <f t="shared" ca="1" si="202"/>
        <v>0</v>
      </c>
      <c r="CS77" s="561">
        <f t="shared" ca="1" si="202"/>
        <v>0</v>
      </c>
      <c r="CT77" s="561">
        <f t="shared" ca="1" si="202"/>
        <v>0</v>
      </c>
      <c r="CU77" s="561">
        <f t="shared" ca="1" si="202"/>
        <v>0</v>
      </c>
      <c r="CV77" s="561">
        <f t="shared" ca="1" si="202"/>
        <v>0</v>
      </c>
      <c r="CW77" s="561">
        <f t="shared" ca="1" si="202"/>
        <v>0</v>
      </c>
      <c r="CX77" s="561">
        <f t="shared" ca="1" si="202"/>
        <v>0</v>
      </c>
      <c r="CY77" s="561">
        <f t="shared" ca="1" si="202"/>
        <v>0</v>
      </c>
      <c r="CZ77" s="561">
        <f t="shared" ca="1" si="202"/>
        <v>0</v>
      </c>
      <c r="DA77" s="561">
        <f t="shared" ca="1" si="202"/>
        <v>0</v>
      </c>
      <c r="DB77" s="561">
        <f t="shared" ca="1" si="202"/>
        <v>0</v>
      </c>
      <c r="DC77" s="561">
        <f t="shared" ca="1" si="202"/>
        <v>0</v>
      </c>
      <c r="DD77" s="561">
        <f t="shared" ca="1" si="202"/>
        <v>0</v>
      </c>
      <c r="DE77" s="561">
        <f t="shared" ca="1" si="202"/>
        <v>0</v>
      </c>
      <c r="DF77" s="561">
        <f t="shared" ca="1" si="202"/>
        <v>0</v>
      </c>
      <c r="DG77" s="561">
        <f t="shared" ca="1" si="202"/>
        <v>0</v>
      </c>
      <c r="DH77" s="561">
        <f t="shared" ca="1" si="202"/>
        <v>0</v>
      </c>
      <c r="DI77" s="561">
        <f t="shared" ca="1" si="202"/>
        <v>0</v>
      </c>
      <c r="DJ77" s="561">
        <f t="shared" ca="1" si="202"/>
        <v>0</v>
      </c>
      <c r="DK77" s="561">
        <f t="shared" ca="1" si="202"/>
        <v>0</v>
      </c>
      <c r="DL77" s="561">
        <f t="shared" ca="1" si="202"/>
        <v>0</v>
      </c>
      <c r="DM77" s="561">
        <f t="shared" ca="1" si="202"/>
        <v>0</v>
      </c>
      <c r="DN77" s="561">
        <f t="shared" ca="1" si="202"/>
        <v>0</v>
      </c>
      <c r="DO77" s="561">
        <f t="shared" ca="1" si="202"/>
        <v>0</v>
      </c>
      <c r="DP77" s="561">
        <f t="shared" ca="1" si="202"/>
        <v>0</v>
      </c>
    </row>
    <row r="78" spans="1:120" s="116" customFormat="1" outlineLevel="1">
      <c r="A78" s="100">
        <v>1110052010</v>
      </c>
      <c r="B78" s="1216" t="s">
        <v>2456</v>
      </c>
      <c r="C78" s="1695" t="s">
        <v>64</v>
      </c>
      <c r="D78" s="1629"/>
      <c r="E78" s="1630">
        <v>44993</v>
      </c>
      <c r="F78" s="102"/>
      <c r="G78" s="1258"/>
      <c r="H78" s="103"/>
      <c r="I78" s="104"/>
      <c r="J78" s="1604">
        <v>1</v>
      </c>
      <c r="K78" s="1605">
        <v>1</v>
      </c>
      <c r="L78" s="1696"/>
      <c r="M78" s="1697">
        <f t="shared" ref="M78" si="247">+L78*J78</f>
        <v>0</v>
      </c>
      <c r="N78" s="1228">
        <f ca="1">IF(OR(E78="",E78&gt;TODAY()),0,IF(ISERROR(VLOOKUP($E78,'TRM BanRep'!$A:$G,7,0)),0,VLOOKUP($E78,'TRM BanRep'!$A:$G,7,0)))</f>
        <v>4744.95</v>
      </c>
      <c r="O78" s="107">
        <f t="shared" ref="O78" ca="1" si="248">+L78*J78*N78</f>
        <v>0</v>
      </c>
      <c r="P78" s="108">
        <v>-1100000</v>
      </c>
      <c r="Q78" s="1342">
        <f t="shared" ref="Q78" si="249">+P78*K78</f>
        <v>-1100000</v>
      </c>
      <c r="R78" s="109">
        <v>4848.78</v>
      </c>
      <c r="S78" s="109">
        <v>4848.78</v>
      </c>
      <c r="T78" s="110">
        <f t="shared" ref="T78" si="250">+P78*K78*S78</f>
        <v>-5333658000</v>
      </c>
      <c r="U78" s="111">
        <f t="shared" ref="U78" si="251">+L78+P78+F78</f>
        <v>-1100000</v>
      </c>
      <c r="V78" s="566">
        <f t="shared" ref="V78" ca="1" si="252">+P78*J78*R78+L78*J78*N78+F78*J78*H78</f>
        <v>-5333658000</v>
      </c>
      <c r="W78" s="112">
        <f t="shared" ref="W78" si="253">IF((-P78*J78*R78)-(-P78*K78*S78)&gt;0,(-P78*J78*R78)-(-P78*K78*S78),0)</f>
        <v>0</v>
      </c>
      <c r="X78" s="113">
        <f t="shared" ref="X78" si="254">IF((-P78*J78*R78)-(-P78*K78*S78)&lt;0,(-P78*J78*R78)-(-P78*K78*S78),0)</f>
        <v>0</v>
      </c>
      <c r="Y78" s="114"/>
      <c r="Z78" s="115"/>
      <c r="AA78" s="85">
        <f t="shared" ref="AA78:CJ79" ca="1" si="255">IF($L78="",IF(OR($P78="",$R78=""),0,IF($R78=AA$6,$Q78,0)),IF($E78=AA$5,$M78,))</f>
        <v>0</v>
      </c>
      <c r="AB78" s="508">
        <f t="shared" ca="1" si="255"/>
        <v>0</v>
      </c>
      <c r="AC78" s="508">
        <f t="shared" ca="1" si="255"/>
        <v>0</v>
      </c>
      <c r="AD78" s="508">
        <f t="shared" ca="1" si="255"/>
        <v>0</v>
      </c>
      <c r="AE78" s="508">
        <f t="shared" ca="1" si="255"/>
        <v>0</v>
      </c>
      <c r="AF78" s="561">
        <f t="shared" ca="1" si="255"/>
        <v>0</v>
      </c>
      <c r="AG78" s="561">
        <f t="shared" ca="1" si="255"/>
        <v>0</v>
      </c>
      <c r="AH78" s="561">
        <f t="shared" ca="1" si="255"/>
        <v>0</v>
      </c>
      <c r="AI78" s="561">
        <f t="shared" ca="1" si="255"/>
        <v>0</v>
      </c>
      <c r="AJ78" s="561">
        <f t="shared" ca="1" si="255"/>
        <v>0</v>
      </c>
      <c r="AK78" s="561">
        <f t="shared" ca="1" si="255"/>
        <v>0</v>
      </c>
      <c r="AL78" s="1542">
        <f t="shared" ca="1" si="255"/>
        <v>0</v>
      </c>
      <c r="AM78" s="561">
        <f t="shared" ca="1" si="255"/>
        <v>0</v>
      </c>
      <c r="AN78" s="561">
        <f t="shared" ca="1" si="255"/>
        <v>0</v>
      </c>
      <c r="AO78" s="561">
        <f t="shared" ca="1" si="255"/>
        <v>0</v>
      </c>
      <c r="AP78" s="561">
        <f t="shared" ca="1" si="255"/>
        <v>0</v>
      </c>
      <c r="AQ78" s="561">
        <f t="shared" ca="1" si="255"/>
        <v>0</v>
      </c>
      <c r="AR78" s="561">
        <f t="shared" ca="1" si="255"/>
        <v>0</v>
      </c>
      <c r="AS78" s="561">
        <f t="shared" ca="1" si="255"/>
        <v>-1100000</v>
      </c>
      <c r="AT78" s="561">
        <f t="shared" ca="1" si="255"/>
        <v>0</v>
      </c>
      <c r="AU78" s="561">
        <f t="shared" ca="1" si="255"/>
        <v>0</v>
      </c>
      <c r="AV78" s="561">
        <f t="shared" ca="1" si="255"/>
        <v>0</v>
      </c>
      <c r="AW78" s="561">
        <f t="shared" ca="1" si="255"/>
        <v>0</v>
      </c>
      <c r="AX78" s="561">
        <f t="shared" ca="1" si="255"/>
        <v>0</v>
      </c>
      <c r="AY78" s="561">
        <f t="shared" ca="1" si="255"/>
        <v>0</v>
      </c>
      <c r="AZ78" s="561">
        <f t="shared" ca="1" si="255"/>
        <v>0</v>
      </c>
      <c r="BA78" s="561">
        <f t="shared" ca="1" si="255"/>
        <v>0</v>
      </c>
      <c r="BB78" s="561">
        <f t="shared" ca="1" si="255"/>
        <v>0</v>
      </c>
      <c r="BC78" s="561">
        <f t="shared" ca="1" si="255"/>
        <v>0</v>
      </c>
      <c r="BD78" s="561">
        <f t="shared" ca="1" si="255"/>
        <v>0</v>
      </c>
      <c r="BE78" s="561">
        <f t="shared" ca="1" si="255"/>
        <v>0</v>
      </c>
      <c r="BF78" s="561">
        <f t="shared" ca="1" si="255"/>
        <v>0</v>
      </c>
      <c r="BG78" s="561">
        <f t="shared" ca="1" si="255"/>
        <v>0</v>
      </c>
      <c r="BH78" s="561">
        <f t="shared" ca="1" si="255"/>
        <v>0</v>
      </c>
      <c r="BI78" s="561">
        <f t="shared" ca="1" si="255"/>
        <v>0</v>
      </c>
      <c r="BJ78" s="561">
        <f t="shared" ca="1" si="255"/>
        <v>0</v>
      </c>
      <c r="BK78" s="561">
        <f t="shared" ca="1" si="255"/>
        <v>0</v>
      </c>
      <c r="BL78" s="561">
        <f t="shared" ca="1" si="255"/>
        <v>0</v>
      </c>
      <c r="BM78" s="561">
        <f t="shared" ca="1" si="255"/>
        <v>0</v>
      </c>
      <c r="BN78" s="561">
        <f t="shared" ca="1" si="255"/>
        <v>0</v>
      </c>
      <c r="BO78" s="561">
        <f t="shared" ca="1" si="255"/>
        <v>0</v>
      </c>
      <c r="BP78" s="561">
        <f t="shared" ca="1" si="255"/>
        <v>0</v>
      </c>
      <c r="BQ78" s="561">
        <f t="shared" ca="1" si="255"/>
        <v>0</v>
      </c>
      <c r="BR78" s="561">
        <f t="shared" ca="1" si="255"/>
        <v>0</v>
      </c>
      <c r="BS78" s="561">
        <f t="shared" ca="1" si="255"/>
        <v>0</v>
      </c>
      <c r="BT78" s="561">
        <f t="shared" ca="1" si="255"/>
        <v>0</v>
      </c>
      <c r="BU78" s="561">
        <f t="shared" ca="1" si="255"/>
        <v>0</v>
      </c>
      <c r="BV78" s="561">
        <f t="shared" ca="1" si="255"/>
        <v>0</v>
      </c>
      <c r="BW78" s="561">
        <f t="shared" ca="1" si="255"/>
        <v>0</v>
      </c>
      <c r="BX78" s="561">
        <f t="shared" ca="1" si="255"/>
        <v>0</v>
      </c>
      <c r="BY78" s="561">
        <f t="shared" ca="1" si="255"/>
        <v>0</v>
      </c>
      <c r="BZ78" s="561">
        <f t="shared" ca="1" si="255"/>
        <v>0</v>
      </c>
      <c r="CA78" s="561">
        <f t="shared" ca="1" si="255"/>
        <v>0</v>
      </c>
      <c r="CB78" s="561">
        <f t="shared" ca="1" si="255"/>
        <v>0</v>
      </c>
      <c r="CC78" s="561">
        <f t="shared" ca="1" si="255"/>
        <v>0</v>
      </c>
      <c r="CD78" s="561">
        <f t="shared" ca="1" si="255"/>
        <v>0</v>
      </c>
      <c r="CE78" s="561">
        <f t="shared" ca="1" si="255"/>
        <v>0</v>
      </c>
      <c r="CF78" s="561">
        <f t="shared" ca="1" si="255"/>
        <v>0</v>
      </c>
      <c r="CG78" s="561">
        <f t="shared" ca="1" si="255"/>
        <v>0</v>
      </c>
      <c r="CH78" s="561">
        <f t="shared" ca="1" si="255"/>
        <v>0</v>
      </c>
      <c r="CI78" s="561">
        <f t="shared" ca="1" si="255"/>
        <v>0</v>
      </c>
      <c r="CJ78" s="561">
        <f t="shared" ca="1" si="255"/>
        <v>0</v>
      </c>
      <c r="CK78" s="561">
        <f t="shared" ca="1" si="246"/>
        <v>0</v>
      </c>
      <c r="CL78" s="561">
        <f t="shared" ca="1" si="246"/>
        <v>0</v>
      </c>
      <c r="CM78" s="561">
        <f t="shared" ca="1" si="246"/>
        <v>0</v>
      </c>
      <c r="CN78" s="561">
        <f t="shared" ca="1" si="246"/>
        <v>0</v>
      </c>
      <c r="CO78" s="561">
        <f t="shared" ca="1" si="246"/>
        <v>0</v>
      </c>
      <c r="CP78" s="561">
        <f t="shared" ca="1" si="246"/>
        <v>0</v>
      </c>
      <c r="CQ78" s="561">
        <f t="shared" ca="1" si="246"/>
        <v>0</v>
      </c>
      <c r="CR78" s="561">
        <f t="shared" ca="1" si="246"/>
        <v>0</v>
      </c>
      <c r="CS78" s="561">
        <f t="shared" ca="1" si="246"/>
        <v>0</v>
      </c>
      <c r="CT78" s="561">
        <f t="shared" ca="1" si="246"/>
        <v>0</v>
      </c>
      <c r="CU78" s="561">
        <f t="shared" ca="1" si="246"/>
        <v>0</v>
      </c>
      <c r="CV78" s="561">
        <f t="shared" ca="1" si="246"/>
        <v>0</v>
      </c>
      <c r="CW78" s="561">
        <f t="shared" ca="1" si="246"/>
        <v>0</v>
      </c>
      <c r="CX78" s="561">
        <f t="shared" ca="1" si="246"/>
        <v>0</v>
      </c>
      <c r="CY78" s="561">
        <f t="shared" ca="1" si="246"/>
        <v>0</v>
      </c>
      <c r="CZ78" s="561">
        <f t="shared" ca="1" si="246"/>
        <v>0</v>
      </c>
      <c r="DA78" s="561">
        <f t="shared" ref="DA78:DP79" ca="1" si="256">IF($L78="",IF(OR($P78="",$R78=""),0,IF($R78=DA$6,$Q78,0)),IF($E78=DA$5,$M78,))</f>
        <v>0</v>
      </c>
      <c r="DB78" s="561">
        <f t="shared" ca="1" si="256"/>
        <v>0</v>
      </c>
      <c r="DC78" s="561">
        <f t="shared" ca="1" si="256"/>
        <v>0</v>
      </c>
      <c r="DD78" s="561">
        <f t="shared" ca="1" si="256"/>
        <v>0</v>
      </c>
      <c r="DE78" s="561">
        <f t="shared" ca="1" si="256"/>
        <v>0</v>
      </c>
      <c r="DF78" s="561">
        <f t="shared" ca="1" si="256"/>
        <v>0</v>
      </c>
      <c r="DG78" s="561">
        <f t="shared" ca="1" si="256"/>
        <v>0</v>
      </c>
      <c r="DH78" s="561">
        <f t="shared" ca="1" si="256"/>
        <v>0</v>
      </c>
      <c r="DI78" s="561">
        <f t="shared" ca="1" si="256"/>
        <v>0</v>
      </c>
      <c r="DJ78" s="561">
        <f t="shared" ca="1" si="256"/>
        <v>0</v>
      </c>
      <c r="DK78" s="561">
        <f t="shared" ca="1" si="256"/>
        <v>0</v>
      </c>
      <c r="DL78" s="561">
        <f t="shared" ca="1" si="256"/>
        <v>0</v>
      </c>
      <c r="DM78" s="561">
        <f t="shared" ca="1" si="256"/>
        <v>0</v>
      </c>
      <c r="DN78" s="561">
        <f t="shared" ca="1" si="256"/>
        <v>0</v>
      </c>
      <c r="DO78" s="561">
        <f t="shared" ca="1" si="256"/>
        <v>0</v>
      </c>
      <c r="DP78" s="561">
        <f t="shared" ca="1" si="256"/>
        <v>0</v>
      </c>
    </row>
    <row r="79" spans="1:120" s="116" customFormat="1" outlineLevel="1">
      <c r="A79" s="100">
        <v>1110052010</v>
      </c>
      <c r="B79" s="1216" t="s">
        <v>2456</v>
      </c>
      <c r="C79" s="1695" t="s">
        <v>64</v>
      </c>
      <c r="D79" s="1629"/>
      <c r="E79" s="1630">
        <v>44993</v>
      </c>
      <c r="F79" s="102"/>
      <c r="G79" s="1258"/>
      <c r="H79" s="103"/>
      <c r="I79" s="104"/>
      <c r="J79" s="1604">
        <v>1</v>
      </c>
      <c r="K79" s="1605">
        <v>1</v>
      </c>
      <c r="L79" s="1696"/>
      <c r="M79" s="1697">
        <f t="shared" ref="M79" si="257">+L79*J79</f>
        <v>0</v>
      </c>
      <c r="N79" s="1228">
        <f ca="1">IF(OR(E79="",E79&gt;TODAY()),0,IF(ISERROR(VLOOKUP($E79,'TRM BanRep'!$A:$G,7,0)),0,VLOOKUP($E79,'TRM BanRep'!$A:$G,7,0)))</f>
        <v>4744.95</v>
      </c>
      <c r="O79" s="107">
        <f t="shared" ref="O79" ca="1" si="258">+L79*J79*N79</f>
        <v>0</v>
      </c>
      <c r="P79" s="108">
        <v>-1954401.8</v>
      </c>
      <c r="Q79" s="1342">
        <f t="shared" ref="Q79" si="259">+P79*K79</f>
        <v>-1954401.8</v>
      </c>
      <c r="R79" s="109">
        <v>4780.8900000000003</v>
      </c>
      <c r="S79" s="109">
        <v>4780.8900000000003</v>
      </c>
      <c r="T79" s="110">
        <f t="shared" ref="T79" si="260">+P79*K79*S79</f>
        <v>-9343780021.6020012</v>
      </c>
      <c r="U79" s="111">
        <f t="shared" ref="U79" si="261">+L79+P79+F79</f>
        <v>-1954401.8</v>
      </c>
      <c r="V79" s="566">
        <f t="shared" ref="V79" ca="1" si="262">+P79*J79*R79+L79*J79*N79+F79*J79*H79</f>
        <v>-9343780021.6020012</v>
      </c>
      <c r="W79" s="112">
        <f t="shared" ref="W79" si="263">IF((-P79*J79*R79)-(-P79*K79*S79)&gt;0,(-P79*J79*R79)-(-P79*K79*S79),0)</f>
        <v>0</v>
      </c>
      <c r="X79" s="113">
        <f t="shared" ref="X79" si="264">IF((-P79*J79*R79)-(-P79*K79*S79)&lt;0,(-P79*J79*R79)-(-P79*K79*S79),0)</f>
        <v>0</v>
      </c>
      <c r="Y79" s="114"/>
      <c r="Z79" s="115"/>
      <c r="AA79" s="85">
        <f t="shared" ca="1" si="255"/>
        <v>0</v>
      </c>
      <c r="AB79" s="508">
        <f t="shared" ca="1" si="255"/>
        <v>0</v>
      </c>
      <c r="AC79" s="508">
        <f t="shared" ca="1" si="255"/>
        <v>0</v>
      </c>
      <c r="AD79" s="508">
        <f t="shared" ca="1" si="255"/>
        <v>0</v>
      </c>
      <c r="AE79" s="508">
        <f t="shared" ca="1" si="255"/>
        <v>0</v>
      </c>
      <c r="AF79" s="561">
        <f t="shared" ca="1" si="255"/>
        <v>0</v>
      </c>
      <c r="AG79" s="561">
        <f t="shared" ca="1" si="255"/>
        <v>0</v>
      </c>
      <c r="AH79" s="561">
        <f t="shared" ca="1" si="255"/>
        <v>0</v>
      </c>
      <c r="AI79" s="561">
        <f t="shared" ca="1" si="255"/>
        <v>0</v>
      </c>
      <c r="AJ79" s="561">
        <f t="shared" ca="1" si="255"/>
        <v>0</v>
      </c>
      <c r="AK79" s="561">
        <f t="shared" ca="1" si="255"/>
        <v>0</v>
      </c>
      <c r="AL79" s="1542">
        <f t="shared" ca="1" si="255"/>
        <v>0</v>
      </c>
      <c r="AM79" s="561">
        <f t="shared" ca="1" si="255"/>
        <v>0</v>
      </c>
      <c r="AN79" s="561">
        <f t="shared" ca="1" si="255"/>
        <v>0</v>
      </c>
      <c r="AO79" s="561">
        <f t="shared" ca="1" si="255"/>
        <v>0</v>
      </c>
      <c r="AP79" s="561">
        <f t="shared" ca="1" si="255"/>
        <v>0</v>
      </c>
      <c r="AQ79" s="561">
        <f t="shared" ca="1" si="255"/>
        <v>0</v>
      </c>
      <c r="AR79" s="561">
        <f t="shared" ca="1" si="255"/>
        <v>0</v>
      </c>
      <c r="AS79" s="561">
        <f t="shared" ca="1" si="255"/>
        <v>0</v>
      </c>
      <c r="AT79" s="561">
        <f t="shared" ca="1" si="255"/>
        <v>-1954401.8</v>
      </c>
      <c r="AU79" s="561">
        <f t="shared" ca="1" si="255"/>
        <v>0</v>
      </c>
      <c r="AV79" s="561">
        <f t="shared" ca="1" si="255"/>
        <v>0</v>
      </c>
      <c r="AW79" s="561">
        <f t="shared" ca="1" si="255"/>
        <v>0</v>
      </c>
      <c r="AX79" s="561">
        <f t="shared" ca="1" si="255"/>
        <v>0</v>
      </c>
      <c r="AY79" s="561">
        <f t="shared" ca="1" si="255"/>
        <v>0</v>
      </c>
      <c r="AZ79" s="561">
        <f t="shared" ca="1" si="255"/>
        <v>0</v>
      </c>
      <c r="BA79" s="561">
        <f t="shared" ca="1" si="255"/>
        <v>0</v>
      </c>
      <c r="BB79" s="561">
        <f t="shared" ca="1" si="255"/>
        <v>0</v>
      </c>
      <c r="BC79" s="561">
        <f t="shared" ca="1" si="255"/>
        <v>0</v>
      </c>
      <c r="BD79" s="561">
        <f t="shared" ca="1" si="255"/>
        <v>0</v>
      </c>
      <c r="BE79" s="561">
        <f t="shared" ca="1" si="255"/>
        <v>0</v>
      </c>
      <c r="BF79" s="561">
        <f t="shared" ca="1" si="255"/>
        <v>0</v>
      </c>
      <c r="BG79" s="561">
        <f t="shared" ca="1" si="255"/>
        <v>0</v>
      </c>
      <c r="BH79" s="561">
        <f t="shared" ca="1" si="255"/>
        <v>0</v>
      </c>
      <c r="BI79" s="561">
        <f t="shared" ca="1" si="255"/>
        <v>0</v>
      </c>
      <c r="BJ79" s="561">
        <f t="shared" ca="1" si="255"/>
        <v>0</v>
      </c>
      <c r="BK79" s="561">
        <f t="shared" ca="1" si="255"/>
        <v>0</v>
      </c>
      <c r="BL79" s="561">
        <f t="shared" ca="1" si="255"/>
        <v>0</v>
      </c>
      <c r="BM79" s="561">
        <f t="shared" ca="1" si="255"/>
        <v>0</v>
      </c>
      <c r="BN79" s="561">
        <f t="shared" ca="1" si="255"/>
        <v>0</v>
      </c>
      <c r="BO79" s="561">
        <f t="shared" ca="1" si="255"/>
        <v>0</v>
      </c>
      <c r="BP79" s="561">
        <f t="shared" ca="1" si="255"/>
        <v>0</v>
      </c>
      <c r="BQ79" s="561">
        <f t="shared" ca="1" si="255"/>
        <v>0</v>
      </c>
      <c r="BR79" s="561">
        <f t="shared" ca="1" si="255"/>
        <v>0</v>
      </c>
      <c r="BS79" s="561">
        <f t="shared" ca="1" si="255"/>
        <v>0</v>
      </c>
      <c r="BT79" s="561">
        <f t="shared" ca="1" si="255"/>
        <v>0</v>
      </c>
      <c r="BU79" s="561">
        <f t="shared" ca="1" si="255"/>
        <v>0</v>
      </c>
      <c r="BV79" s="561">
        <f t="shared" ca="1" si="255"/>
        <v>0</v>
      </c>
      <c r="BW79" s="561">
        <f t="shared" ca="1" si="255"/>
        <v>0</v>
      </c>
      <c r="BX79" s="561">
        <f t="shared" ca="1" si="255"/>
        <v>0</v>
      </c>
      <c r="BY79" s="561">
        <f t="shared" ca="1" si="255"/>
        <v>0</v>
      </c>
      <c r="BZ79" s="561">
        <f t="shared" ca="1" si="255"/>
        <v>0</v>
      </c>
      <c r="CA79" s="561">
        <f t="shared" ca="1" si="255"/>
        <v>0</v>
      </c>
      <c r="CB79" s="561">
        <f t="shared" ca="1" si="255"/>
        <v>0</v>
      </c>
      <c r="CC79" s="561">
        <f t="shared" ca="1" si="255"/>
        <v>0</v>
      </c>
      <c r="CD79" s="561">
        <f t="shared" ca="1" si="255"/>
        <v>0</v>
      </c>
      <c r="CE79" s="561">
        <f t="shared" ca="1" si="255"/>
        <v>0</v>
      </c>
      <c r="CF79" s="561">
        <f t="shared" ca="1" si="255"/>
        <v>0</v>
      </c>
      <c r="CG79" s="561">
        <f t="shared" ca="1" si="255"/>
        <v>0</v>
      </c>
      <c r="CH79" s="561">
        <f t="shared" ca="1" si="255"/>
        <v>0</v>
      </c>
      <c r="CI79" s="561">
        <f t="shared" ca="1" si="255"/>
        <v>0</v>
      </c>
      <c r="CJ79" s="561">
        <f t="shared" ca="1" si="255"/>
        <v>0</v>
      </c>
      <c r="CK79" s="561">
        <f t="shared" ca="1" si="246"/>
        <v>0</v>
      </c>
      <c r="CL79" s="561">
        <f t="shared" ca="1" si="246"/>
        <v>0</v>
      </c>
      <c r="CM79" s="561">
        <f t="shared" ca="1" si="246"/>
        <v>0</v>
      </c>
      <c r="CN79" s="561">
        <f t="shared" ca="1" si="246"/>
        <v>0</v>
      </c>
      <c r="CO79" s="561">
        <f t="shared" ca="1" si="246"/>
        <v>0</v>
      </c>
      <c r="CP79" s="561">
        <f t="shared" ca="1" si="246"/>
        <v>0</v>
      </c>
      <c r="CQ79" s="561">
        <f t="shared" ca="1" si="246"/>
        <v>0</v>
      </c>
      <c r="CR79" s="561">
        <f t="shared" ca="1" si="246"/>
        <v>0</v>
      </c>
      <c r="CS79" s="561">
        <f t="shared" ca="1" si="246"/>
        <v>0</v>
      </c>
      <c r="CT79" s="561">
        <f t="shared" ca="1" si="246"/>
        <v>0</v>
      </c>
      <c r="CU79" s="561">
        <f t="shared" ca="1" si="246"/>
        <v>0</v>
      </c>
      <c r="CV79" s="561">
        <f t="shared" ca="1" si="246"/>
        <v>0</v>
      </c>
      <c r="CW79" s="561">
        <f t="shared" ca="1" si="246"/>
        <v>0</v>
      </c>
      <c r="CX79" s="561">
        <f t="shared" ca="1" si="246"/>
        <v>0</v>
      </c>
      <c r="CY79" s="561">
        <f t="shared" ca="1" si="246"/>
        <v>0</v>
      </c>
      <c r="CZ79" s="561">
        <f t="shared" ca="1" si="246"/>
        <v>0</v>
      </c>
      <c r="DA79" s="561">
        <f t="shared" ca="1" si="256"/>
        <v>0</v>
      </c>
      <c r="DB79" s="561">
        <f t="shared" ca="1" si="256"/>
        <v>0</v>
      </c>
      <c r="DC79" s="561">
        <f t="shared" ca="1" si="256"/>
        <v>0</v>
      </c>
      <c r="DD79" s="561">
        <f t="shared" ca="1" si="256"/>
        <v>0</v>
      </c>
      <c r="DE79" s="561">
        <f t="shared" ca="1" si="256"/>
        <v>0</v>
      </c>
      <c r="DF79" s="561">
        <f t="shared" ca="1" si="256"/>
        <v>0</v>
      </c>
      <c r="DG79" s="561">
        <f t="shared" ca="1" si="256"/>
        <v>0</v>
      </c>
      <c r="DH79" s="561">
        <f t="shared" ca="1" si="256"/>
        <v>0</v>
      </c>
      <c r="DI79" s="561">
        <f t="shared" ca="1" si="256"/>
        <v>0</v>
      </c>
      <c r="DJ79" s="561">
        <f t="shared" ca="1" si="256"/>
        <v>0</v>
      </c>
      <c r="DK79" s="561">
        <f t="shared" ca="1" si="256"/>
        <v>0</v>
      </c>
      <c r="DL79" s="561">
        <f t="shared" ca="1" si="256"/>
        <v>0</v>
      </c>
      <c r="DM79" s="561">
        <f t="shared" ca="1" si="256"/>
        <v>0</v>
      </c>
      <c r="DN79" s="561">
        <f t="shared" ca="1" si="256"/>
        <v>0</v>
      </c>
      <c r="DO79" s="561">
        <f t="shared" ca="1" si="256"/>
        <v>0</v>
      </c>
      <c r="DP79" s="561">
        <f t="shared" ca="1" si="256"/>
        <v>0</v>
      </c>
    </row>
    <row r="80" spans="1:120" outlineLevel="1">
      <c r="A80" s="89">
        <v>1110052010</v>
      </c>
      <c r="B80" s="90" t="s">
        <v>2454</v>
      </c>
      <c r="C80" s="1476" t="s">
        <v>64</v>
      </c>
      <c r="D80" s="1481"/>
      <c r="E80" s="1482">
        <v>45000</v>
      </c>
      <c r="F80" s="420"/>
      <c r="G80" s="1256"/>
      <c r="H80" s="421"/>
      <c r="I80" s="422"/>
      <c r="J80" s="1425">
        <v>1</v>
      </c>
      <c r="K80" s="1426">
        <v>1</v>
      </c>
      <c r="L80" s="1043"/>
      <c r="M80" s="1594">
        <f t="shared" si="187"/>
        <v>0</v>
      </c>
      <c r="N80" s="504">
        <f ca="1">IF(OR(E80="",E80&gt;TODAY()),0,IF(ISERROR(VLOOKUP($E80,'TRM BanRep'!$A:$G,7,0)),0,VLOOKUP($E80,'TRM BanRep'!$A:$G,7,0)))</f>
        <v>4736.03</v>
      </c>
      <c r="O80" s="424">
        <f t="shared" ca="1" si="196"/>
        <v>0</v>
      </c>
      <c r="P80" s="425">
        <v>-18101.63</v>
      </c>
      <c r="Q80" s="1340">
        <f t="shared" si="189"/>
        <v>-18101.63</v>
      </c>
      <c r="R80" s="426">
        <v>4780.8900000000003</v>
      </c>
      <c r="S80" s="426">
        <f ca="1">IF(OR(E80="",E80&gt;TODAY()),0,IF(ISERROR(VLOOKUP($E80,'TRM BanRep'!$A:$G,7,0)),0,VLOOKUP($E80,'TRM BanRep'!$A:$G,7,0)))</f>
        <v>4736.03</v>
      </c>
      <c r="T80" s="427">
        <f t="shared" ca="1" si="197"/>
        <v>-85729862.7289</v>
      </c>
      <c r="U80" s="418">
        <f t="shared" si="191"/>
        <v>-18101.63</v>
      </c>
      <c r="V80" s="517">
        <f t="shared" ca="1" si="198"/>
        <v>-86541901.850700006</v>
      </c>
      <c r="W80" s="428">
        <f t="shared" ca="1" si="199"/>
        <v>812039.12180000544</v>
      </c>
      <c r="X80" s="429">
        <f t="shared" ca="1" si="200"/>
        <v>0</v>
      </c>
      <c r="Y80" s="92"/>
      <c r="Z80" s="1055"/>
      <c r="AA80" s="85">
        <f t="shared" ref="AA80:AP104" ca="1" si="265">IF($L80="",IF(OR($P80="",$R80=""),0,IF($R80=AA$6,$Q80,0)),IF($E80=AA$5,$M80,))</f>
        <v>0</v>
      </c>
      <c r="AB80" s="508">
        <f t="shared" ca="1" si="265"/>
        <v>0</v>
      </c>
      <c r="AC80" s="508">
        <f t="shared" ca="1" si="265"/>
        <v>0</v>
      </c>
      <c r="AD80" s="508">
        <f t="shared" ca="1" si="265"/>
        <v>0</v>
      </c>
      <c r="AE80" s="508">
        <f t="shared" ca="1" si="265"/>
        <v>0</v>
      </c>
      <c r="AF80" s="561">
        <f t="shared" ca="1" si="265"/>
        <v>0</v>
      </c>
      <c r="AG80" s="561">
        <f t="shared" ca="1" si="265"/>
        <v>0</v>
      </c>
      <c r="AH80" s="561">
        <f t="shared" ca="1" si="265"/>
        <v>0</v>
      </c>
      <c r="AI80" s="561">
        <f t="shared" ca="1" si="265"/>
        <v>0</v>
      </c>
      <c r="AJ80" s="561">
        <f t="shared" ca="1" si="265"/>
        <v>0</v>
      </c>
      <c r="AK80" s="561">
        <f t="shared" ca="1" si="265"/>
        <v>0</v>
      </c>
      <c r="AL80" s="1542">
        <f t="shared" ca="1" si="265"/>
        <v>0</v>
      </c>
      <c r="AM80" s="561">
        <f t="shared" ca="1" si="265"/>
        <v>0</v>
      </c>
      <c r="AN80" s="561">
        <f t="shared" ca="1" si="265"/>
        <v>0</v>
      </c>
      <c r="AO80" s="561">
        <f t="shared" ca="1" si="265"/>
        <v>0</v>
      </c>
      <c r="AP80" s="561">
        <f t="shared" ca="1" si="265"/>
        <v>0</v>
      </c>
      <c r="AQ80" s="561">
        <f t="shared" ref="AQ80:BF104" ca="1" si="266">IF($L80="",IF(OR($P80="",$R80=""),0,IF($R80=AQ$6,$Q80,0)),IF($E80=AQ$5,$M80,))</f>
        <v>0</v>
      </c>
      <c r="AR80" s="561">
        <f t="shared" ca="1" si="266"/>
        <v>0</v>
      </c>
      <c r="AS80" s="561">
        <f t="shared" ca="1" si="266"/>
        <v>0</v>
      </c>
      <c r="AT80" s="561">
        <f t="shared" ca="1" si="266"/>
        <v>-18101.63</v>
      </c>
      <c r="AU80" s="561">
        <f t="shared" ca="1" si="266"/>
        <v>0</v>
      </c>
      <c r="AV80" s="561">
        <f t="shared" ca="1" si="266"/>
        <v>0</v>
      </c>
      <c r="AW80" s="561">
        <f t="shared" ca="1" si="266"/>
        <v>0</v>
      </c>
      <c r="AX80" s="561">
        <f t="shared" ca="1" si="266"/>
        <v>0</v>
      </c>
      <c r="AY80" s="561">
        <f t="shared" ca="1" si="266"/>
        <v>0</v>
      </c>
      <c r="AZ80" s="561">
        <f t="shared" ca="1" si="266"/>
        <v>0</v>
      </c>
      <c r="BA80" s="561">
        <f t="shared" ca="1" si="266"/>
        <v>0</v>
      </c>
      <c r="BB80" s="561">
        <f t="shared" ca="1" si="266"/>
        <v>0</v>
      </c>
      <c r="BC80" s="561">
        <f t="shared" ca="1" si="266"/>
        <v>0</v>
      </c>
      <c r="BD80" s="561">
        <f t="shared" ca="1" si="266"/>
        <v>0</v>
      </c>
      <c r="BE80" s="561">
        <f t="shared" ca="1" si="266"/>
        <v>0</v>
      </c>
      <c r="BF80" s="561">
        <f t="shared" ca="1" si="266"/>
        <v>0</v>
      </c>
      <c r="BG80" s="561">
        <f t="shared" ref="BG80:BV104" ca="1" si="267">IF($L80="",IF(OR($P80="",$R80=""),0,IF($R80=BG$6,$Q80,0)),IF($E80=BG$5,$M80,))</f>
        <v>0</v>
      </c>
      <c r="BH80" s="561">
        <f t="shared" ca="1" si="267"/>
        <v>0</v>
      </c>
      <c r="BI80" s="561">
        <f t="shared" ca="1" si="267"/>
        <v>0</v>
      </c>
      <c r="BJ80" s="561">
        <f t="shared" ca="1" si="267"/>
        <v>0</v>
      </c>
      <c r="BK80" s="561">
        <f t="shared" ca="1" si="267"/>
        <v>0</v>
      </c>
      <c r="BL80" s="561">
        <f t="shared" ca="1" si="267"/>
        <v>0</v>
      </c>
      <c r="BM80" s="561">
        <f t="shared" ca="1" si="267"/>
        <v>0</v>
      </c>
      <c r="BN80" s="561">
        <f t="shared" ca="1" si="267"/>
        <v>0</v>
      </c>
      <c r="BO80" s="561">
        <f t="shared" ca="1" si="267"/>
        <v>0</v>
      </c>
      <c r="BP80" s="561">
        <f t="shared" ca="1" si="267"/>
        <v>0</v>
      </c>
      <c r="BQ80" s="561">
        <f t="shared" ca="1" si="267"/>
        <v>0</v>
      </c>
      <c r="BR80" s="561">
        <f t="shared" ca="1" si="267"/>
        <v>0</v>
      </c>
      <c r="BS80" s="561">
        <f t="shared" ca="1" si="267"/>
        <v>0</v>
      </c>
      <c r="BT80" s="561">
        <f t="shared" ca="1" si="267"/>
        <v>0</v>
      </c>
      <c r="BU80" s="561">
        <f t="shared" ca="1" si="267"/>
        <v>0</v>
      </c>
      <c r="BV80" s="561">
        <f t="shared" ca="1" si="267"/>
        <v>0</v>
      </c>
      <c r="BW80" s="561">
        <f t="shared" ref="BW80:CL104" ca="1" si="268">IF($L80="",IF(OR($P80="",$R80=""),0,IF($R80=BW$6,$Q80,0)),IF($E80=BW$5,$M80,))</f>
        <v>0</v>
      </c>
      <c r="BX80" s="561">
        <f t="shared" ca="1" si="268"/>
        <v>0</v>
      </c>
      <c r="BY80" s="561">
        <f t="shared" ca="1" si="268"/>
        <v>0</v>
      </c>
      <c r="BZ80" s="561">
        <f t="shared" ca="1" si="268"/>
        <v>0</v>
      </c>
      <c r="CA80" s="561">
        <f t="shared" ca="1" si="268"/>
        <v>0</v>
      </c>
      <c r="CB80" s="561">
        <f t="shared" ca="1" si="268"/>
        <v>0</v>
      </c>
      <c r="CC80" s="561">
        <f t="shared" ca="1" si="268"/>
        <v>0</v>
      </c>
      <c r="CD80" s="561">
        <f t="shared" ca="1" si="268"/>
        <v>0</v>
      </c>
      <c r="CE80" s="561">
        <f t="shared" ca="1" si="268"/>
        <v>0</v>
      </c>
      <c r="CF80" s="561">
        <f t="shared" ca="1" si="268"/>
        <v>0</v>
      </c>
      <c r="CG80" s="561">
        <f t="shared" ca="1" si="268"/>
        <v>0</v>
      </c>
      <c r="CH80" s="561">
        <f t="shared" ca="1" si="268"/>
        <v>0</v>
      </c>
      <c r="CI80" s="561">
        <f t="shared" ca="1" si="268"/>
        <v>0</v>
      </c>
      <c r="CJ80" s="561">
        <f t="shared" ca="1" si="268"/>
        <v>0</v>
      </c>
      <c r="CK80" s="561">
        <f t="shared" ca="1" si="268"/>
        <v>0</v>
      </c>
      <c r="CL80" s="561">
        <f t="shared" ca="1" si="268"/>
        <v>0</v>
      </c>
      <c r="CM80" s="561">
        <f t="shared" ca="1" si="202"/>
        <v>0</v>
      </c>
      <c r="CN80" s="561">
        <f t="shared" ca="1" si="202"/>
        <v>0</v>
      </c>
      <c r="CO80" s="561">
        <f t="shared" ca="1" si="202"/>
        <v>0</v>
      </c>
      <c r="CP80" s="561">
        <f t="shared" ca="1" si="202"/>
        <v>0</v>
      </c>
      <c r="CQ80" s="561">
        <f t="shared" ca="1" si="202"/>
        <v>0</v>
      </c>
      <c r="CR80" s="561">
        <f t="shared" ca="1" si="202"/>
        <v>0</v>
      </c>
      <c r="CS80" s="561">
        <f t="shared" ca="1" si="202"/>
        <v>0</v>
      </c>
      <c r="CT80" s="561">
        <f t="shared" ca="1" si="202"/>
        <v>0</v>
      </c>
      <c r="CU80" s="561">
        <f t="shared" ca="1" si="202"/>
        <v>0</v>
      </c>
      <c r="CV80" s="561">
        <f t="shared" ca="1" si="202"/>
        <v>0</v>
      </c>
      <c r="CW80" s="561">
        <f t="shared" ca="1" si="202"/>
        <v>0</v>
      </c>
      <c r="CX80" s="561">
        <f t="shared" ca="1" si="202"/>
        <v>0</v>
      </c>
      <c r="CY80" s="561">
        <f t="shared" ca="1" si="202"/>
        <v>0</v>
      </c>
      <c r="CZ80" s="561">
        <f t="shared" ca="1" si="202"/>
        <v>0</v>
      </c>
      <c r="DA80" s="561">
        <f t="shared" ca="1" si="202"/>
        <v>0</v>
      </c>
      <c r="DB80" s="561">
        <f t="shared" ref="DB80:DP104" ca="1" si="269">IF($L80="",IF(OR($P80="",$R80=""),0,IF($R80=DB$6,$Q80,0)),IF($E80=DB$5,$M80,))</f>
        <v>0</v>
      </c>
      <c r="DC80" s="561">
        <f t="shared" ca="1" si="269"/>
        <v>0</v>
      </c>
      <c r="DD80" s="561">
        <f t="shared" ca="1" si="269"/>
        <v>0</v>
      </c>
      <c r="DE80" s="561">
        <f t="shared" ca="1" si="269"/>
        <v>0</v>
      </c>
      <c r="DF80" s="561">
        <f t="shared" ca="1" si="269"/>
        <v>0</v>
      </c>
      <c r="DG80" s="561">
        <f t="shared" ca="1" si="269"/>
        <v>0</v>
      </c>
      <c r="DH80" s="561">
        <f t="shared" ca="1" si="269"/>
        <v>0</v>
      </c>
      <c r="DI80" s="561">
        <f t="shared" ca="1" si="269"/>
        <v>0</v>
      </c>
      <c r="DJ80" s="561">
        <f t="shared" ca="1" si="269"/>
        <v>0</v>
      </c>
      <c r="DK80" s="561">
        <f t="shared" ca="1" si="269"/>
        <v>0</v>
      </c>
      <c r="DL80" s="561">
        <f t="shared" ca="1" si="269"/>
        <v>0</v>
      </c>
      <c r="DM80" s="561">
        <f t="shared" ca="1" si="269"/>
        <v>0</v>
      </c>
      <c r="DN80" s="561">
        <f t="shared" ca="1" si="269"/>
        <v>0</v>
      </c>
      <c r="DO80" s="561">
        <f t="shared" ca="1" si="269"/>
        <v>0</v>
      </c>
      <c r="DP80" s="561">
        <f t="shared" ca="1" si="269"/>
        <v>0</v>
      </c>
    </row>
    <row r="81" spans="1:120" outlineLevel="1">
      <c r="A81" s="89">
        <v>1110052010</v>
      </c>
      <c r="B81" s="90" t="s">
        <v>2211</v>
      </c>
      <c r="C81" s="1476" t="s">
        <v>64</v>
      </c>
      <c r="D81" s="1481"/>
      <c r="E81" s="1482">
        <v>45000</v>
      </c>
      <c r="F81" s="420"/>
      <c r="G81" s="1256"/>
      <c r="H81" s="421"/>
      <c r="I81" s="422"/>
      <c r="J81" s="1425">
        <v>1</v>
      </c>
      <c r="K81" s="1426">
        <v>1</v>
      </c>
      <c r="L81" s="1043"/>
      <c r="M81" s="1594">
        <f t="shared" si="187"/>
        <v>0</v>
      </c>
      <c r="N81" s="504">
        <f ca="1">IF(OR(E81="",E81&gt;TODAY()),0,IF(ISERROR(VLOOKUP($E81,'TRM BanRep'!$A:$G,7,0)),0,VLOOKUP($E81,'TRM BanRep'!$A:$G,7,0)))</f>
        <v>4736.03</v>
      </c>
      <c r="O81" s="424">
        <f t="shared" ca="1" si="196"/>
        <v>0</v>
      </c>
      <c r="P81" s="425">
        <v>-390.95</v>
      </c>
      <c r="Q81" s="1340">
        <f t="shared" si="189"/>
        <v>-390.95</v>
      </c>
      <c r="R81" s="426">
        <v>4780.8900000000003</v>
      </c>
      <c r="S81" s="426">
        <f ca="1">IF(OR(E81="",E81&gt;TODAY()),0,IF(ISERROR(VLOOKUP($E81,'TRM BanRep'!$A:$G,7,0)),0,VLOOKUP($E81,'TRM BanRep'!$A:$G,7,0)))</f>
        <v>4736.03</v>
      </c>
      <c r="T81" s="427">
        <f t="shared" ca="1" si="197"/>
        <v>-1851550.9284999999</v>
      </c>
      <c r="U81" s="418">
        <f t="shared" si="191"/>
        <v>-390.95</v>
      </c>
      <c r="V81" s="517">
        <f t="shared" ca="1" si="198"/>
        <v>-1869088.9455000001</v>
      </c>
      <c r="W81" s="428">
        <f t="shared" ca="1" si="199"/>
        <v>17538.017000000225</v>
      </c>
      <c r="X81" s="429">
        <f t="shared" ca="1" si="200"/>
        <v>0</v>
      </c>
      <c r="Y81" s="92"/>
      <c r="Z81" s="1055"/>
      <c r="AA81" s="85">
        <f t="shared" ca="1" si="265"/>
        <v>0</v>
      </c>
      <c r="AB81" s="508">
        <f t="shared" ca="1" si="265"/>
        <v>0</v>
      </c>
      <c r="AC81" s="508">
        <f t="shared" ca="1" si="265"/>
        <v>0</v>
      </c>
      <c r="AD81" s="508">
        <f t="shared" ca="1" si="265"/>
        <v>0</v>
      </c>
      <c r="AE81" s="508">
        <f t="shared" ca="1" si="265"/>
        <v>0</v>
      </c>
      <c r="AF81" s="561">
        <f t="shared" ca="1" si="265"/>
        <v>0</v>
      </c>
      <c r="AG81" s="561">
        <f t="shared" ca="1" si="265"/>
        <v>0</v>
      </c>
      <c r="AH81" s="561">
        <f t="shared" ca="1" si="265"/>
        <v>0</v>
      </c>
      <c r="AI81" s="561">
        <f t="shared" ca="1" si="265"/>
        <v>0</v>
      </c>
      <c r="AJ81" s="561">
        <f t="shared" ca="1" si="265"/>
        <v>0</v>
      </c>
      <c r="AK81" s="561">
        <f t="shared" ca="1" si="265"/>
        <v>0</v>
      </c>
      <c r="AL81" s="1542">
        <f t="shared" ca="1" si="265"/>
        <v>0</v>
      </c>
      <c r="AM81" s="561">
        <f t="shared" ca="1" si="265"/>
        <v>0</v>
      </c>
      <c r="AN81" s="561">
        <f t="shared" ca="1" si="265"/>
        <v>0</v>
      </c>
      <c r="AO81" s="561">
        <f t="shared" ca="1" si="265"/>
        <v>0</v>
      </c>
      <c r="AP81" s="561">
        <f t="shared" ca="1" si="265"/>
        <v>0</v>
      </c>
      <c r="AQ81" s="561">
        <f t="shared" ca="1" si="266"/>
        <v>0</v>
      </c>
      <c r="AR81" s="561">
        <f t="shared" ca="1" si="266"/>
        <v>0</v>
      </c>
      <c r="AS81" s="561">
        <f t="shared" ca="1" si="266"/>
        <v>0</v>
      </c>
      <c r="AT81" s="561">
        <f t="shared" ca="1" si="266"/>
        <v>-390.95</v>
      </c>
      <c r="AU81" s="561">
        <f t="shared" ca="1" si="266"/>
        <v>0</v>
      </c>
      <c r="AV81" s="561">
        <f t="shared" ca="1" si="266"/>
        <v>0</v>
      </c>
      <c r="AW81" s="561">
        <f t="shared" ca="1" si="266"/>
        <v>0</v>
      </c>
      <c r="AX81" s="561">
        <f t="shared" ca="1" si="266"/>
        <v>0</v>
      </c>
      <c r="AY81" s="561">
        <f t="shared" ca="1" si="266"/>
        <v>0</v>
      </c>
      <c r="AZ81" s="561">
        <f t="shared" ca="1" si="266"/>
        <v>0</v>
      </c>
      <c r="BA81" s="561">
        <f t="shared" ca="1" si="266"/>
        <v>0</v>
      </c>
      <c r="BB81" s="561">
        <f t="shared" ca="1" si="266"/>
        <v>0</v>
      </c>
      <c r="BC81" s="561">
        <f t="shared" ca="1" si="266"/>
        <v>0</v>
      </c>
      <c r="BD81" s="561">
        <f t="shared" ca="1" si="266"/>
        <v>0</v>
      </c>
      <c r="BE81" s="561">
        <f t="shared" ca="1" si="266"/>
        <v>0</v>
      </c>
      <c r="BF81" s="561">
        <f t="shared" ca="1" si="266"/>
        <v>0</v>
      </c>
      <c r="BG81" s="561">
        <f t="shared" ca="1" si="267"/>
        <v>0</v>
      </c>
      <c r="BH81" s="561">
        <f t="shared" ca="1" si="267"/>
        <v>0</v>
      </c>
      <c r="BI81" s="561">
        <f t="shared" ca="1" si="267"/>
        <v>0</v>
      </c>
      <c r="BJ81" s="561">
        <f t="shared" ca="1" si="267"/>
        <v>0</v>
      </c>
      <c r="BK81" s="561">
        <f t="shared" ca="1" si="267"/>
        <v>0</v>
      </c>
      <c r="BL81" s="561">
        <f t="shared" ca="1" si="267"/>
        <v>0</v>
      </c>
      <c r="BM81" s="561">
        <f t="shared" ca="1" si="267"/>
        <v>0</v>
      </c>
      <c r="BN81" s="561">
        <f t="shared" ca="1" si="267"/>
        <v>0</v>
      </c>
      <c r="BO81" s="561">
        <f t="shared" ca="1" si="267"/>
        <v>0</v>
      </c>
      <c r="BP81" s="561">
        <f t="shared" ca="1" si="267"/>
        <v>0</v>
      </c>
      <c r="BQ81" s="561">
        <f t="shared" ca="1" si="267"/>
        <v>0</v>
      </c>
      <c r="BR81" s="561">
        <f t="shared" ca="1" si="267"/>
        <v>0</v>
      </c>
      <c r="BS81" s="561">
        <f t="shared" ca="1" si="267"/>
        <v>0</v>
      </c>
      <c r="BT81" s="561">
        <f t="shared" ca="1" si="267"/>
        <v>0</v>
      </c>
      <c r="BU81" s="561">
        <f t="shared" ca="1" si="267"/>
        <v>0</v>
      </c>
      <c r="BV81" s="561">
        <f t="shared" ca="1" si="267"/>
        <v>0</v>
      </c>
      <c r="BW81" s="561">
        <f t="shared" ca="1" si="268"/>
        <v>0</v>
      </c>
      <c r="BX81" s="561">
        <f t="shared" ca="1" si="268"/>
        <v>0</v>
      </c>
      <c r="BY81" s="561">
        <f t="shared" ca="1" si="268"/>
        <v>0</v>
      </c>
      <c r="BZ81" s="561">
        <f t="shared" ca="1" si="268"/>
        <v>0</v>
      </c>
      <c r="CA81" s="561">
        <f t="shared" ca="1" si="268"/>
        <v>0</v>
      </c>
      <c r="CB81" s="561">
        <f t="shared" ca="1" si="268"/>
        <v>0</v>
      </c>
      <c r="CC81" s="561">
        <f t="shared" ca="1" si="268"/>
        <v>0</v>
      </c>
      <c r="CD81" s="561">
        <f t="shared" ca="1" si="268"/>
        <v>0</v>
      </c>
      <c r="CE81" s="561">
        <f t="shared" ca="1" si="268"/>
        <v>0</v>
      </c>
      <c r="CF81" s="561">
        <f t="shared" ca="1" si="268"/>
        <v>0</v>
      </c>
      <c r="CG81" s="561">
        <f t="shared" ca="1" si="268"/>
        <v>0</v>
      </c>
      <c r="CH81" s="561">
        <f t="shared" ca="1" si="268"/>
        <v>0</v>
      </c>
      <c r="CI81" s="561">
        <f t="shared" ca="1" si="268"/>
        <v>0</v>
      </c>
      <c r="CJ81" s="561">
        <f t="shared" ca="1" si="268"/>
        <v>0</v>
      </c>
      <c r="CK81" s="561">
        <f t="shared" ca="1" si="268"/>
        <v>0</v>
      </c>
      <c r="CL81" s="561">
        <f t="shared" ca="1" si="268"/>
        <v>0</v>
      </c>
      <c r="CM81" s="561">
        <f t="shared" ref="CM81:DB104" ca="1" si="270">IF($L81="",IF(OR($P81="",$R81=""),0,IF($R81=CM$6,$Q81,0)),IF($E81=CM$5,$M81,))</f>
        <v>0</v>
      </c>
      <c r="CN81" s="561">
        <f t="shared" ca="1" si="270"/>
        <v>0</v>
      </c>
      <c r="CO81" s="561">
        <f t="shared" ca="1" si="270"/>
        <v>0</v>
      </c>
      <c r="CP81" s="561">
        <f t="shared" ca="1" si="270"/>
        <v>0</v>
      </c>
      <c r="CQ81" s="561">
        <f t="shared" ca="1" si="270"/>
        <v>0</v>
      </c>
      <c r="CR81" s="561">
        <f t="shared" ca="1" si="270"/>
        <v>0</v>
      </c>
      <c r="CS81" s="561">
        <f t="shared" ca="1" si="270"/>
        <v>0</v>
      </c>
      <c r="CT81" s="561">
        <f t="shared" ca="1" si="270"/>
        <v>0</v>
      </c>
      <c r="CU81" s="561">
        <f t="shared" ca="1" si="270"/>
        <v>0</v>
      </c>
      <c r="CV81" s="561">
        <f t="shared" ca="1" si="270"/>
        <v>0</v>
      </c>
      <c r="CW81" s="561">
        <f t="shared" ca="1" si="270"/>
        <v>0</v>
      </c>
      <c r="CX81" s="561">
        <f t="shared" ca="1" si="270"/>
        <v>0</v>
      </c>
      <c r="CY81" s="561">
        <f t="shared" ca="1" si="270"/>
        <v>0</v>
      </c>
      <c r="CZ81" s="561">
        <f t="shared" ca="1" si="270"/>
        <v>0</v>
      </c>
      <c r="DA81" s="561">
        <f t="shared" ca="1" si="270"/>
        <v>0</v>
      </c>
      <c r="DB81" s="561">
        <f t="shared" ca="1" si="270"/>
        <v>0</v>
      </c>
      <c r="DC81" s="561">
        <f t="shared" ca="1" si="269"/>
        <v>0</v>
      </c>
      <c r="DD81" s="561">
        <f t="shared" ca="1" si="269"/>
        <v>0</v>
      </c>
      <c r="DE81" s="561">
        <f t="shared" ca="1" si="269"/>
        <v>0</v>
      </c>
      <c r="DF81" s="561">
        <f t="shared" ca="1" si="269"/>
        <v>0</v>
      </c>
      <c r="DG81" s="561">
        <f t="shared" ca="1" si="269"/>
        <v>0</v>
      </c>
      <c r="DH81" s="561">
        <f t="shared" ca="1" si="269"/>
        <v>0</v>
      </c>
      <c r="DI81" s="561">
        <f t="shared" ca="1" si="269"/>
        <v>0</v>
      </c>
      <c r="DJ81" s="561">
        <f t="shared" ca="1" si="269"/>
        <v>0</v>
      </c>
      <c r="DK81" s="561">
        <f t="shared" ca="1" si="269"/>
        <v>0</v>
      </c>
      <c r="DL81" s="561">
        <f t="shared" ca="1" si="269"/>
        <v>0</v>
      </c>
      <c r="DM81" s="561">
        <f t="shared" ca="1" si="269"/>
        <v>0</v>
      </c>
      <c r="DN81" s="561">
        <f t="shared" ca="1" si="269"/>
        <v>0</v>
      </c>
      <c r="DO81" s="561">
        <f t="shared" ca="1" si="269"/>
        <v>0</v>
      </c>
      <c r="DP81" s="561">
        <f t="shared" ca="1" si="269"/>
        <v>0</v>
      </c>
    </row>
    <row r="82" spans="1:120" s="116" customFormat="1" outlineLevel="1">
      <c r="A82" s="100">
        <v>1110052010</v>
      </c>
      <c r="B82" s="1216" t="s">
        <v>2457</v>
      </c>
      <c r="C82" s="1695" t="s">
        <v>64</v>
      </c>
      <c r="D82" s="1629"/>
      <c r="E82" s="1630">
        <v>44957</v>
      </c>
      <c r="F82" s="102"/>
      <c r="G82" s="1258"/>
      <c r="H82" s="103"/>
      <c r="I82" s="104"/>
      <c r="J82" s="1604">
        <v>1</v>
      </c>
      <c r="K82" s="1605">
        <v>1</v>
      </c>
      <c r="L82" s="1696">
        <v>3131155.22</v>
      </c>
      <c r="M82" s="1697">
        <f t="shared" si="187"/>
        <v>3131155.22</v>
      </c>
      <c r="N82" s="1228">
        <v>4632.2</v>
      </c>
      <c r="O82" s="107">
        <f t="shared" si="196"/>
        <v>14504137210.084</v>
      </c>
      <c r="P82" s="108"/>
      <c r="Q82" s="1342">
        <f t="shared" si="189"/>
        <v>0</v>
      </c>
      <c r="R82" s="109"/>
      <c r="S82" s="109">
        <f ca="1">IF(OR(E82="",E82&gt;TODAY()),0,IF(ISERROR(VLOOKUP($E82,'TRM BanRep'!$A:$G,7,0)),0,VLOOKUP($E82,'TRM BanRep'!$A:$G,7,0)))</f>
        <v>4632.2</v>
      </c>
      <c r="T82" s="110">
        <f t="shared" ca="1" si="197"/>
        <v>0</v>
      </c>
      <c r="U82" s="111">
        <f t="shared" si="191"/>
        <v>3131155.22</v>
      </c>
      <c r="V82" s="566">
        <f t="shared" si="198"/>
        <v>14504137210.084</v>
      </c>
      <c r="W82" s="112">
        <f t="shared" ca="1" si="199"/>
        <v>0</v>
      </c>
      <c r="X82" s="113">
        <f t="shared" ca="1" si="200"/>
        <v>0</v>
      </c>
      <c r="Y82" s="114"/>
      <c r="Z82" s="115"/>
      <c r="AA82" s="85">
        <f t="shared" si="265"/>
        <v>0</v>
      </c>
      <c r="AB82" s="508">
        <f t="shared" si="265"/>
        <v>0</v>
      </c>
      <c r="AC82" s="508">
        <f t="shared" si="265"/>
        <v>0</v>
      </c>
      <c r="AD82" s="508">
        <f t="shared" si="265"/>
        <v>0</v>
      </c>
      <c r="AE82" s="508">
        <f t="shared" si="265"/>
        <v>0</v>
      </c>
      <c r="AF82" s="561">
        <f t="shared" si="265"/>
        <v>0</v>
      </c>
      <c r="AG82" s="561">
        <f t="shared" si="265"/>
        <v>0</v>
      </c>
      <c r="AH82" s="561">
        <f t="shared" si="265"/>
        <v>0</v>
      </c>
      <c r="AI82" s="561">
        <f t="shared" si="265"/>
        <v>0</v>
      </c>
      <c r="AJ82" s="561">
        <f t="shared" si="265"/>
        <v>0</v>
      </c>
      <c r="AK82" s="561">
        <f t="shared" si="265"/>
        <v>0</v>
      </c>
      <c r="AL82" s="1542">
        <f t="shared" si="265"/>
        <v>0</v>
      </c>
      <c r="AM82" s="561">
        <f t="shared" si="265"/>
        <v>3131155.22</v>
      </c>
      <c r="AN82" s="561">
        <f t="shared" si="265"/>
        <v>0</v>
      </c>
      <c r="AO82" s="561">
        <f t="shared" si="265"/>
        <v>0</v>
      </c>
      <c r="AP82" s="561">
        <f t="shared" si="265"/>
        <v>0</v>
      </c>
      <c r="AQ82" s="561">
        <f t="shared" si="266"/>
        <v>0</v>
      </c>
      <c r="AR82" s="561">
        <f t="shared" si="266"/>
        <v>0</v>
      </c>
      <c r="AS82" s="561">
        <f t="shared" si="266"/>
        <v>0</v>
      </c>
      <c r="AT82" s="561">
        <f t="shared" si="266"/>
        <v>0</v>
      </c>
      <c r="AU82" s="561">
        <f t="shared" si="266"/>
        <v>0</v>
      </c>
      <c r="AV82" s="561">
        <f t="shared" si="266"/>
        <v>0</v>
      </c>
      <c r="AW82" s="561">
        <f t="shared" si="266"/>
        <v>0</v>
      </c>
      <c r="AX82" s="561">
        <f t="shared" si="266"/>
        <v>0</v>
      </c>
      <c r="AY82" s="561">
        <f t="shared" si="266"/>
        <v>0</v>
      </c>
      <c r="AZ82" s="561">
        <f t="shared" si="266"/>
        <v>0</v>
      </c>
      <c r="BA82" s="561">
        <f t="shared" si="266"/>
        <v>0</v>
      </c>
      <c r="BB82" s="561">
        <f t="shared" si="266"/>
        <v>0</v>
      </c>
      <c r="BC82" s="561">
        <f t="shared" si="266"/>
        <v>0</v>
      </c>
      <c r="BD82" s="561">
        <f t="shared" si="266"/>
        <v>0</v>
      </c>
      <c r="BE82" s="561">
        <f t="shared" si="266"/>
        <v>0</v>
      </c>
      <c r="BF82" s="561">
        <f t="shared" si="266"/>
        <v>0</v>
      </c>
      <c r="BG82" s="561">
        <f t="shared" si="267"/>
        <v>0</v>
      </c>
      <c r="BH82" s="561">
        <f t="shared" si="267"/>
        <v>0</v>
      </c>
      <c r="BI82" s="561">
        <f t="shared" si="267"/>
        <v>0</v>
      </c>
      <c r="BJ82" s="561">
        <f t="shared" si="267"/>
        <v>0</v>
      </c>
      <c r="BK82" s="561">
        <f t="shared" si="267"/>
        <v>0</v>
      </c>
      <c r="BL82" s="561">
        <f t="shared" si="267"/>
        <v>0</v>
      </c>
      <c r="BM82" s="561">
        <f t="shared" si="267"/>
        <v>0</v>
      </c>
      <c r="BN82" s="561">
        <f t="shared" si="267"/>
        <v>0</v>
      </c>
      <c r="BO82" s="561">
        <f t="shared" si="267"/>
        <v>0</v>
      </c>
      <c r="BP82" s="561">
        <f t="shared" si="267"/>
        <v>0</v>
      </c>
      <c r="BQ82" s="561">
        <f t="shared" si="267"/>
        <v>0</v>
      </c>
      <c r="BR82" s="561">
        <f t="shared" si="267"/>
        <v>0</v>
      </c>
      <c r="BS82" s="561">
        <f t="shared" si="267"/>
        <v>0</v>
      </c>
      <c r="BT82" s="561">
        <f t="shared" si="267"/>
        <v>0</v>
      </c>
      <c r="BU82" s="561">
        <f t="shared" si="267"/>
        <v>0</v>
      </c>
      <c r="BV82" s="561">
        <f t="shared" si="267"/>
        <v>0</v>
      </c>
      <c r="BW82" s="561">
        <f t="shared" si="268"/>
        <v>0</v>
      </c>
      <c r="BX82" s="561">
        <f t="shared" si="268"/>
        <v>0</v>
      </c>
      <c r="BY82" s="561">
        <f t="shared" si="268"/>
        <v>0</v>
      </c>
      <c r="BZ82" s="561">
        <f t="shared" si="268"/>
        <v>0</v>
      </c>
      <c r="CA82" s="561">
        <f t="shared" si="268"/>
        <v>0</v>
      </c>
      <c r="CB82" s="561">
        <f t="shared" si="268"/>
        <v>0</v>
      </c>
      <c r="CC82" s="561">
        <f t="shared" si="268"/>
        <v>0</v>
      </c>
      <c r="CD82" s="561">
        <f t="shared" si="268"/>
        <v>0</v>
      </c>
      <c r="CE82" s="561">
        <f t="shared" si="268"/>
        <v>0</v>
      </c>
      <c r="CF82" s="561">
        <f t="shared" si="268"/>
        <v>0</v>
      </c>
      <c r="CG82" s="561">
        <f t="shared" si="268"/>
        <v>0</v>
      </c>
      <c r="CH82" s="561">
        <f t="shared" si="268"/>
        <v>0</v>
      </c>
      <c r="CI82" s="561">
        <f t="shared" si="268"/>
        <v>0</v>
      </c>
      <c r="CJ82" s="561">
        <f t="shared" si="268"/>
        <v>0</v>
      </c>
      <c r="CK82" s="561">
        <f t="shared" si="268"/>
        <v>0</v>
      </c>
      <c r="CL82" s="561">
        <f t="shared" si="268"/>
        <v>0</v>
      </c>
      <c r="CM82" s="561">
        <f t="shared" si="270"/>
        <v>0</v>
      </c>
      <c r="CN82" s="561">
        <f t="shared" si="270"/>
        <v>0</v>
      </c>
      <c r="CO82" s="561">
        <f t="shared" si="270"/>
        <v>0</v>
      </c>
      <c r="CP82" s="561">
        <f t="shared" si="270"/>
        <v>0</v>
      </c>
      <c r="CQ82" s="561">
        <f t="shared" si="270"/>
        <v>0</v>
      </c>
      <c r="CR82" s="561">
        <f t="shared" si="270"/>
        <v>0</v>
      </c>
      <c r="CS82" s="561">
        <f t="shared" si="270"/>
        <v>0</v>
      </c>
      <c r="CT82" s="561">
        <f t="shared" si="270"/>
        <v>0</v>
      </c>
      <c r="CU82" s="561">
        <f t="shared" si="270"/>
        <v>0</v>
      </c>
      <c r="CV82" s="561">
        <f t="shared" si="270"/>
        <v>0</v>
      </c>
      <c r="CW82" s="561">
        <f t="shared" si="270"/>
        <v>0</v>
      </c>
      <c r="CX82" s="561">
        <f t="shared" si="270"/>
        <v>0</v>
      </c>
      <c r="CY82" s="561">
        <f t="shared" si="270"/>
        <v>0</v>
      </c>
      <c r="CZ82" s="561">
        <f t="shared" si="270"/>
        <v>0</v>
      </c>
      <c r="DA82" s="561">
        <f t="shared" si="270"/>
        <v>0</v>
      </c>
      <c r="DB82" s="561">
        <f t="shared" si="270"/>
        <v>0</v>
      </c>
      <c r="DC82" s="561">
        <f t="shared" si="269"/>
        <v>0</v>
      </c>
      <c r="DD82" s="561">
        <f t="shared" si="269"/>
        <v>0</v>
      </c>
      <c r="DE82" s="561">
        <f t="shared" si="269"/>
        <v>0</v>
      </c>
      <c r="DF82" s="561">
        <f t="shared" si="269"/>
        <v>0</v>
      </c>
      <c r="DG82" s="561">
        <f t="shared" si="269"/>
        <v>0</v>
      </c>
      <c r="DH82" s="561">
        <f t="shared" si="269"/>
        <v>0</v>
      </c>
      <c r="DI82" s="561">
        <f t="shared" si="269"/>
        <v>0</v>
      </c>
      <c r="DJ82" s="561">
        <f t="shared" si="269"/>
        <v>0</v>
      </c>
      <c r="DK82" s="561">
        <f t="shared" si="269"/>
        <v>0</v>
      </c>
      <c r="DL82" s="561">
        <f t="shared" si="269"/>
        <v>0</v>
      </c>
      <c r="DM82" s="561">
        <f t="shared" si="269"/>
        <v>0</v>
      </c>
      <c r="DN82" s="561">
        <f t="shared" si="269"/>
        <v>0</v>
      </c>
      <c r="DO82" s="561">
        <f t="shared" si="269"/>
        <v>0</v>
      </c>
      <c r="DP82" s="561">
        <f t="shared" si="269"/>
        <v>0</v>
      </c>
    </row>
    <row r="83" spans="1:120" s="116" customFormat="1" outlineLevel="1">
      <c r="A83" s="100">
        <v>1110052010</v>
      </c>
      <c r="B83" s="1216" t="s">
        <v>2457</v>
      </c>
      <c r="C83" s="1695" t="s">
        <v>64</v>
      </c>
      <c r="D83" s="1629"/>
      <c r="E83" s="1630">
        <v>44958</v>
      </c>
      <c r="F83" s="102"/>
      <c r="G83" s="1258"/>
      <c r="H83" s="103"/>
      <c r="I83" s="104"/>
      <c r="J83" s="1604">
        <v>1</v>
      </c>
      <c r="K83" s="1605">
        <v>1</v>
      </c>
      <c r="L83" s="1696">
        <v>36656.480000000003</v>
      </c>
      <c r="M83" s="1697">
        <f t="shared" si="187"/>
        <v>36656.480000000003</v>
      </c>
      <c r="N83" s="1228">
        <v>4648.7</v>
      </c>
      <c r="O83" s="107">
        <f t="shared" ref="O83" si="271">+L83*J83*N83</f>
        <v>170404978.57600001</v>
      </c>
      <c r="P83" s="108"/>
      <c r="Q83" s="1342">
        <f t="shared" ref="Q83" si="272">+P83*K83</f>
        <v>0</v>
      </c>
      <c r="R83" s="109"/>
      <c r="S83" s="109">
        <f ca="1">IF(OR(E83="",E83&gt;TODAY()),0,IF(ISERROR(VLOOKUP($E83,'TRM BanRep'!$A:$G,7,0)),0,VLOOKUP($E83,'TRM BanRep'!$A:$G,7,0)))</f>
        <v>4648.7</v>
      </c>
      <c r="T83" s="110">
        <f t="shared" ref="T83" ca="1" si="273">+P83*K83*S83</f>
        <v>0</v>
      </c>
      <c r="U83" s="111">
        <f t="shared" ref="U83" si="274">+L83+P83+F83</f>
        <v>36656.480000000003</v>
      </c>
      <c r="V83" s="566">
        <f t="shared" ref="V83" si="275">+P83*J83*R83+L83*J83*N83+F83*J83*H83</f>
        <v>170404978.57600001</v>
      </c>
      <c r="W83" s="112">
        <f t="shared" ref="W83" ca="1" si="276">IF((-P83*J83*R83)-(-P83*K83*S83)&gt;0,(-P83*J83*R83)-(-P83*K83*S83),0)</f>
        <v>0</v>
      </c>
      <c r="X83" s="113">
        <f t="shared" ref="X83" ca="1" si="277">IF((-P83*J83*R83)-(-P83*K83*S83)&lt;0,(-P83*J83*R83)-(-P83*K83*S83),0)</f>
        <v>0</v>
      </c>
      <c r="Y83" s="114"/>
      <c r="Z83" s="115"/>
      <c r="AA83" s="85">
        <f t="shared" ref="AA83:AP84" si="278">IF($L83="",IF(OR($P83="",$R83=""),0,IF($R83=AA$6,$Q83,0)),IF($E83=AA$5,$M83,))</f>
        <v>0</v>
      </c>
      <c r="AB83" s="508">
        <f t="shared" si="278"/>
        <v>0</v>
      </c>
      <c r="AC83" s="508">
        <f t="shared" si="278"/>
        <v>0</v>
      </c>
      <c r="AD83" s="508">
        <f t="shared" si="278"/>
        <v>0</v>
      </c>
      <c r="AE83" s="508">
        <f t="shared" si="278"/>
        <v>0</v>
      </c>
      <c r="AF83" s="561">
        <f t="shared" si="278"/>
        <v>0</v>
      </c>
      <c r="AG83" s="561">
        <f t="shared" si="278"/>
        <v>0</v>
      </c>
      <c r="AH83" s="561">
        <f t="shared" si="278"/>
        <v>0</v>
      </c>
      <c r="AI83" s="561">
        <f t="shared" si="278"/>
        <v>0</v>
      </c>
      <c r="AJ83" s="561">
        <f t="shared" si="278"/>
        <v>0</v>
      </c>
      <c r="AK83" s="561">
        <f t="shared" si="278"/>
        <v>0</v>
      </c>
      <c r="AL83" s="1542">
        <f t="shared" si="278"/>
        <v>0</v>
      </c>
      <c r="AM83" s="561">
        <f t="shared" si="278"/>
        <v>0</v>
      </c>
      <c r="AN83" s="561">
        <f t="shared" si="278"/>
        <v>36656.480000000003</v>
      </c>
      <c r="AO83" s="561">
        <f t="shared" si="278"/>
        <v>0</v>
      </c>
      <c r="AP83" s="561">
        <f t="shared" si="278"/>
        <v>0</v>
      </c>
      <c r="AQ83" s="561">
        <f t="shared" si="266"/>
        <v>0</v>
      </c>
      <c r="AR83" s="561">
        <f t="shared" si="266"/>
        <v>0</v>
      </c>
      <c r="AS83" s="561">
        <f t="shared" si="266"/>
        <v>0</v>
      </c>
      <c r="AT83" s="561">
        <f t="shared" si="266"/>
        <v>0</v>
      </c>
      <c r="AU83" s="561">
        <f t="shared" si="266"/>
        <v>0</v>
      </c>
      <c r="AV83" s="561">
        <f t="shared" si="266"/>
        <v>0</v>
      </c>
      <c r="AW83" s="561">
        <f t="shared" si="266"/>
        <v>0</v>
      </c>
      <c r="AX83" s="561">
        <f t="shared" si="266"/>
        <v>0</v>
      </c>
      <c r="AY83" s="561">
        <f t="shared" si="266"/>
        <v>0</v>
      </c>
      <c r="AZ83" s="561">
        <f t="shared" si="266"/>
        <v>0</v>
      </c>
      <c r="BA83" s="561">
        <f t="shared" si="266"/>
        <v>0</v>
      </c>
      <c r="BB83" s="561">
        <f t="shared" si="266"/>
        <v>0</v>
      </c>
      <c r="BC83" s="561">
        <f t="shared" si="266"/>
        <v>0</v>
      </c>
      <c r="BD83" s="561">
        <f t="shared" si="266"/>
        <v>0</v>
      </c>
      <c r="BE83" s="561">
        <f t="shared" si="266"/>
        <v>0</v>
      </c>
      <c r="BF83" s="561">
        <f t="shared" ref="BF83:BU84" si="279">IF($L83="",IF(OR($P83="",$R83=""),0,IF($R83=BF$6,$Q83,0)),IF($E83=BF$5,$M83,))</f>
        <v>0</v>
      </c>
      <c r="BG83" s="561">
        <f t="shared" si="267"/>
        <v>0</v>
      </c>
      <c r="BH83" s="561">
        <f t="shared" si="267"/>
        <v>0</v>
      </c>
      <c r="BI83" s="561">
        <f t="shared" si="267"/>
        <v>0</v>
      </c>
      <c r="BJ83" s="561">
        <f t="shared" si="267"/>
        <v>0</v>
      </c>
      <c r="BK83" s="561">
        <f t="shared" si="267"/>
        <v>0</v>
      </c>
      <c r="BL83" s="561">
        <f t="shared" si="267"/>
        <v>0</v>
      </c>
      <c r="BM83" s="561">
        <f t="shared" si="267"/>
        <v>0</v>
      </c>
      <c r="BN83" s="561">
        <f t="shared" si="267"/>
        <v>0</v>
      </c>
      <c r="BO83" s="561">
        <f t="shared" si="267"/>
        <v>0</v>
      </c>
      <c r="BP83" s="561">
        <f t="shared" si="267"/>
        <v>0</v>
      </c>
      <c r="BQ83" s="561">
        <f t="shared" si="267"/>
        <v>0</v>
      </c>
      <c r="BR83" s="561">
        <f t="shared" si="267"/>
        <v>0</v>
      </c>
      <c r="BS83" s="561">
        <f t="shared" si="267"/>
        <v>0</v>
      </c>
      <c r="BT83" s="561">
        <f t="shared" si="267"/>
        <v>0</v>
      </c>
      <c r="BU83" s="561">
        <f t="shared" si="267"/>
        <v>0</v>
      </c>
      <c r="BV83" s="561">
        <f t="shared" ref="BV83:CK84" si="280">IF($L83="",IF(OR($P83="",$R83=""),0,IF($R83=BV$6,$Q83,0)),IF($E83=BV$5,$M83,))</f>
        <v>0</v>
      </c>
      <c r="BW83" s="561">
        <f t="shared" si="268"/>
        <v>0</v>
      </c>
      <c r="BX83" s="561">
        <f t="shared" si="268"/>
        <v>0</v>
      </c>
      <c r="BY83" s="561">
        <f t="shared" si="268"/>
        <v>0</v>
      </c>
      <c r="BZ83" s="561">
        <f t="shared" si="268"/>
        <v>0</v>
      </c>
      <c r="CA83" s="561">
        <f t="shared" si="268"/>
        <v>0</v>
      </c>
      <c r="CB83" s="561">
        <f t="shared" si="268"/>
        <v>0</v>
      </c>
      <c r="CC83" s="561">
        <f t="shared" si="268"/>
        <v>0</v>
      </c>
      <c r="CD83" s="561">
        <f t="shared" si="268"/>
        <v>0</v>
      </c>
      <c r="CE83" s="561">
        <f t="shared" si="268"/>
        <v>0</v>
      </c>
      <c r="CF83" s="561">
        <f t="shared" si="268"/>
        <v>0</v>
      </c>
      <c r="CG83" s="561">
        <f t="shared" si="268"/>
        <v>0</v>
      </c>
      <c r="CH83" s="561">
        <f t="shared" si="268"/>
        <v>0</v>
      </c>
      <c r="CI83" s="561">
        <f t="shared" si="268"/>
        <v>0</v>
      </c>
      <c r="CJ83" s="561">
        <f t="shared" si="268"/>
        <v>0</v>
      </c>
      <c r="CK83" s="561">
        <f t="shared" si="268"/>
        <v>0</v>
      </c>
      <c r="CL83" s="561">
        <f t="shared" ref="CL83:DA84" si="281">IF($L83="",IF(OR($P83="",$R83=""),0,IF($R83=CL$6,$Q83,0)),IF($E83=CL$5,$M83,))</f>
        <v>0</v>
      </c>
      <c r="CM83" s="561">
        <f t="shared" si="270"/>
        <v>0</v>
      </c>
      <c r="CN83" s="561">
        <f t="shared" si="270"/>
        <v>0</v>
      </c>
      <c r="CO83" s="561">
        <f t="shared" si="270"/>
        <v>0</v>
      </c>
      <c r="CP83" s="561">
        <f t="shared" si="270"/>
        <v>0</v>
      </c>
      <c r="CQ83" s="561">
        <f t="shared" si="270"/>
        <v>0</v>
      </c>
      <c r="CR83" s="561">
        <f t="shared" si="270"/>
        <v>0</v>
      </c>
      <c r="CS83" s="561">
        <f t="shared" si="270"/>
        <v>0</v>
      </c>
      <c r="CT83" s="561">
        <f t="shared" si="270"/>
        <v>0</v>
      </c>
      <c r="CU83" s="561">
        <f t="shared" si="270"/>
        <v>0</v>
      </c>
      <c r="CV83" s="561">
        <f t="shared" si="270"/>
        <v>0</v>
      </c>
      <c r="CW83" s="561">
        <f t="shared" si="270"/>
        <v>0</v>
      </c>
      <c r="CX83" s="561">
        <f t="shared" si="270"/>
        <v>0</v>
      </c>
      <c r="CY83" s="561">
        <f t="shared" si="270"/>
        <v>0</v>
      </c>
      <c r="CZ83" s="561">
        <f t="shared" si="270"/>
        <v>0</v>
      </c>
      <c r="DA83" s="561">
        <f t="shared" si="270"/>
        <v>0</v>
      </c>
      <c r="DB83" s="561">
        <f t="shared" ref="DB83:DB84" si="282">IF($L83="",IF(OR($P83="",$R83=""),0,IF($R83=DB$6,$Q83,0)),IF($E83=DB$5,$M83,))</f>
        <v>0</v>
      </c>
      <c r="DC83" s="561">
        <f t="shared" si="269"/>
        <v>0</v>
      </c>
      <c r="DD83" s="561">
        <f t="shared" si="269"/>
        <v>0</v>
      </c>
      <c r="DE83" s="561">
        <f t="shared" si="269"/>
        <v>0</v>
      </c>
      <c r="DF83" s="561">
        <f t="shared" si="269"/>
        <v>0</v>
      </c>
      <c r="DG83" s="561">
        <f t="shared" si="269"/>
        <v>0</v>
      </c>
      <c r="DH83" s="561">
        <f t="shared" si="269"/>
        <v>0</v>
      </c>
      <c r="DI83" s="561">
        <f t="shared" si="269"/>
        <v>0</v>
      </c>
      <c r="DJ83" s="561">
        <f t="shared" si="269"/>
        <v>0</v>
      </c>
      <c r="DK83" s="561">
        <f t="shared" si="269"/>
        <v>0</v>
      </c>
      <c r="DL83" s="561">
        <f t="shared" si="269"/>
        <v>0</v>
      </c>
      <c r="DM83" s="561">
        <f t="shared" si="269"/>
        <v>0</v>
      </c>
      <c r="DN83" s="561">
        <f t="shared" si="269"/>
        <v>0</v>
      </c>
      <c r="DO83" s="561">
        <f t="shared" si="269"/>
        <v>0</v>
      </c>
      <c r="DP83" s="561">
        <f t="shared" si="269"/>
        <v>0</v>
      </c>
    </row>
    <row r="84" spans="1:120" s="116" customFormat="1" outlineLevel="1">
      <c r="A84" s="100">
        <v>1110052010</v>
      </c>
      <c r="B84" s="1216" t="s">
        <v>2457</v>
      </c>
      <c r="C84" s="1695" t="s">
        <v>64</v>
      </c>
      <c r="D84" s="1629"/>
      <c r="E84" s="1630">
        <v>44981</v>
      </c>
      <c r="F84" s="102"/>
      <c r="G84" s="1258"/>
      <c r="H84" s="103"/>
      <c r="I84" s="104"/>
      <c r="J84" s="1604">
        <v>1</v>
      </c>
      <c r="K84" s="1605">
        <v>1</v>
      </c>
      <c r="L84" s="1696">
        <v>832188.3</v>
      </c>
      <c r="M84" s="1697">
        <f t="shared" si="187"/>
        <v>832188.3</v>
      </c>
      <c r="N84" s="1228">
        <v>4853.8999999999996</v>
      </c>
      <c r="O84" s="107">
        <f t="shared" ref="O84" si="283">+L84*J84*N84</f>
        <v>4039358789.3699999</v>
      </c>
      <c r="P84" s="108"/>
      <c r="Q84" s="1342">
        <f t="shared" ref="Q84" si="284">+P84*K84</f>
        <v>0</v>
      </c>
      <c r="R84" s="109"/>
      <c r="S84" s="109">
        <f ca="1">IF(OR(E84="",E84&gt;TODAY()),0,IF(ISERROR(VLOOKUP($E84,'TRM BanRep'!$A:$G,7,0)),0,VLOOKUP($E84,'TRM BanRep'!$A:$G,7,0)))</f>
        <v>4853.8999999999996</v>
      </c>
      <c r="T84" s="110">
        <f t="shared" ref="T84" ca="1" si="285">+P84*K84*S84</f>
        <v>0</v>
      </c>
      <c r="U84" s="111">
        <f t="shared" ref="U84" si="286">+L84+P84+F84</f>
        <v>832188.3</v>
      </c>
      <c r="V84" s="566">
        <f t="shared" ref="V84" si="287">+P84*J84*R84+L84*J84*N84+F84*J84*H84</f>
        <v>4039358789.3699999</v>
      </c>
      <c r="W84" s="112">
        <f t="shared" ref="W84" ca="1" si="288">IF((-P84*J84*R84)-(-P84*K84*S84)&gt;0,(-P84*J84*R84)-(-P84*K84*S84),0)</f>
        <v>0</v>
      </c>
      <c r="X84" s="113">
        <f t="shared" ref="X84" ca="1" si="289">IF((-P84*J84*R84)-(-P84*K84*S84)&lt;0,(-P84*J84*R84)-(-P84*K84*S84),0)</f>
        <v>0</v>
      </c>
      <c r="Y84" s="114"/>
      <c r="Z84" s="115"/>
      <c r="AA84" s="85">
        <f t="shared" si="278"/>
        <v>0</v>
      </c>
      <c r="AB84" s="508">
        <f t="shared" si="278"/>
        <v>0</v>
      </c>
      <c r="AC84" s="508">
        <f t="shared" si="278"/>
        <v>0</v>
      </c>
      <c r="AD84" s="508">
        <f t="shared" si="278"/>
        <v>0</v>
      </c>
      <c r="AE84" s="508">
        <f t="shared" si="278"/>
        <v>0</v>
      </c>
      <c r="AF84" s="561">
        <f t="shared" si="278"/>
        <v>0</v>
      </c>
      <c r="AG84" s="561">
        <f t="shared" si="278"/>
        <v>0</v>
      </c>
      <c r="AH84" s="561">
        <f t="shared" si="278"/>
        <v>0</v>
      </c>
      <c r="AI84" s="561">
        <f t="shared" si="278"/>
        <v>0</v>
      </c>
      <c r="AJ84" s="561">
        <f t="shared" si="278"/>
        <v>0</v>
      </c>
      <c r="AK84" s="561">
        <f t="shared" si="278"/>
        <v>0</v>
      </c>
      <c r="AL84" s="1542">
        <f t="shared" si="278"/>
        <v>0</v>
      </c>
      <c r="AM84" s="561">
        <f t="shared" si="278"/>
        <v>0</v>
      </c>
      <c r="AN84" s="561">
        <f t="shared" si="278"/>
        <v>0</v>
      </c>
      <c r="AO84" s="561">
        <f t="shared" si="278"/>
        <v>832188.3</v>
      </c>
      <c r="AP84" s="561">
        <f t="shared" si="278"/>
        <v>0</v>
      </c>
      <c r="AQ84" s="561">
        <f t="shared" ref="AQ84:BE84" si="290">IF($L84="",IF(OR($P84="",$R84=""),0,IF($R84=AQ$6,$Q84,0)),IF($E84=AQ$5,$M84,))</f>
        <v>0</v>
      </c>
      <c r="AR84" s="561">
        <f t="shared" si="290"/>
        <v>0</v>
      </c>
      <c r="AS84" s="561">
        <f t="shared" si="290"/>
        <v>0</v>
      </c>
      <c r="AT84" s="561">
        <f t="shared" si="290"/>
        <v>0</v>
      </c>
      <c r="AU84" s="561">
        <f t="shared" si="290"/>
        <v>0</v>
      </c>
      <c r="AV84" s="561">
        <f t="shared" si="290"/>
        <v>0</v>
      </c>
      <c r="AW84" s="561">
        <f t="shared" si="290"/>
        <v>0</v>
      </c>
      <c r="AX84" s="561">
        <f t="shared" si="290"/>
        <v>0</v>
      </c>
      <c r="AY84" s="561">
        <f t="shared" si="290"/>
        <v>0</v>
      </c>
      <c r="AZ84" s="561">
        <f t="shared" si="290"/>
        <v>0</v>
      </c>
      <c r="BA84" s="561">
        <f t="shared" si="290"/>
        <v>0</v>
      </c>
      <c r="BB84" s="561">
        <f t="shared" si="290"/>
        <v>0</v>
      </c>
      <c r="BC84" s="561">
        <f t="shared" si="290"/>
        <v>0</v>
      </c>
      <c r="BD84" s="561">
        <f t="shared" si="290"/>
        <v>0</v>
      </c>
      <c r="BE84" s="561">
        <f t="shared" si="290"/>
        <v>0</v>
      </c>
      <c r="BF84" s="561">
        <f t="shared" si="279"/>
        <v>0</v>
      </c>
      <c r="BG84" s="561">
        <f t="shared" si="279"/>
        <v>0</v>
      </c>
      <c r="BH84" s="561">
        <f t="shared" si="279"/>
        <v>0</v>
      </c>
      <c r="BI84" s="561">
        <f t="shared" si="279"/>
        <v>0</v>
      </c>
      <c r="BJ84" s="561">
        <f t="shared" si="279"/>
        <v>0</v>
      </c>
      <c r="BK84" s="561">
        <f t="shared" si="279"/>
        <v>0</v>
      </c>
      <c r="BL84" s="561">
        <f t="shared" si="279"/>
        <v>0</v>
      </c>
      <c r="BM84" s="561">
        <f t="shared" si="279"/>
        <v>0</v>
      </c>
      <c r="BN84" s="561">
        <f t="shared" si="279"/>
        <v>0</v>
      </c>
      <c r="BO84" s="561">
        <f t="shared" si="279"/>
        <v>0</v>
      </c>
      <c r="BP84" s="561">
        <f t="shared" si="279"/>
        <v>0</v>
      </c>
      <c r="BQ84" s="561">
        <f t="shared" si="279"/>
        <v>0</v>
      </c>
      <c r="BR84" s="561">
        <f t="shared" si="279"/>
        <v>0</v>
      </c>
      <c r="BS84" s="561">
        <f t="shared" si="279"/>
        <v>0</v>
      </c>
      <c r="BT84" s="561">
        <f t="shared" si="279"/>
        <v>0</v>
      </c>
      <c r="BU84" s="561">
        <f t="shared" si="279"/>
        <v>0</v>
      </c>
      <c r="BV84" s="561">
        <f t="shared" si="280"/>
        <v>0</v>
      </c>
      <c r="BW84" s="561">
        <f t="shared" si="280"/>
        <v>0</v>
      </c>
      <c r="BX84" s="561">
        <f t="shared" si="280"/>
        <v>0</v>
      </c>
      <c r="BY84" s="561">
        <f t="shared" si="280"/>
        <v>0</v>
      </c>
      <c r="BZ84" s="561">
        <f t="shared" si="280"/>
        <v>0</v>
      </c>
      <c r="CA84" s="561">
        <f t="shared" si="280"/>
        <v>0</v>
      </c>
      <c r="CB84" s="561">
        <f t="shared" si="280"/>
        <v>0</v>
      </c>
      <c r="CC84" s="561">
        <f t="shared" si="280"/>
        <v>0</v>
      </c>
      <c r="CD84" s="561">
        <f t="shared" si="280"/>
        <v>0</v>
      </c>
      <c r="CE84" s="561">
        <f t="shared" si="280"/>
        <v>0</v>
      </c>
      <c r="CF84" s="561">
        <f t="shared" si="280"/>
        <v>0</v>
      </c>
      <c r="CG84" s="561">
        <f t="shared" si="280"/>
        <v>0</v>
      </c>
      <c r="CH84" s="561">
        <f t="shared" si="280"/>
        <v>0</v>
      </c>
      <c r="CI84" s="561">
        <f t="shared" si="280"/>
        <v>0</v>
      </c>
      <c r="CJ84" s="561">
        <f t="shared" si="280"/>
        <v>0</v>
      </c>
      <c r="CK84" s="561">
        <f t="shared" si="280"/>
        <v>0</v>
      </c>
      <c r="CL84" s="561">
        <f t="shared" si="281"/>
        <v>0</v>
      </c>
      <c r="CM84" s="561">
        <f t="shared" si="281"/>
        <v>0</v>
      </c>
      <c r="CN84" s="561">
        <f t="shared" si="281"/>
        <v>0</v>
      </c>
      <c r="CO84" s="561">
        <f t="shared" si="281"/>
        <v>0</v>
      </c>
      <c r="CP84" s="561">
        <f t="shared" si="281"/>
        <v>0</v>
      </c>
      <c r="CQ84" s="561">
        <f t="shared" si="281"/>
        <v>0</v>
      </c>
      <c r="CR84" s="561">
        <f t="shared" si="281"/>
        <v>0</v>
      </c>
      <c r="CS84" s="561">
        <f t="shared" si="281"/>
        <v>0</v>
      </c>
      <c r="CT84" s="561">
        <f t="shared" si="281"/>
        <v>0</v>
      </c>
      <c r="CU84" s="561">
        <f t="shared" si="281"/>
        <v>0</v>
      </c>
      <c r="CV84" s="561">
        <f t="shared" si="281"/>
        <v>0</v>
      </c>
      <c r="CW84" s="561">
        <f t="shared" si="281"/>
        <v>0</v>
      </c>
      <c r="CX84" s="561">
        <f t="shared" si="281"/>
        <v>0</v>
      </c>
      <c r="CY84" s="561">
        <f t="shared" si="281"/>
        <v>0</v>
      </c>
      <c r="CZ84" s="561">
        <f t="shared" si="281"/>
        <v>0</v>
      </c>
      <c r="DA84" s="561">
        <f t="shared" si="281"/>
        <v>0</v>
      </c>
      <c r="DB84" s="561">
        <f t="shared" si="282"/>
        <v>0</v>
      </c>
      <c r="DC84" s="561">
        <f t="shared" si="269"/>
        <v>0</v>
      </c>
      <c r="DD84" s="561">
        <f t="shared" si="269"/>
        <v>0</v>
      </c>
      <c r="DE84" s="561">
        <f t="shared" si="269"/>
        <v>0</v>
      </c>
      <c r="DF84" s="561">
        <f t="shared" si="269"/>
        <v>0</v>
      </c>
      <c r="DG84" s="561">
        <f t="shared" si="269"/>
        <v>0</v>
      </c>
      <c r="DH84" s="561">
        <f t="shared" si="269"/>
        <v>0</v>
      </c>
      <c r="DI84" s="561">
        <f t="shared" si="269"/>
        <v>0</v>
      </c>
      <c r="DJ84" s="561">
        <f t="shared" si="269"/>
        <v>0</v>
      </c>
      <c r="DK84" s="561">
        <f t="shared" si="269"/>
        <v>0</v>
      </c>
      <c r="DL84" s="561">
        <f t="shared" si="269"/>
        <v>0</v>
      </c>
      <c r="DM84" s="561">
        <f t="shared" si="269"/>
        <v>0</v>
      </c>
      <c r="DN84" s="561">
        <f t="shared" si="269"/>
        <v>0</v>
      </c>
      <c r="DO84" s="561">
        <f t="shared" si="269"/>
        <v>0</v>
      </c>
      <c r="DP84" s="561">
        <f t="shared" si="269"/>
        <v>0</v>
      </c>
    </row>
    <row r="85" spans="1:120" outlineLevel="1">
      <c r="A85" s="89">
        <v>1110052010</v>
      </c>
      <c r="B85" s="90" t="s">
        <v>2458</v>
      </c>
      <c r="C85" s="1476" t="s">
        <v>64</v>
      </c>
      <c r="D85" s="1481"/>
      <c r="E85" s="1482">
        <v>45002</v>
      </c>
      <c r="F85" s="420"/>
      <c r="G85" s="1256"/>
      <c r="H85" s="421"/>
      <c r="I85" s="422"/>
      <c r="J85" s="1425">
        <v>1</v>
      </c>
      <c r="K85" s="1426">
        <v>1</v>
      </c>
      <c r="L85" s="1043"/>
      <c r="M85" s="1594">
        <f t="shared" ref="M85" si="291">+L85*J85</f>
        <v>0</v>
      </c>
      <c r="N85" s="504">
        <f ca="1">IF(OR(E85="",E85&gt;TODAY()),0,IF(ISERROR(VLOOKUP($E85,'TRM BanRep'!$A:$G,7,0)),0,VLOOKUP($E85,'TRM BanRep'!$A:$G,7,0)))</f>
        <v>4866.5</v>
      </c>
      <c r="O85" s="424">
        <f t="shared" ref="O85" ca="1" si="292">+L85*J85*N85</f>
        <v>0</v>
      </c>
      <c r="P85" s="425">
        <v>-2027105.62</v>
      </c>
      <c r="Q85" s="1340">
        <f t="shared" ref="Q85" si="293">+P85*K85</f>
        <v>-2027105.62</v>
      </c>
      <c r="R85" s="426">
        <v>4780.8900000000003</v>
      </c>
      <c r="S85" s="426">
        <f ca="1">IF(OR(E85="",E85&gt;TODAY()),0,IF(ISERROR(VLOOKUP($E85,'TRM BanRep'!$A:$G,7,0)),0,VLOOKUP($E85,'TRM BanRep'!$A:$G,7,0)))</f>
        <v>4866.5</v>
      </c>
      <c r="T85" s="427">
        <f t="shared" ref="T85" ca="1" si="294">+P85*K85*S85</f>
        <v>-9864909499.7300014</v>
      </c>
      <c r="U85" s="418">
        <f t="shared" ref="U85" si="295">+L85+P85+F85</f>
        <v>-2027105.62</v>
      </c>
      <c r="V85" s="517">
        <f t="shared" ref="V85" ca="1" si="296">+P85*J85*R85+L85*J85*N85+F85*J85*H85</f>
        <v>-9691368987.6018009</v>
      </c>
      <c r="W85" s="428">
        <f t="shared" ref="W85" ca="1" si="297">IF((-P85*J85*R85)-(-P85*K85*S85)&gt;0,(-P85*J85*R85)-(-P85*K85*S85),0)</f>
        <v>0</v>
      </c>
      <c r="X85" s="429">
        <f t="shared" ref="X85" ca="1" si="298">IF((-P85*J85*R85)-(-P85*K85*S85)&lt;0,(-P85*J85*R85)-(-P85*K85*S85),0)</f>
        <v>-173540512.12820053</v>
      </c>
      <c r="Y85" s="92"/>
      <c r="Z85" s="1055"/>
      <c r="AA85" s="85">
        <f t="shared" ca="1" si="265"/>
        <v>0</v>
      </c>
      <c r="AB85" s="508">
        <f t="shared" ca="1" si="265"/>
        <v>0</v>
      </c>
      <c r="AC85" s="508">
        <f t="shared" ca="1" si="265"/>
        <v>0</v>
      </c>
      <c r="AD85" s="508">
        <f t="shared" ca="1" si="265"/>
        <v>0</v>
      </c>
      <c r="AE85" s="508">
        <f t="shared" ca="1" si="265"/>
        <v>0</v>
      </c>
      <c r="AF85" s="561">
        <f t="shared" ca="1" si="265"/>
        <v>0</v>
      </c>
      <c r="AG85" s="561">
        <f t="shared" ca="1" si="265"/>
        <v>0</v>
      </c>
      <c r="AH85" s="561">
        <f t="shared" ca="1" si="265"/>
        <v>0</v>
      </c>
      <c r="AI85" s="561">
        <f t="shared" ca="1" si="265"/>
        <v>0</v>
      </c>
      <c r="AJ85" s="561">
        <f t="shared" ca="1" si="265"/>
        <v>0</v>
      </c>
      <c r="AK85" s="561">
        <f t="shared" ca="1" si="265"/>
        <v>0</v>
      </c>
      <c r="AL85" s="1542">
        <f t="shared" ca="1" si="265"/>
        <v>0</v>
      </c>
      <c r="AM85" s="561">
        <f t="shared" ca="1" si="265"/>
        <v>0</v>
      </c>
      <c r="AN85" s="561">
        <f t="shared" ca="1" si="265"/>
        <v>0</v>
      </c>
      <c r="AO85" s="561">
        <f t="shared" ca="1" si="265"/>
        <v>0</v>
      </c>
      <c r="AP85" s="561">
        <f t="shared" ca="1" si="265"/>
        <v>0</v>
      </c>
      <c r="AQ85" s="561">
        <f t="shared" ca="1" si="266"/>
        <v>0</v>
      </c>
      <c r="AR85" s="561">
        <f t="shared" ca="1" si="266"/>
        <v>0</v>
      </c>
      <c r="AS85" s="561">
        <f t="shared" ca="1" si="266"/>
        <v>0</v>
      </c>
      <c r="AT85" s="561">
        <f t="shared" ca="1" si="266"/>
        <v>-2027105.62</v>
      </c>
      <c r="AU85" s="561">
        <f t="shared" ca="1" si="266"/>
        <v>0</v>
      </c>
      <c r="AV85" s="561">
        <f t="shared" ca="1" si="266"/>
        <v>0</v>
      </c>
      <c r="AW85" s="561">
        <f t="shared" ca="1" si="266"/>
        <v>0</v>
      </c>
      <c r="AX85" s="561">
        <f t="shared" ca="1" si="266"/>
        <v>0</v>
      </c>
      <c r="AY85" s="561">
        <f t="shared" ca="1" si="266"/>
        <v>0</v>
      </c>
      <c r="AZ85" s="561">
        <f t="shared" ca="1" si="266"/>
        <v>0</v>
      </c>
      <c r="BA85" s="561">
        <f t="shared" ca="1" si="266"/>
        <v>0</v>
      </c>
      <c r="BB85" s="561">
        <f t="shared" ca="1" si="266"/>
        <v>0</v>
      </c>
      <c r="BC85" s="561">
        <f t="shared" ca="1" si="266"/>
        <v>0</v>
      </c>
      <c r="BD85" s="561">
        <f t="shared" ca="1" si="266"/>
        <v>0</v>
      </c>
      <c r="BE85" s="561">
        <f t="shared" ca="1" si="266"/>
        <v>0</v>
      </c>
      <c r="BF85" s="561">
        <f t="shared" ca="1" si="266"/>
        <v>0</v>
      </c>
      <c r="BG85" s="561">
        <f t="shared" ca="1" si="267"/>
        <v>0</v>
      </c>
      <c r="BH85" s="561">
        <f t="shared" ca="1" si="267"/>
        <v>0</v>
      </c>
      <c r="BI85" s="561">
        <f t="shared" ca="1" si="267"/>
        <v>0</v>
      </c>
      <c r="BJ85" s="561">
        <f t="shared" ca="1" si="267"/>
        <v>0</v>
      </c>
      <c r="BK85" s="561">
        <f t="shared" ca="1" si="267"/>
        <v>0</v>
      </c>
      <c r="BL85" s="561">
        <f t="shared" ca="1" si="267"/>
        <v>0</v>
      </c>
      <c r="BM85" s="561">
        <f t="shared" ca="1" si="267"/>
        <v>0</v>
      </c>
      <c r="BN85" s="561">
        <f t="shared" ca="1" si="267"/>
        <v>0</v>
      </c>
      <c r="BO85" s="561">
        <f t="shared" ca="1" si="267"/>
        <v>0</v>
      </c>
      <c r="BP85" s="561">
        <f t="shared" ca="1" si="267"/>
        <v>0</v>
      </c>
      <c r="BQ85" s="561">
        <f t="shared" ca="1" si="267"/>
        <v>0</v>
      </c>
      <c r="BR85" s="561">
        <f t="shared" ca="1" si="267"/>
        <v>0</v>
      </c>
      <c r="BS85" s="561">
        <f t="shared" ca="1" si="267"/>
        <v>0</v>
      </c>
      <c r="BT85" s="561">
        <f t="shared" ca="1" si="267"/>
        <v>0</v>
      </c>
      <c r="BU85" s="561">
        <f t="shared" ca="1" si="267"/>
        <v>0</v>
      </c>
      <c r="BV85" s="561">
        <f t="shared" ca="1" si="267"/>
        <v>0</v>
      </c>
      <c r="BW85" s="561">
        <f t="shared" ca="1" si="268"/>
        <v>0</v>
      </c>
      <c r="BX85" s="561">
        <f t="shared" ca="1" si="268"/>
        <v>0</v>
      </c>
      <c r="BY85" s="561">
        <f t="shared" ca="1" si="268"/>
        <v>0</v>
      </c>
      <c r="BZ85" s="561">
        <f t="shared" ca="1" si="268"/>
        <v>0</v>
      </c>
      <c r="CA85" s="561">
        <f t="shared" ca="1" si="268"/>
        <v>0</v>
      </c>
      <c r="CB85" s="561">
        <f t="shared" ca="1" si="268"/>
        <v>0</v>
      </c>
      <c r="CC85" s="561">
        <f t="shared" ca="1" si="268"/>
        <v>0</v>
      </c>
      <c r="CD85" s="561">
        <f t="shared" ca="1" si="268"/>
        <v>0</v>
      </c>
      <c r="CE85" s="561">
        <f t="shared" ca="1" si="268"/>
        <v>0</v>
      </c>
      <c r="CF85" s="561">
        <f t="shared" ca="1" si="268"/>
        <v>0</v>
      </c>
      <c r="CG85" s="561">
        <f t="shared" ca="1" si="268"/>
        <v>0</v>
      </c>
      <c r="CH85" s="561">
        <f t="shared" ca="1" si="268"/>
        <v>0</v>
      </c>
      <c r="CI85" s="561">
        <f t="shared" ca="1" si="268"/>
        <v>0</v>
      </c>
      <c r="CJ85" s="561">
        <f t="shared" ca="1" si="268"/>
        <v>0</v>
      </c>
      <c r="CK85" s="561">
        <f t="shared" ca="1" si="268"/>
        <v>0</v>
      </c>
      <c r="CL85" s="561">
        <f t="shared" ca="1" si="268"/>
        <v>0</v>
      </c>
      <c r="CM85" s="561">
        <f t="shared" ca="1" si="270"/>
        <v>0</v>
      </c>
      <c r="CN85" s="561">
        <f t="shared" ca="1" si="270"/>
        <v>0</v>
      </c>
      <c r="CO85" s="561">
        <f t="shared" ca="1" si="270"/>
        <v>0</v>
      </c>
      <c r="CP85" s="561">
        <f t="shared" ca="1" si="270"/>
        <v>0</v>
      </c>
      <c r="CQ85" s="561">
        <f t="shared" ca="1" si="270"/>
        <v>0</v>
      </c>
      <c r="CR85" s="561">
        <f t="shared" ca="1" si="270"/>
        <v>0</v>
      </c>
      <c r="CS85" s="561">
        <f t="shared" ca="1" si="270"/>
        <v>0</v>
      </c>
      <c r="CT85" s="561">
        <f t="shared" ca="1" si="270"/>
        <v>0</v>
      </c>
      <c r="CU85" s="561">
        <f t="shared" ca="1" si="270"/>
        <v>0</v>
      </c>
      <c r="CV85" s="561">
        <f t="shared" ca="1" si="270"/>
        <v>0</v>
      </c>
      <c r="CW85" s="561">
        <f t="shared" ca="1" si="270"/>
        <v>0</v>
      </c>
      <c r="CX85" s="561">
        <f t="shared" ca="1" si="270"/>
        <v>0</v>
      </c>
      <c r="CY85" s="561">
        <f t="shared" ca="1" si="270"/>
        <v>0</v>
      </c>
      <c r="CZ85" s="561">
        <f t="shared" ca="1" si="270"/>
        <v>0</v>
      </c>
      <c r="DA85" s="561">
        <f t="shared" ca="1" si="270"/>
        <v>0</v>
      </c>
      <c r="DB85" s="561">
        <f t="shared" ca="1" si="270"/>
        <v>0</v>
      </c>
      <c r="DC85" s="561">
        <f t="shared" ca="1" si="269"/>
        <v>0</v>
      </c>
      <c r="DD85" s="561">
        <f t="shared" ca="1" si="269"/>
        <v>0</v>
      </c>
      <c r="DE85" s="561">
        <f t="shared" ca="1" si="269"/>
        <v>0</v>
      </c>
      <c r="DF85" s="561">
        <f t="shared" ca="1" si="269"/>
        <v>0</v>
      </c>
      <c r="DG85" s="561">
        <f t="shared" ca="1" si="269"/>
        <v>0</v>
      </c>
      <c r="DH85" s="561">
        <f t="shared" ca="1" si="269"/>
        <v>0</v>
      </c>
      <c r="DI85" s="561">
        <f t="shared" ca="1" si="269"/>
        <v>0</v>
      </c>
      <c r="DJ85" s="561">
        <f t="shared" ca="1" si="269"/>
        <v>0</v>
      </c>
      <c r="DK85" s="561">
        <f t="shared" ca="1" si="269"/>
        <v>0</v>
      </c>
      <c r="DL85" s="561">
        <f t="shared" ca="1" si="269"/>
        <v>0</v>
      </c>
      <c r="DM85" s="561">
        <f t="shared" ca="1" si="269"/>
        <v>0</v>
      </c>
      <c r="DN85" s="561">
        <f t="shared" ca="1" si="269"/>
        <v>0</v>
      </c>
      <c r="DO85" s="561">
        <f t="shared" ca="1" si="269"/>
        <v>0</v>
      </c>
      <c r="DP85" s="561">
        <f t="shared" ca="1" si="269"/>
        <v>0</v>
      </c>
    </row>
    <row r="86" spans="1:120" outlineLevel="1">
      <c r="A86" s="89">
        <v>1110052010</v>
      </c>
      <c r="B86" s="90" t="s">
        <v>2458</v>
      </c>
      <c r="C86" s="1476" t="s">
        <v>64</v>
      </c>
      <c r="D86" s="1481"/>
      <c r="E86" s="1482">
        <v>45002</v>
      </c>
      <c r="F86" s="420"/>
      <c r="G86" s="1256"/>
      <c r="H86" s="421"/>
      <c r="I86" s="422"/>
      <c r="J86" s="1425">
        <v>1</v>
      </c>
      <c r="K86" s="1426">
        <v>1</v>
      </c>
      <c r="L86" s="1043"/>
      <c r="M86" s="1594">
        <f t="shared" ref="M86" si="299">+L86*J86</f>
        <v>0</v>
      </c>
      <c r="N86" s="504">
        <f ca="1">IF(OR(E86="",E86&gt;TODAY()),0,IF(ISERROR(VLOOKUP($E86,'TRM BanRep'!$A:$G,7,0)),0,VLOOKUP($E86,'TRM BanRep'!$A:$G,7,0)))</f>
        <v>4866.5</v>
      </c>
      <c r="O86" s="424">
        <f t="shared" ref="O86" ca="1" si="300">+L86*J86*N86</f>
        <v>0</v>
      </c>
      <c r="P86" s="425">
        <v>-1146779.3799999999</v>
      </c>
      <c r="Q86" s="1340">
        <f t="shared" ref="Q86" si="301">+P86*K86</f>
        <v>-1146779.3799999999</v>
      </c>
      <c r="R86" s="426">
        <v>4632.2</v>
      </c>
      <c r="S86" s="426">
        <f ca="1">IF(OR(E86="",E86&gt;TODAY()),0,IF(ISERROR(VLOOKUP($E86,'TRM BanRep'!$A:$G,7,0)),0,VLOOKUP($E86,'TRM BanRep'!$A:$G,7,0)))</f>
        <v>4866.5</v>
      </c>
      <c r="T86" s="427">
        <f t="shared" ref="T86" ca="1" si="302">+P86*K86*S86</f>
        <v>-5580801852.7699995</v>
      </c>
      <c r="U86" s="418">
        <f t="shared" ref="U86" si="303">+L86+P86+F86</f>
        <v>-1146779.3799999999</v>
      </c>
      <c r="V86" s="517">
        <f t="shared" ref="V86" ca="1" si="304">+P86*J86*R86+L86*J86*N86+F86*J86*H86</f>
        <v>-5312111444.0359993</v>
      </c>
      <c r="W86" s="428">
        <f t="shared" ref="W86" ca="1" si="305">IF((-P86*J86*R86)-(-P86*K86*S86)&gt;0,(-P86*J86*R86)-(-P86*K86*S86),0)</f>
        <v>0</v>
      </c>
      <c r="X86" s="429">
        <f t="shared" ref="X86" ca="1" si="306">IF((-P86*J86*R86)-(-P86*K86*S86)&lt;0,(-P86*J86*R86)-(-P86*K86*S86),0)</f>
        <v>-268690408.73400021</v>
      </c>
      <c r="Y86" s="92"/>
      <c r="Z86" s="1055"/>
      <c r="AA86" s="85">
        <f t="shared" ref="AA86:CL86" ca="1" si="307">IF($L86="",IF(OR($P86="",$R86=""),0,IF($R86=AA$6,$Q86,0)),IF($E86=AA$5,$M86,))</f>
        <v>0</v>
      </c>
      <c r="AB86" s="508">
        <f t="shared" ca="1" si="307"/>
        <v>0</v>
      </c>
      <c r="AC86" s="508">
        <f t="shared" ca="1" si="307"/>
        <v>0</v>
      </c>
      <c r="AD86" s="508">
        <f t="shared" ca="1" si="307"/>
        <v>0</v>
      </c>
      <c r="AE86" s="508">
        <f t="shared" ca="1" si="307"/>
        <v>0</v>
      </c>
      <c r="AF86" s="561">
        <f t="shared" ca="1" si="307"/>
        <v>0</v>
      </c>
      <c r="AG86" s="561">
        <f t="shared" ca="1" si="307"/>
        <v>0</v>
      </c>
      <c r="AH86" s="561">
        <f t="shared" ca="1" si="307"/>
        <v>0</v>
      </c>
      <c r="AI86" s="561">
        <f t="shared" ca="1" si="307"/>
        <v>0</v>
      </c>
      <c r="AJ86" s="561">
        <f t="shared" ca="1" si="307"/>
        <v>0</v>
      </c>
      <c r="AK86" s="561">
        <f t="shared" ca="1" si="307"/>
        <v>0</v>
      </c>
      <c r="AL86" s="1542">
        <f t="shared" ca="1" si="307"/>
        <v>0</v>
      </c>
      <c r="AM86" s="561">
        <f t="shared" ca="1" si="307"/>
        <v>-1146779.3799999999</v>
      </c>
      <c r="AN86" s="561">
        <f t="shared" ca="1" si="307"/>
        <v>0</v>
      </c>
      <c r="AO86" s="561">
        <f t="shared" ca="1" si="307"/>
        <v>0</v>
      </c>
      <c r="AP86" s="561">
        <f t="shared" ca="1" si="307"/>
        <v>0</v>
      </c>
      <c r="AQ86" s="561">
        <f t="shared" ca="1" si="307"/>
        <v>0</v>
      </c>
      <c r="AR86" s="561">
        <f t="shared" ca="1" si="307"/>
        <v>0</v>
      </c>
      <c r="AS86" s="561">
        <f t="shared" ca="1" si="307"/>
        <v>0</v>
      </c>
      <c r="AT86" s="561">
        <f t="shared" ca="1" si="307"/>
        <v>0</v>
      </c>
      <c r="AU86" s="561">
        <f t="shared" ca="1" si="307"/>
        <v>0</v>
      </c>
      <c r="AV86" s="561">
        <f t="shared" ca="1" si="307"/>
        <v>0</v>
      </c>
      <c r="AW86" s="561">
        <f t="shared" ca="1" si="307"/>
        <v>0</v>
      </c>
      <c r="AX86" s="561">
        <f t="shared" ca="1" si="307"/>
        <v>0</v>
      </c>
      <c r="AY86" s="561">
        <f t="shared" ca="1" si="307"/>
        <v>0</v>
      </c>
      <c r="AZ86" s="561">
        <f t="shared" ca="1" si="307"/>
        <v>0</v>
      </c>
      <c r="BA86" s="561">
        <f t="shared" ca="1" si="307"/>
        <v>0</v>
      </c>
      <c r="BB86" s="561">
        <f t="shared" ca="1" si="307"/>
        <v>0</v>
      </c>
      <c r="BC86" s="561">
        <f t="shared" ca="1" si="307"/>
        <v>0</v>
      </c>
      <c r="BD86" s="561">
        <f t="shared" ca="1" si="307"/>
        <v>0</v>
      </c>
      <c r="BE86" s="561">
        <f t="shared" ca="1" si="307"/>
        <v>0</v>
      </c>
      <c r="BF86" s="561">
        <f t="shared" ca="1" si="307"/>
        <v>0</v>
      </c>
      <c r="BG86" s="561">
        <f t="shared" ca="1" si="307"/>
        <v>0</v>
      </c>
      <c r="BH86" s="561">
        <f t="shared" ca="1" si="307"/>
        <v>0</v>
      </c>
      <c r="BI86" s="561">
        <f t="shared" ca="1" si="307"/>
        <v>0</v>
      </c>
      <c r="BJ86" s="561">
        <f t="shared" ca="1" si="307"/>
        <v>0</v>
      </c>
      <c r="BK86" s="561">
        <f t="shared" ca="1" si="307"/>
        <v>0</v>
      </c>
      <c r="BL86" s="561">
        <f t="shared" ca="1" si="307"/>
        <v>0</v>
      </c>
      <c r="BM86" s="561">
        <f t="shared" ca="1" si="307"/>
        <v>0</v>
      </c>
      <c r="BN86" s="561">
        <f t="shared" ca="1" si="307"/>
        <v>0</v>
      </c>
      <c r="BO86" s="561">
        <f t="shared" ca="1" si="307"/>
        <v>0</v>
      </c>
      <c r="BP86" s="561">
        <f t="shared" ca="1" si="307"/>
        <v>0</v>
      </c>
      <c r="BQ86" s="561">
        <f t="shared" ca="1" si="307"/>
        <v>0</v>
      </c>
      <c r="BR86" s="561">
        <f t="shared" ca="1" si="307"/>
        <v>0</v>
      </c>
      <c r="BS86" s="561">
        <f t="shared" ca="1" si="307"/>
        <v>0</v>
      </c>
      <c r="BT86" s="561">
        <f t="shared" ca="1" si="307"/>
        <v>0</v>
      </c>
      <c r="BU86" s="561">
        <f t="shared" ca="1" si="307"/>
        <v>0</v>
      </c>
      <c r="BV86" s="561">
        <f t="shared" ca="1" si="307"/>
        <v>0</v>
      </c>
      <c r="BW86" s="561">
        <f t="shared" ca="1" si="307"/>
        <v>0</v>
      </c>
      <c r="BX86" s="561">
        <f t="shared" ca="1" si="307"/>
        <v>0</v>
      </c>
      <c r="BY86" s="561">
        <f t="shared" ca="1" si="307"/>
        <v>0</v>
      </c>
      <c r="BZ86" s="561">
        <f t="shared" ca="1" si="307"/>
        <v>0</v>
      </c>
      <c r="CA86" s="561">
        <f t="shared" ca="1" si="307"/>
        <v>0</v>
      </c>
      <c r="CB86" s="561">
        <f t="shared" ca="1" si="307"/>
        <v>0</v>
      </c>
      <c r="CC86" s="561">
        <f t="shared" ca="1" si="307"/>
        <v>0</v>
      </c>
      <c r="CD86" s="561">
        <f t="shared" ca="1" si="307"/>
        <v>0</v>
      </c>
      <c r="CE86" s="561">
        <f t="shared" ca="1" si="307"/>
        <v>0</v>
      </c>
      <c r="CF86" s="561">
        <f t="shared" ca="1" si="307"/>
        <v>0</v>
      </c>
      <c r="CG86" s="561">
        <f t="shared" ca="1" si="307"/>
        <v>0</v>
      </c>
      <c r="CH86" s="561">
        <f t="shared" ca="1" si="307"/>
        <v>0</v>
      </c>
      <c r="CI86" s="561">
        <f t="shared" ca="1" si="307"/>
        <v>0</v>
      </c>
      <c r="CJ86" s="561">
        <f t="shared" ca="1" si="307"/>
        <v>0</v>
      </c>
      <c r="CK86" s="561">
        <f t="shared" ca="1" si="307"/>
        <v>0</v>
      </c>
      <c r="CL86" s="561">
        <f t="shared" ca="1" si="307"/>
        <v>0</v>
      </c>
      <c r="CM86" s="561">
        <f t="shared" ref="CM86:DB86" ca="1" si="308">IF($L86="",IF(OR($P86="",$R86=""),0,IF($R86=CM$6,$Q86,0)),IF($E86=CM$5,$M86,))</f>
        <v>0</v>
      </c>
      <c r="CN86" s="561">
        <f t="shared" ca="1" si="308"/>
        <v>0</v>
      </c>
      <c r="CO86" s="561">
        <f t="shared" ca="1" si="308"/>
        <v>0</v>
      </c>
      <c r="CP86" s="561">
        <f t="shared" ca="1" si="308"/>
        <v>0</v>
      </c>
      <c r="CQ86" s="561">
        <f t="shared" ca="1" si="308"/>
        <v>0</v>
      </c>
      <c r="CR86" s="561">
        <f t="shared" ca="1" si="308"/>
        <v>0</v>
      </c>
      <c r="CS86" s="561">
        <f t="shared" ca="1" si="308"/>
        <v>0</v>
      </c>
      <c r="CT86" s="561">
        <f t="shared" ca="1" si="308"/>
        <v>0</v>
      </c>
      <c r="CU86" s="561">
        <f t="shared" ca="1" si="308"/>
        <v>0</v>
      </c>
      <c r="CV86" s="561">
        <f t="shared" ca="1" si="308"/>
        <v>0</v>
      </c>
      <c r="CW86" s="561">
        <f t="shared" ca="1" si="308"/>
        <v>0</v>
      </c>
      <c r="CX86" s="561">
        <f t="shared" ca="1" si="308"/>
        <v>0</v>
      </c>
      <c r="CY86" s="561">
        <f t="shared" ca="1" si="308"/>
        <v>0</v>
      </c>
      <c r="CZ86" s="561">
        <f t="shared" ca="1" si="308"/>
        <v>0</v>
      </c>
      <c r="DA86" s="561">
        <f t="shared" ca="1" si="308"/>
        <v>0</v>
      </c>
      <c r="DB86" s="561">
        <f t="shared" ca="1" si="308"/>
        <v>0</v>
      </c>
      <c r="DC86" s="561">
        <f t="shared" ca="1" si="269"/>
        <v>0</v>
      </c>
      <c r="DD86" s="561">
        <f t="shared" ca="1" si="269"/>
        <v>0</v>
      </c>
      <c r="DE86" s="561">
        <f t="shared" ref="DE86:DP86" ca="1" si="309">IF($L86="",IF(OR($P86="",$R86=""),0,IF($R86=DE$6,$Q86,0)),IF($E86=DE$5,$M86,))</f>
        <v>0</v>
      </c>
      <c r="DF86" s="561">
        <f t="shared" ca="1" si="309"/>
        <v>0</v>
      </c>
      <c r="DG86" s="561">
        <f t="shared" ca="1" si="309"/>
        <v>0</v>
      </c>
      <c r="DH86" s="561">
        <f t="shared" ca="1" si="309"/>
        <v>0</v>
      </c>
      <c r="DI86" s="561">
        <f t="shared" ca="1" si="309"/>
        <v>0</v>
      </c>
      <c r="DJ86" s="561">
        <f t="shared" ca="1" si="309"/>
        <v>0</v>
      </c>
      <c r="DK86" s="561">
        <f t="shared" ca="1" si="309"/>
        <v>0</v>
      </c>
      <c r="DL86" s="561">
        <f t="shared" ca="1" si="309"/>
        <v>0</v>
      </c>
      <c r="DM86" s="561">
        <f t="shared" ca="1" si="309"/>
        <v>0</v>
      </c>
      <c r="DN86" s="561">
        <f t="shared" ca="1" si="309"/>
        <v>0</v>
      </c>
      <c r="DO86" s="561">
        <f t="shared" ca="1" si="309"/>
        <v>0</v>
      </c>
      <c r="DP86" s="561">
        <f t="shared" ca="1" si="309"/>
        <v>0</v>
      </c>
    </row>
    <row r="87" spans="1:120" s="116" customFormat="1" outlineLevel="1">
      <c r="A87" s="100">
        <v>1110052010</v>
      </c>
      <c r="B87" s="1216" t="s">
        <v>2459</v>
      </c>
      <c r="C87" s="1695" t="s">
        <v>64</v>
      </c>
      <c r="D87" s="1629"/>
      <c r="E87" s="1630">
        <v>44981</v>
      </c>
      <c r="F87" s="102"/>
      <c r="G87" s="1258"/>
      <c r="H87" s="103"/>
      <c r="I87" s="104"/>
      <c r="J87" s="1604">
        <v>1</v>
      </c>
      <c r="K87" s="1605">
        <v>1</v>
      </c>
      <c r="L87" s="1696">
        <v>1940811.3</v>
      </c>
      <c r="M87" s="1697">
        <f t="shared" ref="M87" si="310">+L87*J87</f>
        <v>1940811.3</v>
      </c>
      <c r="N87" s="1228">
        <v>4853.8999999999996</v>
      </c>
      <c r="O87" s="107">
        <f t="shared" ref="O87" si="311">+L87*J87*N87</f>
        <v>9420503969.0699997</v>
      </c>
      <c r="P87" s="108"/>
      <c r="Q87" s="1342">
        <f t="shared" ref="Q87" si="312">+P87*K87</f>
        <v>0</v>
      </c>
      <c r="R87" s="109"/>
      <c r="S87" s="109">
        <f ca="1">IF(OR(E87="",E87&gt;TODAY()),0,IF(ISERROR(VLOOKUP($E87,'TRM BanRep'!$A:$G,7,0)),0,VLOOKUP($E87,'TRM BanRep'!$A:$G,7,0)))</f>
        <v>4853.8999999999996</v>
      </c>
      <c r="T87" s="110">
        <f t="shared" ref="T87" ca="1" si="313">+P87*K87*S87</f>
        <v>0</v>
      </c>
      <c r="U87" s="111">
        <f t="shared" ref="U87" si="314">+L87+P87+F87</f>
        <v>1940811.3</v>
      </c>
      <c r="V87" s="566">
        <f t="shared" ref="V87" si="315">+P87*J87*R87+L87*J87*N87+F87*J87*H87</f>
        <v>9420503969.0699997</v>
      </c>
      <c r="W87" s="112">
        <f t="shared" ref="W87" ca="1" si="316">IF((-P87*J87*R87)-(-P87*K87*S87)&gt;0,(-P87*J87*R87)-(-P87*K87*S87),0)</f>
        <v>0</v>
      </c>
      <c r="X87" s="113">
        <f t="shared" ref="X87" ca="1" si="317">IF((-P87*J87*R87)-(-P87*K87*S87)&lt;0,(-P87*J87*R87)-(-P87*K87*S87),0)</f>
        <v>0</v>
      </c>
      <c r="Y87" s="114"/>
      <c r="Z87" s="115"/>
      <c r="AA87" s="85">
        <f t="shared" si="265"/>
        <v>0</v>
      </c>
      <c r="AB87" s="508">
        <f t="shared" si="265"/>
        <v>0</v>
      </c>
      <c r="AC87" s="508">
        <f t="shared" si="265"/>
        <v>0</v>
      </c>
      <c r="AD87" s="508">
        <f t="shared" si="265"/>
        <v>0</v>
      </c>
      <c r="AE87" s="508">
        <f t="shared" si="265"/>
        <v>0</v>
      </c>
      <c r="AF87" s="561">
        <f t="shared" si="265"/>
        <v>0</v>
      </c>
      <c r="AG87" s="561">
        <f t="shared" si="265"/>
        <v>0</v>
      </c>
      <c r="AH87" s="561">
        <f t="shared" si="265"/>
        <v>0</v>
      </c>
      <c r="AI87" s="561">
        <f t="shared" si="265"/>
        <v>0</v>
      </c>
      <c r="AJ87" s="561">
        <f t="shared" si="265"/>
        <v>0</v>
      </c>
      <c r="AK87" s="561">
        <f t="shared" si="265"/>
        <v>0</v>
      </c>
      <c r="AL87" s="1542">
        <f t="shared" si="265"/>
        <v>0</v>
      </c>
      <c r="AM87" s="561">
        <f t="shared" si="265"/>
        <v>0</v>
      </c>
      <c r="AN87" s="561">
        <f t="shared" si="265"/>
        <v>0</v>
      </c>
      <c r="AO87" s="561">
        <f t="shared" si="265"/>
        <v>1940811.3</v>
      </c>
      <c r="AP87" s="561">
        <f t="shared" si="265"/>
        <v>0</v>
      </c>
      <c r="AQ87" s="561">
        <f t="shared" si="266"/>
        <v>0</v>
      </c>
      <c r="AR87" s="561">
        <f t="shared" si="266"/>
        <v>0</v>
      </c>
      <c r="AS87" s="561">
        <f t="shared" si="266"/>
        <v>0</v>
      </c>
      <c r="AT87" s="561">
        <f t="shared" si="266"/>
        <v>0</v>
      </c>
      <c r="AU87" s="561">
        <f t="shared" si="266"/>
        <v>0</v>
      </c>
      <c r="AV87" s="561">
        <f t="shared" si="266"/>
        <v>0</v>
      </c>
      <c r="AW87" s="561">
        <f t="shared" si="266"/>
        <v>0</v>
      </c>
      <c r="AX87" s="561">
        <f t="shared" si="266"/>
        <v>0</v>
      </c>
      <c r="AY87" s="561">
        <f t="shared" si="266"/>
        <v>0</v>
      </c>
      <c r="AZ87" s="561">
        <f t="shared" si="266"/>
        <v>0</v>
      </c>
      <c r="BA87" s="561">
        <f t="shared" si="266"/>
        <v>0</v>
      </c>
      <c r="BB87" s="561">
        <f t="shared" si="266"/>
        <v>0</v>
      </c>
      <c r="BC87" s="561">
        <f t="shared" si="266"/>
        <v>0</v>
      </c>
      <c r="BD87" s="561">
        <f t="shared" si="266"/>
        <v>0</v>
      </c>
      <c r="BE87" s="561">
        <f t="shared" si="266"/>
        <v>0</v>
      </c>
      <c r="BF87" s="561">
        <f t="shared" si="266"/>
        <v>0</v>
      </c>
      <c r="BG87" s="561">
        <f t="shared" si="267"/>
        <v>0</v>
      </c>
      <c r="BH87" s="561">
        <f t="shared" si="267"/>
        <v>0</v>
      </c>
      <c r="BI87" s="561">
        <f t="shared" si="267"/>
        <v>0</v>
      </c>
      <c r="BJ87" s="561">
        <f t="shared" si="267"/>
        <v>0</v>
      </c>
      <c r="BK87" s="561">
        <f t="shared" si="267"/>
        <v>0</v>
      </c>
      <c r="BL87" s="561">
        <f t="shared" si="267"/>
        <v>0</v>
      </c>
      <c r="BM87" s="561">
        <f t="shared" si="267"/>
        <v>0</v>
      </c>
      <c r="BN87" s="561">
        <f t="shared" si="267"/>
        <v>0</v>
      </c>
      <c r="BO87" s="561">
        <f t="shared" si="267"/>
        <v>0</v>
      </c>
      <c r="BP87" s="561">
        <f t="shared" si="267"/>
        <v>0</v>
      </c>
      <c r="BQ87" s="561">
        <f t="shared" si="267"/>
        <v>0</v>
      </c>
      <c r="BR87" s="561">
        <f t="shared" si="267"/>
        <v>0</v>
      </c>
      <c r="BS87" s="561">
        <f t="shared" si="267"/>
        <v>0</v>
      </c>
      <c r="BT87" s="561">
        <f t="shared" si="267"/>
        <v>0</v>
      </c>
      <c r="BU87" s="561">
        <f t="shared" si="267"/>
        <v>0</v>
      </c>
      <c r="BV87" s="561">
        <f t="shared" si="267"/>
        <v>0</v>
      </c>
      <c r="BW87" s="561">
        <f t="shared" si="268"/>
        <v>0</v>
      </c>
      <c r="BX87" s="561">
        <f t="shared" si="268"/>
        <v>0</v>
      </c>
      <c r="BY87" s="561">
        <f t="shared" si="268"/>
        <v>0</v>
      </c>
      <c r="BZ87" s="561">
        <f t="shared" si="268"/>
        <v>0</v>
      </c>
      <c r="CA87" s="561">
        <f t="shared" si="268"/>
        <v>0</v>
      </c>
      <c r="CB87" s="561">
        <f t="shared" si="268"/>
        <v>0</v>
      </c>
      <c r="CC87" s="561">
        <f t="shared" si="268"/>
        <v>0</v>
      </c>
      <c r="CD87" s="561">
        <f t="shared" si="268"/>
        <v>0</v>
      </c>
      <c r="CE87" s="561">
        <f t="shared" si="268"/>
        <v>0</v>
      </c>
      <c r="CF87" s="561">
        <f t="shared" si="268"/>
        <v>0</v>
      </c>
      <c r="CG87" s="561">
        <f t="shared" si="268"/>
        <v>0</v>
      </c>
      <c r="CH87" s="561">
        <f t="shared" si="268"/>
        <v>0</v>
      </c>
      <c r="CI87" s="561">
        <f t="shared" si="268"/>
        <v>0</v>
      </c>
      <c r="CJ87" s="561">
        <f t="shared" si="268"/>
        <v>0</v>
      </c>
      <c r="CK87" s="561">
        <f t="shared" si="268"/>
        <v>0</v>
      </c>
      <c r="CL87" s="561">
        <f t="shared" si="268"/>
        <v>0</v>
      </c>
      <c r="CM87" s="561">
        <f t="shared" si="270"/>
        <v>0</v>
      </c>
      <c r="CN87" s="561">
        <f t="shared" si="270"/>
        <v>0</v>
      </c>
      <c r="CO87" s="561">
        <f t="shared" si="270"/>
        <v>0</v>
      </c>
      <c r="CP87" s="561">
        <f t="shared" si="270"/>
        <v>0</v>
      </c>
      <c r="CQ87" s="561">
        <f t="shared" si="270"/>
        <v>0</v>
      </c>
      <c r="CR87" s="561">
        <f t="shared" si="270"/>
        <v>0</v>
      </c>
      <c r="CS87" s="561">
        <f t="shared" si="270"/>
        <v>0</v>
      </c>
      <c r="CT87" s="561">
        <f t="shared" si="270"/>
        <v>0</v>
      </c>
      <c r="CU87" s="561">
        <f t="shared" si="270"/>
        <v>0</v>
      </c>
      <c r="CV87" s="561">
        <f t="shared" si="270"/>
        <v>0</v>
      </c>
      <c r="CW87" s="561">
        <f t="shared" si="270"/>
        <v>0</v>
      </c>
      <c r="CX87" s="561">
        <f t="shared" si="270"/>
        <v>0</v>
      </c>
      <c r="CY87" s="561">
        <f t="shared" si="270"/>
        <v>0</v>
      </c>
      <c r="CZ87" s="561">
        <f t="shared" si="270"/>
        <v>0</v>
      </c>
      <c r="DA87" s="561">
        <f t="shared" si="270"/>
        <v>0</v>
      </c>
      <c r="DB87" s="561">
        <f t="shared" si="270"/>
        <v>0</v>
      </c>
      <c r="DC87" s="561">
        <f t="shared" si="269"/>
        <v>0</v>
      </c>
      <c r="DD87" s="561">
        <f t="shared" si="269"/>
        <v>0</v>
      </c>
      <c r="DE87" s="561">
        <f t="shared" si="269"/>
        <v>0</v>
      </c>
      <c r="DF87" s="561">
        <f t="shared" si="269"/>
        <v>0</v>
      </c>
      <c r="DG87" s="561">
        <f t="shared" si="269"/>
        <v>0</v>
      </c>
      <c r="DH87" s="561">
        <f t="shared" si="269"/>
        <v>0</v>
      </c>
      <c r="DI87" s="561">
        <f t="shared" si="269"/>
        <v>0</v>
      </c>
      <c r="DJ87" s="561">
        <f t="shared" si="269"/>
        <v>0</v>
      </c>
      <c r="DK87" s="561">
        <f t="shared" si="269"/>
        <v>0</v>
      </c>
      <c r="DL87" s="561">
        <f t="shared" si="269"/>
        <v>0</v>
      </c>
      <c r="DM87" s="561">
        <f t="shared" si="269"/>
        <v>0</v>
      </c>
      <c r="DN87" s="561">
        <f t="shared" si="269"/>
        <v>0</v>
      </c>
      <c r="DO87" s="561">
        <f t="shared" si="269"/>
        <v>0</v>
      </c>
      <c r="DP87" s="561">
        <f t="shared" si="269"/>
        <v>0</v>
      </c>
    </row>
    <row r="88" spans="1:120" s="116" customFormat="1" outlineLevel="1">
      <c r="A88" s="100">
        <v>1110052010</v>
      </c>
      <c r="B88" s="1216" t="s">
        <v>2459</v>
      </c>
      <c r="C88" s="1695" t="s">
        <v>64</v>
      </c>
      <c r="D88" s="1629"/>
      <c r="E88" s="1630">
        <v>44986</v>
      </c>
      <c r="F88" s="102"/>
      <c r="G88" s="1258"/>
      <c r="H88" s="103"/>
      <c r="I88" s="104"/>
      <c r="J88" s="1604">
        <v>1</v>
      </c>
      <c r="K88" s="1605">
        <v>1</v>
      </c>
      <c r="L88" s="1696">
        <v>1074324.22</v>
      </c>
      <c r="M88" s="1697">
        <f t="shared" ref="M88:M91" si="318">+L88*J88</f>
        <v>1074324.22</v>
      </c>
      <c r="N88" s="1228">
        <v>4814.1099999999997</v>
      </c>
      <c r="O88" s="107">
        <f t="shared" ref="O88:O91" si="319">+L88*J88*N88</f>
        <v>5171914970.7441998</v>
      </c>
      <c r="P88" s="108"/>
      <c r="Q88" s="1342">
        <f t="shared" ref="Q88:Q91" si="320">+P88*K88</f>
        <v>0</v>
      </c>
      <c r="R88" s="109"/>
      <c r="S88" s="109">
        <f ca="1">IF(OR(E88="",E88&gt;TODAY()),0,IF(ISERROR(VLOOKUP($E88,'TRM BanRep'!$A:$G,7,0)),0,VLOOKUP($E88,'TRM BanRep'!$A:$G,7,0)))</f>
        <v>4814.1099999999997</v>
      </c>
      <c r="T88" s="110">
        <f t="shared" ref="T88:T91" ca="1" si="321">+P88*K88*S88</f>
        <v>0</v>
      </c>
      <c r="U88" s="111">
        <f t="shared" ref="U88:U91" si="322">+L88+P88+F88</f>
        <v>1074324.22</v>
      </c>
      <c r="V88" s="566">
        <f t="shared" ref="V88:V91" si="323">+P88*J88*R88+L88*J88*N88+F88*J88*H88</f>
        <v>5171914970.7441998</v>
      </c>
      <c r="W88" s="112">
        <f t="shared" ref="W88:W91" ca="1" si="324">IF((-P88*J88*R88)-(-P88*K88*S88)&gt;0,(-P88*J88*R88)-(-P88*K88*S88),0)</f>
        <v>0</v>
      </c>
      <c r="X88" s="113">
        <f t="shared" ref="X88:X91" ca="1" si="325">IF((-P88*J88*R88)-(-P88*K88*S88)&lt;0,(-P88*J88*R88)-(-P88*K88*S88),0)</f>
        <v>0</v>
      </c>
      <c r="Y88" s="114"/>
      <c r="Z88" s="115"/>
      <c r="AA88" s="85">
        <f t="shared" ref="AA88:CL92" si="326">IF($L88="",IF(OR($P88="",$R88=""),0,IF($R88=AA$6,$Q88,0)),IF($E88=AA$5,$M88,))</f>
        <v>0</v>
      </c>
      <c r="AB88" s="508">
        <f t="shared" si="326"/>
        <v>0</v>
      </c>
      <c r="AC88" s="508">
        <f t="shared" si="326"/>
        <v>0</v>
      </c>
      <c r="AD88" s="508">
        <f t="shared" si="326"/>
        <v>0</v>
      </c>
      <c r="AE88" s="508">
        <f t="shared" si="326"/>
        <v>0</v>
      </c>
      <c r="AF88" s="561">
        <f t="shared" si="326"/>
        <v>0</v>
      </c>
      <c r="AG88" s="561">
        <f t="shared" si="326"/>
        <v>0</v>
      </c>
      <c r="AH88" s="561">
        <f t="shared" si="326"/>
        <v>0</v>
      </c>
      <c r="AI88" s="561">
        <f t="shared" si="326"/>
        <v>0</v>
      </c>
      <c r="AJ88" s="561">
        <f t="shared" si="326"/>
        <v>0</v>
      </c>
      <c r="AK88" s="561">
        <f t="shared" si="326"/>
        <v>0</v>
      </c>
      <c r="AL88" s="1542">
        <f t="shared" si="326"/>
        <v>0</v>
      </c>
      <c r="AM88" s="561">
        <f t="shared" si="326"/>
        <v>0</v>
      </c>
      <c r="AN88" s="561">
        <f t="shared" si="326"/>
        <v>0</v>
      </c>
      <c r="AO88" s="561">
        <f t="shared" si="326"/>
        <v>0</v>
      </c>
      <c r="AP88" s="561">
        <f t="shared" si="326"/>
        <v>0</v>
      </c>
      <c r="AQ88" s="561">
        <f t="shared" si="326"/>
        <v>0</v>
      </c>
      <c r="AR88" s="561">
        <f t="shared" si="326"/>
        <v>1074324.22</v>
      </c>
      <c r="AS88" s="561">
        <f t="shared" si="326"/>
        <v>0</v>
      </c>
      <c r="AT88" s="561">
        <f t="shared" si="326"/>
        <v>0</v>
      </c>
      <c r="AU88" s="561">
        <f t="shared" si="326"/>
        <v>0</v>
      </c>
      <c r="AV88" s="561">
        <f t="shared" si="326"/>
        <v>0</v>
      </c>
      <c r="AW88" s="561">
        <f t="shared" si="326"/>
        <v>0</v>
      </c>
      <c r="AX88" s="561">
        <f t="shared" si="326"/>
        <v>0</v>
      </c>
      <c r="AY88" s="561">
        <f t="shared" si="326"/>
        <v>0</v>
      </c>
      <c r="AZ88" s="561">
        <f t="shared" si="326"/>
        <v>0</v>
      </c>
      <c r="BA88" s="561">
        <f t="shared" si="326"/>
        <v>0</v>
      </c>
      <c r="BB88" s="561">
        <f t="shared" si="326"/>
        <v>0</v>
      </c>
      <c r="BC88" s="561">
        <f t="shared" si="326"/>
        <v>0</v>
      </c>
      <c r="BD88" s="561">
        <f t="shared" si="326"/>
        <v>0</v>
      </c>
      <c r="BE88" s="561">
        <f t="shared" si="326"/>
        <v>0</v>
      </c>
      <c r="BF88" s="561">
        <f t="shared" si="326"/>
        <v>0</v>
      </c>
      <c r="BG88" s="561">
        <f t="shared" si="326"/>
        <v>0</v>
      </c>
      <c r="BH88" s="561">
        <f t="shared" si="326"/>
        <v>0</v>
      </c>
      <c r="BI88" s="561">
        <f t="shared" si="326"/>
        <v>0</v>
      </c>
      <c r="BJ88" s="561">
        <f t="shared" si="326"/>
        <v>0</v>
      </c>
      <c r="BK88" s="561">
        <f t="shared" si="326"/>
        <v>0</v>
      </c>
      <c r="BL88" s="561">
        <f t="shared" si="326"/>
        <v>0</v>
      </c>
      <c r="BM88" s="561">
        <f t="shared" si="326"/>
        <v>0</v>
      </c>
      <c r="BN88" s="561">
        <f t="shared" si="326"/>
        <v>0</v>
      </c>
      <c r="BO88" s="561">
        <f t="shared" si="326"/>
        <v>0</v>
      </c>
      <c r="BP88" s="561">
        <f t="shared" si="326"/>
        <v>0</v>
      </c>
      <c r="BQ88" s="561">
        <f t="shared" si="326"/>
        <v>0</v>
      </c>
      <c r="BR88" s="561">
        <f t="shared" si="326"/>
        <v>0</v>
      </c>
      <c r="BS88" s="561">
        <f t="shared" si="326"/>
        <v>0</v>
      </c>
      <c r="BT88" s="561">
        <f t="shared" si="326"/>
        <v>0</v>
      </c>
      <c r="BU88" s="561">
        <f t="shared" si="326"/>
        <v>0</v>
      </c>
      <c r="BV88" s="561">
        <f t="shared" si="326"/>
        <v>0</v>
      </c>
      <c r="BW88" s="561">
        <f t="shared" si="326"/>
        <v>0</v>
      </c>
      <c r="BX88" s="561">
        <f t="shared" si="326"/>
        <v>0</v>
      </c>
      <c r="BY88" s="561">
        <f t="shared" si="326"/>
        <v>0</v>
      </c>
      <c r="BZ88" s="561">
        <f t="shared" si="326"/>
        <v>0</v>
      </c>
      <c r="CA88" s="561">
        <f t="shared" si="326"/>
        <v>0</v>
      </c>
      <c r="CB88" s="561">
        <f t="shared" si="326"/>
        <v>0</v>
      </c>
      <c r="CC88" s="561">
        <f t="shared" si="326"/>
        <v>0</v>
      </c>
      <c r="CD88" s="561">
        <f t="shared" si="326"/>
        <v>0</v>
      </c>
      <c r="CE88" s="561">
        <f t="shared" si="326"/>
        <v>0</v>
      </c>
      <c r="CF88" s="561">
        <f t="shared" si="326"/>
        <v>0</v>
      </c>
      <c r="CG88" s="561">
        <f t="shared" si="326"/>
        <v>0</v>
      </c>
      <c r="CH88" s="561">
        <f t="shared" si="326"/>
        <v>0</v>
      </c>
      <c r="CI88" s="561">
        <f t="shared" si="326"/>
        <v>0</v>
      </c>
      <c r="CJ88" s="561">
        <f t="shared" si="326"/>
        <v>0</v>
      </c>
      <c r="CK88" s="561">
        <f t="shared" si="326"/>
        <v>0</v>
      </c>
      <c r="CL88" s="561">
        <f t="shared" si="326"/>
        <v>0</v>
      </c>
      <c r="CM88" s="561">
        <f t="shared" ref="CM88:DP92" si="327">IF($L88="",IF(OR($P88="",$R88=""),0,IF($R88=CM$6,$Q88,0)),IF($E88=CM$5,$M88,))</f>
        <v>0</v>
      </c>
      <c r="CN88" s="561">
        <f t="shared" si="327"/>
        <v>0</v>
      </c>
      <c r="CO88" s="561">
        <f t="shared" si="327"/>
        <v>0</v>
      </c>
      <c r="CP88" s="561">
        <f t="shared" si="327"/>
        <v>0</v>
      </c>
      <c r="CQ88" s="561">
        <f t="shared" si="327"/>
        <v>0</v>
      </c>
      <c r="CR88" s="561">
        <f t="shared" si="327"/>
        <v>0</v>
      </c>
      <c r="CS88" s="561">
        <f t="shared" si="327"/>
        <v>0</v>
      </c>
      <c r="CT88" s="561">
        <f t="shared" si="327"/>
        <v>0</v>
      </c>
      <c r="CU88" s="561">
        <f t="shared" si="327"/>
        <v>0</v>
      </c>
      <c r="CV88" s="561">
        <f t="shared" si="327"/>
        <v>0</v>
      </c>
      <c r="CW88" s="561">
        <f t="shared" si="327"/>
        <v>0</v>
      </c>
      <c r="CX88" s="561">
        <f t="shared" si="327"/>
        <v>0</v>
      </c>
      <c r="CY88" s="561">
        <f t="shared" si="327"/>
        <v>0</v>
      </c>
      <c r="CZ88" s="561">
        <f t="shared" si="327"/>
        <v>0</v>
      </c>
      <c r="DA88" s="561">
        <f t="shared" si="327"/>
        <v>0</v>
      </c>
      <c r="DB88" s="561">
        <f t="shared" si="327"/>
        <v>0</v>
      </c>
      <c r="DC88" s="561">
        <f t="shared" si="327"/>
        <v>0</v>
      </c>
      <c r="DD88" s="561">
        <f t="shared" si="327"/>
        <v>0</v>
      </c>
      <c r="DE88" s="561">
        <f t="shared" si="327"/>
        <v>0</v>
      </c>
      <c r="DF88" s="561">
        <f t="shared" si="327"/>
        <v>0</v>
      </c>
      <c r="DG88" s="561">
        <f t="shared" si="327"/>
        <v>0</v>
      </c>
      <c r="DH88" s="561">
        <f t="shared" si="327"/>
        <v>0</v>
      </c>
      <c r="DI88" s="561">
        <f t="shared" si="327"/>
        <v>0</v>
      </c>
      <c r="DJ88" s="561">
        <f t="shared" si="327"/>
        <v>0</v>
      </c>
      <c r="DK88" s="561">
        <f t="shared" si="327"/>
        <v>0</v>
      </c>
      <c r="DL88" s="561">
        <f t="shared" si="327"/>
        <v>0</v>
      </c>
      <c r="DM88" s="561">
        <f t="shared" si="327"/>
        <v>0</v>
      </c>
      <c r="DN88" s="561">
        <f t="shared" si="327"/>
        <v>0</v>
      </c>
      <c r="DO88" s="561">
        <f t="shared" si="327"/>
        <v>0</v>
      </c>
      <c r="DP88" s="561">
        <f t="shared" si="327"/>
        <v>0</v>
      </c>
    </row>
    <row r="89" spans="1:120" s="116" customFormat="1" outlineLevel="1">
      <c r="A89" s="100">
        <v>1110052010</v>
      </c>
      <c r="B89" s="1216" t="s">
        <v>2459</v>
      </c>
      <c r="C89" s="1695" t="s">
        <v>64</v>
      </c>
      <c r="D89" s="1629"/>
      <c r="E89" s="1630">
        <v>44987</v>
      </c>
      <c r="F89" s="102"/>
      <c r="G89" s="1258"/>
      <c r="H89" s="103"/>
      <c r="I89" s="104"/>
      <c r="J89" s="1604">
        <v>1</v>
      </c>
      <c r="K89" s="1605">
        <v>1</v>
      </c>
      <c r="L89" s="1696">
        <v>1100000</v>
      </c>
      <c r="M89" s="1697">
        <f t="shared" ref="M89:M90" si="328">+L89*J89</f>
        <v>1100000</v>
      </c>
      <c r="N89" s="1228">
        <v>4848.78</v>
      </c>
      <c r="O89" s="107">
        <f t="shared" ref="O89:O90" si="329">+L89*J89*N89</f>
        <v>5333658000</v>
      </c>
      <c r="P89" s="108"/>
      <c r="Q89" s="1342">
        <f t="shared" ref="Q89:Q90" si="330">+P89*K89</f>
        <v>0</v>
      </c>
      <c r="R89" s="109"/>
      <c r="S89" s="109">
        <f ca="1">IF(OR(E89="",E89&gt;TODAY()),0,IF(ISERROR(VLOOKUP($E89,'TRM BanRep'!$A:$G,7,0)),0,VLOOKUP($E89,'TRM BanRep'!$A:$G,7,0)))</f>
        <v>4848.78</v>
      </c>
      <c r="T89" s="110">
        <f t="shared" ref="T89:T90" ca="1" si="331">+P89*K89*S89</f>
        <v>0</v>
      </c>
      <c r="U89" s="111">
        <f t="shared" ref="U89:U90" si="332">+L89+P89+F89</f>
        <v>1100000</v>
      </c>
      <c r="V89" s="566">
        <f t="shared" ref="V89:V90" si="333">+P89*J89*R89+L89*J89*N89+F89*J89*H89</f>
        <v>5333658000</v>
      </c>
      <c r="W89" s="112">
        <f t="shared" ref="W89:W90" ca="1" si="334">IF((-P89*J89*R89)-(-P89*K89*S89)&gt;0,(-P89*J89*R89)-(-P89*K89*S89),0)</f>
        <v>0</v>
      </c>
      <c r="X89" s="113">
        <f t="shared" ref="X89:X90" ca="1" si="335">IF((-P89*J89*R89)-(-P89*K89*S89)&lt;0,(-P89*J89*R89)-(-P89*K89*S89),0)</f>
        <v>0</v>
      </c>
      <c r="Y89" s="114"/>
      <c r="Z89" s="115"/>
      <c r="AA89" s="85">
        <f t="shared" si="326"/>
        <v>0</v>
      </c>
      <c r="AB89" s="508">
        <f t="shared" si="326"/>
        <v>0</v>
      </c>
      <c r="AC89" s="508">
        <f t="shared" si="326"/>
        <v>0</v>
      </c>
      <c r="AD89" s="508">
        <f t="shared" si="326"/>
        <v>0</v>
      </c>
      <c r="AE89" s="508">
        <f t="shared" si="326"/>
        <v>0</v>
      </c>
      <c r="AF89" s="561">
        <f t="shared" si="326"/>
        <v>0</v>
      </c>
      <c r="AG89" s="561">
        <f t="shared" si="326"/>
        <v>0</v>
      </c>
      <c r="AH89" s="561">
        <f t="shared" si="326"/>
        <v>0</v>
      </c>
      <c r="AI89" s="561">
        <f t="shared" si="326"/>
        <v>0</v>
      </c>
      <c r="AJ89" s="561">
        <f t="shared" si="326"/>
        <v>0</v>
      </c>
      <c r="AK89" s="561">
        <f t="shared" si="326"/>
        <v>0</v>
      </c>
      <c r="AL89" s="1542">
        <f t="shared" si="326"/>
        <v>0</v>
      </c>
      <c r="AM89" s="561">
        <f t="shared" si="326"/>
        <v>0</v>
      </c>
      <c r="AN89" s="561">
        <f t="shared" si="326"/>
        <v>0</v>
      </c>
      <c r="AO89" s="561">
        <f t="shared" si="326"/>
        <v>0</v>
      </c>
      <c r="AP89" s="561">
        <f t="shared" si="326"/>
        <v>0</v>
      </c>
      <c r="AQ89" s="561">
        <f t="shared" si="326"/>
        <v>0</v>
      </c>
      <c r="AR89" s="561">
        <f t="shared" si="326"/>
        <v>0</v>
      </c>
      <c r="AS89" s="561">
        <f t="shared" si="326"/>
        <v>1100000</v>
      </c>
      <c r="AT89" s="561">
        <f t="shared" si="326"/>
        <v>0</v>
      </c>
      <c r="AU89" s="561">
        <f t="shared" si="326"/>
        <v>0</v>
      </c>
      <c r="AV89" s="561">
        <f t="shared" si="326"/>
        <v>0</v>
      </c>
      <c r="AW89" s="561">
        <f t="shared" si="326"/>
        <v>0</v>
      </c>
      <c r="AX89" s="561">
        <f t="shared" si="326"/>
        <v>0</v>
      </c>
      <c r="AY89" s="561">
        <f t="shared" si="326"/>
        <v>0</v>
      </c>
      <c r="AZ89" s="561">
        <f t="shared" si="326"/>
        <v>0</v>
      </c>
      <c r="BA89" s="561">
        <f t="shared" si="326"/>
        <v>0</v>
      </c>
      <c r="BB89" s="561">
        <f t="shared" si="326"/>
        <v>0</v>
      </c>
      <c r="BC89" s="561">
        <f t="shared" si="326"/>
        <v>0</v>
      </c>
      <c r="BD89" s="561">
        <f t="shared" si="326"/>
        <v>0</v>
      </c>
      <c r="BE89" s="561">
        <f t="shared" si="326"/>
        <v>0</v>
      </c>
      <c r="BF89" s="561">
        <f t="shared" si="326"/>
        <v>0</v>
      </c>
      <c r="BG89" s="561">
        <f t="shared" si="326"/>
        <v>0</v>
      </c>
      <c r="BH89" s="561">
        <f t="shared" si="326"/>
        <v>0</v>
      </c>
      <c r="BI89" s="561">
        <f t="shared" si="326"/>
        <v>0</v>
      </c>
      <c r="BJ89" s="561">
        <f t="shared" si="326"/>
        <v>0</v>
      </c>
      <c r="BK89" s="561">
        <f t="shared" si="326"/>
        <v>0</v>
      </c>
      <c r="BL89" s="561">
        <f t="shared" si="326"/>
        <v>0</v>
      </c>
      <c r="BM89" s="561">
        <f t="shared" si="326"/>
        <v>0</v>
      </c>
      <c r="BN89" s="561">
        <f t="shared" si="326"/>
        <v>0</v>
      </c>
      <c r="BO89" s="561">
        <f t="shared" si="326"/>
        <v>0</v>
      </c>
      <c r="BP89" s="561">
        <f t="shared" si="326"/>
        <v>0</v>
      </c>
      <c r="BQ89" s="561">
        <f t="shared" si="326"/>
        <v>0</v>
      </c>
      <c r="BR89" s="561">
        <f t="shared" si="326"/>
        <v>0</v>
      </c>
      <c r="BS89" s="561">
        <f t="shared" si="326"/>
        <v>0</v>
      </c>
      <c r="BT89" s="561">
        <f t="shared" si="326"/>
        <v>0</v>
      </c>
      <c r="BU89" s="561">
        <f t="shared" si="326"/>
        <v>0</v>
      </c>
      <c r="BV89" s="561">
        <f t="shared" si="326"/>
        <v>0</v>
      </c>
      <c r="BW89" s="561">
        <f t="shared" si="326"/>
        <v>0</v>
      </c>
      <c r="BX89" s="561">
        <f t="shared" si="326"/>
        <v>0</v>
      </c>
      <c r="BY89" s="561">
        <f t="shared" si="326"/>
        <v>0</v>
      </c>
      <c r="BZ89" s="561">
        <f t="shared" si="326"/>
        <v>0</v>
      </c>
      <c r="CA89" s="561">
        <f t="shared" si="326"/>
        <v>0</v>
      </c>
      <c r="CB89" s="561">
        <f t="shared" si="326"/>
        <v>0</v>
      </c>
      <c r="CC89" s="561">
        <f t="shared" si="326"/>
        <v>0</v>
      </c>
      <c r="CD89" s="561">
        <f t="shared" si="326"/>
        <v>0</v>
      </c>
      <c r="CE89" s="561">
        <f t="shared" si="326"/>
        <v>0</v>
      </c>
      <c r="CF89" s="561">
        <f t="shared" si="326"/>
        <v>0</v>
      </c>
      <c r="CG89" s="561">
        <f t="shared" si="326"/>
        <v>0</v>
      </c>
      <c r="CH89" s="561">
        <f t="shared" si="326"/>
        <v>0</v>
      </c>
      <c r="CI89" s="561">
        <f t="shared" si="326"/>
        <v>0</v>
      </c>
      <c r="CJ89" s="561">
        <f t="shared" si="326"/>
        <v>0</v>
      </c>
      <c r="CK89" s="561">
        <f t="shared" si="326"/>
        <v>0</v>
      </c>
      <c r="CL89" s="561">
        <f t="shared" ref="CL89" si="336">IF($L89="",IF(OR($P89="",$R89=""),0,IF($R89=CL$6,$Q89,0)),IF($E89=CL$5,$M89,))</f>
        <v>0</v>
      </c>
      <c r="CM89" s="561">
        <f t="shared" si="327"/>
        <v>0</v>
      </c>
      <c r="CN89" s="561">
        <f t="shared" si="327"/>
        <v>0</v>
      </c>
      <c r="CO89" s="561">
        <f t="shared" si="327"/>
        <v>0</v>
      </c>
      <c r="CP89" s="561">
        <f t="shared" si="327"/>
        <v>0</v>
      </c>
      <c r="CQ89" s="561">
        <f t="shared" si="327"/>
        <v>0</v>
      </c>
      <c r="CR89" s="561">
        <f t="shared" si="327"/>
        <v>0</v>
      </c>
      <c r="CS89" s="561">
        <f t="shared" si="327"/>
        <v>0</v>
      </c>
      <c r="CT89" s="561">
        <f t="shared" si="327"/>
        <v>0</v>
      </c>
      <c r="CU89" s="561">
        <f t="shared" si="327"/>
        <v>0</v>
      </c>
      <c r="CV89" s="561">
        <f t="shared" si="327"/>
        <v>0</v>
      </c>
      <c r="CW89" s="561">
        <f t="shared" si="327"/>
        <v>0</v>
      </c>
      <c r="CX89" s="561">
        <f t="shared" si="327"/>
        <v>0</v>
      </c>
      <c r="CY89" s="561">
        <f t="shared" si="327"/>
        <v>0</v>
      </c>
      <c r="CZ89" s="561">
        <f t="shared" si="327"/>
        <v>0</v>
      </c>
      <c r="DA89" s="561">
        <f t="shared" si="327"/>
        <v>0</v>
      </c>
      <c r="DB89" s="561">
        <f t="shared" si="327"/>
        <v>0</v>
      </c>
      <c r="DC89" s="561">
        <f t="shared" si="327"/>
        <v>0</v>
      </c>
      <c r="DD89" s="561">
        <f t="shared" si="327"/>
        <v>0</v>
      </c>
      <c r="DE89" s="561">
        <f t="shared" si="327"/>
        <v>0</v>
      </c>
      <c r="DF89" s="561">
        <f t="shared" si="327"/>
        <v>0</v>
      </c>
      <c r="DG89" s="561">
        <f t="shared" si="327"/>
        <v>0</v>
      </c>
      <c r="DH89" s="561">
        <f t="shared" si="327"/>
        <v>0</v>
      </c>
      <c r="DI89" s="561">
        <f t="shared" si="327"/>
        <v>0</v>
      </c>
      <c r="DJ89" s="561">
        <f t="shared" si="327"/>
        <v>0</v>
      </c>
      <c r="DK89" s="561">
        <f t="shared" si="327"/>
        <v>0</v>
      </c>
      <c r="DL89" s="561">
        <f t="shared" si="327"/>
        <v>0</v>
      </c>
      <c r="DM89" s="561">
        <f t="shared" si="327"/>
        <v>0</v>
      </c>
      <c r="DN89" s="561">
        <f t="shared" si="327"/>
        <v>0</v>
      </c>
      <c r="DO89" s="561">
        <f t="shared" si="327"/>
        <v>0</v>
      </c>
      <c r="DP89" s="561">
        <f t="shared" si="327"/>
        <v>0</v>
      </c>
    </row>
    <row r="90" spans="1:120" s="116" customFormat="1" outlineLevel="1">
      <c r="A90" s="100">
        <v>1110052010</v>
      </c>
      <c r="B90" s="1216" t="s">
        <v>2459</v>
      </c>
      <c r="C90" s="1695" t="s">
        <v>64</v>
      </c>
      <c r="D90" s="1629"/>
      <c r="E90" s="1630">
        <v>44991</v>
      </c>
      <c r="F90" s="102"/>
      <c r="G90" s="1258"/>
      <c r="H90" s="103"/>
      <c r="I90" s="104"/>
      <c r="J90" s="1604">
        <v>1</v>
      </c>
      <c r="K90" s="1605">
        <v>1</v>
      </c>
      <c r="L90" s="1696">
        <v>1954401.8</v>
      </c>
      <c r="M90" s="1697">
        <f t="shared" si="328"/>
        <v>1954401.8</v>
      </c>
      <c r="N90" s="1228">
        <v>4780.8900000000003</v>
      </c>
      <c r="O90" s="107">
        <f t="shared" si="329"/>
        <v>9343780021.6020012</v>
      </c>
      <c r="P90" s="108"/>
      <c r="Q90" s="1342">
        <f t="shared" si="330"/>
        <v>0</v>
      </c>
      <c r="R90" s="109"/>
      <c r="S90" s="109">
        <f ca="1">IF(OR(E90="",E90&gt;TODAY()),0,IF(ISERROR(VLOOKUP($E90,'TRM BanRep'!$A:$G,7,0)),0,VLOOKUP($E90,'TRM BanRep'!$A:$G,7,0)))</f>
        <v>4780.8900000000003</v>
      </c>
      <c r="T90" s="110">
        <f t="shared" ca="1" si="331"/>
        <v>0</v>
      </c>
      <c r="U90" s="111">
        <f t="shared" si="332"/>
        <v>1954401.8</v>
      </c>
      <c r="V90" s="566">
        <f t="shared" si="333"/>
        <v>9343780021.6020012</v>
      </c>
      <c r="W90" s="112">
        <f t="shared" ca="1" si="334"/>
        <v>0</v>
      </c>
      <c r="X90" s="113">
        <f t="shared" ca="1" si="335"/>
        <v>0</v>
      </c>
      <c r="Y90" s="114"/>
      <c r="Z90" s="115"/>
      <c r="AA90" s="85">
        <f t="shared" ref="AA90:CL90" si="337">IF($L90="",IF(OR($P90="",$R90=""),0,IF($R90=AA$6,$Q90,0)),IF($E90=AA$5,$M90,))</f>
        <v>0</v>
      </c>
      <c r="AB90" s="508">
        <f t="shared" si="337"/>
        <v>0</v>
      </c>
      <c r="AC90" s="508">
        <f t="shared" si="337"/>
        <v>0</v>
      </c>
      <c r="AD90" s="508">
        <f t="shared" si="337"/>
        <v>0</v>
      </c>
      <c r="AE90" s="508">
        <f t="shared" si="337"/>
        <v>0</v>
      </c>
      <c r="AF90" s="561">
        <f t="shared" si="337"/>
        <v>0</v>
      </c>
      <c r="AG90" s="561">
        <f t="shared" si="337"/>
        <v>0</v>
      </c>
      <c r="AH90" s="561">
        <f t="shared" si="337"/>
        <v>0</v>
      </c>
      <c r="AI90" s="561">
        <f t="shared" si="337"/>
        <v>0</v>
      </c>
      <c r="AJ90" s="561">
        <f t="shared" si="337"/>
        <v>0</v>
      </c>
      <c r="AK90" s="561">
        <f t="shared" si="337"/>
        <v>0</v>
      </c>
      <c r="AL90" s="1542">
        <f t="shared" si="337"/>
        <v>0</v>
      </c>
      <c r="AM90" s="561">
        <f t="shared" si="337"/>
        <v>0</v>
      </c>
      <c r="AN90" s="561">
        <f t="shared" si="337"/>
        <v>0</v>
      </c>
      <c r="AO90" s="561">
        <f t="shared" si="337"/>
        <v>0</v>
      </c>
      <c r="AP90" s="561">
        <f t="shared" si="337"/>
        <v>0</v>
      </c>
      <c r="AQ90" s="561">
        <f t="shared" si="337"/>
        <v>0</v>
      </c>
      <c r="AR90" s="561">
        <f t="shared" si="337"/>
        <v>0</v>
      </c>
      <c r="AS90" s="561">
        <f t="shared" si="337"/>
        <v>0</v>
      </c>
      <c r="AT90" s="561">
        <f t="shared" si="337"/>
        <v>1954401.8</v>
      </c>
      <c r="AU90" s="561">
        <f t="shared" si="337"/>
        <v>0</v>
      </c>
      <c r="AV90" s="561">
        <f t="shared" si="337"/>
        <v>0</v>
      </c>
      <c r="AW90" s="561">
        <f t="shared" si="337"/>
        <v>0</v>
      </c>
      <c r="AX90" s="561">
        <f t="shared" si="337"/>
        <v>0</v>
      </c>
      <c r="AY90" s="561">
        <f t="shared" si="337"/>
        <v>0</v>
      </c>
      <c r="AZ90" s="561">
        <f t="shared" si="337"/>
        <v>0</v>
      </c>
      <c r="BA90" s="561">
        <f t="shared" si="337"/>
        <v>0</v>
      </c>
      <c r="BB90" s="561">
        <f t="shared" si="337"/>
        <v>0</v>
      </c>
      <c r="BC90" s="561">
        <f t="shared" si="337"/>
        <v>0</v>
      </c>
      <c r="BD90" s="561">
        <f t="shared" si="337"/>
        <v>0</v>
      </c>
      <c r="BE90" s="561">
        <f t="shared" si="337"/>
        <v>0</v>
      </c>
      <c r="BF90" s="561">
        <f t="shared" si="337"/>
        <v>0</v>
      </c>
      <c r="BG90" s="561">
        <f t="shared" si="337"/>
        <v>0</v>
      </c>
      <c r="BH90" s="561">
        <f t="shared" si="337"/>
        <v>0</v>
      </c>
      <c r="BI90" s="561">
        <f t="shared" si="337"/>
        <v>0</v>
      </c>
      <c r="BJ90" s="561">
        <f t="shared" si="337"/>
        <v>0</v>
      </c>
      <c r="BK90" s="561">
        <f t="shared" si="337"/>
        <v>0</v>
      </c>
      <c r="BL90" s="561">
        <f t="shared" si="337"/>
        <v>0</v>
      </c>
      <c r="BM90" s="561">
        <f t="shared" si="337"/>
        <v>0</v>
      </c>
      <c r="BN90" s="561">
        <f t="shared" si="337"/>
        <v>0</v>
      </c>
      <c r="BO90" s="561">
        <f t="shared" si="337"/>
        <v>0</v>
      </c>
      <c r="BP90" s="561">
        <f t="shared" si="337"/>
        <v>0</v>
      </c>
      <c r="BQ90" s="561">
        <f t="shared" si="337"/>
        <v>0</v>
      </c>
      <c r="BR90" s="561">
        <f t="shared" si="337"/>
        <v>0</v>
      </c>
      <c r="BS90" s="561">
        <f t="shared" si="337"/>
        <v>0</v>
      </c>
      <c r="BT90" s="561">
        <f t="shared" si="337"/>
        <v>0</v>
      </c>
      <c r="BU90" s="561">
        <f t="shared" si="337"/>
        <v>0</v>
      </c>
      <c r="BV90" s="561">
        <f t="shared" si="337"/>
        <v>0</v>
      </c>
      <c r="BW90" s="561">
        <f t="shared" si="337"/>
        <v>0</v>
      </c>
      <c r="BX90" s="561">
        <f t="shared" si="337"/>
        <v>0</v>
      </c>
      <c r="BY90" s="561">
        <f t="shared" si="337"/>
        <v>0</v>
      </c>
      <c r="BZ90" s="561">
        <f t="shared" si="337"/>
        <v>0</v>
      </c>
      <c r="CA90" s="561">
        <f t="shared" si="337"/>
        <v>0</v>
      </c>
      <c r="CB90" s="561">
        <f t="shared" si="337"/>
        <v>0</v>
      </c>
      <c r="CC90" s="561">
        <f t="shared" si="337"/>
        <v>0</v>
      </c>
      <c r="CD90" s="561">
        <f t="shared" si="337"/>
        <v>0</v>
      </c>
      <c r="CE90" s="561">
        <f t="shared" si="337"/>
        <v>0</v>
      </c>
      <c r="CF90" s="561">
        <f t="shared" si="337"/>
        <v>0</v>
      </c>
      <c r="CG90" s="561">
        <f t="shared" si="337"/>
        <v>0</v>
      </c>
      <c r="CH90" s="561">
        <f t="shared" si="337"/>
        <v>0</v>
      </c>
      <c r="CI90" s="561">
        <f t="shared" si="337"/>
        <v>0</v>
      </c>
      <c r="CJ90" s="561">
        <f t="shared" si="337"/>
        <v>0</v>
      </c>
      <c r="CK90" s="561">
        <f t="shared" si="337"/>
        <v>0</v>
      </c>
      <c r="CL90" s="561">
        <f t="shared" si="337"/>
        <v>0</v>
      </c>
      <c r="CM90" s="561">
        <f t="shared" si="327"/>
        <v>0</v>
      </c>
      <c r="CN90" s="561">
        <f t="shared" si="327"/>
        <v>0</v>
      </c>
      <c r="CO90" s="561">
        <f t="shared" si="327"/>
        <v>0</v>
      </c>
      <c r="CP90" s="561">
        <f t="shared" si="327"/>
        <v>0</v>
      </c>
      <c r="CQ90" s="561">
        <f t="shared" si="327"/>
        <v>0</v>
      </c>
      <c r="CR90" s="561">
        <f t="shared" si="327"/>
        <v>0</v>
      </c>
      <c r="CS90" s="561">
        <f t="shared" si="327"/>
        <v>0</v>
      </c>
      <c r="CT90" s="561">
        <f t="shared" si="327"/>
        <v>0</v>
      </c>
      <c r="CU90" s="561">
        <f t="shared" si="327"/>
        <v>0</v>
      </c>
      <c r="CV90" s="561">
        <f t="shared" si="327"/>
        <v>0</v>
      </c>
      <c r="CW90" s="561">
        <f t="shared" si="327"/>
        <v>0</v>
      </c>
      <c r="CX90" s="561">
        <f t="shared" si="327"/>
        <v>0</v>
      </c>
      <c r="CY90" s="561">
        <f t="shared" si="327"/>
        <v>0</v>
      </c>
      <c r="CZ90" s="561">
        <f t="shared" si="327"/>
        <v>0</v>
      </c>
      <c r="DA90" s="561">
        <f t="shared" si="327"/>
        <v>0</v>
      </c>
      <c r="DB90" s="561">
        <f t="shared" si="327"/>
        <v>0</v>
      </c>
      <c r="DC90" s="561">
        <f t="shared" si="327"/>
        <v>0</v>
      </c>
      <c r="DD90" s="561">
        <f t="shared" si="327"/>
        <v>0</v>
      </c>
      <c r="DE90" s="561">
        <f t="shared" si="327"/>
        <v>0</v>
      </c>
      <c r="DF90" s="561">
        <f t="shared" si="327"/>
        <v>0</v>
      </c>
      <c r="DG90" s="561">
        <f t="shared" si="327"/>
        <v>0</v>
      </c>
      <c r="DH90" s="561">
        <f t="shared" si="327"/>
        <v>0</v>
      </c>
      <c r="DI90" s="561">
        <f t="shared" si="327"/>
        <v>0</v>
      </c>
      <c r="DJ90" s="561">
        <f t="shared" si="327"/>
        <v>0</v>
      </c>
      <c r="DK90" s="561">
        <f t="shared" si="327"/>
        <v>0</v>
      </c>
      <c r="DL90" s="561">
        <f t="shared" si="327"/>
        <v>0</v>
      </c>
      <c r="DM90" s="561">
        <f t="shared" si="327"/>
        <v>0</v>
      </c>
      <c r="DN90" s="561">
        <f t="shared" si="327"/>
        <v>0</v>
      </c>
      <c r="DO90" s="561">
        <f t="shared" si="327"/>
        <v>0</v>
      </c>
      <c r="DP90" s="561">
        <f t="shared" si="327"/>
        <v>0</v>
      </c>
    </row>
    <row r="91" spans="1:120" s="116" customFormat="1" outlineLevel="1">
      <c r="A91" s="100">
        <v>1110052010</v>
      </c>
      <c r="B91" s="1216" t="s">
        <v>2459</v>
      </c>
      <c r="C91" s="1695" t="s">
        <v>64</v>
      </c>
      <c r="D91" s="1629"/>
      <c r="E91" s="1630">
        <v>44993</v>
      </c>
      <c r="F91" s="102"/>
      <c r="G91" s="1258"/>
      <c r="H91" s="103"/>
      <c r="I91" s="104"/>
      <c r="J91" s="1604">
        <v>1</v>
      </c>
      <c r="K91" s="1605">
        <v>1</v>
      </c>
      <c r="L91" s="1696">
        <v>121968.56</v>
      </c>
      <c r="M91" s="1697">
        <f t="shared" si="318"/>
        <v>121968.56</v>
      </c>
      <c r="N91" s="1228">
        <v>4744.95</v>
      </c>
      <c r="O91" s="107">
        <f t="shared" si="319"/>
        <v>578734718.77199996</v>
      </c>
      <c r="P91" s="108"/>
      <c r="Q91" s="1342">
        <f t="shared" si="320"/>
        <v>0</v>
      </c>
      <c r="R91" s="109"/>
      <c r="S91" s="109">
        <f ca="1">IF(OR(E91="",E91&gt;TODAY()),0,IF(ISERROR(VLOOKUP($E91,'TRM BanRep'!$A:$G,7,0)),0,VLOOKUP($E91,'TRM BanRep'!$A:$G,7,0)))</f>
        <v>4744.95</v>
      </c>
      <c r="T91" s="110">
        <f t="shared" ca="1" si="321"/>
        <v>0</v>
      </c>
      <c r="U91" s="111">
        <f t="shared" si="322"/>
        <v>121968.56</v>
      </c>
      <c r="V91" s="566">
        <f t="shared" si="323"/>
        <v>578734718.77199996</v>
      </c>
      <c r="W91" s="112">
        <f t="shared" ca="1" si="324"/>
        <v>0</v>
      </c>
      <c r="X91" s="113">
        <f t="shared" ca="1" si="325"/>
        <v>0</v>
      </c>
      <c r="Y91" s="114"/>
      <c r="Z91" s="115"/>
      <c r="AA91" s="85">
        <f t="shared" si="326"/>
        <v>0</v>
      </c>
      <c r="AB91" s="508">
        <f t="shared" si="326"/>
        <v>0</v>
      </c>
      <c r="AC91" s="508">
        <f t="shared" si="326"/>
        <v>0</v>
      </c>
      <c r="AD91" s="508">
        <f t="shared" si="326"/>
        <v>0</v>
      </c>
      <c r="AE91" s="508">
        <f t="shared" si="326"/>
        <v>0</v>
      </c>
      <c r="AF91" s="561">
        <f t="shared" si="326"/>
        <v>0</v>
      </c>
      <c r="AG91" s="561">
        <f t="shared" si="326"/>
        <v>0</v>
      </c>
      <c r="AH91" s="561">
        <f t="shared" si="326"/>
        <v>0</v>
      </c>
      <c r="AI91" s="561">
        <f t="shared" si="326"/>
        <v>0</v>
      </c>
      <c r="AJ91" s="561">
        <f t="shared" si="326"/>
        <v>0</v>
      </c>
      <c r="AK91" s="561">
        <f t="shared" si="326"/>
        <v>0</v>
      </c>
      <c r="AL91" s="1542">
        <f t="shared" si="326"/>
        <v>0</v>
      </c>
      <c r="AM91" s="561">
        <f t="shared" si="326"/>
        <v>0</v>
      </c>
      <c r="AN91" s="561">
        <f t="shared" si="326"/>
        <v>0</v>
      </c>
      <c r="AO91" s="561">
        <f t="shared" si="326"/>
        <v>0</v>
      </c>
      <c r="AP91" s="561">
        <f t="shared" si="326"/>
        <v>0</v>
      </c>
      <c r="AQ91" s="561">
        <f t="shared" si="326"/>
        <v>0</v>
      </c>
      <c r="AR91" s="561">
        <f t="shared" si="326"/>
        <v>0</v>
      </c>
      <c r="AS91" s="561">
        <f t="shared" si="326"/>
        <v>0</v>
      </c>
      <c r="AT91" s="561">
        <f t="shared" si="326"/>
        <v>0</v>
      </c>
      <c r="AU91" s="561">
        <f t="shared" si="326"/>
        <v>121968.56</v>
      </c>
      <c r="AV91" s="561">
        <f t="shared" si="326"/>
        <v>0</v>
      </c>
      <c r="AW91" s="561">
        <f t="shared" si="326"/>
        <v>0</v>
      </c>
      <c r="AX91" s="561">
        <f t="shared" si="326"/>
        <v>0</v>
      </c>
      <c r="AY91" s="561">
        <f t="shared" si="326"/>
        <v>0</v>
      </c>
      <c r="AZ91" s="561">
        <f t="shared" si="326"/>
        <v>0</v>
      </c>
      <c r="BA91" s="561">
        <f t="shared" si="326"/>
        <v>0</v>
      </c>
      <c r="BB91" s="561">
        <f t="shared" si="326"/>
        <v>0</v>
      </c>
      <c r="BC91" s="561">
        <f t="shared" si="326"/>
        <v>0</v>
      </c>
      <c r="BD91" s="561">
        <f t="shared" si="326"/>
        <v>0</v>
      </c>
      <c r="BE91" s="561">
        <f t="shared" si="326"/>
        <v>0</v>
      </c>
      <c r="BF91" s="561">
        <f t="shared" si="326"/>
        <v>0</v>
      </c>
      <c r="BG91" s="561">
        <f t="shared" si="326"/>
        <v>0</v>
      </c>
      <c r="BH91" s="561">
        <f t="shared" si="326"/>
        <v>0</v>
      </c>
      <c r="BI91" s="561">
        <f t="shared" si="326"/>
        <v>0</v>
      </c>
      <c r="BJ91" s="561">
        <f t="shared" si="326"/>
        <v>0</v>
      </c>
      <c r="BK91" s="561">
        <f t="shared" si="326"/>
        <v>0</v>
      </c>
      <c r="BL91" s="561">
        <f t="shared" si="326"/>
        <v>0</v>
      </c>
      <c r="BM91" s="561">
        <f t="shared" si="326"/>
        <v>0</v>
      </c>
      <c r="BN91" s="561">
        <f t="shared" si="326"/>
        <v>0</v>
      </c>
      <c r="BO91" s="561">
        <f t="shared" si="326"/>
        <v>0</v>
      </c>
      <c r="BP91" s="561">
        <f t="shared" si="326"/>
        <v>0</v>
      </c>
      <c r="BQ91" s="561">
        <f t="shared" si="326"/>
        <v>0</v>
      </c>
      <c r="BR91" s="561">
        <f t="shared" si="326"/>
        <v>0</v>
      </c>
      <c r="BS91" s="561">
        <f t="shared" si="326"/>
        <v>0</v>
      </c>
      <c r="BT91" s="561">
        <f t="shared" si="326"/>
        <v>0</v>
      </c>
      <c r="BU91" s="561">
        <f t="shared" si="326"/>
        <v>0</v>
      </c>
      <c r="BV91" s="561">
        <f t="shared" si="326"/>
        <v>0</v>
      </c>
      <c r="BW91" s="561">
        <f t="shared" si="326"/>
        <v>0</v>
      </c>
      <c r="BX91" s="561">
        <f t="shared" si="326"/>
        <v>0</v>
      </c>
      <c r="BY91" s="561">
        <f t="shared" si="326"/>
        <v>0</v>
      </c>
      <c r="BZ91" s="561">
        <f t="shared" si="326"/>
        <v>0</v>
      </c>
      <c r="CA91" s="561">
        <f t="shared" si="326"/>
        <v>0</v>
      </c>
      <c r="CB91" s="561">
        <f t="shared" si="326"/>
        <v>0</v>
      </c>
      <c r="CC91" s="561">
        <f t="shared" si="326"/>
        <v>0</v>
      </c>
      <c r="CD91" s="561">
        <f t="shared" si="326"/>
        <v>0</v>
      </c>
      <c r="CE91" s="561">
        <f t="shared" si="326"/>
        <v>0</v>
      </c>
      <c r="CF91" s="561">
        <f t="shared" si="326"/>
        <v>0</v>
      </c>
      <c r="CG91" s="561">
        <f t="shared" si="326"/>
        <v>0</v>
      </c>
      <c r="CH91" s="561">
        <f t="shared" si="326"/>
        <v>0</v>
      </c>
      <c r="CI91" s="561">
        <f t="shared" si="326"/>
        <v>0</v>
      </c>
      <c r="CJ91" s="561">
        <f t="shared" si="326"/>
        <v>0</v>
      </c>
      <c r="CK91" s="561">
        <f t="shared" si="326"/>
        <v>0</v>
      </c>
      <c r="CL91" s="561">
        <f t="shared" si="326"/>
        <v>0</v>
      </c>
      <c r="CM91" s="561">
        <f t="shared" si="327"/>
        <v>0</v>
      </c>
      <c r="CN91" s="561">
        <f t="shared" si="327"/>
        <v>0</v>
      </c>
      <c r="CO91" s="561">
        <f t="shared" si="327"/>
        <v>0</v>
      </c>
      <c r="CP91" s="561">
        <f t="shared" si="327"/>
        <v>0</v>
      </c>
      <c r="CQ91" s="561">
        <f t="shared" si="327"/>
        <v>0</v>
      </c>
      <c r="CR91" s="561">
        <f t="shared" si="327"/>
        <v>0</v>
      </c>
      <c r="CS91" s="561">
        <f t="shared" si="327"/>
        <v>0</v>
      </c>
      <c r="CT91" s="561">
        <f t="shared" si="327"/>
        <v>0</v>
      </c>
      <c r="CU91" s="561">
        <f t="shared" si="327"/>
        <v>0</v>
      </c>
      <c r="CV91" s="561">
        <f t="shared" si="327"/>
        <v>0</v>
      </c>
      <c r="CW91" s="561">
        <f t="shared" si="327"/>
        <v>0</v>
      </c>
      <c r="CX91" s="561">
        <f t="shared" si="327"/>
        <v>0</v>
      </c>
      <c r="CY91" s="561">
        <f t="shared" si="327"/>
        <v>0</v>
      </c>
      <c r="CZ91" s="561">
        <f t="shared" si="327"/>
        <v>0</v>
      </c>
      <c r="DA91" s="561">
        <f t="shared" si="327"/>
        <v>0</v>
      </c>
      <c r="DB91" s="561">
        <f t="shared" si="327"/>
        <v>0</v>
      </c>
      <c r="DC91" s="561">
        <f t="shared" si="327"/>
        <v>0</v>
      </c>
      <c r="DD91" s="561">
        <f t="shared" si="327"/>
        <v>0</v>
      </c>
      <c r="DE91" s="561">
        <f t="shared" si="327"/>
        <v>0</v>
      </c>
      <c r="DF91" s="561">
        <f t="shared" si="327"/>
        <v>0</v>
      </c>
      <c r="DG91" s="561">
        <f t="shared" si="327"/>
        <v>0</v>
      </c>
      <c r="DH91" s="561">
        <f t="shared" si="327"/>
        <v>0</v>
      </c>
      <c r="DI91" s="561">
        <f t="shared" si="327"/>
        <v>0</v>
      </c>
      <c r="DJ91" s="561">
        <f t="shared" si="327"/>
        <v>0</v>
      </c>
      <c r="DK91" s="561">
        <f t="shared" si="327"/>
        <v>0</v>
      </c>
      <c r="DL91" s="561">
        <f t="shared" si="327"/>
        <v>0</v>
      </c>
      <c r="DM91" s="561">
        <f t="shared" si="327"/>
        <v>0</v>
      </c>
      <c r="DN91" s="561">
        <f t="shared" si="327"/>
        <v>0</v>
      </c>
      <c r="DO91" s="561">
        <f t="shared" si="327"/>
        <v>0</v>
      </c>
      <c r="DP91" s="561">
        <f t="shared" si="327"/>
        <v>0</v>
      </c>
    </row>
    <row r="92" spans="1:120" s="116" customFormat="1" outlineLevel="1">
      <c r="A92" s="100">
        <v>1110052010</v>
      </c>
      <c r="B92" s="1216" t="s">
        <v>2459</v>
      </c>
      <c r="C92" s="1695" t="s">
        <v>64</v>
      </c>
      <c r="D92" s="1629"/>
      <c r="E92" s="1630">
        <v>45009</v>
      </c>
      <c r="F92" s="102"/>
      <c r="G92" s="1258"/>
      <c r="H92" s="103"/>
      <c r="I92" s="104"/>
      <c r="J92" s="1604">
        <v>1</v>
      </c>
      <c r="K92" s="1605">
        <v>1</v>
      </c>
      <c r="L92" s="1696">
        <v>649494.12</v>
      </c>
      <c r="M92" s="1697">
        <f t="shared" ref="M92" si="338">+L92*J92</f>
        <v>649494.12</v>
      </c>
      <c r="N92" s="1228">
        <v>4755.12</v>
      </c>
      <c r="O92" s="107">
        <f t="shared" ref="O92" si="339">+L92*J92*N92</f>
        <v>3088422479.8944001</v>
      </c>
      <c r="P92" s="108"/>
      <c r="Q92" s="1342">
        <f t="shared" ref="Q92" si="340">+P92*K92</f>
        <v>0</v>
      </c>
      <c r="R92" s="109"/>
      <c r="S92" s="109">
        <f ca="1">IF(OR(E92="",E92&gt;TODAY()),0,IF(ISERROR(VLOOKUP($E92,'TRM BanRep'!$A:$G,7,0)),0,VLOOKUP($E92,'TRM BanRep'!$A:$G,7,0)))</f>
        <v>4755.12</v>
      </c>
      <c r="T92" s="110">
        <f t="shared" ref="T92" ca="1" si="341">+P92*K92*S92</f>
        <v>0</v>
      </c>
      <c r="U92" s="111">
        <f t="shared" ref="U92" si="342">+L92+P92+F92</f>
        <v>649494.12</v>
      </c>
      <c r="V92" s="566">
        <f t="shared" ref="V92" si="343">+P92*J92*R92+L92*J92*N92+F92*J92*H92</f>
        <v>3088422479.8944001</v>
      </c>
      <c r="W92" s="112">
        <f t="shared" ref="W92" ca="1" si="344">IF((-P92*J92*R92)-(-P92*K92*S92)&gt;0,(-P92*J92*R92)-(-P92*K92*S92),0)</f>
        <v>0</v>
      </c>
      <c r="X92" s="113">
        <f t="shared" ref="X92" ca="1" si="345">IF((-P92*J92*R92)-(-P92*K92*S92)&lt;0,(-P92*J92*R92)-(-P92*K92*S92),0)</f>
        <v>0</v>
      </c>
      <c r="Y92" s="114"/>
      <c r="Z92" s="115"/>
      <c r="AA92" s="85">
        <f t="shared" si="326"/>
        <v>0</v>
      </c>
      <c r="AB92" s="508">
        <f t="shared" si="326"/>
        <v>0</v>
      </c>
      <c r="AC92" s="508">
        <f t="shared" si="326"/>
        <v>0</v>
      </c>
      <c r="AD92" s="508">
        <f t="shared" si="326"/>
        <v>0</v>
      </c>
      <c r="AE92" s="508">
        <f t="shared" si="326"/>
        <v>0</v>
      </c>
      <c r="AF92" s="561">
        <f t="shared" si="326"/>
        <v>0</v>
      </c>
      <c r="AG92" s="561">
        <f t="shared" si="326"/>
        <v>0</v>
      </c>
      <c r="AH92" s="561">
        <f t="shared" si="326"/>
        <v>0</v>
      </c>
      <c r="AI92" s="561">
        <f t="shared" si="326"/>
        <v>0</v>
      </c>
      <c r="AJ92" s="561">
        <f t="shared" si="326"/>
        <v>0</v>
      </c>
      <c r="AK92" s="561">
        <f t="shared" si="326"/>
        <v>0</v>
      </c>
      <c r="AL92" s="1542">
        <f t="shared" si="326"/>
        <v>0</v>
      </c>
      <c r="AM92" s="561">
        <f t="shared" si="326"/>
        <v>0</v>
      </c>
      <c r="AN92" s="561">
        <f t="shared" si="326"/>
        <v>0</v>
      </c>
      <c r="AO92" s="561">
        <f t="shared" si="326"/>
        <v>0</v>
      </c>
      <c r="AP92" s="561">
        <f t="shared" si="326"/>
        <v>0</v>
      </c>
      <c r="AQ92" s="561">
        <f t="shared" si="326"/>
        <v>0</v>
      </c>
      <c r="AR92" s="561">
        <f t="shared" si="326"/>
        <v>0</v>
      </c>
      <c r="AS92" s="561">
        <f t="shared" si="326"/>
        <v>0</v>
      </c>
      <c r="AT92" s="561">
        <f t="shared" si="326"/>
        <v>0</v>
      </c>
      <c r="AU92" s="561">
        <f t="shared" si="326"/>
        <v>0</v>
      </c>
      <c r="AV92" s="561">
        <f t="shared" si="326"/>
        <v>649494.12</v>
      </c>
      <c r="AW92" s="561">
        <f t="shared" si="326"/>
        <v>0</v>
      </c>
      <c r="AX92" s="561">
        <f t="shared" si="326"/>
        <v>0</v>
      </c>
      <c r="AY92" s="561">
        <f t="shared" si="326"/>
        <v>0</v>
      </c>
      <c r="AZ92" s="561">
        <f t="shared" si="326"/>
        <v>0</v>
      </c>
      <c r="BA92" s="561">
        <f t="shared" si="326"/>
        <v>0</v>
      </c>
      <c r="BB92" s="561">
        <f t="shared" si="326"/>
        <v>0</v>
      </c>
      <c r="BC92" s="561">
        <f t="shared" si="326"/>
        <v>0</v>
      </c>
      <c r="BD92" s="561">
        <f t="shared" si="326"/>
        <v>0</v>
      </c>
      <c r="BE92" s="561">
        <f t="shared" si="326"/>
        <v>0</v>
      </c>
      <c r="BF92" s="561">
        <f t="shared" si="326"/>
        <v>0</v>
      </c>
      <c r="BG92" s="561">
        <f t="shared" si="326"/>
        <v>0</v>
      </c>
      <c r="BH92" s="561">
        <f t="shared" si="326"/>
        <v>0</v>
      </c>
      <c r="BI92" s="561">
        <f t="shared" si="326"/>
        <v>0</v>
      </c>
      <c r="BJ92" s="561">
        <f t="shared" si="326"/>
        <v>0</v>
      </c>
      <c r="BK92" s="561">
        <f t="shared" si="326"/>
        <v>0</v>
      </c>
      <c r="BL92" s="561">
        <f t="shared" si="326"/>
        <v>0</v>
      </c>
      <c r="BM92" s="561">
        <f t="shared" si="326"/>
        <v>0</v>
      </c>
      <c r="BN92" s="561">
        <f t="shared" si="326"/>
        <v>0</v>
      </c>
      <c r="BO92" s="561">
        <f t="shared" si="326"/>
        <v>0</v>
      </c>
      <c r="BP92" s="561">
        <f t="shared" si="326"/>
        <v>0</v>
      </c>
      <c r="BQ92" s="561">
        <f t="shared" si="326"/>
        <v>0</v>
      </c>
      <c r="BR92" s="561">
        <f t="shared" si="326"/>
        <v>0</v>
      </c>
      <c r="BS92" s="561">
        <f t="shared" si="326"/>
        <v>0</v>
      </c>
      <c r="BT92" s="561">
        <f t="shared" si="326"/>
        <v>0</v>
      </c>
      <c r="BU92" s="561">
        <f t="shared" si="326"/>
        <v>0</v>
      </c>
      <c r="BV92" s="561">
        <f t="shared" si="326"/>
        <v>0</v>
      </c>
      <c r="BW92" s="561">
        <f t="shared" si="326"/>
        <v>0</v>
      </c>
      <c r="BX92" s="561">
        <f t="shared" si="326"/>
        <v>0</v>
      </c>
      <c r="BY92" s="561">
        <f t="shared" si="326"/>
        <v>0</v>
      </c>
      <c r="BZ92" s="561">
        <f t="shared" si="326"/>
        <v>0</v>
      </c>
      <c r="CA92" s="561">
        <f t="shared" si="326"/>
        <v>0</v>
      </c>
      <c r="CB92" s="561">
        <f t="shared" si="326"/>
        <v>0</v>
      </c>
      <c r="CC92" s="561">
        <f t="shared" si="326"/>
        <v>0</v>
      </c>
      <c r="CD92" s="561">
        <f t="shared" si="326"/>
        <v>0</v>
      </c>
      <c r="CE92" s="561">
        <f t="shared" si="326"/>
        <v>0</v>
      </c>
      <c r="CF92" s="561">
        <f t="shared" si="326"/>
        <v>0</v>
      </c>
      <c r="CG92" s="561">
        <f t="shared" si="326"/>
        <v>0</v>
      </c>
      <c r="CH92" s="561">
        <f t="shared" si="326"/>
        <v>0</v>
      </c>
      <c r="CI92" s="561">
        <f t="shared" si="326"/>
        <v>0</v>
      </c>
      <c r="CJ92" s="561">
        <f t="shared" si="326"/>
        <v>0</v>
      </c>
      <c r="CK92" s="561">
        <f t="shared" si="326"/>
        <v>0</v>
      </c>
      <c r="CL92" s="561">
        <f t="shared" si="326"/>
        <v>0</v>
      </c>
      <c r="CM92" s="561">
        <f t="shared" si="327"/>
        <v>0</v>
      </c>
      <c r="CN92" s="561">
        <f t="shared" si="327"/>
        <v>0</v>
      </c>
      <c r="CO92" s="561">
        <f t="shared" si="327"/>
        <v>0</v>
      </c>
      <c r="CP92" s="561">
        <f t="shared" si="327"/>
        <v>0</v>
      </c>
      <c r="CQ92" s="561">
        <f t="shared" si="327"/>
        <v>0</v>
      </c>
      <c r="CR92" s="561">
        <f t="shared" si="327"/>
        <v>0</v>
      </c>
      <c r="CS92" s="561">
        <f t="shared" si="327"/>
        <v>0</v>
      </c>
      <c r="CT92" s="561">
        <f t="shared" si="327"/>
        <v>0</v>
      </c>
      <c r="CU92" s="561">
        <f t="shared" si="327"/>
        <v>0</v>
      </c>
      <c r="CV92" s="561">
        <f t="shared" si="327"/>
        <v>0</v>
      </c>
      <c r="CW92" s="561">
        <f t="shared" si="327"/>
        <v>0</v>
      </c>
      <c r="CX92" s="561">
        <f t="shared" si="327"/>
        <v>0</v>
      </c>
      <c r="CY92" s="561">
        <f t="shared" si="327"/>
        <v>0</v>
      </c>
      <c r="CZ92" s="561">
        <f t="shared" si="327"/>
        <v>0</v>
      </c>
      <c r="DA92" s="561">
        <f t="shared" si="327"/>
        <v>0</v>
      </c>
      <c r="DB92" s="561">
        <f t="shared" si="327"/>
        <v>0</v>
      </c>
      <c r="DC92" s="561">
        <f t="shared" si="327"/>
        <v>0</v>
      </c>
      <c r="DD92" s="561">
        <f t="shared" si="327"/>
        <v>0</v>
      </c>
      <c r="DE92" s="561">
        <f t="shared" si="327"/>
        <v>0</v>
      </c>
      <c r="DF92" s="561">
        <f t="shared" si="327"/>
        <v>0</v>
      </c>
      <c r="DG92" s="561">
        <f t="shared" si="327"/>
        <v>0</v>
      </c>
      <c r="DH92" s="561">
        <f t="shared" si="327"/>
        <v>0</v>
      </c>
      <c r="DI92" s="561">
        <f t="shared" si="327"/>
        <v>0</v>
      </c>
      <c r="DJ92" s="561">
        <f t="shared" si="327"/>
        <v>0</v>
      </c>
      <c r="DK92" s="561">
        <f t="shared" si="327"/>
        <v>0</v>
      </c>
      <c r="DL92" s="561">
        <f t="shared" si="327"/>
        <v>0</v>
      </c>
      <c r="DM92" s="561">
        <f t="shared" si="327"/>
        <v>0</v>
      </c>
      <c r="DN92" s="561">
        <f t="shared" si="327"/>
        <v>0</v>
      </c>
      <c r="DO92" s="561">
        <f t="shared" si="327"/>
        <v>0</v>
      </c>
      <c r="DP92" s="561">
        <f t="shared" si="327"/>
        <v>0</v>
      </c>
    </row>
    <row r="93" spans="1:120" outlineLevel="1">
      <c r="A93" s="89">
        <v>1110052010</v>
      </c>
      <c r="B93" s="90" t="s">
        <v>2460</v>
      </c>
      <c r="C93" s="1476" t="s">
        <v>64</v>
      </c>
      <c r="D93" s="1481"/>
      <c r="E93" s="1482">
        <v>45012</v>
      </c>
      <c r="F93" s="420"/>
      <c r="G93" s="1256"/>
      <c r="H93" s="421"/>
      <c r="I93" s="422"/>
      <c r="J93" s="1425">
        <v>1</v>
      </c>
      <c r="K93" s="1426">
        <v>1</v>
      </c>
      <c r="L93" s="1043"/>
      <c r="M93" s="1594">
        <f t="shared" si="187"/>
        <v>0</v>
      </c>
      <c r="N93" s="504">
        <f ca="1">IF(OR(E93="",E93&gt;TODAY()),0,IF(ISERROR(VLOOKUP($E93,'TRM BanRep'!$A:$G,7,0)),0,VLOOKUP($E93,'TRM BanRep'!$A:$G,7,0)))</f>
        <v>4741.76</v>
      </c>
      <c r="O93" s="424">
        <f t="shared" ca="1" si="196"/>
        <v>0</v>
      </c>
      <c r="P93" s="425">
        <v>-6321.36</v>
      </c>
      <c r="Q93" s="1340">
        <f t="shared" si="189"/>
        <v>-6321.36</v>
      </c>
      <c r="R93" s="426">
        <v>4632.2</v>
      </c>
      <c r="S93" s="426">
        <f ca="1">IF(OR(E93="",E93&gt;TODAY()),0,IF(ISERROR(VLOOKUP($E93,'TRM BanRep'!$A:$G,7,0)),0,VLOOKUP($E93,'TRM BanRep'!$A:$G,7,0)))</f>
        <v>4741.76</v>
      </c>
      <c r="T93" s="427">
        <f t="shared" ca="1" si="197"/>
        <v>-29974371.9936</v>
      </c>
      <c r="U93" s="418">
        <f t="shared" si="191"/>
        <v>-6321.36</v>
      </c>
      <c r="V93" s="517">
        <f t="shared" ca="1" si="198"/>
        <v>-29281803.791999996</v>
      </c>
      <c r="W93" s="428">
        <f t="shared" ca="1" si="199"/>
        <v>0</v>
      </c>
      <c r="X93" s="429">
        <f t="shared" ca="1" si="200"/>
        <v>-692568.20160000399</v>
      </c>
      <c r="Y93" s="92"/>
      <c r="Z93" s="1055"/>
      <c r="AA93" s="85">
        <f t="shared" ca="1" si="265"/>
        <v>0</v>
      </c>
      <c r="AB93" s="508">
        <f t="shared" ca="1" si="265"/>
        <v>0</v>
      </c>
      <c r="AC93" s="508">
        <f t="shared" ca="1" si="265"/>
        <v>0</v>
      </c>
      <c r="AD93" s="508">
        <f t="shared" ca="1" si="265"/>
        <v>0</v>
      </c>
      <c r="AE93" s="508">
        <f t="shared" ca="1" si="265"/>
        <v>0</v>
      </c>
      <c r="AF93" s="561">
        <f t="shared" ca="1" si="265"/>
        <v>0</v>
      </c>
      <c r="AG93" s="561">
        <f t="shared" ca="1" si="265"/>
        <v>0</v>
      </c>
      <c r="AH93" s="561">
        <f t="shared" ca="1" si="265"/>
        <v>0</v>
      </c>
      <c r="AI93" s="561">
        <f t="shared" ca="1" si="265"/>
        <v>0</v>
      </c>
      <c r="AJ93" s="561">
        <f t="shared" ca="1" si="265"/>
        <v>0</v>
      </c>
      <c r="AK93" s="561">
        <f t="shared" ca="1" si="265"/>
        <v>0</v>
      </c>
      <c r="AL93" s="1542">
        <f t="shared" ca="1" si="265"/>
        <v>0</v>
      </c>
      <c r="AM93" s="561">
        <f t="shared" ca="1" si="265"/>
        <v>-6321.36</v>
      </c>
      <c r="AN93" s="561">
        <f t="shared" ca="1" si="265"/>
        <v>0</v>
      </c>
      <c r="AO93" s="561">
        <f t="shared" ca="1" si="265"/>
        <v>0</v>
      </c>
      <c r="AP93" s="561">
        <f t="shared" ca="1" si="265"/>
        <v>0</v>
      </c>
      <c r="AQ93" s="561">
        <f t="shared" ca="1" si="266"/>
        <v>0</v>
      </c>
      <c r="AR93" s="561">
        <f t="shared" ca="1" si="266"/>
        <v>0</v>
      </c>
      <c r="AS93" s="561">
        <f t="shared" ca="1" si="266"/>
        <v>0</v>
      </c>
      <c r="AT93" s="561">
        <f t="shared" ca="1" si="266"/>
        <v>0</v>
      </c>
      <c r="AU93" s="561">
        <f t="shared" ca="1" si="266"/>
        <v>0</v>
      </c>
      <c r="AV93" s="561">
        <f t="shared" ca="1" si="266"/>
        <v>0</v>
      </c>
      <c r="AW93" s="561">
        <f t="shared" ca="1" si="266"/>
        <v>0</v>
      </c>
      <c r="AX93" s="561">
        <f t="shared" ca="1" si="266"/>
        <v>0</v>
      </c>
      <c r="AY93" s="561">
        <f t="shared" ca="1" si="266"/>
        <v>0</v>
      </c>
      <c r="AZ93" s="561">
        <f t="shared" ca="1" si="266"/>
        <v>0</v>
      </c>
      <c r="BA93" s="561">
        <f t="shared" ca="1" si="266"/>
        <v>0</v>
      </c>
      <c r="BB93" s="561">
        <f t="shared" ca="1" si="266"/>
        <v>0</v>
      </c>
      <c r="BC93" s="561">
        <f t="shared" ca="1" si="266"/>
        <v>0</v>
      </c>
      <c r="BD93" s="561">
        <f t="shared" ca="1" si="266"/>
        <v>0</v>
      </c>
      <c r="BE93" s="561">
        <f t="shared" ca="1" si="266"/>
        <v>0</v>
      </c>
      <c r="BF93" s="561">
        <f t="shared" ca="1" si="266"/>
        <v>0</v>
      </c>
      <c r="BG93" s="561">
        <f t="shared" ca="1" si="267"/>
        <v>0</v>
      </c>
      <c r="BH93" s="561">
        <f t="shared" ca="1" si="267"/>
        <v>0</v>
      </c>
      <c r="BI93" s="561">
        <f t="shared" ca="1" si="267"/>
        <v>0</v>
      </c>
      <c r="BJ93" s="561">
        <f t="shared" ca="1" si="267"/>
        <v>0</v>
      </c>
      <c r="BK93" s="561">
        <f t="shared" ca="1" si="267"/>
        <v>0</v>
      </c>
      <c r="BL93" s="561">
        <f t="shared" ca="1" si="267"/>
        <v>0</v>
      </c>
      <c r="BM93" s="561">
        <f t="shared" ca="1" si="267"/>
        <v>0</v>
      </c>
      <c r="BN93" s="561">
        <f t="shared" ca="1" si="267"/>
        <v>0</v>
      </c>
      <c r="BO93" s="561">
        <f t="shared" ca="1" si="267"/>
        <v>0</v>
      </c>
      <c r="BP93" s="561">
        <f t="shared" ca="1" si="267"/>
        <v>0</v>
      </c>
      <c r="BQ93" s="561">
        <f t="shared" ca="1" si="267"/>
        <v>0</v>
      </c>
      <c r="BR93" s="561">
        <f t="shared" ca="1" si="267"/>
        <v>0</v>
      </c>
      <c r="BS93" s="561">
        <f t="shared" ca="1" si="267"/>
        <v>0</v>
      </c>
      <c r="BT93" s="561">
        <f t="shared" ca="1" si="267"/>
        <v>0</v>
      </c>
      <c r="BU93" s="561">
        <f t="shared" ca="1" si="267"/>
        <v>0</v>
      </c>
      <c r="BV93" s="561">
        <f t="shared" ca="1" si="267"/>
        <v>0</v>
      </c>
      <c r="BW93" s="561">
        <f t="shared" ca="1" si="268"/>
        <v>0</v>
      </c>
      <c r="BX93" s="561">
        <f t="shared" ca="1" si="268"/>
        <v>0</v>
      </c>
      <c r="BY93" s="561">
        <f t="shared" ca="1" si="268"/>
        <v>0</v>
      </c>
      <c r="BZ93" s="561">
        <f t="shared" ca="1" si="268"/>
        <v>0</v>
      </c>
      <c r="CA93" s="561">
        <f t="shared" ca="1" si="268"/>
        <v>0</v>
      </c>
      <c r="CB93" s="561">
        <f t="shared" ca="1" si="268"/>
        <v>0</v>
      </c>
      <c r="CC93" s="561">
        <f t="shared" ca="1" si="268"/>
        <v>0</v>
      </c>
      <c r="CD93" s="561">
        <f t="shared" ca="1" si="268"/>
        <v>0</v>
      </c>
      <c r="CE93" s="561">
        <f t="shared" ca="1" si="268"/>
        <v>0</v>
      </c>
      <c r="CF93" s="561">
        <f t="shared" ca="1" si="268"/>
        <v>0</v>
      </c>
      <c r="CG93" s="561">
        <f t="shared" ca="1" si="268"/>
        <v>0</v>
      </c>
      <c r="CH93" s="561">
        <f t="shared" ca="1" si="268"/>
        <v>0</v>
      </c>
      <c r="CI93" s="561">
        <f t="shared" ca="1" si="268"/>
        <v>0</v>
      </c>
      <c r="CJ93" s="561">
        <f t="shared" ca="1" si="268"/>
        <v>0</v>
      </c>
      <c r="CK93" s="561">
        <f t="shared" ca="1" si="268"/>
        <v>0</v>
      </c>
      <c r="CL93" s="561">
        <f t="shared" ca="1" si="268"/>
        <v>0</v>
      </c>
      <c r="CM93" s="561">
        <f t="shared" ca="1" si="270"/>
        <v>0</v>
      </c>
      <c r="CN93" s="561">
        <f t="shared" ca="1" si="270"/>
        <v>0</v>
      </c>
      <c r="CO93" s="561">
        <f t="shared" ca="1" si="270"/>
        <v>0</v>
      </c>
      <c r="CP93" s="561">
        <f t="shared" ca="1" si="270"/>
        <v>0</v>
      </c>
      <c r="CQ93" s="561">
        <f t="shared" ca="1" si="270"/>
        <v>0</v>
      </c>
      <c r="CR93" s="561">
        <f t="shared" ca="1" si="270"/>
        <v>0</v>
      </c>
      <c r="CS93" s="561">
        <f t="shared" ca="1" si="270"/>
        <v>0</v>
      </c>
      <c r="CT93" s="561">
        <f t="shared" ca="1" si="270"/>
        <v>0</v>
      </c>
      <c r="CU93" s="561">
        <f t="shared" ca="1" si="270"/>
        <v>0</v>
      </c>
      <c r="CV93" s="561">
        <f t="shared" ca="1" si="270"/>
        <v>0</v>
      </c>
      <c r="CW93" s="561">
        <f t="shared" ca="1" si="270"/>
        <v>0</v>
      </c>
      <c r="CX93" s="561">
        <f t="shared" ca="1" si="270"/>
        <v>0</v>
      </c>
      <c r="CY93" s="561">
        <f t="shared" ca="1" si="270"/>
        <v>0</v>
      </c>
      <c r="CZ93" s="561">
        <f t="shared" ca="1" si="270"/>
        <v>0</v>
      </c>
      <c r="DA93" s="561">
        <f t="shared" ca="1" si="270"/>
        <v>0</v>
      </c>
      <c r="DB93" s="561">
        <f t="shared" ca="1" si="270"/>
        <v>0</v>
      </c>
      <c r="DC93" s="561">
        <f t="shared" ca="1" si="269"/>
        <v>0</v>
      </c>
      <c r="DD93" s="561">
        <f t="shared" ca="1" si="269"/>
        <v>0</v>
      </c>
      <c r="DE93" s="561">
        <f t="shared" ca="1" si="269"/>
        <v>0</v>
      </c>
      <c r="DF93" s="561">
        <f t="shared" ca="1" si="269"/>
        <v>0</v>
      </c>
      <c r="DG93" s="561">
        <f t="shared" ca="1" si="269"/>
        <v>0</v>
      </c>
      <c r="DH93" s="561">
        <f t="shared" ca="1" si="269"/>
        <v>0</v>
      </c>
      <c r="DI93" s="561">
        <f t="shared" ca="1" si="269"/>
        <v>0</v>
      </c>
      <c r="DJ93" s="561">
        <f t="shared" ca="1" si="269"/>
        <v>0</v>
      </c>
      <c r="DK93" s="561">
        <f t="shared" ca="1" si="269"/>
        <v>0</v>
      </c>
      <c r="DL93" s="561">
        <f t="shared" ca="1" si="269"/>
        <v>0</v>
      </c>
      <c r="DM93" s="561">
        <f t="shared" ca="1" si="269"/>
        <v>0</v>
      </c>
      <c r="DN93" s="561">
        <f t="shared" ca="1" si="269"/>
        <v>0</v>
      </c>
      <c r="DO93" s="561">
        <f t="shared" ca="1" si="269"/>
        <v>0</v>
      </c>
      <c r="DP93" s="561">
        <f t="shared" ca="1" si="269"/>
        <v>0</v>
      </c>
    </row>
    <row r="94" spans="1:120" outlineLevel="1">
      <c r="A94" s="89">
        <v>1110052010</v>
      </c>
      <c r="B94" s="90" t="s">
        <v>2452</v>
      </c>
      <c r="C94" s="1476" t="s">
        <v>64</v>
      </c>
      <c r="D94" s="1481"/>
      <c r="E94" s="1482">
        <v>45012</v>
      </c>
      <c r="F94" s="420"/>
      <c r="G94" s="1256"/>
      <c r="H94" s="421"/>
      <c r="I94" s="422"/>
      <c r="J94" s="1425">
        <v>1</v>
      </c>
      <c r="K94" s="1426">
        <v>1</v>
      </c>
      <c r="L94" s="1043"/>
      <c r="M94" s="1594">
        <f t="shared" ref="M94" si="346">+L94*J94</f>
        <v>0</v>
      </c>
      <c r="N94" s="504">
        <f ca="1">IF(OR(E94="",E94&gt;TODAY()),0,IF(ISERROR(VLOOKUP($E94,'TRM BanRep'!$A:$G,7,0)),0,VLOOKUP($E94,'TRM BanRep'!$A:$G,7,0)))</f>
        <v>4741.76</v>
      </c>
      <c r="O94" s="424">
        <f t="shared" ref="O94" ca="1" si="347">+L94*J94*N94</f>
        <v>0</v>
      </c>
      <c r="P94" s="425">
        <v>-205.22</v>
      </c>
      <c r="Q94" s="1340">
        <f t="shared" ref="Q94" si="348">+P94*K94</f>
        <v>-205.22</v>
      </c>
      <c r="R94" s="426">
        <v>4632.2</v>
      </c>
      <c r="S94" s="426">
        <f ca="1">IF(OR(E94="",E94&gt;TODAY()),0,IF(ISERROR(VLOOKUP($E94,'TRM BanRep'!$A:$G,7,0)),0,VLOOKUP($E94,'TRM BanRep'!$A:$G,7,0)))</f>
        <v>4741.76</v>
      </c>
      <c r="T94" s="427">
        <f t="shared" ref="T94" ca="1" si="349">+P94*K94*S94</f>
        <v>-973103.98720000009</v>
      </c>
      <c r="U94" s="418">
        <f t="shared" ref="U94" si="350">+L94+P94+F94</f>
        <v>-205.22</v>
      </c>
      <c r="V94" s="517">
        <f t="shared" ref="V94" ca="1" si="351">+P94*J94*R94+L94*J94*N94+F94*J94*H94</f>
        <v>-950620.08399999992</v>
      </c>
      <c r="W94" s="428">
        <f t="shared" ref="W94" ca="1" si="352">IF((-P94*J94*R94)-(-P94*K94*S94)&gt;0,(-P94*J94*R94)-(-P94*K94*S94),0)</f>
        <v>0</v>
      </c>
      <c r="X94" s="429">
        <f t="shared" ref="X94" ca="1" si="353">IF((-P94*J94*R94)-(-P94*K94*S94)&lt;0,(-P94*J94*R94)-(-P94*K94*S94),0)</f>
        <v>-22483.903200000175</v>
      </c>
      <c r="Y94" s="92"/>
      <c r="Z94" s="1055"/>
      <c r="AA94" s="85">
        <f t="shared" ca="1" si="265"/>
        <v>0</v>
      </c>
      <c r="AB94" s="508">
        <f t="shared" ca="1" si="265"/>
        <v>0</v>
      </c>
      <c r="AC94" s="508">
        <f t="shared" ca="1" si="265"/>
        <v>0</v>
      </c>
      <c r="AD94" s="508">
        <f t="shared" ca="1" si="265"/>
        <v>0</v>
      </c>
      <c r="AE94" s="508">
        <f t="shared" ca="1" si="265"/>
        <v>0</v>
      </c>
      <c r="AF94" s="561">
        <f t="shared" ca="1" si="265"/>
        <v>0</v>
      </c>
      <c r="AG94" s="561">
        <f t="shared" ca="1" si="265"/>
        <v>0</v>
      </c>
      <c r="AH94" s="561">
        <f t="shared" ca="1" si="265"/>
        <v>0</v>
      </c>
      <c r="AI94" s="561">
        <f t="shared" ca="1" si="265"/>
        <v>0</v>
      </c>
      <c r="AJ94" s="561">
        <f t="shared" ca="1" si="265"/>
        <v>0</v>
      </c>
      <c r="AK94" s="561">
        <f t="shared" ca="1" si="265"/>
        <v>0</v>
      </c>
      <c r="AL94" s="1542">
        <f t="shared" ca="1" si="265"/>
        <v>0</v>
      </c>
      <c r="AM94" s="561">
        <f t="shared" ca="1" si="265"/>
        <v>-205.22</v>
      </c>
      <c r="AN94" s="561">
        <f t="shared" ca="1" si="265"/>
        <v>0</v>
      </c>
      <c r="AO94" s="561">
        <f t="shared" ca="1" si="265"/>
        <v>0</v>
      </c>
      <c r="AP94" s="561">
        <f t="shared" ca="1" si="265"/>
        <v>0</v>
      </c>
      <c r="AQ94" s="561">
        <f t="shared" ca="1" si="266"/>
        <v>0</v>
      </c>
      <c r="AR94" s="561">
        <f t="shared" ca="1" si="266"/>
        <v>0</v>
      </c>
      <c r="AS94" s="561">
        <f t="shared" ca="1" si="266"/>
        <v>0</v>
      </c>
      <c r="AT94" s="561">
        <f t="shared" ca="1" si="266"/>
        <v>0</v>
      </c>
      <c r="AU94" s="561">
        <f t="shared" ca="1" si="266"/>
        <v>0</v>
      </c>
      <c r="AV94" s="561">
        <f t="shared" ca="1" si="266"/>
        <v>0</v>
      </c>
      <c r="AW94" s="561">
        <f t="shared" ca="1" si="266"/>
        <v>0</v>
      </c>
      <c r="AX94" s="561">
        <f t="shared" ca="1" si="266"/>
        <v>0</v>
      </c>
      <c r="AY94" s="561">
        <f t="shared" ca="1" si="266"/>
        <v>0</v>
      </c>
      <c r="AZ94" s="561">
        <f t="shared" ca="1" si="266"/>
        <v>0</v>
      </c>
      <c r="BA94" s="561">
        <f t="shared" ca="1" si="266"/>
        <v>0</v>
      </c>
      <c r="BB94" s="561">
        <f t="shared" ca="1" si="266"/>
        <v>0</v>
      </c>
      <c r="BC94" s="561">
        <f t="shared" ca="1" si="266"/>
        <v>0</v>
      </c>
      <c r="BD94" s="561">
        <f t="shared" ca="1" si="266"/>
        <v>0</v>
      </c>
      <c r="BE94" s="561">
        <f t="shared" ca="1" si="266"/>
        <v>0</v>
      </c>
      <c r="BF94" s="561">
        <f t="shared" ca="1" si="266"/>
        <v>0</v>
      </c>
      <c r="BG94" s="561">
        <f t="shared" ca="1" si="267"/>
        <v>0</v>
      </c>
      <c r="BH94" s="561">
        <f t="shared" ca="1" si="267"/>
        <v>0</v>
      </c>
      <c r="BI94" s="561">
        <f t="shared" ca="1" si="267"/>
        <v>0</v>
      </c>
      <c r="BJ94" s="561">
        <f t="shared" ca="1" si="267"/>
        <v>0</v>
      </c>
      <c r="BK94" s="561">
        <f t="shared" ca="1" si="267"/>
        <v>0</v>
      </c>
      <c r="BL94" s="561">
        <f t="shared" ca="1" si="267"/>
        <v>0</v>
      </c>
      <c r="BM94" s="561">
        <f t="shared" ca="1" si="267"/>
        <v>0</v>
      </c>
      <c r="BN94" s="561">
        <f t="shared" ca="1" si="267"/>
        <v>0</v>
      </c>
      <c r="BO94" s="561">
        <f t="shared" ca="1" si="267"/>
        <v>0</v>
      </c>
      <c r="BP94" s="561">
        <f t="shared" ca="1" si="267"/>
        <v>0</v>
      </c>
      <c r="BQ94" s="561">
        <f t="shared" ca="1" si="267"/>
        <v>0</v>
      </c>
      <c r="BR94" s="561">
        <f t="shared" ca="1" si="267"/>
        <v>0</v>
      </c>
      <c r="BS94" s="561">
        <f t="shared" ca="1" si="267"/>
        <v>0</v>
      </c>
      <c r="BT94" s="561">
        <f t="shared" ca="1" si="267"/>
        <v>0</v>
      </c>
      <c r="BU94" s="561">
        <f t="shared" ca="1" si="267"/>
        <v>0</v>
      </c>
      <c r="BV94" s="561">
        <f t="shared" ca="1" si="267"/>
        <v>0</v>
      </c>
      <c r="BW94" s="561">
        <f t="shared" ca="1" si="268"/>
        <v>0</v>
      </c>
      <c r="BX94" s="561">
        <f t="shared" ca="1" si="268"/>
        <v>0</v>
      </c>
      <c r="BY94" s="561">
        <f t="shared" ca="1" si="268"/>
        <v>0</v>
      </c>
      <c r="BZ94" s="561">
        <f t="shared" ca="1" si="268"/>
        <v>0</v>
      </c>
      <c r="CA94" s="561">
        <f t="shared" ca="1" si="268"/>
        <v>0</v>
      </c>
      <c r="CB94" s="561">
        <f t="shared" ca="1" si="268"/>
        <v>0</v>
      </c>
      <c r="CC94" s="561">
        <f t="shared" ca="1" si="268"/>
        <v>0</v>
      </c>
      <c r="CD94" s="561">
        <f t="shared" ca="1" si="268"/>
        <v>0</v>
      </c>
      <c r="CE94" s="561">
        <f t="shared" ca="1" si="268"/>
        <v>0</v>
      </c>
      <c r="CF94" s="561">
        <f t="shared" ca="1" si="268"/>
        <v>0</v>
      </c>
      <c r="CG94" s="561">
        <f t="shared" ca="1" si="268"/>
        <v>0</v>
      </c>
      <c r="CH94" s="561">
        <f t="shared" ca="1" si="268"/>
        <v>0</v>
      </c>
      <c r="CI94" s="561">
        <f t="shared" ca="1" si="268"/>
        <v>0</v>
      </c>
      <c r="CJ94" s="561">
        <f t="shared" ca="1" si="268"/>
        <v>0</v>
      </c>
      <c r="CK94" s="561">
        <f t="shared" ca="1" si="268"/>
        <v>0</v>
      </c>
      <c r="CL94" s="561">
        <f t="shared" ca="1" si="268"/>
        <v>0</v>
      </c>
      <c r="CM94" s="561">
        <f t="shared" ca="1" si="270"/>
        <v>0</v>
      </c>
      <c r="CN94" s="561">
        <f t="shared" ca="1" si="270"/>
        <v>0</v>
      </c>
      <c r="CO94" s="561">
        <f t="shared" ca="1" si="270"/>
        <v>0</v>
      </c>
      <c r="CP94" s="561">
        <f t="shared" ca="1" si="270"/>
        <v>0</v>
      </c>
      <c r="CQ94" s="561">
        <f t="shared" ca="1" si="270"/>
        <v>0</v>
      </c>
      <c r="CR94" s="561">
        <f t="shared" ca="1" si="270"/>
        <v>0</v>
      </c>
      <c r="CS94" s="561">
        <f t="shared" ca="1" si="270"/>
        <v>0</v>
      </c>
      <c r="CT94" s="561">
        <f t="shared" ca="1" si="270"/>
        <v>0</v>
      </c>
      <c r="CU94" s="561">
        <f t="shared" ca="1" si="270"/>
        <v>0</v>
      </c>
      <c r="CV94" s="561">
        <f t="shared" ca="1" si="270"/>
        <v>0</v>
      </c>
      <c r="CW94" s="561">
        <f t="shared" ca="1" si="270"/>
        <v>0</v>
      </c>
      <c r="CX94" s="561">
        <f t="shared" ca="1" si="270"/>
        <v>0</v>
      </c>
      <c r="CY94" s="561">
        <f t="shared" ca="1" si="270"/>
        <v>0</v>
      </c>
      <c r="CZ94" s="561">
        <f t="shared" ca="1" si="270"/>
        <v>0</v>
      </c>
      <c r="DA94" s="561">
        <f t="shared" ca="1" si="270"/>
        <v>0</v>
      </c>
      <c r="DB94" s="561">
        <f t="shared" ca="1" si="270"/>
        <v>0</v>
      </c>
      <c r="DC94" s="561">
        <f t="shared" ca="1" si="269"/>
        <v>0</v>
      </c>
      <c r="DD94" s="561">
        <f t="shared" ca="1" si="269"/>
        <v>0</v>
      </c>
      <c r="DE94" s="561">
        <f t="shared" ca="1" si="269"/>
        <v>0</v>
      </c>
      <c r="DF94" s="561">
        <f t="shared" ca="1" si="269"/>
        <v>0</v>
      </c>
      <c r="DG94" s="561">
        <f t="shared" ca="1" si="269"/>
        <v>0</v>
      </c>
      <c r="DH94" s="561">
        <f t="shared" ca="1" si="269"/>
        <v>0</v>
      </c>
      <c r="DI94" s="561">
        <f t="shared" ca="1" si="269"/>
        <v>0</v>
      </c>
      <c r="DJ94" s="561">
        <f t="shared" ca="1" si="269"/>
        <v>0</v>
      </c>
      <c r="DK94" s="561">
        <f t="shared" ca="1" si="269"/>
        <v>0</v>
      </c>
      <c r="DL94" s="561">
        <f t="shared" ca="1" si="269"/>
        <v>0</v>
      </c>
      <c r="DM94" s="561">
        <f t="shared" ca="1" si="269"/>
        <v>0</v>
      </c>
      <c r="DN94" s="561">
        <f t="shared" ca="1" si="269"/>
        <v>0</v>
      </c>
      <c r="DO94" s="561">
        <f t="shared" ca="1" si="269"/>
        <v>0</v>
      </c>
      <c r="DP94" s="561">
        <f t="shared" ca="1" si="269"/>
        <v>0</v>
      </c>
    </row>
    <row r="95" spans="1:120" outlineLevel="1">
      <c r="A95" s="89">
        <v>1110052010</v>
      </c>
      <c r="B95" s="90" t="s">
        <v>2454</v>
      </c>
      <c r="C95" s="1476" t="s">
        <v>64</v>
      </c>
      <c r="D95" s="1481"/>
      <c r="E95" s="1482">
        <v>45013</v>
      </c>
      <c r="F95" s="420"/>
      <c r="G95" s="1256"/>
      <c r="H95" s="421"/>
      <c r="I95" s="422"/>
      <c r="J95" s="1425">
        <v>1</v>
      </c>
      <c r="K95" s="1426">
        <v>1</v>
      </c>
      <c r="L95" s="1043"/>
      <c r="M95" s="1594">
        <f t="shared" ref="M95:M104" si="354">+L95*J95</f>
        <v>0</v>
      </c>
      <c r="N95" s="504">
        <f ca="1">IF(OR(E95="",E95&gt;TODAY()),0,IF(ISERROR(VLOOKUP($E95,'TRM BanRep'!$A:$G,7,0)),0,VLOOKUP($E95,'TRM BanRep'!$A:$G,7,0)))</f>
        <v>4686.83</v>
      </c>
      <c r="O95" s="424">
        <f t="shared" ref="O95:O104" ca="1" si="355">+L95*J95*N95</f>
        <v>0</v>
      </c>
      <c r="P95" s="425">
        <v>-1977849.26</v>
      </c>
      <c r="Q95" s="1340">
        <f t="shared" ref="Q95:Q104" si="356">+P95*K95</f>
        <v>-1977849.26</v>
      </c>
      <c r="R95" s="426">
        <v>4632.2</v>
      </c>
      <c r="S95" s="426">
        <f ca="1">IF(OR(E95="",E95&gt;TODAY()),0,IF(ISERROR(VLOOKUP($E95,'TRM BanRep'!$A:$G,7,0)),0,VLOOKUP($E95,'TRM BanRep'!$A:$G,7,0)))</f>
        <v>4686.83</v>
      </c>
      <c r="T95" s="427">
        <f t="shared" ref="T95:T104" ca="1" si="357">+P95*K95*S95</f>
        <v>-9269843247.2458</v>
      </c>
      <c r="U95" s="418">
        <f t="shared" ref="U95:U104" si="358">+L95+P95+F95</f>
        <v>-1977849.26</v>
      </c>
      <c r="V95" s="517">
        <f t="shared" ref="V95:V104" ca="1" si="359">+P95*J95*R95+L95*J95*N95+F95*J95*H95</f>
        <v>-9161793342.171999</v>
      </c>
      <c r="W95" s="428">
        <f t="shared" ref="W95:W104" ca="1" si="360">IF((-P95*J95*R95)-(-P95*K95*S95)&gt;0,(-P95*J95*R95)-(-P95*K95*S95),0)</f>
        <v>0</v>
      </c>
      <c r="X95" s="429">
        <f t="shared" ref="X95:X104" ca="1" si="361">IF((-P95*J95*R95)-(-P95*K95*S95)&lt;0,(-P95*J95*R95)-(-P95*K95*S95),0)</f>
        <v>-108049905.07380104</v>
      </c>
      <c r="Y95" s="92"/>
      <c r="Z95" s="1055"/>
      <c r="AA95" s="85">
        <f t="shared" ca="1" si="265"/>
        <v>0</v>
      </c>
      <c r="AB95" s="508">
        <f t="shared" ca="1" si="265"/>
        <v>0</v>
      </c>
      <c r="AC95" s="508">
        <f t="shared" ca="1" si="265"/>
        <v>0</v>
      </c>
      <c r="AD95" s="508">
        <f t="shared" ca="1" si="265"/>
        <v>0</v>
      </c>
      <c r="AE95" s="508">
        <f t="shared" ca="1" si="265"/>
        <v>0</v>
      </c>
      <c r="AF95" s="561">
        <f t="shared" ca="1" si="265"/>
        <v>0</v>
      </c>
      <c r="AG95" s="561">
        <f t="shared" ca="1" si="265"/>
        <v>0</v>
      </c>
      <c r="AH95" s="561">
        <f t="shared" ca="1" si="265"/>
        <v>0</v>
      </c>
      <c r="AI95" s="561">
        <f t="shared" ca="1" si="265"/>
        <v>0</v>
      </c>
      <c r="AJ95" s="561">
        <f t="shared" ca="1" si="265"/>
        <v>0</v>
      </c>
      <c r="AK95" s="561">
        <f t="shared" ca="1" si="265"/>
        <v>0</v>
      </c>
      <c r="AL95" s="1542">
        <f t="shared" ca="1" si="265"/>
        <v>0</v>
      </c>
      <c r="AM95" s="561">
        <f t="shared" ca="1" si="265"/>
        <v>-1977849.26</v>
      </c>
      <c r="AN95" s="561">
        <f t="shared" ca="1" si="265"/>
        <v>0</v>
      </c>
      <c r="AO95" s="561">
        <f t="shared" ca="1" si="265"/>
        <v>0</v>
      </c>
      <c r="AP95" s="561">
        <f t="shared" ca="1" si="265"/>
        <v>0</v>
      </c>
      <c r="AQ95" s="561">
        <f t="shared" ca="1" si="266"/>
        <v>0</v>
      </c>
      <c r="AR95" s="561">
        <f t="shared" ca="1" si="266"/>
        <v>0</v>
      </c>
      <c r="AS95" s="561">
        <f t="shared" ca="1" si="266"/>
        <v>0</v>
      </c>
      <c r="AT95" s="561">
        <f t="shared" ca="1" si="266"/>
        <v>0</v>
      </c>
      <c r="AU95" s="561">
        <f t="shared" ca="1" si="266"/>
        <v>0</v>
      </c>
      <c r="AV95" s="561">
        <f t="shared" ca="1" si="266"/>
        <v>0</v>
      </c>
      <c r="AW95" s="561">
        <f t="shared" ca="1" si="266"/>
        <v>0</v>
      </c>
      <c r="AX95" s="561">
        <f t="shared" ca="1" si="266"/>
        <v>0</v>
      </c>
      <c r="AY95" s="561">
        <f t="shared" ca="1" si="266"/>
        <v>0</v>
      </c>
      <c r="AZ95" s="561">
        <f t="shared" ca="1" si="266"/>
        <v>0</v>
      </c>
      <c r="BA95" s="561">
        <f t="shared" ca="1" si="266"/>
        <v>0</v>
      </c>
      <c r="BB95" s="561">
        <f t="shared" ca="1" si="266"/>
        <v>0</v>
      </c>
      <c r="BC95" s="561">
        <f t="shared" ca="1" si="266"/>
        <v>0</v>
      </c>
      <c r="BD95" s="561">
        <f t="shared" ca="1" si="266"/>
        <v>0</v>
      </c>
      <c r="BE95" s="561">
        <f t="shared" ca="1" si="266"/>
        <v>0</v>
      </c>
      <c r="BF95" s="561">
        <f t="shared" ca="1" si="266"/>
        <v>0</v>
      </c>
      <c r="BG95" s="561">
        <f t="shared" ca="1" si="267"/>
        <v>0</v>
      </c>
      <c r="BH95" s="561">
        <f t="shared" ca="1" si="267"/>
        <v>0</v>
      </c>
      <c r="BI95" s="561">
        <f t="shared" ca="1" si="267"/>
        <v>0</v>
      </c>
      <c r="BJ95" s="561">
        <f t="shared" ca="1" si="267"/>
        <v>0</v>
      </c>
      <c r="BK95" s="561">
        <f t="shared" ca="1" si="267"/>
        <v>0</v>
      </c>
      <c r="BL95" s="561">
        <f t="shared" ca="1" si="267"/>
        <v>0</v>
      </c>
      <c r="BM95" s="561">
        <f t="shared" ca="1" si="267"/>
        <v>0</v>
      </c>
      <c r="BN95" s="561">
        <f t="shared" ca="1" si="267"/>
        <v>0</v>
      </c>
      <c r="BO95" s="561">
        <f t="shared" ca="1" si="267"/>
        <v>0</v>
      </c>
      <c r="BP95" s="561">
        <f t="shared" ca="1" si="267"/>
        <v>0</v>
      </c>
      <c r="BQ95" s="561">
        <f t="shared" ca="1" si="267"/>
        <v>0</v>
      </c>
      <c r="BR95" s="561">
        <f t="shared" ca="1" si="267"/>
        <v>0</v>
      </c>
      <c r="BS95" s="561">
        <f t="shared" ca="1" si="267"/>
        <v>0</v>
      </c>
      <c r="BT95" s="561">
        <f t="shared" ca="1" si="267"/>
        <v>0</v>
      </c>
      <c r="BU95" s="561">
        <f t="shared" ca="1" si="267"/>
        <v>0</v>
      </c>
      <c r="BV95" s="561">
        <f t="shared" ca="1" si="267"/>
        <v>0</v>
      </c>
      <c r="BW95" s="561">
        <f t="shared" ca="1" si="268"/>
        <v>0</v>
      </c>
      <c r="BX95" s="561">
        <f t="shared" ca="1" si="268"/>
        <v>0</v>
      </c>
      <c r="BY95" s="561">
        <f t="shared" ca="1" si="268"/>
        <v>0</v>
      </c>
      <c r="BZ95" s="561">
        <f t="shared" ca="1" si="268"/>
        <v>0</v>
      </c>
      <c r="CA95" s="561">
        <f t="shared" ca="1" si="268"/>
        <v>0</v>
      </c>
      <c r="CB95" s="561">
        <f t="shared" ca="1" si="268"/>
        <v>0</v>
      </c>
      <c r="CC95" s="561">
        <f t="shared" ca="1" si="268"/>
        <v>0</v>
      </c>
      <c r="CD95" s="561">
        <f t="shared" ca="1" si="268"/>
        <v>0</v>
      </c>
      <c r="CE95" s="561">
        <f t="shared" ca="1" si="268"/>
        <v>0</v>
      </c>
      <c r="CF95" s="561">
        <f t="shared" ca="1" si="268"/>
        <v>0</v>
      </c>
      <c r="CG95" s="561">
        <f t="shared" ca="1" si="268"/>
        <v>0</v>
      </c>
      <c r="CH95" s="561">
        <f t="shared" ca="1" si="268"/>
        <v>0</v>
      </c>
      <c r="CI95" s="561">
        <f t="shared" ca="1" si="268"/>
        <v>0</v>
      </c>
      <c r="CJ95" s="561">
        <f t="shared" ca="1" si="268"/>
        <v>0</v>
      </c>
      <c r="CK95" s="561">
        <f t="shared" ca="1" si="268"/>
        <v>0</v>
      </c>
      <c r="CL95" s="561">
        <f t="shared" ca="1" si="268"/>
        <v>0</v>
      </c>
      <c r="CM95" s="561">
        <f t="shared" ca="1" si="270"/>
        <v>0</v>
      </c>
      <c r="CN95" s="561">
        <f t="shared" ca="1" si="270"/>
        <v>0</v>
      </c>
      <c r="CO95" s="561">
        <f t="shared" ca="1" si="270"/>
        <v>0</v>
      </c>
      <c r="CP95" s="561">
        <f t="shared" ca="1" si="270"/>
        <v>0</v>
      </c>
      <c r="CQ95" s="561">
        <f t="shared" ca="1" si="270"/>
        <v>0</v>
      </c>
      <c r="CR95" s="561">
        <f t="shared" ca="1" si="270"/>
        <v>0</v>
      </c>
      <c r="CS95" s="561">
        <f t="shared" ca="1" si="270"/>
        <v>0</v>
      </c>
      <c r="CT95" s="561">
        <f t="shared" ca="1" si="270"/>
        <v>0</v>
      </c>
      <c r="CU95" s="561">
        <f t="shared" ca="1" si="270"/>
        <v>0</v>
      </c>
      <c r="CV95" s="561">
        <f t="shared" ca="1" si="270"/>
        <v>0</v>
      </c>
      <c r="CW95" s="561">
        <f t="shared" ca="1" si="270"/>
        <v>0</v>
      </c>
      <c r="CX95" s="561">
        <f t="shared" ca="1" si="270"/>
        <v>0</v>
      </c>
      <c r="CY95" s="561">
        <f t="shared" ca="1" si="270"/>
        <v>0</v>
      </c>
      <c r="CZ95" s="561">
        <f t="shared" ca="1" si="270"/>
        <v>0</v>
      </c>
      <c r="DA95" s="561">
        <f t="shared" ca="1" si="270"/>
        <v>0</v>
      </c>
      <c r="DB95" s="561">
        <f t="shared" ca="1" si="270"/>
        <v>0</v>
      </c>
      <c r="DC95" s="561">
        <f t="shared" ca="1" si="269"/>
        <v>0</v>
      </c>
      <c r="DD95" s="561">
        <f t="shared" ca="1" si="269"/>
        <v>0</v>
      </c>
      <c r="DE95" s="561">
        <f t="shared" ca="1" si="269"/>
        <v>0</v>
      </c>
      <c r="DF95" s="561">
        <f t="shared" ca="1" si="269"/>
        <v>0</v>
      </c>
      <c r="DG95" s="561">
        <f t="shared" ca="1" si="269"/>
        <v>0</v>
      </c>
      <c r="DH95" s="561">
        <f t="shared" ca="1" si="269"/>
        <v>0</v>
      </c>
      <c r="DI95" s="561">
        <f t="shared" ca="1" si="269"/>
        <v>0</v>
      </c>
      <c r="DJ95" s="561">
        <f t="shared" ca="1" si="269"/>
        <v>0</v>
      </c>
      <c r="DK95" s="561">
        <f t="shared" ca="1" si="269"/>
        <v>0</v>
      </c>
      <c r="DL95" s="561">
        <f t="shared" ca="1" si="269"/>
        <v>0</v>
      </c>
      <c r="DM95" s="561">
        <f t="shared" ca="1" si="269"/>
        <v>0</v>
      </c>
      <c r="DN95" s="561">
        <f t="shared" ca="1" si="269"/>
        <v>0</v>
      </c>
      <c r="DO95" s="561">
        <f t="shared" ca="1" si="269"/>
        <v>0</v>
      </c>
      <c r="DP95" s="561">
        <f t="shared" ca="1" si="269"/>
        <v>0</v>
      </c>
    </row>
    <row r="96" spans="1:120" outlineLevel="1">
      <c r="A96" s="89">
        <v>1110052010</v>
      </c>
      <c r="B96" s="90" t="s">
        <v>2454</v>
      </c>
      <c r="C96" s="1476" t="s">
        <v>64</v>
      </c>
      <c r="D96" s="1481"/>
      <c r="E96" s="1482">
        <v>45013</v>
      </c>
      <c r="F96" s="420"/>
      <c r="G96" s="1256"/>
      <c r="H96" s="421"/>
      <c r="I96" s="422"/>
      <c r="J96" s="1425">
        <v>1</v>
      </c>
      <c r="K96" s="1426">
        <v>1</v>
      </c>
      <c r="L96" s="1043"/>
      <c r="M96" s="1594">
        <f t="shared" ref="M96" si="362">+L96*J96</f>
        <v>0</v>
      </c>
      <c r="N96" s="504">
        <f ca="1">IF(OR(E96="",E96&gt;TODAY()),0,IF(ISERROR(VLOOKUP($E96,'TRM BanRep'!$A:$G,7,0)),0,VLOOKUP($E96,'TRM BanRep'!$A:$G,7,0)))</f>
        <v>4686.83</v>
      </c>
      <c r="O96" s="424">
        <f t="shared" ref="O96" ca="1" si="363">+L96*J96*N96</f>
        <v>0</v>
      </c>
      <c r="P96" s="425">
        <v>-36656.480000000003</v>
      </c>
      <c r="Q96" s="1340">
        <f t="shared" ref="Q96" si="364">+P96*K96</f>
        <v>-36656.480000000003</v>
      </c>
      <c r="R96" s="426">
        <v>4648.7</v>
      </c>
      <c r="S96" s="426">
        <f ca="1">IF(OR(E96="",E96&gt;TODAY()),0,IF(ISERROR(VLOOKUP($E96,'TRM BanRep'!$A:$G,7,0)),0,VLOOKUP($E96,'TRM BanRep'!$A:$G,7,0)))</f>
        <v>4686.83</v>
      </c>
      <c r="T96" s="427">
        <f t="shared" ref="T96" ca="1" si="365">+P96*K96*S96</f>
        <v>-171802690.1584</v>
      </c>
      <c r="U96" s="418">
        <f t="shared" ref="U96" si="366">+L96+P96+F96</f>
        <v>-36656.480000000003</v>
      </c>
      <c r="V96" s="517">
        <f t="shared" ref="V96" ca="1" si="367">+P96*J96*R96+L96*J96*N96+F96*J96*H96</f>
        <v>-170404978.57600001</v>
      </c>
      <c r="W96" s="428">
        <f t="shared" ref="W96" ca="1" si="368">IF((-P96*J96*R96)-(-P96*K96*S96)&gt;0,(-P96*J96*R96)-(-P96*K96*S96),0)</f>
        <v>0</v>
      </c>
      <c r="X96" s="429">
        <f t="shared" ref="X96" ca="1" si="369">IF((-P96*J96*R96)-(-P96*K96*S96)&lt;0,(-P96*J96*R96)-(-P96*K96*S96),0)</f>
        <v>-1397711.5823999941</v>
      </c>
      <c r="Y96" s="92"/>
      <c r="Z96" s="1055"/>
      <c r="AA96" s="85">
        <f t="shared" ref="AA96:CL99" ca="1" si="370">IF($L96="",IF(OR($P96="",$R96=""),0,IF($R96=AA$6,$Q96,0)),IF($E96=AA$5,$M96,))</f>
        <v>0</v>
      </c>
      <c r="AB96" s="508">
        <f t="shared" ca="1" si="370"/>
        <v>0</v>
      </c>
      <c r="AC96" s="508">
        <f t="shared" ca="1" si="370"/>
        <v>0</v>
      </c>
      <c r="AD96" s="508">
        <f t="shared" ca="1" si="370"/>
        <v>0</v>
      </c>
      <c r="AE96" s="508">
        <f t="shared" ca="1" si="370"/>
        <v>0</v>
      </c>
      <c r="AF96" s="561">
        <f t="shared" ca="1" si="370"/>
        <v>0</v>
      </c>
      <c r="AG96" s="561">
        <f t="shared" ca="1" si="370"/>
        <v>0</v>
      </c>
      <c r="AH96" s="561">
        <f t="shared" ca="1" si="370"/>
        <v>0</v>
      </c>
      <c r="AI96" s="561">
        <f t="shared" ca="1" si="370"/>
        <v>0</v>
      </c>
      <c r="AJ96" s="561">
        <f t="shared" ca="1" si="370"/>
        <v>0</v>
      </c>
      <c r="AK96" s="561">
        <f t="shared" ca="1" si="370"/>
        <v>0</v>
      </c>
      <c r="AL96" s="1542">
        <f t="shared" ca="1" si="370"/>
        <v>0</v>
      </c>
      <c r="AM96" s="561">
        <f t="shared" ca="1" si="370"/>
        <v>0</v>
      </c>
      <c r="AN96" s="561">
        <f t="shared" ca="1" si="370"/>
        <v>-36656.480000000003</v>
      </c>
      <c r="AO96" s="561">
        <f t="shared" ca="1" si="370"/>
        <v>0</v>
      </c>
      <c r="AP96" s="561">
        <f t="shared" ca="1" si="370"/>
        <v>0</v>
      </c>
      <c r="AQ96" s="561">
        <f t="shared" ca="1" si="370"/>
        <v>0</v>
      </c>
      <c r="AR96" s="561">
        <f t="shared" ca="1" si="370"/>
        <v>0</v>
      </c>
      <c r="AS96" s="561">
        <f t="shared" ca="1" si="370"/>
        <v>0</v>
      </c>
      <c r="AT96" s="561">
        <f t="shared" ca="1" si="370"/>
        <v>0</v>
      </c>
      <c r="AU96" s="561">
        <f t="shared" ca="1" si="370"/>
        <v>0</v>
      </c>
      <c r="AV96" s="561">
        <f t="shared" ca="1" si="370"/>
        <v>0</v>
      </c>
      <c r="AW96" s="561">
        <f t="shared" ca="1" si="370"/>
        <v>0</v>
      </c>
      <c r="AX96" s="561">
        <f t="shared" ca="1" si="370"/>
        <v>0</v>
      </c>
      <c r="AY96" s="561">
        <f t="shared" ca="1" si="370"/>
        <v>0</v>
      </c>
      <c r="AZ96" s="561">
        <f t="shared" ca="1" si="370"/>
        <v>0</v>
      </c>
      <c r="BA96" s="561">
        <f t="shared" ca="1" si="370"/>
        <v>0</v>
      </c>
      <c r="BB96" s="561">
        <f t="shared" ca="1" si="370"/>
        <v>0</v>
      </c>
      <c r="BC96" s="561">
        <f t="shared" ca="1" si="370"/>
        <v>0</v>
      </c>
      <c r="BD96" s="561">
        <f t="shared" ca="1" si="370"/>
        <v>0</v>
      </c>
      <c r="BE96" s="561">
        <f t="shared" ca="1" si="370"/>
        <v>0</v>
      </c>
      <c r="BF96" s="561">
        <f t="shared" ca="1" si="370"/>
        <v>0</v>
      </c>
      <c r="BG96" s="561">
        <f t="shared" ca="1" si="370"/>
        <v>0</v>
      </c>
      <c r="BH96" s="561">
        <f t="shared" ca="1" si="370"/>
        <v>0</v>
      </c>
      <c r="BI96" s="561">
        <f t="shared" ca="1" si="370"/>
        <v>0</v>
      </c>
      <c r="BJ96" s="561">
        <f t="shared" ca="1" si="370"/>
        <v>0</v>
      </c>
      <c r="BK96" s="561">
        <f t="shared" ca="1" si="370"/>
        <v>0</v>
      </c>
      <c r="BL96" s="561">
        <f t="shared" ca="1" si="370"/>
        <v>0</v>
      </c>
      <c r="BM96" s="561">
        <f t="shared" ca="1" si="370"/>
        <v>0</v>
      </c>
      <c r="BN96" s="561">
        <f t="shared" ca="1" si="370"/>
        <v>0</v>
      </c>
      <c r="BO96" s="561">
        <f t="shared" ca="1" si="370"/>
        <v>0</v>
      </c>
      <c r="BP96" s="561">
        <f t="shared" ca="1" si="370"/>
        <v>0</v>
      </c>
      <c r="BQ96" s="561">
        <f t="shared" ca="1" si="370"/>
        <v>0</v>
      </c>
      <c r="BR96" s="561">
        <f t="shared" ca="1" si="370"/>
        <v>0</v>
      </c>
      <c r="BS96" s="561">
        <f t="shared" ca="1" si="370"/>
        <v>0</v>
      </c>
      <c r="BT96" s="561">
        <f t="shared" ca="1" si="370"/>
        <v>0</v>
      </c>
      <c r="BU96" s="561">
        <f t="shared" ca="1" si="370"/>
        <v>0</v>
      </c>
      <c r="BV96" s="561">
        <f t="shared" ca="1" si="370"/>
        <v>0</v>
      </c>
      <c r="BW96" s="561">
        <f t="shared" ca="1" si="370"/>
        <v>0</v>
      </c>
      <c r="BX96" s="561">
        <f t="shared" ca="1" si="370"/>
        <v>0</v>
      </c>
      <c r="BY96" s="561">
        <f t="shared" ca="1" si="370"/>
        <v>0</v>
      </c>
      <c r="BZ96" s="561">
        <f t="shared" ca="1" si="370"/>
        <v>0</v>
      </c>
      <c r="CA96" s="561">
        <f t="shared" ca="1" si="370"/>
        <v>0</v>
      </c>
      <c r="CB96" s="561">
        <f t="shared" ca="1" si="370"/>
        <v>0</v>
      </c>
      <c r="CC96" s="561">
        <f t="shared" ca="1" si="370"/>
        <v>0</v>
      </c>
      <c r="CD96" s="561">
        <f t="shared" ca="1" si="370"/>
        <v>0</v>
      </c>
      <c r="CE96" s="561">
        <f t="shared" ca="1" si="370"/>
        <v>0</v>
      </c>
      <c r="CF96" s="561">
        <f t="shared" ca="1" si="370"/>
        <v>0</v>
      </c>
      <c r="CG96" s="561">
        <f t="shared" ca="1" si="370"/>
        <v>0</v>
      </c>
      <c r="CH96" s="561">
        <f t="shared" ca="1" si="370"/>
        <v>0</v>
      </c>
      <c r="CI96" s="561">
        <f t="shared" ca="1" si="370"/>
        <v>0</v>
      </c>
      <c r="CJ96" s="561">
        <f t="shared" ca="1" si="370"/>
        <v>0</v>
      </c>
      <c r="CK96" s="561">
        <f t="shared" ca="1" si="370"/>
        <v>0</v>
      </c>
      <c r="CL96" s="561">
        <f t="shared" ca="1" si="370"/>
        <v>0</v>
      </c>
      <c r="CM96" s="561">
        <f t="shared" ref="CM96:DP99" ca="1" si="371">IF($L96="",IF(OR($P96="",$R96=""),0,IF($R96=CM$6,$Q96,0)),IF($E96=CM$5,$M96,))</f>
        <v>0</v>
      </c>
      <c r="CN96" s="561">
        <f t="shared" ca="1" si="371"/>
        <v>0</v>
      </c>
      <c r="CO96" s="561">
        <f t="shared" ca="1" si="371"/>
        <v>0</v>
      </c>
      <c r="CP96" s="561">
        <f t="shared" ca="1" si="371"/>
        <v>0</v>
      </c>
      <c r="CQ96" s="561">
        <f t="shared" ca="1" si="371"/>
        <v>0</v>
      </c>
      <c r="CR96" s="561">
        <f t="shared" ca="1" si="371"/>
        <v>0</v>
      </c>
      <c r="CS96" s="561">
        <f t="shared" ca="1" si="371"/>
        <v>0</v>
      </c>
      <c r="CT96" s="561">
        <f t="shared" ca="1" si="371"/>
        <v>0</v>
      </c>
      <c r="CU96" s="561">
        <f t="shared" ca="1" si="371"/>
        <v>0</v>
      </c>
      <c r="CV96" s="561">
        <f t="shared" ca="1" si="371"/>
        <v>0</v>
      </c>
      <c r="CW96" s="561">
        <f t="shared" ca="1" si="371"/>
        <v>0</v>
      </c>
      <c r="CX96" s="561">
        <f t="shared" ca="1" si="371"/>
        <v>0</v>
      </c>
      <c r="CY96" s="561">
        <f t="shared" ca="1" si="371"/>
        <v>0</v>
      </c>
      <c r="CZ96" s="561">
        <f t="shared" ca="1" si="371"/>
        <v>0</v>
      </c>
      <c r="DA96" s="561">
        <f t="shared" ca="1" si="371"/>
        <v>0</v>
      </c>
      <c r="DB96" s="561">
        <f t="shared" ca="1" si="371"/>
        <v>0</v>
      </c>
      <c r="DC96" s="561">
        <f t="shared" ca="1" si="371"/>
        <v>0</v>
      </c>
      <c r="DD96" s="561">
        <f t="shared" ca="1" si="371"/>
        <v>0</v>
      </c>
      <c r="DE96" s="561">
        <f t="shared" ca="1" si="371"/>
        <v>0</v>
      </c>
      <c r="DF96" s="561">
        <f t="shared" ca="1" si="371"/>
        <v>0</v>
      </c>
      <c r="DG96" s="561">
        <f t="shared" ca="1" si="371"/>
        <v>0</v>
      </c>
      <c r="DH96" s="561">
        <f t="shared" ca="1" si="371"/>
        <v>0</v>
      </c>
      <c r="DI96" s="561">
        <f t="shared" ca="1" si="371"/>
        <v>0</v>
      </c>
      <c r="DJ96" s="561">
        <f t="shared" ca="1" si="371"/>
        <v>0</v>
      </c>
      <c r="DK96" s="561">
        <f t="shared" ca="1" si="371"/>
        <v>0</v>
      </c>
      <c r="DL96" s="561">
        <f t="shared" ca="1" si="371"/>
        <v>0</v>
      </c>
      <c r="DM96" s="561">
        <f t="shared" ca="1" si="371"/>
        <v>0</v>
      </c>
      <c r="DN96" s="561">
        <f t="shared" ca="1" si="371"/>
        <v>0</v>
      </c>
      <c r="DO96" s="561">
        <f t="shared" ca="1" si="371"/>
        <v>0</v>
      </c>
      <c r="DP96" s="561">
        <f t="shared" ca="1" si="371"/>
        <v>0</v>
      </c>
    </row>
    <row r="97" spans="1:120" outlineLevel="1">
      <c r="A97" s="89">
        <v>1110052010</v>
      </c>
      <c r="B97" s="90" t="s">
        <v>2454</v>
      </c>
      <c r="C97" s="1476" t="s">
        <v>64</v>
      </c>
      <c r="D97" s="1481"/>
      <c r="E97" s="1482">
        <v>45013</v>
      </c>
      <c r="F97" s="420"/>
      <c r="G97" s="1256"/>
      <c r="H97" s="421"/>
      <c r="I97" s="422"/>
      <c r="J97" s="1425">
        <v>1</v>
      </c>
      <c r="K97" s="1426">
        <v>1</v>
      </c>
      <c r="L97" s="1043"/>
      <c r="M97" s="1594">
        <f t="shared" ref="M97:M98" si="372">+L97*J97</f>
        <v>0</v>
      </c>
      <c r="N97" s="504">
        <f ca="1">IF(OR(E97="",E97&gt;TODAY()),0,IF(ISERROR(VLOOKUP($E97,'TRM BanRep'!$A:$G,7,0)),0,VLOOKUP($E97,'TRM BanRep'!$A:$G,7,0)))</f>
        <v>4686.83</v>
      </c>
      <c r="O97" s="424">
        <f t="shared" ref="O97:O98" ca="1" si="373">+L97*J97*N97</f>
        <v>0</v>
      </c>
      <c r="P97" s="425">
        <v>-2772999.6</v>
      </c>
      <c r="Q97" s="1340">
        <f t="shared" ref="Q97:Q98" si="374">+P97*K97</f>
        <v>-2772999.6</v>
      </c>
      <c r="R97" s="426">
        <v>4853.8999999999996</v>
      </c>
      <c r="S97" s="426">
        <f ca="1">IF(OR(E97="",E97&gt;TODAY()),0,IF(ISERROR(VLOOKUP($E97,'TRM BanRep'!$A:$G,7,0)),0,VLOOKUP($E97,'TRM BanRep'!$A:$G,7,0)))</f>
        <v>4686.83</v>
      </c>
      <c r="T97" s="427">
        <f t="shared" ref="T97:T98" ca="1" si="375">+P97*K97*S97</f>
        <v>-12996577715.268</v>
      </c>
      <c r="U97" s="418">
        <f t="shared" ref="U97:U98" si="376">+L97+P97+F97</f>
        <v>-2772999.6</v>
      </c>
      <c r="V97" s="517">
        <f t="shared" ref="V97:V98" ca="1" si="377">+P97*J97*R97+L97*J97*N97+F97*J97*H97</f>
        <v>-13459862758.439999</v>
      </c>
      <c r="W97" s="428">
        <f t="shared" ref="W97:W98" ca="1" si="378">IF((-P97*J97*R97)-(-P97*K97*S97)&gt;0,(-P97*J97*R97)-(-P97*K97*S97),0)</f>
        <v>463285043.17199898</v>
      </c>
      <c r="X97" s="429">
        <f t="shared" ref="X97:X98" ca="1" si="379">IF((-P97*J97*R97)-(-P97*K97*S97)&lt;0,(-P97*J97*R97)-(-P97*K97*S97),0)</f>
        <v>0</v>
      </c>
      <c r="Y97" s="92"/>
      <c r="Z97" s="1055"/>
      <c r="AA97" s="85">
        <f t="shared" ca="1" si="370"/>
        <v>0</v>
      </c>
      <c r="AB97" s="508">
        <f t="shared" ca="1" si="370"/>
        <v>0</v>
      </c>
      <c r="AC97" s="508">
        <f t="shared" ca="1" si="370"/>
        <v>0</v>
      </c>
      <c r="AD97" s="508">
        <f t="shared" ca="1" si="370"/>
        <v>0</v>
      </c>
      <c r="AE97" s="508">
        <f t="shared" ca="1" si="370"/>
        <v>0</v>
      </c>
      <c r="AF97" s="561">
        <f t="shared" ca="1" si="370"/>
        <v>0</v>
      </c>
      <c r="AG97" s="561">
        <f t="shared" ca="1" si="370"/>
        <v>0</v>
      </c>
      <c r="AH97" s="561">
        <f t="shared" ca="1" si="370"/>
        <v>0</v>
      </c>
      <c r="AI97" s="561">
        <f t="shared" ca="1" si="370"/>
        <v>0</v>
      </c>
      <c r="AJ97" s="561">
        <f t="shared" ca="1" si="370"/>
        <v>0</v>
      </c>
      <c r="AK97" s="561">
        <f t="shared" ca="1" si="370"/>
        <v>0</v>
      </c>
      <c r="AL97" s="1542">
        <f t="shared" ca="1" si="370"/>
        <v>0</v>
      </c>
      <c r="AM97" s="561">
        <f t="shared" ca="1" si="370"/>
        <v>0</v>
      </c>
      <c r="AN97" s="561">
        <f t="shared" ca="1" si="370"/>
        <v>0</v>
      </c>
      <c r="AO97" s="561">
        <f t="shared" ca="1" si="370"/>
        <v>-2772999.6</v>
      </c>
      <c r="AP97" s="561">
        <f t="shared" ca="1" si="370"/>
        <v>0</v>
      </c>
      <c r="AQ97" s="561">
        <f t="shared" ca="1" si="370"/>
        <v>0</v>
      </c>
      <c r="AR97" s="561">
        <f t="shared" ca="1" si="370"/>
        <v>0</v>
      </c>
      <c r="AS97" s="561">
        <f t="shared" ca="1" si="370"/>
        <v>0</v>
      </c>
      <c r="AT97" s="561">
        <f t="shared" ca="1" si="370"/>
        <v>0</v>
      </c>
      <c r="AU97" s="561">
        <f t="shared" ca="1" si="370"/>
        <v>0</v>
      </c>
      <c r="AV97" s="561">
        <f t="shared" ca="1" si="370"/>
        <v>0</v>
      </c>
      <c r="AW97" s="561">
        <f t="shared" ca="1" si="370"/>
        <v>0</v>
      </c>
      <c r="AX97" s="561">
        <f t="shared" ca="1" si="370"/>
        <v>0</v>
      </c>
      <c r="AY97" s="561">
        <f t="shared" ca="1" si="370"/>
        <v>0</v>
      </c>
      <c r="AZ97" s="561">
        <f t="shared" ca="1" si="370"/>
        <v>0</v>
      </c>
      <c r="BA97" s="561">
        <f t="shared" ca="1" si="370"/>
        <v>0</v>
      </c>
      <c r="BB97" s="561">
        <f t="shared" ca="1" si="370"/>
        <v>0</v>
      </c>
      <c r="BC97" s="561">
        <f t="shared" ca="1" si="370"/>
        <v>0</v>
      </c>
      <c r="BD97" s="561">
        <f t="shared" ca="1" si="370"/>
        <v>0</v>
      </c>
      <c r="BE97" s="561">
        <f t="shared" ca="1" si="370"/>
        <v>0</v>
      </c>
      <c r="BF97" s="561">
        <f t="shared" ca="1" si="370"/>
        <v>0</v>
      </c>
      <c r="BG97" s="561">
        <f t="shared" ca="1" si="370"/>
        <v>0</v>
      </c>
      <c r="BH97" s="561">
        <f t="shared" ca="1" si="370"/>
        <v>0</v>
      </c>
      <c r="BI97" s="561">
        <f t="shared" ca="1" si="370"/>
        <v>0</v>
      </c>
      <c r="BJ97" s="561">
        <f t="shared" ca="1" si="370"/>
        <v>0</v>
      </c>
      <c r="BK97" s="561">
        <f t="shared" ca="1" si="370"/>
        <v>0</v>
      </c>
      <c r="BL97" s="561">
        <f t="shared" ca="1" si="370"/>
        <v>0</v>
      </c>
      <c r="BM97" s="561">
        <f t="shared" ca="1" si="370"/>
        <v>0</v>
      </c>
      <c r="BN97" s="561">
        <f t="shared" ca="1" si="370"/>
        <v>0</v>
      </c>
      <c r="BO97" s="561">
        <f t="shared" ca="1" si="370"/>
        <v>0</v>
      </c>
      <c r="BP97" s="561">
        <f t="shared" ca="1" si="370"/>
        <v>0</v>
      </c>
      <c r="BQ97" s="561">
        <f t="shared" ca="1" si="370"/>
        <v>0</v>
      </c>
      <c r="BR97" s="561">
        <f t="shared" ca="1" si="370"/>
        <v>0</v>
      </c>
      <c r="BS97" s="561">
        <f t="shared" ca="1" si="370"/>
        <v>0</v>
      </c>
      <c r="BT97" s="561">
        <f t="shared" ca="1" si="370"/>
        <v>0</v>
      </c>
      <c r="BU97" s="561">
        <f t="shared" ca="1" si="370"/>
        <v>0</v>
      </c>
      <c r="BV97" s="561">
        <f t="shared" ca="1" si="370"/>
        <v>0</v>
      </c>
      <c r="BW97" s="561">
        <f t="shared" ca="1" si="370"/>
        <v>0</v>
      </c>
      <c r="BX97" s="561">
        <f t="shared" ca="1" si="370"/>
        <v>0</v>
      </c>
      <c r="BY97" s="561">
        <f t="shared" ca="1" si="370"/>
        <v>0</v>
      </c>
      <c r="BZ97" s="561">
        <f t="shared" ca="1" si="370"/>
        <v>0</v>
      </c>
      <c r="CA97" s="561">
        <f t="shared" ca="1" si="370"/>
        <v>0</v>
      </c>
      <c r="CB97" s="561">
        <f t="shared" ca="1" si="370"/>
        <v>0</v>
      </c>
      <c r="CC97" s="561">
        <f t="shared" ca="1" si="370"/>
        <v>0</v>
      </c>
      <c r="CD97" s="561">
        <f t="shared" ca="1" si="370"/>
        <v>0</v>
      </c>
      <c r="CE97" s="561">
        <f t="shared" ca="1" si="370"/>
        <v>0</v>
      </c>
      <c r="CF97" s="561">
        <f t="shared" ca="1" si="370"/>
        <v>0</v>
      </c>
      <c r="CG97" s="561">
        <f t="shared" ca="1" si="370"/>
        <v>0</v>
      </c>
      <c r="CH97" s="561">
        <f t="shared" ca="1" si="370"/>
        <v>0</v>
      </c>
      <c r="CI97" s="561">
        <f t="shared" ca="1" si="370"/>
        <v>0</v>
      </c>
      <c r="CJ97" s="561">
        <f t="shared" ca="1" si="370"/>
        <v>0</v>
      </c>
      <c r="CK97" s="561">
        <f t="shared" ca="1" si="370"/>
        <v>0</v>
      </c>
      <c r="CL97" s="561">
        <f t="shared" ca="1" si="370"/>
        <v>0</v>
      </c>
      <c r="CM97" s="561">
        <f t="shared" ca="1" si="371"/>
        <v>0</v>
      </c>
      <c r="CN97" s="561">
        <f t="shared" ca="1" si="371"/>
        <v>0</v>
      </c>
      <c r="CO97" s="561">
        <f t="shared" ca="1" si="371"/>
        <v>0</v>
      </c>
      <c r="CP97" s="561">
        <f t="shared" ca="1" si="371"/>
        <v>0</v>
      </c>
      <c r="CQ97" s="561">
        <f t="shared" ca="1" si="371"/>
        <v>0</v>
      </c>
      <c r="CR97" s="561">
        <f t="shared" ca="1" si="371"/>
        <v>0</v>
      </c>
      <c r="CS97" s="561">
        <f t="shared" ca="1" si="371"/>
        <v>0</v>
      </c>
      <c r="CT97" s="561">
        <f t="shared" ca="1" si="371"/>
        <v>0</v>
      </c>
      <c r="CU97" s="561">
        <f t="shared" ca="1" si="371"/>
        <v>0</v>
      </c>
      <c r="CV97" s="561">
        <f t="shared" ca="1" si="371"/>
        <v>0</v>
      </c>
      <c r="CW97" s="561">
        <f t="shared" ca="1" si="371"/>
        <v>0</v>
      </c>
      <c r="CX97" s="561">
        <f t="shared" ca="1" si="371"/>
        <v>0</v>
      </c>
      <c r="CY97" s="561">
        <f t="shared" ca="1" si="371"/>
        <v>0</v>
      </c>
      <c r="CZ97" s="561">
        <f t="shared" ca="1" si="371"/>
        <v>0</v>
      </c>
      <c r="DA97" s="561">
        <f t="shared" ca="1" si="371"/>
        <v>0</v>
      </c>
      <c r="DB97" s="561">
        <f t="shared" ca="1" si="371"/>
        <v>0</v>
      </c>
      <c r="DC97" s="561">
        <f t="shared" ca="1" si="371"/>
        <v>0</v>
      </c>
      <c r="DD97" s="561">
        <f t="shared" ca="1" si="371"/>
        <v>0</v>
      </c>
      <c r="DE97" s="561">
        <f t="shared" ca="1" si="371"/>
        <v>0</v>
      </c>
      <c r="DF97" s="561">
        <f t="shared" ca="1" si="371"/>
        <v>0</v>
      </c>
      <c r="DG97" s="561">
        <f t="shared" ca="1" si="371"/>
        <v>0</v>
      </c>
      <c r="DH97" s="561">
        <f t="shared" ca="1" si="371"/>
        <v>0</v>
      </c>
      <c r="DI97" s="561">
        <f t="shared" ca="1" si="371"/>
        <v>0</v>
      </c>
      <c r="DJ97" s="561">
        <f t="shared" ca="1" si="371"/>
        <v>0</v>
      </c>
      <c r="DK97" s="561">
        <f t="shared" ca="1" si="371"/>
        <v>0</v>
      </c>
      <c r="DL97" s="561">
        <f t="shared" ca="1" si="371"/>
        <v>0</v>
      </c>
      <c r="DM97" s="561">
        <f t="shared" ca="1" si="371"/>
        <v>0</v>
      </c>
      <c r="DN97" s="561">
        <f t="shared" ca="1" si="371"/>
        <v>0</v>
      </c>
      <c r="DO97" s="561">
        <f t="shared" ca="1" si="371"/>
        <v>0</v>
      </c>
      <c r="DP97" s="561">
        <f t="shared" ca="1" si="371"/>
        <v>0</v>
      </c>
    </row>
    <row r="98" spans="1:120" outlineLevel="1">
      <c r="A98" s="89">
        <v>1110052010</v>
      </c>
      <c r="B98" s="90" t="s">
        <v>2454</v>
      </c>
      <c r="C98" s="1476" t="s">
        <v>64</v>
      </c>
      <c r="D98" s="1481"/>
      <c r="E98" s="1482">
        <v>45013</v>
      </c>
      <c r="F98" s="420"/>
      <c r="G98" s="1256"/>
      <c r="H98" s="421"/>
      <c r="I98" s="422"/>
      <c r="J98" s="1425">
        <v>1</v>
      </c>
      <c r="K98" s="1426">
        <v>1</v>
      </c>
      <c r="L98" s="1043"/>
      <c r="M98" s="1594">
        <f t="shared" si="372"/>
        <v>0</v>
      </c>
      <c r="N98" s="504">
        <f ca="1">IF(OR(E98="",E98&gt;TODAY()),0,IF(ISERROR(VLOOKUP($E98,'TRM BanRep'!$A:$G,7,0)),0,VLOOKUP($E98,'TRM BanRep'!$A:$G,7,0)))</f>
        <v>4686.83</v>
      </c>
      <c r="O98" s="424">
        <f t="shared" ca="1" si="373"/>
        <v>0</v>
      </c>
      <c r="P98" s="425">
        <v>-1074324.22</v>
      </c>
      <c r="Q98" s="1340">
        <f t="shared" si="374"/>
        <v>-1074324.22</v>
      </c>
      <c r="R98" s="426">
        <v>4814.1099999999997</v>
      </c>
      <c r="S98" s="426">
        <f ca="1">IF(OR(E98="",E98&gt;TODAY()),0,IF(ISERROR(VLOOKUP($E98,'TRM BanRep'!$A:$G,7,0)),0,VLOOKUP($E98,'TRM BanRep'!$A:$G,7,0)))</f>
        <v>4686.83</v>
      </c>
      <c r="T98" s="427">
        <f t="shared" ca="1" si="375"/>
        <v>-5035174984.0226002</v>
      </c>
      <c r="U98" s="418">
        <f t="shared" si="376"/>
        <v>-1074324.22</v>
      </c>
      <c r="V98" s="517">
        <f t="shared" ca="1" si="377"/>
        <v>-5171914970.7441998</v>
      </c>
      <c r="W98" s="428">
        <f t="shared" ca="1" si="378"/>
        <v>136739986.72159958</v>
      </c>
      <c r="X98" s="429">
        <f t="shared" ca="1" si="379"/>
        <v>0</v>
      </c>
      <c r="Y98" s="92"/>
      <c r="Z98" s="1055"/>
      <c r="AA98" s="85">
        <f t="shared" ca="1" si="370"/>
        <v>0</v>
      </c>
      <c r="AB98" s="508">
        <f t="shared" ca="1" si="370"/>
        <v>0</v>
      </c>
      <c r="AC98" s="508">
        <f t="shared" ca="1" si="370"/>
        <v>0</v>
      </c>
      <c r="AD98" s="508">
        <f t="shared" ca="1" si="370"/>
        <v>0</v>
      </c>
      <c r="AE98" s="508">
        <f t="shared" ca="1" si="370"/>
        <v>0</v>
      </c>
      <c r="AF98" s="561">
        <f t="shared" ca="1" si="370"/>
        <v>0</v>
      </c>
      <c r="AG98" s="561">
        <f t="shared" ca="1" si="370"/>
        <v>0</v>
      </c>
      <c r="AH98" s="561">
        <f t="shared" ca="1" si="370"/>
        <v>0</v>
      </c>
      <c r="AI98" s="561">
        <f t="shared" ca="1" si="370"/>
        <v>0</v>
      </c>
      <c r="AJ98" s="561">
        <f t="shared" ca="1" si="370"/>
        <v>0</v>
      </c>
      <c r="AK98" s="561">
        <f t="shared" ca="1" si="370"/>
        <v>0</v>
      </c>
      <c r="AL98" s="1542">
        <f t="shared" ca="1" si="370"/>
        <v>0</v>
      </c>
      <c r="AM98" s="561">
        <f t="shared" ca="1" si="370"/>
        <v>0</v>
      </c>
      <c r="AN98" s="561">
        <f t="shared" ca="1" si="370"/>
        <v>0</v>
      </c>
      <c r="AO98" s="561">
        <f t="shared" ca="1" si="370"/>
        <v>0</v>
      </c>
      <c r="AP98" s="561">
        <f t="shared" ca="1" si="370"/>
        <v>0</v>
      </c>
      <c r="AQ98" s="561">
        <f t="shared" ca="1" si="370"/>
        <v>0</v>
      </c>
      <c r="AR98" s="561">
        <f t="shared" ca="1" si="370"/>
        <v>-1074324.22</v>
      </c>
      <c r="AS98" s="561">
        <f t="shared" ca="1" si="370"/>
        <v>0</v>
      </c>
      <c r="AT98" s="561">
        <f t="shared" ca="1" si="370"/>
        <v>0</v>
      </c>
      <c r="AU98" s="561">
        <f t="shared" ca="1" si="370"/>
        <v>0</v>
      </c>
      <c r="AV98" s="561">
        <f t="shared" ca="1" si="370"/>
        <v>0</v>
      </c>
      <c r="AW98" s="561">
        <f t="shared" ca="1" si="370"/>
        <v>0</v>
      </c>
      <c r="AX98" s="561">
        <f t="shared" ca="1" si="370"/>
        <v>0</v>
      </c>
      <c r="AY98" s="561">
        <f t="shared" ca="1" si="370"/>
        <v>0</v>
      </c>
      <c r="AZ98" s="561">
        <f t="shared" ca="1" si="370"/>
        <v>0</v>
      </c>
      <c r="BA98" s="561">
        <f t="shared" ca="1" si="370"/>
        <v>0</v>
      </c>
      <c r="BB98" s="561">
        <f t="shared" ca="1" si="370"/>
        <v>0</v>
      </c>
      <c r="BC98" s="561">
        <f t="shared" ca="1" si="370"/>
        <v>0</v>
      </c>
      <c r="BD98" s="561">
        <f t="shared" ca="1" si="370"/>
        <v>0</v>
      </c>
      <c r="BE98" s="561">
        <f t="shared" ca="1" si="370"/>
        <v>0</v>
      </c>
      <c r="BF98" s="561">
        <f t="shared" ca="1" si="370"/>
        <v>0</v>
      </c>
      <c r="BG98" s="561">
        <f t="shared" ca="1" si="370"/>
        <v>0</v>
      </c>
      <c r="BH98" s="561">
        <f t="shared" ca="1" si="370"/>
        <v>0</v>
      </c>
      <c r="BI98" s="561">
        <f t="shared" ca="1" si="370"/>
        <v>0</v>
      </c>
      <c r="BJ98" s="561">
        <f t="shared" ca="1" si="370"/>
        <v>0</v>
      </c>
      <c r="BK98" s="561">
        <f t="shared" ca="1" si="370"/>
        <v>0</v>
      </c>
      <c r="BL98" s="561">
        <f t="shared" ca="1" si="370"/>
        <v>0</v>
      </c>
      <c r="BM98" s="561">
        <f t="shared" ca="1" si="370"/>
        <v>0</v>
      </c>
      <c r="BN98" s="561">
        <f t="shared" ca="1" si="370"/>
        <v>0</v>
      </c>
      <c r="BO98" s="561">
        <f t="shared" ca="1" si="370"/>
        <v>0</v>
      </c>
      <c r="BP98" s="561">
        <f t="shared" ca="1" si="370"/>
        <v>0</v>
      </c>
      <c r="BQ98" s="561">
        <f t="shared" ca="1" si="370"/>
        <v>0</v>
      </c>
      <c r="BR98" s="561">
        <f t="shared" ca="1" si="370"/>
        <v>0</v>
      </c>
      <c r="BS98" s="561">
        <f t="shared" ca="1" si="370"/>
        <v>0</v>
      </c>
      <c r="BT98" s="561">
        <f t="shared" ca="1" si="370"/>
        <v>0</v>
      </c>
      <c r="BU98" s="561">
        <f t="shared" ca="1" si="370"/>
        <v>0</v>
      </c>
      <c r="BV98" s="561">
        <f t="shared" ca="1" si="370"/>
        <v>0</v>
      </c>
      <c r="BW98" s="561">
        <f t="shared" ca="1" si="370"/>
        <v>0</v>
      </c>
      <c r="BX98" s="561">
        <f t="shared" ca="1" si="370"/>
        <v>0</v>
      </c>
      <c r="BY98" s="561">
        <f t="shared" ca="1" si="370"/>
        <v>0</v>
      </c>
      <c r="BZ98" s="561">
        <f t="shared" ca="1" si="370"/>
        <v>0</v>
      </c>
      <c r="CA98" s="561">
        <f t="shared" ca="1" si="370"/>
        <v>0</v>
      </c>
      <c r="CB98" s="561">
        <f t="shared" ca="1" si="370"/>
        <v>0</v>
      </c>
      <c r="CC98" s="561">
        <f t="shared" ca="1" si="370"/>
        <v>0</v>
      </c>
      <c r="CD98" s="561">
        <f t="shared" ca="1" si="370"/>
        <v>0</v>
      </c>
      <c r="CE98" s="561">
        <f t="shared" ca="1" si="370"/>
        <v>0</v>
      </c>
      <c r="CF98" s="561">
        <f t="shared" ca="1" si="370"/>
        <v>0</v>
      </c>
      <c r="CG98" s="561">
        <f t="shared" ca="1" si="370"/>
        <v>0</v>
      </c>
      <c r="CH98" s="561">
        <f t="shared" ca="1" si="370"/>
        <v>0</v>
      </c>
      <c r="CI98" s="561">
        <f t="shared" ca="1" si="370"/>
        <v>0</v>
      </c>
      <c r="CJ98" s="561">
        <f t="shared" ca="1" si="370"/>
        <v>0</v>
      </c>
      <c r="CK98" s="561">
        <f t="shared" ca="1" si="370"/>
        <v>0</v>
      </c>
      <c r="CL98" s="561">
        <f t="shared" ca="1" si="370"/>
        <v>0</v>
      </c>
      <c r="CM98" s="561">
        <f t="shared" ca="1" si="371"/>
        <v>0</v>
      </c>
      <c r="CN98" s="561">
        <f t="shared" ca="1" si="371"/>
        <v>0</v>
      </c>
      <c r="CO98" s="561">
        <f t="shared" ca="1" si="371"/>
        <v>0</v>
      </c>
      <c r="CP98" s="561">
        <f t="shared" ca="1" si="371"/>
        <v>0</v>
      </c>
      <c r="CQ98" s="561">
        <f t="shared" ca="1" si="371"/>
        <v>0</v>
      </c>
      <c r="CR98" s="561">
        <f t="shared" ca="1" si="371"/>
        <v>0</v>
      </c>
      <c r="CS98" s="561">
        <f t="shared" ca="1" si="371"/>
        <v>0</v>
      </c>
      <c r="CT98" s="561">
        <f t="shared" ca="1" si="371"/>
        <v>0</v>
      </c>
      <c r="CU98" s="561">
        <f t="shared" ca="1" si="371"/>
        <v>0</v>
      </c>
      <c r="CV98" s="561">
        <f t="shared" ca="1" si="371"/>
        <v>0</v>
      </c>
      <c r="CW98" s="561">
        <f t="shared" ca="1" si="371"/>
        <v>0</v>
      </c>
      <c r="CX98" s="561">
        <f t="shared" ca="1" si="371"/>
        <v>0</v>
      </c>
      <c r="CY98" s="561">
        <f t="shared" ca="1" si="371"/>
        <v>0</v>
      </c>
      <c r="CZ98" s="561">
        <f t="shared" ca="1" si="371"/>
        <v>0</v>
      </c>
      <c r="DA98" s="561">
        <f t="shared" ca="1" si="371"/>
        <v>0</v>
      </c>
      <c r="DB98" s="561">
        <f t="shared" ca="1" si="371"/>
        <v>0</v>
      </c>
      <c r="DC98" s="561">
        <f t="shared" ca="1" si="371"/>
        <v>0</v>
      </c>
      <c r="DD98" s="561">
        <f t="shared" ca="1" si="371"/>
        <v>0</v>
      </c>
      <c r="DE98" s="561">
        <f t="shared" ca="1" si="371"/>
        <v>0</v>
      </c>
      <c r="DF98" s="561">
        <f t="shared" ca="1" si="371"/>
        <v>0</v>
      </c>
      <c r="DG98" s="561">
        <f t="shared" ca="1" si="371"/>
        <v>0</v>
      </c>
      <c r="DH98" s="561">
        <f t="shared" ca="1" si="371"/>
        <v>0</v>
      </c>
      <c r="DI98" s="561">
        <f t="shared" ca="1" si="371"/>
        <v>0</v>
      </c>
      <c r="DJ98" s="561">
        <f t="shared" ca="1" si="371"/>
        <v>0</v>
      </c>
      <c r="DK98" s="561">
        <f t="shared" ca="1" si="371"/>
        <v>0</v>
      </c>
      <c r="DL98" s="561">
        <f t="shared" ca="1" si="371"/>
        <v>0</v>
      </c>
      <c r="DM98" s="561">
        <f t="shared" ca="1" si="371"/>
        <v>0</v>
      </c>
      <c r="DN98" s="561">
        <f t="shared" ca="1" si="371"/>
        <v>0</v>
      </c>
      <c r="DO98" s="561">
        <f t="shared" ca="1" si="371"/>
        <v>0</v>
      </c>
      <c r="DP98" s="561">
        <f t="shared" ca="1" si="371"/>
        <v>0</v>
      </c>
    </row>
    <row r="99" spans="1:120" outlineLevel="1">
      <c r="A99" s="89">
        <v>1110052010</v>
      </c>
      <c r="B99" s="90" t="s">
        <v>2454</v>
      </c>
      <c r="C99" s="1476" t="s">
        <v>64</v>
      </c>
      <c r="D99" s="1481"/>
      <c r="E99" s="1482">
        <v>45013</v>
      </c>
      <c r="F99" s="420"/>
      <c r="G99" s="1256"/>
      <c r="H99" s="421"/>
      <c r="I99" s="422"/>
      <c r="J99" s="1425">
        <v>1</v>
      </c>
      <c r="K99" s="1426">
        <v>1</v>
      </c>
      <c r="L99" s="1043"/>
      <c r="M99" s="1594">
        <f t="shared" ref="M99" si="380">+L99*J99</f>
        <v>0</v>
      </c>
      <c r="N99" s="504">
        <f ca="1">IF(OR(E99="",E99&gt;TODAY()),0,IF(ISERROR(VLOOKUP($E99,'TRM BanRep'!$A:$G,7,0)),0,VLOOKUP($E99,'TRM BanRep'!$A:$G,7,0)))</f>
        <v>4686.83</v>
      </c>
      <c r="O99" s="424">
        <f t="shared" ref="O99" ca="1" si="381">+L99*J99*N99</f>
        <v>0</v>
      </c>
      <c r="P99" s="425">
        <v>-979180.93</v>
      </c>
      <c r="Q99" s="1340">
        <f t="shared" ref="Q99" si="382">+P99*K99</f>
        <v>-979180.93</v>
      </c>
      <c r="R99" s="426">
        <v>4848.78</v>
      </c>
      <c r="S99" s="426">
        <f ca="1">IF(OR(E99="",E99&gt;TODAY()),0,IF(ISERROR(VLOOKUP($E99,'TRM BanRep'!$A:$G,7,0)),0,VLOOKUP($E99,'TRM BanRep'!$A:$G,7,0)))</f>
        <v>4686.83</v>
      </c>
      <c r="T99" s="427">
        <f t="shared" ref="T99" ca="1" si="383">+P99*K99*S99</f>
        <v>-4589254558.1519003</v>
      </c>
      <c r="U99" s="418">
        <f t="shared" ref="U99" si="384">+L99+P99+F99</f>
        <v>-979180.93</v>
      </c>
      <c r="V99" s="517">
        <f t="shared" ref="V99" ca="1" si="385">+P99*J99*R99+L99*J99*N99+F99*J99*H99</f>
        <v>-4747832909.7653999</v>
      </c>
      <c r="W99" s="428">
        <f t="shared" ref="W99" ca="1" si="386">IF((-P99*J99*R99)-(-P99*K99*S99)&gt;0,(-P99*J99*R99)-(-P99*K99*S99),0)</f>
        <v>158578351.61349964</v>
      </c>
      <c r="X99" s="429">
        <f t="shared" ref="X99" ca="1" si="387">IF((-P99*J99*R99)-(-P99*K99*S99)&lt;0,(-P99*J99*R99)-(-P99*K99*S99),0)</f>
        <v>0</v>
      </c>
      <c r="Y99" s="92"/>
      <c r="Z99" s="1055"/>
      <c r="AA99" s="85">
        <f t="shared" ca="1" si="370"/>
        <v>0</v>
      </c>
      <c r="AB99" s="508">
        <f t="shared" ca="1" si="370"/>
        <v>0</v>
      </c>
      <c r="AC99" s="508">
        <f t="shared" ca="1" si="370"/>
        <v>0</v>
      </c>
      <c r="AD99" s="508">
        <f t="shared" ca="1" si="370"/>
        <v>0</v>
      </c>
      <c r="AE99" s="508">
        <f t="shared" ca="1" si="370"/>
        <v>0</v>
      </c>
      <c r="AF99" s="561">
        <f t="shared" ca="1" si="370"/>
        <v>0</v>
      </c>
      <c r="AG99" s="561">
        <f t="shared" ca="1" si="370"/>
        <v>0</v>
      </c>
      <c r="AH99" s="561">
        <f t="shared" ca="1" si="370"/>
        <v>0</v>
      </c>
      <c r="AI99" s="561">
        <f t="shared" ca="1" si="370"/>
        <v>0</v>
      </c>
      <c r="AJ99" s="561">
        <f t="shared" ca="1" si="370"/>
        <v>0</v>
      </c>
      <c r="AK99" s="561">
        <f t="shared" ca="1" si="370"/>
        <v>0</v>
      </c>
      <c r="AL99" s="1542">
        <f t="shared" ca="1" si="370"/>
        <v>0</v>
      </c>
      <c r="AM99" s="561">
        <f t="shared" ca="1" si="370"/>
        <v>0</v>
      </c>
      <c r="AN99" s="561">
        <f t="shared" ca="1" si="370"/>
        <v>0</v>
      </c>
      <c r="AO99" s="561">
        <f t="shared" ca="1" si="370"/>
        <v>0</v>
      </c>
      <c r="AP99" s="561">
        <f t="shared" ca="1" si="370"/>
        <v>0</v>
      </c>
      <c r="AQ99" s="561">
        <f t="shared" ca="1" si="370"/>
        <v>0</v>
      </c>
      <c r="AR99" s="561">
        <f t="shared" ca="1" si="370"/>
        <v>0</v>
      </c>
      <c r="AS99" s="561">
        <f t="shared" ca="1" si="370"/>
        <v>-979180.93</v>
      </c>
      <c r="AT99" s="561">
        <f t="shared" ca="1" si="370"/>
        <v>0</v>
      </c>
      <c r="AU99" s="561">
        <f t="shared" ca="1" si="370"/>
        <v>0</v>
      </c>
      <c r="AV99" s="561">
        <f t="shared" ca="1" si="370"/>
        <v>0</v>
      </c>
      <c r="AW99" s="561">
        <f t="shared" ca="1" si="370"/>
        <v>0</v>
      </c>
      <c r="AX99" s="561">
        <f t="shared" ca="1" si="370"/>
        <v>0</v>
      </c>
      <c r="AY99" s="561">
        <f t="shared" ca="1" si="370"/>
        <v>0</v>
      </c>
      <c r="AZ99" s="561">
        <f t="shared" ca="1" si="370"/>
        <v>0</v>
      </c>
      <c r="BA99" s="561">
        <f t="shared" ca="1" si="370"/>
        <v>0</v>
      </c>
      <c r="BB99" s="561">
        <f t="shared" ca="1" si="370"/>
        <v>0</v>
      </c>
      <c r="BC99" s="561">
        <f t="shared" ca="1" si="370"/>
        <v>0</v>
      </c>
      <c r="BD99" s="561">
        <f t="shared" ca="1" si="370"/>
        <v>0</v>
      </c>
      <c r="BE99" s="561">
        <f t="shared" ca="1" si="370"/>
        <v>0</v>
      </c>
      <c r="BF99" s="561">
        <f t="shared" ca="1" si="370"/>
        <v>0</v>
      </c>
      <c r="BG99" s="561">
        <f t="shared" ca="1" si="370"/>
        <v>0</v>
      </c>
      <c r="BH99" s="561">
        <f t="shared" ca="1" si="370"/>
        <v>0</v>
      </c>
      <c r="BI99" s="561">
        <f t="shared" ca="1" si="370"/>
        <v>0</v>
      </c>
      <c r="BJ99" s="561">
        <f t="shared" ca="1" si="370"/>
        <v>0</v>
      </c>
      <c r="BK99" s="561">
        <f t="shared" ca="1" si="370"/>
        <v>0</v>
      </c>
      <c r="BL99" s="561">
        <f t="shared" ca="1" si="370"/>
        <v>0</v>
      </c>
      <c r="BM99" s="561">
        <f t="shared" ca="1" si="370"/>
        <v>0</v>
      </c>
      <c r="BN99" s="561">
        <f t="shared" ca="1" si="370"/>
        <v>0</v>
      </c>
      <c r="BO99" s="561">
        <f t="shared" ca="1" si="370"/>
        <v>0</v>
      </c>
      <c r="BP99" s="561">
        <f t="shared" ca="1" si="370"/>
        <v>0</v>
      </c>
      <c r="BQ99" s="561">
        <f t="shared" ca="1" si="370"/>
        <v>0</v>
      </c>
      <c r="BR99" s="561">
        <f t="shared" ca="1" si="370"/>
        <v>0</v>
      </c>
      <c r="BS99" s="561">
        <f t="shared" ca="1" si="370"/>
        <v>0</v>
      </c>
      <c r="BT99" s="561">
        <f t="shared" ca="1" si="370"/>
        <v>0</v>
      </c>
      <c r="BU99" s="561">
        <f t="shared" ca="1" si="370"/>
        <v>0</v>
      </c>
      <c r="BV99" s="561">
        <f t="shared" ca="1" si="370"/>
        <v>0</v>
      </c>
      <c r="BW99" s="561">
        <f t="shared" ca="1" si="370"/>
        <v>0</v>
      </c>
      <c r="BX99" s="561">
        <f t="shared" ca="1" si="370"/>
        <v>0</v>
      </c>
      <c r="BY99" s="561">
        <f t="shared" ca="1" si="370"/>
        <v>0</v>
      </c>
      <c r="BZ99" s="561">
        <f t="shared" ca="1" si="370"/>
        <v>0</v>
      </c>
      <c r="CA99" s="561">
        <f t="shared" ca="1" si="370"/>
        <v>0</v>
      </c>
      <c r="CB99" s="561">
        <f t="shared" ca="1" si="370"/>
        <v>0</v>
      </c>
      <c r="CC99" s="561">
        <f t="shared" ca="1" si="370"/>
        <v>0</v>
      </c>
      <c r="CD99" s="561">
        <f t="shared" ca="1" si="370"/>
        <v>0</v>
      </c>
      <c r="CE99" s="561">
        <f t="shared" ca="1" si="370"/>
        <v>0</v>
      </c>
      <c r="CF99" s="561">
        <f t="shared" ca="1" si="370"/>
        <v>0</v>
      </c>
      <c r="CG99" s="561">
        <f t="shared" ca="1" si="370"/>
        <v>0</v>
      </c>
      <c r="CH99" s="561">
        <f t="shared" ca="1" si="370"/>
        <v>0</v>
      </c>
      <c r="CI99" s="561">
        <f t="shared" ca="1" si="370"/>
        <v>0</v>
      </c>
      <c r="CJ99" s="561">
        <f t="shared" ca="1" si="370"/>
        <v>0</v>
      </c>
      <c r="CK99" s="561">
        <f t="shared" ca="1" si="370"/>
        <v>0</v>
      </c>
      <c r="CL99" s="561">
        <f t="shared" ref="CL99" ca="1" si="388">IF($L99="",IF(OR($P99="",$R99=""),0,IF($R99=CL$6,$Q99,0)),IF($E99=CL$5,$M99,))</f>
        <v>0</v>
      </c>
      <c r="CM99" s="561">
        <f t="shared" ca="1" si="371"/>
        <v>0</v>
      </c>
      <c r="CN99" s="561">
        <f t="shared" ca="1" si="371"/>
        <v>0</v>
      </c>
      <c r="CO99" s="561">
        <f t="shared" ca="1" si="371"/>
        <v>0</v>
      </c>
      <c r="CP99" s="561">
        <f t="shared" ca="1" si="371"/>
        <v>0</v>
      </c>
      <c r="CQ99" s="561">
        <f t="shared" ca="1" si="371"/>
        <v>0</v>
      </c>
      <c r="CR99" s="561">
        <f t="shared" ca="1" si="371"/>
        <v>0</v>
      </c>
      <c r="CS99" s="561">
        <f t="shared" ca="1" si="371"/>
        <v>0</v>
      </c>
      <c r="CT99" s="561">
        <f t="shared" ca="1" si="371"/>
        <v>0</v>
      </c>
      <c r="CU99" s="561">
        <f t="shared" ca="1" si="371"/>
        <v>0</v>
      </c>
      <c r="CV99" s="561">
        <f t="shared" ca="1" si="371"/>
        <v>0</v>
      </c>
      <c r="CW99" s="561">
        <f t="shared" ca="1" si="371"/>
        <v>0</v>
      </c>
      <c r="CX99" s="561">
        <f t="shared" ca="1" si="371"/>
        <v>0</v>
      </c>
      <c r="CY99" s="561">
        <f t="shared" ca="1" si="371"/>
        <v>0</v>
      </c>
      <c r="CZ99" s="561">
        <f t="shared" ca="1" si="371"/>
        <v>0</v>
      </c>
      <c r="DA99" s="561">
        <f t="shared" ca="1" si="371"/>
        <v>0</v>
      </c>
      <c r="DB99" s="561">
        <f t="shared" ca="1" si="371"/>
        <v>0</v>
      </c>
      <c r="DC99" s="561">
        <f t="shared" ca="1" si="371"/>
        <v>0</v>
      </c>
      <c r="DD99" s="561">
        <f t="shared" ca="1" si="371"/>
        <v>0</v>
      </c>
      <c r="DE99" s="561">
        <f t="shared" ca="1" si="371"/>
        <v>0</v>
      </c>
      <c r="DF99" s="561">
        <f t="shared" ca="1" si="371"/>
        <v>0</v>
      </c>
      <c r="DG99" s="561">
        <f t="shared" ca="1" si="371"/>
        <v>0</v>
      </c>
      <c r="DH99" s="561">
        <f t="shared" ca="1" si="371"/>
        <v>0</v>
      </c>
      <c r="DI99" s="561">
        <f t="shared" ca="1" si="371"/>
        <v>0</v>
      </c>
      <c r="DJ99" s="561">
        <f t="shared" ca="1" si="371"/>
        <v>0</v>
      </c>
      <c r="DK99" s="561">
        <f t="shared" ca="1" si="371"/>
        <v>0</v>
      </c>
      <c r="DL99" s="561">
        <f t="shared" ca="1" si="371"/>
        <v>0</v>
      </c>
      <c r="DM99" s="561">
        <f t="shared" ca="1" si="371"/>
        <v>0</v>
      </c>
      <c r="DN99" s="561">
        <f t="shared" ca="1" si="371"/>
        <v>0</v>
      </c>
      <c r="DO99" s="561">
        <f t="shared" ca="1" si="371"/>
        <v>0</v>
      </c>
      <c r="DP99" s="561">
        <f t="shared" ca="1" si="371"/>
        <v>0</v>
      </c>
    </row>
    <row r="100" spans="1:120" outlineLevel="1">
      <c r="A100" s="89">
        <v>1110052010</v>
      </c>
      <c r="B100" s="90" t="s">
        <v>2461</v>
      </c>
      <c r="C100" s="1476" t="s">
        <v>64</v>
      </c>
      <c r="D100" s="1481"/>
      <c r="E100" s="1482">
        <v>45014</v>
      </c>
      <c r="F100" s="420"/>
      <c r="G100" s="1256"/>
      <c r="H100" s="421"/>
      <c r="I100" s="422"/>
      <c r="J100" s="1425">
        <v>1</v>
      </c>
      <c r="K100" s="1426">
        <v>1</v>
      </c>
      <c r="L100" s="1043">
        <v>5850643</v>
      </c>
      <c r="M100" s="1594">
        <f t="shared" si="354"/>
        <v>5850643</v>
      </c>
      <c r="N100" s="504">
        <f ca="1">IF(OR(E100="",E100&gt;TODAY()),0,IF(ISERROR(VLOOKUP($E100,'TRM BanRep'!$A:$G,7,0)),0,VLOOKUP($E100,'TRM BanRep'!$A:$G,7,0)))</f>
        <v>4658.79</v>
      </c>
      <c r="O100" s="424">
        <f t="shared" ca="1" si="355"/>
        <v>27256917101.970001</v>
      </c>
      <c r="P100" s="425"/>
      <c r="Q100" s="1340">
        <f t="shared" si="356"/>
        <v>0</v>
      </c>
      <c r="R100" s="426"/>
      <c r="S100" s="426">
        <f ca="1">IF(OR(E100="",E100&gt;TODAY()),0,IF(ISERROR(VLOOKUP($E100,'TRM BanRep'!$A:$G,7,0)),0,VLOOKUP($E100,'TRM BanRep'!$A:$G,7,0)))</f>
        <v>4658.79</v>
      </c>
      <c r="T100" s="427">
        <f t="shared" ca="1" si="357"/>
        <v>0</v>
      </c>
      <c r="U100" s="418">
        <f t="shared" si="358"/>
        <v>5850643</v>
      </c>
      <c r="V100" s="517">
        <f t="shared" ca="1" si="359"/>
        <v>27256917101.970001</v>
      </c>
      <c r="W100" s="428">
        <f t="shared" ca="1" si="360"/>
        <v>0</v>
      </c>
      <c r="X100" s="429">
        <f t="shared" ca="1" si="361"/>
        <v>0</v>
      </c>
      <c r="Y100" s="92"/>
      <c r="Z100" s="1055"/>
      <c r="AA100" s="85">
        <f t="shared" si="265"/>
        <v>0</v>
      </c>
      <c r="AB100" s="508">
        <f t="shared" si="265"/>
        <v>0</v>
      </c>
      <c r="AC100" s="508">
        <f t="shared" si="265"/>
        <v>0</v>
      </c>
      <c r="AD100" s="508">
        <f t="shared" si="265"/>
        <v>0</v>
      </c>
      <c r="AE100" s="508">
        <f t="shared" si="265"/>
        <v>0</v>
      </c>
      <c r="AF100" s="561">
        <f t="shared" si="265"/>
        <v>0</v>
      </c>
      <c r="AG100" s="561">
        <f t="shared" si="265"/>
        <v>0</v>
      </c>
      <c r="AH100" s="561">
        <f t="shared" si="265"/>
        <v>0</v>
      </c>
      <c r="AI100" s="561">
        <f t="shared" si="265"/>
        <v>0</v>
      </c>
      <c r="AJ100" s="561">
        <f t="shared" si="265"/>
        <v>0</v>
      </c>
      <c r="AK100" s="561">
        <f t="shared" si="265"/>
        <v>0</v>
      </c>
      <c r="AL100" s="1542">
        <f t="shared" si="265"/>
        <v>0</v>
      </c>
      <c r="AM100" s="561">
        <f t="shared" si="265"/>
        <v>0</v>
      </c>
      <c r="AN100" s="561">
        <f t="shared" si="265"/>
        <v>0</v>
      </c>
      <c r="AO100" s="561">
        <f t="shared" si="265"/>
        <v>0</v>
      </c>
      <c r="AP100" s="561">
        <f t="shared" si="265"/>
        <v>0</v>
      </c>
      <c r="AQ100" s="561">
        <f t="shared" si="266"/>
        <v>0</v>
      </c>
      <c r="AR100" s="561">
        <f t="shared" si="266"/>
        <v>0</v>
      </c>
      <c r="AS100" s="561">
        <f t="shared" si="266"/>
        <v>0</v>
      </c>
      <c r="AT100" s="561">
        <f t="shared" si="266"/>
        <v>0</v>
      </c>
      <c r="AU100" s="561">
        <f t="shared" si="266"/>
        <v>0</v>
      </c>
      <c r="AV100" s="561">
        <f t="shared" si="266"/>
        <v>0</v>
      </c>
      <c r="AW100" s="561">
        <f t="shared" si="266"/>
        <v>5850643</v>
      </c>
      <c r="AX100" s="561">
        <f t="shared" si="266"/>
        <v>0</v>
      </c>
      <c r="AY100" s="561">
        <f t="shared" si="266"/>
        <v>0</v>
      </c>
      <c r="AZ100" s="561">
        <f t="shared" si="266"/>
        <v>0</v>
      </c>
      <c r="BA100" s="561">
        <f t="shared" si="266"/>
        <v>0</v>
      </c>
      <c r="BB100" s="561">
        <f t="shared" si="266"/>
        <v>0</v>
      </c>
      <c r="BC100" s="561">
        <f t="shared" si="266"/>
        <v>0</v>
      </c>
      <c r="BD100" s="561">
        <f t="shared" si="266"/>
        <v>0</v>
      </c>
      <c r="BE100" s="561">
        <f t="shared" si="266"/>
        <v>0</v>
      </c>
      <c r="BF100" s="561">
        <f t="shared" si="266"/>
        <v>0</v>
      </c>
      <c r="BG100" s="561">
        <f t="shared" si="267"/>
        <v>0</v>
      </c>
      <c r="BH100" s="561">
        <f t="shared" si="267"/>
        <v>0</v>
      </c>
      <c r="BI100" s="561">
        <f t="shared" si="267"/>
        <v>0</v>
      </c>
      <c r="BJ100" s="561">
        <f t="shared" si="267"/>
        <v>0</v>
      </c>
      <c r="BK100" s="561">
        <f t="shared" si="267"/>
        <v>0</v>
      </c>
      <c r="BL100" s="561">
        <f t="shared" si="267"/>
        <v>0</v>
      </c>
      <c r="BM100" s="561">
        <f t="shared" si="267"/>
        <v>0</v>
      </c>
      <c r="BN100" s="561">
        <f t="shared" si="267"/>
        <v>0</v>
      </c>
      <c r="BO100" s="561">
        <f t="shared" si="267"/>
        <v>0</v>
      </c>
      <c r="BP100" s="561">
        <f t="shared" si="267"/>
        <v>0</v>
      </c>
      <c r="BQ100" s="561">
        <f t="shared" si="267"/>
        <v>0</v>
      </c>
      <c r="BR100" s="561">
        <f t="shared" si="267"/>
        <v>0</v>
      </c>
      <c r="BS100" s="561">
        <f t="shared" si="267"/>
        <v>0</v>
      </c>
      <c r="BT100" s="561">
        <f t="shared" si="267"/>
        <v>0</v>
      </c>
      <c r="BU100" s="561">
        <f t="shared" si="267"/>
        <v>0</v>
      </c>
      <c r="BV100" s="561">
        <f t="shared" si="267"/>
        <v>0</v>
      </c>
      <c r="BW100" s="561">
        <f t="shared" si="268"/>
        <v>0</v>
      </c>
      <c r="BX100" s="561">
        <f t="shared" si="268"/>
        <v>0</v>
      </c>
      <c r="BY100" s="561">
        <f t="shared" si="268"/>
        <v>0</v>
      </c>
      <c r="BZ100" s="561">
        <f t="shared" si="268"/>
        <v>0</v>
      </c>
      <c r="CA100" s="561">
        <f t="shared" si="268"/>
        <v>0</v>
      </c>
      <c r="CB100" s="561">
        <f t="shared" si="268"/>
        <v>0</v>
      </c>
      <c r="CC100" s="561">
        <f t="shared" si="268"/>
        <v>0</v>
      </c>
      <c r="CD100" s="561">
        <f t="shared" si="268"/>
        <v>0</v>
      </c>
      <c r="CE100" s="561">
        <f t="shared" si="268"/>
        <v>0</v>
      </c>
      <c r="CF100" s="561">
        <f t="shared" si="268"/>
        <v>0</v>
      </c>
      <c r="CG100" s="561">
        <f t="shared" si="268"/>
        <v>0</v>
      </c>
      <c r="CH100" s="561">
        <f t="shared" si="268"/>
        <v>0</v>
      </c>
      <c r="CI100" s="561">
        <f t="shared" si="268"/>
        <v>0</v>
      </c>
      <c r="CJ100" s="561">
        <f t="shared" si="268"/>
        <v>0</v>
      </c>
      <c r="CK100" s="561">
        <f t="shared" si="268"/>
        <v>0</v>
      </c>
      <c r="CL100" s="561">
        <f t="shared" si="268"/>
        <v>0</v>
      </c>
      <c r="CM100" s="561">
        <f t="shared" si="270"/>
        <v>0</v>
      </c>
      <c r="CN100" s="561">
        <f t="shared" si="270"/>
        <v>0</v>
      </c>
      <c r="CO100" s="561">
        <f t="shared" si="270"/>
        <v>0</v>
      </c>
      <c r="CP100" s="561">
        <f t="shared" si="270"/>
        <v>0</v>
      </c>
      <c r="CQ100" s="561">
        <f t="shared" si="270"/>
        <v>0</v>
      </c>
      <c r="CR100" s="561">
        <f t="shared" si="270"/>
        <v>0</v>
      </c>
      <c r="CS100" s="561">
        <f t="shared" si="270"/>
        <v>0</v>
      </c>
      <c r="CT100" s="561">
        <f t="shared" si="270"/>
        <v>0</v>
      </c>
      <c r="CU100" s="561">
        <f t="shared" si="270"/>
        <v>0</v>
      </c>
      <c r="CV100" s="561">
        <f t="shared" si="270"/>
        <v>0</v>
      </c>
      <c r="CW100" s="561">
        <f t="shared" si="270"/>
        <v>0</v>
      </c>
      <c r="CX100" s="561">
        <f t="shared" si="270"/>
        <v>0</v>
      </c>
      <c r="CY100" s="561">
        <f t="shared" si="270"/>
        <v>0</v>
      </c>
      <c r="CZ100" s="561">
        <f t="shared" si="270"/>
        <v>0</v>
      </c>
      <c r="DA100" s="561">
        <f t="shared" si="270"/>
        <v>0</v>
      </c>
      <c r="DB100" s="561">
        <f t="shared" si="270"/>
        <v>0</v>
      </c>
      <c r="DC100" s="561">
        <f t="shared" si="269"/>
        <v>0</v>
      </c>
      <c r="DD100" s="561">
        <f t="shared" si="269"/>
        <v>0</v>
      </c>
      <c r="DE100" s="561">
        <f t="shared" si="269"/>
        <v>0</v>
      </c>
      <c r="DF100" s="561">
        <f t="shared" si="269"/>
        <v>0</v>
      </c>
      <c r="DG100" s="561">
        <f t="shared" si="269"/>
        <v>0</v>
      </c>
      <c r="DH100" s="561">
        <f t="shared" si="269"/>
        <v>0</v>
      </c>
      <c r="DI100" s="561">
        <f t="shared" si="269"/>
        <v>0</v>
      </c>
      <c r="DJ100" s="561">
        <f t="shared" si="269"/>
        <v>0</v>
      </c>
      <c r="DK100" s="561">
        <f t="shared" si="269"/>
        <v>0</v>
      </c>
      <c r="DL100" s="561">
        <f t="shared" si="269"/>
        <v>0</v>
      </c>
      <c r="DM100" s="561">
        <f t="shared" si="269"/>
        <v>0</v>
      </c>
      <c r="DN100" s="561">
        <f t="shared" si="269"/>
        <v>0</v>
      </c>
      <c r="DO100" s="561">
        <f t="shared" si="269"/>
        <v>0</v>
      </c>
      <c r="DP100" s="561">
        <f t="shared" si="269"/>
        <v>0</v>
      </c>
    </row>
    <row r="101" spans="1:120" outlineLevel="1">
      <c r="A101" s="89">
        <v>1110052010</v>
      </c>
      <c r="B101" s="90" t="s">
        <v>2462</v>
      </c>
      <c r="C101" s="1476" t="s">
        <v>64</v>
      </c>
      <c r="D101" s="1481"/>
      <c r="E101" s="1482">
        <v>45015</v>
      </c>
      <c r="F101" s="420"/>
      <c r="G101" s="1256"/>
      <c r="H101" s="421"/>
      <c r="I101" s="422"/>
      <c r="J101" s="1425">
        <v>1</v>
      </c>
      <c r="K101" s="1426">
        <v>1</v>
      </c>
      <c r="L101" s="1043"/>
      <c r="M101" s="1594">
        <f t="shared" si="354"/>
        <v>0</v>
      </c>
      <c r="N101" s="504">
        <f ca="1">IF(OR(E101="",E101&gt;TODAY()),0,IF(ISERROR(VLOOKUP($E101,'TRM BanRep'!$A:$G,7,0)),0,VLOOKUP($E101,'TRM BanRep'!$A:$G,7,0)))</f>
        <v>4627.63</v>
      </c>
      <c r="O101" s="424">
        <f t="shared" ca="1" si="355"/>
        <v>0</v>
      </c>
      <c r="P101" s="425">
        <v>-2373.34</v>
      </c>
      <c r="Q101" s="1340">
        <f t="shared" si="356"/>
        <v>-2373.34</v>
      </c>
      <c r="R101" s="426">
        <v>4848.78</v>
      </c>
      <c r="S101" s="426">
        <f ca="1">IF(OR(E101="",E101&gt;TODAY()),0,IF(ISERROR(VLOOKUP($E101,'TRM BanRep'!$A:$G,7,0)),0,VLOOKUP($E101,'TRM BanRep'!$A:$G,7,0)))</f>
        <v>4627.63</v>
      </c>
      <c r="T101" s="427">
        <f t="shared" ca="1" si="357"/>
        <v>-10982939.384200001</v>
      </c>
      <c r="U101" s="418">
        <f t="shared" si="358"/>
        <v>-2373.34</v>
      </c>
      <c r="V101" s="517">
        <f t="shared" ca="1" si="359"/>
        <v>-11507803.5252</v>
      </c>
      <c r="W101" s="428">
        <f t="shared" ca="1" si="360"/>
        <v>524864.1409999989</v>
      </c>
      <c r="X101" s="429">
        <f t="shared" ca="1" si="361"/>
        <v>0</v>
      </c>
      <c r="Y101" s="92"/>
      <c r="Z101" s="1055"/>
      <c r="AA101" s="85">
        <f t="shared" ca="1" si="265"/>
        <v>0</v>
      </c>
      <c r="AB101" s="508">
        <f t="shared" ca="1" si="265"/>
        <v>0</v>
      </c>
      <c r="AC101" s="508">
        <f t="shared" ca="1" si="265"/>
        <v>0</v>
      </c>
      <c r="AD101" s="508">
        <f t="shared" ca="1" si="265"/>
        <v>0</v>
      </c>
      <c r="AE101" s="508">
        <f t="shared" ca="1" si="265"/>
        <v>0</v>
      </c>
      <c r="AF101" s="561">
        <f t="shared" ca="1" si="265"/>
        <v>0</v>
      </c>
      <c r="AG101" s="561">
        <f t="shared" ca="1" si="265"/>
        <v>0</v>
      </c>
      <c r="AH101" s="561">
        <f t="shared" ca="1" si="265"/>
        <v>0</v>
      </c>
      <c r="AI101" s="561">
        <f t="shared" ca="1" si="265"/>
        <v>0</v>
      </c>
      <c r="AJ101" s="561">
        <f t="shared" ca="1" si="265"/>
        <v>0</v>
      </c>
      <c r="AK101" s="561">
        <f t="shared" ca="1" si="265"/>
        <v>0</v>
      </c>
      <c r="AL101" s="1542">
        <f t="shared" ca="1" si="265"/>
        <v>0</v>
      </c>
      <c r="AM101" s="561">
        <f t="shared" ca="1" si="265"/>
        <v>0</v>
      </c>
      <c r="AN101" s="561">
        <f t="shared" ca="1" si="265"/>
        <v>0</v>
      </c>
      <c r="AO101" s="561">
        <f t="shared" ca="1" si="265"/>
        <v>0</v>
      </c>
      <c r="AP101" s="561">
        <f t="shared" ca="1" si="265"/>
        <v>0</v>
      </c>
      <c r="AQ101" s="561">
        <f t="shared" ca="1" si="266"/>
        <v>0</v>
      </c>
      <c r="AR101" s="561">
        <f t="shared" ca="1" si="266"/>
        <v>0</v>
      </c>
      <c r="AS101" s="561">
        <f t="shared" ca="1" si="266"/>
        <v>-2373.34</v>
      </c>
      <c r="AT101" s="561">
        <f t="shared" ca="1" si="266"/>
        <v>0</v>
      </c>
      <c r="AU101" s="561">
        <f t="shared" ca="1" si="266"/>
        <v>0</v>
      </c>
      <c r="AV101" s="561">
        <f t="shared" ca="1" si="266"/>
        <v>0</v>
      </c>
      <c r="AW101" s="561">
        <f t="shared" ca="1" si="266"/>
        <v>0</v>
      </c>
      <c r="AX101" s="561">
        <f t="shared" ca="1" si="266"/>
        <v>0</v>
      </c>
      <c r="AY101" s="561">
        <f t="shared" ca="1" si="266"/>
        <v>0</v>
      </c>
      <c r="AZ101" s="561">
        <f t="shared" ca="1" si="266"/>
        <v>0</v>
      </c>
      <c r="BA101" s="561">
        <f t="shared" ca="1" si="266"/>
        <v>0</v>
      </c>
      <c r="BB101" s="561">
        <f t="shared" ca="1" si="266"/>
        <v>0</v>
      </c>
      <c r="BC101" s="561">
        <f t="shared" ca="1" si="266"/>
        <v>0</v>
      </c>
      <c r="BD101" s="561">
        <f t="shared" ca="1" si="266"/>
        <v>0</v>
      </c>
      <c r="BE101" s="561">
        <f t="shared" ca="1" si="266"/>
        <v>0</v>
      </c>
      <c r="BF101" s="561">
        <f t="shared" ca="1" si="266"/>
        <v>0</v>
      </c>
      <c r="BG101" s="561">
        <f t="shared" ca="1" si="267"/>
        <v>0</v>
      </c>
      <c r="BH101" s="561">
        <f t="shared" ca="1" si="267"/>
        <v>0</v>
      </c>
      <c r="BI101" s="561">
        <f t="shared" ca="1" si="267"/>
        <v>0</v>
      </c>
      <c r="BJ101" s="561">
        <f t="shared" ca="1" si="267"/>
        <v>0</v>
      </c>
      <c r="BK101" s="561">
        <f t="shared" ca="1" si="267"/>
        <v>0</v>
      </c>
      <c r="BL101" s="561">
        <f t="shared" ca="1" si="267"/>
        <v>0</v>
      </c>
      <c r="BM101" s="561">
        <f t="shared" ca="1" si="267"/>
        <v>0</v>
      </c>
      <c r="BN101" s="561">
        <f t="shared" ca="1" si="267"/>
        <v>0</v>
      </c>
      <c r="BO101" s="561">
        <f t="shared" ca="1" si="267"/>
        <v>0</v>
      </c>
      <c r="BP101" s="561">
        <f t="shared" ca="1" si="267"/>
        <v>0</v>
      </c>
      <c r="BQ101" s="561">
        <f t="shared" ca="1" si="267"/>
        <v>0</v>
      </c>
      <c r="BR101" s="561">
        <f t="shared" ca="1" si="267"/>
        <v>0</v>
      </c>
      <c r="BS101" s="561">
        <f t="shared" ca="1" si="267"/>
        <v>0</v>
      </c>
      <c r="BT101" s="561">
        <f t="shared" ca="1" si="267"/>
        <v>0</v>
      </c>
      <c r="BU101" s="561">
        <f t="shared" ca="1" si="267"/>
        <v>0</v>
      </c>
      <c r="BV101" s="561">
        <f t="shared" ca="1" si="267"/>
        <v>0</v>
      </c>
      <c r="BW101" s="561">
        <f t="shared" ca="1" si="268"/>
        <v>0</v>
      </c>
      <c r="BX101" s="561">
        <f t="shared" ca="1" si="268"/>
        <v>0</v>
      </c>
      <c r="BY101" s="561">
        <f t="shared" ca="1" si="268"/>
        <v>0</v>
      </c>
      <c r="BZ101" s="561">
        <f t="shared" ca="1" si="268"/>
        <v>0</v>
      </c>
      <c r="CA101" s="561">
        <f t="shared" ca="1" si="268"/>
        <v>0</v>
      </c>
      <c r="CB101" s="561">
        <f t="shared" ca="1" si="268"/>
        <v>0</v>
      </c>
      <c r="CC101" s="561">
        <f t="shared" ca="1" si="268"/>
        <v>0</v>
      </c>
      <c r="CD101" s="561">
        <f t="shared" ca="1" si="268"/>
        <v>0</v>
      </c>
      <c r="CE101" s="561">
        <f t="shared" ca="1" si="268"/>
        <v>0</v>
      </c>
      <c r="CF101" s="561">
        <f t="shared" ca="1" si="268"/>
        <v>0</v>
      </c>
      <c r="CG101" s="561">
        <f t="shared" ca="1" si="268"/>
        <v>0</v>
      </c>
      <c r="CH101" s="561">
        <f t="shared" ca="1" si="268"/>
        <v>0</v>
      </c>
      <c r="CI101" s="561">
        <f t="shared" ca="1" si="268"/>
        <v>0</v>
      </c>
      <c r="CJ101" s="561">
        <f t="shared" ca="1" si="268"/>
        <v>0</v>
      </c>
      <c r="CK101" s="561">
        <f t="shared" ca="1" si="268"/>
        <v>0</v>
      </c>
      <c r="CL101" s="561">
        <f t="shared" ca="1" si="268"/>
        <v>0</v>
      </c>
      <c r="CM101" s="561">
        <f t="shared" ca="1" si="270"/>
        <v>0</v>
      </c>
      <c r="CN101" s="561">
        <f t="shared" ca="1" si="270"/>
        <v>0</v>
      </c>
      <c r="CO101" s="561">
        <f t="shared" ca="1" si="270"/>
        <v>0</v>
      </c>
      <c r="CP101" s="561">
        <f t="shared" ca="1" si="270"/>
        <v>0</v>
      </c>
      <c r="CQ101" s="561">
        <f t="shared" ca="1" si="270"/>
        <v>0</v>
      </c>
      <c r="CR101" s="561">
        <f t="shared" ca="1" si="270"/>
        <v>0</v>
      </c>
      <c r="CS101" s="561">
        <f t="shared" ca="1" si="270"/>
        <v>0</v>
      </c>
      <c r="CT101" s="561">
        <f t="shared" ca="1" si="270"/>
        <v>0</v>
      </c>
      <c r="CU101" s="561">
        <f t="shared" ca="1" si="270"/>
        <v>0</v>
      </c>
      <c r="CV101" s="561">
        <f t="shared" ca="1" si="270"/>
        <v>0</v>
      </c>
      <c r="CW101" s="561">
        <f t="shared" ca="1" si="270"/>
        <v>0</v>
      </c>
      <c r="CX101" s="561">
        <f t="shared" ca="1" si="270"/>
        <v>0</v>
      </c>
      <c r="CY101" s="561">
        <f t="shared" ca="1" si="270"/>
        <v>0</v>
      </c>
      <c r="CZ101" s="561">
        <f t="shared" ca="1" si="270"/>
        <v>0</v>
      </c>
      <c r="DA101" s="561">
        <f t="shared" ca="1" si="270"/>
        <v>0</v>
      </c>
      <c r="DB101" s="561">
        <f t="shared" ca="1" si="270"/>
        <v>0</v>
      </c>
      <c r="DC101" s="561">
        <f t="shared" ca="1" si="269"/>
        <v>0</v>
      </c>
      <c r="DD101" s="561">
        <f t="shared" ca="1" si="269"/>
        <v>0</v>
      </c>
      <c r="DE101" s="561">
        <f t="shared" ca="1" si="269"/>
        <v>0</v>
      </c>
      <c r="DF101" s="561">
        <f t="shared" ca="1" si="269"/>
        <v>0</v>
      </c>
      <c r="DG101" s="561">
        <f t="shared" ca="1" si="269"/>
        <v>0</v>
      </c>
      <c r="DH101" s="561">
        <f t="shared" ca="1" si="269"/>
        <v>0</v>
      </c>
      <c r="DI101" s="561">
        <f t="shared" ca="1" si="269"/>
        <v>0</v>
      </c>
      <c r="DJ101" s="561">
        <f t="shared" ca="1" si="269"/>
        <v>0</v>
      </c>
      <c r="DK101" s="561">
        <f t="shared" ca="1" si="269"/>
        <v>0</v>
      </c>
      <c r="DL101" s="561">
        <f t="shared" ca="1" si="269"/>
        <v>0</v>
      </c>
      <c r="DM101" s="561">
        <f t="shared" ca="1" si="269"/>
        <v>0</v>
      </c>
      <c r="DN101" s="561">
        <f t="shared" ca="1" si="269"/>
        <v>0</v>
      </c>
      <c r="DO101" s="561">
        <f t="shared" ca="1" si="269"/>
        <v>0</v>
      </c>
      <c r="DP101" s="561">
        <f t="shared" ca="1" si="269"/>
        <v>0</v>
      </c>
    </row>
    <row r="102" spans="1:120" s="116" customFormat="1" outlineLevel="1">
      <c r="A102" s="100">
        <v>1110052010</v>
      </c>
      <c r="B102" s="1216" t="s">
        <v>2463</v>
      </c>
      <c r="C102" s="1695" t="s">
        <v>64</v>
      </c>
      <c r="D102" s="1629"/>
      <c r="E102" s="1630">
        <v>45009</v>
      </c>
      <c r="F102" s="102"/>
      <c r="G102" s="1258"/>
      <c r="H102" s="103"/>
      <c r="I102" s="104"/>
      <c r="J102" s="1604">
        <v>1</v>
      </c>
      <c r="K102" s="1605">
        <v>1</v>
      </c>
      <c r="L102" s="1696">
        <v>1937442.03</v>
      </c>
      <c r="M102" s="1697">
        <f t="shared" si="354"/>
        <v>1937442.03</v>
      </c>
      <c r="N102" s="1228">
        <v>4755.12</v>
      </c>
      <c r="O102" s="107">
        <f t="shared" si="355"/>
        <v>9212769345.6935997</v>
      </c>
      <c r="P102" s="108"/>
      <c r="Q102" s="1342">
        <f t="shared" si="356"/>
        <v>0</v>
      </c>
      <c r="R102" s="109"/>
      <c r="S102" s="109">
        <f ca="1">IF(OR(E102="",E102&gt;TODAY()),0,IF(ISERROR(VLOOKUP($E102,'TRM BanRep'!$A:$G,7,0)),0,VLOOKUP($E102,'TRM BanRep'!$A:$G,7,0)))</f>
        <v>4755.12</v>
      </c>
      <c r="T102" s="110">
        <f t="shared" ca="1" si="357"/>
        <v>0</v>
      </c>
      <c r="U102" s="111">
        <f t="shared" si="358"/>
        <v>1937442.03</v>
      </c>
      <c r="V102" s="566">
        <f t="shared" si="359"/>
        <v>9212769345.6935997</v>
      </c>
      <c r="W102" s="112">
        <f t="shared" ca="1" si="360"/>
        <v>0</v>
      </c>
      <c r="X102" s="113">
        <f t="shared" ca="1" si="361"/>
        <v>0</v>
      </c>
      <c r="Y102" s="114"/>
      <c r="Z102" s="115"/>
      <c r="AA102" s="85">
        <f t="shared" si="265"/>
        <v>0</v>
      </c>
      <c r="AB102" s="508">
        <f t="shared" si="265"/>
        <v>0</v>
      </c>
      <c r="AC102" s="508">
        <f t="shared" si="265"/>
        <v>0</v>
      </c>
      <c r="AD102" s="508">
        <f t="shared" si="265"/>
        <v>0</v>
      </c>
      <c r="AE102" s="508">
        <f t="shared" si="265"/>
        <v>0</v>
      </c>
      <c r="AF102" s="561">
        <f t="shared" si="265"/>
        <v>0</v>
      </c>
      <c r="AG102" s="561">
        <f t="shared" si="265"/>
        <v>0</v>
      </c>
      <c r="AH102" s="561">
        <f t="shared" si="265"/>
        <v>0</v>
      </c>
      <c r="AI102" s="561">
        <f t="shared" si="265"/>
        <v>0</v>
      </c>
      <c r="AJ102" s="561">
        <f t="shared" si="265"/>
        <v>0</v>
      </c>
      <c r="AK102" s="561">
        <f t="shared" si="265"/>
        <v>0</v>
      </c>
      <c r="AL102" s="1542">
        <f t="shared" si="265"/>
        <v>0</v>
      </c>
      <c r="AM102" s="561">
        <f t="shared" si="265"/>
        <v>0</v>
      </c>
      <c r="AN102" s="561">
        <f t="shared" si="265"/>
        <v>0</v>
      </c>
      <c r="AO102" s="561">
        <f t="shared" si="265"/>
        <v>0</v>
      </c>
      <c r="AP102" s="561">
        <f t="shared" si="265"/>
        <v>0</v>
      </c>
      <c r="AQ102" s="561">
        <f t="shared" si="266"/>
        <v>0</v>
      </c>
      <c r="AR102" s="561">
        <f t="shared" si="266"/>
        <v>0</v>
      </c>
      <c r="AS102" s="561">
        <f t="shared" si="266"/>
        <v>0</v>
      </c>
      <c r="AT102" s="561">
        <f t="shared" si="266"/>
        <v>0</v>
      </c>
      <c r="AU102" s="561">
        <f t="shared" si="266"/>
        <v>0</v>
      </c>
      <c r="AV102" s="561">
        <f t="shared" si="266"/>
        <v>1937442.03</v>
      </c>
      <c r="AW102" s="561">
        <f t="shared" si="266"/>
        <v>0</v>
      </c>
      <c r="AX102" s="561">
        <f t="shared" si="266"/>
        <v>0</v>
      </c>
      <c r="AY102" s="561">
        <f t="shared" si="266"/>
        <v>0</v>
      </c>
      <c r="AZ102" s="561">
        <f t="shared" si="266"/>
        <v>0</v>
      </c>
      <c r="BA102" s="561">
        <f t="shared" si="266"/>
        <v>0</v>
      </c>
      <c r="BB102" s="561">
        <f t="shared" si="266"/>
        <v>0</v>
      </c>
      <c r="BC102" s="561">
        <f t="shared" si="266"/>
        <v>0</v>
      </c>
      <c r="BD102" s="561">
        <f t="shared" si="266"/>
        <v>0</v>
      </c>
      <c r="BE102" s="561">
        <f t="shared" si="266"/>
        <v>0</v>
      </c>
      <c r="BF102" s="561">
        <f t="shared" si="266"/>
        <v>0</v>
      </c>
      <c r="BG102" s="561">
        <f t="shared" si="267"/>
        <v>0</v>
      </c>
      <c r="BH102" s="561">
        <f t="shared" si="267"/>
        <v>0</v>
      </c>
      <c r="BI102" s="561">
        <f t="shared" si="267"/>
        <v>0</v>
      </c>
      <c r="BJ102" s="561">
        <f t="shared" si="267"/>
        <v>0</v>
      </c>
      <c r="BK102" s="561">
        <f t="shared" si="267"/>
        <v>0</v>
      </c>
      <c r="BL102" s="561">
        <f t="shared" si="267"/>
        <v>0</v>
      </c>
      <c r="BM102" s="561">
        <f t="shared" si="267"/>
        <v>0</v>
      </c>
      <c r="BN102" s="561">
        <f t="shared" si="267"/>
        <v>0</v>
      </c>
      <c r="BO102" s="561">
        <f t="shared" si="267"/>
        <v>0</v>
      </c>
      <c r="BP102" s="561">
        <f t="shared" si="267"/>
        <v>0</v>
      </c>
      <c r="BQ102" s="561">
        <f t="shared" si="267"/>
        <v>0</v>
      </c>
      <c r="BR102" s="561">
        <f t="shared" si="267"/>
        <v>0</v>
      </c>
      <c r="BS102" s="561">
        <f t="shared" si="267"/>
        <v>0</v>
      </c>
      <c r="BT102" s="561">
        <f t="shared" si="267"/>
        <v>0</v>
      </c>
      <c r="BU102" s="561">
        <f t="shared" si="267"/>
        <v>0</v>
      </c>
      <c r="BV102" s="561">
        <f t="shared" si="267"/>
        <v>0</v>
      </c>
      <c r="BW102" s="561">
        <f t="shared" si="268"/>
        <v>0</v>
      </c>
      <c r="BX102" s="561">
        <f t="shared" si="268"/>
        <v>0</v>
      </c>
      <c r="BY102" s="561">
        <f t="shared" si="268"/>
        <v>0</v>
      </c>
      <c r="BZ102" s="561">
        <f t="shared" si="268"/>
        <v>0</v>
      </c>
      <c r="CA102" s="561">
        <f t="shared" si="268"/>
        <v>0</v>
      </c>
      <c r="CB102" s="561">
        <f t="shared" si="268"/>
        <v>0</v>
      </c>
      <c r="CC102" s="561">
        <f t="shared" si="268"/>
        <v>0</v>
      </c>
      <c r="CD102" s="561">
        <f t="shared" si="268"/>
        <v>0</v>
      </c>
      <c r="CE102" s="561">
        <f t="shared" si="268"/>
        <v>0</v>
      </c>
      <c r="CF102" s="561">
        <f t="shared" si="268"/>
        <v>0</v>
      </c>
      <c r="CG102" s="561">
        <f t="shared" si="268"/>
        <v>0</v>
      </c>
      <c r="CH102" s="561">
        <f t="shared" si="268"/>
        <v>0</v>
      </c>
      <c r="CI102" s="561">
        <f t="shared" si="268"/>
        <v>0</v>
      </c>
      <c r="CJ102" s="561">
        <f t="shared" si="268"/>
        <v>0</v>
      </c>
      <c r="CK102" s="561">
        <f t="shared" si="268"/>
        <v>0</v>
      </c>
      <c r="CL102" s="561">
        <f t="shared" si="268"/>
        <v>0</v>
      </c>
      <c r="CM102" s="561">
        <f t="shared" si="270"/>
        <v>0</v>
      </c>
      <c r="CN102" s="561">
        <f t="shared" si="270"/>
        <v>0</v>
      </c>
      <c r="CO102" s="561">
        <f t="shared" si="270"/>
        <v>0</v>
      </c>
      <c r="CP102" s="561">
        <f t="shared" si="270"/>
        <v>0</v>
      </c>
      <c r="CQ102" s="561">
        <f t="shared" si="270"/>
        <v>0</v>
      </c>
      <c r="CR102" s="561">
        <f t="shared" si="270"/>
        <v>0</v>
      </c>
      <c r="CS102" s="561">
        <f t="shared" si="270"/>
        <v>0</v>
      </c>
      <c r="CT102" s="561">
        <f t="shared" si="270"/>
        <v>0</v>
      </c>
      <c r="CU102" s="561">
        <f t="shared" si="270"/>
        <v>0</v>
      </c>
      <c r="CV102" s="561">
        <f t="shared" si="270"/>
        <v>0</v>
      </c>
      <c r="CW102" s="561">
        <f t="shared" si="270"/>
        <v>0</v>
      </c>
      <c r="CX102" s="561">
        <f t="shared" si="270"/>
        <v>0</v>
      </c>
      <c r="CY102" s="561">
        <f t="shared" si="270"/>
        <v>0</v>
      </c>
      <c r="CZ102" s="561">
        <f t="shared" si="270"/>
        <v>0</v>
      </c>
      <c r="DA102" s="561">
        <f t="shared" si="270"/>
        <v>0</v>
      </c>
      <c r="DB102" s="561">
        <f t="shared" si="270"/>
        <v>0</v>
      </c>
      <c r="DC102" s="561">
        <f t="shared" si="269"/>
        <v>0</v>
      </c>
      <c r="DD102" s="561">
        <f t="shared" si="269"/>
        <v>0</v>
      </c>
      <c r="DE102" s="561">
        <f t="shared" si="269"/>
        <v>0</v>
      </c>
      <c r="DF102" s="561">
        <f t="shared" si="269"/>
        <v>0</v>
      </c>
      <c r="DG102" s="561">
        <f t="shared" si="269"/>
        <v>0</v>
      </c>
      <c r="DH102" s="561">
        <f t="shared" si="269"/>
        <v>0</v>
      </c>
      <c r="DI102" s="561">
        <f t="shared" si="269"/>
        <v>0</v>
      </c>
      <c r="DJ102" s="561">
        <f t="shared" si="269"/>
        <v>0</v>
      </c>
      <c r="DK102" s="561">
        <f t="shared" si="269"/>
        <v>0</v>
      </c>
      <c r="DL102" s="561">
        <f t="shared" si="269"/>
        <v>0</v>
      </c>
      <c r="DM102" s="561">
        <f t="shared" si="269"/>
        <v>0</v>
      </c>
      <c r="DN102" s="561">
        <f t="shared" si="269"/>
        <v>0</v>
      </c>
      <c r="DO102" s="561">
        <f t="shared" si="269"/>
        <v>0</v>
      </c>
      <c r="DP102" s="561">
        <f t="shared" si="269"/>
        <v>0</v>
      </c>
    </row>
    <row r="103" spans="1:120" s="116" customFormat="1" outlineLevel="1">
      <c r="A103" s="100">
        <v>1110052010</v>
      </c>
      <c r="B103" s="1216" t="s">
        <v>2463</v>
      </c>
      <c r="C103" s="1695" t="s">
        <v>64</v>
      </c>
      <c r="D103" s="1629"/>
      <c r="E103" s="1630">
        <v>45014</v>
      </c>
      <c r="F103" s="102"/>
      <c r="G103" s="1258"/>
      <c r="H103" s="103"/>
      <c r="I103" s="104"/>
      <c r="J103" s="1604">
        <v>1</v>
      </c>
      <c r="K103" s="1605">
        <v>1</v>
      </c>
      <c r="L103" s="1696">
        <v>2062557.97</v>
      </c>
      <c r="M103" s="1697">
        <f t="shared" ref="M103" si="389">+L103*J103</f>
        <v>2062557.97</v>
      </c>
      <c r="N103" s="1228">
        <v>4658.79</v>
      </c>
      <c r="O103" s="107">
        <f t="shared" ref="O103" si="390">+L103*J103*N103</f>
        <v>9609024445.0562992</v>
      </c>
      <c r="P103" s="108"/>
      <c r="Q103" s="1342">
        <f t="shared" ref="Q103" si="391">+P103*K103</f>
        <v>0</v>
      </c>
      <c r="R103" s="109"/>
      <c r="S103" s="109">
        <f ca="1">IF(OR(E103="",E103&gt;TODAY()),0,IF(ISERROR(VLOOKUP($E103,'TRM BanRep'!$A:$G,7,0)),0,VLOOKUP($E103,'TRM BanRep'!$A:$G,7,0)))</f>
        <v>4658.79</v>
      </c>
      <c r="T103" s="110">
        <f t="shared" ref="T103" ca="1" si="392">+P103*K103*S103</f>
        <v>0</v>
      </c>
      <c r="U103" s="111">
        <f t="shared" ref="U103" si="393">+L103+P103+F103</f>
        <v>2062557.97</v>
      </c>
      <c r="V103" s="566">
        <f t="shared" ref="V103" si="394">+P103*J103*R103+L103*J103*N103+F103*J103*H103</f>
        <v>9609024445.0562992</v>
      </c>
      <c r="W103" s="112">
        <f t="shared" ref="W103" ca="1" si="395">IF((-P103*J103*R103)-(-P103*K103*S103)&gt;0,(-P103*J103*R103)-(-P103*K103*S103),0)</f>
        <v>0</v>
      </c>
      <c r="X103" s="113">
        <f t="shared" ref="X103" ca="1" si="396">IF((-P103*J103*R103)-(-P103*K103*S103)&lt;0,(-P103*J103*R103)-(-P103*K103*S103),0)</f>
        <v>0</v>
      </c>
      <c r="Y103" s="114"/>
      <c r="Z103" s="115"/>
      <c r="AA103" s="85">
        <f t="shared" ref="AA103:CL103" si="397">IF($L103="",IF(OR($P103="",$R103=""),0,IF($R103=AA$6,$Q103,0)),IF($E103=AA$5,$M103,))</f>
        <v>0</v>
      </c>
      <c r="AB103" s="508">
        <f t="shared" si="397"/>
        <v>0</v>
      </c>
      <c r="AC103" s="508">
        <f t="shared" si="397"/>
        <v>0</v>
      </c>
      <c r="AD103" s="508">
        <f t="shared" si="397"/>
        <v>0</v>
      </c>
      <c r="AE103" s="508">
        <f t="shared" si="397"/>
        <v>0</v>
      </c>
      <c r="AF103" s="561">
        <f t="shared" si="397"/>
        <v>0</v>
      </c>
      <c r="AG103" s="561">
        <f t="shared" si="397"/>
        <v>0</v>
      </c>
      <c r="AH103" s="561">
        <f t="shared" si="397"/>
        <v>0</v>
      </c>
      <c r="AI103" s="561">
        <f t="shared" si="397"/>
        <v>0</v>
      </c>
      <c r="AJ103" s="561">
        <f t="shared" si="397"/>
        <v>0</v>
      </c>
      <c r="AK103" s="561">
        <f t="shared" si="397"/>
        <v>0</v>
      </c>
      <c r="AL103" s="1542">
        <f t="shared" si="397"/>
        <v>0</v>
      </c>
      <c r="AM103" s="561">
        <f t="shared" si="397"/>
        <v>0</v>
      </c>
      <c r="AN103" s="561">
        <f t="shared" si="397"/>
        <v>0</v>
      </c>
      <c r="AO103" s="561">
        <f t="shared" si="397"/>
        <v>0</v>
      </c>
      <c r="AP103" s="561">
        <f t="shared" si="397"/>
        <v>0</v>
      </c>
      <c r="AQ103" s="561">
        <f t="shared" si="397"/>
        <v>0</v>
      </c>
      <c r="AR103" s="561">
        <f t="shared" si="397"/>
        <v>0</v>
      </c>
      <c r="AS103" s="561">
        <f t="shared" si="397"/>
        <v>0</v>
      </c>
      <c r="AT103" s="561">
        <f t="shared" si="397"/>
        <v>0</v>
      </c>
      <c r="AU103" s="561">
        <f t="shared" si="397"/>
        <v>0</v>
      </c>
      <c r="AV103" s="561">
        <f t="shared" si="397"/>
        <v>0</v>
      </c>
      <c r="AW103" s="561">
        <f t="shared" si="397"/>
        <v>2062557.97</v>
      </c>
      <c r="AX103" s="561">
        <f t="shared" si="397"/>
        <v>0</v>
      </c>
      <c r="AY103" s="561">
        <f t="shared" si="397"/>
        <v>0</v>
      </c>
      <c r="AZ103" s="561">
        <f t="shared" si="397"/>
        <v>0</v>
      </c>
      <c r="BA103" s="561">
        <f t="shared" si="397"/>
        <v>0</v>
      </c>
      <c r="BB103" s="561">
        <f t="shared" si="397"/>
        <v>0</v>
      </c>
      <c r="BC103" s="561">
        <f t="shared" si="397"/>
        <v>0</v>
      </c>
      <c r="BD103" s="561">
        <f t="shared" si="397"/>
        <v>0</v>
      </c>
      <c r="BE103" s="561">
        <f t="shared" si="397"/>
        <v>0</v>
      </c>
      <c r="BF103" s="561">
        <f t="shared" si="397"/>
        <v>0</v>
      </c>
      <c r="BG103" s="561">
        <f t="shared" si="397"/>
        <v>0</v>
      </c>
      <c r="BH103" s="561">
        <f t="shared" si="397"/>
        <v>0</v>
      </c>
      <c r="BI103" s="561">
        <f t="shared" si="397"/>
        <v>0</v>
      </c>
      <c r="BJ103" s="561">
        <f t="shared" si="397"/>
        <v>0</v>
      </c>
      <c r="BK103" s="561">
        <f t="shared" si="397"/>
        <v>0</v>
      </c>
      <c r="BL103" s="561">
        <f t="shared" si="397"/>
        <v>0</v>
      </c>
      <c r="BM103" s="561">
        <f t="shared" si="397"/>
        <v>0</v>
      </c>
      <c r="BN103" s="561">
        <f t="shared" si="397"/>
        <v>0</v>
      </c>
      <c r="BO103" s="561">
        <f t="shared" si="397"/>
        <v>0</v>
      </c>
      <c r="BP103" s="561">
        <f t="shared" si="397"/>
        <v>0</v>
      </c>
      <c r="BQ103" s="561">
        <f t="shared" si="397"/>
        <v>0</v>
      </c>
      <c r="BR103" s="561">
        <f t="shared" si="397"/>
        <v>0</v>
      </c>
      <c r="BS103" s="561">
        <f t="shared" si="397"/>
        <v>0</v>
      </c>
      <c r="BT103" s="561">
        <f t="shared" si="397"/>
        <v>0</v>
      </c>
      <c r="BU103" s="561">
        <f t="shared" si="397"/>
        <v>0</v>
      </c>
      <c r="BV103" s="561">
        <f t="shared" si="397"/>
        <v>0</v>
      </c>
      <c r="BW103" s="561">
        <f t="shared" si="397"/>
        <v>0</v>
      </c>
      <c r="BX103" s="561">
        <f t="shared" si="397"/>
        <v>0</v>
      </c>
      <c r="BY103" s="561">
        <f t="shared" si="397"/>
        <v>0</v>
      </c>
      <c r="BZ103" s="561">
        <f t="shared" si="397"/>
        <v>0</v>
      </c>
      <c r="CA103" s="561">
        <f t="shared" si="397"/>
        <v>0</v>
      </c>
      <c r="CB103" s="561">
        <f t="shared" si="397"/>
        <v>0</v>
      </c>
      <c r="CC103" s="561">
        <f t="shared" si="397"/>
        <v>0</v>
      </c>
      <c r="CD103" s="561">
        <f t="shared" si="397"/>
        <v>0</v>
      </c>
      <c r="CE103" s="561">
        <f t="shared" si="397"/>
        <v>0</v>
      </c>
      <c r="CF103" s="561">
        <f t="shared" si="397"/>
        <v>0</v>
      </c>
      <c r="CG103" s="561">
        <f t="shared" si="397"/>
        <v>0</v>
      </c>
      <c r="CH103" s="561">
        <f t="shared" si="397"/>
        <v>0</v>
      </c>
      <c r="CI103" s="561">
        <f t="shared" si="397"/>
        <v>0</v>
      </c>
      <c r="CJ103" s="561">
        <f t="shared" si="397"/>
        <v>0</v>
      </c>
      <c r="CK103" s="561">
        <f t="shared" si="397"/>
        <v>0</v>
      </c>
      <c r="CL103" s="561">
        <f t="shared" si="397"/>
        <v>0</v>
      </c>
      <c r="CM103" s="561">
        <f t="shared" ref="CM103:DP103" si="398">IF($L103="",IF(OR($P103="",$R103=""),0,IF($R103=CM$6,$Q103,0)),IF($E103=CM$5,$M103,))</f>
        <v>0</v>
      </c>
      <c r="CN103" s="561">
        <f t="shared" si="398"/>
        <v>0</v>
      </c>
      <c r="CO103" s="561">
        <f t="shared" si="398"/>
        <v>0</v>
      </c>
      <c r="CP103" s="561">
        <f t="shared" si="398"/>
        <v>0</v>
      </c>
      <c r="CQ103" s="561">
        <f t="shared" si="398"/>
        <v>0</v>
      </c>
      <c r="CR103" s="561">
        <f t="shared" si="398"/>
        <v>0</v>
      </c>
      <c r="CS103" s="561">
        <f t="shared" si="398"/>
        <v>0</v>
      </c>
      <c r="CT103" s="561">
        <f t="shared" si="398"/>
        <v>0</v>
      </c>
      <c r="CU103" s="561">
        <f t="shared" si="398"/>
        <v>0</v>
      </c>
      <c r="CV103" s="561">
        <f t="shared" si="398"/>
        <v>0</v>
      </c>
      <c r="CW103" s="561">
        <f t="shared" si="398"/>
        <v>0</v>
      </c>
      <c r="CX103" s="561">
        <f t="shared" si="398"/>
        <v>0</v>
      </c>
      <c r="CY103" s="561">
        <f t="shared" si="398"/>
        <v>0</v>
      </c>
      <c r="CZ103" s="561">
        <f t="shared" si="398"/>
        <v>0</v>
      </c>
      <c r="DA103" s="561">
        <f t="shared" si="398"/>
        <v>0</v>
      </c>
      <c r="DB103" s="561">
        <f t="shared" si="398"/>
        <v>0</v>
      </c>
      <c r="DC103" s="561">
        <f t="shared" si="398"/>
        <v>0</v>
      </c>
      <c r="DD103" s="561">
        <f t="shared" si="398"/>
        <v>0</v>
      </c>
      <c r="DE103" s="561">
        <f t="shared" si="398"/>
        <v>0</v>
      </c>
      <c r="DF103" s="561">
        <f t="shared" si="398"/>
        <v>0</v>
      </c>
      <c r="DG103" s="561">
        <f t="shared" si="398"/>
        <v>0</v>
      </c>
      <c r="DH103" s="561">
        <f t="shared" si="398"/>
        <v>0</v>
      </c>
      <c r="DI103" s="561">
        <f t="shared" si="398"/>
        <v>0</v>
      </c>
      <c r="DJ103" s="561">
        <f t="shared" si="398"/>
        <v>0</v>
      </c>
      <c r="DK103" s="561">
        <f t="shared" si="398"/>
        <v>0</v>
      </c>
      <c r="DL103" s="561">
        <f t="shared" si="398"/>
        <v>0</v>
      </c>
      <c r="DM103" s="561">
        <f t="shared" si="398"/>
        <v>0</v>
      </c>
      <c r="DN103" s="561">
        <f t="shared" si="398"/>
        <v>0</v>
      </c>
      <c r="DO103" s="561">
        <f t="shared" si="398"/>
        <v>0</v>
      </c>
      <c r="DP103" s="561">
        <f t="shared" si="398"/>
        <v>0</v>
      </c>
    </row>
    <row r="104" spans="1:120" outlineLevel="1">
      <c r="A104" s="89">
        <v>1110052010</v>
      </c>
      <c r="B104" s="90" t="s">
        <v>2464</v>
      </c>
      <c r="C104" s="1476" t="s">
        <v>64</v>
      </c>
      <c r="D104" s="1481"/>
      <c r="E104" s="1482">
        <v>45016</v>
      </c>
      <c r="F104" s="420"/>
      <c r="G104" s="1256"/>
      <c r="H104" s="421"/>
      <c r="I104" s="422"/>
      <c r="J104" s="1425">
        <v>1</v>
      </c>
      <c r="K104" s="1426">
        <v>1</v>
      </c>
      <c r="L104" s="1043"/>
      <c r="M104" s="1594">
        <f t="shared" si="354"/>
        <v>0</v>
      </c>
      <c r="N104" s="504">
        <f ca="1">IF(OR(E104="",E104&gt;TODAY()),0,IF(ISERROR(VLOOKUP($E104,'TRM BanRep'!$A:$G,7,0)),0,VLOOKUP($E104,'TRM BanRep'!$A:$G,7,0)))</f>
        <v>4627.2700000000004</v>
      </c>
      <c r="O104" s="424">
        <f t="shared" ca="1" si="355"/>
        <v>0</v>
      </c>
      <c r="P104" s="425">
        <v>-118445.73</v>
      </c>
      <c r="Q104" s="1340">
        <f t="shared" si="356"/>
        <v>-118445.73</v>
      </c>
      <c r="R104" s="426">
        <v>4848.78</v>
      </c>
      <c r="S104" s="426">
        <f ca="1">IF(OR(E104="",E104&gt;TODAY()),0,IF(ISERROR(VLOOKUP($E104,'TRM BanRep'!$A:$G,7,0)),0,VLOOKUP($E104,'TRM BanRep'!$A:$G,7,0)))</f>
        <v>4627.2700000000004</v>
      </c>
      <c r="T104" s="427">
        <f t="shared" ca="1" si="357"/>
        <v>-548080373.05710006</v>
      </c>
      <c r="U104" s="418">
        <f t="shared" si="358"/>
        <v>-118445.73</v>
      </c>
      <c r="V104" s="517">
        <f t="shared" ca="1" si="359"/>
        <v>-574317286.70939994</v>
      </c>
      <c r="W104" s="428">
        <f t="shared" ca="1" si="360"/>
        <v>26236913.652299881</v>
      </c>
      <c r="X104" s="429">
        <f t="shared" ca="1" si="361"/>
        <v>0</v>
      </c>
      <c r="Y104" s="92"/>
      <c r="Z104" s="1055"/>
      <c r="AA104" s="85">
        <f t="shared" ca="1" si="265"/>
        <v>0</v>
      </c>
      <c r="AB104" s="508">
        <f t="shared" ca="1" si="265"/>
        <v>0</v>
      </c>
      <c r="AC104" s="508">
        <f t="shared" ca="1" si="265"/>
        <v>0</v>
      </c>
      <c r="AD104" s="508">
        <f t="shared" ca="1" si="265"/>
        <v>0</v>
      </c>
      <c r="AE104" s="508">
        <f t="shared" ca="1" si="265"/>
        <v>0</v>
      </c>
      <c r="AF104" s="561">
        <f t="shared" ca="1" si="265"/>
        <v>0</v>
      </c>
      <c r="AG104" s="561">
        <f t="shared" ca="1" si="265"/>
        <v>0</v>
      </c>
      <c r="AH104" s="561">
        <f t="shared" ca="1" si="265"/>
        <v>0</v>
      </c>
      <c r="AI104" s="561">
        <f t="shared" ca="1" si="265"/>
        <v>0</v>
      </c>
      <c r="AJ104" s="561">
        <f t="shared" ca="1" si="265"/>
        <v>0</v>
      </c>
      <c r="AK104" s="561">
        <f t="shared" ca="1" si="265"/>
        <v>0</v>
      </c>
      <c r="AL104" s="1542">
        <f t="shared" ca="1" si="265"/>
        <v>0</v>
      </c>
      <c r="AM104" s="561">
        <f t="shared" ca="1" si="265"/>
        <v>0</v>
      </c>
      <c r="AN104" s="561">
        <f t="shared" ca="1" si="265"/>
        <v>0</v>
      </c>
      <c r="AO104" s="561">
        <f t="shared" ca="1" si="265"/>
        <v>0</v>
      </c>
      <c r="AP104" s="561">
        <f t="shared" ca="1" si="265"/>
        <v>0</v>
      </c>
      <c r="AQ104" s="561">
        <f t="shared" ca="1" si="266"/>
        <v>0</v>
      </c>
      <c r="AR104" s="561">
        <f t="shared" ca="1" si="266"/>
        <v>0</v>
      </c>
      <c r="AS104" s="561">
        <f t="shared" ca="1" si="266"/>
        <v>-118445.73</v>
      </c>
      <c r="AT104" s="561">
        <f t="shared" ca="1" si="266"/>
        <v>0</v>
      </c>
      <c r="AU104" s="561">
        <f t="shared" ca="1" si="266"/>
        <v>0</v>
      </c>
      <c r="AV104" s="561">
        <f t="shared" ca="1" si="266"/>
        <v>0</v>
      </c>
      <c r="AW104" s="561">
        <f t="shared" ca="1" si="266"/>
        <v>0</v>
      </c>
      <c r="AX104" s="561">
        <f t="shared" ca="1" si="266"/>
        <v>0</v>
      </c>
      <c r="AY104" s="561">
        <f t="shared" ca="1" si="266"/>
        <v>0</v>
      </c>
      <c r="AZ104" s="561">
        <f t="shared" ca="1" si="266"/>
        <v>0</v>
      </c>
      <c r="BA104" s="561">
        <f t="shared" ca="1" si="266"/>
        <v>0</v>
      </c>
      <c r="BB104" s="561">
        <f t="shared" ca="1" si="266"/>
        <v>0</v>
      </c>
      <c r="BC104" s="561">
        <f t="shared" ca="1" si="266"/>
        <v>0</v>
      </c>
      <c r="BD104" s="561">
        <f t="shared" ca="1" si="266"/>
        <v>0</v>
      </c>
      <c r="BE104" s="561">
        <f t="shared" ca="1" si="266"/>
        <v>0</v>
      </c>
      <c r="BF104" s="561">
        <f t="shared" ca="1" si="266"/>
        <v>0</v>
      </c>
      <c r="BG104" s="561">
        <f t="shared" ca="1" si="267"/>
        <v>0</v>
      </c>
      <c r="BH104" s="561">
        <f t="shared" ca="1" si="267"/>
        <v>0</v>
      </c>
      <c r="BI104" s="561">
        <f t="shared" ca="1" si="267"/>
        <v>0</v>
      </c>
      <c r="BJ104" s="561">
        <f t="shared" ca="1" si="267"/>
        <v>0</v>
      </c>
      <c r="BK104" s="561">
        <f t="shared" ca="1" si="267"/>
        <v>0</v>
      </c>
      <c r="BL104" s="561">
        <f t="shared" ca="1" si="267"/>
        <v>0</v>
      </c>
      <c r="BM104" s="561">
        <f t="shared" ca="1" si="267"/>
        <v>0</v>
      </c>
      <c r="BN104" s="561">
        <f t="shared" ca="1" si="267"/>
        <v>0</v>
      </c>
      <c r="BO104" s="561">
        <f t="shared" ca="1" si="267"/>
        <v>0</v>
      </c>
      <c r="BP104" s="561">
        <f t="shared" ca="1" si="267"/>
        <v>0</v>
      </c>
      <c r="BQ104" s="561">
        <f t="shared" ca="1" si="267"/>
        <v>0</v>
      </c>
      <c r="BR104" s="561">
        <f t="shared" ca="1" si="267"/>
        <v>0</v>
      </c>
      <c r="BS104" s="561">
        <f t="shared" ca="1" si="267"/>
        <v>0</v>
      </c>
      <c r="BT104" s="561">
        <f t="shared" ca="1" si="267"/>
        <v>0</v>
      </c>
      <c r="BU104" s="561">
        <f t="shared" ca="1" si="267"/>
        <v>0</v>
      </c>
      <c r="BV104" s="561">
        <f t="shared" ca="1" si="267"/>
        <v>0</v>
      </c>
      <c r="BW104" s="561">
        <f t="shared" ca="1" si="268"/>
        <v>0</v>
      </c>
      <c r="BX104" s="561">
        <f t="shared" ca="1" si="268"/>
        <v>0</v>
      </c>
      <c r="BY104" s="561">
        <f t="shared" ca="1" si="268"/>
        <v>0</v>
      </c>
      <c r="BZ104" s="561">
        <f t="shared" ca="1" si="268"/>
        <v>0</v>
      </c>
      <c r="CA104" s="561">
        <f t="shared" ca="1" si="268"/>
        <v>0</v>
      </c>
      <c r="CB104" s="561">
        <f t="shared" ca="1" si="268"/>
        <v>0</v>
      </c>
      <c r="CC104" s="561">
        <f t="shared" ca="1" si="268"/>
        <v>0</v>
      </c>
      <c r="CD104" s="561">
        <f t="shared" ca="1" si="268"/>
        <v>0</v>
      </c>
      <c r="CE104" s="561">
        <f t="shared" ca="1" si="268"/>
        <v>0</v>
      </c>
      <c r="CF104" s="561">
        <f t="shared" ca="1" si="268"/>
        <v>0</v>
      </c>
      <c r="CG104" s="561">
        <f t="shared" ca="1" si="268"/>
        <v>0</v>
      </c>
      <c r="CH104" s="561">
        <f t="shared" ca="1" si="268"/>
        <v>0</v>
      </c>
      <c r="CI104" s="561">
        <f t="shared" ca="1" si="268"/>
        <v>0</v>
      </c>
      <c r="CJ104" s="561">
        <f t="shared" ca="1" si="268"/>
        <v>0</v>
      </c>
      <c r="CK104" s="561">
        <f t="shared" ca="1" si="268"/>
        <v>0</v>
      </c>
      <c r="CL104" s="561">
        <f t="shared" ca="1" si="268"/>
        <v>0</v>
      </c>
      <c r="CM104" s="561">
        <f t="shared" ca="1" si="270"/>
        <v>0</v>
      </c>
      <c r="CN104" s="561">
        <f t="shared" ca="1" si="270"/>
        <v>0</v>
      </c>
      <c r="CO104" s="561">
        <f t="shared" ca="1" si="270"/>
        <v>0</v>
      </c>
      <c r="CP104" s="561">
        <f t="shared" ca="1" si="270"/>
        <v>0</v>
      </c>
      <c r="CQ104" s="561">
        <f t="shared" ca="1" si="270"/>
        <v>0</v>
      </c>
      <c r="CR104" s="561">
        <f t="shared" ca="1" si="270"/>
        <v>0</v>
      </c>
      <c r="CS104" s="561">
        <f t="shared" ca="1" si="270"/>
        <v>0</v>
      </c>
      <c r="CT104" s="561">
        <f t="shared" ca="1" si="270"/>
        <v>0</v>
      </c>
      <c r="CU104" s="561">
        <f t="shared" ca="1" si="270"/>
        <v>0</v>
      </c>
      <c r="CV104" s="561">
        <f t="shared" ca="1" si="270"/>
        <v>0</v>
      </c>
      <c r="CW104" s="561">
        <f t="shared" ca="1" si="270"/>
        <v>0</v>
      </c>
      <c r="CX104" s="561">
        <f t="shared" ca="1" si="270"/>
        <v>0</v>
      </c>
      <c r="CY104" s="561">
        <f t="shared" ca="1" si="270"/>
        <v>0</v>
      </c>
      <c r="CZ104" s="561">
        <f t="shared" ca="1" si="270"/>
        <v>0</v>
      </c>
      <c r="DA104" s="561">
        <f t="shared" ca="1" si="270"/>
        <v>0</v>
      </c>
      <c r="DB104" s="561">
        <f t="shared" ca="1" si="270"/>
        <v>0</v>
      </c>
      <c r="DC104" s="561">
        <f t="shared" ca="1" si="269"/>
        <v>0</v>
      </c>
      <c r="DD104" s="561">
        <f t="shared" ca="1" si="269"/>
        <v>0</v>
      </c>
      <c r="DE104" s="561">
        <f t="shared" ca="1" si="269"/>
        <v>0</v>
      </c>
      <c r="DF104" s="561">
        <f t="shared" ca="1" si="269"/>
        <v>0</v>
      </c>
      <c r="DG104" s="561">
        <f t="shared" ca="1" si="269"/>
        <v>0</v>
      </c>
      <c r="DH104" s="561">
        <f t="shared" ca="1" si="269"/>
        <v>0</v>
      </c>
      <c r="DI104" s="561">
        <f t="shared" ca="1" si="269"/>
        <v>0</v>
      </c>
      <c r="DJ104" s="561">
        <f t="shared" ca="1" si="269"/>
        <v>0</v>
      </c>
      <c r="DK104" s="561">
        <f t="shared" ca="1" si="269"/>
        <v>0</v>
      </c>
      <c r="DL104" s="561">
        <f t="shared" ca="1" si="269"/>
        <v>0</v>
      </c>
      <c r="DM104" s="561">
        <f t="shared" ca="1" si="269"/>
        <v>0</v>
      </c>
      <c r="DN104" s="561">
        <f t="shared" ca="1" si="269"/>
        <v>0</v>
      </c>
      <c r="DO104" s="561">
        <f t="shared" ca="1" si="269"/>
        <v>0</v>
      </c>
      <c r="DP104" s="561">
        <f t="shared" ca="1" si="269"/>
        <v>0</v>
      </c>
    </row>
    <row r="105" spans="1:120" outlineLevel="1">
      <c r="A105" s="89">
        <v>1110052010</v>
      </c>
      <c r="B105" s="90" t="s">
        <v>2464</v>
      </c>
      <c r="C105" s="1476" t="s">
        <v>64</v>
      </c>
      <c r="D105" s="1481"/>
      <c r="E105" s="1482">
        <v>45016</v>
      </c>
      <c r="F105" s="420"/>
      <c r="G105" s="1256"/>
      <c r="H105" s="421"/>
      <c r="I105" s="422"/>
      <c r="J105" s="1425">
        <v>1</v>
      </c>
      <c r="K105" s="1426">
        <v>1</v>
      </c>
      <c r="L105" s="1043"/>
      <c r="M105" s="1594">
        <f t="shared" ref="M105:M109" si="399">+L105*J105</f>
        <v>0</v>
      </c>
      <c r="N105" s="504">
        <f ca="1">IF(OR(E105="",E105&gt;TODAY()),0,IF(ISERROR(VLOOKUP($E105,'TRM BanRep'!$A:$G,7,0)),0,VLOOKUP($E105,'TRM BanRep'!$A:$G,7,0)))</f>
        <v>4627.2700000000004</v>
      </c>
      <c r="O105" s="424">
        <f t="shared" ref="O105:O109" ca="1" si="400">+L105*J105*N105</f>
        <v>0</v>
      </c>
      <c r="P105" s="425">
        <v>-1954401.8</v>
      </c>
      <c r="Q105" s="1340">
        <f t="shared" ref="Q105:Q109" si="401">+P105*K105</f>
        <v>-1954401.8</v>
      </c>
      <c r="R105" s="426">
        <v>4780.8900000000003</v>
      </c>
      <c r="S105" s="426">
        <f ca="1">IF(OR(E105="",E105&gt;TODAY()),0,IF(ISERROR(VLOOKUP($E105,'TRM BanRep'!$A:$G,7,0)),0,VLOOKUP($E105,'TRM BanRep'!$A:$G,7,0)))</f>
        <v>4627.2700000000004</v>
      </c>
      <c r="T105" s="427">
        <f t="shared" ref="T105:T109" ca="1" si="402">+P105*K105*S105</f>
        <v>-9043544817.0860004</v>
      </c>
      <c r="U105" s="418">
        <f t="shared" ref="U105:U109" si="403">+L105+P105+F105</f>
        <v>-1954401.8</v>
      </c>
      <c r="V105" s="517">
        <f t="shared" ref="V105:V109" ca="1" si="404">+P105*J105*R105+L105*J105*N105+F105*J105*H105</f>
        <v>-9343780021.6020012</v>
      </c>
      <c r="W105" s="428">
        <f t="shared" ref="W105:W109" ca="1" si="405">IF((-P105*J105*R105)-(-P105*K105*S105)&gt;0,(-P105*J105*R105)-(-P105*K105*S105),0)</f>
        <v>300235204.51600075</v>
      </c>
      <c r="X105" s="429">
        <f t="shared" ref="X105:X109" ca="1" si="406">IF((-P105*J105*R105)-(-P105*K105*S105)&lt;0,(-P105*J105*R105)-(-P105*K105*S105),0)</f>
        <v>0</v>
      </c>
      <c r="Y105" s="92"/>
      <c r="Z105" s="1055"/>
      <c r="AA105" s="85">
        <f t="shared" ref="AA105:AP109" ca="1" si="407">IF($L105="",IF(OR($P105="",$R105=""),0,IF($R105=AA$6,$Q105,0)),IF($E105=AA$5,$M105,))</f>
        <v>0</v>
      </c>
      <c r="AB105" s="508">
        <f t="shared" ca="1" si="407"/>
        <v>0</v>
      </c>
      <c r="AC105" s="508">
        <f t="shared" ca="1" si="407"/>
        <v>0</v>
      </c>
      <c r="AD105" s="508">
        <f t="shared" ca="1" si="407"/>
        <v>0</v>
      </c>
      <c r="AE105" s="508">
        <f t="shared" ca="1" si="407"/>
        <v>0</v>
      </c>
      <c r="AF105" s="561">
        <f t="shared" ca="1" si="407"/>
        <v>0</v>
      </c>
      <c r="AG105" s="561">
        <f t="shared" ca="1" si="407"/>
        <v>0</v>
      </c>
      <c r="AH105" s="561">
        <f t="shared" ca="1" si="407"/>
        <v>0</v>
      </c>
      <c r="AI105" s="561">
        <f t="shared" ca="1" si="407"/>
        <v>0</v>
      </c>
      <c r="AJ105" s="561">
        <f t="shared" ca="1" si="407"/>
        <v>0</v>
      </c>
      <c r="AK105" s="561">
        <f t="shared" ca="1" si="407"/>
        <v>0</v>
      </c>
      <c r="AL105" s="1542">
        <f t="shared" ca="1" si="407"/>
        <v>0</v>
      </c>
      <c r="AM105" s="561">
        <f t="shared" ca="1" si="407"/>
        <v>0</v>
      </c>
      <c r="AN105" s="561">
        <f t="shared" ca="1" si="407"/>
        <v>0</v>
      </c>
      <c r="AO105" s="561">
        <f t="shared" ca="1" si="407"/>
        <v>0</v>
      </c>
      <c r="AP105" s="561">
        <f t="shared" ca="1" si="407"/>
        <v>0</v>
      </c>
      <c r="AQ105" s="561">
        <f t="shared" ref="AQ105:BF109" ca="1" si="408">IF($L105="",IF(OR($P105="",$R105=""),0,IF($R105=AQ$6,$Q105,0)),IF($E105=AQ$5,$M105,))</f>
        <v>0</v>
      </c>
      <c r="AR105" s="561">
        <f t="shared" ca="1" si="408"/>
        <v>0</v>
      </c>
      <c r="AS105" s="561">
        <f t="shared" ca="1" si="408"/>
        <v>0</v>
      </c>
      <c r="AT105" s="561">
        <f t="shared" ca="1" si="408"/>
        <v>-1954401.8</v>
      </c>
      <c r="AU105" s="561">
        <f t="shared" ca="1" si="408"/>
        <v>0</v>
      </c>
      <c r="AV105" s="561">
        <f t="shared" ca="1" si="408"/>
        <v>0</v>
      </c>
      <c r="AW105" s="561">
        <f t="shared" ca="1" si="408"/>
        <v>0</v>
      </c>
      <c r="AX105" s="561">
        <f t="shared" ca="1" si="408"/>
        <v>0</v>
      </c>
      <c r="AY105" s="561">
        <f t="shared" ca="1" si="408"/>
        <v>0</v>
      </c>
      <c r="AZ105" s="561">
        <f t="shared" ca="1" si="408"/>
        <v>0</v>
      </c>
      <c r="BA105" s="561">
        <f t="shared" ca="1" si="408"/>
        <v>0</v>
      </c>
      <c r="BB105" s="561">
        <f t="shared" ca="1" si="408"/>
        <v>0</v>
      </c>
      <c r="BC105" s="561">
        <f t="shared" ca="1" si="408"/>
        <v>0</v>
      </c>
      <c r="BD105" s="561">
        <f t="shared" ca="1" si="408"/>
        <v>0</v>
      </c>
      <c r="BE105" s="561">
        <f t="shared" ca="1" si="408"/>
        <v>0</v>
      </c>
      <c r="BF105" s="561">
        <f t="shared" ca="1" si="408"/>
        <v>0</v>
      </c>
      <c r="BG105" s="561">
        <f t="shared" ref="BG105:BV109" ca="1" si="409">IF($L105="",IF(OR($P105="",$R105=""),0,IF($R105=BG$6,$Q105,0)),IF($E105=BG$5,$M105,))</f>
        <v>0</v>
      </c>
      <c r="BH105" s="561">
        <f t="shared" ca="1" si="409"/>
        <v>0</v>
      </c>
      <c r="BI105" s="561">
        <f t="shared" ca="1" si="409"/>
        <v>0</v>
      </c>
      <c r="BJ105" s="561">
        <f t="shared" ca="1" si="409"/>
        <v>0</v>
      </c>
      <c r="BK105" s="561">
        <f t="shared" ca="1" si="409"/>
        <v>0</v>
      </c>
      <c r="BL105" s="561">
        <f t="shared" ca="1" si="409"/>
        <v>0</v>
      </c>
      <c r="BM105" s="561">
        <f t="shared" ca="1" si="409"/>
        <v>0</v>
      </c>
      <c r="BN105" s="561">
        <f t="shared" ca="1" si="409"/>
        <v>0</v>
      </c>
      <c r="BO105" s="561">
        <f t="shared" ca="1" si="409"/>
        <v>0</v>
      </c>
      <c r="BP105" s="561">
        <f t="shared" ca="1" si="409"/>
        <v>0</v>
      </c>
      <c r="BQ105" s="561">
        <f t="shared" ca="1" si="409"/>
        <v>0</v>
      </c>
      <c r="BR105" s="561">
        <f t="shared" ca="1" si="409"/>
        <v>0</v>
      </c>
      <c r="BS105" s="561">
        <f t="shared" ca="1" si="409"/>
        <v>0</v>
      </c>
      <c r="BT105" s="561">
        <f t="shared" ca="1" si="409"/>
        <v>0</v>
      </c>
      <c r="BU105" s="561">
        <f t="shared" ca="1" si="409"/>
        <v>0</v>
      </c>
      <c r="BV105" s="561">
        <f t="shared" ca="1" si="409"/>
        <v>0</v>
      </c>
      <c r="BW105" s="561">
        <f t="shared" ref="BW105:CL109" ca="1" si="410">IF($L105="",IF(OR($P105="",$R105=""),0,IF($R105=BW$6,$Q105,0)),IF($E105=BW$5,$M105,))</f>
        <v>0</v>
      </c>
      <c r="BX105" s="561">
        <f t="shared" ca="1" si="410"/>
        <v>0</v>
      </c>
      <c r="BY105" s="561">
        <f t="shared" ca="1" si="410"/>
        <v>0</v>
      </c>
      <c r="BZ105" s="561">
        <f t="shared" ca="1" si="410"/>
        <v>0</v>
      </c>
      <c r="CA105" s="561">
        <f t="shared" ca="1" si="410"/>
        <v>0</v>
      </c>
      <c r="CB105" s="561">
        <f t="shared" ca="1" si="410"/>
        <v>0</v>
      </c>
      <c r="CC105" s="561">
        <f t="shared" ca="1" si="410"/>
        <v>0</v>
      </c>
      <c r="CD105" s="561">
        <f t="shared" ca="1" si="410"/>
        <v>0</v>
      </c>
      <c r="CE105" s="561">
        <f t="shared" ca="1" si="410"/>
        <v>0</v>
      </c>
      <c r="CF105" s="561">
        <f t="shared" ca="1" si="410"/>
        <v>0</v>
      </c>
      <c r="CG105" s="561">
        <f t="shared" ca="1" si="410"/>
        <v>0</v>
      </c>
      <c r="CH105" s="561">
        <f t="shared" ca="1" si="410"/>
        <v>0</v>
      </c>
      <c r="CI105" s="561">
        <f t="shared" ca="1" si="410"/>
        <v>0</v>
      </c>
      <c r="CJ105" s="561">
        <f t="shared" ca="1" si="410"/>
        <v>0</v>
      </c>
      <c r="CK105" s="561">
        <f t="shared" ca="1" si="410"/>
        <v>0</v>
      </c>
      <c r="CL105" s="561">
        <f t="shared" ca="1" si="410"/>
        <v>0</v>
      </c>
      <c r="CM105" s="561">
        <f t="shared" ref="CM105:DB109" ca="1" si="411">IF($L105="",IF(OR($P105="",$R105=""),0,IF($R105=CM$6,$Q105,0)),IF($E105=CM$5,$M105,))</f>
        <v>0</v>
      </c>
      <c r="CN105" s="561">
        <f t="shared" ca="1" si="411"/>
        <v>0</v>
      </c>
      <c r="CO105" s="561">
        <f t="shared" ca="1" si="411"/>
        <v>0</v>
      </c>
      <c r="CP105" s="561">
        <f t="shared" ca="1" si="411"/>
        <v>0</v>
      </c>
      <c r="CQ105" s="561">
        <f t="shared" ca="1" si="411"/>
        <v>0</v>
      </c>
      <c r="CR105" s="561">
        <f t="shared" ca="1" si="411"/>
        <v>0</v>
      </c>
      <c r="CS105" s="561">
        <f t="shared" ca="1" si="411"/>
        <v>0</v>
      </c>
      <c r="CT105" s="561">
        <f t="shared" ca="1" si="411"/>
        <v>0</v>
      </c>
      <c r="CU105" s="561">
        <f t="shared" ca="1" si="411"/>
        <v>0</v>
      </c>
      <c r="CV105" s="561">
        <f t="shared" ca="1" si="411"/>
        <v>0</v>
      </c>
      <c r="CW105" s="561">
        <f t="shared" ca="1" si="411"/>
        <v>0</v>
      </c>
      <c r="CX105" s="561">
        <f t="shared" ca="1" si="411"/>
        <v>0</v>
      </c>
      <c r="CY105" s="561">
        <f t="shared" ca="1" si="411"/>
        <v>0</v>
      </c>
      <c r="CZ105" s="561">
        <f t="shared" ca="1" si="411"/>
        <v>0</v>
      </c>
      <c r="DA105" s="561">
        <f t="shared" ca="1" si="411"/>
        <v>0</v>
      </c>
      <c r="DB105" s="561">
        <f t="shared" ca="1" si="411"/>
        <v>0</v>
      </c>
      <c r="DC105" s="561">
        <f t="shared" ref="DC105:DP109" ca="1" si="412">IF($L105="",IF(OR($P105="",$R105=""),0,IF($R105=DC$6,$Q105,0)),IF($E105=DC$5,$M105,))</f>
        <v>0</v>
      </c>
      <c r="DD105" s="561">
        <f t="shared" ca="1" si="412"/>
        <v>0</v>
      </c>
      <c r="DE105" s="561">
        <f t="shared" ca="1" si="412"/>
        <v>0</v>
      </c>
      <c r="DF105" s="561">
        <f t="shared" ca="1" si="412"/>
        <v>0</v>
      </c>
      <c r="DG105" s="561">
        <f t="shared" ca="1" si="412"/>
        <v>0</v>
      </c>
      <c r="DH105" s="561">
        <f t="shared" ca="1" si="412"/>
        <v>0</v>
      </c>
      <c r="DI105" s="561">
        <f t="shared" ca="1" si="412"/>
        <v>0</v>
      </c>
      <c r="DJ105" s="561">
        <f t="shared" ca="1" si="412"/>
        <v>0</v>
      </c>
      <c r="DK105" s="561">
        <f t="shared" ca="1" si="412"/>
        <v>0</v>
      </c>
      <c r="DL105" s="561">
        <f t="shared" ca="1" si="412"/>
        <v>0</v>
      </c>
      <c r="DM105" s="561">
        <f t="shared" ca="1" si="412"/>
        <v>0</v>
      </c>
      <c r="DN105" s="561">
        <f t="shared" ca="1" si="412"/>
        <v>0</v>
      </c>
      <c r="DO105" s="561">
        <f t="shared" ca="1" si="412"/>
        <v>0</v>
      </c>
      <c r="DP105" s="561">
        <f t="shared" ca="1" si="412"/>
        <v>0</v>
      </c>
    </row>
    <row r="106" spans="1:120" outlineLevel="1">
      <c r="A106" s="89">
        <v>1110052010</v>
      </c>
      <c r="B106" s="90" t="s">
        <v>2464</v>
      </c>
      <c r="C106" s="1476" t="s">
        <v>64</v>
      </c>
      <c r="D106" s="1481"/>
      <c r="E106" s="1482">
        <v>45016</v>
      </c>
      <c r="F106" s="420"/>
      <c r="G106" s="1256"/>
      <c r="H106" s="421"/>
      <c r="I106" s="422"/>
      <c r="J106" s="1425">
        <v>1</v>
      </c>
      <c r="K106" s="1426">
        <v>1</v>
      </c>
      <c r="L106" s="1043"/>
      <c r="M106" s="1594">
        <f t="shared" si="399"/>
        <v>0</v>
      </c>
      <c r="N106" s="504">
        <f ca="1">IF(OR(E106="",E106&gt;TODAY()),0,IF(ISERROR(VLOOKUP($E106,'TRM BanRep'!$A:$G,7,0)),0,VLOOKUP($E106,'TRM BanRep'!$A:$G,7,0)))</f>
        <v>4627.2700000000004</v>
      </c>
      <c r="O106" s="424">
        <f t="shared" ca="1" si="400"/>
        <v>0</v>
      </c>
      <c r="P106" s="425">
        <v>-121968.56</v>
      </c>
      <c r="Q106" s="1340">
        <f t="shared" si="401"/>
        <v>-121968.56</v>
      </c>
      <c r="R106" s="426">
        <v>4744.95</v>
      </c>
      <c r="S106" s="426">
        <f ca="1">IF(OR(E106="",E106&gt;TODAY()),0,IF(ISERROR(VLOOKUP($E106,'TRM BanRep'!$A:$G,7,0)),0,VLOOKUP($E106,'TRM BanRep'!$A:$G,7,0)))</f>
        <v>4627.2700000000004</v>
      </c>
      <c r="T106" s="427">
        <f t="shared" ca="1" si="402"/>
        <v>-564381458.63120008</v>
      </c>
      <c r="U106" s="418">
        <f t="shared" si="403"/>
        <v>-121968.56</v>
      </c>
      <c r="V106" s="517">
        <f t="shared" ca="1" si="404"/>
        <v>-578734718.77199996</v>
      </c>
      <c r="W106" s="428">
        <f t="shared" ca="1" si="405"/>
        <v>14353260.14079988</v>
      </c>
      <c r="X106" s="429">
        <f t="shared" ca="1" si="406"/>
        <v>0</v>
      </c>
      <c r="Y106" s="92"/>
      <c r="Z106" s="1055"/>
      <c r="AA106" s="85">
        <f t="shared" ca="1" si="407"/>
        <v>0</v>
      </c>
      <c r="AB106" s="508">
        <f t="shared" ca="1" si="407"/>
        <v>0</v>
      </c>
      <c r="AC106" s="508">
        <f t="shared" ca="1" si="407"/>
        <v>0</v>
      </c>
      <c r="AD106" s="508">
        <f t="shared" ca="1" si="407"/>
        <v>0</v>
      </c>
      <c r="AE106" s="508">
        <f t="shared" ca="1" si="407"/>
        <v>0</v>
      </c>
      <c r="AF106" s="561">
        <f t="shared" ca="1" si="407"/>
        <v>0</v>
      </c>
      <c r="AG106" s="561">
        <f t="shared" ca="1" si="407"/>
        <v>0</v>
      </c>
      <c r="AH106" s="561">
        <f t="shared" ca="1" si="407"/>
        <v>0</v>
      </c>
      <c r="AI106" s="561">
        <f t="shared" ca="1" si="407"/>
        <v>0</v>
      </c>
      <c r="AJ106" s="561">
        <f t="shared" ca="1" si="407"/>
        <v>0</v>
      </c>
      <c r="AK106" s="561">
        <f t="shared" ca="1" si="407"/>
        <v>0</v>
      </c>
      <c r="AL106" s="1542">
        <f t="shared" ca="1" si="407"/>
        <v>0</v>
      </c>
      <c r="AM106" s="561">
        <f t="shared" ca="1" si="407"/>
        <v>0</v>
      </c>
      <c r="AN106" s="561">
        <f t="shared" ca="1" si="407"/>
        <v>0</v>
      </c>
      <c r="AO106" s="561">
        <f t="shared" ca="1" si="407"/>
        <v>0</v>
      </c>
      <c r="AP106" s="561">
        <f t="shared" ca="1" si="407"/>
        <v>0</v>
      </c>
      <c r="AQ106" s="561">
        <f t="shared" ca="1" si="408"/>
        <v>0</v>
      </c>
      <c r="AR106" s="561">
        <f t="shared" ca="1" si="408"/>
        <v>0</v>
      </c>
      <c r="AS106" s="561">
        <f t="shared" ca="1" si="408"/>
        <v>0</v>
      </c>
      <c r="AT106" s="561">
        <f t="shared" ca="1" si="408"/>
        <v>0</v>
      </c>
      <c r="AU106" s="561">
        <f t="shared" ca="1" si="408"/>
        <v>-121968.56</v>
      </c>
      <c r="AV106" s="561">
        <f t="shared" ca="1" si="408"/>
        <v>0</v>
      </c>
      <c r="AW106" s="561">
        <f t="shared" ca="1" si="408"/>
        <v>0</v>
      </c>
      <c r="AX106" s="561">
        <f t="shared" ca="1" si="408"/>
        <v>0</v>
      </c>
      <c r="AY106" s="561">
        <f t="shared" ca="1" si="408"/>
        <v>0</v>
      </c>
      <c r="AZ106" s="561">
        <f t="shared" ca="1" si="408"/>
        <v>0</v>
      </c>
      <c r="BA106" s="561">
        <f t="shared" ca="1" si="408"/>
        <v>0</v>
      </c>
      <c r="BB106" s="561">
        <f t="shared" ca="1" si="408"/>
        <v>0</v>
      </c>
      <c r="BC106" s="561">
        <f t="shared" ca="1" si="408"/>
        <v>0</v>
      </c>
      <c r="BD106" s="561">
        <f t="shared" ca="1" si="408"/>
        <v>0</v>
      </c>
      <c r="BE106" s="561">
        <f t="shared" ca="1" si="408"/>
        <v>0</v>
      </c>
      <c r="BF106" s="561">
        <f t="shared" ca="1" si="408"/>
        <v>0</v>
      </c>
      <c r="BG106" s="561">
        <f t="shared" ca="1" si="409"/>
        <v>0</v>
      </c>
      <c r="BH106" s="561">
        <f t="shared" ca="1" si="409"/>
        <v>0</v>
      </c>
      <c r="BI106" s="561">
        <f t="shared" ca="1" si="409"/>
        <v>0</v>
      </c>
      <c r="BJ106" s="561">
        <f t="shared" ca="1" si="409"/>
        <v>0</v>
      </c>
      <c r="BK106" s="561">
        <f t="shared" ca="1" si="409"/>
        <v>0</v>
      </c>
      <c r="BL106" s="561">
        <f t="shared" ca="1" si="409"/>
        <v>0</v>
      </c>
      <c r="BM106" s="561">
        <f t="shared" ca="1" si="409"/>
        <v>0</v>
      </c>
      <c r="BN106" s="561">
        <f t="shared" ca="1" si="409"/>
        <v>0</v>
      </c>
      <c r="BO106" s="561">
        <f t="shared" ca="1" si="409"/>
        <v>0</v>
      </c>
      <c r="BP106" s="561">
        <f t="shared" ca="1" si="409"/>
        <v>0</v>
      </c>
      <c r="BQ106" s="561">
        <f t="shared" ca="1" si="409"/>
        <v>0</v>
      </c>
      <c r="BR106" s="561">
        <f t="shared" ca="1" si="409"/>
        <v>0</v>
      </c>
      <c r="BS106" s="561">
        <f t="shared" ca="1" si="409"/>
        <v>0</v>
      </c>
      <c r="BT106" s="561">
        <f t="shared" ca="1" si="409"/>
        <v>0</v>
      </c>
      <c r="BU106" s="561">
        <f t="shared" ca="1" si="409"/>
        <v>0</v>
      </c>
      <c r="BV106" s="561">
        <f t="shared" ca="1" si="409"/>
        <v>0</v>
      </c>
      <c r="BW106" s="561">
        <f t="shared" ca="1" si="410"/>
        <v>0</v>
      </c>
      <c r="BX106" s="561">
        <f t="shared" ca="1" si="410"/>
        <v>0</v>
      </c>
      <c r="BY106" s="561">
        <f t="shared" ca="1" si="410"/>
        <v>0</v>
      </c>
      <c r="BZ106" s="561">
        <f t="shared" ca="1" si="410"/>
        <v>0</v>
      </c>
      <c r="CA106" s="561">
        <f t="shared" ca="1" si="410"/>
        <v>0</v>
      </c>
      <c r="CB106" s="561">
        <f t="shared" ca="1" si="410"/>
        <v>0</v>
      </c>
      <c r="CC106" s="561">
        <f t="shared" ca="1" si="410"/>
        <v>0</v>
      </c>
      <c r="CD106" s="561">
        <f t="shared" ca="1" si="410"/>
        <v>0</v>
      </c>
      <c r="CE106" s="561">
        <f t="shared" ca="1" si="410"/>
        <v>0</v>
      </c>
      <c r="CF106" s="561">
        <f t="shared" ca="1" si="410"/>
        <v>0</v>
      </c>
      <c r="CG106" s="561">
        <f t="shared" ca="1" si="410"/>
        <v>0</v>
      </c>
      <c r="CH106" s="561">
        <f t="shared" ca="1" si="410"/>
        <v>0</v>
      </c>
      <c r="CI106" s="561">
        <f t="shared" ca="1" si="410"/>
        <v>0</v>
      </c>
      <c r="CJ106" s="561">
        <f t="shared" ca="1" si="410"/>
        <v>0</v>
      </c>
      <c r="CK106" s="561">
        <f t="shared" ca="1" si="410"/>
        <v>0</v>
      </c>
      <c r="CL106" s="561">
        <f t="shared" ca="1" si="410"/>
        <v>0</v>
      </c>
      <c r="CM106" s="561">
        <f t="shared" ca="1" si="411"/>
        <v>0</v>
      </c>
      <c r="CN106" s="561">
        <f t="shared" ca="1" si="411"/>
        <v>0</v>
      </c>
      <c r="CO106" s="561">
        <f t="shared" ca="1" si="411"/>
        <v>0</v>
      </c>
      <c r="CP106" s="561">
        <f t="shared" ca="1" si="411"/>
        <v>0</v>
      </c>
      <c r="CQ106" s="561">
        <f t="shared" ca="1" si="411"/>
        <v>0</v>
      </c>
      <c r="CR106" s="561">
        <f t="shared" ca="1" si="411"/>
        <v>0</v>
      </c>
      <c r="CS106" s="561">
        <f t="shared" ca="1" si="411"/>
        <v>0</v>
      </c>
      <c r="CT106" s="561">
        <f t="shared" ca="1" si="411"/>
        <v>0</v>
      </c>
      <c r="CU106" s="561">
        <f t="shared" ca="1" si="411"/>
        <v>0</v>
      </c>
      <c r="CV106" s="561">
        <f t="shared" ca="1" si="411"/>
        <v>0</v>
      </c>
      <c r="CW106" s="561">
        <f t="shared" ca="1" si="411"/>
        <v>0</v>
      </c>
      <c r="CX106" s="561">
        <f t="shared" ca="1" si="411"/>
        <v>0</v>
      </c>
      <c r="CY106" s="561">
        <f t="shared" ca="1" si="411"/>
        <v>0</v>
      </c>
      <c r="CZ106" s="561">
        <f t="shared" ca="1" si="411"/>
        <v>0</v>
      </c>
      <c r="DA106" s="561">
        <f t="shared" ca="1" si="411"/>
        <v>0</v>
      </c>
      <c r="DB106" s="561">
        <f t="shared" ca="1" si="411"/>
        <v>0</v>
      </c>
      <c r="DC106" s="561">
        <f t="shared" ca="1" si="412"/>
        <v>0</v>
      </c>
      <c r="DD106" s="561">
        <f t="shared" ca="1" si="412"/>
        <v>0</v>
      </c>
      <c r="DE106" s="561">
        <f t="shared" ca="1" si="412"/>
        <v>0</v>
      </c>
      <c r="DF106" s="561">
        <f t="shared" ca="1" si="412"/>
        <v>0</v>
      </c>
      <c r="DG106" s="561">
        <f t="shared" ca="1" si="412"/>
        <v>0</v>
      </c>
      <c r="DH106" s="561">
        <f t="shared" ca="1" si="412"/>
        <v>0</v>
      </c>
      <c r="DI106" s="561">
        <f t="shared" ca="1" si="412"/>
        <v>0</v>
      </c>
      <c r="DJ106" s="561">
        <f t="shared" ca="1" si="412"/>
        <v>0</v>
      </c>
      <c r="DK106" s="561">
        <f t="shared" ca="1" si="412"/>
        <v>0</v>
      </c>
      <c r="DL106" s="561">
        <f t="shared" ca="1" si="412"/>
        <v>0</v>
      </c>
      <c r="DM106" s="561">
        <f t="shared" ca="1" si="412"/>
        <v>0</v>
      </c>
      <c r="DN106" s="561">
        <f t="shared" ca="1" si="412"/>
        <v>0</v>
      </c>
      <c r="DO106" s="561">
        <f t="shared" ca="1" si="412"/>
        <v>0</v>
      </c>
      <c r="DP106" s="561">
        <f t="shared" ca="1" si="412"/>
        <v>0</v>
      </c>
    </row>
    <row r="107" spans="1:120" outlineLevel="1">
      <c r="A107" s="89">
        <v>1110052010</v>
      </c>
      <c r="B107" s="90" t="s">
        <v>2464</v>
      </c>
      <c r="C107" s="1476" t="s">
        <v>64</v>
      </c>
      <c r="D107" s="1481"/>
      <c r="E107" s="1482">
        <v>45016</v>
      </c>
      <c r="F107" s="420"/>
      <c r="G107" s="1256"/>
      <c r="H107" s="421"/>
      <c r="I107" s="422"/>
      <c r="J107" s="1425">
        <v>1</v>
      </c>
      <c r="K107" s="1426">
        <v>1</v>
      </c>
      <c r="L107" s="1043"/>
      <c r="M107" s="1594">
        <f t="shared" si="399"/>
        <v>0</v>
      </c>
      <c r="N107" s="504">
        <f ca="1">IF(OR(E107="",E107&gt;TODAY()),0,IF(ISERROR(VLOOKUP($E107,'TRM BanRep'!$A:$G,7,0)),0,VLOOKUP($E107,'TRM BanRep'!$A:$G,7,0)))</f>
        <v>4627.2700000000004</v>
      </c>
      <c r="O107" s="424">
        <f t="shared" ca="1" si="400"/>
        <v>0</v>
      </c>
      <c r="P107" s="425">
        <v>-649494.12</v>
      </c>
      <c r="Q107" s="1340">
        <f t="shared" si="401"/>
        <v>-649494.12</v>
      </c>
      <c r="R107" s="426">
        <v>4755.12</v>
      </c>
      <c r="S107" s="426">
        <f ca="1">IF(OR(E107="",E107&gt;TODAY()),0,IF(ISERROR(VLOOKUP($E107,'TRM BanRep'!$A:$G,7,0)),0,VLOOKUP($E107,'TRM BanRep'!$A:$G,7,0)))</f>
        <v>4627.2700000000004</v>
      </c>
      <c r="T107" s="427">
        <f t="shared" ca="1" si="402"/>
        <v>-3005384656.6524005</v>
      </c>
      <c r="U107" s="418">
        <f t="shared" si="403"/>
        <v>-649494.12</v>
      </c>
      <c r="V107" s="517">
        <f t="shared" ca="1" si="404"/>
        <v>-3088422479.8944001</v>
      </c>
      <c r="W107" s="428">
        <f t="shared" ca="1" si="405"/>
        <v>83037823.241999626</v>
      </c>
      <c r="X107" s="429">
        <f t="shared" ca="1" si="406"/>
        <v>0</v>
      </c>
      <c r="Y107" s="92"/>
      <c r="Z107" s="1055"/>
      <c r="AA107" s="85">
        <f t="shared" ca="1" si="407"/>
        <v>0</v>
      </c>
      <c r="AB107" s="508">
        <f t="shared" ca="1" si="407"/>
        <v>0</v>
      </c>
      <c r="AC107" s="508">
        <f t="shared" ca="1" si="407"/>
        <v>0</v>
      </c>
      <c r="AD107" s="508">
        <f t="shared" ca="1" si="407"/>
        <v>0</v>
      </c>
      <c r="AE107" s="508">
        <f t="shared" ca="1" si="407"/>
        <v>0</v>
      </c>
      <c r="AF107" s="561">
        <f t="shared" ca="1" si="407"/>
        <v>0</v>
      </c>
      <c r="AG107" s="561">
        <f t="shared" ca="1" si="407"/>
        <v>0</v>
      </c>
      <c r="AH107" s="561">
        <f t="shared" ca="1" si="407"/>
        <v>0</v>
      </c>
      <c r="AI107" s="561">
        <f t="shared" ca="1" si="407"/>
        <v>0</v>
      </c>
      <c r="AJ107" s="561">
        <f t="shared" ca="1" si="407"/>
        <v>0</v>
      </c>
      <c r="AK107" s="561">
        <f t="shared" ca="1" si="407"/>
        <v>0</v>
      </c>
      <c r="AL107" s="1542">
        <f t="shared" ca="1" si="407"/>
        <v>0</v>
      </c>
      <c r="AM107" s="561">
        <f t="shared" ca="1" si="407"/>
        <v>0</v>
      </c>
      <c r="AN107" s="561">
        <f t="shared" ca="1" si="407"/>
        <v>0</v>
      </c>
      <c r="AO107" s="561">
        <f t="shared" ca="1" si="407"/>
        <v>0</v>
      </c>
      <c r="AP107" s="561">
        <f t="shared" ca="1" si="407"/>
        <v>0</v>
      </c>
      <c r="AQ107" s="561">
        <f t="shared" ca="1" si="408"/>
        <v>0</v>
      </c>
      <c r="AR107" s="561">
        <f t="shared" ca="1" si="408"/>
        <v>0</v>
      </c>
      <c r="AS107" s="561">
        <f t="shared" ca="1" si="408"/>
        <v>0</v>
      </c>
      <c r="AT107" s="561">
        <f t="shared" ca="1" si="408"/>
        <v>0</v>
      </c>
      <c r="AU107" s="561">
        <f t="shared" ca="1" si="408"/>
        <v>0</v>
      </c>
      <c r="AV107" s="561">
        <f t="shared" ca="1" si="408"/>
        <v>-649494.12</v>
      </c>
      <c r="AW107" s="561">
        <f t="shared" ca="1" si="408"/>
        <v>0</v>
      </c>
      <c r="AX107" s="561">
        <f t="shared" ca="1" si="408"/>
        <v>0</v>
      </c>
      <c r="AY107" s="561">
        <f t="shared" ca="1" si="408"/>
        <v>0</v>
      </c>
      <c r="AZ107" s="561">
        <f t="shared" ca="1" si="408"/>
        <v>0</v>
      </c>
      <c r="BA107" s="561">
        <f t="shared" ca="1" si="408"/>
        <v>0</v>
      </c>
      <c r="BB107" s="561">
        <f t="shared" ca="1" si="408"/>
        <v>0</v>
      </c>
      <c r="BC107" s="561">
        <f t="shared" ca="1" si="408"/>
        <v>0</v>
      </c>
      <c r="BD107" s="561">
        <f t="shared" ca="1" si="408"/>
        <v>0</v>
      </c>
      <c r="BE107" s="561">
        <f t="shared" ca="1" si="408"/>
        <v>0</v>
      </c>
      <c r="BF107" s="561">
        <f t="shared" ca="1" si="408"/>
        <v>0</v>
      </c>
      <c r="BG107" s="561">
        <f t="shared" ca="1" si="409"/>
        <v>0</v>
      </c>
      <c r="BH107" s="561">
        <f t="shared" ca="1" si="409"/>
        <v>0</v>
      </c>
      <c r="BI107" s="561">
        <f t="shared" ca="1" si="409"/>
        <v>0</v>
      </c>
      <c r="BJ107" s="561">
        <f t="shared" ca="1" si="409"/>
        <v>0</v>
      </c>
      <c r="BK107" s="561">
        <f t="shared" ca="1" si="409"/>
        <v>0</v>
      </c>
      <c r="BL107" s="561">
        <f t="shared" ca="1" si="409"/>
        <v>0</v>
      </c>
      <c r="BM107" s="561">
        <f t="shared" ca="1" si="409"/>
        <v>0</v>
      </c>
      <c r="BN107" s="561">
        <f t="shared" ca="1" si="409"/>
        <v>0</v>
      </c>
      <c r="BO107" s="561">
        <f t="shared" ca="1" si="409"/>
        <v>0</v>
      </c>
      <c r="BP107" s="561">
        <f t="shared" ca="1" si="409"/>
        <v>0</v>
      </c>
      <c r="BQ107" s="561">
        <f t="shared" ca="1" si="409"/>
        <v>0</v>
      </c>
      <c r="BR107" s="561">
        <f t="shared" ca="1" si="409"/>
        <v>0</v>
      </c>
      <c r="BS107" s="561">
        <f t="shared" ca="1" si="409"/>
        <v>0</v>
      </c>
      <c r="BT107" s="561">
        <f t="shared" ca="1" si="409"/>
        <v>0</v>
      </c>
      <c r="BU107" s="561">
        <f t="shared" ca="1" si="409"/>
        <v>0</v>
      </c>
      <c r="BV107" s="561">
        <f t="shared" ca="1" si="409"/>
        <v>0</v>
      </c>
      <c r="BW107" s="561">
        <f t="shared" ca="1" si="410"/>
        <v>0</v>
      </c>
      <c r="BX107" s="561">
        <f t="shared" ca="1" si="410"/>
        <v>0</v>
      </c>
      <c r="BY107" s="561">
        <f t="shared" ca="1" si="410"/>
        <v>0</v>
      </c>
      <c r="BZ107" s="561">
        <f t="shared" ca="1" si="410"/>
        <v>0</v>
      </c>
      <c r="CA107" s="561">
        <f t="shared" ca="1" si="410"/>
        <v>0</v>
      </c>
      <c r="CB107" s="561">
        <f t="shared" ca="1" si="410"/>
        <v>0</v>
      </c>
      <c r="CC107" s="561">
        <f t="shared" ca="1" si="410"/>
        <v>0</v>
      </c>
      <c r="CD107" s="561">
        <f t="shared" ca="1" si="410"/>
        <v>0</v>
      </c>
      <c r="CE107" s="561">
        <f t="shared" ca="1" si="410"/>
        <v>0</v>
      </c>
      <c r="CF107" s="561">
        <f t="shared" ca="1" si="410"/>
        <v>0</v>
      </c>
      <c r="CG107" s="561">
        <f t="shared" ca="1" si="410"/>
        <v>0</v>
      </c>
      <c r="CH107" s="561">
        <f t="shared" ca="1" si="410"/>
        <v>0</v>
      </c>
      <c r="CI107" s="561">
        <f t="shared" ca="1" si="410"/>
        <v>0</v>
      </c>
      <c r="CJ107" s="561">
        <f t="shared" ca="1" si="410"/>
        <v>0</v>
      </c>
      <c r="CK107" s="561">
        <f t="shared" ca="1" si="410"/>
        <v>0</v>
      </c>
      <c r="CL107" s="561">
        <f t="shared" ca="1" si="410"/>
        <v>0</v>
      </c>
      <c r="CM107" s="561">
        <f t="shared" ca="1" si="411"/>
        <v>0</v>
      </c>
      <c r="CN107" s="561">
        <f t="shared" ca="1" si="411"/>
        <v>0</v>
      </c>
      <c r="CO107" s="561">
        <f t="shared" ca="1" si="411"/>
        <v>0</v>
      </c>
      <c r="CP107" s="561">
        <f t="shared" ca="1" si="411"/>
        <v>0</v>
      </c>
      <c r="CQ107" s="561">
        <f t="shared" ca="1" si="411"/>
        <v>0</v>
      </c>
      <c r="CR107" s="561">
        <f t="shared" ca="1" si="411"/>
        <v>0</v>
      </c>
      <c r="CS107" s="561">
        <f t="shared" ca="1" si="411"/>
        <v>0</v>
      </c>
      <c r="CT107" s="561">
        <f t="shared" ca="1" si="411"/>
        <v>0</v>
      </c>
      <c r="CU107" s="561">
        <f t="shared" ca="1" si="411"/>
        <v>0</v>
      </c>
      <c r="CV107" s="561">
        <f t="shared" ca="1" si="411"/>
        <v>0</v>
      </c>
      <c r="CW107" s="561">
        <f t="shared" ca="1" si="411"/>
        <v>0</v>
      </c>
      <c r="CX107" s="561">
        <f t="shared" ca="1" si="411"/>
        <v>0</v>
      </c>
      <c r="CY107" s="561">
        <f t="shared" ca="1" si="411"/>
        <v>0</v>
      </c>
      <c r="CZ107" s="561">
        <f t="shared" ca="1" si="411"/>
        <v>0</v>
      </c>
      <c r="DA107" s="561">
        <f t="shared" ca="1" si="411"/>
        <v>0</v>
      </c>
      <c r="DB107" s="561">
        <f t="shared" ca="1" si="411"/>
        <v>0</v>
      </c>
      <c r="DC107" s="561">
        <f t="shared" ca="1" si="412"/>
        <v>0</v>
      </c>
      <c r="DD107" s="561">
        <f t="shared" ca="1" si="412"/>
        <v>0</v>
      </c>
      <c r="DE107" s="561">
        <f t="shared" ca="1" si="412"/>
        <v>0</v>
      </c>
      <c r="DF107" s="561">
        <f t="shared" ca="1" si="412"/>
        <v>0</v>
      </c>
      <c r="DG107" s="561">
        <f t="shared" ca="1" si="412"/>
        <v>0</v>
      </c>
      <c r="DH107" s="561">
        <f t="shared" ca="1" si="412"/>
        <v>0</v>
      </c>
      <c r="DI107" s="561">
        <f t="shared" ca="1" si="412"/>
        <v>0</v>
      </c>
      <c r="DJ107" s="561">
        <f t="shared" ca="1" si="412"/>
        <v>0</v>
      </c>
      <c r="DK107" s="561">
        <f t="shared" ca="1" si="412"/>
        <v>0</v>
      </c>
      <c r="DL107" s="561">
        <f t="shared" ca="1" si="412"/>
        <v>0</v>
      </c>
      <c r="DM107" s="561">
        <f t="shared" ca="1" si="412"/>
        <v>0</v>
      </c>
      <c r="DN107" s="561">
        <f t="shared" ca="1" si="412"/>
        <v>0</v>
      </c>
      <c r="DO107" s="561">
        <f t="shared" ca="1" si="412"/>
        <v>0</v>
      </c>
      <c r="DP107" s="561">
        <f t="shared" ca="1" si="412"/>
        <v>0</v>
      </c>
    </row>
    <row r="108" spans="1:120" outlineLevel="1">
      <c r="A108" s="89">
        <v>1110052010</v>
      </c>
      <c r="B108" s="90" t="s">
        <v>2464</v>
      </c>
      <c r="C108" s="1476" t="s">
        <v>64</v>
      </c>
      <c r="D108" s="1481"/>
      <c r="E108" s="1482">
        <v>45016</v>
      </c>
      <c r="F108" s="420"/>
      <c r="G108" s="1256"/>
      <c r="H108" s="421"/>
      <c r="I108" s="422"/>
      <c r="J108" s="1425">
        <v>1</v>
      </c>
      <c r="K108" s="1426">
        <v>1</v>
      </c>
      <c r="L108" s="1043"/>
      <c r="M108" s="1594">
        <f t="shared" ref="M108" si="413">+L108*J108</f>
        <v>0</v>
      </c>
      <c r="N108" s="504">
        <f ca="1">IF(OR(E108="",E108&gt;TODAY()),0,IF(ISERROR(VLOOKUP($E108,'TRM BanRep'!$A:$G,7,0)),0,VLOOKUP($E108,'TRM BanRep'!$A:$G,7,0)))</f>
        <v>4627.2700000000004</v>
      </c>
      <c r="O108" s="424">
        <f t="shared" ref="O108" ca="1" si="414">+L108*J108*N108</f>
        <v>0</v>
      </c>
      <c r="P108" s="425">
        <v>-5850643</v>
      </c>
      <c r="Q108" s="1340">
        <f t="shared" ref="Q108" si="415">+P108*K108</f>
        <v>-5850643</v>
      </c>
      <c r="R108" s="426">
        <v>4658.79</v>
      </c>
      <c r="S108" s="426">
        <f ca="1">IF(OR(E108="",E108&gt;TODAY()),0,IF(ISERROR(VLOOKUP($E108,'TRM BanRep'!$A:$G,7,0)),0,VLOOKUP($E108,'TRM BanRep'!$A:$G,7,0)))</f>
        <v>4627.2700000000004</v>
      </c>
      <c r="T108" s="427">
        <f t="shared" ref="T108" ca="1" si="416">+P108*K108*S108</f>
        <v>-27072504834.610004</v>
      </c>
      <c r="U108" s="418">
        <f t="shared" ref="U108" si="417">+L108+P108+F108</f>
        <v>-5850643</v>
      </c>
      <c r="V108" s="517">
        <f t="shared" ref="V108" ca="1" si="418">+P108*J108*R108+L108*J108*N108+F108*J108*H108</f>
        <v>-27256917101.970001</v>
      </c>
      <c r="W108" s="428">
        <f t="shared" ref="W108" ca="1" si="419">IF((-P108*J108*R108)-(-P108*K108*S108)&gt;0,(-P108*J108*R108)-(-P108*K108*S108),0)</f>
        <v>184412267.3599968</v>
      </c>
      <c r="X108" s="429">
        <f t="shared" ref="X108" ca="1" si="420">IF((-P108*J108*R108)-(-P108*K108*S108)&lt;0,(-P108*J108*R108)-(-P108*K108*S108),0)</f>
        <v>0</v>
      </c>
      <c r="Y108" s="92"/>
      <c r="Z108" s="1055"/>
      <c r="AA108" s="85">
        <f t="shared" ca="1" si="407"/>
        <v>0</v>
      </c>
      <c r="AB108" s="508">
        <f t="shared" ca="1" si="407"/>
        <v>0</v>
      </c>
      <c r="AC108" s="508">
        <f t="shared" ca="1" si="407"/>
        <v>0</v>
      </c>
      <c r="AD108" s="508">
        <f t="shared" ca="1" si="407"/>
        <v>0</v>
      </c>
      <c r="AE108" s="508">
        <f t="shared" ca="1" si="407"/>
        <v>0</v>
      </c>
      <c r="AF108" s="561">
        <f t="shared" ca="1" si="407"/>
        <v>0</v>
      </c>
      <c r="AG108" s="561">
        <f t="shared" ca="1" si="407"/>
        <v>0</v>
      </c>
      <c r="AH108" s="561">
        <f t="shared" ca="1" si="407"/>
        <v>0</v>
      </c>
      <c r="AI108" s="561">
        <f t="shared" ca="1" si="407"/>
        <v>0</v>
      </c>
      <c r="AJ108" s="561">
        <f t="shared" ca="1" si="407"/>
        <v>0</v>
      </c>
      <c r="AK108" s="561">
        <f t="shared" ca="1" si="407"/>
        <v>0</v>
      </c>
      <c r="AL108" s="1542">
        <f t="shared" ca="1" si="407"/>
        <v>0</v>
      </c>
      <c r="AM108" s="561">
        <f t="shared" ca="1" si="407"/>
        <v>0</v>
      </c>
      <c r="AN108" s="561">
        <f t="shared" ca="1" si="407"/>
        <v>0</v>
      </c>
      <c r="AO108" s="561">
        <f t="shared" ca="1" si="407"/>
        <v>0</v>
      </c>
      <c r="AP108" s="561">
        <f t="shared" ca="1" si="407"/>
        <v>0</v>
      </c>
      <c r="AQ108" s="561">
        <f t="shared" ca="1" si="408"/>
        <v>0</v>
      </c>
      <c r="AR108" s="561">
        <f t="shared" ca="1" si="408"/>
        <v>0</v>
      </c>
      <c r="AS108" s="561">
        <f t="shared" ca="1" si="408"/>
        <v>0</v>
      </c>
      <c r="AT108" s="561">
        <f t="shared" ca="1" si="408"/>
        <v>0</v>
      </c>
      <c r="AU108" s="561">
        <f t="shared" ca="1" si="408"/>
        <v>0</v>
      </c>
      <c r="AV108" s="561">
        <f t="shared" ca="1" si="408"/>
        <v>0</v>
      </c>
      <c r="AW108" s="561">
        <f t="shared" ca="1" si="408"/>
        <v>-5850643</v>
      </c>
      <c r="AX108" s="561">
        <f t="shared" ca="1" si="408"/>
        <v>0</v>
      </c>
      <c r="AY108" s="561">
        <f t="shared" ca="1" si="408"/>
        <v>0</v>
      </c>
      <c r="AZ108" s="561">
        <f t="shared" ca="1" si="408"/>
        <v>0</v>
      </c>
      <c r="BA108" s="561">
        <f t="shared" ca="1" si="408"/>
        <v>0</v>
      </c>
      <c r="BB108" s="561">
        <f t="shared" ca="1" si="408"/>
        <v>0</v>
      </c>
      <c r="BC108" s="561">
        <f t="shared" ca="1" si="408"/>
        <v>0</v>
      </c>
      <c r="BD108" s="561">
        <f t="shared" ca="1" si="408"/>
        <v>0</v>
      </c>
      <c r="BE108" s="561">
        <f t="shared" ca="1" si="408"/>
        <v>0</v>
      </c>
      <c r="BF108" s="561">
        <f t="shared" ca="1" si="408"/>
        <v>0</v>
      </c>
      <c r="BG108" s="561">
        <f t="shared" ca="1" si="409"/>
        <v>0</v>
      </c>
      <c r="BH108" s="561">
        <f t="shared" ca="1" si="409"/>
        <v>0</v>
      </c>
      <c r="BI108" s="561">
        <f t="shared" ca="1" si="409"/>
        <v>0</v>
      </c>
      <c r="BJ108" s="561">
        <f t="shared" ca="1" si="409"/>
        <v>0</v>
      </c>
      <c r="BK108" s="561">
        <f t="shared" ca="1" si="409"/>
        <v>0</v>
      </c>
      <c r="BL108" s="561">
        <f t="shared" ca="1" si="409"/>
        <v>0</v>
      </c>
      <c r="BM108" s="561">
        <f t="shared" ca="1" si="409"/>
        <v>0</v>
      </c>
      <c r="BN108" s="561">
        <f t="shared" ca="1" si="409"/>
        <v>0</v>
      </c>
      <c r="BO108" s="561">
        <f t="shared" ca="1" si="409"/>
        <v>0</v>
      </c>
      <c r="BP108" s="561">
        <f t="shared" ca="1" si="409"/>
        <v>0</v>
      </c>
      <c r="BQ108" s="561">
        <f t="shared" ca="1" si="409"/>
        <v>0</v>
      </c>
      <c r="BR108" s="561">
        <f t="shared" ca="1" si="409"/>
        <v>0</v>
      </c>
      <c r="BS108" s="561">
        <f t="shared" ca="1" si="409"/>
        <v>0</v>
      </c>
      <c r="BT108" s="561">
        <f t="shared" ca="1" si="409"/>
        <v>0</v>
      </c>
      <c r="BU108" s="561">
        <f t="shared" ca="1" si="409"/>
        <v>0</v>
      </c>
      <c r="BV108" s="561">
        <f t="shared" ca="1" si="409"/>
        <v>0</v>
      </c>
      <c r="BW108" s="561">
        <f t="shared" ca="1" si="410"/>
        <v>0</v>
      </c>
      <c r="BX108" s="561">
        <f t="shared" ca="1" si="410"/>
        <v>0</v>
      </c>
      <c r="BY108" s="561">
        <f t="shared" ca="1" si="410"/>
        <v>0</v>
      </c>
      <c r="BZ108" s="561">
        <f t="shared" ca="1" si="410"/>
        <v>0</v>
      </c>
      <c r="CA108" s="561">
        <f t="shared" ca="1" si="410"/>
        <v>0</v>
      </c>
      <c r="CB108" s="561">
        <f t="shared" ca="1" si="410"/>
        <v>0</v>
      </c>
      <c r="CC108" s="561">
        <f t="shared" ca="1" si="410"/>
        <v>0</v>
      </c>
      <c r="CD108" s="561">
        <f t="shared" ca="1" si="410"/>
        <v>0</v>
      </c>
      <c r="CE108" s="561">
        <f t="shared" ca="1" si="410"/>
        <v>0</v>
      </c>
      <c r="CF108" s="561">
        <f t="shared" ca="1" si="410"/>
        <v>0</v>
      </c>
      <c r="CG108" s="561">
        <f t="shared" ca="1" si="410"/>
        <v>0</v>
      </c>
      <c r="CH108" s="561">
        <f t="shared" ca="1" si="410"/>
        <v>0</v>
      </c>
      <c r="CI108" s="561">
        <f t="shared" ca="1" si="410"/>
        <v>0</v>
      </c>
      <c r="CJ108" s="561">
        <f t="shared" ca="1" si="410"/>
        <v>0</v>
      </c>
      <c r="CK108" s="561">
        <f t="shared" ca="1" si="410"/>
        <v>0</v>
      </c>
      <c r="CL108" s="561">
        <f t="shared" ca="1" si="410"/>
        <v>0</v>
      </c>
      <c r="CM108" s="561">
        <f t="shared" ca="1" si="411"/>
        <v>0</v>
      </c>
      <c r="CN108" s="561">
        <f t="shared" ca="1" si="411"/>
        <v>0</v>
      </c>
      <c r="CO108" s="561">
        <f t="shared" ca="1" si="411"/>
        <v>0</v>
      </c>
      <c r="CP108" s="561">
        <f t="shared" ca="1" si="411"/>
        <v>0</v>
      </c>
      <c r="CQ108" s="561">
        <f t="shared" ca="1" si="411"/>
        <v>0</v>
      </c>
      <c r="CR108" s="561">
        <f t="shared" ca="1" si="411"/>
        <v>0</v>
      </c>
      <c r="CS108" s="561">
        <f t="shared" ca="1" si="411"/>
        <v>0</v>
      </c>
      <c r="CT108" s="561">
        <f t="shared" ca="1" si="411"/>
        <v>0</v>
      </c>
      <c r="CU108" s="561">
        <f t="shared" ca="1" si="411"/>
        <v>0</v>
      </c>
      <c r="CV108" s="561">
        <f t="shared" ca="1" si="411"/>
        <v>0</v>
      </c>
      <c r="CW108" s="561">
        <f t="shared" ca="1" si="411"/>
        <v>0</v>
      </c>
      <c r="CX108" s="561">
        <f t="shared" ca="1" si="411"/>
        <v>0</v>
      </c>
      <c r="CY108" s="561">
        <f t="shared" ca="1" si="411"/>
        <v>0</v>
      </c>
      <c r="CZ108" s="561">
        <f t="shared" ca="1" si="411"/>
        <v>0</v>
      </c>
      <c r="DA108" s="561">
        <f t="shared" ca="1" si="411"/>
        <v>0</v>
      </c>
      <c r="DB108" s="561">
        <f t="shared" ca="1" si="411"/>
        <v>0</v>
      </c>
      <c r="DC108" s="561">
        <f t="shared" ca="1" si="412"/>
        <v>0</v>
      </c>
      <c r="DD108" s="561">
        <f t="shared" ca="1" si="412"/>
        <v>0</v>
      </c>
      <c r="DE108" s="561">
        <f t="shared" ca="1" si="412"/>
        <v>0</v>
      </c>
      <c r="DF108" s="561">
        <f t="shared" ca="1" si="412"/>
        <v>0</v>
      </c>
      <c r="DG108" s="561">
        <f t="shared" ca="1" si="412"/>
        <v>0</v>
      </c>
      <c r="DH108" s="561">
        <f t="shared" ca="1" si="412"/>
        <v>0</v>
      </c>
      <c r="DI108" s="561">
        <f t="shared" ca="1" si="412"/>
        <v>0</v>
      </c>
      <c r="DJ108" s="561">
        <f t="shared" ca="1" si="412"/>
        <v>0</v>
      </c>
      <c r="DK108" s="561">
        <f t="shared" ca="1" si="412"/>
        <v>0</v>
      </c>
      <c r="DL108" s="561">
        <f t="shared" ca="1" si="412"/>
        <v>0</v>
      </c>
      <c r="DM108" s="561">
        <f t="shared" ca="1" si="412"/>
        <v>0</v>
      </c>
      <c r="DN108" s="561">
        <f t="shared" ca="1" si="412"/>
        <v>0</v>
      </c>
      <c r="DO108" s="561">
        <f t="shared" ca="1" si="412"/>
        <v>0</v>
      </c>
      <c r="DP108" s="561">
        <f t="shared" ca="1" si="412"/>
        <v>0</v>
      </c>
    </row>
    <row r="109" spans="1:120" outlineLevel="1">
      <c r="A109" s="89">
        <v>1110052010</v>
      </c>
      <c r="B109" s="90" t="s">
        <v>2464</v>
      </c>
      <c r="C109" s="1476" t="s">
        <v>64</v>
      </c>
      <c r="D109" s="1481"/>
      <c r="E109" s="1482">
        <v>45016</v>
      </c>
      <c r="F109" s="420"/>
      <c r="G109" s="1256"/>
      <c r="H109" s="421"/>
      <c r="I109" s="422"/>
      <c r="J109" s="1425">
        <v>1</v>
      </c>
      <c r="K109" s="1426">
        <v>1</v>
      </c>
      <c r="L109" s="1043"/>
      <c r="M109" s="1594">
        <f t="shared" si="399"/>
        <v>0</v>
      </c>
      <c r="N109" s="504">
        <f ca="1">IF(OR(E109="",E109&gt;TODAY()),0,IF(ISERROR(VLOOKUP($E109,'TRM BanRep'!$A:$G,7,0)),0,VLOOKUP($E109,'TRM BanRep'!$A:$G,7,0)))</f>
        <v>4627.2700000000004</v>
      </c>
      <c r="O109" s="424">
        <f t="shared" ca="1" si="400"/>
        <v>0</v>
      </c>
      <c r="P109" s="425">
        <v>-355495.35</v>
      </c>
      <c r="Q109" s="1340">
        <f t="shared" si="401"/>
        <v>-355495.35</v>
      </c>
      <c r="R109" s="426">
        <v>4755.12</v>
      </c>
      <c r="S109" s="426">
        <f ca="1">IF(OR(E109="",E109&gt;TODAY()),0,IF(ISERROR(VLOOKUP($E109,'TRM BanRep'!$A:$G,7,0)),0,VLOOKUP($E109,'TRM BanRep'!$A:$G,7,0)))</f>
        <v>4627.2700000000004</v>
      </c>
      <c r="T109" s="427">
        <f t="shared" ca="1" si="402"/>
        <v>-1644972968.1945</v>
      </c>
      <c r="U109" s="418">
        <f t="shared" si="403"/>
        <v>-355495.35</v>
      </c>
      <c r="V109" s="517">
        <f t="shared" ca="1" si="404"/>
        <v>-1690423048.6919999</v>
      </c>
      <c r="W109" s="428">
        <f t="shared" ca="1" si="405"/>
        <v>45450080.497499943</v>
      </c>
      <c r="X109" s="429">
        <f t="shared" ca="1" si="406"/>
        <v>0</v>
      </c>
      <c r="Y109" s="92"/>
      <c r="Z109" s="1055"/>
      <c r="AA109" s="85">
        <f t="shared" ca="1" si="407"/>
        <v>0</v>
      </c>
      <c r="AB109" s="508">
        <f t="shared" ca="1" si="407"/>
        <v>0</v>
      </c>
      <c r="AC109" s="508">
        <f t="shared" ca="1" si="407"/>
        <v>0</v>
      </c>
      <c r="AD109" s="508">
        <f t="shared" ca="1" si="407"/>
        <v>0</v>
      </c>
      <c r="AE109" s="508">
        <f t="shared" ca="1" si="407"/>
        <v>0</v>
      </c>
      <c r="AF109" s="561">
        <f t="shared" ca="1" si="407"/>
        <v>0</v>
      </c>
      <c r="AG109" s="561">
        <f t="shared" ca="1" si="407"/>
        <v>0</v>
      </c>
      <c r="AH109" s="561">
        <f t="shared" ca="1" si="407"/>
        <v>0</v>
      </c>
      <c r="AI109" s="561">
        <f t="shared" ca="1" si="407"/>
        <v>0</v>
      </c>
      <c r="AJ109" s="561">
        <f t="shared" ca="1" si="407"/>
        <v>0</v>
      </c>
      <c r="AK109" s="561">
        <f t="shared" ca="1" si="407"/>
        <v>0</v>
      </c>
      <c r="AL109" s="1542">
        <f t="shared" ca="1" si="407"/>
        <v>0</v>
      </c>
      <c r="AM109" s="561">
        <f t="shared" ca="1" si="407"/>
        <v>0</v>
      </c>
      <c r="AN109" s="561">
        <f t="shared" ca="1" si="407"/>
        <v>0</v>
      </c>
      <c r="AO109" s="561">
        <f t="shared" ca="1" si="407"/>
        <v>0</v>
      </c>
      <c r="AP109" s="561">
        <f t="shared" ca="1" si="407"/>
        <v>0</v>
      </c>
      <c r="AQ109" s="561">
        <f t="shared" ca="1" si="408"/>
        <v>0</v>
      </c>
      <c r="AR109" s="561">
        <f t="shared" ca="1" si="408"/>
        <v>0</v>
      </c>
      <c r="AS109" s="561">
        <f t="shared" ca="1" si="408"/>
        <v>0</v>
      </c>
      <c r="AT109" s="561">
        <f t="shared" ca="1" si="408"/>
        <v>0</v>
      </c>
      <c r="AU109" s="561">
        <f t="shared" ca="1" si="408"/>
        <v>0</v>
      </c>
      <c r="AV109" s="561">
        <f t="shared" ca="1" si="408"/>
        <v>-355495.35</v>
      </c>
      <c r="AW109" s="561">
        <f t="shared" ca="1" si="408"/>
        <v>0</v>
      </c>
      <c r="AX109" s="561">
        <f t="shared" ca="1" si="408"/>
        <v>0</v>
      </c>
      <c r="AY109" s="561">
        <f t="shared" ca="1" si="408"/>
        <v>0</v>
      </c>
      <c r="AZ109" s="561">
        <f t="shared" ca="1" si="408"/>
        <v>0</v>
      </c>
      <c r="BA109" s="561">
        <f t="shared" ca="1" si="408"/>
        <v>0</v>
      </c>
      <c r="BB109" s="561">
        <f t="shared" ca="1" si="408"/>
        <v>0</v>
      </c>
      <c r="BC109" s="561">
        <f t="shared" ca="1" si="408"/>
        <v>0</v>
      </c>
      <c r="BD109" s="561">
        <f t="shared" ca="1" si="408"/>
        <v>0</v>
      </c>
      <c r="BE109" s="561">
        <f t="shared" ca="1" si="408"/>
        <v>0</v>
      </c>
      <c r="BF109" s="561">
        <f t="shared" ca="1" si="408"/>
        <v>0</v>
      </c>
      <c r="BG109" s="561">
        <f t="shared" ca="1" si="409"/>
        <v>0</v>
      </c>
      <c r="BH109" s="561">
        <f t="shared" ca="1" si="409"/>
        <v>0</v>
      </c>
      <c r="BI109" s="561">
        <f t="shared" ca="1" si="409"/>
        <v>0</v>
      </c>
      <c r="BJ109" s="561">
        <f t="shared" ca="1" si="409"/>
        <v>0</v>
      </c>
      <c r="BK109" s="561">
        <f t="shared" ca="1" si="409"/>
        <v>0</v>
      </c>
      <c r="BL109" s="561">
        <f t="shared" ca="1" si="409"/>
        <v>0</v>
      </c>
      <c r="BM109" s="561">
        <f t="shared" ca="1" si="409"/>
        <v>0</v>
      </c>
      <c r="BN109" s="561">
        <f t="shared" ca="1" si="409"/>
        <v>0</v>
      </c>
      <c r="BO109" s="561">
        <f t="shared" ca="1" si="409"/>
        <v>0</v>
      </c>
      <c r="BP109" s="561">
        <f t="shared" ca="1" si="409"/>
        <v>0</v>
      </c>
      <c r="BQ109" s="561">
        <f t="shared" ca="1" si="409"/>
        <v>0</v>
      </c>
      <c r="BR109" s="561">
        <f t="shared" ca="1" si="409"/>
        <v>0</v>
      </c>
      <c r="BS109" s="561">
        <f t="shared" ca="1" si="409"/>
        <v>0</v>
      </c>
      <c r="BT109" s="561">
        <f t="shared" ca="1" si="409"/>
        <v>0</v>
      </c>
      <c r="BU109" s="561">
        <f t="shared" ca="1" si="409"/>
        <v>0</v>
      </c>
      <c r="BV109" s="561">
        <f t="shared" ca="1" si="409"/>
        <v>0</v>
      </c>
      <c r="BW109" s="561">
        <f t="shared" ca="1" si="410"/>
        <v>0</v>
      </c>
      <c r="BX109" s="561">
        <f t="shared" ca="1" si="410"/>
        <v>0</v>
      </c>
      <c r="BY109" s="561">
        <f t="shared" ca="1" si="410"/>
        <v>0</v>
      </c>
      <c r="BZ109" s="561">
        <f t="shared" ca="1" si="410"/>
        <v>0</v>
      </c>
      <c r="CA109" s="561">
        <f t="shared" ca="1" si="410"/>
        <v>0</v>
      </c>
      <c r="CB109" s="561">
        <f t="shared" ca="1" si="410"/>
        <v>0</v>
      </c>
      <c r="CC109" s="561">
        <f t="shared" ca="1" si="410"/>
        <v>0</v>
      </c>
      <c r="CD109" s="561">
        <f t="shared" ca="1" si="410"/>
        <v>0</v>
      </c>
      <c r="CE109" s="561">
        <f t="shared" ca="1" si="410"/>
        <v>0</v>
      </c>
      <c r="CF109" s="561">
        <f t="shared" ca="1" si="410"/>
        <v>0</v>
      </c>
      <c r="CG109" s="561">
        <f t="shared" ca="1" si="410"/>
        <v>0</v>
      </c>
      <c r="CH109" s="561">
        <f t="shared" ca="1" si="410"/>
        <v>0</v>
      </c>
      <c r="CI109" s="561">
        <f t="shared" ca="1" si="410"/>
        <v>0</v>
      </c>
      <c r="CJ109" s="561">
        <f t="shared" ca="1" si="410"/>
        <v>0</v>
      </c>
      <c r="CK109" s="561">
        <f t="shared" ca="1" si="410"/>
        <v>0</v>
      </c>
      <c r="CL109" s="561">
        <f t="shared" ca="1" si="410"/>
        <v>0</v>
      </c>
      <c r="CM109" s="561">
        <f t="shared" ca="1" si="411"/>
        <v>0</v>
      </c>
      <c r="CN109" s="561">
        <f t="shared" ca="1" si="411"/>
        <v>0</v>
      </c>
      <c r="CO109" s="561">
        <f t="shared" ca="1" si="411"/>
        <v>0</v>
      </c>
      <c r="CP109" s="561">
        <f t="shared" ca="1" si="411"/>
        <v>0</v>
      </c>
      <c r="CQ109" s="561">
        <f t="shared" ca="1" si="411"/>
        <v>0</v>
      </c>
      <c r="CR109" s="561">
        <f t="shared" ca="1" si="411"/>
        <v>0</v>
      </c>
      <c r="CS109" s="561">
        <f t="shared" ca="1" si="411"/>
        <v>0</v>
      </c>
      <c r="CT109" s="561">
        <f t="shared" ca="1" si="411"/>
        <v>0</v>
      </c>
      <c r="CU109" s="561">
        <f t="shared" ca="1" si="411"/>
        <v>0</v>
      </c>
      <c r="CV109" s="561">
        <f t="shared" ca="1" si="411"/>
        <v>0</v>
      </c>
      <c r="CW109" s="561">
        <f t="shared" ca="1" si="411"/>
        <v>0</v>
      </c>
      <c r="CX109" s="561">
        <f t="shared" ca="1" si="411"/>
        <v>0</v>
      </c>
      <c r="CY109" s="561">
        <f t="shared" ca="1" si="411"/>
        <v>0</v>
      </c>
      <c r="CZ109" s="561">
        <f t="shared" ca="1" si="411"/>
        <v>0</v>
      </c>
      <c r="DA109" s="561">
        <f t="shared" ca="1" si="411"/>
        <v>0</v>
      </c>
      <c r="DB109" s="561">
        <f t="shared" ca="1" si="411"/>
        <v>0</v>
      </c>
      <c r="DC109" s="561">
        <f t="shared" ca="1" si="412"/>
        <v>0</v>
      </c>
      <c r="DD109" s="561">
        <f t="shared" ca="1" si="412"/>
        <v>0</v>
      </c>
      <c r="DE109" s="561">
        <f t="shared" ca="1" si="412"/>
        <v>0</v>
      </c>
      <c r="DF109" s="561">
        <f t="shared" ca="1" si="412"/>
        <v>0</v>
      </c>
      <c r="DG109" s="561">
        <f t="shared" ca="1" si="412"/>
        <v>0</v>
      </c>
      <c r="DH109" s="561">
        <f t="shared" ca="1" si="412"/>
        <v>0</v>
      </c>
      <c r="DI109" s="561">
        <f t="shared" ca="1" si="412"/>
        <v>0</v>
      </c>
      <c r="DJ109" s="561">
        <f t="shared" ca="1" si="412"/>
        <v>0</v>
      </c>
      <c r="DK109" s="561">
        <f t="shared" ca="1" si="412"/>
        <v>0</v>
      </c>
      <c r="DL109" s="561">
        <f t="shared" ca="1" si="412"/>
        <v>0</v>
      </c>
      <c r="DM109" s="561">
        <f t="shared" ca="1" si="412"/>
        <v>0</v>
      </c>
      <c r="DN109" s="561">
        <f t="shared" ca="1" si="412"/>
        <v>0</v>
      </c>
      <c r="DO109" s="561">
        <f t="shared" ca="1" si="412"/>
        <v>0</v>
      </c>
      <c r="DP109" s="561">
        <f t="shared" ca="1" si="412"/>
        <v>0</v>
      </c>
    </row>
    <row r="110" spans="1:120" outlineLevel="1">
      <c r="A110" s="55"/>
      <c r="B110" s="509"/>
      <c r="C110" s="1512"/>
      <c r="D110" s="1538"/>
      <c r="E110" s="1539"/>
      <c r="F110" s="416"/>
      <c r="G110" s="1251"/>
      <c r="H110" s="511"/>
      <c r="I110" s="512"/>
      <c r="J110" s="1383"/>
      <c r="K110" s="1383"/>
      <c r="L110" s="419"/>
      <c r="M110" s="1600"/>
      <c r="N110" s="504"/>
      <c r="O110" s="513">
        <f t="shared" si="188"/>
        <v>0</v>
      </c>
      <c r="P110" s="514"/>
      <c r="Q110" s="514"/>
      <c r="R110" s="515"/>
      <c r="S110" s="515"/>
      <c r="T110" s="562">
        <f t="shared" si="190"/>
        <v>0</v>
      </c>
      <c r="U110" s="418">
        <f t="shared" si="191"/>
        <v>0</v>
      </c>
      <c r="V110" s="517">
        <f t="shared" ref="V110" si="421">+P110*R110+L110*N110+F110*H110</f>
        <v>0</v>
      </c>
      <c r="W110" s="428">
        <f t="shared" si="192"/>
        <v>0</v>
      </c>
      <c r="X110" s="429">
        <f t="shared" si="193"/>
        <v>0</v>
      </c>
      <c r="Y110" s="519"/>
      <c r="Z110" s="1055"/>
      <c r="AA110" s="53"/>
      <c r="AB110" s="507"/>
      <c r="AC110" s="507"/>
      <c r="AD110" s="507"/>
      <c r="AE110" s="507"/>
      <c r="AF110" s="506"/>
      <c r="AG110" s="506"/>
      <c r="AH110" s="506"/>
      <c r="AI110" s="506"/>
      <c r="AJ110" s="506"/>
      <c r="AK110" s="506"/>
      <c r="AL110" s="1561"/>
      <c r="AM110" s="506"/>
      <c r="AN110" s="506"/>
      <c r="AO110" s="506"/>
      <c r="AP110" s="506"/>
      <c r="AQ110" s="506"/>
      <c r="AR110" s="506"/>
      <c r="AS110" s="506"/>
      <c r="AT110" s="506"/>
      <c r="AU110" s="506"/>
      <c r="AV110" s="506"/>
      <c r="AW110" s="506"/>
      <c r="AX110" s="506"/>
      <c r="AY110" s="506"/>
      <c r="AZ110" s="506"/>
      <c r="BA110" s="506"/>
      <c r="BB110" s="506"/>
      <c r="BC110" s="506"/>
      <c r="BD110" s="506"/>
      <c r="BE110" s="506"/>
      <c r="BF110" s="506"/>
      <c r="BG110" s="506"/>
      <c r="BH110" s="506"/>
      <c r="BI110" s="506"/>
      <c r="BJ110" s="506"/>
      <c r="BK110" s="506"/>
      <c r="BL110" s="506"/>
      <c r="BM110" s="506"/>
      <c r="BN110" s="506"/>
      <c r="BO110" s="506"/>
      <c r="BP110" s="506"/>
      <c r="BQ110" s="506"/>
      <c r="BR110" s="506"/>
      <c r="BS110" s="506"/>
      <c r="BT110" s="506"/>
      <c r="BU110" s="506"/>
      <c r="BV110" s="506"/>
      <c r="BW110" s="506"/>
      <c r="BX110" s="506"/>
      <c r="BY110" s="506"/>
      <c r="BZ110" s="506"/>
      <c r="CA110" s="506"/>
      <c r="CB110" s="506"/>
      <c r="CC110" s="506"/>
      <c r="CD110" s="506"/>
      <c r="CE110" s="506"/>
      <c r="CF110" s="506"/>
      <c r="CG110" s="506"/>
      <c r="CH110" s="506"/>
      <c r="CI110" s="506"/>
      <c r="CJ110" s="506"/>
      <c r="CK110" s="506"/>
      <c r="CL110" s="506"/>
      <c r="CM110" s="506"/>
      <c r="CN110" s="506"/>
      <c r="CO110" s="506"/>
      <c r="CP110" s="506"/>
      <c r="CQ110" s="506"/>
      <c r="CR110" s="506"/>
      <c r="CS110" s="506"/>
      <c r="CT110" s="506"/>
      <c r="CU110" s="506"/>
      <c r="CV110" s="506"/>
      <c r="CW110" s="506"/>
      <c r="CX110" s="506"/>
      <c r="CY110" s="506"/>
      <c r="CZ110" s="506"/>
      <c r="DA110" s="506"/>
      <c r="DB110" s="506"/>
      <c r="DC110" s="506"/>
      <c r="DD110" s="506"/>
      <c r="DE110" s="506"/>
      <c r="DF110" s="506"/>
      <c r="DG110" s="506"/>
      <c r="DH110" s="506"/>
      <c r="DI110" s="506"/>
      <c r="DJ110" s="506"/>
      <c r="DK110" s="506"/>
      <c r="DL110" s="506"/>
      <c r="DM110" s="506"/>
      <c r="DN110" s="506"/>
      <c r="DO110" s="506"/>
      <c r="DP110" s="506"/>
    </row>
    <row r="111" spans="1:120" ht="16.5" thickBot="1">
      <c r="A111" s="62" t="s">
        <v>228</v>
      </c>
      <c r="B111" s="63"/>
      <c r="C111" s="184"/>
      <c r="D111" s="1473"/>
      <c r="E111" s="1474"/>
      <c r="F111" s="66">
        <f>SUM(F66:F110)</f>
        <v>0</v>
      </c>
      <c r="G111" s="1253"/>
      <c r="H111" s="67"/>
      <c r="I111" s="68">
        <f>SUM(I66:I110)</f>
        <v>0</v>
      </c>
      <c r="J111" s="1376"/>
      <c r="K111" s="76"/>
      <c r="L111" s="1051">
        <f>SUM(L66:L110)</f>
        <v>28334523.860000003</v>
      </c>
      <c r="M111" s="1598">
        <f>SUM(M66:M110)</f>
        <v>28334523.860000003</v>
      </c>
      <c r="N111" s="70"/>
      <c r="O111" s="71">
        <f ca="1">SUM(O66:O110)</f>
        <v>134428552207.76711</v>
      </c>
      <c r="P111" s="72">
        <f>SUM(P66:P110)</f>
        <v>-26761350.530000001</v>
      </c>
      <c r="Q111" s="1339"/>
      <c r="R111" s="73"/>
      <c r="S111" s="73"/>
      <c r="T111" s="96">
        <f ca="1">SUM(T66:T110)</f>
        <v>-126458456727.64749</v>
      </c>
      <c r="U111" s="66">
        <f>SUM(U66:U110)</f>
        <v>1573173.3299999968</v>
      </c>
      <c r="V111" s="76">
        <f ca="1">SUM(V66:V110)</f>
        <v>7661213751.0039005</v>
      </c>
      <c r="W111" s="97">
        <f ca="1">SUM(W66:W110)</f>
        <v>1451236593.9006948</v>
      </c>
      <c r="X111" s="98">
        <f ca="1">SUM(X66:X110)</f>
        <v>-1142354864.7850015</v>
      </c>
      <c r="Y111" s="43"/>
      <c r="AA111" s="79">
        <f t="shared" ref="AA111:BF111" ca="1" si="422">SUM(AA64:AA110)</f>
        <v>-2.7939677238464355E-9</v>
      </c>
      <c r="AB111" s="80">
        <f t="shared" ca="1" si="422"/>
        <v>0</v>
      </c>
      <c r="AC111" s="80">
        <f t="shared" ca="1" si="422"/>
        <v>0</v>
      </c>
      <c r="AD111" s="80">
        <f t="shared" ca="1" si="422"/>
        <v>0</v>
      </c>
      <c r="AE111" s="80">
        <f t="shared" ca="1" si="422"/>
        <v>0</v>
      </c>
      <c r="AF111" s="80">
        <f t="shared" ca="1" si="422"/>
        <v>0</v>
      </c>
      <c r="AG111" s="80">
        <f t="shared" ca="1" si="422"/>
        <v>0</v>
      </c>
      <c r="AH111" s="80">
        <f t="shared" ca="1" si="422"/>
        <v>0</v>
      </c>
      <c r="AI111" s="80">
        <f t="shared" ca="1" si="422"/>
        <v>0</v>
      </c>
      <c r="AJ111" s="80">
        <f ca="1">SUM(AJ64:AJ110)</f>
        <v>-2.3283064365386963E-10</v>
      </c>
      <c r="AK111" s="80">
        <f t="shared" ca="1" si="422"/>
        <v>-2.3283064365386963E-10</v>
      </c>
      <c r="AL111" s="80">
        <f t="shared" ca="1" si="422"/>
        <v>0</v>
      </c>
      <c r="AM111" s="80">
        <f t="shared" ca="1" si="422"/>
        <v>2.3283064365386963E-10</v>
      </c>
      <c r="AN111" s="80">
        <f t="shared" ca="1" si="422"/>
        <v>0</v>
      </c>
      <c r="AO111" s="80">
        <f t="shared" ca="1" si="422"/>
        <v>0</v>
      </c>
      <c r="AP111" s="80">
        <f t="shared" ca="1" si="422"/>
        <v>0</v>
      </c>
      <c r="AQ111" s="80">
        <f t="shared" ca="1" si="422"/>
        <v>0</v>
      </c>
      <c r="AR111" s="80">
        <f t="shared" ca="1" si="422"/>
        <v>0</v>
      </c>
      <c r="AS111" s="80">
        <f t="shared" ca="1" si="422"/>
        <v>-4.3655745685100555E-11</v>
      </c>
      <c r="AT111" s="80">
        <f t="shared" ca="1" si="422"/>
        <v>0</v>
      </c>
      <c r="AU111" s="80">
        <f t="shared" ca="1" si="422"/>
        <v>0</v>
      </c>
      <c r="AV111" s="80">
        <f t="shared" ca="1" si="422"/>
        <v>1581946.6799999997</v>
      </c>
      <c r="AW111" s="80">
        <f t="shared" ca="1" si="422"/>
        <v>2062557.9699999997</v>
      </c>
      <c r="AX111" s="80">
        <f t="shared" ca="1" si="422"/>
        <v>0</v>
      </c>
      <c r="AY111" s="80">
        <f t="shared" ca="1" si="422"/>
        <v>0</v>
      </c>
      <c r="AZ111" s="80">
        <f t="shared" ca="1" si="422"/>
        <v>0</v>
      </c>
      <c r="BA111" s="80">
        <f t="shared" ca="1" si="422"/>
        <v>0</v>
      </c>
      <c r="BB111" s="80">
        <f t="shared" ca="1" si="422"/>
        <v>0</v>
      </c>
      <c r="BC111" s="80">
        <f t="shared" ca="1" si="422"/>
        <v>0</v>
      </c>
      <c r="BD111" s="80">
        <f t="shared" ca="1" si="422"/>
        <v>0</v>
      </c>
      <c r="BE111" s="80">
        <f t="shared" ca="1" si="422"/>
        <v>0</v>
      </c>
      <c r="BF111" s="80">
        <f t="shared" ca="1" si="422"/>
        <v>0</v>
      </c>
      <c r="BG111" s="80">
        <f t="shared" ref="BG111:CL111" ca="1" si="423">SUM(BG64:BG110)</f>
        <v>0</v>
      </c>
      <c r="BH111" s="80">
        <f t="shared" ca="1" si="423"/>
        <v>0</v>
      </c>
      <c r="BI111" s="80">
        <f t="shared" ca="1" si="423"/>
        <v>0</v>
      </c>
      <c r="BJ111" s="80">
        <f t="shared" ca="1" si="423"/>
        <v>0</v>
      </c>
      <c r="BK111" s="80">
        <f t="shared" ca="1" si="423"/>
        <v>0</v>
      </c>
      <c r="BL111" s="80">
        <f t="shared" ca="1" si="423"/>
        <v>0</v>
      </c>
      <c r="BM111" s="80">
        <f t="shared" ca="1" si="423"/>
        <v>0</v>
      </c>
      <c r="BN111" s="80">
        <f t="shared" ca="1" si="423"/>
        <v>0</v>
      </c>
      <c r="BO111" s="80">
        <f t="shared" ca="1" si="423"/>
        <v>0</v>
      </c>
      <c r="BP111" s="80">
        <f t="shared" ca="1" si="423"/>
        <v>0</v>
      </c>
      <c r="BQ111" s="80">
        <f t="shared" ca="1" si="423"/>
        <v>0</v>
      </c>
      <c r="BR111" s="80">
        <f t="shared" ca="1" si="423"/>
        <v>0</v>
      </c>
      <c r="BS111" s="80">
        <f t="shared" ca="1" si="423"/>
        <v>0</v>
      </c>
      <c r="BT111" s="80">
        <f t="shared" ca="1" si="423"/>
        <v>0</v>
      </c>
      <c r="BU111" s="80">
        <f t="shared" ca="1" si="423"/>
        <v>0</v>
      </c>
      <c r="BV111" s="80">
        <f t="shared" ca="1" si="423"/>
        <v>0</v>
      </c>
      <c r="BW111" s="80">
        <f t="shared" ca="1" si="423"/>
        <v>0</v>
      </c>
      <c r="BX111" s="80">
        <f t="shared" ca="1" si="423"/>
        <v>0</v>
      </c>
      <c r="BY111" s="80">
        <f t="shared" ca="1" si="423"/>
        <v>0</v>
      </c>
      <c r="BZ111" s="80">
        <f t="shared" ca="1" si="423"/>
        <v>0</v>
      </c>
      <c r="CA111" s="80">
        <f t="shared" ca="1" si="423"/>
        <v>0</v>
      </c>
      <c r="CB111" s="80">
        <f t="shared" ca="1" si="423"/>
        <v>0</v>
      </c>
      <c r="CC111" s="80">
        <f t="shared" ca="1" si="423"/>
        <v>0</v>
      </c>
      <c r="CD111" s="80">
        <f t="shared" ca="1" si="423"/>
        <v>0</v>
      </c>
      <c r="CE111" s="80">
        <f t="shared" ca="1" si="423"/>
        <v>0</v>
      </c>
      <c r="CF111" s="80">
        <f t="shared" ca="1" si="423"/>
        <v>0</v>
      </c>
      <c r="CG111" s="80">
        <f t="shared" ca="1" si="423"/>
        <v>0</v>
      </c>
      <c r="CH111" s="80">
        <f t="shared" ca="1" si="423"/>
        <v>0</v>
      </c>
      <c r="CI111" s="80">
        <f t="shared" ca="1" si="423"/>
        <v>0</v>
      </c>
      <c r="CJ111" s="80">
        <f t="shared" ca="1" si="423"/>
        <v>0</v>
      </c>
      <c r="CK111" s="80">
        <f t="shared" ca="1" si="423"/>
        <v>0</v>
      </c>
      <c r="CL111" s="80">
        <f t="shared" ca="1" si="423"/>
        <v>0</v>
      </c>
      <c r="CM111" s="80">
        <f t="shared" ref="CM111:DP111" ca="1" si="424">SUM(CM64:CM110)</f>
        <v>0</v>
      </c>
      <c r="CN111" s="80">
        <f t="shared" ca="1" si="424"/>
        <v>0</v>
      </c>
      <c r="CO111" s="80">
        <f t="shared" ca="1" si="424"/>
        <v>0</v>
      </c>
      <c r="CP111" s="80">
        <f t="shared" ca="1" si="424"/>
        <v>0</v>
      </c>
      <c r="CQ111" s="80">
        <f t="shared" ca="1" si="424"/>
        <v>0</v>
      </c>
      <c r="CR111" s="80">
        <f t="shared" ca="1" si="424"/>
        <v>0</v>
      </c>
      <c r="CS111" s="80">
        <f t="shared" ca="1" si="424"/>
        <v>0</v>
      </c>
      <c r="CT111" s="80">
        <f t="shared" ca="1" si="424"/>
        <v>0</v>
      </c>
      <c r="CU111" s="80">
        <f t="shared" ca="1" si="424"/>
        <v>0</v>
      </c>
      <c r="CV111" s="80">
        <f t="shared" ca="1" si="424"/>
        <v>0</v>
      </c>
      <c r="CW111" s="80">
        <f t="shared" ca="1" si="424"/>
        <v>0</v>
      </c>
      <c r="CX111" s="80">
        <f t="shared" ca="1" si="424"/>
        <v>0</v>
      </c>
      <c r="CY111" s="80">
        <f t="shared" ca="1" si="424"/>
        <v>0</v>
      </c>
      <c r="CZ111" s="80">
        <f t="shared" ca="1" si="424"/>
        <v>0</v>
      </c>
      <c r="DA111" s="80">
        <f t="shared" ca="1" si="424"/>
        <v>0</v>
      </c>
      <c r="DB111" s="80">
        <f t="shared" ca="1" si="424"/>
        <v>0</v>
      </c>
      <c r="DC111" s="80">
        <f t="shared" ca="1" si="424"/>
        <v>0</v>
      </c>
      <c r="DD111" s="80">
        <f t="shared" ca="1" si="424"/>
        <v>0</v>
      </c>
      <c r="DE111" s="80">
        <f t="shared" ca="1" si="424"/>
        <v>0</v>
      </c>
      <c r="DF111" s="80">
        <f t="shared" ca="1" si="424"/>
        <v>0</v>
      </c>
      <c r="DG111" s="80">
        <f t="shared" ca="1" si="424"/>
        <v>0</v>
      </c>
      <c r="DH111" s="80">
        <f t="shared" ca="1" si="424"/>
        <v>0</v>
      </c>
      <c r="DI111" s="80">
        <f t="shared" ca="1" si="424"/>
        <v>0</v>
      </c>
      <c r="DJ111" s="80">
        <f t="shared" ca="1" si="424"/>
        <v>0</v>
      </c>
      <c r="DK111" s="80">
        <f t="shared" ca="1" si="424"/>
        <v>0</v>
      </c>
      <c r="DL111" s="80">
        <f t="shared" ca="1" si="424"/>
        <v>0</v>
      </c>
      <c r="DM111" s="80">
        <f t="shared" ca="1" si="424"/>
        <v>0</v>
      </c>
      <c r="DN111" s="80">
        <f t="shared" ca="1" si="424"/>
        <v>0</v>
      </c>
      <c r="DO111" s="80">
        <f t="shared" ca="1" si="424"/>
        <v>0</v>
      </c>
      <c r="DP111" s="80">
        <f t="shared" ca="1" si="424"/>
        <v>0</v>
      </c>
    </row>
    <row r="112" spans="1:120" ht="15.75" thickBot="1"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  <c r="DH112" s="99"/>
      <c r="DI112" s="99"/>
      <c r="DJ112" s="99"/>
      <c r="DK112" s="99"/>
      <c r="DL112" s="99"/>
      <c r="DM112" s="99"/>
      <c r="DN112" s="99"/>
      <c r="DO112" s="99"/>
      <c r="DP112" s="99"/>
    </row>
    <row r="113" spans="1:120" s="86" customFormat="1" outlineLevel="1">
      <c r="A113" s="708">
        <v>1110052010</v>
      </c>
      <c r="B113" s="709" t="s">
        <v>78</v>
      </c>
      <c r="C113" s="1543" t="s">
        <v>64</v>
      </c>
      <c r="D113" s="1544"/>
      <c r="E113" s="1545">
        <v>45017</v>
      </c>
      <c r="F113" s="711"/>
      <c r="G113" s="1269"/>
      <c r="H113" s="712"/>
      <c r="I113" s="713"/>
      <c r="J113" s="1483">
        <v>1</v>
      </c>
      <c r="K113" s="1484">
        <v>1</v>
      </c>
      <c r="L113" s="2007">
        <v>7224.11</v>
      </c>
      <c r="M113" s="2008">
        <f t="shared" ref="M113" si="425">+L113*J113</f>
        <v>7224.11</v>
      </c>
      <c r="N113" s="716">
        <f ca="1">IF(OR(E113="",E113&gt;TODAY()),0,IF(ISERROR(VLOOKUP($E113,'TRM BanRep'!$A:$G,7,0)),0,VLOOKUP($E113,'TRM BanRep'!$A:$G,7,0)))</f>
        <v>4646.08</v>
      </c>
      <c r="O113" s="714">
        <f t="shared" ref="O113:O119" ca="1" si="426">+L113*N113</f>
        <v>33563792.988799997</v>
      </c>
      <c r="P113" s="715"/>
      <c r="Q113" s="715">
        <f t="shared" ref="Q113:Q138" si="427">+P113*K113</f>
        <v>0</v>
      </c>
      <c r="R113" s="716"/>
      <c r="S113" s="716"/>
      <c r="T113" s="717">
        <f t="shared" ref="T113:T119" si="428">+P113*S113</f>
        <v>0</v>
      </c>
      <c r="U113" s="1546">
        <f t="shared" ref="U113:U119" si="429">+L113+P113+F113</f>
        <v>7224.11</v>
      </c>
      <c r="V113" s="717">
        <f ca="1">+Q113*R113+M113*N113+G113*H113</f>
        <v>33563792.988799997</v>
      </c>
      <c r="W113" s="719">
        <f t="shared" ref="W113:W119" si="430">(IF(R113&gt;S113,(-P113*R113)-(-P113*S113),0))</f>
        <v>0</v>
      </c>
      <c r="X113" s="720">
        <f t="shared" ref="X113:X119" si="431">(IF(R113&lt;S113,(-P113*R113)-(-P113*S113),0))</f>
        <v>0</v>
      </c>
      <c r="Y113" s="1547"/>
      <c r="Z113" s="1055"/>
      <c r="AA113" s="705">
        <f t="shared" ref="AA113:CL116" si="432">IF($L113="",IF(OR($P113="",$R113=""),0,IF($R113=AA$6,$Q113,0)),IF($E113=AA$5,$M113,))</f>
        <v>0</v>
      </c>
      <c r="AB113" s="706">
        <f t="shared" si="432"/>
        <v>0</v>
      </c>
      <c r="AC113" s="706">
        <f t="shared" si="432"/>
        <v>0</v>
      </c>
      <c r="AD113" s="706">
        <f t="shared" si="432"/>
        <v>0</v>
      </c>
      <c r="AE113" s="706">
        <f t="shared" si="432"/>
        <v>0</v>
      </c>
      <c r="AF113" s="706">
        <f t="shared" si="432"/>
        <v>0</v>
      </c>
      <c r="AG113" s="706">
        <f t="shared" si="432"/>
        <v>0</v>
      </c>
      <c r="AH113" s="706">
        <f t="shared" si="432"/>
        <v>0</v>
      </c>
      <c r="AI113" s="706">
        <f t="shared" si="432"/>
        <v>0</v>
      </c>
      <c r="AJ113" s="706">
        <f t="shared" si="432"/>
        <v>0</v>
      </c>
      <c r="AK113" s="706">
        <f t="shared" si="432"/>
        <v>0</v>
      </c>
      <c r="AL113" s="731">
        <f t="shared" si="432"/>
        <v>0</v>
      </c>
      <c r="AM113" s="706">
        <f t="shared" si="432"/>
        <v>0</v>
      </c>
      <c r="AN113" s="706">
        <f t="shared" si="432"/>
        <v>0</v>
      </c>
      <c r="AO113" s="706">
        <f t="shared" si="432"/>
        <v>0</v>
      </c>
      <c r="AP113" s="706">
        <f t="shared" si="432"/>
        <v>0</v>
      </c>
      <c r="AQ113" s="706">
        <f t="shared" si="432"/>
        <v>0</v>
      </c>
      <c r="AR113" s="706">
        <f t="shared" si="432"/>
        <v>0</v>
      </c>
      <c r="AS113" s="706">
        <f t="shared" si="432"/>
        <v>0</v>
      </c>
      <c r="AT113" s="706">
        <f t="shared" si="432"/>
        <v>0</v>
      </c>
      <c r="AU113" s="706">
        <f t="shared" si="432"/>
        <v>0</v>
      </c>
      <c r="AV113" s="706">
        <f t="shared" si="432"/>
        <v>0</v>
      </c>
      <c r="AW113" s="706">
        <f t="shared" si="432"/>
        <v>0</v>
      </c>
      <c r="AX113" s="706">
        <f t="shared" si="432"/>
        <v>0</v>
      </c>
      <c r="AY113" s="706">
        <f t="shared" si="432"/>
        <v>7224.11</v>
      </c>
      <c r="AZ113" s="706">
        <f t="shared" si="432"/>
        <v>0</v>
      </c>
      <c r="BA113" s="706">
        <f t="shared" si="432"/>
        <v>0</v>
      </c>
      <c r="BB113" s="706">
        <f t="shared" si="432"/>
        <v>0</v>
      </c>
      <c r="BC113" s="706">
        <f t="shared" si="432"/>
        <v>0</v>
      </c>
      <c r="BD113" s="706">
        <f t="shared" si="432"/>
        <v>0</v>
      </c>
      <c r="BE113" s="706">
        <f t="shared" si="432"/>
        <v>0</v>
      </c>
      <c r="BF113" s="706">
        <f t="shared" si="432"/>
        <v>0</v>
      </c>
      <c r="BG113" s="706">
        <f t="shared" si="432"/>
        <v>0</v>
      </c>
      <c r="BH113" s="706">
        <f t="shared" si="432"/>
        <v>0</v>
      </c>
      <c r="BI113" s="706">
        <f t="shared" si="432"/>
        <v>0</v>
      </c>
      <c r="BJ113" s="706">
        <f t="shared" si="432"/>
        <v>0</v>
      </c>
      <c r="BK113" s="706">
        <f t="shared" si="432"/>
        <v>0</v>
      </c>
      <c r="BL113" s="706">
        <f t="shared" si="432"/>
        <v>0</v>
      </c>
      <c r="BM113" s="706">
        <f t="shared" si="432"/>
        <v>0</v>
      </c>
      <c r="BN113" s="706">
        <f t="shared" si="432"/>
        <v>0</v>
      </c>
      <c r="BO113" s="706">
        <f t="shared" si="432"/>
        <v>0</v>
      </c>
      <c r="BP113" s="706">
        <f t="shared" si="432"/>
        <v>0</v>
      </c>
      <c r="BQ113" s="706">
        <f t="shared" si="432"/>
        <v>0</v>
      </c>
      <c r="BR113" s="706">
        <f t="shared" si="432"/>
        <v>0</v>
      </c>
      <c r="BS113" s="706">
        <f t="shared" si="432"/>
        <v>0</v>
      </c>
      <c r="BT113" s="706">
        <f t="shared" si="432"/>
        <v>0</v>
      </c>
      <c r="BU113" s="706">
        <f t="shared" si="432"/>
        <v>0</v>
      </c>
      <c r="BV113" s="706">
        <f t="shared" si="432"/>
        <v>0</v>
      </c>
      <c r="BW113" s="706">
        <f t="shared" si="432"/>
        <v>0</v>
      </c>
      <c r="BX113" s="706">
        <f t="shared" si="432"/>
        <v>0</v>
      </c>
      <c r="BY113" s="706">
        <f t="shared" si="432"/>
        <v>0</v>
      </c>
      <c r="BZ113" s="706">
        <f t="shared" si="432"/>
        <v>0</v>
      </c>
      <c r="CA113" s="706">
        <f t="shared" si="432"/>
        <v>0</v>
      </c>
      <c r="CB113" s="706">
        <f t="shared" si="432"/>
        <v>0</v>
      </c>
      <c r="CC113" s="706">
        <f t="shared" si="432"/>
        <v>0</v>
      </c>
      <c r="CD113" s="706">
        <f t="shared" si="432"/>
        <v>0</v>
      </c>
      <c r="CE113" s="706">
        <f t="shared" si="432"/>
        <v>0</v>
      </c>
      <c r="CF113" s="706">
        <f t="shared" si="432"/>
        <v>0</v>
      </c>
      <c r="CG113" s="706">
        <f t="shared" si="432"/>
        <v>0</v>
      </c>
      <c r="CH113" s="706">
        <f t="shared" si="432"/>
        <v>0</v>
      </c>
      <c r="CI113" s="706">
        <f t="shared" si="432"/>
        <v>0</v>
      </c>
      <c r="CJ113" s="706">
        <f t="shared" si="432"/>
        <v>0</v>
      </c>
      <c r="CK113" s="706">
        <f t="shared" si="432"/>
        <v>0</v>
      </c>
      <c r="CL113" s="706">
        <f t="shared" si="432"/>
        <v>0</v>
      </c>
      <c r="CM113" s="706">
        <f t="shared" ref="CM113:DP124" si="433">IF($L113="",IF(OR($P113="",$R113=""),0,IF($R113=CM$6,$Q113,0)),IF($E113=CM$5,$M113,))</f>
        <v>0</v>
      </c>
      <c r="CN113" s="706">
        <f t="shared" si="433"/>
        <v>0</v>
      </c>
      <c r="CO113" s="706">
        <f t="shared" si="433"/>
        <v>0</v>
      </c>
      <c r="CP113" s="706">
        <f t="shared" si="433"/>
        <v>0</v>
      </c>
      <c r="CQ113" s="706">
        <f t="shared" si="433"/>
        <v>0</v>
      </c>
      <c r="CR113" s="706">
        <f t="shared" si="433"/>
        <v>0</v>
      </c>
      <c r="CS113" s="706">
        <f t="shared" si="433"/>
        <v>0</v>
      </c>
      <c r="CT113" s="706">
        <f t="shared" si="433"/>
        <v>0</v>
      </c>
      <c r="CU113" s="706">
        <f t="shared" si="433"/>
        <v>0</v>
      </c>
      <c r="CV113" s="706">
        <f t="shared" si="433"/>
        <v>0</v>
      </c>
      <c r="CW113" s="706">
        <f t="shared" si="433"/>
        <v>0</v>
      </c>
      <c r="CX113" s="706">
        <f t="shared" si="433"/>
        <v>0</v>
      </c>
      <c r="CY113" s="706">
        <f t="shared" si="433"/>
        <v>0</v>
      </c>
      <c r="CZ113" s="706">
        <f t="shared" si="433"/>
        <v>0</v>
      </c>
      <c r="DA113" s="706">
        <f t="shared" si="433"/>
        <v>0</v>
      </c>
      <c r="DB113" s="706">
        <f t="shared" si="433"/>
        <v>0</v>
      </c>
      <c r="DC113" s="706">
        <f t="shared" si="433"/>
        <v>0</v>
      </c>
      <c r="DD113" s="706">
        <f t="shared" si="433"/>
        <v>0</v>
      </c>
      <c r="DE113" s="706">
        <f t="shared" si="433"/>
        <v>0</v>
      </c>
      <c r="DF113" s="706">
        <f t="shared" si="433"/>
        <v>0</v>
      </c>
      <c r="DG113" s="706">
        <f t="shared" si="433"/>
        <v>0</v>
      </c>
      <c r="DH113" s="706">
        <f t="shared" si="433"/>
        <v>0</v>
      </c>
      <c r="DI113" s="706">
        <f t="shared" si="433"/>
        <v>0</v>
      </c>
      <c r="DJ113" s="706">
        <f t="shared" si="433"/>
        <v>0</v>
      </c>
      <c r="DK113" s="706">
        <f t="shared" si="433"/>
        <v>0</v>
      </c>
      <c r="DL113" s="706">
        <f t="shared" si="433"/>
        <v>0</v>
      </c>
      <c r="DM113" s="706">
        <f t="shared" si="433"/>
        <v>0</v>
      </c>
      <c r="DN113" s="706">
        <f t="shared" si="433"/>
        <v>0</v>
      </c>
      <c r="DO113" s="706">
        <f t="shared" si="433"/>
        <v>0</v>
      </c>
      <c r="DP113" s="706">
        <f t="shared" si="433"/>
        <v>0</v>
      </c>
    </row>
    <row r="114" spans="1:120" outlineLevel="1">
      <c r="A114" s="89">
        <v>1110052010</v>
      </c>
      <c r="B114" s="90" t="s">
        <v>2533</v>
      </c>
      <c r="C114" s="1476" t="s">
        <v>64</v>
      </c>
      <c r="D114" s="1481"/>
      <c r="E114" s="1482">
        <v>45019</v>
      </c>
      <c r="F114" s="420"/>
      <c r="G114" s="1256"/>
      <c r="H114" s="421"/>
      <c r="I114" s="422"/>
      <c r="J114" s="1425">
        <v>1</v>
      </c>
      <c r="K114" s="1426">
        <v>1</v>
      </c>
      <c r="L114" s="1043"/>
      <c r="M114" s="1594">
        <f t="shared" ref="M114:M115" si="434">+L114*J114</f>
        <v>0</v>
      </c>
      <c r="N114" s="504">
        <f ca="1">IF(OR(E114="",E114&gt;TODAY()),0,IF(ISERROR(VLOOKUP($E114,'TRM BanRep'!$A:$G,7,0)),0,VLOOKUP($E114,'TRM BanRep'!$A:$G,7,0)))</f>
        <v>4646.08</v>
      </c>
      <c r="O114" s="424">
        <f t="shared" ca="1" si="426"/>
        <v>0</v>
      </c>
      <c r="P114" s="425">
        <v>-61997.08</v>
      </c>
      <c r="Q114" s="1340">
        <f t="shared" si="427"/>
        <v>-61997.08</v>
      </c>
      <c r="R114" s="426">
        <v>4755.12</v>
      </c>
      <c r="S114" s="426">
        <f ca="1">IF(OR(E114="",E114&gt;TODAY()),0,IF(ISERROR(VLOOKUP($E114,'TRM BanRep'!$A:$G,7,0)),0,VLOOKUP($E114,'TRM BanRep'!$A:$G,7,0)))</f>
        <v>4646.08</v>
      </c>
      <c r="T114" s="427">
        <f t="shared" ca="1" si="428"/>
        <v>-288043393.44639999</v>
      </c>
      <c r="U114" s="418">
        <f t="shared" si="429"/>
        <v>-61997.08</v>
      </c>
      <c r="V114" s="517">
        <f t="shared" ref="V114:V139" ca="1" si="435">+Q114*R114+M114*N114+G114*H114</f>
        <v>-294803555.04960001</v>
      </c>
      <c r="W114" s="428">
        <f t="shared" ca="1" si="430"/>
        <v>6760161.6032000184</v>
      </c>
      <c r="X114" s="429">
        <f t="shared" ca="1" si="431"/>
        <v>0</v>
      </c>
      <c r="Y114" s="92"/>
      <c r="Z114" s="1055"/>
      <c r="AA114" s="85">
        <f t="shared" ca="1" si="432"/>
        <v>0</v>
      </c>
      <c r="AB114" s="508">
        <f t="shared" ca="1" si="432"/>
        <v>0</v>
      </c>
      <c r="AC114" s="508">
        <f t="shared" ca="1" si="432"/>
        <v>0</v>
      </c>
      <c r="AD114" s="508">
        <f t="shared" ca="1" si="432"/>
        <v>0</v>
      </c>
      <c r="AE114" s="508">
        <f t="shared" ca="1" si="432"/>
        <v>0</v>
      </c>
      <c r="AF114" s="561">
        <f t="shared" ca="1" si="432"/>
        <v>0</v>
      </c>
      <c r="AG114" s="561">
        <f t="shared" ca="1" si="432"/>
        <v>0</v>
      </c>
      <c r="AH114" s="561">
        <f t="shared" ca="1" si="432"/>
        <v>0</v>
      </c>
      <c r="AI114" s="561">
        <f t="shared" ca="1" si="432"/>
        <v>0</v>
      </c>
      <c r="AJ114" s="561">
        <f t="shared" ca="1" si="432"/>
        <v>0</v>
      </c>
      <c r="AK114" s="561">
        <f t="shared" ca="1" si="432"/>
        <v>0</v>
      </c>
      <c r="AL114" s="1542">
        <f t="shared" ca="1" si="432"/>
        <v>0</v>
      </c>
      <c r="AM114" s="561">
        <f t="shared" ca="1" si="432"/>
        <v>0</v>
      </c>
      <c r="AN114" s="561">
        <f t="shared" ca="1" si="432"/>
        <v>0</v>
      </c>
      <c r="AO114" s="561">
        <f t="shared" ca="1" si="432"/>
        <v>0</v>
      </c>
      <c r="AP114" s="561">
        <f t="shared" ca="1" si="432"/>
        <v>0</v>
      </c>
      <c r="AQ114" s="561">
        <f t="shared" ca="1" si="432"/>
        <v>0</v>
      </c>
      <c r="AR114" s="561">
        <f t="shared" ca="1" si="432"/>
        <v>0</v>
      </c>
      <c r="AS114" s="561">
        <f t="shared" ca="1" si="432"/>
        <v>0</v>
      </c>
      <c r="AT114" s="561">
        <f t="shared" ca="1" si="432"/>
        <v>0</v>
      </c>
      <c r="AU114" s="561">
        <f t="shared" ca="1" si="432"/>
        <v>0</v>
      </c>
      <c r="AV114" s="561">
        <f t="shared" ca="1" si="432"/>
        <v>-61997.08</v>
      </c>
      <c r="AW114" s="561">
        <f t="shared" ca="1" si="432"/>
        <v>0</v>
      </c>
      <c r="AX114" s="561">
        <f t="shared" ca="1" si="432"/>
        <v>0</v>
      </c>
      <c r="AY114" s="561">
        <f t="shared" ca="1" si="432"/>
        <v>0</v>
      </c>
      <c r="AZ114" s="561">
        <f t="shared" ca="1" si="432"/>
        <v>0</v>
      </c>
      <c r="BA114" s="561">
        <f t="shared" ca="1" si="432"/>
        <v>0</v>
      </c>
      <c r="BB114" s="561">
        <f t="shared" ca="1" si="432"/>
        <v>0</v>
      </c>
      <c r="BC114" s="561">
        <f t="shared" ca="1" si="432"/>
        <v>0</v>
      </c>
      <c r="BD114" s="561">
        <f t="shared" ca="1" si="432"/>
        <v>0</v>
      </c>
      <c r="BE114" s="561">
        <f t="shared" ca="1" si="432"/>
        <v>0</v>
      </c>
      <c r="BF114" s="561">
        <f t="shared" ca="1" si="432"/>
        <v>0</v>
      </c>
      <c r="BG114" s="561">
        <f t="shared" ca="1" si="432"/>
        <v>0</v>
      </c>
      <c r="BH114" s="561">
        <f t="shared" ca="1" si="432"/>
        <v>0</v>
      </c>
      <c r="BI114" s="561">
        <f t="shared" ca="1" si="432"/>
        <v>0</v>
      </c>
      <c r="BJ114" s="561">
        <f t="shared" ca="1" si="432"/>
        <v>0</v>
      </c>
      <c r="BK114" s="561">
        <f t="shared" ca="1" si="432"/>
        <v>0</v>
      </c>
      <c r="BL114" s="561">
        <f t="shared" ca="1" si="432"/>
        <v>0</v>
      </c>
      <c r="BM114" s="561">
        <f t="shared" ca="1" si="432"/>
        <v>0</v>
      </c>
      <c r="BN114" s="561">
        <f t="shared" ca="1" si="432"/>
        <v>0</v>
      </c>
      <c r="BO114" s="561">
        <f t="shared" ca="1" si="432"/>
        <v>0</v>
      </c>
      <c r="BP114" s="561">
        <f t="shared" ca="1" si="432"/>
        <v>0</v>
      </c>
      <c r="BQ114" s="561">
        <f t="shared" ca="1" si="432"/>
        <v>0</v>
      </c>
      <c r="BR114" s="561">
        <f t="shared" ca="1" si="432"/>
        <v>0</v>
      </c>
      <c r="BS114" s="561">
        <f t="shared" ca="1" si="432"/>
        <v>0</v>
      </c>
      <c r="BT114" s="561">
        <f t="shared" ca="1" si="432"/>
        <v>0</v>
      </c>
      <c r="BU114" s="561">
        <f t="shared" ca="1" si="432"/>
        <v>0</v>
      </c>
      <c r="BV114" s="561">
        <f t="shared" ca="1" si="432"/>
        <v>0</v>
      </c>
      <c r="BW114" s="561">
        <f t="shared" ca="1" si="432"/>
        <v>0</v>
      </c>
      <c r="BX114" s="561">
        <f t="shared" ca="1" si="432"/>
        <v>0</v>
      </c>
      <c r="BY114" s="561">
        <f t="shared" ca="1" si="432"/>
        <v>0</v>
      </c>
      <c r="BZ114" s="561">
        <f t="shared" ca="1" si="432"/>
        <v>0</v>
      </c>
      <c r="CA114" s="561">
        <f t="shared" ca="1" si="432"/>
        <v>0</v>
      </c>
      <c r="CB114" s="561">
        <f t="shared" ca="1" si="432"/>
        <v>0</v>
      </c>
      <c r="CC114" s="561">
        <f t="shared" ca="1" si="432"/>
        <v>0</v>
      </c>
      <c r="CD114" s="561">
        <f t="shared" ca="1" si="432"/>
        <v>0</v>
      </c>
      <c r="CE114" s="561">
        <f t="shared" ca="1" si="432"/>
        <v>0</v>
      </c>
      <c r="CF114" s="561">
        <f t="shared" ca="1" si="432"/>
        <v>0</v>
      </c>
      <c r="CG114" s="561">
        <f t="shared" ca="1" si="432"/>
        <v>0</v>
      </c>
      <c r="CH114" s="561">
        <f t="shared" ca="1" si="432"/>
        <v>0</v>
      </c>
      <c r="CI114" s="561">
        <f t="shared" ca="1" si="432"/>
        <v>0</v>
      </c>
      <c r="CJ114" s="561">
        <f t="shared" ca="1" si="432"/>
        <v>0</v>
      </c>
      <c r="CK114" s="561">
        <f t="shared" ca="1" si="432"/>
        <v>0</v>
      </c>
      <c r="CL114" s="561">
        <f t="shared" ca="1" si="432"/>
        <v>0</v>
      </c>
      <c r="CM114" s="561">
        <f t="shared" ca="1" si="433"/>
        <v>0</v>
      </c>
      <c r="CN114" s="561">
        <f t="shared" ca="1" si="433"/>
        <v>0</v>
      </c>
      <c r="CO114" s="561">
        <f t="shared" ca="1" si="433"/>
        <v>0</v>
      </c>
      <c r="CP114" s="561">
        <f t="shared" ca="1" si="433"/>
        <v>0</v>
      </c>
      <c r="CQ114" s="561">
        <f t="shared" ca="1" si="433"/>
        <v>0</v>
      </c>
      <c r="CR114" s="561">
        <f t="shared" ca="1" si="433"/>
        <v>0</v>
      </c>
      <c r="CS114" s="561">
        <f t="shared" ca="1" si="433"/>
        <v>0</v>
      </c>
      <c r="CT114" s="561">
        <f t="shared" ca="1" si="433"/>
        <v>0</v>
      </c>
      <c r="CU114" s="561">
        <f t="shared" ca="1" si="433"/>
        <v>0</v>
      </c>
      <c r="CV114" s="561">
        <f t="shared" ca="1" si="433"/>
        <v>0</v>
      </c>
      <c r="CW114" s="561">
        <f t="shared" ca="1" si="433"/>
        <v>0</v>
      </c>
      <c r="CX114" s="561">
        <f t="shared" ca="1" si="433"/>
        <v>0</v>
      </c>
      <c r="CY114" s="561">
        <f t="shared" ca="1" si="433"/>
        <v>0</v>
      </c>
      <c r="CZ114" s="561">
        <f t="shared" ca="1" si="433"/>
        <v>0</v>
      </c>
      <c r="DA114" s="561">
        <f t="shared" ca="1" si="433"/>
        <v>0</v>
      </c>
      <c r="DB114" s="561">
        <f t="shared" ca="1" si="433"/>
        <v>0</v>
      </c>
      <c r="DC114" s="561">
        <f t="shared" ca="1" si="433"/>
        <v>0</v>
      </c>
      <c r="DD114" s="561">
        <f t="shared" ca="1" si="433"/>
        <v>0</v>
      </c>
      <c r="DE114" s="561">
        <f t="shared" ca="1" si="433"/>
        <v>0</v>
      </c>
      <c r="DF114" s="561">
        <f t="shared" ca="1" si="433"/>
        <v>0</v>
      </c>
      <c r="DG114" s="561">
        <f t="shared" ca="1" si="433"/>
        <v>0</v>
      </c>
      <c r="DH114" s="561">
        <f t="shared" ca="1" si="433"/>
        <v>0</v>
      </c>
      <c r="DI114" s="561">
        <f t="shared" ca="1" si="433"/>
        <v>0</v>
      </c>
      <c r="DJ114" s="561">
        <f t="shared" ca="1" si="433"/>
        <v>0</v>
      </c>
      <c r="DK114" s="561">
        <f t="shared" ca="1" si="433"/>
        <v>0</v>
      </c>
      <c r="DL114" s="561">
        <f t="shared" ca="1" si="433"/>
        <v>0</v>
      </c>
      <c r="DM114" s="561">
        <f t="shared" ca="1" si="433"/>
        <v>0</v>
      </c>
      <c r="DN114" s="561">
        <f t="shared" ca="1" si="433"/>
        <v>0</v>
      </c>
      <c r="DO114" s="561">
        <f t="shared" ca="1" si="433"/>
        <v>0</v>
      </c>
      <c r="DP114" s="561">
        <f t="shared" ca="1" si="433"/>
        <v>0</v>
      </c>
    </row>
    <row r="115" spans="1:120" outlineLevel="1">
      <c r="A115" s="89">
        <v>1110052010</v>
      </c>
      <c r="B115" s="90" t="s">
        <v>2534</v>
      </c>
      <c r="C115" s="1476" t="s">
        <v>64</v>
      </c>
      <c r="D115" s="1481"/>
      <c r="E115" s="1482">
        <v>45020</v>
      </c>
      <c r="F115" s="420"/>
      <c r="G115" s="1256"/>
      <c r="H115" s="421"/>
      <c r="I115" s="422"/>
      <c r="J115" s="1425">
        <v>1</v>
      </c>
      <c r="K115" s="1426">
        <v>1</v>
      </c>
      <c r="L115" s="1043">
        <v>3762000</v>
      </c>
      <c r="M115" s="1594">
        <f t="shared" si="434"/>
        <v>3762000</v>
      </c>
      <c r="N115" s="504">
        <f ca="1">IF(OR(E115="",E115&gt;TODAY()),0,IF(ISERROR(VLOOKUP($E115,'TRM BanRep'!$A:$G,7,0)),0,VLOOKUP($E115,'TRM BanRep'!$A:$G,7,0)))</f>
        <v>4603</v>
      </c>
      <c r="O115" s="424">
        <f t="shared" ca="1" si="426"/>
        <v>17316486000</v>
      </c>
      <c r="P115" s="425"/>
      <c r="Q115" s="1340">
        <f t="shared" si="427"/>
        <v>0</v>
      </c>
      <c r="R115" s="426"/>
      <c r="S115" s="426">
        <f ca="1">IF(OR(E115="",E115&gt;TODAY()),0,IF(ISERROR(VLOOKUP($E115,'TRM BanRep'!$A:$G,7,0)),0,VLOOKUP($E115,'TRM BanRep'!$A:$G,7,0)))</f>
        <v>4603</v>
      </c>
      <c r="T115" s="427">
        <f t="shared" ca="1" si="428"/>
        <v>0</v>
      </c>
      <c r="U115" s="418">
        <f t="shared" si="429"/>
        <v>3762000</v>
      </c>
      <c r="V115" s="517">
        <f t="shared" ca="1" si="435"/>
        <v>17316486000</v>
      </c>
      <c r="W115" s="428">
        <f t="shared" ca="1" si="430"/>
        <v>0</v>
      </c>
      <c r="X115" s="429">
        <f t="shared" ca="1" si="431"/>
        <v>0</v>
      </c>
      <c r="Y115" s="92"/>
      <c r="Z115" s="1055"/>
      <c r="AA115" s="85">
        <f t="shared" si="432"/>
        <v>0</v>
      </c>
      <c r="AB115" s="508">
        <f t="shared" si="432"/>
        <v>0</v>
      </c>
      <c r="AC115" s="508">
        <f t="shared" si="432"/>
        <v>0</v>
      </c>
      <c r="AD115" s="508">
        <f t="shared" si="432"/>
        <v>0</v>
      </c>
      <c r="AE115" s="508">
        <f t="shared" si="432"/>
        <v>0</v>
      </c>
      <c r="AF115" s="561">
        <f t="shared" si="432"/>
        <v>0</v>
      </c>
      <c r="AG115" s="561">
        <f t="shared" si="432"/>
        <v>0</v>
      </c>
      <c r="AH115" s="561">
        <f t="shared" si="432"/>
        <v>0</v>
      </c>
      <c r="AI115" s="561">
        <f t="shared" si="432"/>
        <v>0</v>
      </c>
      <c r="AJ115" s="561">
        <f t="shared" si="432"/>
        <v>0</v>
      </c>
      <c r="AK115" s="561">
        <f t="shared" si="432"/>
        <v>0</v>
      </c>
      <c r="AL115" s="1542">
        <f t="shared" si="432"/>
        <v>0</v>
      </c>
      <c r="AM115" s="561">
        <f t="shared" si="432"/>
        <v>0</v>
      </c>
      <c r="AN115" s="561">
        <f t="shared" si="432"/>
        <v>0</v>
      </c>
      <c r="AO115" s="561">
        <f t="shared" si="432"/>
        <v>0</v>
      </c>
      <c r="AP115" s="561">
        <f t="shared" si="432"/>
        <v>0</v>
      </c>
      <c r="AQ115" s="561">
        <f t="shared" si="432"/>
        <v>0</v>
      </c>
      <c r="AR115" s="561">
        <f t="shared" si="432"/>
        <v>0</v>
      </c>
      <c r="AS115" s="561">
        <f t="shared" si="432"/>
        <v>0</v>
      </c>
      <c r="AT115" s="561">
        <f t="shared" si="432"/>
        <v>0</v>
      </c>
      <c r="AU115" s="561">
        <f t="shared" si="432"/>
        <v>0</v>
      </c>
      <c r="AV115" s="561">
        <f t="shared" si="432"/>
        <v>0</v>
      </c>
      <c r="AW115" s="561">
        <f t="shared" si="432"/>
        <v>0</v>
      </c>
      <c r="AX115" s="561">
        <f t="shared" si="432"/>
        <v>0</v>
      </c>
      <c r="AY115" s="561">
        <f t="shared" si="432"/>
        <v>0</v>
      </c>
      <c r="AZ115" s="561">
        <f t="shared" si="432"/>
        <v>0</v>
      </c>
      <c r="BA115" s="561">
        <f t="shared" si="432"/>
        <v>3762000</v>
      </c>
      <c r="BB115" s="561">
        <f t="shared" si="432"/>
        <v>0</v>
      </c>
      <c r="BC115" s="561">
        <f t="shared" si="432"/>
        <v>0</v>
      </c>
      <c r="BD115" s="561">
        <f t="shared" si="432"/>
        <v>0</v>
      </c>
      <c r="BE115" s="561">
        <f t="shared" si="432"/>
        <v>0</v>
      </c>
      <c r="BF115" s="561">
        <f t="shared" si="432"/>
        <v>0</v>
      </c>
      <c r="BG115" s="561">
        <f t="shared" si="432"/>
        <v>0</v>
      </c>
      <c r="BH115" s="561">
        <f t="shared" si="432"/>
        <v>0</v>
      </c>
      <c r="BI115" s="561">
        <f t="shared" si="432"/>
        <v>0</v>
      </c>
      <c r="BJ115" s="561">
        <f t="shared" si="432"/>
        <v>0</v>
      </c>
      <c r="BK115" s="561">
        <f t="shared" si="432"/>
        <v>0</v>
      </c>
      <c r="BL115" s="561">
        <f t="shared" si="432"/>
        <v>0</v>
      </c>
      <c r="BM115" s="561">
        <f t="shared" si="432"/>
        <v>0</v>
      </c>
      <c r="BN115" s="561">
        <f t="shared" si="432"/>
        <v>0</v>
      </c>
      <c r="BO115" s="561">
        <f t="shared" si="432"/>
        <v>0</v>
      </c>
      <c r="BP115" s="561">
        <f t="shared" si="432"/>
        <v>0</v>
      </c>
      <c r="BQ115" s="561">
        <f t="shared" si="432"/>
        <v>0</v>
      </c>
      <c r="BR115" s="561">
        <f t="shared" si="432"/>
        <v>0</v>
      </c>
      <c r="BS115" s="561">
        <f t="shared" si="432"/>
        <v>0</v>
      </c>
      <c r="BT115" s="561">
        <f t="shared" si="432"/>
        <v>0</v>
      </c>
      <c r="BU115" s="561">
        <f t="shared" si="432"/>
        <v>0</v>
      </c>
      <c r="BV115" s="561">
        <f t="shared" si="432"/>
        <v>0</v>
      </c>
      <c r="BW115" s="561">
        <f t="shared" si="432"/>
        <v>0</v>
      </c>
      <c r="BX115" s="561">
        <f t="shared" si="432"/>
        <v>0</v>
      </c>
      <c r="BY115" s="561">
        <f t="shared" si="432"/>
        <v>0</v>
      </c>
      <c r="BZ115" s="561">
        <f t="shared" si="432"/>
        <v>0</v>
      </c>
      <c r="CA115" s="561">
        <f t="shared" si="432"/>
        <v>0</v>
      </c>
      <c r="CB115" s="561">
        <f t="shared" si="432"/>
        <v>0</v>
      </c>
      <c r="CC115" s="561">
        <f t="shared" si="432"/>
        <v>0</v>
      </c>
      <c r="CD115" s="561">
        <f t="shared" si="432"/>
        <v>0</v>
      </c>
      <c r="CE115" s="561">
        <f t="shared" si="432"/>
        <v>0</v>
      </c>
      <c r="CF115" s="561">
        <f t="shared" si="432"/>
        <v>0</v>
      </c>
      <c r="CG115" s="561">
        <f t="shared" si="432"/>
        <v>0</v>
      </c>
      <c r="CH115" s="561">
        <f t="shared" si="432"/>
        <v>0</v>
      </c>
      <c r="CI115" s="561">
        <f t="shared" si="432"/>
        <v>0</v>
      </c>
      <c r="CJ115" s="561">
        <f t="shared" si="432"/>
        <v>0</v>
      </c>
      <c r="CK115" s="561">
        <f t="shared" si="432"/>
        <v>0</v>
      </c>
      <c r="CL115" s="561">
        <f t="shared" si="432"/>
        <v>0</v>
      </c>
      <c r="CM115" s="561">
        <f t="shared" si="433"/>
        <v>0</v>
      </c>
      <c r="CN115" s="561">
        <f t="shared" si="433"/>
        <v>0</v>
      </c>
      <c r="CO115" s="561">
        <f t="shared" si="433"/>
        <v>0</v>
      </c>
      <c r="CP115" s="561">
        <f t="shared" si="433"/>
        <v>0</v>
      </c>
      <c r="CQ115" s="561">
        <f t="shared" si="433"/>
        <v>0</v>
      </c>
      <c r="CR115" s="561">
        <f t="shared" si="433"/>
        <v>0</v>
      </c>
      <c r="CS115" s="561">
        <f t="shared" si="433"/>
        <v>0</v>
      </c>
      <c r="CT115" s="561">
        <f t="shared" si="433"/>
        <v>0</v>
      </c>
      <c r="CU115" s="561">
        <f t="shared" si="433"/>
        <v>0</v>
      </c>
      <c r="CV115" s="561">
        <f t="shared" si="433"/>
        <v>0</v>
      </c>
      <c r="CW115" s="561">
        <f t="shared" si="433"/>
        <v>0</v>
      </c>
      <c r="CX115" s="561">
        <f t="shared" si="433"/>
        <v>0</v>
      </c>
      <c r="CY115" s="561">
        <f t="shared" si="433"/>
        <v>0</v>
      </c>
      <c r="CZ115" s="561">
        <f t="shared" si="433"/>
        <v>0</v>
      </c>
      <c r="DA115" s="561">
        <f t="shared" si="433"/>
        <v>0</v>
      </c>
      <c r="DB115" s="561">
        <f t="shared" si="433"/>
        <v>0</v>
      </c>
      <c r="DC115" s="561">
        <f t="shared" si="433"/>
        <v>0</v>
      </c>
      <c r="DD115" s="561">
        <f t="shared" si="433"/>
        <v>0</v>
      </c>
      <c r="DE115" s="561">
        <f t="shared" si="433"/>
        <v>0</v>
      </c>
      <c r="DF115" s="561">
        <f t="shared" si="433"/>
        <v>0</v>
      </c>
      <c r="DG115" s="561">
        <f t="shared" si="433"/>
        <v>0</v>
      </c>
      <c r="DH115" s="561">
        <f t="shared" si="433"/>
        <v>0</v>
      </c>
      <c r="DI115" s="561">
        <f t="shared" si="433"/>
        <v>0</v>
      </c>
      <c r="DJ115" s="561">
        <f t="shared" si="433"/>
        <v>0</v>
      </c>
      <c r="DK115" s="561">
        <f t="shared" si="433"/>
        <v>0</v>
      </c>
      <c r="DL115" s="561">
        <f t="shared" si="433"/>
        <v>0</v>
      </c>
      <c r="DM115" s="561">
        <f t="shared" si="433"/>
        <v>0</v>
      </c>
      <c r="DN115" s="561">
        <f t="shared" si="433"/>
        <v>0</v>
      </c>
      <c r="DO115" s="561">
        <f t="shared" si="433"/>
        <v>0</v>
      </c>
      <c r="DP115" s="561">
        <f t="shared" si="433"/>
        <v>0</v>
      </c>
    </row>
    <row r="116" spans="1:120" outlineLevel="1">
      <c r="A116" s="89">
        <v>1110052010</v>
      </c>
      <c r="B116" s="90" t="s">
        <v>2535</v>
      </c>
      <c r="C116" s="1476" t="s">
        <v>64</v>
      </c>
      <c r="D116" s="1481"/>
      <c r="E116" s="1482">
        <v>45020</v>
      </c>
      <c r="F116" s="420"/>
      <c r="G116" s="1256"/>
      <c r="H116" s="421"/>
      <c r="I116" s="422"/>
      <c r="J116" s="1425">
        <v>1</v>
      </c>
      <c r="K116" s="1426">
        <v>1</v>
      </c>
      <c r="L116" s="1043"/>
      <c r="M116" s="1594">
        <f t="shared" ref="M116" si="436">+L116*J116</f>
        <v>0</v>
      </c>
      <c r="N116" s="504">
        <f ca="1">IF(OR(E116="",E116&gt;TODAY()),0,IF(ISERROR(VLOOKUP($E116,'TRM BanRep'!$A:$G,7,0)),0,VLOOKUP($E116,'TRM BanRep'!$A:$G,7,0)))</f>
        <v>4603</v>
      </c>
      <c r="O116" s="424">
        <f t="shared" ref="O116" ca="1" si="437">+L116*N116</f>
        <v>0</v>
      </c>
      <c r="P116" s="425">
        <v>-549.41</v>
      </c>
      <c r="Q116" s="1340">
        <f t="shared" ref="Q116" si="438">+P116*K116</f>
        <v>-549.41</v>
      </c>
      <c r="R116" s="426">
        <v>4755.12</v>
      </c>
      <c r="S116" s="426">
        <f ca="1">IF(OR(E116="",E116&gt;TODAY()),0,IF(ISERROR(VLOOKUP($E116,'TRM BanRep'!$A:$G,7,0)),0,VLOOKUP($E116,'TRM BanRep'!$A:$G,7,0)))</f>
        <v>4603</v>
      </c>
      <c r="T116" s="427">
        <f t="shared" ref="T116" ca="1" si="439">+P116*S116</f>
        <v>-2528934.23</v>
      </c>
      <c r="U116" s="418">
        <f t="shared" ref="U116" si="440">+L116+P116+F116</f>
        <v>-549.41</v>
      </c>
      <c r="V116" s="517">
        <f t="shared" ca="1" si="435"/>
        <v>-2612510.4791999999</v>
      </c>
      <c r="W116" s="428">
        <f t="shared" ref="W116" ca="1" si="441">(IF(R116&gt;S116,(-P116*R116)-(-P116*S116),0))</f>
        <v>83576.249199999962</v>
      </c>
      <c r="X116" s="429">
        <f t="shared" ref="X116" ca="1" si="442">(IF(R116&lt;S116,(-P116*R116)-(-P116*S116),0))</f>
        <v>0</v>
      </c>
      <c r="Y116" s="92"/>
      <c r="Z116" s="1055"/>
      <c r="AA116" s="85">
        <f t="shared" ca="1" si="432"/>
        <v>0</v>
      </c>
      <c r="AB116" s="508">
        <f t="shared" ca="1" si="432"/>
        <v>0</v>
      </c>
      <c r="AC116" s="508">
        <f t="shared" ca="1" si="432"/>
        <v>0</v>
      </c>
      <c r="AD116" s="508">
        <f t="shared" ca="1" si="432"/>
        <v>0</v>
      </c>
      <c r="AE116" s="508">
        <f t="shared" ca="1" si="432"/>
        <v>0</v>
      </c>
      <c r="AF116" s="561">
        <f t="shared" ca="1" si="432"/>
        <v>0</v>
      </c>
      <c r="AG116" s="561">
        <f t="shared" ca="1" si="432"/>
        <v>0</v>
      </c>
      <c r="AH116" s="561">
        <f t="shared" ca="1" si="432"/>
        <v>0</v>
      </c>
      <c r="AI116" s="561">
        <f t="shared" ca="1" si="432"/>
        <v>0</v>
      </c>
      <c r="AJ116" s="561">
        <f t="shared" ca="1" si="432"/>
        <v>0</v>
      </c>
      <c r="AK116" s="561">
        <f t="shared" ca="1" si="432"/>
        <v>0</v>
      </c>
      <c r="AL116" s="1542">
        <f t="shared" ca="1" si="432"/>
        <v>0</v>
      </c>
      <c r="AM116" s="561">
        <f t="shared" ca="1" si="432"/>
        <v>0</v>
      </c>
      <c r="AN116" s="561">
        <f t="shared" ca="1" si="432"/>
        <v>0</v>
      </c>
      <c r="AO116" s="561">
        <f t="shared" ca="1" si="432"/>
        <v>0</v>
      </c>
      <c r="AP116" s="561">
        <f t="shared" ca="1" si="432"/>
        <v>0</v>
      </c>
      <c r="AQ116" s="561">
        <f t="shared" ca="1" si="432"/>
        <v>0</v>
      </c>
      <c r="AR116" s="561">
        <f t="shared" ca="1" si="432"/>
        <v>0</v>
      </c>
      <c r="AS116" s="561">
        <f t="shared" ca="1" si="432"/>
        <v>0</v>
      </c>
      <c r="AT116" s="561">
        <f t="shared" ca="1" si="432"/>
        <v>0</v>
      </c>
      <c r="AU116" s="561">
        <f t="shared" ca="1" si="432"/>
        <v>0</v>
      </c>
      <c r="AV116" s="561">
        <f t="shared" ca="1" si="432"/>
        <v>-549.41</v>
      </c>
      <c r="AW116" s="561">
        <f t="shared" ca="1" si="432"/>
        <v>0</v>
      </c>
      <c r="AX116" s="561">
        <f t="shared" ca="1" si="432"/>
        <v>0</v>
      </c>
      <c r="AY116" s="561">
        <f t="shared" ca="1" si="432"/>
        <v>0</v>
      </c>
      <c r="AZ116" s="561">
        <f t="shared" ca="1" si="432"/>
        <v>0</v>
      </c>
      <c r="BA116" s="561">
        <f t="shared" ca="1" si="432"/>
        <v>0</v>
      </c>
      <c r="BB116" s="561">
        <f t="shared" ca="1" si="432"/>
        <v>0</v>
      </c>
      <c r="BC116" s="561">
        <f t="shared" ca="1" si="432"/>
        <v>0</v>
      </c>
      <c r="BD116" s="561">
        <f t="shared" ca="1" si="432"/>
        <v>0</v>
      </c>
      <c r="BE116" s="561">
        <f t="shared" ca="1" si="432"/>
        <v>0</v>
      </c>
      <c r="BF116" s="561">
        <f t="shared" ca="1" si="432"/>
        <v>0</v>
      </c>
      <c r="BG116" s="561">
        <f t="shared" ca="1" si="432"/>
        <v>0</v>
      </c>
      <c r="BH116" s="561">
        <f t="shared" ca="1" si="432"/>
        <v>0</v>
      </c>
      <c r="BI116" s="561">
        <f t="shared" ca="1" si="432"/>
        <v>0</v>
      </c>
      <c r="BJ116" s="561">
        <f t="shared" ca="1" si="432"/>
        <v>0</v>
      </c>
      <c r="BK116" s="561">
        <f t="shared" ca="1" si="432"/>
        <v>0</v>
      </c>
      <c r="BL116" s="561">
        <f t="shared" ca="1" si="432"/>
        <v>0</v>
      </c>
      <c r="BM116" s="561">
        <f t="shared" ca="1" si="432"/>
        <v>0</v>
      </c>
      <c r="BN116" s="561">
        <f t="shared" ca="1" si="432"/>
        <v>0</v>
      </c>
      <c r="BO116" s="561">
        <f t="shared" ca="1" si="432"/>
        <v>0</v>
      </c>
      <c r="BP116" s="561">
        <f t="shared" ca="1" si="432"/>
        <v>0</v>
      </c>
      <c r="BQ116" s="561">
        <f t="shared" ca="1" si="432"/>
        <v>0</v>
      </c>
      <c r="BR116" s="561">
        <f t="shared" ca="1" si="432"/>
        <v>0</v>
      </c>
      <c r="BS116" s="561">
        <f t="shared" ca="1" si="432"/>
        <v>0</v>
      </c>
      <c r="BT116" s="561">
        <f t="shared" ca="1" si="432"/>
        <v>0</v>
      </c>
      <c r="BU116" s="561">
        <f t="shared" ca="1" si="432"/>
        <v>0</v>
      </c>
      <c r="BV116" s="561">
        <f t="shared" ca="1" si="432"/>
        <v>0</v>
      </c>
      <c r="BW116" s="561">
        <f t="shared" ca="1" si="432"/>
        <v>0</v>
      </c>
      <c r="BX116" s="561">
        <f t="shared" ca="1" si="432"/>
        <v>0</v>
      </c>
      <c r="BY116" s="561">
        <f t="shared" ca="1" si="432"/>
        <v>0</v>
      </c>
      <c r="BZ116" s="561">
        <f t="shared" ca="1" si="432"/>
        <v>0</v>
      </c>
      <c r="CA116" s="561">
        <f t="shared" ca="1" si="432"/>
        <v>0</v>
      </c>
      <c r="CB116" s="561">
        <f t="shared" ca="1" si="432"/>
        <v>0</v>
      </c>
      <c r="CC116" s="561">
        <f t="shared" ca="1" si="432"/>
        <v>0</v>
      </c>
      <c r="CD116" s="561">
        <f t="shared" ca="1" si="432"/>
        <v>0</v>
      </c>
      <c r="CE116" s="561">
        <f t="shared" ca="1" si="432"/>
        <v>0</v>
      </c>
      <c r="CF116" s="561">
        <f t="shared" ca="1" si="432"/>
        <v>0</v>
      </c>
      <c r="CG116" s="561">
        <f t="shared" ca="1" si="432"/>
        <v>0</v>
      </c>
      <c r="CH116" s="561">
        <f t="shared" ca="1" si="432"/>
        <v>0</v>
      </c>
      <c r="CI116" s="561">
        <f t="shared" ca="1" si="432"/>
        <v>0</v>
      </c>
      <c r="CJ116" s="561">
        <f t="shared" ca="1" si="432"/>
        <v>0</v>
      </c>
      <c r="CK116" s="561">
        <f t="shared" ca="1" si="432"/>
        <v>0</v>
      </c>
      <c r="CL116" s="561">
        <f t="shared" ref="AA116:CL123" ca="1" si="443">IF($L116="",IF(OR($P116="",$R116=""),0,IF($R116=CL$6,$Q116,0)),IF($E116=CL$5,$M116,))</f>
        <v>0</v>
      </c>
      <c r="CM116" s="561">
        <f t="shared" ca="1" si="433"/>
        <v>0</v>
      </c>
      <c r="CN116" s="561">
        <f t="shared" ca="1" si="433"/>
        <v>0</v>
      </c>
      <c r="CO116" s="561">
        <f t="shared" ca="1" si="433"/>
        <v>0</v>
      </c>
      <c r="CP116" s="561">
        <f t="shared" ca="1" si="433"/>
        <v>0</v>
      </c>
      <c r="CQ116" s="561">
        <f t="shared" ca="1" si="433"/>
        <v>0</v>
      </c>
      <c r="CR116" s="561">
        <f t="shared" ca="1" si="433"/>
        <v>0</v>
      </c>
      <c r="CS116" s="561">
        <f t="shared" ca="1" si="433"/>
        <v>0</v>
      </c>
      <c r="CT116" s="561">
        <f t="shared" ca="1" si="433"/>
        <v>0</v>
      </c>
      <c r="CU116" s="561">
        <f t="shared" ca="1" si="433"/>
        <v>0</v>
      </c>
      <c r="CV116" s="561">
        <f t="shared" ca="1" si="433"/>
        <v>0</v>
      </c>
      <c r="CW116" s="561">
        <f t="shared" ca="1" si="433"/>
        <v>0</v>
      </c>
      <c r="CX116" s="561">
        <f t="shared" ca="1" si="433"/>
        <v>0</v>
      </c>
      <c r="CY116" s="561">
        <f t="shared" ca="1" si="433"/>
        <v>0</v>
      </c>
      <c r="CZ116" s="561">
        <f t="shared" ca="1" si="433"/>
        <v>0</v>
      </c>
      <c r="DA116" s="561">
        <f t="shared" ca="1" si="433"/>
        <v>0</v>
      </c>
      <c r="DB116" s="561">
        <f t="shared" ca="1" si="433"/>
        <v>0</v>
      </c>
      <c r="DC116" s="561">
        <f t="shared" ca="1" si="433"/>
        <v>0</v>
      </c>
      <c r="DD116" s="561">
        <f t="shared" ca="1" si="433"/>
        <v>0</v>
      </c>
      <c r="DE116" s="561">
        <f t="shared" ca="1" si="433"/>
        <v>0</v>
      </c>
      <c r="DF116" s="561">
        <f t="shared" ca="1" si="433"/>
        <v>0</v>
      </c>
      <c r="DG116" s="561">
        <f t="shared" ca="1" si="433"/>
        <v>0</v>
      </c>
      <c r="DH116" s="561">
        <f t="shared" ca="1" si="433"/>
        <v>0</v>
      </c>
      <c r="DI116" s="561">
        <f t="shared" ca="1" si="433"/>
        <v>0</v>
      </c>
      <c r="DJ116" s="561">
        <f t="shared" ca="1" si="433"/>
        <v>0</v>
      </c>
      <c r="DK116" s="561">
        <f t="shared" ca="1" si="433"/>
        <v>0</v>
      </c>
      <c r="DL116" s="561">
        <f t="shared" ca="1" si="433"/>
        <v>0</v>
      </c>
      <c r="DM116" s="561">
        <f t="shared" ca="1" si="433"/>
        <v>0</v>
      </c>
      <c r="DN116" s="561">
        <f t="shared" ca="1" si="433"/>
        <v>0</v>
      </c>
      <c r="DO116" s="561">
        <f t="shared" ca="1" si="433"/>
        <v>0</v>
      </c>
      <c r="DP116" s="561">
        <f t="shared" ca="1" si="433"/>
        <v>0</v>
      </c>
    </row>
    <row r="117" spans="1:120" outlineLevel="1">
      <c r="A117" s="89">
        <v>1110052010</v>
      </c>
      <c r="B117" s="90" t="s">
        <v>2536</v>
      </c>
      <c r="C117" s="1476" t="s">
        <v>64</v>
      </c>
      <c r="D117" s="1481"/>
      <c r="E117" s="1482">
        <v>45026</v>
      </c>
      <c r="F117" s="420"/>
      <c r="G117" s="1256"/>
      <c r="H117" s="421"/>
      <c r="I117" s="422"/>
      <c r="J117" s="1425">
        <v>1</v>
      </c>
      <c r="K117" s="1426">
        <v>1</v>
      </c>
      <c r="L117" s="1043"/>
      <c r="M117" s="1594">
        <f t="shared" ref="M117" si="444">+L117*J117</f>
        <v>0</v>
      </c>
      <c r="N117" s="504">
        <f ca="1">IF(OR(E117="",E117&gt;TODAY()),0,IF(ISERROR(VLOOKUP($E117,'TRM BanRep'!$A:$G,7,0)),0,VLOOKUP($E117,'TRM BanRep'!$A:$G,7,0)))</f>
        <v>4570.91</v>
      </c>
      <c r="O117" s="424">
        <f t="shared" ref="O117" ca="1" si="445">+L117*N117</f>
        <v>0</v>
      </c>
      <c r="P117" s="425">
        <v>-1519400.19</v>
      </c>
      <c r="Q117" s="1340">
        <f t="shared" ref="Q117" si="446">+P117*K117</f>
        <v>-1519400.19</v>
      </c>
      <c r="R117" s="426">
        <v>4755.12</v>
      </c>
      <c r="S117" s="426">
        <f ca="1">IF(OR(E117="",E117&gt;TODAY()),0,IF(ISERROR(VLOOKUP($E117,'TRM BanRep'!$A:$G,7,0)),0,VLOOKUP($E117,'TRM BanRep'!$A:$G,7,0)))</f>
        <v>4570.91</v>
      </c>
      <c r="T117" s="427">
        <f t="shared" ref="T117" ca="1" si="447">+P117*S117</f>
        <v>-6945041522.4728994</v>
      </c>
      <c r="U117" s="418">
        <f t="shared" ref="U117" si="448">+L117+P117+F117</f>
        <v>-1519400.19</v>
      </c>
      <c r="V117" s="517">
        <f t="shared" ca="1" si="435"/>
        <v>-7224930231.4727993</v>
      </c>
      <c r="W117" s="428">
        <f t="shared" ref="W117" ca="1" si="449">(IF(R117&gt;S117,(-P117*R117)-(-P117*S117),0))</f>
        <v>279888708.99989986</v>
      </c>
      <c r="X117" s="429">
        <f t="shared" ref="X117" ca="1" si="450">(IF(R117&lt;S117,(-P117*R117)-(-P117*S117),0))</f>
        <v>0</v>
      </c>
      <c r="Y117" s="92"/>
      <c r="Z117" s="1055"/>
      <c r="AA117" s="85">
        <f t="shared" ca="1" si="443"/>
        <v>0</v>
      </c>
      <c r="AB117" s="508">
        <f t="shared" ca="1" si="443"/>
        <v>0</v>
      </c>
      <c r="AC117" s="508">
        <f t="shared" ca="1" si="443"/>
        <v>0</v>
      </c>
      <c r="AD117" s="508">
        <f t="shared" ca="1" si="443"/>
        <v>0</v>
      </c>
      <c r="AE117" s="508">
        <f t="shared" ca="1" si="443"/>
        <v>0</v>
      </c>
      <c r="AF117" s="561">
        <f t="shared" ca="1" si="443"/>
        <v>0</v>
      </c>
      <c r="AG117" s="561">
        <f t="shared" ca="1" si="443"/>
        <v>0</v>
      </c>
      <c r="AH117" s="561">
        <f t="shared" ca="1" si="443"/>
        <v>0</v>
      </c>
      <c r="AI117" s="561">
        <f t="shared" ca="1" si="443"/>
        <v>0</v>
      </c>
      <c r="AJ117" s="561">
        <f t="shared" ca="1" si="443"/>
        <v>0</v>
      </c>
      <c r="AK117" s="561">
        <f t="shared" ca="1" si="443"/>
        <v>0</v>
      </c>
      <c r="AL117" s="1542">
        <f t="shared" ca="1" si="443"/>
        <v>0</v>
      </c>
      <c r="AM117" s="561">
        <f t="shared" ca="1" si="443"/>
        <v>0</v>
      </c>
      <c r="AN117" s="561">
        <f t="shared" ca="1" si="443"/>
        <v>0</v>
      </c>
      <c r="AO117" s="561">
        <f t="shared" ca="1" si="443"/>
        <v>0</v>
      </c>
      <c r="AP117" s="561">
        <f t="shared" ca="1" si="443"/>
        <v>0</v>
      </c>
      <c r="AQ117" s="561">
        <f t="shared" ca="1" si="443"/>
        <v>0</v>
      </c>
      <c r="AR117" s="561">
        <f t="shared" ca="1" si="443"/>
        <v>0</v>
      </c>
      <c r="AS117" s="561">
        <f t="shared" ca="1" si="443"/>
        <v>0</v>
      </c>
      <c r="AT117" s="561">
        <f t="shared" ca="1" si="443"/>
        <v>0</v>
      </c>
      <c r="AU117" s="561">
        <f t="shared" ca="1" si="443"/>
        <v>0</v>
      </c>
      <c r="AV117" s="561">
        <f t="shared" ca="1" si="443"/>
        <v>-1519400.19</v>
      </c>
      <c r="AW117" s="561">
        <f t="shared" ca="1" si="443"/>
        <v>0</v>
      </c>
      <c r="AX117" s="561">
        <f t="shared" ca="1" si="443"/>
        <v>0</v>
      </c>
      <c r="AY117" s="561">
        <f t="shared" ca="1" si="443"/>
        <v>0</v>
      </c>
      <c r="AZ117" s="561">
        <f t="shared" ca="1" si="443"/>
        <v>0</v>
      </c>
      <c r="BA117" s="561">
        <f t="shared" ca="1" si="443"/>
        <v>0</v>
      </c>
      <c r="BB117" s="561">
        <f t="shared" ca="1" si="443"/>
        <v>0</v>
      </c>
      <c r="BC117" s="561">
        <f t="shared" ca="1" si="443"/>
        <v>0</v>
      </c>
      <c r="BD117" s="561">
        <f t="shared" ca="1" si="443"/>
        <v>0</v>
      </c>
      <c r="BE117" s="561">
        <f t="shared" ca="1" si="443"/>
        <v>0</v>
      </c>
      <c r="BF117" s="561">
        <f t="shared" ca="1" si="443"/>
        <v>0</v>
      </c>
      <c r="BG117" s="561">
        <f t="shared" ca="1" si="443"/>
        <v>0</v>
      </c>
      <c r="BH117" s="561">
        <f t="shared" ca="1" si="443"/>
        <v>0</v>
      </c>
      <c r="BI117" s="561">
        <f t="shared" ca="1" si="443"/>
        <v>0</v>
      </c>
      <c r="BJ117" s="561">
        <f t="shared" ca="1" si="443"/>
        <v>0</v>
      </c>
      <c r="BK117" s="561">
        <f t="shared" ca="1" si="443"/>
        <v>0</v>
      </c>
      <c r="BL117" s="561">
        <f t="shared" ca="1" si="443"/>
        <v>0</v>
      </c>
      <c r="BM117" s="561">
        <f t="shared" ca="1" si="443"/>
        <v>0</v>
      </c>
      <c r="BN117" s="561">
        <f t="shared" ca="1" si="443"/>
        <v>0</v>
      </c>
      <c r="BO117" s="561">
        <f t="shared" ca="1" si="443"/>
        <v>0</v>
      </c>
      <c r="BP117" s="561">
        <f t="shared" ca="1" si="443"/>
        <v>0</v>
      </c>
      <c r="BQ117" s="561">
        <f t="shared" ca="1" si="443"/>
        <v>0</v>
      </c>
      <c r="BR117" s="561">
        <f t="shared" ca="1" si="443"/>
        <v>0</v>
      </c>
      <c r="BS117" s="561">
        <f t="shared" ca="1" si="443"/>
        <v>0</v>
      </c>
      <c r="BT117" s="561">
        <f t="shared" ca="1" si="443"/>
        <v>0</v>
      </c>
      <c r="BU117" s="561">
        <f t="shared" ca="1" si="443"/>
        <v>0</v>
      </c>
      <c r="BV117" s="561">
        <f t="shared" ca="1" si="443"/>
        <v>0</v>
      </c>
      <c r="BW117" s="561">
        <f t="shared" ca="1" si="443"/>
        <v>0</v>
      </c>
      <c r="BX117" s="561">
        <f t="shared" ca="1" si="443"/>
        <v>0</v>
      </c>
      <c r="BY117" s="561">
        <f t="shared" ca="1" si="443"/>
        <v>0</v>
      </c>
      <c r="BZ117" s="561">
        <f t="shared" ca="1" si="443"/>
        <v>0</v>
      </c>
      <c r="CA117" s="561">
        <f t="shared" ca="1" si="443"/>
        <v>0</v>
      </c>
      <c r="CB117" s="561">
        <f t="shared" ca="1" si="443"/>
        <v>0</v>
      </c>
      <c r="CC117" s="561">
        <f t="shared" ca="1" si="443"/>
        <v>0</v>
      </c>
      <c r="CD117" s="561">
        <f t="shared" ca="1" si="443"/>
        <v>0</v>
      </c>
      <c r="CE117" s="561">
        <f t="shared" ca="1" si="443"/>
        <v>0</v>
      </c>
      <c r="CF117" s="561">
        <f t="shared" ca="1" si="443"/>
        <v>0</v>
      </c>
      <c r="CG117" s="561">
        <f t="shared" ca="1" si="443"/>
        <v>0</v>
      </c>
      <c r="CH117" s="561">
        <f t="shared" ca="1" si="443"/>
        <v>0</v>
      </c>
      <c r="CI117" s="561">
        <f t="shared" ca="1" si="443"/>
        <v>0</v>
      </c>
      <c r="CJ117" s="561">
        <f t="shared" ca="1" si="443"/>
        <v>0</v>
      </c>
      <c r="CK117" s="561">
        <f t="shared" ca="1" si="443"/>
        <v>0</v>
      </c>
      <c r="CL117" s="561">
        <f t="shared" ca="1" si="443"/>
        <v>0</v>
      </c>
      <c r="CM117" s="561">
        <f t="shared" ca="1" si="433"/>
        <v>0</v>
      </c>
      <c r="CN117" s="561">
        <f t="shared" ca="1" si="433"/>
        <v>0</v>
      </c>
      <c r="CO117" s="561">
        <f t="shared" ca="1" si="433"/>
        <v>0</v>
      </c>
      <c r="CP117" s="561">
        <f t="shared" ca="1" si="433"/>
        <v>0</v>
      </c>
      <c r="CQ117" s="561">
        <f t="shared" ca="1" si="433"/>
        <v>0</v>
      </c>
      <c r="CR117" s="561">
        <f t="shared" ca="1" si="433"/>
        <v>0</v>
      </c>
      <c r="CS117" s="561">
        <f t="shared" ca="1" si="433"/>
        <v>0</v>
      </c>
      <c r="CT117" s="561">
        <f t="shared" ca="1" si="433"/>
        <v>0</v>
      </c>
      <c r="CU117" s="561">
        <f t="shared" ca="1" si="433"/>
        <v>0</v>
      </c>
      <c r="CV117" s="561">
        <f t="shared" ca="1" si="433"/>
        <v>0</v>
      </c>
      <c r="CW117" s="561">
        <f t="shared" ca="1" si="433"/>
        <v>0</v>
      </c>
      <c r="CX117" s="561">
        <f t="shared" ca="1" si="433"/>
        <v>0</v>
      </c>
      <c r="CY117" s="561">
        <f t="shared" ca="1" si="433"/>
        <v>0</v>
      </c>
      <c r="CZ117" s="561">
        <f t="shared" ca="1" si="433"/>
        <v>0</v>
      </c>
      <c r="DA117" s="561">
        <f t="shared" ca="1" si="433"/>
        <v>0</v>
      </c>
      <c r="DB117" s="561">
        <f t="shared" ca="1" si="433"/>
        <v>0</v>
      </c>
      <c r="DC117" s="561">
        <f t="shared" ca="1" si="433"/>
        <v>0</v>
      </c>
      <c r="DD117" s="561">
        <f t="shared" ca="1" si="433"/>
        <v>0</v>
      </c>
      <c r="DE117" s="561">
        <f t="shared" ca="1" si="433"/>
        <v>0</v>
      </c>
      <c r="DF117" s="561">
        <f t="shared" ca="1" si="433"/>
        <v>0</v>
      </c>
      <c r="DG117" s="561">
        <f t="shared" ca="1" si="433"/>
        <v>0</v>
      </c>
      <c r="DH117" s="561">
        <f t="shared" ca="1" si="433"/>
        <v>0</v>
      </c>
      <c r="DI117" s="561">
        <f t="shared" ca="1" si="433"/>
        <v>0</v>
      </c>
      <c r="DJ117" s="561">
        <f t="shared" ca="1" si="433"/>
        <v>0</v>
      </c>
      <c r="DK117" s="561">
        <f t="shared" ca="1" si="433"/>
        <v>0</v>
      </c>
      <c r="DL117" s="561">
        <f t="shared" ca="1" si="433"/>
        <v>0</v>
      </c>
      <c r="DM117" s="561">
        <f t="shared" ca="1" si="433"/>
        <v>0</v>
      </c>
      <c r="DN117" s="561">
        <f t="shared" ca="1" si="433"/>
        <v>0</v>
      </c>
      <c r="DO117" s="561">
        <f t="shared" ca="1" si="433"/>
        <v>0</v>
      </c>
      <c r="DP117" s="561">
        <f t="shared" ca="1" si="433"/>
        <v>0</v>
      </c>
    </row>
    <row r="118" spans="1:120" outlineLevel="1">
      <c r="A118" s="89">
        <v>1110052010</v>
      </c>
      <c r="B118" s="90" t="s">
        <v>2536</v>
      </c>
      <c r="C118" s="1476" t="s">
        <v>64</v>
      </c>
      <c r="D118" s="1481"/>
      <c r="E118" s="1482">
        <v>45026</v>
      </c>
      <c r="F118" s="420"/>
      <c r="G118" s="1256"/>
      <c r="H118" s="421"/>
      <c r="I118" s="422"/>
      <c r="J118" s="1425">
        <v>1</v>
      </c>
      <c r="K118" s="1426">
        <v>1</v>
      </c>
      <c r="L118" s="1043"/>
      <c r="M118" s="1594">
        <f t="shared" ref="M118" si="451">+L118*J118</f>
        <v>0</v>
      </c>
      <c r="N118" s="504">
        <f ca="1">IF(OR(E118="",E118&gt;TODAY()),0,IF(ISERROR(VLOOKUP($E118,'TRM BanRep'!$A:$G,7,0)),0,VLOOKUP($E118,'TRM BanRep'!$A:$G,7,0)))</f>
        <v>4570.91</v>
      </c>
      <c r="O118" s="424">
        <f t="shared" ref="O118" ca="1" si="452">+L118*N118</f>
        <v>0</v>
      </c>
      <c r="P118" s="425">
        <v>-486714.29</v>
      </c>
      <c r="Q118" s="1340">
        <f t="shared" ref="Q118" si="453">+P118*K118</f>
        <v>-486714.29</v>
      </c>
      <c r="R118" s="426">
        <v>4658.79</v>
      </c>
      <c r="S118" s="426">
        <f ca="1">IF(OR(E118="",E118&gt;TODAY()),0,IF(ISERROR(VLOOKUP($E118,'TRM BanRep'!$A:$G,7,0)),0,VLOOKUP($E118,'TRM BanRep'!$A:$G,7,0)))</f>
        <v>4570.91</v>
      </c>
      <c r="T118" s="427">
        <f t="shared" ref="T118" ca="1" si="454">+P118*S118</f>
        <v>-2224727215.3038998</v>
      </c>
      <c r="U118" s="418">
        <f t="shared" ref="U118" si="455">+L118+P118+F118</f>
        <v>-486714.29</v>
      </c>
      <c r="V118" s="517">
        <f t="shared" ref="V118" ca="1" si="456">+Q118*R118+M118*N118+G118*H118</f>
        <v>-2267499667.1090999</v>
      </c>
      <c r="W118" s="428">
        <f t="shared" ref="W118" ca="1" si="457">(IF(R118&gt;S118,(-P118*R118)-(-P118*S118),0))</f>
        <v>42772451.8052001</v>
      </c>
      <c r="X118" s="429">
        <f t="shared" ref="X118" ca="1" si="458">(IF(R118&lt;S118,(-P118*R118)-(-P118*S118),0))</f>
        <v>0</v>
      </c>
      <c r="Y118" s="92"/>
      <c r="Z118" s="1055"/>
      <c r="AA118" s="85">
        <f t="shared" ref="AA118:CL118" ca="1" si="459">IF($L118="",IF(OR($P118="",$R118=""),0,IF($R118=AA$6,$Q118,0)),IF($E118=AA$5,$M118,))</f>
        <v>0</v>
      </c>
      <c r="AB118" s="508">
        <f t="shared" ca="1" si="459"/>
        <v>0</v>
      </c>
      <c r="AC118" s="508">
        <f t="shared" ca="1" si="459"/>
        <v>0</v>
      </c>
      <c r="AD118" s="508">
        <f t="shared" ca="1" si="459"/>
        <v>0</v>
      </c>
      <c r="AE118" s="508">
        <f t="shared" ca="1" si="459"/>
        <v>0</v>
      </c>
      <c r="AF118" s="561">
        <f t="shared" ca="1" si="459"/>
        <v>0</v>
      </c>
      <c r="AG118" s="561">
        <f t="shared" ca="1" si="459"/>
        <v>0</v>
      </c>
      <c r="AH118" s="561">
        <f t="shared" ca="1" si="459"/>
        <v>0</v>
      </c>
      <c r="AI118" s="561">
        <f t="shared" ca="1" si="459"/>
        <v>0</v>
      </c>
      <c r="AJ118" s="561">
        <f t="shared" ca="1" si="459"/>
        <v>0</v>
      </c>
      <c r="AK118" s="561">
        <f t="shared" ca="1" si="459"/>
        <v>0</v>
      </c>
      <c r="AL118" s="1542">
        <f t="shared" ca="1" si="459"/>
        <v>0</v>
      </c>
      <c r="AM118" s="561">
        <f t="shared" ca="1" si="459"/>
        <v>0</v>
      </c>
      <c r="AN118" s="561">
        <f t="shared" ca="1" si="459"/>
        <v>0</v>
      </c>
      <c r="AO118" s="561">
        <f t="shared" ca="1" si="459"/>
        <v>0</v>
      </c>
      <c r="AP118" s="561">
        <f t="shared" ca="1" si="459"/>
        <v>0</v>
      </c>
      <c r="AQ118" s="561">
        <f t="shared" ca="1" si="459"/>
        <v>0</v>
      </c>
      <c r="AR118" s="561">
        <f t="shared" ca="1" si="459"/>
        <v>0</v>
      </c>
      <c r="AS118" s="561">
        <f t="shared" ca="1" si="459"/>
        <v>0</v>
      </c>
      <c r="AT118" s="561">
        <f t="shared" ca="1" si="459"/>
        <v>0</v>
      </c>
      <c r="AU118" s="561">
        <f t="shared" ca="1" si="459"/>
        <v>0</v>
      </c>
      <c r="AV118" s="561">
        <f t="shared" ca="1" si="459"/>
        <v>0</v>
      </c>
      <c r="AW118" s="561">
        <f t="shared" ca="1" si="459"/>
        <v>-486714.29</v>
      </c>
      <c r="AX118" s="561">
        <f t="shared" ca="1" si="459"/>
        <v>0</v>
      </c>
      <c r="AY118" s="561">
        <f t="shared" ca="1" si="459"/>
        <v>0</v>
      </c>
      <c r="AZ118" s="561">
        <f t="shared" ca="1" si="459"/>
        <v>0</v>
      </c>
      <c r="BA118" s="561">
        <f t="shared" ca="1" si="459"/>
        <v>0</v>
      </c>
      <c r="BB118" s="561">
        <f t="shared" ca="1" si="459"/>
        <v>0</v>
      </c>
      <c r="BC118" s="561">
        <f t="shared" ca="1" si="459"/>
        <v>0</v>
      </c>
      <c r="BD118" s="561">
        <f t="shared" ca="1" si="459"/>
        <v>0</v>
      </c>
      <c r="BE118" s="561">
        <f t="shared" ca="1" si="459"/>
        <v>0</v>
      </c>
      <c r="BF118" s="561">
        <f t="shared" ca="1" si="459"/>
        <v>0</v>
      </c>
      <c r="BG118" s="561">
        <f t="shared" ca="1" si="459"/>
        <v>0</v>
      </c>
      <c r="BH118" s="561">
        <f t="shared" ca="1" si="459"/>
        <v>0</v>
      </c>
      <c r="BI118" s="561">
        <f t="shared" ca="1" si="459"/>
        <v>0</v>
      </c>
      <c r="BJ118" s="561">
        <f t="shared" ca="1" si="459"/>
        <v>0</v>
      </c>
      <c r="BK118" s="561">
        <f t="shared" ca="1" si="459"/>
        <v>0</v>
      </c>
      <c r="BL118" s="561">
        <f t="shared" ca="1" si="459"/>
        <v>0</v>
      </c>
      <c r="BM118" s="561">
        <f t="shared" ca="1" si="459"/>
        <v>0</v>
      </c>
      <c r="BN118" s="561">
        <f t="shared" ca="1" si="459"/>
        <v>0</v>
      </c>
      <c r="BO118" s="561">
        <f t="shared" ca="1" si="459"/>
        <v>0</v>
      </c>
      <c r="BP118" s="561">
        <f t="shared" ca="1" si="459"/>
        <v>0</v>
      </c>
      <c r="BQ118" s="561">
        <f t="shared" ca="1" si="459"/>
        <v>0</v>
      </c>
      <c r="BR118" s="561">
        <f t="shared" ca="1" si="459"/>
        <v>0</v>
      </c>
      <c r="BS118" s="561">
        <f t="shared" ca="1" si="459"/>
        <v>0</v>
      </c>
      <c r="BT118" s="561">
        <f t="shared" ca="1" si="459"/>
        <v>0</v>
      </c>
      <c r="BU118" s="561">
        <f t="shared" ca="1" si="459"/>
        <v>0</v>
      </c>
      <c r="BV118" s="561">
        <f t="shared" ca="1" si="459"/>
        <v>0</v>
      </c>
      <c r="BW118" s="561">
        <f t="shared" ca="1" si="459"/>
        <v>0</v>
      </c>
      <c r="BX118" s="561">
        <f t="shared" ca="1" si="459"/>
        <v>0</v>
      </c>
      <c r="BY118" s="561">
        <f t="shared" ca="1" si="459"/>
        <v>0</v>
      </c>
      <c r="BZ118" s="561">
        <f t="shared" ca="1" si="459"/>
        <v>0</v>
      </c>
      <c r="CA118" s="561">
        <f t="shared" ca="1" si="459"/>
        <v>0</v>
      </c>
      <c r="CB118" s="561">
        <f t="shared" ca="1" si="459"/>
        <v>0</v>
      </c>
      <c r="CC118" s="561">
        <f t="shared" ca="1" si="459"/>
        <v>0</v>
      </c>
      <c r="CD118" s="561">
        <f t="shared" ca="1" si="459"/>
        <v>0</v>
      </c>
      <c r="CE118" s="561">
        <f t="shared" ca="1" si="459"/>
        <v>0</v>
      </c>
      <c r="CF118" s="561">
        <f t="shared" ca="1" si="459"/>
        <v>0</v>
      </c>
      <c r="CG118" s="561">
        <f t="shared" ca="1" si="459"/>
        <v>0</v>
      </c>
      <c r="CH118" s="561">
        <f t="shared" ca="1" si="459"/>
        <v>0</v>
      </c>
      <c r="CI118" s="561">
        <f t="shared" ca="1" si="459"/>
        <v>0</v>
      </c>
      <c r="CJ118" s="561">
        <f t="shared" ca="1" si="459"/>
        <v>0</v>
      </c>
      <c r="CK118" s="561">
        <f t="shared" ca="1" si="459"/>
        <v>0</v>
      </c>
      <c r="CL118" s="561">
        <f t="shared" ca="1" si="459"/>
        <v>0</v>
      </c>
      <c r="CM118" s="561">
        <f t="shared" ref="CM118:DP118" ca="1" si="460">IF($L118="",IF(OR($P118="",$R118=""),0,IF($R118=CM$6,$Q118,0)),IF($E118=CM$5,$M118,))</f>
        <v>0</v>
      </c>
      <c r="CN118" s="561">
        <f t="shared" ca="1" si="460"/>
        <v>0</v>
      </c>
      <c r="CO118" s="561">
        <f t="shared" ca="1" si="460"/>
        <v>0</v>
      </c>
      <c r="CP118" s="561">
        <f t="shared" ca="1" si="460"/>
        <v>0</v>
      </c>
      <c r="CQ118" s="561">
        <f t="shared" ca="1" si="460"/>
        <v>0</v>
      </c>
      <c r="CR118" s="561">
        <f t="shared" ca="1" si="460"/>
        <v>0</v>
      </c>
      <c r="CS118" s="561">
        <f t="shared" ca="1" si="460"/>
        <v>0</v>
      </c>
      <c r="CT118" s="561">
        <f t="shared" ca="1" si="460"/>
        <v>0</v>
      </c>
      <c r="CU118" s="561">
        <f t="shared" ca="1" si="460"/>
        <v>0</v>
      </c>
      <c r="CV118" s="561">
        <f t="shared" ca="1" si="460"/>
        <v>0</v>
      </c>
      <c r="CW118" s="561">
        <f t="shared" ca="1" si="460"/>
        <v>0</v>
      </c>
      <c r="CX118" s="561">
        <f t="shared" ca="1" si="460"/>
        <v>0</v>
      </c>
      <c r="CY118" s="561">
        <f t="shared" ca="1" si="460"/>
        <v>0</v>
      </c>
      <c r="CZ118" s="561">
        <f t="shared" ca="1" si="460"/>
        <v>0</v>
      </c>
      <c r="DA118" s="561">
        <f t="shared" ca="1" si="460"/>
        <v>0</v>
      </c>
      <c r="DB118" s="561">
        <f t="shared" ca="1" si="460"/>
        <v>0</v>
      </c>
      <c r="DC118" s="561">
        <f t="shared" ca="1" si="460"/>
        <v>0</v>
      </c>
      <c r="DD118" s="561">
        <f t="shared" ca="1" si="460"/>
        <v>0</v>
      </c>
      <c r="DE118" s="561">
        <f t="shared" ca="1" si="460"/>
        <v>0</v>
      </c>
      <c r="DF118" s="561">
        <f t="shared" ca="1" si="460"/>
        <v>0</v>
      </c>
      <c r="DG118" s="561">
        <f t="shared" ca="1" si="460"/>
        <v>0</v>
      </c>
      <c r="DH118" s="561">
        <f t="shared" ca="1" si="460"/>
        <v>0</v>
      </c>
      <c r="DI118" s="561">
        <f t="shared" ca="1" si="460"/>
        <v>0</v>
      </c>
      <c r="DJ118" s="561">
        <f t="shared" ca="1" si="460"/>
        <v>0</v>
      </c>
      <c r="DK118" s="561">
        <f t="shared" ca="1" si="460"/>
        <v>0</v>
      </c>
      <c r="DL118" s="561">
        <f t="shared" ca="1" si="460"/>
        <v>0</v>
      </c>
      <c r="DM118" s="561">
        <f t="shared" ca="1" si="460"/>
        <v>0</v>
      </c>
      <c r="DN118" s="561">
        <f t="shared" ca="1" si="460"/>
        <v>0</v>
      </c>
      <c r="DO118" s="561">
        <f t="shared" ca="1" si="460"/>
        <v>0</v>
      </c>
      <c r="DP118" s="561">
        <f t="shared" ca="1" si="460"/>
        <v>0</v>
      </c>
    </row>
    <row r="119" spans="1:120" outlineLevel="1">
      <c r="A119" s="89">
        <v>1110052010</v>
      </c>
      <c r="B119" s="90" t="s">
        <v>2537</v>
      </c>
      <c r="C119" s="1476" t="s">
        <v>64</v>
      </c>
      <c r="D119" s="1481"/>
      <c r="E119" s="1482">
        <v>45026</v>
      </c>
      <c r="F119" s="420"/>
      <c r="G119" s="1256"/>
      <c r="H119" s="421"/>
      <c r="I119" s="422"/>
      <c r="J119" s="1425">
        <v>1</v>
      </c>
      <c r="K119" s="1426">
        <v>1</v>
      </c>
      <c r="L119" s="1043"/>
      <c r="M119" s="1594">
        <f t="shared" ref="M119:M122" si="461">+L119*J119</f>
        <v>0</v>
      </c>
      <c r="N119" s="504">
        <f ca="1">IF(OR(E119="",E119&gt;TODAY()),0,IF(ISERROR(VLOOKUP($E119,'TRM BanRep'!$A:$G,7,0)),0,VLOOKUP($E119,'TRM BanRep'!$A:$G,7,0)))</f>
        <v>4570.91</v>
      </c>
      <c r="O119" s="424">
        <f t="shared" ca="1" si="426"/>
        <v>0</v>
      </c>
      <c r="P119" s="425">
        <v>-1575843.68</v>
      </c>
      <c r="Q119" s="1340">
        <f t="shared" si="427"/>
        <v>-1575843.68</v>
      </c>
      <c r="R119" s="426">
        <v>4658.79</v>
      </c>
      <c r="S119" s="426">
        <f ca="1">IF(OR(E119="",E119&gt;TODAY()),0,IF(ISERROR(VLOOKUP($E119,'TRM BanRep'!$A:$G,7,0)),0,VLOOKUP($E119,'TRM BanRep'!$A:$G,7,0)))</f>
        <v>4570.91</v>
      </c>
      <c r="T119" s="427">
        <f t="shared" ca="1" si="428"/>
        <v>-7203039635.3487997</v>
      </c>
      <c r="U119" s="418">
        <f t="shared" si="429"/>
        <v>-1575843.68</v>
      </c>
      <c r="V119" s="517">
        <f t="shared" ca="1" si="435"/>
        <v>-7341524777.9471998</v>
      </c>
      <c r="W119" s="428">
        <f t="shared" ca="1" si="430"/>
        <v>138485142.59840012</v>
      </c>
      <c r="X119" s="429">
        <f t="shared" ca="1" si="431"/>
        <v>0</v>
      </c>
      <c r="Y119" s="92"/>
      <c r="Z119" s="1055"/>
      <c r="AA119" s="85">
        <f t="shared" ca="1" si="443"/>
        <v>0</v>
      </c>
      <c r="AB119" s="508">
        <f t="shared" ca="1" si="443"/>
        <v>0</v>
      </c>
      <c r="AC119" s="508">
        <f t="shared" ca="1" si="443"/>
        <v>0</v>
      </c>
      <c r="AD119" s="508">
        <f t="shared" ca="1" si="443"/>
        <v>0</v>
      </c>
      <c r="AE119" s="508">
        <f t="shared" ca="1" si="443"/>
        <v>0</v>
      </c>
      <c r="AF119" s="561">
        <f t="shared" ca="1" si="443"/>
        <v>0</v>
      </c>
      <c r="AG119" s="561">
        <f t="shared" ca="1" si="443"/>
        <v>0</v>
      </c>
      <c r="AH119" s="561">
        <f t="shared" ca="1" si="443"/>
        <v>0</v>
      </c>
      <c r="AI119" s="561">
        <f t="shared" ca="1" si="443"/>
        <v>0</v>
      </c>
      <c r="AJ119" s="561">
        <f t="shared" ca="1" si="443"/>
        <v>0</v>
      </c>
      <c r="AK119" s="561">
        <f t="shared" ca="1" si="443"/>
        <v>0</v>
      </c>
      <c r="AL119" s="1542">
        <f t="shared" ca="1" si="443"/>
        <v>0</v>
      </c>
      <c r="AM119" s="561">
        <f t="shared" ca="1" si="443"/>
        <v>0</v>
      </c>
      <c r="AN119" s="561">
        <f t="shared" ca="1" si="443"/>
        <v>0</v>
      </c>
      <c r="AO119" s="561">
        <f t="shared" ca="1" si="443"/>
        <v>0</v>
      </c>
      <c r="AP119" s="561">
        <f t="shared" ca="1" si="443"/>
        <v>0</v>
      </c>
      <c r="AQ119" s="561">
        <f t="shared" ca="1" si="443"/>
        <v>0</v>
      </c>
      <c r="AR119" s="561">
        <f t="shared" ca="1" si="443"/>
        <v>0</v>
      </c>
      <c r="AS119" s="561">
        <f t="shared" ca="1" si="443"/>
        <v>0</v>
      </c>
      <c r="AT119" s="561">
        <f t="shared" ca="1" si="443"/>
        <v>0</v>
      </c>
      <c r="AU119" s="561">
        <f t="shared" ca="1" si="443"/>
        <v>0</v>
      </c>
      <c r="AV119" s="561">
        <f t="shared" ca="1" si="443"/>
        <v>0</v>
      </c>
      <c r="AW119" s="561">
        <f t="shared" ca="1" si="443"/>
        <v>-1575843.68</v>
      </c>
      <c r="AX119" s="561">
        <f t="shared" ca="1" si="443"/>
        <v>0</v>
      </c>
      <c r="AY119" s="561">
        <f t="shared" ca="1" si="443"/>
        <v>0</v>
      </c>
      <c r="AZ119" s="561">
        <f t="shared" ca="1" si="443"/>
        <v>0</v>
      </c>
      <c r="BA119" s="561">
        <f t="shared" ca="1" si="443"/>
        <v>0</v>
      </c>
      <c r="BB119" s="561">
        <f t="shared" ca="1" si="443"/>
        <v>0</v>
      </c>
      <c r="BC119" s="561">
        <f t="shared" ca="1" si="443"/>
        <v>0</v>
      </c>
      <c r="BD119" s="561">
        <f t="shared" ca="1" si="443"/>
        <v>0</v>
      </c>
      <c r="BE119" s="561">
        <f t="shared" ca="1" si="443"/>
        <v>0</v>
      </c>
      <c r="BF119" s="561">
        <f t="shared" ca="1" si="443"/>
        <v>0</v>
      </c>
      <c r="BG119" s="561">
        <f t="shared" ca="1" si="443"/>
        <v>0</v>
      </c>
      <c r="BH119" s="561">
        <f t="shared" ca="1" si="443"/>
        <v>0</v>
      </c>
      <c r="BI119" s="561">
        <f t="shared" ca="1" si="443"/>
        <v>0</v>
      </c>
      <c r="BJ119" s="561">
        <f t="shared" ca="1" si="443"/>
        <v>0</v>
      </c>
      <c r="BK119" s="561">
        <f t="shared" ca="1" si="443"/>
        <v>0</v>
      </c>
      <c r="BL119" s="561">
        <f t="shared" ca="1" si="443"/>
        <v>0</v>
      </c>
      <c r="BM119" s="561">
        <f t="shared" ca="1" si="443"/>
        <v>0</v>
      </c>
      <c r="BN119" s="561">
        <f t="shared" ca="1" si="443"/>
        <v>0</v>
      </c>
      <c r="BO119" s="561">
        <f t="shared" ca="1" si="443"/>
        <v>0</v>
      </c>
      <c r="BP119" s="561">
        <f t="shared" ca="1" si="443"/>
        <v>0</v>
      </c>
      <c r="BQ119" s="561">
        <f t="shared" ca="1" si="443"/>
        <v>0</v>
      </c>
      <c r="BR119" s="561">
        <f t="shared" ca="1" si="443"/>
        <v>0</v>
      </c>
      <c r="BS119" s="561">
        <f t="shared" ca="1" si="443"/>
        <v>0</v>
      </c>
      <c r="BT119" s="561">
        <f t="shared" ca="1" si="443"/>
        <v>0</v>
      </c>
      <c r="BU119" s="561">
        <f t="shared" ca="1" si="443"/>
        <v>0</v>
      </c>
      <c r="BV119" s="561">
        <f t="shared" ca="1" si="443"/>
        <v>0</v>
      </c>
      <c r="BW119" s="561">
        <f t="shared" ca="1" si="443"/>
        <v>0</v>
      </c>
      <c r="BX119" s="561">
        <f t="shared" ca="1" si="443"/>
        <v>0</v>
      </c>
      <c r="BY119" s="561">
        <f t="shared" ca="1" si="443"/>
        <v>0</v>
      </c>
      <c r="BZ119" s="561">
        <f t="shared" ca="1" si="443"/>
        <v>0</v>
      </c>
      <c r="CA119" s="561">
        <f t="shared" ca="1" si="443"/>
        <v>0</v>
      </c>
      <c r="CB119" s="561">
        <f t="shared" ca="1" si="443"/>
        <v>0</v>
      </c>
      <c r="CC119" s="561">
        <f t="shared" ca="1" si="443"/>
        <v>0</v>
      </c>
      <c r="CD119" s="561">
        <f t="shared" ca="1" si="443"/>
        <v>0</v>
      </c>
      <c r="CE119" s="561">
        <f t="shared" ca="1" si="443"/>
        <v>0</v>
      </c>
      <c r="CF119" s="561">
        <f t="shared" ca="1" si="443"/>
        <v>0</v>
      </c>
      <c r="CG119" s="561">
        <f t="shared" ca="1" si="443"/>
        <v>0</v>
      </c>
      <c r="CH119" s="561">
        <f t="shared" ca="1" si="443"/>
        <v>0</v>
      </c>
      <c r="CI119" s="561">
        <f t="shared" ca="1" si="443"/>
        <v>0</v>
      </c>
      <c r="CJ119" s="561">
        <f t="shared" ca="1" si="443"/>
        <v>0</v>
      </c>
      <c r="CK119" s="561">
        <f t="shared" ca="1" si="443"/>
        <v>0</v>
      </c>
      <c r="CL119" s="561">
        <f t="shared" ca="1" si="443"/>
        <v>0</v>
      </c>
      <c r="CM119" s="561">
        <f t="shared" ca="1" si="433"/>
        <v>0</v>
      </c>
      <c r="CN119" s="561">
        <f t="shared" ca="1" si="433"/>
        <v>0</v>
      </c>
      <c r="CO119" s="561">
        <f t="shared" ca="1" si="433"/>
        <v>0</v>
      </c>
      <c r="CP119" s="561">
        <f t="shared" ca="1" si="433"/>
        <v>0</v>
      </c>
      <c r="CQ119" s="561">
        <f t="shared" ca="1" si="433"/>
        <v>0</v>
      </c>
      <c r="CR119" s="561">
        <f t="shared" ca="1" si="433"/>
        <v>0</v>
      </c>
      <c r="CS119" s="561">
        <f t="shared" ca="1" si="433"/>
        <v>0</v>
      </c>
      <c r="CT119" s="561">
        <f t="shared" ca="1" si="433"/>
        <v>0</v>
      </c>
      <c r="CU119" s="561">
        <f t="shared" ca="1" si="433"/>
        <v>0</v>
      </c>
      <c r="CV119" s="561">
        <f t="shared" ca="1" si="433"/>
        <v>0</v>
      </c>
      <c r="CW119" s="561">
        <f t="shared" ca="1" si="433"/>
        <v>0</v>
      </c>
      <c r="CX119" s="561">
        <f t="shared" ca="1" si="433"/>
        <v>0</v>
      </c>
      <c r="CY119" s="561">
        <f t="shared" ca="1" si="433"/>
        <v>0</v>
      </c>
      <c r="CZ119" s="561">
        <f t="shared" ca="1" si="433"/>
        <v>0</v>
      </c>
      <c r="DA119" s="561">
        <f t="shared" ca="1" si="433"/>
        <v>0</v>
      </c>
      <c r="DB119" s="561">
        <f t="shared" ca="1" si="433"/>
        <v>0</v>
      </c>
      <c r="DC119" s="561">
        <f t="shared" ca="1" si="433"/>
        <v>0</v>
      </c>
      <c r="DD119" s="561">
        <f t="shared" ca="1" si="433"/>
        <v>0</v>
      </c>
      <c r="DE119" s="561">
        <f t="shared" ca="1" si="433"/>
        <v>0</v>
      </c>
      <c r="DF119" s="561">
        <f t="shared" ca="1" si="433"/>
        <v>0</v>
      </c>
      <c r="DG119" s="561">
        <f t="shared" ca="1" si="433"/>
        <v>0</v>
      </c>
      <c r="DH119" s="561">
        <f t="shared" ca="1" si="433"/>
        <v>0</v>
      </c>
      <c r="DI119" s="561">
        <f t="shared" ca="1" si="433"/>
        <v>0</v>
      </c>
      <c r="DJ119" s="561">
        <f t="shared" ca="1" si="433"/>
        <v>0</v>
      </c>
      <c r="DK119" s="561">
        <f t="shared" ca="1" si="433"/>
        <v>0</v>
      </c>
      <c r="DL119" s="561">
        <f t="shared" ca="1" si="433"/>
        <v>0</v>
      </c>
      <c r="DM119" s="561">
        <f t="shared" ca="1" si="433"/>
        <v>0</v>
      </c>
      <c r="DN119" s="561">
        <f t="shared" ca="1" si="433"/>
        <v>0</v>
      </c>
      <c r="DO119" s="561">
        <f t="shared" ca="1" si="433"/>
        <v>0</v>
      </c>
      <c r="DP119" s="561">
        <f t="shared" ca="1" si="433"/>
        <v>0</v>
      </c>
    </row>
    <row r="120" spans="1:120" outlineLevel="1">
      <c r="A120" s="89">
        <v>1110052010</v>
      </c>
      <c r="B120" s="90" t="s">
        <v>2537</v>
      </c>
      <c r="C120" s="1476" t="s">
        <v>64</v>
      </c>
      <c r="D120" s="1481"/>
      <c r="E120" s="1482">
        <v>45026</v>
      </c>
      <c r="F120" s="420"/>
      <c r="G120" s="1256"/>
      <c r="H120" s="421"/>
      <c r="I120" s="422"/>
      <c r="J120" s="1425">
        <v>1</v>
      </c>
      <c r="K120" s="1426">
        <v>1</v>
      </c>
      <c r="L120" s="1043"/>
      <c r="M120" s="1594">
        <f t="shared" ref="M120" si="462">+L120*J120</f>
        <v>0</v>
      </c>
      <c r="N120" s="504">
        <f ca="1">IF(OR(E120="",E120&gt;TODAY()),0,IF(ISERROR(VLOOKUP($E120,'TRM BanRep'!$A:$G,7,0)),0,VLOOKUP($E120,'TRM BanRep'!$A:$G,7,0)))</f>
        <v>4570.91</v>
      </c>
      <c r="O120" s="424">
        <f t="shared" ref="O120" ca="1" si="463">+L120*N120</f>
        <v>0</v>
      </c>
      <c r="P120" s="425">
        <v>-7224.11</v>
      </c>
      <c r="Q120" s="1340">
        <f t="shared" ref="Q120" si="464">+P120*K120</f>
        <v>-7224.11</v>
      </c>
      <c r="R120" s="426">
        <v>4646.08</v>
      </c>
      <c r="S120" s="426">
        <f ca="1">IF(OR(E120="",E120&gt;TODAY()),0,IF(ISERROR(VLOOKUP($E120,'TRM BanRep'!$A:$G,7,0)),0,VLOOKUP($E120,'TRM BanRep'!$A:$G,7,0)))</f>
        <v>4570.91</v>
      </c>
      <c r="T120" s="427">
        <f t="shared" ref="T120" ca="1" si="465">+P120*S120</f>
        <v>-33020756.640099999</v>
      </c>
      <c r="U120" s="418">
        <f t="shared" ref="U120" si="466">+L120+P120+F120</f>
        <v>-7224.11</v>
      </c>
      <c r="V120" s="517">
        <f t="shared" ref="V120" ca="1" si="467">+Q120*R120+M120*N120+G120*H120</f>
        <v>-33563792.988799997</v>
      </c>
      <c r="W120" s="428">
        <f t="shared" ref="W120" ca="1" si="468">(IF(R120&gt;S120,(-P120*R120)-(-P120*S120),0))</f>
        <v>543036.34869999811</v>
      </c>
      <c r="X120" s="429">
        <f t="shared" ref="X120" ca="1" si="469">(IF(R120&lt;S120,(-P120*R120)-(-P120*S120),0))</f>
        <v>0</v>
      </c>
      <c r="Y120" s="92"/>
      <c r="Z120" s="1055"/>
      <c r="AA120" s="85">
        <f t="shared" ref="AA120:CL121" ca="1" si="470">IF($L120="",IF(OR($P120="",$R120=""),0,IF($R120=AA$6,$Q120,0)),IF($E120=AA$5,$M120,))</f>
        <v>0</v>
      </c>
      <c r="AB120" s="508">
        <f t="shared" ca="1" si="470"/>
        <v>0</v>
      </c>
      <c r="AC120" s="508">
        <f t="shared" ca="1" si="470"/>
        <v>0</v>
      </c>
      <c r="AD120" s="508">
        <f t="shared" ca="1" si="470"/>
        <v>0</v>
      </c>
      <c r="AE120" s="508">
        <f t="shared" ca="1" si="470"/>
        <v>0</v>
      </c>
      <c r="AF120" s="561">
        <f t="shared" ca="1" si="470"/>
        <v>0</v>
      </c>
      <c r="AG120" s="561">
        <f t="shared" ca="1" si="470"/>
        <v>0</v>
      </c>
      <c r="AH120" s="561">
        <f t="shared" ca="1" si="470"/>
        <v>0</v>
      </c>
      <c r="AI120" s="561">
        <f t="shared" ca="1" si="470"/>
        <v>0</v>
      </c>
      <c r="AJ120" s="561">
        <f t="shared" ca="1" si="470"/>
        <v>0</v>
      </c>
      <c r="AK120" s="561">
        <f t="shared" ca="1" si="470"/>
        <v>0</v>
      </c>
      <c r="AL120" s="1542">
        <f t="shared" ca="1" si="470"/>
        <v>0</v>
      </c>
      <c r="AM120" s="561">
        <f t="shared" ca="1" si="470"/>
        <v>0</v>
      </c>
      <c r="AN120" s="561">
        <f t="shared" ca="1" si="470"/>
        <v>0</v>
      </c>
      <c r="AO120" s="561">
        <f t="shared" ca="1" si="470"/>
        <v>0</v>
      </c>
      <c r="AP120" s="561">
        <f t="shared" ca="1" si="470"/>
        <v>0</v>
      </c>
      <c r="AQ120" s="561">
        <f t="shared" ca="1" si="470"/>
        <v>0</v>
      </c>
      <c r="AR120" s="561">
        <f t="shared" ca="1" si="470"/>
        <v>0</v>
      </c>
      <c r="AS120" s="561">
        <f t="shared" ca="1" si="470"/>
        <v>0</v>
      </c>
      <c r="AT120" s="561">
        <f t="shared" ca="1" si="470"/>
        <v>0</v>
      </c>
      <c r="AU120" s="561">
        <f t="shared" ca="1" si="470"/>
        <v>0</v>
      </c>
      <c r="AV120" s="561">
        <f t="shared" ca="1" si="470"/>
        <v>0</v>
      </c>
      <c r="AW120" s="561">
        <f t="shared" ca="1" si="470"/>
        <v>0</v>
      </c>
      <c r="AX120" s="561">
        <f t="shared" ca="1" si="470"/>
        <v>0</v>
      </c>
      <c r="AY120" s="561">
        <f t="shared" ca="1" si="470"/>
        <v>-7224.11</v>
      </c>
      <c r="AZ120" s="561">
        <v>0</v>
      </c>
      <c r="BA120" s="561">
        <f t="shared" ca="1" si="470"/>
        <v>0</v>
      </c>
      <c r="BB120" s="561">
        <f t="shared" ca="1" si="470"/>
        <v>0</v>
      </c>
      <c r="BC120" s="561">
        <f t="shared" ca="1" si="470"/>
        <v>0</v>
      </c>
      <c r="BD120" s="561">
        <f t="shared" ca="1" si="470"/>
        <v>0</v>
      </c>
      <c r="BE120" s="561">
        <f t="shared" ca="1" si="470"/>
        <v>0</v>
      </c>
      <c r="BF120" s="561">
        <f t="shared" ca="1" si="470"/>
        <v>0</v>
      </c>
      <c r="BG120" s="561">
        <f t="shared" ca="1" si="470"/>
        <v>0</v>
      </c>
      <c r="BH120" s="561">
        <f t="shared" ca="1" si="470"/>
        <v>0</v>
      </c>
      <c r="BI120" s="561">
        <f t="shared" ca="1" si="470"/>
        <v>0</v>
      </c>
      <c r="BJ120" s="561">
        <f t="shared" ca="1" si="470"/>
        <v>0</v>
      </c>
      <c r="BK120" s="561">
        <f t="shared" ca="1" si="470"/>
        <v>0</v>
      </c>
      <c r="BL120" s="561">
        <f t="shared" ca="1" si="470"/>
        <v>0</v>
      </c>
      <c r="BM120" s="561">
        <f t="shared" ca="1" si="470"/>
        <v>0</v>
      </c>
      <c r="BN120" s="561">
        <f t="shared" ca="1" si="470"/>
        <v>0</v>
      </c>
      <c r="BO120" s="561">
        <f t="shared" ca="1" si="470"/>
        <v>0</v>
      </c>
      <c r="BP120" s="561">
        <f t="shared" ca="1" si="470"/>
        <v>0</v>
      </c>
      <c r="BQ120" s="561">
        <f t="shared" ca="1" si="470"/>
        <v>0</v>
      </c>
      <c r="BR120" s="561">
        <f t="shared" ca="1" si="470"/>
        <v>0</v>
      </c>
      <c r="BS120" s="561">
        <f t="shared" ca="1" si="470"/>
        <v>0</v>
      </c>
      <c r="BT120" s="561">
        <f t="shared" ca="1" si="470"/>
        <v>0</v>
      </c>
      <c r="BU120" s="561">
        <f t="shared" ca="1" si="470"/>
        <v>0</v>
      </c>
      <c r="BV120" s="561">
        <f t="shared" ca="1" si="470"/>
        <v>0</v>
      </c>
      <c r="BW120" s="561">
        <f t="shared" ca="1" si="470"/>
        <v>0</v>
      </c>
      <c r="BX120" s="561">
        <f t="shared" ca="1" si="470"/>
        <v>0</v>
      </c>
      <c r="BY120" s="561">
        <f t="shared" ca="1" si="470"/>
        <v>0</v>
      </c>
      <c r="BZ120" s="561">
        <f t="shared" ca="1" si="470"/>
        <v>0</v>
      </c>
      <c r="CA120" s="561">
        <f t="shared" ca="1" si="470"/>
        <v>0</v>
      </c>
      <c r="CB120" s="561">
        <f t="shared" ca="1" si="470"/>
        <v>0</v>
      </c>
      <c r="CC120" s="561">
        <f t="shared" ca="1" si="470"/>
        <v>0</v>
      </c>
      <c r="CD120" s="561">
        <f t="shared" ca="1" si="470"/>
        <v>0</v>
      </c>
      <c r="CE120" s="561">
        <f t="shared" ca="1" si="470"/>
        <v>0</v>
      </c>
      <c r="CF120" s="561">
        <f t="shared" ca="1" si="470"/>
        <v>0</v>
      </c>
      <c r="CG120" s="561">
        <f t="shared" ca="1" si="470"/>
        <v>0</v>
      </c>
      <c r="CH120" s="561">
        <f t="shared" ca="1" si="470"/>
        <v>0</v>
      </c>
      <c r="CI120" s="561">
        <f t="shared" ca="1" si="470"/>
        <v>0</v>
      </c>
      <c r="CJ120" s="561">
        <f t="shared" ca="1" si="470"/>
        <v>0</v>
      </c>
      <c r="CK120" s="561">
        <f t="shared" ca="1" si="470"/>
        <v>0</v>
      </c>
      <c r="CL120" s="561">
        <f t="shared" ca="1" si="470"/>
        <v>0</v>
      </c>
      <c r="CM120" s="561">
        <f t="shared" ref="CM120:DP121" ca="1" si="471">IF($L120="",IF(OR($P120="",$R120=""),0,IF($R120=CM$6,$Q120,0)),IF($E120=CM$5,$M120,))</f>
        <v>0</v>
      </c>
      <c r="CN120" s="561">
        <f t="shared" ca="1" si="471"/>
        <v>0</v>
      </c>
      <c r="CO120" s="561">
        <f t="shared" ca="1" si="471"/>
        <v>0</v>
      </c>
      <c r="CP120" s="561">
        <f t="shared" ca="1" si="471"/>
        <v>0</v>
      </c>
      <c r="CQ120" s="561">
        <f t="shared" ca="1" si="471"/>
        <v>0</v>
      </c>
      <c r="CR120" s="561">
        <f t="shared" ca="1" si="471"/>
        <v>0</v>
      </c>
      <c r="CS120" s="561">
        <f t="shared" ca="1" si="471"/>
        <v>0</v>
      </c>
      <c r="CT120" s="561">
        <f t="shared" ca="1" si="471"/>
        <v>0</v>
      </c>
      <c r="CU120" s="561">
        <f t="shared" ca="1" si="471"/>
        <v>0</v>
      </c>
      <c r="CV120" s="561">
        <f t="shared" ca="1" si="471"/>
        <v>0</v>
      </c>
      <c r="CW120" s="561">
        <f t="shared" ca="1" si="471"/>
        <v>0</v>
      </c>
      <c r="CX120" s="561">
        <f t="shared" ca="1" si="471"/>
        <v>0</v>
      </c>
      <c r="CY120" s="561">
        <f t="shared" ca="1" si="471"/>
        <v>0</v>
      </c>
      <c r="CZ120" s="561">
        <f t="shared" ca="1" si="471"/>
        <v>0</v>
      </c>
      <c r="DA120" s="561">
        <f t="shared" ca="1" si="471"/>
        <v>0</v>
      </c>
      <c r="DB120" s="561">
        <f t="shared" ca="1" si="471"/>
        <v>0</v>
      </c>
      <c r="DC120" s="561">
        <f t="shared" ca="1" si="471"/>
        <v>0</v>
      </c>
      <c r="DD120" s="561">
        <f t="shared" ca="1" si="471"/>
        <v>0</v>
      </c>
      <c r="DE120" s="561">
        <f t="shared" ca="1" si="471"/>
        <v>0</v>
      </c>
      <c r="DF120" s="561">
        <f t="shared" ca="1" si="471"/>
        <v>0</v>
      </c>
      <c r="DG120" s="561">
        <f t="shared" ca="1" si="471"/>
        <v>0</v>
      </c>
      <c r="DH120" s="561">
        <f t="shared" ca="1" si="471"/>
        <v>0</v>
      </c>
      <c r="DI120" s="561">
        <f t="shared" ca="1" si="471"/>
        <v>0</v>
      </c>
      <c r="DJ120" s="561">
        <f t="shared" ca="1" si="471"/>
        <v>0</v>
      </c>
      <c r="DK120" s="561">
        <f t="shared" ca="1" si="471"/>
        <v>0</v>
      </c>
      <c r="DL120" s="561">
        <f t="shared" ca="1" si="471"/>
        <v>0</v>
      </c>
      <c r="DM120" s="561">
        <f t="shared" ca="1" si="471"/>
        <v>0</v>
      </c>
      <c r="DN120" s="561">
        <f t="shared" ca="1" si="471"/>
        <v>0</v>
      </c>
      <c r="DO120" s="561">
        <f t="shared" ca="1" si="471"/>
        <v>0</v>
      </c>
      <c r="DP120" s="561">
        <f t="shared" ca="1" si="471"/>
        <v>0</v>
      </c>
    </row>
    <row r="121" spans="1:120" outlineLevel="1">
      <c r="A121" s="89">
        <v>1110052010</v>
      </c>
      <c r="B121" s="90" t="s">
        <v>2537</v>
      </c>
      <c r="C121" s="1476" t="s">
        <v>64</v>
      </c>
      <c r="D121" s="1481"/>
      <c r="E121" s="1482">
        <v>45026</v>
      </c>
      <c r="F121" s="420"/>
      <c r="G121" s="1256"/>
      <c r="H121" s="421"/>
      <c r="I121" s="422"/>
      <c r="J121" s="1425">
        <v>1</v>
      </c>
      <c r="K121" s="1426">
        <v>1</v>
      </c>
      <c r="L121" s="1043"/>
      <c r="M121" s="1594">
        <f t="shared" ref="M121" si="472">+L121*J121</f>
        <v>0</v>
      </c>
      <c r="N121" s="504">
        <f ca="1">IF(OR(E121="",E121&gt;TODAY()),0,IF(ISERROR(VLOOKUP($E121,'TRM BanRep'!$A:$G,7,0)),0,VLOOKUP($E121,'TRM BanRep'!$A:$G,7,0)))</f>
        <v>4570.91</v>
      </c>
      <c r="O121" s="424">
        <f t="shared" ref="O121" ca="1" si="473">+L121*N121</f>
        <v>0</v>
      </c>
      <c r="P121" s="425">
        <v>-222290.77000000002</v>
      </c>
      <c r="Q121" s="1340">
        <f t="shared" ref="Q121" si="474">+P121*K121</f>
        <v>-222290.77000000002</v>
      </c>
      <c r="R121" s="426">
        <v>4603</v>
      </c>
      <c r="S121" s="426">
        <f ca="1">IF(OR(E121="",E121&gt;TODAY()),0,IF(ISERROR(VLOOKUP($E121,'TRM BanRep'!$A:$G,7,0)),0,VLOOKUP($E121,'TRM BanRep'!$A:$G,7,0)))</f>
        <v>4570.91</v>
      </c>
      <c r="T121" s="427">
        <f t="shared" ref="T121" ca="1" si="475">+P121*S121</f>
        <v>-1016071103.5007</v>
      </c>
      <c r="U121" s="418">
        <f t="shared" ref="U121" si="476">+L121+P121+F121</f>
        <v>-222290.77000000002</v>
      </c>
      <c r="V121" s="517">
        <f t="shared" ref="V121" ca="1" si="477">+Q121*R121+M121*N121+G121*H121</f>
        <v>-1023204414.3100001</v>
      </c>
      <c r="W121" s="428">
        <f t="shared" ref="W121" ca="1" si="478">(IF(R121&gt;S121,(-P121*R121)-(-P121*S121),0))</f>
        <v>7133310.809300065</v>
      </c>
      <c r="X121" s="429">
        <f t="shared" ref="X121" ca="1" si="479">(IF(R121&lt;S121,(-P121*R121)-(-P121*S121),0))</f>
        <v>0</v>
      </c>
      <c r="Y121" s="92"/>
      <c r="Z121" s="1055"/>
      <c r="AA121" s="85">
        <f t="shared" ca="1" si="470"/>
        <v>0</v>
      </c>
      <c r="AB121" s="508">
        <f t="shared" ca="1" si="470"/>
        <v>0</v>
      </c>
      <c r="AC121" s="508">
        <f t="shared" ca="1" si="470"/>
        <v>0</v>
      </c>
      <c r="AD121" s="508">
        <f t="shared" ca="1" si="470"/>
        <v>0</v>
      </c>
      <c r="AE121" s="508">
        <f t="shared" ca="1" si="470"/>
        <v>0</v>
      </c>
      <c r="AF121" s="561">
        <f t="shared" ca="1" si="470"/>
        <v>0</v>
      </c>
      <c r="AG121" s="561">
        <f t="shared" ca="1" si="470"/>
        <v>0</v>
      </c>
      <c r="AH121" s="561">
        <f t="shared" ca="1" si="470"/>
        <v>0</v>
      </c>
      <c r="AI121" s="561">
        <f t="shared" ca="1" si="470"/>
        <v>0</v>
      </c>
      <c r="AJ121" s="561">
        <f t="shared" ca="1" si="470"/>
        <v>0</v>
      </c>
      <c r="AK121" s="561">
        <f t="shared" ca="1" si="470"/>
        <v>0</v>
      </c>
      <c r="AL121" s="1542">
        <f t="shared" ca="1" si="470"/>
        <v>0</v>
      </c>
      <c r="AM121" s="561">
        <f t="shared" ca="1" si="470"/>
        <v>0</v>
      </c>
      <c r="AN121" s="561">
        <f t="shared" ca="1" si="470"/>
        <v>0</v>
      </c>
      <c r="AO121" s="561">
        <f t="shared" ca="1" si="470"/>
        <v>0</v>
      </c>
      <c r="AP121" s="561">
        <f t="shared" ca="1" si="470"/>
        <v>0</v>
      </c>
      <c r="AQ121" s="561">
        <f t="shared" ca="1" si="470"/>
        <v>0</v>
      </c>
      <c r="AR121" s="561">
        <f t="shared" ca="1" si="470"/>
        <v>0</v>
      </c>
      <c r="AS121" s="561">
        <f t="shared" ca="1" si="470"/>
        <v>0</v>
      </c>
      <c r="AT121" s="561">
        <f t="shared" ca="1" si="470"/>
        <v>0</v>
      </c>
      <c r="AU121" s="561">
        <f t="shared" ca="1" si="470"/>
        <v>0</v>
      </c>
      <c r="AV121" s="561">
        <f t="shared" ca="1" si="470"/>
        <v>0</v>
      </c>
      <c r="AW121" s="561">
        <f t="shared" ca="1" si="470"/>
        <v>0</v>
      </c>
      <c r="AX121" s="561">
        <f t="shared" ca="1" si="470"/>
        <v>0</v>
      </c>
      <c r="AY121" s="561">
        <f t="shared" ca="1" si="470"/>
        <v>0</v>
      </c>
      <c r="AZ121" s="561">
        <f t="shared" ca="1" si="470"/>
        <v>0</v>
      </c>
      <c r="BA121" s="561">
        <f t="shared" ca="1" si="470"/>
        <v>-222290.77000000002</v>
      </c>
      <c r="BB121" s="561">
        <f t="shared" ca="1" si="470"/>
        <v>0</v>
      </c>
      <c r="BC121" s="561">
        <f t="shared" ca="1" si="470"/>
        <v>0</v>
      </c>
      <c r="BD121" s="561">
        <f t="shared" ca="1" si="470"/>
        <v>0</v>
      </c>
      <c r="BE121" s="561">
        <f t="shared" ca="1" si="470"/>
        <v>0</v>
      </c>
      <c r="BF121" s="561">
        <f t="shared" ca="1" si="470"/>
        <v>0</v>
      </c>
      <c r="BG121" s="561">
        <f t="shared" ca="1" si="470"/>
        <v>0</v>
      </c>
      <c r="BH121" s="561">
        <f t="shared" ca="1" si="470"/>
        <v>0</v>
      </c>
      <c r="BI121" s="561">
        <f t="shared" ca="1" si="470"/>
        <v>0</v>
      </c>
      <c r="BJ121" s="561">
        <f t="shared" ca="1" si="470"/>
        <v>0</v>
      </c>
      <c r="BK121" s="561">
        <f t="shared" ca="1" si="470"/>
        <v>0</v>
      </c>
      <c r="BL121" s="561">
        <f t="shared" ca="1" si="470"/>
        <v>0</v>
      </c>
      <c r="BM121" s="561">
        <f t="shared" ca="1" si="470"/>
        <v>0</v>
      </c>
      <c r="BN121" s="561">
        <f t="shared" ca="1" si="470"/>
        <v>0</v>
      </c>
      <c r="BO121" s="561">
        <f t="shared" ca="1" si="470"/>
        <v>0</v>
      </c>
      <c r="BP121" s="561">
        <f t="shared" ca="1" si="470"/>
        <v>0</v>
      </c>
      <c r="BQ121" s="561">
        <f t="shared" ca="1" si="470"/>
        <v>0</v>
      </c>
      <c r="BR121" s="561">
        <f t="shared" ca="1" si="470"/>
        <v>0</v>
      </c>
      <c r="BS121" s="561">
        <f t="shared" ca="1" si="470"/>
        <v>0</v>
      </c>
      <c r="BT121" s="561">
        <f t="shared" ca="1" si="470"/>
        <v>0</v>
      </c>
      <c r="BU121" s="561">
        <f t="shared" ca="1" si="470"/>
        <v>0</v>
      </c>
      <c r="BV121" s="561">
        <f t="shared" ca="1" si="470"/>
        <v>0</v>
      </c>
      <c r="BW121" s="561">
        <f t="shared" ca="1" si="470"/>
        <v>0</v>
      </c>
      <c r="BX121" s="561">
        <f t="shared" ca="1" si="470"/>
        <v>0</v>
      </c>
      <c r="BY121" s="561">
        <f t="shared" ca="1" si="470"/>
        <v>0</v>
      </c>
      <c r="BZ121" s="561">
        <f t="shared" ca="1" si="470"/>
        <v>0</v>
      </c>
      <c r="CA121" s="561">
        <f t="shared" ca="1" si="470"/>
        <v>0</v>
      </c>
      <c r="CB121" s="561">
        <f t="shared" ca="1" si="470"/>
        <v>0</v>
      </c>
      <c r="CC121" s="561">
        <f t="shared" ca="1" si="470"/>
        <v>0</v>
      </c>
      <c r="CD121" s="561">
        <f t="shared" ca="1" si="470"/>
        <v>0</v>
      </c>
      <c r="CE121" s="561">
        <f t="shared" ca="1" si="470"/>
        <v>0</v>
      </c>
      <c r="CF121" s="561">
        <f t="shared" ca="1" si="470"/>
        <v>0</v>
      </c>
      <c r="CG121" s="561">
        <f t="shared" ca="1" si="470"/>
        <v>0</v>
      </c>
      <c r="CH121" s="561">
        <f t="shared" ca="1" si="470"/>
        <v>0</v>
      </c>
      <c r="CI121" s="561">
        <f t="shared" ca="1" si="470"/>
        <v>0</v>
      </c>
      <c r="CJ121" s="561">
        <f t="shared" ca="1" si="470"/>
        <v>0</v>
      </c>
      <c r="CK121" s="561">
        <f t="shared" ca="1" si="470"/>
        <v>0</v>
      </c>
      <c r="CL121" s="561">
        <f t="shared" ca="1" si="470"/>
        <v>0</v>
      </c>
      <c r="CM121" s="561">
        <f t="shared" ca="1" si="471"/>
        <v>0</v>
      </c>
      <c r="CN121" s="561">
        <f t="shared" ca="1" si="471"/>
        <v>0</v>
      </c>
      <c r="CO121" s="561">
        <f t="shared" ca="1" si="471"/>
        <v>0</v>
      </c>
      <c r="CP121" s="561">
        <f t="shared" ca="1" si="471"/>
        <v>0</v>
      </c>
      <c r="CQ121" s="561">
        <f t="shared" ca="1" si="471"/>
        <v>0</v>
      </c>
      <c r="CR121" s="561">
        <f t="shared" ca="1" si="471"/>
        <v>0</v>
      </c>
      <c r="CS121" s="561">
        <f t="shared" ca="1" si="471"/>
        <v>0</v>
      </c>
      <c r="CT121" s="561">
        <f t="shared" ca="1" si="471"/>
        <v>0</v>
      </c>
      <c r="CU121" s="561">
        <f t="shared" ca="1" si="471"/>
        <v>0</v>
      </c>
      <c r="CV121" s="561">
        <f t="shared" ca="1" si="471"/>
        <v>0</v>
      </c>
      <c r="CW121" s="561">
        <f t="shared" ca="1" si="471"/>
        <v>0</v>
      </c>
      <c r="CX121" s="561">
        <f t="shared" ca="1" si="471"/>
        <v>0</v>
      </c>
      <c r="CY121" s="561">
        <f t="shared" ca="1" si="471"/>
        <v>0</v>
      </c>
      <c r="CZ121" s="561">
        <f t="shared" ca="1" si="471"/>
        <v>0</v>
      </c>
      <c r="DA121" s="561">
        <f t="shared" ca="1" si="471"/>
        <v>0</v>
      </c>
      <c r="DB121" s="561">
        <f t="shared" ca="1" si="471"/>
        <v>0</v>
      </c>
      <c r="DC121" s="561">
        <f t="shared" ca="1" si="471"/>
        <v>0</v>
      </c>
      <c r="DD121" s="561">
        <f t="shared" ca="1" si="471"/>
        <v>0</v>
      </c>
      <c r="DE121" s="561">
        <f t="shared" ca="1" si="471"/>
        <v>0</v>
      </c>
      <c r="DF121" s="561">
        <f t="shared" ca="1" si="471"/>
        <v>0</v>
      </c>
      <c r="DG121" s="561">
        <f t="shared" ca="1" si="471"/>
        <v>0</v>
      </c>
      <c r="DH121" s="561">
        <f t="shared" ca="1" si="471"/>
        <v>0</v>
      </c>
      <c r="DI121" s="561">
        <f t="shared" ca="1" si="471"/>
        <v>0</v>
      </c>
      <c r="DJ121" s="561">
        <f t="shared" ca="1" si="471"/>
        <v>0</v>
      </c>
      <c r="DK121" s="561">
        <f t="shared" ca="1" si="471"/>
        <v>0</v>
      </c>
      <c r="DL121" s="561">
        <f t="shared" ca="1" si="471"/>
        <v>0</v>
      </c>
      <c r="DM121" s="561">
        <f t="shared" ca="1" si="471"/>
        <v>0</v>
      </c>
      <c r="DN121" s="561">
        <f t="shared" ca="1" si="471"/>
        <v>0</v>
      </c>
      <c r="DO121" s="561">
        <f t="shared" ca="1" si="471"/>
        <v>0</v>
      </c>
      <c r="DP121" s="561">
        <f t="shared" ca="1" si="471"/>
        <v>0</v>
      </c>
    </row>
    <row r="122" spans="1:120" outlineLevel="1">
      <c r="A122" s="89">
        <v>1110052010</v>
      </c>
      <c r="B122" s="90" t="s">
        <v>2538</v>
      </c>
      <c r="C122" s="1476" t="s">
        <v>64</v>
      </c>
      <c r="D122" s="1481"/>
      <c r="E122" s="1482">
        <v>45028</v>
      </c>
      <c r="F122" s="420"/>
      <c r="G122" s="1256"/>
      <c r="H122" s="421"/>
      <c r="I122" s="422"/>
      <c r="J122" s="1425">
        <v>1</v>
      </c>
      <c r="K122" s="1426">
        <v>1</v>
      </c>
      <c r="L122" s="1043"/>
      <c r="M122" s="1594">
        <f t="shared" si="461"/>
        <v>0</v>
      </c>
      <c r="N122" s="504">
        <f ca="1">IF(OR(E122="",E122&gt;TODAY()),0,IF(ISERROR(VLOOKUP($E122,'TRM BanRep'!$A:$G,7,0)),0,VLOOKUP($E122,'TRM BanRep'!$A:$G,7,0)))</f>
        <v>4516.76</v>
      </c>
      <c r="O122" s="424">
        <f t="shared" ref="O122:O138" ca="1" si="480">+L122*N122</f>
        <v>0</v>
      </c>
      <c r="P122" s="425">
        <v>-88321.5</v>
      </c>
      <c r="Q122" s="1340">
        <f t="shared" ref="Q122" si="481">+P122*K122</f>
        <v>-88321.5</v>
      </c>
      <c r="R122" s="426">
        <v>4603</v>
      </c>
      <c r="S122" s="426">
        <f ca="1">IF(OR(E122="",E122&gt;TODAY()),0,IF(ISERROR(VLOOKUP($E122,'TRM BanRep'!$A:$G,7,0)),0,VLOOKUP($E122,'TRM BanRep'!$A:$G,7,0)))</f>
        <v>4516.76</v>
      </c>
      <c r="T122" s="427">
        <f t="shared" ref="T122:T138" ca="1" si="482">+P122*S122</f>
        <v>-398927018.34000003</v>
      </c>
      <c r="U122" s="418">
        <f t="shared" ref="U122:U138" si="483">+L122+P122+F122</f>
        <v>-88321.5</v>
      </c>
      <c r="V122" s="517">
        <f t="shared" ca="1" si="435"/>
        <v>-406543864.5</v>
      </c>
      <c r="W122" s="428">
        <f t="shared" ref="W122:W138" ca="1" si="484">(IF(R122&gt;S122,(-P122*R122)-(-P122*S122),0))</f>
        <v>7616846.1599999666</v>
      </c>
      <c r="X122" s="429">
        <f t="shared" ref="X122:X138" ca="1" si="485">(IF(R122&lt;S122,(-P122*R122)-(-P122*S122),0))</f>
        <v>0</v>
      </c>
      <c r="Y122" s="92"/>
      <c r="Z122" s="1055"/>
      <c r="AA122" s="85">
        <f t="shared" ca="1" si="443"/>
        <v>0</v>
      </c>
      <c r="AB122" s="508">
        <f t="shared" ca="1" si="443"/>
        <v>0</v>
      </c>
      <c r="AC122" s="508">
        <f t="shared" ca="1" si="443"/>
        <v>0</v>
      </c>
      <c r="AD122" s="508">
        <f t="shared" ca="1" si="443"/>
        <v>0</v>
      </c>
      <c r="AE122" s="508">
        <f t="shared" ca="1" si="443"/>
        <v>0</v>
      </c>
      <c r="AF122" s="561">
        <f t="shared" ca="1" si="443"/>
        <v>0</v>
      </c>
      <c r="AG122" s="561">
        <f t="shared" ca="1" si="443"/>
        <v>0</v>
      </c>
      <c r="AH122" s="561">
        <f t="shared" ca="1" si="443"/>
        <v>0</v>
      </c>
      <c r="AI122" s="561">
        <f t="shared" ca="1" si="443"/>
        <v>0</v>
      </c>
      <c r="AJ122" s="561">
        <f t="shared" ca="1" si="443"/>
        <v>0</v>
      </c>
      <c r="AK122" s="561">
        <f t="shared" ca="1" si="443"/>
        <v>0</v>
      </c>
      <c r="AL122" s="1542">
        <f t="shared" ca="1" si="443"/>
        <v>0</v>
      </c>
      <c r="AM122" s="561">
        <f t="shared" ca="1" si="443"/>
        <v>0</v>
      </c>
      <c r="AN122" s="561">
        <f t="shared" ca="1" si="443"/>
        <v>0</v>
      </c>
      <c r="AO122" s="561">
        <f t="shared" ca="1" si="443"/>
        <v>0</v>
      </c>
      <c r="AP122" s="561">
        <f t="shared" ca="1" si="443"/>
        <v>0</v>
      </c>
      <c r="AQ122" s="561">
        <f t="shared" ca="1" si="443"/>
        <v>0</v>
      </c>
      <c r="AR122" s="561">
        <f t="shared" ca="1" si="443"/>
        <v>0</v>
      </c>
      <c r="AS122" s="561">
        <f t="shared" ca="1" si="443"/>
        <v>0</v>
      </c>
      <c r="AT122" s="561">
        <f t="shared" ca="1" si="443"/>
        <v>0</v>
      </c>
      <c r="AU122" s="561">
        <f t="shared" ca="1" si="443"/>
        <v>0</v>
      </c>
      <c r="AV122" s="561">
        <f t="shared" ca="1" si="443"/>
        <v>0</v>
      </c>
      <c r="AW122" s="561">
        <f t="shared" ca="1" si="443"/>
        <v>0</v>
      </c>
      <c r="AX122" s="561">
        <f t="shared" ca="1" si="443"/>
        <v>0</v>
      </c>
      <c r="AY122" s="561">
        <f t="shared" ca="1" si="443"/>
        <v>0</v>
      </c>
      <c r="AZ122" s="561">
        <f t="shared" ca="1" si="443"/>
        <v>0</v>
      </c>
      <c r="BA122" s="561">
        <f t="shared" ca="1" si="443"/>
        <v>-88321.5</v>
      </c>
      <c r="BB122" s="561">
        <f t="shared" ca="1" si="443"/>
        <v>0</v>
      </c>
      <c r="BC122" s="561">
        <f t="shared" ca="1" si="443"/>
        <v>0</v>
      </c>
      <c r="BD122" s="561">
        <f t="shared" ca="1" si="443"/>
        <v>0</v>
      </c>
      <c r="BE122" s="561">
        <f t="shared" ca="1" si="443"/>
        <v>0</v>
      </c>
      <c r="BF122" s="561">
        <f t="shared" ca="1" si="443"/>
        <v>0</v>
      </c>
      <c r="BG122" s="561">
        <f t="shared" ca="1" si="443"/>
        <v>0</v>
      </c>
      <c r="BH122" s="561">
        <f t="shared" ca="1" si="443"/>
        <v>0</v>
      </c>
      <c r="BI122" s="561">
        <f t="shared" ca="1" si="443"/>
        <v>0</v>
      </c>
      <c r="BJ122" s="561">
        <f t="shared" ca="1" si="443"/>
        <v>0</v>
      </c>
      <c r="BK122" s="561">
        <f t="shared" ca="1" si="443"/>
        <v>0</v>
      </c>
      <c r="BL122" s="561">
        <f t="shared" ca="1" si="443"/>
        <v>0</v>
      </c>
      <c r="BM122" s="561">
        <f t="shared" ca="1" si="443"/>
        <v>0</v>
      </c>
      <c r="BN122" s="561">
        <f t="shared" ca="1" si="443"/>
        <v>0</v>
      </c>
      <c r="BO122" s="561">
        <f t="shared" ca="1" si="443"/>
        <v>0</v>
      </c>
      <c r="BP122" s="561">
        <f t="shared" ca="1" si="443"/>
        <v>0</v>
      </c>
      <c r="BQ122" s="561">
        <f t="shared" ca="1" si="443"/>
        <v>0</v>
      </c>
      <c r="BR122" s="561">
        <f t="shared" ca="1" si="443"/>
        <v>0</v>
      </c>
      <c r="BS122" s="561">
        <f t="shared" ca="1" si="443"/>
        <v>0</v>
      </c>
      <c r="BT122" s="561">
        <f t="shared" ca="1" si="443"/>
        <v>0</v>
      </c>
      <c r="BU122" s="561">
        <f t="shared" ca="1" si="443"/>
        <v>0</v>
      </c>
      <c r="BV122" s="561">
        <f t="shared" ca="1" si="443"/>
        <v>0</v>
      </c>
      <c r="BW122" s="561">
        <f t="shared" ca="1" si="443"/>
        <v>0</v>
      </c>
      <c r="BX122" s="561">
        <f t="shared" ca="1" si="443"/>
        <v>0</v>
      </c>
      <c r="BY122" s="561">
        <f t="shared" ca="1" si="443"/>
        <v>0</v>
      </c>
      <c r="BZ122" s="561">
        <f t="shared" ca="1" si="443"/>
        <v>0</v>
      </c>
      <c r="CA122" s="561">
        <f t="shared" ca="1" si="443"/>
        <v>0</v>
      </c>
      <c r="CB122" s="561">
        <f t="shared" ca="1" si="443"/>
        <v>0</v>
      </c>
      <c r="CC122" s="561">
        <f t="shared" ca="1" si="443"/>
        <v>0</v>
      </c>
      <c r="CD122" s="561">
        <f t="shared" ca="1" si="443"/>
        <v>0</v>
      </c>
      <c r="CE122" s="561">
        <f t="shared" ca="1" si="443"/>
        <v>0</v>
      </c>
      <c r="CF122" s="561">
        <f t="shared" ca="1" si="443"/>
        <v>0</v>
      </c>
      <c r="CG122" s="561">
        <f t="shared" ca="1" si="443"/>
        <v>0</v>
      </c>
      <c r="CH122" s="561">
        <f t="shared" ca="1" si="443"/>
        <v>0</v>
      </c>
      <c r="CI122" s="561">
        <f t="shared" ca="1" si="443"/>
        <v>0</v>
      </c>
      <c r="CJ122" s="561">
        <f t="shared" ca="1" si="443"/>
        <v>0</v>
      </c>
      <c r="CK122" s="561">
        <f t="shared" ca="1" si="443"/>
        <v>0</v>
      </c>
      <c r="CL122" s="561">
        <f t="shared" ca="1" si="443"/>
        <v>0</v>
      </c>
      <c r="CM122" s="561">
        <f t="shared" ca="1" si="433"/>
        <v>0</v>
      </c>
      <c r="CN122" s="561">
        <f t="shared" ca="1" si="433"/>
        <v>0</v>
      </c>
      <c r="CO122" s="561">
        <f t="shared" ca="1" si="433"/>
        <v>0</v>
      </c>
      <c r="CP122" s="561">
        <f t="shared" ca="1" si="433"/>
        <v>0</v>
      </c>
      <c r="CQ122" s="561">
        <f t="shared" ca="1" si="433"/>
        <v>0</v>
      </c>
      <c r="CR122" s="561">
        <f t="shared" ca="1" si="433"/>
        <v>0</v>
      </c>
      <c r="CS122" s="561">
        <f t="shared" ca="1" si="433"/>
        <v>0</v>
      </c>
      <c r="CT122" s="561">
        <f t="shared" ca="1" si="433"/>
        <v>0</v>
      </c>
      <c r="CU122" s="561">
        <f t="shared" ca="1" si="433"/>
        <v>0</v>
      </c>
      <c r="CV122" s="561">
        <f t="shared" ca="1" si="433"/>
        <v>0</v>
      </c>
      <c r="CW122" s="561">
        <f t="shared" ca="1" si="433"/>
        <v>0</v>
      </c>
      <c r="CX122" s="561">
        <f t="shared" ca="1" si="433"/>
        <v>0</v>
      </c>
      <c r="CY122" s="561">
        <f t="shared" ca="1" si="433"/>
        <v>0</v>
      </c>
      <c r="CZ122" s="561">
        <f t="shared" ca="1" si="433"/>
        <v>0</v>
      </c>
      <c r="DA122" s="561">
        <f t="shared" ca="1" si="433"/>
        <v>0</v>
      </c>
      <c r="DB122" s="561">
        <f t="shared" ca="1" si="433"/>
        <v>0</v>
      </c>
      <c r="DC122" s="561">
        <f t="shared" ca="1" si="433"/>
        <v>0</v>
      </c>
      <c r="DD122" s="561">
        <f t="shared" ca="1" si="433"/>
        <v>0</v>
      </c>
      <c r="DE122" s="561">
        <f t="shared" ca="1" si="433"/>
        <v>0</v>
      </c>
      <c r="DF122" s="561">
        <f t="shared" ca="1" si="433"/>
        <v>0</v>
      </c>
      <c r="DG122" s="561">
        <f t="shared" ca="1" si="433"/>
        <v>0</v>
      </c>
      <c r="DH122" s="561">
        <f t="shared" ca="1" si="433"/>
        <v>0</v>
      </c>
      <c r="DI122" s="561">
        <f t="shared" ca="1" si="433"/>
        <v>0</v>
      </c>
      <c r="DJ122" s="561">
        <f t="shared" ca="1" si="433"/>
        <v>0</v>
      </c>
      <c r="DK122" s="561">
        <f t="shared" ca="1" si="433"/>
        <v>0</v>
      </c>
      <c r="DL122" s="561">
        <f t="shared" ca="1" si="433"/>
        <v>0</v>
      </c>
      <c r="DM122" s="561">
        <f t="shared" ca="1" si="433"/>
        <v>0</v>
      </c>
      <c r="DN122" s="561">
        <f t="shared" ca="1" si="433"/>
        <v>0</v>
      </c>
      <c r="DO122" s="561">
        <f t="shared" ca="1" si="433"/>
        <v>0</v>
      </c>
      <c r="DP122" s="561">
        <f t="shared" ca="1" si="433"/>
        <v>0</v>
      </c>
    </row>
    <row r="123" spans="1:120" outlineLevel="1">
      <c r="A123" s="89">
        <v>1110052010</v>
      </c>
      <c r="B123" s="90" t="s">
        <v>2539</v>
      </c>
      <c r="C123" s="1476" t="s">
        <v>64</v>
      </c>
      <c r="D123" s="1481"/>
      <c r="E123" s="1482">
        <v>45033</v>
      </c>
      <c r="F123" s="420"/>
      <c r="G123" s="1256"/>
      <c r="H123" s="421"/>
      <c r="I123" s="422"/>
      <c r="J123" s="1425">
        <v>1</v>
      </c>
      <c r="K123" s="1426">
        <v>1</v>
      </c>
      <c r="L123" s="1043"/>
      <c r="M123" s="1594">
        <f t="shared" ref="M123:M135" si="486">+L123*J123</f>
        <v>0</v>
      </c>
      <c r="N123" s="504">
        <f ca="1">IF(OR(E123="",E123&gt;TODAY()),0,IF(ISERROR(VLOOKUP($E123,'TRM BanRep'!$A:$G,7,0)),0,VLOOKUP($E123,'TRM BanRep'!$A:$G,7,0)))</f>
        <v>4425.2700000000004</v>
      </c>
      <c r="O123" s="424">
        <f t="shared" ca="1" si="480"/>
        <v>0</v>
      </c>
      <c r="P123" s="425">
        <v>-88321.5</v>
      </c>
      <c r="Q123" s="1340">
        <f t="shared" si="427"/>
        <v>-88321.5</v>
      </c>
      <c r="R123" s="426">
        <v>4603</v>
      </c>
      <c r="S123" s="426">
        <f ca="1">IF(OR(E123="",E123&gt;TODAY()),0,IF(ISERROR(VLOOKUP($E123,'TRM BanRep'!$A:$G,7,0)),0,VLOOKUP($E123,'TRM BanRep'!$A:$G,7,0)))</f>
        <v>4425.2700000000004</v>
      </c>
      <c r="T123" s="427">
        <f t="shared" ca="1" si="482"/>
        <v>-390846484.30500007</v>
      </c>
      <c r="U123" s="418">
        <f t="shared" si="483"/>
        <v>-88321.5</v>
      </c>
      <c r="V123" s="517">
        <f t="shared" ca="1" si="435"/>
        <v>-406543864.5</v>
      </c>
      <c r="W123" s="428">
        <f t="shared" ca="1" si="484"/>
        <v>15697380.194999933</v>
      </c>
      <c r="X123" s="429">
        <f t="shared" ca="1" si="485"/>
        <v>0</v>
      </c>
      <c r="Y123" s="92"/>
      <c r="Z123" s="1055"/>
      <c r="AA123" s="85">
        <f t="shared" ca="1" si="443"/>
        <v>0</v>
      </c>
      <c r="AB123" s="508">
        <f t="shared" ca="1" si="443"/>
        <v>0</v>
      </c>
      <c r="AC123" s="508">
        <f t="shared" ca="1" si="443"/>
        <v>0</v>
      </c>
      <c r="AD123" s="508">
        <f t="shared" ca="1" si="443"/>
        <v>0</v>
      </c>
      <c r="AE123" s="508">
        <f t="shared" ca="1" si="443"/>
        <v>0</v>
      </c>
      <c r="AF123" s="561">
        <f t="shared" ca="1" si="443"/>
        <v>0</v>
      </c>
      <c r="AG123" s="561">
        <f t="shared" ca="1" si="443"/>
        <v>0</v>
      </c>
      <c r="AH123" s="561">
        <f t="shared" ca="1" si="443"/>
        <v>0</v>
      </c>
      <c r="AI123" s="561">
        <f t="shared" ca="1" si="443"/>
        <v>0</v>
      </c>
      <c r="AJ123" s="561">
        <f t="shared" ca="1" si="443"/>
        <v>0</v>
      </c>
      <c r="AK123" s="561">
        <f t="shared" ca="1" si="443"/>
        <v>0</v>
      </c>
      <c r="AL123" s="1542">
        <f t="shared" ca="1" si="443"/>
        <v>0</v>
      </c>
      <c r="AM123" s="561">
        <f t="shared" ca="1" si="443"/>
        <v>0</v>
      </c>
      <c r="AN123" s="561">
        <f t="shared" ca="1" si="443"/>
        <v>0</v>
      </c>
      <c r="AO123" s="561">
        <f t="shared" ca="1" si="443"/>
        <v>0</v>
      </c>
      <c r="AP123" s="561">
        <f t="shared" ca="1" si="443"/>
        <v>0</v>
      </c>
      <c r="AQ123" s="561">
        <f t="shared" ca="1" si="443"/>
        <v>0</v>
      </c>
      <c r="AR123" s="561">
        <f t="shared" ca="1" si="443"/>
        <v>0</v>
      </c>
      <c r="AS123" s="561">
        <f t="shared" ca="1" si="443"/>
        <v>0</v>
      </c>
      <c r="AT123" s="561">
        <f t="shared" ca="1" si="443"/>
        <v>0</v>
      </c>
      <c r="AU123" s="561">
        <f t="shared" ca="1" si="443"/>
        <v>0</v>
      </c>
      <c r="AV123" s="561">
        <f t="shared" ca="1" si="443"/>
        <v>0</v>
      </c>
      <c r="AW123" s="561">
        <f t="shared" ca="1" si="443"/>
        <v>0</v>
      </c>
      <c r="AX123" s="561">
        <f t="shared" ca="1" si="443"/>
        <v>0</v>
      </c>
      <c r="AY123" s="561">
        <f t="shared" ca="1" si="443"/>
        <v>0</v>
      </c>
      <c r="AZ123" s="561">
        <f t="shared" ca="1" si="443"/>
        <v>0</v>
      </c>
      <c r="BA123" s="561">
        <f t="shared" ca="1" si="443"/>
        <v>-88321.5</v>
      </c>
      <c r="BB123" s="561">
        <f t="shared" ca="1" si="443"/>
        <v>0</v>
      </c>
      <c r="BC123" s="561">
        <f t="shared" ca="1" si="443"/>
        <v>0</v>
      </c>
      <c r="BD123" s="561">
        <f t="shared" ca="1" si="443"/>
        <v>0</v>
      </c>
      <c r="BE123" s="561">
        <f t="shared" ca="1" si="443"/>
        <v>0</v>
      </c>
      <c r="BF123" s="561">
        <f t="shared" ca="1" si="443"/>
        <v>0</v>
      </c>
      <c r="BG123" s="561">
        <f t="shared" ca="1" si="443"/>
        <v>0</v>
      </c>
      <c r="BH123" s="561">
        <f t="shared" ca="1" si="443"/>
        <v>0</v>
      </c>
      <c r="BI123" s="561">
        <f t="shared" ca="1" si="443"/>
        <v>0</v>
      </c>
      <c r="BJ123" s="561">
        <f t="shared" ca="1" si="443"/>
        <v>0</v>
      </c>
      <c r="BK123" s="561">
        <f t="shared" ca="1" si="443"/>
        <v>0</v>
      </c>
      <c r="BL123" s="561">
        <f t="shared" ca="1" si="443"/>
        <v>0</v>
      </c>
      <c r="BM123" s="561">
        <f t="shared" ca="1" si="443"/>
        <v>0</v>
      </c>
      <c r="BN123" s="561">
        <f t="shared" ca="1" si="443"/>
        <v>0</v>
      </c>
      <c r="BO123" s="561">
        <f t="shared" ca="1" si="443"/>
        <v>0</v>
      </c>
      <c r="BP123" s="561">
        <f t="shared" ca="1" si="443"/>
        <v>0</v>
      </c>
      <c r="BQ123" s="561">
        <f t="shared" ca="1" si="443"/>
        <v>0</v>
      </c>
      <c r="BR123" s="561">
        <f t="shared" ca="1" si="443"/>
        <v>0</v>
      </c>
      <c r="BS123" s="561">
        <f t="shared" ca="1" si="443"/>
        <v>0</v>
      </c>
      <c r="BT123" s="561">
        <f t="shared" ca="1" si="443"/>
        <v>0</v>
      </c>
      <c r="BU123" s="561">
        <f t="shared" ca="1" si="443"/>
        <v>0</v>
      </c>
      <c r="BV123" s="561">
        <f t="shared" ca="1" si="443"/>
        <v>0</v>
      </c>
      <c r="BW123" s="561">
        <f t="shared" ca="1" si="443"/>
        <v>0</v>
      </c>
      <c r="BX123" s="561">
        <f t="shared" ca="1" si="443"/>
        <v>0</v>
      </c>
      <c r="BY123" s="561">
        <f t="shared" ca="1" si="443"/>
        <v>0</v>
      </c>
      <c r="BZ123" s="561">
        <f t="shared" ca="1" si="443"/>
        <v>0</v>
      </c>
      <c r="CA123" s="561">
        <f t="shared" ca="1" si="443"/>
        <v>0</v>
      </c>
      <c r="CB123" s="561">
        <f t="shared" ca="1" si="443"/>
        <v>0</v>
      </c>
      <c r="CC123" s="561">
        <f t="shared" ca="1" si="443"/>
        <v>0</v>
      </c>
      <c r="CD123" s="561">
        <f t="shared" ca="1" si="443"/>
        <v>0</v>
      </c>
      <c r="CE123" s="561">
        <f t="shared" ca="1" si="443"/>
        <v>0</v>
      </c>
      <c r="CF123" s="561">
        <f t="shared" ca="1" si="443"/>
        <v>0</v>
      </c>
      <c r="CG123" s="561">
        <f t="shared" ca="1" si="443"/>
        <v>0</v>
      </c>
      <c r="CH123" s="561">
        <f t="shared" ca="1" si="443"/>
        <v>0</v>
      </c>
      <c r="CI123" s="561">
        <f t="shared" ca="1" si="443"/>
        <v>0</v>
      </c>
      <c r="CJ123" s="561">
        <f t="shared" ca="1" si="443"/>
        <v>0</v>
      </c>
      <c r="CK123" s="561">
        <f t="shared" ref="CK123:CL123" ca="1" si="487">IF($L123="",IF(OR($P123="",$R123=""),0,IF($R123=CK$6,$Q123,0)),IF($E123=CK$5,$M123,))</f>
        <v>0</v>
      </c>
      <c r="CL123" s="561">
        <f t="shared" ca="1" si="487"/>
        <v>0</v>
      </c>
      <c r="CM123" s="561">
        <f t="shared" ca="1" si="433"/>
        <v>0</v>
      </c>
      <c r="CN123" s="561">
        <f t="shared" ca="1" si="433"/>
        <v>0</v>
      </c>
      <c r="CO123" s="561">
        <f t="shared" ca="1" si="433"/>
        <v>0</v>
      </c>
      <c r="CP123" s="561">
        <f t="shared" ca="1" si="433"/>
        <v>0</v>
      </c>
      <c r="CQ123" s="561">
        <f t="shared" ca="1" si="433"/>
        <v>0</v>
      </c>
      <c r="CR123" s="561">
        <f t="shared" ca="1" si="433"/>
        <v>0</v>
      </c>
      <c r="CS123" s="561">
        <f t="shared" ca="1" si="433"/>
        <v>0</v>
      </c>
      <c r="CT123" s="561">
        <f t="shared" ca="1" si="433"/>
        <v>0</v>
      </c>
      <c r="CU123" s="561">
        <f t="shared" ca="1" si="433"/>
        <v>0</v>
      </c>
      <c r="CV123" s="561">
        <f t="shared" ca="1" si="433"/>
        <v>0</v>
      </c>
      <c r="CW123" s="561">
        <f t="shared" ca="1" si="433"/>
        <v>0</v>
      </c>
      <c r="CX123" s="561">
        <f t="shared" ca="1" si="433"/>
        <v>0</v>
      </c>
      <c r="CY123" s="561">
        <f t="shared" ca="1" si="433"/>
        <v>0</v>
      </c>
      <c r="CZ123" s="561">
        <f t="shared" ca="1" si="433"/>
        <v>0</v>
      </c>
      <c r="DA123" s="561">
        <f t="shared" ca="1" si="433"/>
        <v>0</v>
      </c>
      <c r="DB123" s="561">
        <f t="shared" ca="1" si="433"/>
        <v>0</v>
      </c>
      <c r="DC123" s="561">
        <f t="shared" ca="1" si="433"/>
        <v>0</v>
      </c>
      <c r="DD123" s="561">
        <f t="shared" ca="1" si="433"/>
        <v>0</v>
      </c>
      <c r="DE123" s="561">
        <f t="shared" ca="1" si="433"/>
        <v>0</v>
      </c>
      <c r="DF123" s="561">
        <f t="shared" ca="1" si="433"/>
        <v>0</v>
      </c>
      <c r="DG123" s="561">
        <f t="shared" ca="1" si="433"/>
        <v>0</v>
      </c>
      <c r="DH123" s="561">
        <f t="shared" ca="1" si="433"/>
        <v>0</v>
      </c>
      <c r="DI123" s="561">
        <f t="shared" ca="1" si="433"/>
        <v>0</v>
      </c>
      <c r="DJ123" s="561">
        <f t="shared" ca="1" si="433"/>
        <v>0</v>
      </c>
      <c r="DK123" s="561">
        <f t="shared" ca="1" si="433"/>
        <v>0</v>
      </c>
      <c r="DL123" s="561">
        <f t="shared" ca="1" si="433"/>
        <v>0</v>
      </c>
      <c r="DM123" s="561">
        <f t="shared" ca="1" si="433"/>
        <v>0</v>
      </c>
      <c r="DN123" s="561">
        <f t="shared" ca="1" si="433"/>
        <v>0</v>
      </c>
      <c r="DO123" s="561">
        <f t="shared" ca="1" si="433"/>
        <v>0</v>
      </c>
      <c r="DP123" s="561">
        <f t="shared" ca="1" si="433"/>
        <v>0</v>
      </c>
    </row>
    <row r="124" spans="1:120" outlineLevel="1">
      <c r="A124" s="89">
        <v>1110052010</v>
      </c>
      <c r="B124" s="90" t="s">
        <v>2540</v>
      </c>
      <c r="C124" s="1476" t="s">
        <v>64</v>
      </c>
      <c r="D124" s="1481"/>
      <c r="E124" s="1482">
        <v>45033</v>
      </c>
      <c r="F124" s="420"/>
      <c r="G124" s="1256"/>
      <c r="H124" s="421"/>
      <c r="I124" s="422"/>
      <c r="J124" s="1425">
        <v>1</v>
      </c>
      <c r="K124" s="1426">
        <v>1</v>
      </c>
      <c r="L124" s="1043"/>
      <c r="M124" s="1594">
        <f t="shared" ref="M124:M129" si="488">+L124*J124</f>
        <v>0</v>
      </c>
      <c r="N124" s="504">
        <f ca="1">IF(OR(E124="",E124&gt;TODAY()),0,IF(ISERROR(VLOOKUP($E124,'TRM BanRep'!$A:$G,7,0)),0,VLOOKUP($E124,'TRM BanRep'!$A:$G,7,0)))</f>
        <v>4425.2700000000004</v>
      </c>
      <c r="O124" s="424">
        <f t="shared" ref="O124:O126" ca="1" si="489">+L124*N124</f>
        <v>0</v>
      </c>
      <c r="P124" s="425">
        <v>-27567</v>
      </c>
      <c r="Q124" s="1340">
        <f t="shared" si="427"/>
        <v>-27567</v>
      </c>
      <c r="R124" s="426">
        <v>4603</v>
      </c>
      <c r="S124" s="426">
        <f ca="1">IF(OR(E124="",E124&gt;TODAY()),0,IF(ISERROR(VLOOKUP($E124,'TRM BanRep'!$A:$G,7,0)),0,VLOOKUP($E124,'TRM BanRep'!$A:$G,7,0)))</f>
        <v>4425.2700000000004</v>
      </c>
      <c r="T124" s="427">
        <f t="shared" ref="T124:T126" ca="1" si="490">+P124*S124</f>
        <v>-121991418.09000002</v>
      </c>
      <c r="U124" s="418">
        <f t="shared" ref="U124:U126" si="491">+L124+P124+F124</f>
        <v>-27567</v>
      </c>
      <c r="V124" s="517">
        <f t="shared" ca="1" si="435"/>
        <v>-126890901</v>
      </c>
      <c r="W124" s="428">
        <f t="shared" ref="W124:W126" ca="1" si="492">(IF(R124&gt;S124,(-P124*R124)-(-P124*S124),0))</f>
        <v>4899482.9099999815</v>
      </c>
      <c r="X124" s="429">
        <f t="shared" ref="X124:X126" ca="1" si="493">(IF(R124&lt;S124,(-P124*R124)-(-P124*S124),0))</f>
        <v>0</v>
      </c>
      <c r="Y124" s="92"/>
      <c r="Z124" s="1055"/>
      <c r="AA124" s="85">
        <f t="shared" ref="AA124:AP138" ca="1" si="494">IF($L124="",IF(OR($P124="",$R124=""),0,IF($R124=AA$6,$Q124,0)),IF($E124=AA$5,$M124,))</f>
        <v>0</v>
      </c>
      <c r="AB124" s="508">
        <f t="shared" ca="1" si="494"/>
        <v>0</v>
      </c>
      <c r="AC124" s="508">
        <f t="shared" ca="1" si="494"/>
        <v>0</v>
      </c>
      <c r="AD124" s="508">
        <f t="shared" ca="1" si="494"/>
        <v>0</v>
      </c>
      <c r="AE124" s="508">
        <f t="shared" ca="1" si="494"/>
        <v>0</v>
      </c>
      <c r="AF124" s="561">
        <f t="shared" ca="1" si="494"/>
        <v>0</v>
      </c>
      <c r="AG124" s="561">
        <f t="shared" ca="1" si="494"/>
        <v>0</v>
      </c>
      <c r="AH124" s="561">
        <f t="shared" ca="1" si="494"/>
        <v>0</v>
      </c>
      <c r="AI124" s="561">
        <f t="shared" ca="1" si="494"/>
        <v>0</v>
      </c>
      <c r="AJ124" s="561">
        <f t="shared" ca="1" si="494"/>
        <v>0</v>
      </c>
      <c r="AK124" s="561">
        <f t="shared" ca="1" si="494"/>
        <v>0</v>
      </c>
      <c r="AL124" s="1542">
        <f t="shared" ca="1" si="494"/>
        <v>0</v>
      </c>
      <c r="AM124" s="561">
        <f t="shared" ca="1" si="494"/>
        <v>0</v>
      </c>
      <c r="AN124" s="561">
        <f t="shared" ca="1" si="494"/>
        <v>0</v>
      </c>
      <c r="AO124" s="561">
        <f t="shared" ca="1" si="494"/>
        <v>0</v>
      </c>
      <c r="AP124" s="561">
        <f t="shared" ca="1" si="494"/>
        <v>0</v>
      </c>
      <c r="AQ124" s="561">
        <f t="shared" ref="AQ124:BF138" ca="1" si="495">IF($L124="",IF(OR($P124="",$R124=""),0,IF($R124=AQ$6,$Q124,0)),IF($E124=AQ$5,$M124,))</f>
        <v>0</v>
      </c>
      <c r="AR124" s="561">
        <f t="shared" ca="1" si="495"/>
        <v>0</v>
      </c>
      <c r="AS124" s="561">
        <f t="shared" ca="1" si="495"/>
        <v>0</v>
      </c>
      <c r="AT124" s="561">
        <f t="shared" ca="1" si="495"/>
        <v>0</v>
      </c>
      <c r="AU124" s="561">
        <f t="shared" ca="1" si="495"/>
        <v>0</v>
      </c>
      <c r="AV124" s="561">
        <f t="shared" ca="1" si="495"/>
        <v>0</v>
      </c>
      <c r="AW124" s="561">
        <f t="shared" ca="1" si="495"/>
        <v>0</v>
      </c>
      <c r="AX124" s="561">
        <f t="shared" ca="1" si="495"/>
        <v>0</v>
      </c>
      <c r="AY124" s="561">
        <f t="shared" ca="1" si="495"/>
        <v>0</v>
      </c>
      <c r="AZ124" s="561">
        <f t="shared" ca="1" si="495"/>
        <v>0</v>
      </c>
      <c r="BA124" s="561">
        <f t="shared" ca="1" si="495"/>
        <v>-27567</v>
      </c>
      <c r="BB124" s="561">
        <f t="shared" ca="1" si="495"/>
        <v>0</v>
      </c>
      <c r="BC124" s="561">
        <f t="shared" ca="1" si="495"/>
        <v>0</v>
      </c>
      <c r="BD124" s="561">
        <f t="shared" ca="1" si="495"/>
        <v>0</v>
      </c>
      <c r="BE124" s="561">
        <f t="shared" ca="1" si="495"/>
        <v>0</v>
      </c>
      <c r="BF124" s="561">
        <f t="shared" ca="1" si="495"/>
        <v>0</v>
      </c>
      <c r="BG124" s="561">
        <f t="shared" ref="BG124:BV138" ca="1" si="496">IF($L124="",IF(OR($P124="",$R124=""),0,IF($R124=BG$6,$Q124,0)),IF($E124=BG$5,$M124,))</f>
        <v>0</v>
      </c>
      <c r="BH124" s="561">
        <f t="shared" ca="1" si="496"/>
        <v>0</v>
      </c>
      <c r="BI124" s="561">
        <f t="shared" ca="1" si="496"/>
        <v>0</v>
      </c>
      <c r="BJ124" s="561">
        <f t="shared" ca="1" si="496"/>
        <v>0</v>
      </c>
      <c r="BK124" s="561">
        <f t="shared" ca="1" si="496"/>
        <v>0</v>
      </c>
      <c r="BL124" s="561">
        <f t="shared" ca="1" si="496"/>
        <v>0</v>
      </c>
      <c r="BM124" s="561">
        <f t="shared" ca="1" si="496"/>
        <v>0</v>
      </c>
      <c r="BN124" s="561">
        <f t="shared" ca="1" si="496"/>
        <v>0</v>
      </c>
      <c r="BO124" s="561">
        <f t="shared" ca="1" si="496"/>
        <v>0</v>
      </c>
      <c r="BP124" s="561">
        <f t="shared" ca="1" si="496"/>
        <v>0</v>
      </c>
      <c r="BQ124" s="561">
        <f t="shared" ca="1" si="496"/>
        <v>0</v>
      </c>
      <c r="BR124" s="561">
        <f t="shared" ca="1" si="496"/>
        <v>0</v>
      </c>
      <c r="BS124" s="561">
        <f t="shared" ca="1" si="496"/>
        <v>0</v>
      </c>
      <c r="BT124" s="561">
        <f t="shared" ca="1" si="496"/>
        <v>0</v>
      </c>
      <c r="BU124" s="561">
        <f t="shared" ca="1" si="496"/>
        <v>0</v>
      </c>
      <c r="BV124" s="561">
        <f t="shared" ca="1" si="496"/>
        <v>0</v>
      </c>
      <c r="BW124" s="561">
        <f t="shared" ref="BW124:CL138" ca="1" si="497">IF($L124="",IF(OR($P124="",$R124=""),0,IF($R124=BW$6,$Q124,0)),IF($E124=BW$5,$M124,))</f>
        <v>0</v>
      </c>
      <c r="BX124" s="561">
        <f t="shared" ca="1" si="497"/>
        <v>0</v>
      </c>
      <c r="BY124" s="561">
        <f t="shared" ca="1" si="497"/>
        <v>0</v>
      </c>
      <c r="BZ124" s="561">
        <f t="shared" ca="1" si="497"/>
        <v>0</v>
      </c>
      <c r="CA124" s="561">
        <f t="shared" ca="1" si="497"/>
        <v>0</v>
      </c>
      <c r="CB124" s="561">
        <f t="shared" ca="1" si="497"/>
        <v>0</v>
      </c>
      <c r="CC124" s="561">
        <f t="shared" ca="1" si="497"/>
        <v>0</v>
      </c>
      <c r="CD124" s="561">
        <f t="shared" ca="1" si="497"/>
        <v>0</v>
      </c>
      <c r="CE124" s="561">
        <f t="shared" ca="1" si="497"/>
        <v>0</v>
      </c>
      <c r="CF124" s="561">
        <f t="shared" ca="1" si="497"/>
        <v>0</v>
      </c>
      <c r="CG124" s="561">
        <f t="shared" ca="1" si="497"/>
        <v>0</v>
      </c>
      <c r="CH124" s="561">
        <f t="shared" ca="1" si="497"/>
        <v>0</v>
      </c>
      <c r="CI124" s="561">
        <f t="shared" ca="1" si="497"/>
        <v>0</v>
      </c>
      <c r="CJ124" s="561">
        <f t="shared" ca="1" si="497"/>
        <v>0</v>
      </c>
      <c r="CK124" s="561">
        <f t="shared" ca="1" si="497"/>
        <v>0</v>
      </c>
      <c r="CL124" s="561">
        <f t="shared" ca="1" si="497"/>
        <v>0</v>
      </c>
      <c r="CM124" s="561">
        <f t="shared" ca="1" si="433"/>
        <v>0</v>
      </c>
      <c r="CN124" s="561">
        <f t="shared" ca="1" si="433"/>
        <v>0</v>
      </c>
      <c r="CO124" s="561">
        <f t="shared" ca="1" si="433"/>
        <v>0</v>
      </c>
      <c r="CP124" s="561">
        <f t="shared" ca="1" si="433"/>
        <v>0</v>
      </c>
      <c r="CQ124" s="561">
        <f t="shared" ca="1" si="433"/>
        <v>0</v>
      </c>
      <c r="CR124" s="561">
        <f t="shared" ca="1" si="433"/>
        <v>0</v>
      </c>
      <c r="CS124" s="561">
        <f t="shared" ca="1" si="433"/>
        <v>0</v>
      </c>
      <c r="CT124" s="561">
        <f t="shared" ca="1" si="433"/>
        <v>0</v>
      </c>
      <c r="CU124" s="561">
        <f t="shared" ca="1" si="433"/>
        <v>0</v>
      </c>
      <c r="CV124" s="561">
        <f t="shared" ca="1" si="433"/>
        <v>0</v>
      </c>
      <c r="CW124" s="561">
        <f t="shared" ca="1" si="433"/>
        <v>0</v>
      </c>
      <c r="CX124" s="561">
        <f t="shared" ca="1" si="433"/>
        <v>0</v>
      </c>
      <c r="CY124" s="561">
        <f t="shared" ca="1" si="433"/>
        <v>0</v>
      </c>
      <c r="CZ124" s="561">
        <f t="shared" ca="1" si="433"/>
        <v>0</v>
      </c>
      <c r="DA124" s="561">
        <f t="shared" ca="1" si="433"/>
        <v>0</v>
      </c>
      <c r="DB124" s="561">
        <f t="shared" ref="DB124:DP138" ca="1" si="498">IF($L124="",IF(OR($P124="",$R124=""),0,IF($R124=DB$6,$Q124,0)),IF($E124=DB$5,$M124,))</f>
        <v>0</v>
      </c>
      <c r="DC124" s="561">
        <f t="shared" ca="1" si="498"/>
        <v>0</v>
      </c>
      <c r="DD124" s="561">
        <f t="shared" ca="1" si="498"/>
        <v>0</v>
      </c>
      <c r="DE124" s="561">
        <f t="shared" ca="1" si="498"/>
        <v>0</v>
      </c>
      <c r="DF124" s="561">
        <f t="shared" ca="1" si="498"/>
        <v>0</v>
      </c>
      <c r="DG124" s="561">
        <f t="shared" ca="1" si="498"/>
        <v>0</v>
      </c>
      <c r="DH124" s="561">
        <f t="shared" ca="1" si="498"/>
        <v>0</v>
      </c>
      <c r="DI124" s="561">
        <f t="shared" ca="1" si="498"/>
        <v>0</v>
      </c>
      <c r="DJ124" s="561">
        <f t="shared" ca="1" si="498"/>
        <v>0</v>
      </c>
      <c r="DK124" s="561">
        <f t="shared" ca="1" si="498"/>
        <v>0</v>
      </c>
      <c r="DL124" s="561">
        <f t="shared" ca="1" si="498"/>
        <v>0</v>
      </c>
      <c r="DM124" s="561">
        <f t="shared" ca="1" si="498"/>
        <v>0</v>
      </c>
      <c r="DN124" s="561">
        <f t="shared" ca="1" si="498"/>
        <v>0</v>
      </c>
      <c r="DO124" s="561">
        <f t="shared" ca="1" si="498"/>
        <v>0</v>
      </c>
      <c r="DP124" s="561">
        <f t="shared" ca="1" si="498"/>
        <v>0</v>
      </c>
    </row>
    <row r="125" spans="1:120" outlineLevel="1">
      <c r="A125" s="89">
        <v>1110052010</v>
      </c>
      <c r="B125" s="90" t="s">
        <v>1477</v>
      </c>
      <c r="C125" s="1476" t="s">
        <v>64</v>
      </c>
      <c r="D125" s="1481"/>
      <c r="E125" s="1482">
        <v>45033</v>
      </c>
      <c r="F125" s="420"/>
      <c r="G125" s="1256"/>
      <c r="H125" s="421"/>
      <c r="I125" s="422"/>
      <c r="J125" s="1425">
        <v>1</v>
      </c>
      <c r="K125" s="1426">
        <v>1</v>
      </c>
      <c r="L125" s="1043"/>
      <c r="M125" s="1594">
        <f t="shared" si="488"/>
        <v>0</v>
      </c>
      <c r="N125" s="504">
        <f ca="1">IF(OR(E125="",E125&gt;TODAY()),0,IF(ISERROR(VLOOKUP($E125,'TRM BanRep'!$A:$G,7,0)),0,VLOOKUP($E125,'TRM BanRep'!$A:$G,7,0)))</f>
        <v>4425.2700000000004</v>
      </c>
      <c r="O125" s="424">
        <f t="shared" ca="1" si="489"/>
        <v>0</v>
      </c>
      <c r="P125" s="425">
        <v>-486.19</v>
      </c>
      <c r="Q125" s="1340">
        <f t="shared" si="427"/>
        <v>-486.19</v>
      </c>
      <c r="R125" s="426">
        <v>4603</v>
      </c>
      <c r="S125" s="426">
        <f ca="1">IF(OR(E125="",E125&gt;TODAY()),0,IF(ISERROR(VLOOKUP($E125,'TRM BanRep'!$A:$G,7,0)),0,VLOOKUP($E125,'TRM BanRep'!$A:$G,7,0)))</f>
        <v>4425.2700000000004</v>
      </c>
      <c r="T125" s="427">
        <f t="shared" ca="1" si="490"/>
        <v>-2151522.0213000001</v>
      </c>
      <c r="U125" s="418">
        <f t="shared" si="491"/>
        <v>-486.19</v>
      </c>
      <c r="V125" s="517">
        <f t="shared" ca="1" si="435"/>
        <v>-2237932.5699999998</v>
      </c>
      <c r="W125" s="428">
        <f t="shared" ca="1" si="492"/>
        <v>86410.548699999694</v>
      </c>
      <c r="X125" s="429">
        <f t="shared" ca="1" si="493"/>
        <v>0</v>
      </c>
      <c r="Y125" s="92"/>
      <c r="Z125" s="1055"/>
      <c r="AA125" s="85">
        <f t="shared" ca="1" si="494"/>
        <v>0</v>
      </c>
      <c r="AB125" s="508">
        <f t="shared" ca="1" si="494"/>
        <v>0</v>
      </c>
      <c r="AC125" s="508">
        <f t="shared" ca="1" si="494"/>
        <v>0</v>
      </c>
      <c r="AD125" s="508">
        <f t="shared" ca="1" si="494"/>
        <v>0</v>
      </c>
      <c r="AE125" s="508">
        <f t="shared" ca="1" si="494"/>
        <v>0</v>
      </c>
      <c r="AF125" s="561">
        <f t="shared" ca="1" si="494"/>
        <v>0</v>
      </c>
      <c r="AG125" s="561">
        <f t="shared" ca="1" si="494"/>
        <v>0</v>
      </c>
      <c r="AH125" s="561">
        <f t="shared" ca="1" si="494"/>
        <v>0</v>
      </c>
      <c r="AI125" s="561">
        <f t="shared" ca="1" si="494"/>
        <v>0</v>
      </c>
      <c r="AJ125" s="561">
        <f t="shared" ca="1" si="494"/>
        <v>0</v>
      </c>
      <c r="AK125" s="561">
        <f t="shared" ca="1" si="494"/>
        <v>0</v>
      </c>
      <c r="AL125" s="1542">
        <f t="shared" ca="1" si="494"/>
        <v>0</v>
      </c>
      <c r="AM125" s="561">
        <f t="shared" ca="1" si="494"/>
        <v>0</v>
      </c>
      <c r="AN125" s="561">
        <f t="shared" ca="1" si="494"/>
        <v>0</v>
      </c>
      <c r="AO125" s="561">
        <f t="shared" ca="1" si="494"/>
        <v>0</v>
      </c>
      <c r="AP125" s="561">
        <f t="shared" ca="1" si="494"/>
        <v>0</v>
      </c>
      <c r="AQ125" s="561">
        <f t="shared" ca="1" si="495"/>
        <v>0</v>
      </c>
      <c r="AR125" s="561">
        <f t="shared" ca="1" si="495"/>
        <v>0</v>
      </c>
      <c r="AS125" s="561">
        <f t="shared" ca="1" si="495"/>
        <v>0</v>
      </c>
      <c r="AT125" s="561">
        <f t="shared" ca="1" si="495"/>
        <v>0</v>
      </c>
      <c r="AU125" s="561">
        <f t="shared" ca="1" si="495"/>
        <v>0</v>
      </c>
      <c r="AV125" s="561">
        <f t="shared" ca="1" si="495"/>
        <v>0</v>
      </c>
      <c r="AW125" s="561">
        <f t="shared" ca="1" si="495"/>
        <v>0</v>
      </c>
      <c r="AX125" s="561">
        <f t="shared" ca="1" si="495"/>
        <v>0</v>
      </c>
      <c r="AY125" s="561">
        <f t="shared" ca="1" si="495"/>
        <v>0</v>
      </c>
      <c r="AZ125" s="561">
        <f t="shared" ca="1" si="495"/>
        <v>0</v>
      </c>
      <c r="BA125" s="561">
        <f t="shared" ca="1" si="495"/>
        <v>-486.19</v>
      </c>
      <c r="BB125" s="561">
        <f t="shared" ca="1" si="495"/>
        <v>0</v>
      </c>
      <c r="BC125" s="561">
        <f t="shared" ca="1" si="495"/>
        <v>0</v>
      </c>
      <c r="BD125" s="561">
        <f t="shared" ca="1" si="495"/>
        <v>0</v>
      </c>
      <c r="BE125" s="561">
        <f t="shared" ca="1" si="495"/>
        <v>0</v>
      </c>
      <c r="BF125" s="561">
        <f t="shared" ca="1" si="495"/>
        <v>0</v>
      </c>
      <c r="BG125" s="561">
        <f t="shared" ca="1" si="496"/>
        <v>0</v>
      </c>
      <c r="BH125" s="561">
        <f t="shared" ca="1" si="496"/>
        <v>0</v>
      </c>
      <c r="BI125" s="561">
        <f t="shared" ca="1" si="496"/>
        <v>0</v>
      </c>
      <c r="BJ125" s="561">
        <f t="shared" ca="1" si="496"/>
        <v>0</v>
      </c>
      <c r="BK125" s="561">
        <f t="shared" ca="1" si="496"/>
        <v>0</v>
      </c>
      <c r="BL125" s="561">
        <f t="shared" ca="1" si="496"/>
        <v>0</v>
      </c>
      <c r="BM125" s="561">
        <f t="shared" ca="1" si="496"/>
        <v>0</v>
      </c>
      <c r="BN125" s="561">
        <f t="shared" ca="1" si="496"/>
        <v>0</v>
      </c>
      <c r="BO125" s="561">
        <f t="shared" ca="1" si="496"/>
        <v>0</v>
      </c>
      <c r="BP125" s="561">
        <f t="shared" ca="1" si="496"/>
        <v>0</v>
      </c>
      <c r="BQ125" s="561">
        <f t="shared" ca="1" si="496"/>
        <v>0</v>
      </c>
      <c r="BR125" s="561">
        <f t="shared" ca="1" si="496"/>
        <v>0</v>
      </c>
      <c r="BS125" s="561">
        <f t="shared" ca="1" si="496"/>
        <v>0</v>
      </c>
      <c r="BT125" s="561">
        <f t="shared" ca="1" si="496"/>
        <v>0</v>
      </c>
      <c r="BU125" s="561">
        <f t="shared" ca="1" si="496"/>
        <v>0</v>
      </c>
      <c r="BV125" s="561">
        <f t="shared" ca="1" si="496"/>
        <v>0</v>
      </c>
      <c r="BW125" s="561">
        <f t="shared" ca="1" si="497"/>
        <v>0</v>
      </c>
      <c r="BX125" s="561">
        <f t="shared" ca="1" si="497"/>
        <v>0</v>
      </c>
      <c r="BY125" s="561">
        <f t="shared" ca="1" si="497"/>
        <v>0</v>
      </c>
      <c r="BZ125" s="561">
        <f t="shared" ca="1" si="497"/>
        <v>0</v>
      </c>
      <c r="CA125" s="561">
        <f t="shared" ca="1" si="497"/>
        <v>0</v>
      </c>
      <c r="CB125" s="561">
        <f t="shared" ca="1" si="497"/>
        <v>0</v>
      </c>
      <c r="CC125" s="561">
        <f t="shared" ca="1" si="497"/>
        <v>0</v>
      </c>
      <c r="CD125" s="561">
        <f t="shared" ca="1" si="497"/>
        <v>0</v>
      </c>
      <c r="CE125" s="561">
        <f t="shared" ca="1" si="497"/>
        <v>0</v>
      </c>
      <c r="CF125" s="561">
        <f t="shared" ca="1" si="497"/>
        <v>0</v>
      </c>
      <c r="CG125" s="561">
        <f t="shared" ca="1" si="497"/>
        <v>0</v>
      </c>
      <c r="CH125" s="561">
        <f t="shared" ca="1" si="497"/>
        <v>0</v>
      </c>
      <c r="CI125" s="561">
        <f t="shared" ca="1" si="497"/>
        <v>0</v>
      </c>
      <c r="CJ125" s="561">
        <f t="shared" ca="1" si="497"/>
        <v>0</v>
      </c>
      <c r="CK125" s="561">
        <f t="shared" ca="1" si="497"/>
        <v>0</v>
      </c>
      <c r="CL125" s="561">
        <f t="shared" ca="1" si="497"/>
        <v>0</v>
      </c>
      <c r="CM125" s="561">
        <f t="shared" ref="CM125:DB138" ca="1" si="499">IF($L125="",IF(OR($P125="",$R125=""),0,IF($R125=CM$6,$Q125,0)),IF($E125=CM$5,$M125,))</f>
        <v>0</v>
      </c>
      <c r="CN125" s="561">
        <f t="shared" ca="1" si="499"/>
        <v>0</v>
      </c>
      <c r="CO125" s="561">
        <f t="shared" ca="1" si="499"/>
        <v>0</v>
      </c>
      <c r="CP125" s="561">
        <f t="shared" ca="1" si="499"/>
        <v>0</v>
      </c>
      <c r="CQ125" s="561">
        <f t="shared" ca="1" si="499"/>
        <v>0</v>
      </c>
      <c r="CR125" s="561">
        <f t="shared" ca="1" si="499"/>
        <v>0</v>
      </c>
      <c r="CS125" s="561">
        <f t="shared" ca="1" si="499"/>
        <v>0</v>
      </c>
      <c r="CT125" s="561">
        <f t="shared" ca="1" si="499"/>
        <v>0</v>
      </c>
      <c r="CU125" s="561">
        <f t="shared" ca="1" si="499"/>
        <v>0</v>
      </c>
      <c r="CV125" s="561">
        <f t="shared" ca="1" si="499"/>
        <v>0</v>
      </c>
      <c r="CW125" s="561">
        <f t="shared" ca="1" si="499"/>
        <v>0</v>
      </c>
      <c r="CX125" s="561">
        <f t="shared" ca="1" si="499"/>
        <v>0</v>
      </c>
      <c r="CY125" s="561">
        <f t="shared" ca="1" si="499"/>
        <v>0</v>
      </c>
      <c r="CZ125" s="561">
        <f t="shared" ca="1" si="499"/>
        <v>0</v>
      </c>
      <c r="DA125" s="561">
        <f t="shared" ca="1" si="499"/>
        <v>0</v>
      </c>
      <c r="DB125" s="561">
        <f t="shared" ca="1" si="499"/>
        <v>0</v>
      </c>
      <c r="DC125" s="561">
        <f t="shared" ca="1" si="498"/>
        <v>0</v>
      </c>
      <c r="DD125" s="561">
        <f t="shared" ca="1" si="498"/>
        <v>0</v>
      </c>
      <c r="DE125" s="561">
        <f t="shared" ca="1" si="498"/>
        <v>0</v>
      </c>
      <c r="DF125" s="561">
        <f t="shared" ca="1" si="498"/>
        <v>0</v>
      </c>
      <c r="DG125" s="561">
        <f t="shared" ca="1" si="498"/>
        <v>0</v>
      </c>
      <c r="DH125" s="561">
        <f t="shared" ca="1" si="498"/>
        <v>0</v>
      </c>
      <c r="DI125" s="561">
        <f t="shared" ca="1" si="498"/>
        <v>0</v>
      </c>
      <c r="DJ125" s="561">
        <f t="shared" ca="1" si="498"/>
        <v>0</v>
      </c>
      <c r="DK125" s="561">
        <f t="shared" ca="1" si="498"/>
        <v>0</v>
      </c>
      <c r="DL125" s="561">
        <f t="shared" ca="1" si="498"/>
        <v>0</v>
      </c>
      <c r="DM125" s="561">
        <f t="shared" ca="1" si="498"/>
        <v>0</v>
      </c>
      <c r="DN125" s="561">
        <f t="shared" ca="1" si="498"/>
        <v>0</v>
      </c>
      <c r="DO125" s="561">
        <f t="shared" ca="1" si="498"/>
        <v>0</v>
      </c>
      <c r="DP125" s="561">
        <f t="shared" ca="1" si="498"/>
        <v>0</v>
      </c>
    </row>
    <row r="126" spans="1:120" outlineLevel="1">
      <c r="A126" s="89">
        <v>1110052010</v>
      </c>
      <c r="B126" s="90" t="s">
        <v>2533</v>
      </c>
      <c r="C126" s="1476" t="s">
        <v>64</v>
      </c>
      <c r="D126" s="1481"/>
      <c r="E126" s="1482">
        <v>45037</v>
      </c>
      <c r="F126" s="420"/>
      <c r="G126" s="1256"/>
      <c r="H126" s="421"/>
      <c r="I126" s="422"/>
      <c r="J126" s="1425">
        <v>1</v>
      </c>
      <c r="K126" s="1426">
        <v>1</v>
      </c>
      <c r="L126" s="1043"/>
      <c r="M126" s="1594">
        <f t="shared" si="488"/>
        <v>0</v>
      </c>
      <c r="N126" s="504">
        <f ca="1">IF(OR(E126="",E126&gt;TODAY()),0,IF(ISERROR(VLOOKUP($E126,'TRM BanRep'!$A:$G,7,0)),0,VLOOKUP($E126,'TRM BanRep'!$A:$G,7,0)))</f>
        <v>4535.78</v>
      </c>
      <c r="O126" s="424">
        <f t="shared" ca="1" si="489"/>
        <v>0</v>
      </c>
      <c r="P126" s="425">
        <v>-36941.25</v>
      </c>
      <c r="Q126" s="1340">
        <f t="shared" si="427"/>
        <v>-36941.25</v>
      </c>
      <c r="R126" s="426">
        <v>4603</v>
      </c>
      <c r="S126" s="426">
        <f ca="1">IF(OR(E126="",E126&gt;TODAY()),0,IF(ISERROR(VLOOKUP($E126,'TRM BanRep'!$A:$G,7,0)),0,VLOOKUP($E126,'TRM BanRep'!$A:$G,7,0)))</f>
        <v>4535.78</v>
      </c>
      <c r="T126" s="427">
        <f t="shared" ca="1" si="490"/>
        <v>-167557382.92499998</v>
      </c>
      <c r="U126" s="418">
        <f t="shared" si="491"/>
        <v>-36941.25</v>
      </c>
      <c r="V126" s="517">
        <f t="shared" ca="1" si="435"/>
        <v>-170040573.75</v>
      </c>
      <c r="W126" s="428">
        <f t="shared" ca="1" si="492"/>
        <v>2483190.8250000179</v>
      </c>
      <c r="X126" s="429">
        <f t="shared" ca="1" si="493"/>
        <v>0</v>
      </c>
      <c r="Y126" s="92"/>
      <c r="Z126" s="1055"/>
      <c r="AA126" s="85">
        <f t="shared" ca="1" si="494"/>
        <v>0</v>
      </c>
      <c r="AB126" s="508">
        <f t="shared" ca="1" si="494"/>
        <v>0</v>
      </c>
      <c r="AC126" s="508">
        <f t="shared" ca="1" si="494"/>
        <v>0</v>
      </c>
      <c r="AD126" s="508">
        <f t="shared" ca="1" si="494"/>
        <v>0</v>
      </c>
      <c r="AE126" s="508">
        <f t="shared" ca="1" si="494"/>
        <v>0</v>
      </c>
      <c r="AF126" s="561">
        <f t="shared" ca="1" si="494"/>
        <v>0</v>
      </c>
      <c r="AG126" s="561">
        <f t="shared" ca="1" si="494"/>
        <v>0</v>
      </c>
      <c r="AH126" s="561">
        <f t="shared" ca="1" si="494"/>
        <v>0</v>
      </c>
      <c r="AI126" s="561">
        <f t="shared" ca="1" si="494"/>
        <v>0</v>
      </c>
      <c r="AJ126" s="561">
        <f t="shared" ca="1" si="494"/>
        <v>0</v>
      </c>
      <c r="AK126" s="561">
        <f t="shared" ca="1" si="494"/>
        <v>0</v>
      </c>
      <c r="AL126" s="1542">
        <f t="shared" ca="1" si="494"/>
        <v>0</v>
      </c>
      <c r="AM126" s="561">
        <f t="shared" ca="1" si="494"/>
        <v>0</v>
      </c>
      <c r="AN126" s="561">
        <f t="shared" ca="1" si="494"/>
        <v>0</v>
      </c>
      <c r="AO126" s="561">
        <f t="shared" ca="1" si="494"/>
        <v>0</v>
      </c>
      <c r="AP126" s="561">
        <f t="shared" ca="1" si="494"/>
        <v>0</v>
      </c>
      <c r="AQ126" s="561">
        <f t="shared" ca="1" si="495"/>
        <v>0</v>
      </c>
      <c r="AR126" s="561">
        <f t="shared" ca="1" si="495"/>
        <v>0</v>
      </c>
      <c r="AS126" s="561">
        <f t="shared" ca="1" si="495"/>
        <v>0</v>
      </c>
      <c r="AT126" s="561">
        <f t="shared" ca="1" si="495"/>
        <v>0</v>
      </c>
      <c r="AU126" s="561">
        <f t="shared" ca="1" si="495"/>
        <v>0</v>
      </c>
      <c r="AV126" s="561">
        <f t="shared" ca="1" si="495"/>
        <v>0</v>
      </c>
      <c r="AW126" s="561">
        <f t="shared" ca="1" si="495"/>
        <v>0</v>
      </c>
      <c r="AX126" s="561">
        <f t="shared" ca="1" si="495"/>
        <v>0</v>
      </c>
      <c r="AY126" s="561">
        <f t="shared" ca="1" si="495"/>
        <v>0</v>
      </c>
      <c r="AZ126" s="561">
        <f t="shared" ca="1" si="495"/>
        <v>0</v>
      </c>
      <c r="BA126" s="561">
        <f t="shared" ca="1" si="495"/>
        <v>-36941.25</v>
      </c>
      <c r="BB126" s="561">
        <f t="shared" ca="1" si="495"/>
        <v>0</v>
      </c>
      <c r="BC126" s="561">
        <f t="shared" ca="1" si="495"/>
        <v>0</v>
      </c>
      <c r="BD126" s="561">
        <f t="shared" ca="1" si="495"/>
        <v>0</v>
      </c>
      <c r="BE126" s="561">
        <f t="shared" ca="1" si="495"/>
        <v>0</v>
      </c>
      <c r="BF126" s="561">
        <f t="shared" ca="1" si="495"/>
        <v>0</v>
      </c>
      <c r="BG126" s="561">
        <f t="shared" ca="1" si="496"/>
        <v>0</v>
      </c>
      <c r="BH126" s="561">
        <f t="shared" ca="1" si="496"/>
        <v>0</v>
      </c>
      <c r="BI126" s="561">
        <f t="shared" ca="1" si="496"/>
        <v>0</v>
      </c>
      <c r="BJ126" s="561">
        <f t="shared" ca="1" si="496"/>
        <v>0</v>
      </c>
      <c r="BK126" s="561">
        <f t="shared" ca="1" si="496"/>
        <v>0</v>
      </c>
      <c r="BL126" s="561">
        <f t="shared" ca="1" si="496"/>
        <v>0</v>
      </c>
      <c r="BM126" s="561">
        <f t="shared" ca="1" si="496"/>
        <v>0</v>
      </c>
      <c r="BN126" s="561">
        <f t="shared" ca="1" si="496"/>
        <v>0</v>
      </c>
      <c r="BO126" s="561">
        <f t="shared" ca="1" si="496"/>
        <v>0</v>
      </c>
      <c r="BP126" s="561">
        <f t="shared" ca="1" si="496"/>
        <v>0</v>
      </c>
      <c r="BQ126" s="561">
        <f t="shared" ca="1" si="496"/>
        <v>0</v>
      </c>
      <c r="BR126" s="561">
        <f t="shared" ca="1" si="496"/>
        <v>0</v>
      </c>
      <c r="BS126" s="561">
        <f t="shared" ca="1" si="496"/>
        <v>0</v>
      </c>
      <c r="BT126" s="561">
        <f t="shared" ca="1" si="496"/>
        <v>0</v>
      </c>
      <c r="BU126" s="561">
        <f t="shared" ca="1" si="496"/>
        <v>0</v>
      </c>
      <c r="BV126" s="561">
        <f t="shared" ca="1" si="496"/>
        <v>0</v>
      </c>
      <c r="BW126" s="561">
        <f t="shared" ca="1" si="497"/>
        <v>0</v>
      </c>
      <c r="BX126" s="561">
        <f t="shared" ca="1" si="497"/>
        <v>0</v>
      </c>
      <c r="BY126" s="561">
        <f t="shared" ca="1" si="497"/>
        <v>0</v>
      </c>
      <c r="BZ126" s="561">
        <f t="shared" ca="1" si="497"/>
        <v>0</v>
      </c>
      <c r="CA126" s="561">
        <f t="shared" ca="1" si="497"/>
        <v>0</v>
      </c>
      <c r="CB126" s="561">
        <f t="shared" ca="1" si="497"/>
        <v>0</v>
      </c>
      <c r="CC126" s="561">
        <f t="shared" ca="1" si="497"/>
        <v>0</v>
      </c>
      <c r="CD126" s="561">
        <f t="shared" ca="1" si="497"/>
        <v>0</v>
      </c>
      <c r="CE126" s="561">
        <f t="shared" ca="1" si="497"/>
        <v>0</v>
      </c>
      <c r="CF126" s="561">
        <f t="shared" ca="1" si="497"/>
        <v>0</v>
      </c>
      <c r="CG126" s="561">
        <f t="shared" ca="1" si="497"/>
        <v>0</v>
      </c>
      <c r="CH126" s="561">
        <f t="shared" ca="1" si="497"/>
        <v>0</v>
      </c>
      <c r="CI126" s="561">
        <f t="shared" ca="1" si="497"/>
        <v>0</v>
      </c>
      <c r="CJ126" s="561">
        <f t="shared" ca="1" si="497"/>
        <v>0</v>
      </c>
      <c r="CK126" s="561">
        <f t="shared" ca="1" si="497"/>
        <v>0</v>
      </c>
      <c r="CL126" s="561">
        <f t="shared" ca="1" si="497"/>
        <v>0</v>
      </c>
      <c r="CM126" s="561">
        <f t="shared" ca="1" si="499"/>
        <v>0</v>
      </c>
      <c r="CN126" s="561">
        <f t="shared" ca="1" si="499"/>
        <v>0</v>
      </c>
      <c r="CO126" s="561">
        <f t="shared" ca="1" si="499"/>
        <v>0</v>
      </c>
      <c r="CP126" s="561">
        <f t="shared" ca="1" si="499"/>
        <v>0</v>
      </c>
      <c r="CQ126" s="561">
        <f t="shared" ca="1" si="499"/>
        <v>0</v>
      </c>
      <c r="CR126" s="561">
        <f t="shared" ca="1" si="499"/>
        <v>0</v>
      </c>
      <c r="CS126" s="561">
        <f t="shared" ca="1" si="499"/>
        <v>0</v>
      </c>
      <c r="CT126" s="561">
        <f t="shared" ca="1" si="499"/>
        <v>0</v>
      </c>
      <c r="CU126" s="561">
        <f t="shared" ca="1" si="499"/>
        <v>0</v>
      </c>
      <c r="CV126" s="561">
        <f t="shared" ca="1" si="499"/>
        <v>0</v>
      </c>
      <c r="CW126" s="561">
        <f t="shared" ca="1" si="499"/>
        <v>0</v>
      </c>
      <c r="CX126" s="561">
        <f t="shared" ca="1" si="499"/>
        <v>0</v>
      </c>
      <c r="CY126" s="561">
        <f t="shared" ca="1" si="499"/>
        <v>0</v>
      </c>
      <c r="CZ126" s="561">
        <f t="shared" ca="1" si="499"/>
        <v>0</v>
      </c>
      <c r="DA126" s="561">
        <f t="shared" ca="1" si="499"/>
        <v>0</v>
      </c>
      <c r="DB126" s="561">
        <f t="shared" ca="1" si="499"/>
        <v>0</v>
      </c>
      <c r="DC126" s="561">
        <f t="shared" ca="1" si="498"/>
        <v>0</v>
      </c>
      <c r="DD126" s="561">
        <f t="shared" ca="1" si="498"/>
        <v>0</v>
      </c>
      <c r="DE126" s="561">
        <f t="shared" ca="1" si="498"/>
        <v>0</v>
      </c>
      <c r="DF126" s="561">
        <f t="shared" ca="1" si="498"/>
        <v>0</v>
      </c>
      <c r="DG126" s="561">
        <f t="shared" ca="1" si="498"/>
        <v>0</v>
      </c>
      <c r="DH126" s="561">
        <f t="shared" ca="1" si="498"/>
        <v>0</v>
      </c>
      <c r="DI126" s="561">
        <f t="shared" ca="1" si="498"/>
        <v>0</v>
      </c>
      <c r="DJ126" s="561">
        <f t="shared" ca="1" si="498"/>
        <v>0</v>
      </c>
      <c r="DK126" s="561">
        <f t="shared" ca="1" si="498"/>
        <v>0</v>
      </c>
      <c r="DL126" s="561">
        <f t="shared" ca="1" si="498"/>
        <v>0</v>
      </c>
      <c r="DM126" s="561">
        <f t="shared" ca="1" si="498"/>
        <v>0</v>
      </c>
      <c r="DN126" s="561">
        <f t="shared" ca="1" si="498"/>
        <v>0</v>
      </c>
      <c r="DO126" s="561">
        <f t="shared" ca="1" si="498"/>
        <v>0</v>
      </c>
      <c r="DP126" s="561">
        <f t="shared" ca="1" si="498"/>
        <v>0</v>
      </c>
    </row>
    <row r="127" spans="1:120" s="116" customFormat="1" outlineLevel="1">
      <c r="A127" s="100">
        <v>1110052010</v>
      </c>
      <c r="B127" s="1216" t="s">
        <v>2541</v>
      </c>
      <c r="C127" s="1695" t="s">
        <v>64</v>
      </c>
      <c r="D127" s="1629"/>
      <c r="E127" s="1630">
        <v>45014</v>
      </c>
      <c r="F127" s="102"/>
      <c r="G127" s="1258"/>
      <c r="H127" s="103"/>
      <c r="I127" s="104"/>
      <c r="J127" s="1604">
        <v>1</v>
      </c>
      <c r="K127" s="1605">
        <v>1</v>
      </c>
      <c r="L127" s="1696">
        <v>521300</v>
      </c>
      <c r="M127" s="1697">
        <f t="shared" si="488"/>
        <v>521300</v>
      </c>
      <c r="N127" s="1228">
        <f ca="1">IF(OR(E127="",E127&gt;TODAY()),0,IF(ISERROR(VLOOKUP($E127,'TRM BanRep'!$A:$G,7,0)),0,VLOOKUP($E127,'TRM BanRep'!$A:$G,7,0)))</f>
        <v>4658.79</v>
      </c>
      <c r="O127" s="107">
        <f t="shared" ref="O127" ca="1" si="500">+L127*N127</f>
        <v>2428627227</v>
      </c>
      <c r="P127" s="108"/>
      <c r="Q127" s="1342">
        <f t="shared" ref="Q127" si="501">+P127*K127</f>
        <v>0</v>
      </c>
      <c r="R127" s="109"/>
      <c r="S127" s="109">
        <f ca="1">IF(OR(E127="",E127&gt;TODAY()),0,IF(ISERROR(VLOOKUP($E127,'TRM BanRep'!$A:$G,7,0)),0,VLOOKUP($E127,'TRM BanRep'!$A:$G,7,0)))</f>
        <v>4658.79</v>
      </c>
      <c r="T127" s="110">
        <f t="shared" ref="T127" ca="1" si="502">+P127*S127</f>
        <v>0</v>
      </c>
      <c r="U127" s="111">
        <f t="shared" ref="U127" si="503">+L127+P127+F127</f>
        <v>521300</v>
      </c>
      <c r="V127" s="566">
        <f t="shared" ca="1" si="435"/>
        <v>2428627227</v>
      </c>
      <c r="W127" s="112">
        <f t="shared" ref="W127" ca="1" si="504">(IF(R127&gt;S127,(-P127*R127)-(-P127*S127),0))</f>
        <v>0</v>
      </c>
      <c r="X127" s="113">
        <f t="shared" ref="X127" ca="1" si="505">(IF(R127&lt;S127,(-P127*R127)-(-P127*S127),0))</f>
        <v>0</v>
      </c>
      <c r="Y127" s="114"/>
      <c r="Z127" s="115"/>
      <c r="AA127" s="85">
        <f t="shared" si="494"/>
        <v>0</v>
      </c>
      <c r="AB127" s="508">
        <f t="shared" si="494"/>
        <v>0</v>
      </c>
      <c r="AC127" s="508">
        <f t="shared" si="494"/>
        <v>0</v>
      </c>
      <c r="AD127" s="508">
        <f t="shared" si="494"/>
        <v>0</v>
      </c>
      <c r="AE127" s="508">
        <f t="shared" si="494"/>
        <v>0</v>
      </c>
      <c r="AF127" s="561">
        <f t="shared" si="494"/>
        <v>0</v>
      </c>
      <c r="AG127" s="561">
        <f t="shared" si="494"/>
        <v>0</v>
      </c>
      <c r="AH127" s="561">
        <f t="shared" si="494"/>
        <v>0</v>
      </c>
      <c r="AI127" s="561">
        <f t="shared" si="494"/>
        <v>0</v>
      </c>
      <c r="AJ127" s="561">
        <f t="shared" si="494"/>
        <v>0</v>
      </c>
      <c r="AK127" s="561">
        <f t="shared" si="494"/>
        <v>0</v>
      </c>
      <c r="AL127" s="1542">
        <f t="shared" si="494"/>
        <v>0</v>
      </c>
      <c r="AM127" s="561">
        <f t="shared" si="494"/>
        <v>0</v>
      </c>
      <c r="AN127" s="561">
        <f t="shared" si="494"/>
        <v>0</v>
      </c>
      <c r="AO127" s="561">
        <f t="shared" si="494"/>
        <v>0</v>
      </c>
      <c r="AP127" s="561">
        <f t="shared" si="494"/>
        <v>0</v>
      </c>
      <c r="AQ127" s="561">
        <f t="shared" si="495"/>
        <v>0</v>
      </c>
      <c r="AR127" s="561">
        <f t="shared" si="495"/>
        <v>0</v>
      </c>
      <c r="AS127" s="561">
        <f t="shared" si="495"/>
        <v>0</v>
      </c>
      <c r="AT127" s="561">
        <f t="shared" si="495"/>
        <v>0</v>
      </c>
      <c r="AU127" s="561">
        <f t="shared" si="495"/>
        <v>0</v>
      </c>
      <c r="AV127" s="561">
        <f t="shared" si="495"/>
        <v>0</v>
      </c>
      <c r="AW127" s="561">
        <f t="shared" si="495"/>
        <v>521300</v>
      </c>
      <c r="AX127" s="561">
        <f t="shared" si="495"/>
        <v>0</v>
      </c>
      <c r="AY127" s="561">
        <f t="shared" si="495"/>
        <v>0</v>
      </c>
      <c r="AZ127" s="561">
        <f t="shared" si="495"/>
        <v>0</v>
      </c>
      <c r="BA127" s="561">
        <f t="shared" si="495"/>
        <v>0</v>
      </c>
      <c r="BB127" s="561">
        <f t="shared" si="495"/>
        <v>0</v>
      </c>
      <c r="BC127" s="561">
        <f t="shared" si="495"/>
        <v>0</v>
      </c>
      <c r="BD127" s="561">
        <f t="shared" si="495"/>
        <v>0</v>
      </c>
      <c r="BE127" s="561">
        <f t="shared" si="495"/>
        <v>0</v>
      </c>
      <c r="BF127" s="561">
        <f t="shared" si="495"/>
        <v>0</v>
      </c>
      <c r="BG127" s="561">
        <f t="shared" si="496"/>
        <v>0</v>
      </c>
      <c r="BH127" s="561">
        <f t="shared" si="496"/>
        <v>0</v>
      </c>
      <c r="BI127" s="561">
        <f t="shared" si="496"/>
        <v>0</v>
      </c>
      <c r="BJ127" s="561">
        <f t="shared" si="496"/>
        <v>0</v>
      </c>
      <c r="BK127" s="561">
        <f t="shared" si="496"/>
        <v>0</v>
      </c>
      <c r="BL127" s="561">
        <f t="shared" si="496"/>
        <v>0</v>
      </c>
      <c r="BM127" s="561">
        <f t="shared" si="496"/>
        <v>0</v>
      </c>
      <c r="BN127" s="561">
        <f t="shared" si="496"/>
        <v>0</v>
      </c>
      <c r="BO127" s="561">
        <f t="shared" si="496"/>
        <v>0</v>
      </c>
      <c r="BP127" s="561">
        <f t="shared" si="496"/>
        <v>0</v>
      </c>
      <c r="BQ127" s="561">
        <f t="shared" si="496"/>
        <v>0</v>
      </c>
      <c r="BR127" s="561">
        <f t="shared" si="496"/>
        <v>0</v>
      </c>
      <c r="BS127" s="561">
        <f t="shared" si="496"/>
        <v>0</v>
      </c>
      <c r="BT127" s="561">
        <f t="shared" si="496"/>
        <v>0</v>
      </c>
      <c r="BU127" s="561">
        <f t="shared" si="496"/>
        <v>0</v>
      </c>
      <c r="BV127" s="561">
        <f t="shared" si="496"/>
        <v>0</v>
      </c>
      <c r="BW127" s="561">
        <f t="shared" si="497"/>
        <v>0</v>
      </c>
      <c r="BX127" s="561">
        <f t="shared" si="497"/>
        <v>0</v>
      </c>
      <c r="BY127" s="561">
        <f t="shared" si="497"/>
        <v>0</v>
      </c>
      <c r="BZ127" s="561">
        <f t="shared" si="497"/>
        <v>0</v>
      </c>
      <c r="CA127" s="561">
        <f t="shared" si="497"/>
        <v>0</v>
      </c>
      <c r="CB127" s="561">
        <f t="shared" si="497"/>
        <v>0</v>
      </c>
      <c r="CC127" s="561">
        <f t="shared" si="497"/>
        <v>0</v>
      </c>
      <c r="CD127" s="561">
        <f t="shared" si="497"/>
        <v>0</v>
      </c>
      <c r="CE127" s="561">
        <f t="shared" si="497"/>
        <v>0</v>
      </c>
      <c r="CF127" s="561">
        <f t="shared" si="497"/>
        <v>0</v>
      </c>
      <c r="CG127" s="561">
        <f t="shared" si="497"/>
        <v>0</v>
      </c>
      <c r="CH127" s="561">
        <f t="shared" si="497"/>
        <v>0</v>
      </c>
      <c r="CI127" s="561">
        <f t="shared" si="497"/>
        <v>0</v>
      </c>
      <c r="CJ127" s="561">
        <f t="shared" si="497"/>
        <v>0</v>
      </c>
      <c r="CK127" s="561">
        <f t="shared" si="497"/>
        <v>0</v>
      </c>
      <c r="CL127" s="561">
        <f t="shared" si="497"/>
        <v>0</v>
      </c>
      <c r="CM127" s="561">
        <f t="shared" si="499"/>
        <v>0</v>
      </c>
      <c r="CN127" s="561">
        <f t="shared" si="499"/>
        <v>0</v>
      </c>
      <c r="CO127" s="561">
        <f t="shared" si="499"/>
        <v>0</v>
      </c>
      <c r="CP127" s="561">
        <f t="shared" si="499"/>
        <v>0</v>
      </c>
      <c r="CQ127" s="561">
        <f t="shared" si="499"/>
        <v>0</v>
      </c>
      <c r="CR127" s="561">
        <f t="shared" si="499"/>
        <v>0</v>
      </c>
      <c r="CS127" s="561">
        <f t="shared" si="499"/>
        <v>0</v>
      </c>
      <c r="CT127" s="561">
        <f t="shared" si="499"/>
        <v>0</v>
      </c>
      <c r="CU127" s="561">
        <f t="shared" si="499"/>
        <v>0</v>
      </c>
      <c r="CV127" s="561">
        <f t="shared" si="499"/>
        <v>0</v>
      </c>
      <c r="CW127" s="561">
        <f t="shared" si="499"/>
        <v>0</v>
      </c>
      <c r="CX127" s="561">
        <f t="shared" si="499"/>
        <v>0</v>
      </c>
      <c r="CY127" s="561">
        <f t="shared" si="499"/>
        <v>0</v>
      </c>
      <c r="CZ127" s="561">
        <f t="shared" si="499"/>
        <v>0</v>
      </c>
      <c r="DA127" s="561">
        <f t="shared" si="499"/>
        <v>0</v>
      </c>
      <c r="DB127" s="561">
        <f t="shared" si="499"/>
        <v>0</v>
      </c>
      <c r="DC127" s="561">
        <f t="shared" si="498"/>
        <v>0</v>
      </c>
      <c r="DD127" s="561">
        <f t="shared" si="498"/>
        <v>0</v>
      </c>
      <c r="DE127" s="561">
        <f t="shared" si="498"/>
        <v>0</v>
      </c>
      <c r="DF127" s="561">
        <f t="shared" si="498"/>
        <v>0</v>
      </c>
      <c r="DG127" s="561">
        <f t="shared" si="498"/>
        <v>0</v>
      </c>
      <c r="DH127" s="561">
        <f t="shared" si="498"/>
        <v>0</v>
      </c>
      <c r="DI127" s="561">
        <f t="shared" si="498"/>
        <v>0</v>
      </c>
      <c r="DJ127" s="561">
        <f t="shared" si="498"/>
        <v>0</v>
      </c>
      <c r="DK127" s="561">
        <f t="shared" si="498"/>
        <v>0</v>
      </c>
      <c r="DL127" s="561">
        <f t="shared" si="498"/>
        <v>0</v>
      </c>
      <c r="DM127" s="561">
        <f t="shared" si="498"/>
        <v>0</v>
      </c>
      <c r="DN127" s="561">
        <f t="shared" si="498"/>
        <v>0</v>
      </c>
      <c r="DO127" s="561">
        <f t="shared" si="498"/>
        <v>0</v>
      </c>
      <c r="DP127" s="561">
        <f t="shared" si="498"/>
        <v>0</v>
      </c>
    </row>
    <row r="128" spans="1:120" s="116" customFormat="1" outlineLevel="1">
      <c r="A128" s="100">
        <v>1110052010</v>
      </c>
      <c r="B128" s="1216" t="s">
        <v>2541</v>
      </c>
      <c r="C128" s="1695" t="s">
        <v>64</v>
      </c>
      <c r="D128" s="1629"/>
      <c r="E128" s="1630">
        <v>45019</v>
      </c>
      <c r="F128" s="102"/>
      <c r="G128" s="1258"/>
      <c r="H128" s="103"/>
      <c r="I128" s="104"/>
      <c r="J128" s="1604">
        <v>1</v>
      </c>
      <c r="K128" s="1605">
        <v>1</v>
      </c>
      <c r="L128" s="1696">
        <v>44247.22</v>
      </c>
      <c r="M128" s="1697">
        <f t="shared" si="488"/>
        <v>44247.22</v>
      </c>
      <c r="N128" s="1228">
        <f ca="1">IF(OR(E128="",E128&gt;TODAY()),0,IF(ISERROR(VLOOKUP($E128,'TRM BanRep'!$A:$G,7,0)),0,VLOOKUP($E128,'TRM BanRep'!$A:$G,7,0)))</f>
        <v>4646.08</v>
      </c>
      <c r="O128" s="107">
        <f t="shared" ref="O128" ca="1" si="506">+L128*N128</f>
        <v>205576123.8976</v>
      </c>
      <c r="P128" s="108"/>
      <c r="Q128" s="1342">
        <f t="shared" ref="Q128" si="507">+P128*K128</f>
        <v>0</v>
      </c>
      <c r="R128" s="109"/>
      <c r="S128" s="109">
        <f ca="1">IF(OR(E128="",E128&gt;TODAY()),0,IF(ISERROR(VLOOKUP($E128,'TRM BanRep'!$A:$G,7,0)),0,VLOOKUP($E128,'TRM BanRep'!$A:$G,7,0)))</f>
        <v>4646.08</v>
      </c>
      <c r="T128" s="110">
        <f t="shared" ref="T128" ca="1" si="508">+P128*S128</f>
        <v>0</v>
      </c>
      <c r="U128" s="111">
        <f t="shared" ref="U128" si="509">+L128+P128+F128</f>
        <v>44247.22</v>
      </c>
      <c r="V128" s="566">
        <f t="shared" ref="V128" ca="1" si="510">+Q128*R128+M128*N128+G128*H128</f>
        <v>205576123.8976</v>
      </c>
      <c r="W128" s="112">
        <f t="shared" ref="W128" ca="1" si="511">(IF(R128&gt;S128,(-P128*R128)-(-P128*S128),0))</f>
        <v>0</v>
      </c>
      <c r="X128" s="113">
        <f t="shared" ref="X128" ca="1" si="512">(IF(R128&lt;S128,(-P128*R128)-(-P128*S128),0))</f>
        <v>0</v>
      </c>
      <c r="Y128" s="114"/>
      <c r="Z128" s="115"/>
      <c r="AA128" s="85">
        <f t="shared" si="494"/>
        <v>0</v>
      </c>
      <c r="AB128" s="508">
        <f t="shared" si="494"/>
        <v>0</v>
      </c>
      <c r="AC128" s="508">
        <f t="shared" si="494"/>
        <v>0</v>
      </c>
      <c r="AD128" s="508">
        <f t="shared" si="494"/>
        <v>0</v>
      </c>
      <c r="AE128" s="508">
        <f t="shared" si="494"/>
        <v>0</v>
      </c>
      <c r="AF128" s="561">
        <f t="shared" si="494"/>
        <v>0</v>
      </c>
      <c r="AG128" s="561">
        <f t="shared" si="494"/>
        <v>0</v>
      </c>
      <c r="AH128" s="561">
        <f t="shared" si="494"/>
        <v>0</v>
      </c>
      <c r="AI128" s="561">
        <f t="shared" si="494"/>
        <v>0</v>
      </c>
      <c r="AJ128" s="561">
        <f t="shared" si="494"/>
        <v>0</v>
      </c>
      <c r="AK128" s="561">
        <f t="shared" si="494"/>
        <v>0</v>
      </c>
      <c r="AL128" s="1542">
        <f t="shared" si="494"/>
        <v>0</v>
      </c>
      <c r="AM128" s="561">
        <f t="shared" si="494"/>
        <v>0</v>
      </c>
      <c r="AN128" s="561">
        <f t="shared" si="494"/>
        <v>0</v>
      </c>
      <c r="AO128" s="561">
        <f t="shared" si="494"/>
        <v>0</v>
      </c>
      <c r="AP128" s="561">
        <f t="shared" si="494"/>
        <v>0</v>
      </c>
      <c r="AQ128" s="561">
        <f t="shared" si="495"/>
        <v>0</v>
      </c>
      <c r="AR128" s="561">
        <f t="shared" si="495"/>
        <v>0</v>
      </c>
      <c r="AS128" s="561">
        <f t="shared" si="495"/>
        <v>0</v>
      </c>
      <c r="AT128" s="561">
        <f t="shared" si="495"/>
        <v>0</v>
      </c>
      <c r="AU128" s="561">
        <f t="shared" si="495"/>
        <v>0</v>
      </c>
      <c r="AV128" s="561">
        <f t="shared" si="495"/>
        <v>0</v>
      </c>
      <c r="AW128" s="561">
        <f t="shared" si="495"/>
        <v>0</v>
      </c>
      <c r="AX128" s="561">
        <f t="shared" si="495"/>
        <v>0</v>
      </c>
      <c r="AY128" s="561">
        <f t="shared" si="495"/>
        <v>0</v>
      </c>
      <c r="AZ128" s="561">
        <f t="shared" si="495"/>
        <v>44247.22</v>
      </c>
      <c r="BA128" s="561">
        <f t="shared" si="495"/>
        <v>0</v>
      </c>
      <c r="BB128" s="561">
        <f t="shared" si="495"/>
        <v>0</v>
      </c>
      <c r="BC128" s="561">
        <f t="shared" si="495"/>
        <v>0</v>
      </c>
      <c r="BD128" s="561">
        <f t="shared" si="495"/>
        <v>0</v>
      </c>
      <c r="BE128" s="561">
        <f t="shared" si="495"/>
        <v>0</v>
      </c>
      <c r="BF128" s="561">
        <f t="shared" si="495"/>
        <v>0</v>
      </c>
      <c r="BG128" s="561">
        <f t="shared" si="496"/>
        <v>0</v>
      </c>
      <c r="BH128" s="561">
        <f t="shared" si="496"/>
        <v>0</v>
      </c>
      <c r="BI128" s="561">
        <f t="shared" si="496"/>
        <v>0</v>
      </c>
      <c r="BJ128" s="561">
        <f t="shared" si="496"/>
        <v>0</v>
      </c>
      <c r="BK128" s="561">
        <f t="shared" si="496"/>
        <v>0</v>
      </c>
      <c r="BL128" s="561">
        <f t="shared" si="496"/>
        <v>0</v>
      </c>
      <c r="BM128" s="561">
        <f t="shared" si="496"/>
        <v>0</v>
      </c>
      <c r="BN128" s="561">
        <f t="shared" si="496"/>
        <v>0</v>
      </c>
      <c r="BO128" s="561">
        <f t="shared" si="496"/>
        <v>0</v>
      </c>
      <c r="BP128" s="561">
        <f t="shared" si="496"/>
        <v>0</v>
      </c>
      <c r="BQ128" s="561">
        <f t="shared" si="496"/>
        <v>0</v>
      </c>
      <c r="BR128" s="561">
        <f t="shared" si="496"/>
        <v>0</v>
      </c>
      <c r="BS128" s="561">
        <f t="shared" si="496"/>
        <v>0</v>
      </c>
      <c r="BT128" s="561">
        <f t="shared" si="496"/>
        <v>0</v>
      </c>
      <c r="BU128" s="561">
        <f t="shared" si="496"/>
        <v>0</v>
      </c>
      <c r="BV128" s="561">
        <f t="shared" si="496"/>
        <v>0</v>
      </c>
      <c r="BW128" s="561">
        <f t="shared" si="497"/>
        <v>0</v>
      </c>
      <c r="BX128" s="561">
        <f t="shared" si="497"/>
        <v>0</v>
      </c>
      <c r="BY128" s="561">
        <f t="shared" si="497"/>
        <v>0</v>
      </c>
      <c r="BZ128" s="561">
        <f t="shared" si="497"/>
        <v>0</v>
      </c>
      <c r="CA128" s="561">
        <f t="shared" si="497"/>
        <v>0</v>
      </c>
      <c r="CB128" s="561">
        <f t="shared" si="497"/>
        <v>0</v>
      </c>
      <c r="CC128" s="561">
        <f t="shared" si="497"/>
        <v>0</v>
      </c>
      <c r="CD128" s="561">
        <f t="shared" si="497"/>
        <v>0</v>
      </c>
      <c r="CE128" s="561">
        <f t="shared" si="497"/>
        <v>0</v>
      </c>
      <c r="CF128" s="561">
        <f t="shared" si="497"/>
        <v>0</v>
      </c>
      <c r="CG128" s="561">
        <f t="shared" si="497"/>
        <v>0</v>
      </c>
      <c r="CH128" s="561">
        <f t="shared" si="497"/>
        <v>0</v>
      </c>
      <c r="CI128" s="561">
        <f t="shared" si="497"/>
        <v>0</v>
      </c>
      <c r="CJ128" s="561">
        <f t="shared" si="497"/>
        <v>0</v>
      </c>
      <c r="CK128" s="561">
        <f t="shared" si="497"/>
        <v>0</v>
      </c>
      <c r="CL128" s="561">
        <f t="shared" si="497"/>
        <v>0</v>
      </c>
      <c r="CM128" s="561">
        <f t="shared" si="499"/>
        <v>0</v>
      </c>
      <c r="CN128" s="561">
        <f t="shared" si="499"/>
        <v>0</v>
      </c>
      <c r="CO128" s="561">
        <f t="shared" si="499"/>
        <v>0</v>
      </c>
      <c r="CP128" s="561">
        <f t="shared" si="499"/>
        <v>0</v>
      </c>
      <c r="CQ128" s="561">
        <f t="shared" si="499"/>
        <v>0</v>
      </c>
      <c r="CR128" s="561">
        <f t="shared" si="499"/>
        <v>0</v>
      </c>
      <c r="CS128" s="561">
        <f t="shared" si="499"/>
        <v>0</v>
      </c>
      <c r="CT128" s="561">
        <f t="shared" si="499"/>
        <v>0</v>
      </c>
      <c r="CU128" s="561">
        <f t="shared" si="499"/>
        <v>0</v>
      </c>
      <c r="CV128" s="561">
        <f t="shared" si="499"/>
        <v>0</v>
      </c>
      <c r="CW128" s="561">
        <f t="shared" si="499"/>
        <v>0</v>
      </c>
      <c r="CX128" s="561">
        <f t="shared" si="499"/>
        <v>0</v>
      </c>
      <c r="CY128" s="561">
        <f t="shared" si="499"/>
        <v>0</v>
      </c>
      <c r="CZ128" s="561">
        <f t="shared" si="499"/>
        <v>0</v>
      </c>
      <c r="DA128" s="561">
        <f t="shared" si="499"/>
        <v>0</v>
      </c>
      <c r="DB128" s="561">
        <f t="shared" si="499"/>
        <v>0</v>
      </c>
      <c r="DC128" s="561">
        <f t="shared" si="498"/>
        <v>0</v>
      </c>
      <c r="DD128" s="561">
        <f t="shared" si="498"/>
        <v>0</v>
      </c>
      <c r="DE128" s="561">
        <f t="shared" si="498"/>
        <v>0</v>
      </c>
      <c r="DF128" s="561">
        <f t="shared" si="498"/>
        <v>0</v>
      </c>
      <c r="DG128" s="561">
        <f t="shared" si="498"/>
        <v>0</v>
      </c>
      <c r="DH128" s="561">
        <f t="shared" si="498"/>
        <v>0</v>
      </c>
      <c r="DI128" s="561">
        <f t="shared" si="498"/>
        <v>0</v>
      </c>
      <c r="DJ128" s="561">
        <f t="shared" si="498"/>
        <v>0</v>
      </c>
      <c r="DK128" s="561">
        <f t="shared" si="498"/>
        <v>0</v>
      </c>
      <c r="DL128" s="561">
        <f t="shared" si="498"/>
        <v>0</v>
      </c>
      <c r="DM128" s="561">
        <f t="shared" si="498"/>
        <v>0</v>
      </c>
      <c r="DN128" s="561">
        <f t="shared" si="498"/>
        <v>0</v>
      </c>
      <c r="DO128" s="561">
        <f t="shared" si="498"/>
        <v>0</v>
      </c>
      <c r="DP128" s="561">
        <f t="shared" si="498"/>
        <v>0</v>
      </c>
    </row>
    <row r="129" spans="1:120" s="116" customFormat="1" outlineLevel="1">
      <c r="A129" s="100">
        <v>1110052010</v>
      </c>
      <c r="B129" s="1216" t="s">
        <v>2541</v>
      </c>
      <c r="C129" s="1695" t="s">
        <v>64</v>
      </c>
      <c r="D129" s="1629"/>
      <c r="E129" s="1630">
        <v>45020</v>
      </c>
      <c r="F129" s="102"/>
      <c r="G129" s="1258"/>
      <c r="H129" s="103"/>
      <c r="I129" s="104"/>
      <c r="J129" s="1604">
        <v>1</v>
      </c>
      <c r="K129" s="1605">
        <v>1</v>
      </c>
      <c r="L129" s="1696">
        <v>6118452.7800000003</v>
      </c>
      <c r="M129" s="1697">
        <f t="shared" si="488"/>
        <v>6118452.7800000003</v>
      </c>
      <c r="N129" s="1228">
        <f ca="1">IF(OR(E129="",E129&gt;TODAY()),0,IF(ISERROR(VLOOKUP($E129,'TRM BanRep'!$A:$G,7,0)),0,VLOOKUP($E129,'TRM BanRep'!$A:$G,7,0)))</f>
        <v>4603</v>
      </c>
      <c r="O129" s="107">
        <f t="shared" ref="O129" ca="1" si="513">+L129*N129</f>
        <v>28163238146.34</v>
      </c>
      <c r="P129" s="108"/>
      <c r="Q129" s="1342">
        <f t="shared" ref="Q129" si="514">+P129*K129</f>
        <v>0</v>
      </c>
      <c r="R129" s="109"/>
      <c r="S129" s="109">
        <f ca="1">IF(OR(E129="",E129&gt;TODAY()),0,IF(ISERROR(VLOOKUP($E129,'TRM BanRep'!$A:$G,7,0)),0,VLOOKUP($E129,'TRM BanRep'!$A:$G,7,0)))</f>
        <v>4603</v>
      </c>
      <c r="T129" s="110">
        <f t="shared" ref="T129" ca="1" si="515">+P129*S129</f>
        <v>0</v>
      </c>
      <c r="U129" s="111">
        <f t="shared" ref="U129" si="516">+L129+P129+F129</f>
        <v>6118452.7800000003</v>
      </c>
      <c r="V129" s="566">
        <f t="shared" ref="V129" ca="1" si="517">+Q129*R129+M129*N129+G129*H129</f>
        <v>28163238146.34</v>
      </c>
      <c r="W129" s="112">
        <f t="shared" ref="W129" ca="1" si="518">(IF(R129&gt;S129,(-P129*R129)-(-P129*S129),0))</f>
        <v>0</v>
      </c>
      <c r="X129" s="113">
        <f t="shared" ref="X129" ca="1" si="519">(IF(R129&lt;S129,(-P129*R129)-(-P129*S129),0))</f>
        <v>0</v>
      </c>
      <c r="Y129" s="114"/>
      <c r="Z129" s="115"/>
      <c r="AA129" s="85">
        <f t="shared" si="494"/>
        <v>0</v>
      </c>
      <c r="AB129" s="508">
        <f t="shared" si="494"/>
        <v>0</v>
      </c>
      <c r="AC129" s="508">
        <f t="shared" si="494"/>
        <v>0</v>
      </c>
      <c r="AD129" s="508">
        <f t="shared" si="494"/>
        <v>0</v>
      </c>
      <c r="AE129" s="508">
        <f t="shared" si="494"/>
        <v>0</v>
      </c>
      <c r="AF129" s="561">
        <f t="shared" si="494"/>
        <v>0</v>
      </c>
      <c r="AG129" s="561">
        <f t="shared" si="494"/>
        <v>0</v>
      </c>
      <c r="AH129" s="561">
        <f t="shared" si="494"/>
        <v>0</v>
      </c>
      <c r="AI129" s="561">
        <f t="shared" si="494"/>
        <v>0</v>
      </c>
      <c r="AJ129" s="561">
        <f t="shared" si="494"/>
        <v>0</v>
      </c>
      <c r="AK129" s="561">
        <f t="shared" si="494"/>
        <v>0</v>
      </c>
      <c r="AL129" s="1542">
        <f t="shared" si="494"/>
        <v>0</v>
      </c>
      <c r="AM129" s="561">
        <f t="shared" si="494"/>
        <v>0</v>
      </c>
      <c r="AN129" s="561">
        <f t="shared" si="494"/>
        <v>0</v>
      </c>
      <c r="AO129" s="561">
        <f t="shared" si="494"/>
        <v>0</v>
      </c>
      <c r="AP129" s="561">
        <f t="shared" si="494"/>
        <v>0</v>
      </c>
      <c r="AQ129" s="561">
        <f t="shared" si="495"/>
        <v>0</v>
      </c>
      <c r="AR129" s="561">
        <f t="shared" si="495"/>
        <v>0</v>
      </c>
      <c r="AS129" s="561">
        <f t="shared" si="495"/>
        <v>0</v>
      </c>
      <c r="AT129" s="561">
        <f t="shared" si="495"/>
        <v>0</v>
      </c>
      <c r="AU129" s="561">
        <f t="shared" si="495"/>
        <v>0</v>
      </c>
      <c r="AV129" s="561">
        <f t="shared" si="495"/>
        <v>0</v>
      </c>
      <c r="AW129" s="561">
        <f t="shared" si="495"/>
        <v>0</v>
      </c>
      <c r="AX129" s="561">
        <f t="shared" si="495"/>
        <v>0</v>
      </c>
      <c r="AY129" s="561">
        <f t="shared" si="495"/>
        <v>0</v>
      </c>
      <c r="AZ129" s="561">
        <f t="shared" si="495"/>
        <v>0</v>
      </c>
      <c r="BA129" s="561">
        <f t="shared" si="495"/>
        <v>6118452.7800000003</v>
      </c>
      <c r="BB129" s="561">
        <f t="shared" si="495"/>
        <v>0</v>
      </c>
      <c r="BC129" s="561">
        <f t="shared" si="495"/>
        <v>0</v>
      </c>
      <c r="BD129" s="561">
        <f t="shared" si="495"/>
        <v>0</v>
      </c>
      <c r="BE129" s="561">
        <f t="shared" si="495"/>
        <v>0</v>
      </c>
      <c r="BF129" s="561">
        <f t="shared" si="495"/>
        <v>0</v>
      </c>
      <c r="BG129" s="561">
        <f t="shared" si="496"/>
        <v>0</v>
      </c>
      <c r="BH129" s="561">
        <f t="shared" si="496"/>
        <v>0</v>
      </c>
      <c r="BI129" s="561">
        <f t="shared" si="496"/>
        <v>0</v>
      </c>
      <c r="BJ129" s="561">
        <f t="shared" si="496"/>
        <v>0</v>
      </c>
      <c r="BK129" s="561">
        <f t="shared" si="496"/>
        <v>0</v>
      </c>
      <c r="BL129" s="561">
        <f t="shared" si="496"/>
        <v>0</v>
      </c>
      <c r="BM129" s="561">
        <f t="shared" si="496"/>
        <v>0</v>
      </c>
      <c r="BN129" s="561">
        <f t="shared" si="496"/>
        <v>0</v>
      </c>
      <c r="BO129" s="561">
        <f t="shared" si="496"/>
        <v>0</v>
      </c>
      <c r="BP129" s="561">
        <f t="shared" si="496"/>
        <v>0</v>
      </c>
      <c r="BQ129" s="561">
        <f t="shared" si="496"/>
        <v>0</v>
      </c>
      <c r="BR129" s="561">
        <f t="shared" si="496"/>
        <v>0</v>
      </c>
      <c r="BS129" s="561">
        <f t="shared" si="496"/>
        <v>0</v>
      </c>
      <c r="BT129" s="561">
        <f t="shared" si="496"/>
        <v>0</v>
      </c>
      <c r="BU129" s="561">
        <f t="shared" si="496"/>
        <v>0</v>
      </c>
      <c r="BV129" s="561">
        <f t="shared" si="496"/>
        <v>0</v>
      </c>
      <c r="BW129" s="561">
        <f t="shared" si="497"/>
        <v>0</v>
      </c>
      <c r="BX129" s="561">
        <f t="shared" si="497"/>
        <v>0</v>
      </c>
      <c r="BY129" s="561">
        <f t="shared" si="497"/>
        <v>0</v>
      </c>
      <c r="BZ129" s="561">
        <f t="shared" si="497"/>
        <v>0</v>
      </c>
      <c r="CA129" s="561">
        <f t="shared" si="497"/>
        <v>0</v>
      </c>
      <c r="CB129" s="561">
        <f t="shared" si="497"/>
        <v>0</v>
      </c>
      <c r="CC129" s="561">
        <f t="shared" si="497"/>
        <v>0</v>
      </c>
      <c r="CD129" s="561">
        <f t="shared" si="497"/>
        <v>0</v>
      </c>
      <c r="CE129" s="561">
        <f t="shared" si="497"/>
        <v>0</v>
      </c>
      <c r="CF129" s="561">
        <f t="shared" si="497"/>
        <v>0</v>
      </c>
      <c r="CG129" s="561">
        <f t="shared" si="497"/>
        <v>0</v>
      </c>
      <c r="CH129" s="561">
        <f t="shared" si="497"/>
        <v>0</v>
      </c>
      <c r="CI129" s="561">
        <f t="shared" si="497"/>
        <v>0</v>
      </c>
      <c r="CJ129" s="561">
        <f t="shared" si="497"/>
        <v>0</v>
      </c>
      <c r="CK129" s="561">
        <f t="shared" si="497"/>
        <v>0</v>
      </c>
      <c r="CL129" s="561">
        <f t="shared" si="497"/>
        <v>0</v>
      </c>
      <c r="CM129" s="561">
        <f t="shared" si="499"/>
        <v>0</v>
      </c>
      <c r="CN129" s="561">
        <f t="shared" si="499"/>
        <v>0</v>
      </c>
      <c r="CO129" s="561">
        <f t="shared" si="499"/>
        <v>0</v>
      </c>
      <c r="CP129" s="561">
        <f t="shared" si="499"/>
        <v>0</v>
      </c>
      <c r="CQ129" s="561">
        <f t="shared" si="499"/>
        <v>0</v>
      </c>
      <c r="CR129" s="561">
        <f t="shared" si="499"/>
        <v>0</v>
      </c>
      <c r="CS129" s="561">
        <f t="shared" si="499"/>
        <v>0</v>
      </c>
      <c r="CT129" s="561">
        <f t="shared" si="499"/>
        <v>0</v>
      </c>
      <c r="CU129" s="561">
        <f t="shared" si="499"/>
        <v>0</v>
      </c>
      <c r="CV129" s="561">
        <f t="shared" si="499"/>
        <v>0</v>
      </c>
      <c r="CW129" s="561">
        <f t="shared" si="499"/>
        <v>0</v>
      </c>
      <c r="CX129" s="561">
        <f t="shared" si="499"/>
        <v>0</v>
      </c>
      <c r="CY129" s="561">
        <f t="shared" si="499"/>
        <v>0</v>
      </c>
      <c r="CZ129" s="561">
        <f t="shared" si="499"/>
        <v>0</v>
      </c>
      <c r="DA129" s="561">
        <f t="shared" si="499"/>
        <v>0</v>
      </c>
      <c r="DB129" s="561">
        <f t="shared" si="499"/>
        <v>0</v>
      </c>
      <c r="DC129" s="561">
        <f t="shared" si="498"/>
        <v>0</v>
      </c>
      <c r="DD129" s="561">
        <f t="shared" si="498"/>
        <v>0</v>
      </c>
      <c r="DE129" s="561">
        <f t="shared" si="498"/>
        <v>0</v>
      </c>
      <c r="DF129" s="561">
        <f t="shared" si="498"/>
        <v>0</v>
      </c>
      <c r="DG129" s="561">
        <f t="shared" si="498"/>
        <v>0</v>
      </c>
      <c r="DH129" s="561">
        <f t="shared" si="498"/>
        <v>0</v>
      </c>
      <c r="DI129" s="561">
        <f t="shared" si="498"/>
        <v>0</v>
      </c>
      <c r="DJ129" s="561">
        <f t="shared" si="498"/>
        <v>0</v>
      </c>
      <c r="DK129" s="561">
        <f t="shared" si="498"/>
        <v>0</v>
      </c>
      <c r="DL129" s="561">
        <f t="shared" si="498"/>
        <v>0</v>
      </c>
      <c r="DM129" s="561">
        <f t="shared" si="498"/>
        <v>0</v>
      </c>
      <c r="DN129" s="561">
        <f t="shared" si="498"/>
        <v>0</v>
      </c>
      <c r="DO129" s="561">
        <f t="shared" si="498"/>
        <v>0</v>
      </c>
      <c r="DP129" s="561">
        <f t="shared" si="498"/>
        <v>0</v>
      </c>
    </row>
    <row r="130" spans="1:120" outlineLevel="1">
      <c r="A130" s="89">
        <v>1110052010</v>
      </c>
      <c r="B130" s="90" t="s">
        <v>2542</v>
      </c>
      <c r="C130" s="1476" t="s">
        <v>64</v>
      </c>
      <c r="D130" s="1481"/>
      <c r="E130" s="1482">
        <v>45043</v>
      </c>
      <c r="F130" s="420"/>
      <c r="G130" s="1256"/>
      <c r="H130" s="421"/>
      <c r="I130" s="422"/>
      <c r="J130" s="1425">
        <v>1</v>
      </c>
      <c r="K130" s="1426">
        <v>1</v>
      </c>
      <c r="L130" s="1043"/>
      <c r="M130" s="1594">
        <f t="shared" si="486"/>
        <v>0</v>
      </c>
      <c r="N130" s="504">
        <f ca="1">IF(OR(E130="",E130&gt;TODAY()),0,IF(ISERROR(VLOOKUP($E130,'TRM BanRep'!$A:$G,7,0)),0,VLOOKUP($E130,'TRM BanRep'!$A:$G,7,0)))</f>
        <v>4552.59</v>
      </c>
      <c r="O130" s="424">
        <f t="shared" ca="1" si="480"/>
        <v>0</v>
      </c>
      <c r="P130" s="425">
        <v>-117830</v>
      </c>
      <c r="Q130" s="1340">
        <f t="shared" si="427"/>
        <v>-117830</v>
      </c>
      <c r="R130" s="426">
        <v>4603</v>
      </c>
      <c r="S130" s="426">
        <f ca="1">IF(OR(E130="",E130&gt;TODAY()),0,IF(ISERROR(VLOOKUP($E130,'TRM BanRep'!$A:$G,7,0)),0,VLOOKUP($E130,'TRM BanRep'!$A:$G,7,0)))</f>
        <v>4552.59</v>
      </c>
      <c r="T130" s="427">
        <f t="shared" ca="1" si="482"/>
        <v>-536431679.69999999</v>
      </c>
      <c r="U130" s="418">
        <f t="shared" si="483"/>
        <v>-117830</v>
      </c>
      <c r="V130" s="517">
        <f t="shared" ca="1" si="435"/>
        <v>-542371490</v>
      </c>
      <c r="W130" s="428">
        <f t="shared" ca="1" si="484"/>
        <v>5939810.3000000119</v>
      </c>
      <c r="X130" s="429">
        <f t="shared" ca="1" si="485"/>
        <v>0</v>
      </c>
      <c r="Y130" s="92"/>
      <c r="Z130" s="1055"/>
      <c r="AA130" s="85">
        <f t="shared" ca="1" si="494"/>
        <v>0</v>
      </c>
      <c r="AB130" s="508">
        <f t="shared" ca="1" si="494"/>
        <v>0</v>
      </c>
      <c r="AC130" s="508">
        <f t="shared" ca="1" si="494"/>
        <v>0</v>
      </c>
      <c r="AD130" s="508">
        <f t="shared" ca="1" si="494"/>
        <v>0</v>
      </c>
      <c r="AE130" s="508">
        <f t="shared" ca="1" si="494"/>
        <v>0</v>
      </c>
      <c r="AF130" s="561">
        <f t="shared" ca="1" si="494"/>
        <v>0</v>
      </c>
      <c r="AG130" s="561">
        <f t="shared" ca="1" si="494"/>
        <v>0</v>
      </c>
      <c r="AH130" s="561">
        <f t="shared" ca="1" si="494"/>
        <v>0</v>
      </c>
      <c r="AI130" s="561">
        <f t="shared" ca="1" si="494"/>
        <v>0</v>
      </c>
      <c r="AJ130" s="561">
        <f t="shared" ca="1" si="494"/>
        <v>0</v>
      </c>
      <c r="AK130" s="561">
        <f t="shared" ca="1" si="494"/>
        <v>0</v>
      </c>
      <c r="AL130" s="1542">
        <f t="shared" ca="1" si="494"/>
        <v>0</v>
      </c>
      <c r="AM130" s="561">
        <f t="shared" ca="1" si="494"/>
        <v>0</v>
      </c>
      <c r="AN130" s="561">
        <f t="shared" ca="1" si="494"/>
        <v>0</v>
      </c>
      <c r="AO130" s="561">
        <f t="shared" ca="1" si="494"/>
        <v>0</v>
      </c>
      <c r="AP130" s="561">
        <f t="shared" ca="1" si="494"/>
        <v>0</v>
      </c>
      <c r="AQ130" s="561">
        <f t="shared" ca="1" si="495"/>
        <v>0</v>
      </c>
      <c r="AR130" s="561">
        <f t="shared" ca="1" si="495"/>
        <v>0</v>
      </c>
      <c r="AS130" s="561">
        <f t="shared" ca="1" si="495"/>
        <v>0</v>
      </c>
      <c r="AT130" s="561">
        <f t="shared" ca="1" si="495"/>
        <v>0</v>
      </c>
      <c r="AU130" s="561">
        <f t="shared" ca="1" si="495"/>
        <v>0</v>
      </c>
      <c r="AV130" s="561">
        <f t="shared" ca="1" si="495"/>
        <v>0</v>
      </c>
      <c r="AW130" s="561">
        <f t="shared" ca="1" si="495"/>
        <v>0</v>
      </c>
      <c r="AX130" s="561">
        <f t="shared" ca="1" si="495"/>
        <v>0</v>
      </c>
      <c r="AY130" s="561">
        <f t="shared" ca="1" si="495"/>
        <v>0</v>
      </c>
      <c r="AZ130" s="561">
        <f t="shared" ca="1" si="495"/>
        <v>0</v>
      </c>
      <c r="BA130" s="561">
        <f t="shared" ca="1" si="495"/>
        <v>-117830</v>
      </c>
      <c r="BB130" s="561">
        <f t="shared" ca="1" si="495"/>
        <v>0</v>
      </c>
      <c r="BC130" s="561">
        <f t="shared" ca="1" si="495"/>
        <v>0</v>
      </c>
      <c r="BD130" s="561">
        <f t="shared" ca="1" si="495"/>
        <v>0</v>
      </c>
      <c r="BE130" s="561">
        <f t="shared" ca="1" si="495"/>
        <v>0</v>
      </c>
      <c r="BF130" s="561">
        <f t="shared" ca="1" si="495"/>
        <v>0</v>
      </c>
      <c r="BG130" s="561">
        <f t="shared" ca="1" si="496"/>
        <v>0</v>
      </c>
      <c r="BH130" s="561">
        <f t="shared" ca="1" si="496"/>
        <v>0</v>
      </c>
      <c r="BI130" s="561">
        <f t="shared" ca="1" si="496"/>
        <v>0</v>
      </c>
      <c r="BJ130" s="561">
        <f t="shared" ca="1" si="496"/>
        <v>0</v>
      </c>
      <c r="BK130" s="561">
        <f t="shared" ca="1" si="496"/>
        <v>0</v>
      </c>
      <c r="BL130" s="561">
        <f t="shared" ca="1" si="496"/>
        <v>0</v>
      </c>
      <c r="BM130" s="561">
        <f t="shared" ca="1" si="496"/>
        <v>0</v>
      </c>
      <c r="BN130" s="561">
        <f t="shared" ca="1" si="496"/>
        <v>0</v>
      </c>
      <c r="BO130" s="561">
        <f t="shared" ca="1" si="496"/>
        <v>0</v>
      </c>
      <c r="BP130" s="561">
        <f t="shared" ca="1" si="496"/>
        <v>0</v>
      </c>
      <c r="BQ130" s="561">
        <f t="shared" ca="1" si="496"/>
        <v>0</v>
      </c>
      <c r="BR130" s="561">
        <f t="shared" ca="1" si="496"/>
        <v>0</v>
      </c>
      <c r="BS130" s="561">
        <f t="shared" ca="1" si="496"/>
        <v>0</v>
      </c>
      <c r="BT130" s="561">
        <f t="shared" ca="1" si="496"/>
        <v>0</v>
      </c>
      <c r="BU130" s="561">
        <f t="shared" ca="1" si="496"/>
        <v>0</v>
      </c>
      <c r="BV130" s="561">
        <f t="shared" ca="1" si="496"/>
        <v>0</v>
      </c>
      <c r="BW130" s="561">
        <f t="shared" ca="1" si="497"/>
        <v>0</v>
      </c>
      <c r="BX130" s="561">
        <f t="shared" ca="1" si="497"/>
        <v>0</v>
      </c>
      <c r="BY130" s="561">
        <f t="shared" ca="1" si="497"/>
        <v>0</v>
      </c>
      <c r="BZ130" s="561">
        <f t="shared" ca="1" si="497"/>
        <v>0</v>
      </c>
      <c r="CA130" s="561">
        <f t="shared" ca="1" si="497"/>
        <v>0</v>
      </c>
      <c r="CB130" s="561">
        <f t="shared" ca="1" si="497"/>
        <v>0</v>
      </c>
      <c r="CC130" s="561">
        <f t="shared" ca="1" si="497"/>
        <v>0</v>
      </c>
      <c r="CD130" s="561">
        <f t="shared" ca="1" si="497"/>
        <v>0</v>
      </c>
      <c r="CE130" s="561">
        <f t="shared" ca="1" si="497"/>
        <v>0</v>
      </c>
      <c r="CF130" s="561">
        <f t="shared" ca="1" si="497"/>
        <v>0</v>
      </c>
      <c r="CG130" s="561">
        <f t="shared" ca="1" si="497"/>
        <v>0</v>
      </c>
      <c r="CH130" s="561">
        <f t="shared" ca="1" si="497"/>
        <v>0</v>
      </c>
      <c r="CI130" s="561">
        <f t="shared" ca="1" si="497"/>
        <v>0</v>
      </c>
      <c r="CJ130" s="561">
        <f t="shared" ca="1" si="497"/>
        <v>0</v>
      </c>
      <c r="CK130" s="561">
        <f t="shared" ca="1" si="497"/>
        <v>0</v>
      </c>
      <c r="CL130" s="561">
        <f t="shared" ca="1" si="497"/>
        <v>0</v>
      </c>
      <c r="CM130" s="561">
        <f t="shared" ca="1" si="499"/>
        <v>0</v>
      </c>
      <c r="CN130" s="561">
        <f t="shared" ca="1" si="499"/>
        <v>0</v>
      </c>
      <c r="CO130" s="561">
        <f t="shared" ca="1" si="499"/>
        <v>0</v>
      </c>
      <c r="CP130" s="561">
        <f t="shared" ca="1" si="499"/>
        <v>0</v>
      </c>
      <c r="CQ130" s="561">
        <f t="shared" ca="1" si="499"/>
        <v>0</v>
      </c>
      <c r="CR130" s="561">
        <f t="shared" ca="1" si="499"/>
        <v>0</v>
      </c>
      <c r="CS130" s="561">
        <f t="shared" ca="1" si="499"/>
        <v>0</v>
      </c>
      <c r="CT130" s="561">
        <f t="shared" ca="1" si="499"/>
        <v>0</v>
      </c>
      <c r="CU130" s="561">
        <f t="shared" ca="1" si="499"/>
        <v>0</v>
      </c>
      <c r="CV130" s="561">
        <f t="shared" ca="1" si="499"/>
        <v>0</v>
      </c>
      <c r="CW130" s="561">
        <f t="shared" ca="1" si="499"/>
        <v>0</v>
      </c>
      <c r="CX130" s="561">
        <f t="shared" ca="1" si="499"/>
        <v>0</v>
      </c>
      <c r="CY130" s="561">
        <f t="shared" ca="1" si="499"/>
        <v>0</v>
      </c>
      <c r="CZ130" s="561">
        <f t="shared" ca="1" si="499"/>
        <v>0</v>
      </c>
      <c r="DA130" s="561">
        <f t="shared" ca="1" si="499"/>
        <v>0</v>
      </c>
      <c r="DB130" s="561">
        <f t="shared" ca="1" si="499"/>
        <v>0</v>
      </c>
      <c r="DC130" s="561">
        <f t="shared" ca="1" si="498"/>
        <v>0</v>
      </c>
      <c r="DD130" s="561">
        <f t="shared" ca="1" si="498"/>
        <v>0</v>
      </c>
      <c r="DE130" s="561">
        <f t="shared" ca="1" si="498"/>
        <v>0</v>
      </c>
      <c r="DF130" s="561">
        <f t="shared" ca="1" si="498"/>
        <v>0</v>
      </c>
      <c r="DG130" s="561">
        <f t="shared" ca="1" si="498"/>
        <v>0</v>
      </c>
      <c r="DH130" s="561">
        <f t="shared" ca="1" si="498"/>
        <v>0</v>
      </c>
      <c r="DI130" s="561">
        <f t="shared" ca="1" si="498"/>
        <v>0</v>
      </c>
      <c r="DJ130" s="561">
        <f t="shared" ca="1" si="498"/>
        <v>0</v>
      </c>
      <c r="DK130" s="561">
        <f t="shared" ca="1" si="498"/>
        <v>0</v>
      </c>
      <c r="DL130" s="561">
        <f t="shared" ca="1" si="498"/>
        <v>0</v>
      </c>
      <c r="DM130" s="561">
        <f t="shared" ca="1" si="498"/>
        <v>0</v>
      </c>
      <c r="DN130" s="561">
        <f t="shared" ca="1" si="498"/>
        <v>0</v>
      </c>
      <c r="DO130" s="561">
        <f t="shared" ca="1" si="498"/>
        <v>0</v>
      </c>
      <c r="DP130" s="561">
        <f t="shared" ca="1" si="498"/>
        <v>0</v>
      </c>
    </row>
    <row r="131" spans="1:120" outlineLevel="1">
      <c r="A131" s="89">
        <v>1110052010</v>
      </c>
      <c r="B131" s="90" t="s">
        <v>2543</v>
      </c>
      <c r="C131" s="1476" t="s">
        <v>64</v>
      </c>
      <c r="D131" s="1481"/>
      <c r="E131" s="1482">
        <v>45044</v>
      </c>
      <c r="F131" s="420"/>
      <c r="G131" s="1256"/>
      <c r="H131" s="421"/>
      <c r="I131" s="422"/>
      <c r="J131" s="1425">
        <v>1</v>
      </c>
      <c r="K131" s="1426">
        <v>1</v>
      </c>
      <c r="L131" s="1043"/>
      <c r="M131" s="1594">
        <f t="shared" si="486"/>
        <v>0</v>
      </c>
      <c r="N131" s="504">
        <f ca="1">IF(OR(E131="",E131&gt;TODAY()),0,IF(ISERROR(VLOOKUP($E131,'TRM BanRep'!$A:$G,7,0)),0,VLOOKUP($E131,'TRM BanRep'!$A:$G,7,0)))</f>
        <v>4654.1400000000003</v>
      </c>
      <c r="O131" s="424">
        <f t="shared" ca="1" si="480"/>
        <v>0</v>
      </c>
      <c r="P131" s="425">
        <v>-3180241.79</v>
      </c>
      <c r="Q131" s="1340">
        <f t="shared" si="427"/>
        <v>-3180241.79</v>
      </c>
      <c r="R131" s="426">
        <v>4603</v>
      </c>
      <c r="S131" s="426">
        <f ca="1">IF(OR(E131="",E131&gt;TODAY()),0,IF(ISERROR(VLOOKUP($E131,'TRM BanRep'!$A:$G,7,0)),0,VLOOKUP($E131,'TRM BanRep'!$A:$G,7,0)))</f>
        <v>4654.1400000000003</v>
      </c>
      <c r="T131" s="427">
        <f t="shared" ca="1" si="482"/>
        <v>-14801290524.510601</v>
      </c>
      <c r="U131" s="418">
        <f t="shared" si="483"/>
        <v>-3180241.79</v>
      </c>
      <c r="V131" s="517">
        <f t="shared" ca="1" si="435"/>
        <v>-14638652959.370001</v>
      </c>
      <c r="W131" s="428">
        <f t="shared" ca="1" si="484"/>
        <v>0</v>
      </c>
      <c r="X131" s="429">
        <f t="shared" ca="1" si="485"/>
        <v>-162637565.1406002</v>
      </c>
      <c r="Y131" s="92"/>
      <c r="Z131" s="1055"/>
      <c r="AA131" s="85">
        <f t="shared" ca="1" si="494"/>
        <v>0</v>
      </c>
      <c r="AB131" s="508">
        <f t="shared" ca="1" si="494"/>
        <v>0</v>
      </c>
      <c r="AC131" s="508">
        <f t="shared" ca="1" si="494"/>
        <v>0</v>
      </c>
      <c r="AD131" s="508">
        <f t="shared" ca="1" si="494"/>
        <v>0</v>
      </c>
      <c r="AE131" s="508">
        <f t="shared" ca="1" si="494"/>
        <v>0</v>
      </c>
      <c r="AF131" s="561">
        <f t="shared" ca="1" si="494"/>
        <v>0</v>
      </c>
      <c r="AG131" s="561">
        <f t="shared" ca="1" si="494"/>
        <v>0</v>
      </c>
      <c r="AH131" s="561">
        <f t="shared" ca="1" si="494"/>
        <v>0</v>
      </c>
      <c r="AI131" s="561">
        <f t="shared" ca="1" si="494"/>
        <v>0</v>
      </c>
      <c r="AJ131" s="561">
        <f t="shared" ca="1" si="494"/>
        <v>0</v>
      </c>
      <c r="AK131" s="561">
        <f t="shared" ca="1" si="494"/>
        <v>0</v>
      </c>
      <c r="AL131" s="1542">
        <f t="shared" ca="1" si="494"/>
        <v>0</v>
      </c>
      <c r="AM131" s="561">
        <f t="shared" ca="1" si="494"/>
        <v>0</v>
      </c>
      <c r="AN131" s="561">
        <f t="shared" ca="1" si="494"/>
        <v>0</v>
      </c>
      <c r="AO131" s="561">
        <f t="shared" ca="1" si="494"/>
        <v>0</v>
      </c>
      <c r="AP131" s="561">
        <f t="shared" ca="1" si="494"/>
        <v>0</v>
      </c>
      <c r="AQ131" s="561">
        <f t="shared" ca="1" si="495"/>
        <v>0</v>
      </c>
      <c r="AR131" s="561">
        <f t="shared" ca="1" si="495"/>
        <v>0</v>
      </c>
      <c r="AS131" s="561">
        <f t="shared" ca="1" si="495"/>
        <v>0</v>
      </c>
      <c r="AT131" s="561">
        <f t="shared" ca="1" si="495"/>
        <v>0</v>
      </c>
      <c r="AU131" s="561">
        <f t="shared" ca="1" si="495"/>
        <v>0</v>
      </c>
      <c r="AV131" s="561">
        <f t="shared" ca="1" si="495"/>
        <v>0</v>
      </c>
      <c r="AW131" s="561">
        <f t="shared" ca="1" si="495"/>
        <v>0</v>
      </c>
      <c r="AX131" s="561">
        <f t="shared" ca="1" si="495"/>
        <v>0</v>
      </c>
      <c r="AY131" s="561">
        <f t="shared" ca="1" si="495"/>
        <v>0</v>
      </c>
      <c r="AZ131" s="561">
        <f t="shared" ca="1" si="495"/>
        <v>0</v>
      </c>
      <c r="BA131" s="561">
        <f t="shared" ca="1" si="495"/>
        <v>-3180241.79</v>
      </c>
      <c r="BB131" s="561">
        <f t="shared" ca="1" si="495"/>
        <v>0</v>
      </c>
      <c r="BC131" s="561">
        <f t="shared" ca="1" si="495"/>
        <v>0</v>
      </c>
      <c r="BD131" s="561">
        <f t="shared" ca="1" si="495"/>
        <v>0</v>
      </c>
      <c r="BE131" s="561">
        <f t="shared" ca="1" si="495"/>
        <v>0</v>
      </c>
      <c r="BF131" s="561">
        <f t="shared" ca="1" si="495"/>
        <v>0</v>
      </c>
      <c r="BG131" s="561">
        <f t="shared" ca="1" si="496"/>
        <v>0</v>
      </c>
      <c r="BH131" s="561">
        <f t="shared" ca="1" si="496"/>
        <v>0</v>
      </c>
      <c r="BI131" s="561">
        <f t="shared" ca="1" si="496"/>
        <v>0</v>
      </c>
      <c r="BJ131" s="561">
        <f t="shared" ca="1" si="496"/>
        <v>0</v>
      </c>
      <c r="BK131" s="561">
        <f t="shared" ca="1" si="496"/>
        <v>0</v>
      </c>
      <c r="BL131" s="561">
        <f t="shared" ca="1" si="496"/>
        <v>0</v>
      </c>
      <c r="BM131" s="561">
        <f t="shared" ca="1" si="496"/>
        <v>0</v>
      </c>
      <c r="BN131" s="561">
        <f t="shared" ca="1" si="496"/>
        <v>0</v>
      </c>
      <c r="BO131" s="561">
        <f t="shared" ca="1" si="496"/>
        <v>0</v>
      </c>
      <c r="BP131" s="561">
        <f t="shared" ca="1" si="496"/>
        <v>0</v>
      </c>
      <c r="BQ131" s="561">
        <f t="shared" ca="1" si="496"/>
        <v>0</v>
      </c>
      <c r="BR131" s="561">
        <f t="shared" ca="1" si="496"/>
        <v>0</v>
      </c>
      <c r="BS131" s="561">
        <f t="shared" ca="1" si="496"/>
        <v>0</v>
      </c>
      <c r="BT131" s="561">
        <f t="shared" ca="1" si="496"/>
        <v>0</v>
      </c>
      <c r="BU131" s="561">
        <f t="shared" ca="1" si="496"/>
        <v>0</v>
      </c>
      <c r="BV131" s="561">
        <f t="shared" ca="1" si="496"/>
        <v>0</v>
      </c>
      <c r="BW131" s="561">
        <f t="shared" ca="1" si="497"/>
        <v>0</v>
      </c>
      <c r="BX131" s="561">
        <f t="shared" ca="1" si="497"/>
        <v>0</v>
      </c>
      <c r="BY131" s="561">
        <f t="shared" ca="1" si="497"/>
        <v>0</v>
      </c>
      <c r="BZ131" s="561">
        <f t="shared" ca="1" si="497"/>
        <v>0</v>
      </c>
      <c r="CA131" s="561">
        <f t="shared" ca="1" si="497"/>
        <v>0</v>
      </c>
      <c r="CB131" s="561">
        <f t="shared" ca="1" si="497"/>
        <v>0</v>
      </c>
      <c r="CC131" s="561">
        <f t="shared" ca="1" si="497"/>
        <v>0</v>
      </c>
      <c r="CD131" s="561">
        <f t="shared" ca="1" si="497"/>
        <v>0</v>
      </c>
      <c r="CE131" s="561">
        <f t="shared" ca="1" si="497"/>
        <v>0</v>
      </c>
      <c r="CF131" s="561">
        <f t="shared" ca="1" si="497"/>
        <v>0</v>
      </c>
      <c r="CG131" s="561">
        <f t="shared" ca="1" si="497"/>
        <v>0</v>
      </c>
      <c r="CH131" s="561">
        <f t="shared" ca="1" si="497"/>
        <v>0</v>
      </c>
      <c r="CI131" s="561">
        <f t="shared" ca="1" si="497"/>
        <v>0</v>
      </c>
      <c r="CJ131" s="561">
        <f t="shared" ca="1" si="497"/>
        <v>0</v>
      </c>
      <c r="CK131" s="561">
        <f t="shared" ca="1" si="497"/>
        <v>0</v>
      </c>
      <c r="CL131" s="561">
        <f t="shared" ca="1" si="497"/>
        <v>0</v>
      </c>
      <c r="CM131" s="561">
        <f t="shared" ca="1" si="499"/>
        <v>0</v>
      </c>
      <c r="CN131" s="561">
        <f t="shared" ca="1" si="499"/>
        <v>0</v>
      </c>
      <c r="CO131" s="561">
        <f t="shared" ca="1" si="499"/>
        <v>0</v>
      </c>
      <c r="CP131" s="561">
        <f t="shared" ca="1" si="499"/>
        <v>0</v>
      </c>
      <c r="CQ131" s="561">
        <f t="shared" ca="1" si="499"/>
        <v>0</v>
      </c>
      <c r="CR131" s="561">
        <f t="shared" ca="1" si="499"/>
        <v>0</v>
      </c>
      <c r="CS131" s="561">
        <f t="shared" ca="1" si="499"/>
        <v>0</v>
      </c>
      <c r="CT131" s="561">
        <f t="shared" ca="1" si="499"/>
        <v>0</v>
      </c>
      <c r="CU131" s="561">
        <f t="shared" ca="1" si="499"/>
        <v>0</v>
      </c>
      <c r="CV131" s="561">
        <f t="shared" ca="1" si="499"/>
        <v>0</v>
      </c>
      <c r="CW131" s="561">
        <f t="shared" ca="1" si="499"/>
        <v>0</v>
      </c>
      <c r="CX131" s="561">
        <f t="shared" ca="1" si="499"/>
        <v>0</v>
      </c>
      <c r="CY131" s="561">
        <f t="shared" ca="1" si="499"/>
        <v>0</v>
      </c>
      <c r="CZ131" s="561">
        <f t="shared" ca="1" si="499"/>
        <v>0</v>
      </c>
      <c r="DA131" s="561">
        <f t="shared" ca="1" si="499"/>
        <v>0</v>
      </c>
      <c r="DB131" s="561">
        <f t="shared" ca="1" si="499"/>
        <v>0</v>
      </c>
      <c r="DC131" s="561">
        <f t="shared" ca="1" si="498"/>
        <v>0</v>
      </c>
      <c r="DD131" s="561">
        <f t="shared" ca="1" si="498"/>
        <v>0</v>
      </c>
      <c r="DE131" s="561">
        <f t="shared" ca="1" si="498"/>
        <v>0</v>
      </c>
      <c r="DF131" s="561">
        <f t="shared" ca="1" si="498"/>
        <v>0</v>
      </c>
      <c r="DG131" s="561">
        <f t="shared" ca="1" si="498"/>
        <v>0</v>
      </c>
      <c r="DH131" s="561">
        <f t="shared" ca="1" si="498"/>
        <v>0</v>
      </c>
      <c r="DI131" s="561">
        <f t="shared" ca="1" si="498"/>
        <v>0</v>
      </c>
      <c r="DJ131" s="561">
        <f t="shared" ca="1" si="498"/>
        <v>0</v>
      </c>
      <c r="DK131" s="561">
        <f t="shared" ca="1" si="498"/>
        <v>0</v>
      </c>
      <c r="DL131" s="561">
        <f t="shared" ca="1" si="498"/>
        <v>0</v>
      </c>
      <c r="DM131" s="561">
        <f t="shared" ca="1" si="498"/>
        <v>0</v>
      </c>
      <c r="DN131" s="561">
        <f t="shared" ca="1" si="498"/>
        <v>0</v>
      </c>
      <c r="DO131" s="561">
        <f t="shared" ca="1" si="498"/>
        <v>0</v>
      </c>
      <c r="DP131" s="561">
        <f t="shared" ca="1" si="498"/>
        <v>0</v>
      </c>
    </row>
    <row r="132" spans="1:120" outlineLevel="1">
      <c r="A132" s="89">
        <v>1110052010</v>
      </c>
      <c r="B132" s="90" t="s">
        <v>2543</v>
      </c>
      <c r="C132" s="1476" t="s">
        <v>64</v>
      </c>
      <c r="D132" s="1481"/>
      <c r="E132" s="1482">
        <v>45044</v>
      </c>
      <c r="F132" s="420"/>
      <c r="G132" s="1256"/>
      <c r="H132" s="421"/>
      <c r="I132" s="422"/>
      <c r="J132" s="1425">
        <v>1</v>
      </c>
      <c r="K132" s="1426">
        <v>1</v>
      </c>
      <c r="L132" s="1043"/>
      <c r="M132" s="1594">
        <f t="shared" ref="M132" si="520">+L132*J132</f>
        <v>0</v>
      </c>
      <c r="N132" s="504">
        <f ca="1">IF(OR(E132="",E132&gt;TODAY()),0,IF(ISERROR(VLOOKUP($E132,'TRM BanRep'!$A:$G,7,0)),0,VLOOKUP($E132,'TRM BanRep'!$A:$G,7,0)))</f>
        <v>4654.1400000000003</v>
      </c>
      <c r="O132" s="424">
        <f t="shared" ref="O132" ca="1" si="521">+L132*N132</f>
        <v>0</v>
      </c>
      <c r="P132" s="425">
        <v>-521300</v>
      </c>
      <c r="Q132" s="1340">
        <f t="shared" ref="Q132" si="522">+P132*K132</f>
        <v>-521300</v>
      </c>
      <c r="R132" s="426">
        <v>4658.79</v>
      </c>
      <c r="S132" s="426">
        <f ca="1">IF(OR(E132="",E132&gt;TODAY()),0,IF(ISERROR(VLOOKUP($E132,'TRM BanRep'!$A:$G,7,0)),0,VLOOKUP($E132,'TRM BanRep'!$A:$G,7,0)))</f>
        <v>4654.1400000000003</v>
      </c>
      <c r="T132" s="427">
        <f t="shared" ref="T132" ca="1" si="523">+P132*S132</f>
        <v>-2426203182</v>
      </c>
      <c r="U132" s="418">
        <f t="shared" ref="U132" si="524">+L132+P132+F132</f>
        <v>-521300</v>
      </c>
      <c r="V132" s="517">
        <f t="shared" ref="V132" ca="1" si="525">+Q132*R132+M132*N132+G132*H132</f>
        <v>-2428627227</v>
      </c>
      <c r="W132" s="428">
        <f t="shared" ref="W132" ca="1" si="526">(IF(R132&gt;S132,(-P132*R132)-(-P132*S132),0))</f>
        <v>2424045</v>
      </c>
      <c r="X132" s="429">
        <f t="shared" ref="X132" ca="1" si="527">(IF(R132&lt;S132,(-P132*R132)-(-P132*S132),0))</f>
        <v>0</v>
      </c>
      <c r="Y132" s="92"/>
      <c r="Z132" s="1055"/>
      <c r="AA132" s="85">
        <f t="shared" ca="1" si="494"/>
        <v>0</v>
      </c>
      <c r="AB132" s="508">
        <f t="shared" ca="1" si="494"/>
        <v>0</v>
      </c>
      <c r="AC132" s="508">
        <f t="shared" ca="1" si="494"/>
        <v>0</v>
      </c>
      <c r="AD132" s="508">
        <f t="shared" ca="1" si="494"/>
        <v>0</v>
      </c>
      <c r="AE132" s="508">
        <f t="shared" ca="1" si="494"/>
        <v>0</v>
      </c>
      <c r="AF132" s="561">
        <f t="shared" ca="1" si="494"/>
        <v>0</v>
      </c>
      <c r="AG132" s="561">
        <f t="shared" ca="1" si="494"/>
        <v>0</v>
      </c>
      <c r="AH132" s="561">
        <f t="shared" ca="1" si="494"/>
        <v>0</v>
      </c>
      <c r="AI132" s="561">
        <f t="shared" ca="1" si="494"/>
        <v>0</v>
      </c>
      <c r="AJ132" s="561">
        <f t="shared" ca="1" si="494"/>
        <v>0</v>
      </c>
      <c r="AK132" s="561">
        <f t="shared" ca="1" si="494"/>
        <v>0</v>
      </c>
      <c r="AL132" s="1542">
        <f t="shared" ca="1" si="494"/>
        <v>0</v>
      </c>
      <c r="AM132" s="561">
        <f t="shared" ca="1" si="494"/>
        <v>0</v>
      </c>
      <c r="AN132" s="561">
        <f t="shared" ca="1" si="494"/>
        <v>0</v>
      </c>
      <c r="AO132" s="561">
        <f t="shared" ca="1" si="494"/>
        <v>0</v>
      </c>
      <c r="AP132" s="561">
        <f t="shared" ca="1" si="494"/>
        <v>0</v>
      </c>
      <c r="AQ132" s="561">
        <f t="shared" ca="1" si="495"/>
        <v>0</v>
      </c>
      <c r="AR132" s="561">
        <f t="shared" ca="1" si="495"/>
        <v>0</v>
      </c>
      <c r="AS132" s="561">
        <f t="shared" ca="1" si="495"/>
        <v>0</v>
      </c>
      <c r="AT132" s="561">
        <f t="shared" ca="1" si="495"/>
        <v>0</v>
      </c>
      <c r="AU132" s="561">
        <f t="shared" ca="1" si="495"/>
        <v>0</v>
      </c>
      <c r="AV132" s="561">
        <f t="shared" ca="1" si="495"/>
        <v>0</v>
      </c>
      <c r="AW132" s="561">
        <f t="shared" ca="1" si="495"/>
        <v>-521300</v>
      </c>
      <c r="AX132" s="561">
        <f t="shared" ca="1" si="495"/>
        <v>0</v>
      </c>
      <c r="AY132" s="561">
        <f t="shared" ca="1" si="495"/>
        <v>0</v>
      </c>
      <c r="AZ132" s="561">
        <f t="shared" ca="1" si="495"/>
        <v>0</v>
      </c>
      <c r="BA132" s="561">
        <f t="shared" ca="1" si="495"/>
        <v>0</v>
      </c>
      <c r="BB132" s="561">
        <f t="shared" ca="1" si="495"/>
        <v>0</v>
      </c>
      <c r="BC132" s="561">
        <f t="shared" ca="1" si="495"/>
        <v>0</v>
      </c>
      <c r="BD132" s="561">
        <f t="shared" ca="1" si="495"/>
        <v>0</v>
      </c>
      <c r="BE132" s="561">
        <f t="shared" ca="1" si="495"/>
        <v>0</v>
      </c>
      <c r="BF132" s="561">
        <f t="shared" ca="1" si="495"/>
        <v>0</v>
      </c>
      <c r="BG132" s="561">
        <f t="shared" ca="1" si="496"/>
        <v>0</v>
      </c>
      <c r="BH132" s="561">
        <f t="shared" ca="1" si="496"/>
        <v>0</v>
      </c>
      <c r="BI132" s="561">
        <f t="shared" ca="1" si="496"/>
        <v>0</v>
      </c>
      <c r="BJ132" s="561">
        <f t="shared" ca="1" si="496"/>
        <v>0</v>
      </c>
      <c r="BK132" s="561">
        <f t="shared" ca="1" si="496"/>
        <v>0</v>
      </c>
      <c r="BL132" s="561">
        <f t="shared" ca="1" si="496"/>
        <v>0</v>
      </c>
      <c r="BM132" s="561">
        <f t="shared" ca="1" si="496"/>
        <v>0</v>
      </c>
      <c r="BN132" s="561">
        <f t="shared" ca="1" si="496"/>
        <v>0</v>
      </c>
      <c r="BO132" s="561">
        <f t="shared" ca="1" si="496"/>
        <v>0</v>
      </c>
      <c r="BP132" s="561">
        <f t="shared" ca="1" si="496"/>
        <v>0</v>
      </c>
      <c r="BQ132" s="561">
        <f t="shared" ca="1" si="496"/>
        <v>0</v>
      </c>
      <c r="BR132" s="561">
        <f t="shared" ca="1" si="496"/>
        <v>0</v>
      </c>
      <c r="BS132" s="561">
        <f t="shared" ca="1" si="496"/>
        <v>0</v>
      </c>
      <c r="BT132" s="561">
        <f t="shared" ca="1" si="496"/>
        <v>0</v>
      </c>
      <c r="BU132" s="561">
        <f t="shared" ca="1" si="496"/>
        <v>0</v>
      </c>
      <c r="BV132" s="561">
        <f t="shared" ca="1" si="496"/>
        <v>0</v>
      </c>
      <c r="BW132" s="561">
        <f t="shared" ca="1" si="497"/>
        <v>0</v>
      </c>
      <c r="BX132" s="561">
        <f t="shared" ca="1" si="497"/>
        <v>0</v>
      </c>
      <c r="BY132" s="561">
        <f t="shared" ca="1" si="497"/>
        <v>0</v>
      </c>
      <c r="BZ132" s="561">
        <f t="shared" ca="1" si="497"/>
        <v>0</v>
      </c>
      <c r="CA132" s="561">
        <f t="shared" ca="1" si="497"/>
        <v>0</v>
      </c>
      <c r="CB132" s="561">
        <f t="shared" ca="1" si="497"/>
        <v>0</v>
      </c>
      <c r="CC132" s="561">
        <f t="shared" ca="1" si="497"/>
        <v>0</v>
      </c>
      <c r="CD132" s="561">
        <f t="shared" ca="1" si="497"/>
        <v>0</v>
      </c>
      <c r="CE132" s="561">
        <f t="shared" ca="1" si="497"/>
        <v>0</v>
      </c>
      <c r="CF132" s="561">
        <f t="shared" ca="1" si="497"/>
        <v>0</v>
      </c>
      <c r="CG132" s="561">
        <f t="shared" ca="1" si="497"/>
        <v>0</v>
      </c>
      <c r="CH132" s="561">
        <f t="shared" ca="1" si="497"/>
        <v>0</v>
      </c>
      <c r="CI132" s="561">
        <f t="shared" ca="1" si="497"/>
        <v>0</v>
      </c>
      <c r="CJ132" s="561">
        <f t="shared" ca="1" si="497"/>
        <v>0</v>
      </c>
      <c r="CK132" s="561">
        <f t="shared" ca="1" si="497"/>
        <v>0</v>
      </c>
      <c r="CL132" s="561">
        <f t="shared" ca="1" si="497"/>
        <v>0</v>
      </c>
      <c r="CM132" s="561">
        <f t="shared" ca="1" si="499"/>
        <v>0</v>
      </c>
      <c r="CN132" s="561">
        <f t="shared" ca="1" si="499"/>
        <v>0</v>
      </c>
      <c r="CO132" s="561">
        <f t="shared" ca="1" si="499"/>
        <v>0</v>
      </c>
      <c r="CP132" s="561">
        <f t="shared" ca="1" si="499"/>
        <v>0</v>
      </c>
      <c r="CQ132" s="561">
        <f t="shared" ca="1" si="499"/>
        <v>0</v>
      </c>
      <c r="CR132" s="561">
        <f t="shared" ca="1" si="499"/>
        <v>0</v>
      </c>
      <c r="CS132" s="561">
        <f t="shared" ca="1" si="499"/>
        <v>0</v>
      </c>
      <c r="CT132" s="561">
        <f t="shared" ca="1" si="499"/>
        <v>0</v>
      </c>
      <c r="CU132" s="561">
        <f t="shared" ca="1" si="499"/>
        <v>0</v>
      </c>
      <c r="CV132" s="561">
        <f t="shared" ca="1" si="499"/>
        <v>0</v>
      </c>
      <c r="CW132" s="561">
        <f t="shared" ca="1" si="499"/>
        <v>0</v>
      </c>
      <c r="CX132" s="561">
        <f t="shared" ca="1" si="499"/>
        <v>0</v>
      </c>
      <c r="CY132" s="561">
        <f t="shared" ca="1" si="499"/>
        <v>0</v>
      </c>
      <c r="CZ132" s="561">
        <f t="shared" ca="1" si="499"/>
        <v>0</v>
      </c>
      <c r="DA132" s="561">
        <f t="shared" ca="1" si="499"/>
        <v>0</v>
      </c>
      <c r="DB132" s="561">
        <f t="shared" ca="1" si="499"/>
        <v>0</v>
      </c>
      <c r="DC132" s="561">
        <f t="shared" ca="1" si="498"/>
        <v>0</v>
      </c>
      <c r="DD132" s="561">
        <f t="shared" ca="1" si="498"/>
        <v>0</v>
      </c>
      <c r="DE132" s="561">
        <f t="shared" ca="1" si="498"/>
        <v>0</v>
      </c>
      <c r="DF132" s="561">
        <f t="shared" ca="1" si="498"/>
        <v>0</v>
      </c>
      <c r="DG132" s="561">
        <f t="shared" ca="1" si="498"/>
        <v>0</v>
      </c>
      <c r="DH132" s="561">
        <f t="shared" ca="1" si="498"/>
        <v>0</v>
      </c>
      <c r="DI132" s="561">
        <f t="shared" ca="1" si="498"/>
        <v>0</v>
      </c>
      <c r="DJ132" s="561">
        <f t="shared" ca="1" si="498"/>
        <v>0</v>
      </c>
      <c r="DK132" s="561">
        <f t="shared" ca="1" si="498"/>
        <v>0</v>
      </c>
      <c r="DL132" s="561">
        <f t="shared" ca="1" si="498"/>
        <v>0</v>
      </c>
      <c r="DM132" s="561">
        <f t="shared" ca="1" si="498"/>
        <v>0</v>
      </c>
      <c r="DN132" s="561">
        <f t="shared" ca="1" si="498"/>
        <v>0</v>
      </c>
      <c r="DO132" s="561">
        <f t="shared" ca="1" si="498"/>
        <v>0</v>
      </c>
      <c r="DP132" s="561">
        <f t="shared" ca="1" si="498"/>
        <v>0</v>
      </c>
    </row>
    <row r="133" spans="1:120" outlineLevel="1">
      <c r="A133" s="89">
        <v>1110052010</v>
      </c>
      <c r="B133" s="90" t="s">
        <v>2543</v>
      </c>
      <c r="C133" s="1476" t="s">
        <v>64</v>
      </c>
      <c r="D133" s="1481"/>
      <c r="E133" s="1482">
        <v>45044</v>
      </c>
      <c r="F133" s="420"/>
      <c r="G133" s="1256"/>
      <c r="H133" s="421"/>
      <c r="I133" s="422"/>
      <c r="J133" s="1425">
        <v>1</v>
      </c>
      <c r="K133" s="1426">
        <v>1</v>
      </c>
      <c r="L133" s="1043"/>
      <c r="M133" s="1594">
        <f t="shared" ref="M133" si="528">+L133*J133</f>
        <v>0</v>
      </c>
      <c r="N133" s="504">
        <f ca="1">IF(OR(E133="",E133&gt;TODAY()),0,IF(ISERROR(VLOOKUP($E133,'TRM BanRep'!$A:$G,7,0)),0,VLOOKUP($E133,'TRM BanRep'!$A:$G,7,0)))</f>
        <v>4654.1400000000003</v>
      </c>
      <c r="O133" s="424">
        <f t="shared" ref="O133" ca="1" si="529">+L133*N133</f>
        <v>0</v>
      </c>
      <c r="P133" s="425">
        <v>-44247.22</v>
      </c>
      <c r="Q133" s="1340">
        <f t="shared" ref="Q133" si="530">+P133*K133</f>
        <v>-44247.22</v>
      </c>
      <c r="R133" s="426">
        <v>4646.08</v>
      </c>
      <c r="S133" s="426">
        <f ca="1">IF(OR(E133="",E133&gt;TODAY()),0,IF(ISERROR(VLOOKUP($E133,'TRM BanRep'!$A:$G,7,0)),0,VLOOKUP($E133,'TRM BanRep'!$A:$G,7,0)))</f>
        <v>4654.1400000000003</v>
      </c>
      <c r="T133" s="427">
        <f t="shared" ref="T133" ca="1" si="531">+P133*S133</f>
        <v>-205932756.49080002</v>
      </c>
      <c r="U133" s="418">
        <f t="shared" ref="U133" si="532">+L133+P133+F133</f>
        <v>-44247.22</v>
      </c>
      <c r="V133" s="517">
        <f t="shared" ref="V133" ca="1" si="533">+Q133*R133+M133*N133+G133*H133</f>
        <v>-205576123.8976</v>
      </c>
      <c r="W133" s="428">
        <f t="shared" ref="W133" ca="1" si="534">(IF(R133&gt;S133,(-P133*R133)-(-P133*S133),0))</f>
        <v>0</v>
      </c>
      <c r="X133" s="429">
        <f t="shared" ref="X133" ca="1" si="535">(IF(R133&lt;S133,(-P133*R133)-(-P133*S133),0))</f>
        <v>-356632.59320002794</v>
      </c>
      <c r="Y133" s="92"/>
      <c r="Z133" s="1055"/>
      <c r="AA133" s="85">
        <f t="shared" ca="1" si="494"/>
        <v>0</v>
      </c>
      <c r="AB133" s="508">
        <f t="shared" ca="1" si="494"/>
        <v>0</v>
      </c>
      <c r="AC133" s="508">
        <f t="shared" ca="1" si="494"/>
        <v>0</v>
      </c>
      <c r="AD133" s="508">
        <f t="shared" ca="1" si="494"/>
        <v>0</v>
      </c>
      <c r="AE133" s="508">
        <f t="shared" ca="1" si="494"/>
        <v>0</v>
      </c>
      <c r="AF133" s="561">
        <f t="shared" ca="1" si="494"/>
        <v>0</v>
      </c>
      <c r="AG133" s="561">
        <f t="shared" ca="1" si="494"/>
        <v>0</v>
      </c>
      <c r="AH133" s="561">
        <f t="shared" ca="1" si="494"/>
        <v>0</v>
      </c>
      <c r="AI133" s="561">
        <f t="shared" ca="1" si="494"/>
        <v>0</v>
      </c>
      <c r="AJ133" s="561">
        <f t="shared" ca="1" si="494"/>
        <v>0</v>
      </c>
      <c r="AK133" s="561">
        <f t="shared" ca="1" si="494"/>
        <v>0</v>
      </c>
      <c r="AL133" s="1542">
        <f t="shared" ca="1" si="494"/>
        <v>0</v>
      </c>
      <c r="AM133" s="561">
        <f t="shared" ca="1" si="494"/>
        <v>0</v>
      </c>
      <c r="AN133" s="561">
        <f t="shared" ca="1" si="494"/>
        <v>0</v>
      </c>
      <c r="AO133" s="561">
        <f t="shared" ca="1" si="494"/>
        <v>0</v>
      </c>
      <c r="AP133" s="561">
        <f t="shared" ca="1" si="494"/>
        <v>0</v>
      </c>
      <c r="AQ133" s="561">
        <f t="shared" ca="1" si="495"/>
        <v>0</v>
      </c>
      <c r="AR133" s="561">
        <f t="shared" ca="1" si="495"/>
        <v>0</v>
      </c>
      <c r="AS133" s="561">
        <f t="shared" ca="1" si="495"/>
        <v>0</v>
      </c>
      <c r="AT133" s="561">
        <f t="shared" ca="1" si="495"/>
        <v>0</v>
      </c>
      <c r="AU133" s="561">
        <f t="shared" ca="1" si="495"/>
        <v>0</v>
      </c>
      <c r="AV133" s="561">
        <f t="shared" ca="1" si="495"/>
        <v>0</v>
      </c>
      <c r="AW133" s="561">
        <f t="shared" ca="1" si="495"/>
        <v>0</v>
      </c>
      <c r="AX133" s="561">
        <f t="shared" ca="1" si="495"/>
        <v>0</v>
      </c>
      <c r="AY133" s="561">
        <v>0</v>
      </c>
      <c r="AZ133" s="561">
        <f t="shared" ca="1" si="495"/>
        <v>-44247.22</v>
      </c>
      <c r="BA133" s="561">
        <f t="shared" ca="1" si="495"/>
        <v>0</v>
      </c>
      <c r="BB133" s="561">
        <f t="shared" ca="1" si="495"/>
        <v>0</v>
      </c>
      <c r="BC133" s="561">
        <f t="shared" ca="1" si="495"/>
        <v>0</v>
      </c>
      <c r="BD133" s="561">
        <f t="shared" ca="1" si="495"/>
        <v>0</v>
      </c>
      <c r="BE133" s="561">
        <f t="shared" ca="1" si="495"/>
        <v>0</v>
      </c>
      <c r="BF133" s="561">
        <f t="shared" ca="1" si="495"/>
        <v>0</v>
      </c>
      <c r="BG133" s="561">
        <f t="shared" ca="1" si="496"/>
        <v>0</v>
      </c>
      <c r="BH133" s="561">
        <f t="shared" ca="1" si="496"/>
        <v>0</v>
      </c>
      <c r="BI133" s="561">
        <f t="shared" ca="1" si="496"/>
        <v>0</v>
      </c>
      <c r="BJ133" s="561">
        <f t="shared" ca="1" si="496"/>
        <v>0</v>
      </c>
      <c r="BK133" s="561">
        <f t="shared" ca="1" si="496"/>
        <v>0</v>
      </c>
      <c r="BL133" s="561">
        <f t="shared" ca="1" si="496"/>
        <v>0</v>
      </c>
      <c r="BM133" s="561">
        <f t="shared" ca="1" si="496"/>
        <v>0</v>
      </c>
      <c r="BN133" s="561">
        <f t="shared" ca="1" si="496"/>
        <v>0</v>
      </c>
      <c r="BO133" s="561">
        <f t="shared" ca="1" si="496"/>
        <v>0</v>
      </c>
      <c r="BP133" s="561">
        <f t="shared" ca="1" si="496"/>
        <v>0</v>
      </c>
      <c r="BQ133" s="561">
        <f t="shared" ca="1" si="496"/>
        <v>0</v>
      </c>
      <c r="BR133" s="561">
        <f t="shared" ca="1" si="496"/>
        <v>0</v>
      </c>
      <c r="BS133" s="561">
        <f t="shared" ca="1" si="496"/>
        <v>0</v>
      </c>
      <c r="BT133" s="561">
        <f t="shared" ca="1" si="496"/>
        <v>0</v>
      </c>
      <c r="BU133" s="561">
        <f t="shared" ca="1" si="496"/>
        <v>0</v>
      </c>
      <c r="BV133" s="561">
        <f t="shared" ca="1" si="496"/>
        <v>0</v>
      </c>
      <c r="BW133" s="561">
        <f t="shared" ca="1" si="497"/>
        <v>0</v>
      </c>
      <c r="BX133" s="561">
        <f t="shared" ca="1" si="497"/>
        <v>0</v>
      </c>
      <c r="BY133" s="561">
        <f t="shared" ca="1" si="497"/>
        <v>0</v>
      </c>
      <c r="BZ133" s="561">
        <f t="shared" ca="1" si="497"/>
        <v>0</v>
      </c>
      <c r="CA133" s="561">
        <f t="shared" ca="1" si="497"/>
        <v>0</v>
      </c>
      <c r="CB133" s="561">
        <f t="shared" ca="1" si="497"/>
        <v>0</v>
      </c>
      <c r="CC133" s="561">
        <f t="shared" ca="1" si="497"/>
        <v>0</v>
      </c>
      <c r="CD133" s="561">
        <f t="shared" ca="1" si="497"/>
        <v>0</v>
      </c>
      <c r="CE133" s="561">
        <f t="shared" ca="1" si="497"/>
        <v>0</v>
      </c>
      <c r="CF133" s="561">
        <f t="shared" ca="1" si="497"/>
        <v>0</v>
      </c>
      <c r="CG133" s="561">
        <f t="shared" ca="1" si="497"/>
        <v>0</v>
      </c>
      <c r="CH133" s="561">
        <f t="shared" ca="1" si="497"/>
        <v>0</v>
      </c>
      <c r="CI133" s="561">
        <f t="shared" ca="1" si="497"/>
        <v>0</v>
      </c>
      <c r="CJ133" s="561">
        <f t="shared" ca="1" si="497"/>
        <v>0</v>
      </c>
      <c r="CK133" s="561">
        <f t="shared" ca="1" si="497"/>
        <v>0</v>
      </c>
      <c r="CL133" s="561">
        <f t="shared" ca="1" si="497"/>
        <v>0</v>
      </c>
      <c r="CM133" s="561">
        <f t="shared" ca="1" si="499"/>
        <v>0</v>
      </c>
      <c r="CN133" s="561">
        <f t="shared" ca="1" si="499"/>
        <v>0</v>
      </c>
      <c r="CO133" s="561">
        <f t="shared" ca="1" si="499"/>
        <v>0</v>
      </c>
      <c r="CP133" s="561">
        <f t="shared" ca="1" si="499"/>
        <v>0</v>
      </c>
      <c r="CQ133" s="561">
        <f t="shared" ca="1" si="499"/>
        <v>0</v>
      </c>
      <c r="CR133" s="561">
        <f t="shared" ca="1" si="499"/>
        <v>0</v>
      </c>
      <c r="CS133" s="561">
        <f t="shared" ca="1" si="499"/>
        <v>0</v>
      </c>
      <c r="CT133" s="561">
        <f t="shared" ca="1" si="499"/>
        <v>0</v>
      </c>
      <c r="CU133" s="561">
        <f t="shared" ca="1" si="499"/>
        <v>0</v>
      </c>
      <c r="CV133" s="561">
        <f t="shared" ca="1" si="499"/>
        <v>0</v>
      </c>
      <c r="CW133" s="561">
        <f t="shared" ca="1" si="499"/>
        <v>0</v>
      </c>
      <c r="CX133" s="561">
        <f t="shared" ca="1" si="499"/>
        <v>0</v>
      </c>
      <c r="CY133" s="561">
        <f t="shared" ca="1" si="499"/>
        <v>0</v>
      </c>
      <c r="CZ133" s="561">
        <f t="shared" ca="1" si="499"/>
        <v>0</v>
      </c>
      <c r="DA133" s="561">
        <f t="shared" ca="1" si="499"/>
        <v>0</v>
      </c>
      <c r="DB133" s="561">
        <f t="shared" ca="1" si="499"/>
        <v>0</v>
      </c>
      <c r="DC133" s="561">
        <f t="shared" ca="1" si="498"/>
        <v>0</v>
      </c>
      <c r="DD133" s="561">
        <f t="shared" ca="1" si="498"/>
        <v>0</v>
      </c>
      <c r="DE133" s="561">
        <f t="shared" ca="1" si="498"/>
        <v>0</v>
      </c>
      <c r="DF133" s="561">
        <f t="shared" ca="1" si="498"/>
        <v>0</v>
      </c>
      <c r="DG133" s="561">
        <f t="shared" ca="1" si="498"/>
        <v>0</v>
      </c>
      <c r="DH133" s="561">
        <f t="shared" ca="1" si="498"/>
        <v>0</v>
      </c>
      <c r="DI133" s="561">
        <f t="shared" ca="1" si="498"/>
        <v>0</v>
      </c>
      <c r="DJ133" s="561">
        <f t="shared" ca="1" si="498"/>
        <v>0</v>
      </c>
      <c r="DK133" s="561">
        <f t="shared" ca="1" si="498"/>
        <v>0</v>
      </c>
      <c r="DL133" s="561">
        <f t="shared" ca="1" si="498"/>
        <v>0</v>
      </c>
      <c r="DM133" s="561">
        <f t="shared" ca="1" si="498"/>
        <v>0</v>
      </c>
      <c r="DN133" s="561">
        <f t="shared" ca="1" si="498"/>
        <v>0</v>
      </c>
      <c r="DO133" s="561">
        <f t="shared" ca="1" si="498"/>
        <v>0</v>
      </c>
      <c r="DP133" s="561">
        <f t="shared" ca="1" si="498"/>
        <v>0</v>
      </c>
    </row>
    <row r="134" spans="1:120" outlineLevel="1">
      <c r="A134" s="89">
        <v>1110052010</v>
      </c>
      <c r="B134" s="90" t="s">
        <v>2543</v>
      </c>
      <c r="C134" s="1476" t="s">
        <v>64</v>
      </c>
      <c r="D134" s="1481"/>
      <c r="E134" s="1482">
        <v>45044</v>
      </c>
      <c r="F134" s="420"/>
      <c r="G134" s="1256"/>
      <c r="H134" s="421"/>
      <c r="I134" s="422"/>
      <c r="J134" s="1425">
        <v>1</v>
      </c>
      <c r="K134" s="1426">
        <v>1</v>
      </c>
      <c r="L134" s="1043"/>
      <c r="M134" s="1594">
        <f t="shared" ref="M134" si="536">+L134*J134</f>
        <v>0</v>
      </c>
      <c r="N134" s="504">
        <f ca="1">IF(OR(E134="",E134&gt;TODAY()),0,IF(ISERROR(VLOOKUP($E134,'TRM BanRep'!$A:$G,7,0)),0,VLOOKUP($E134,'TRM BanRep'!$A:$G,7,0)))</f>
        <v>4654.1400000000003</v>
      </c>
      <c r="O134" s="424">
        <f t="shared" ref="O134" ca="1" si="537">+L134*N134</f>
        <v>0</v>
      </c>
      <c r="P134" s="425">
        <v>-4735763.84</v>
      </c>
      <c r="Q134" s="1340">
        <f t="shared" ref="Q134" si="538">+P134*K134</f>
        <v>-4735763.84</v>
      </c>
      <c r="R134" s="426">
        <v>4603</v>
      </c>
      <c r="S134" s="426">
        <f ca="1">IF(OR(E134="",E134&gt;TODAY()),0,IF(ISERROR(VLOOKUP($E134,'TRM BanRep'!$A:$G,7,0)),0,VLOOKUP($E134,'TRM BanRep'!$A:$G,7,0)))</f>
        <v>4654.1400000000003</v>
      </c>
      <c r="T134" s="427">
        <f t="shared" ref="T134" ca="1" si="539">+P134*S134</f>
        <v>-22040907918.2976</v>
      </c>
      <c r="U134" s="418">
        <f t="shared" ref="U134" si="540">+L134+P134+F134</f>
        <v>-4735763.84</v>
      </c>
      <c r="V134" s="517">
        <f t="shared" ref="V134" ca="1" si="541">+Q134*R134+M134*N134+G134*H134</f>
        <v>-21798720955.52</v>
      </c>
      <c r="W134" s="428">
        <f t="shared" ref="W134" ca="1" si="542">(IF(R134&gt;S134,(-P134*R134)-(-P134*S134),0))</f>
        <v>0</v>
      </c>
      <c r="X134" s="429">
        <f t="shared" ref="X134" ca="1" si="543">(IF(R134&lt;S134,(-P134*R134)-(-P134*S134),0))</f>
        <v>-242186962.77759933</v>
      </c>
      <c r="Y134" s="92"/>
      <c r="Z134" s="1055"/>
      <c r="AA134" s="85">
        <f t="shared" ca="1" si="494"/>
        <v>0</v>
      </c>
      <c r="AB134" s="508">
        <f t="shared" ca="1" si="494"/>
        <v>0</v>
      </c>
      <c r="AC134" s="508">
        <f t="shared" ca="1" si="494"/>
        <v>0</v>
      </c>
      <c r="AD134" s="508">
        <f t="shared" ca="1" si="494"/>
        <v>0</v>
      </c>
      <c r="AE134" s="508">
        <f t="shared" ca="1" si="494"/>
        <v>0</v>
      </c>
      <c r="AF134" s="561">
        <f t="shared" ca="1" si="494"/>
        <v>0</v>
      </c>
      <c r="AG134" s="561">
        <f t="shared" ca="1" si="494"/>
        <v>0</v>
      </c>
      <c r="AH134" s="561">
        <f t="shared" ca="1" si="494"/>
        <v>0</v>
      </c>
      <c r="AI134" s="561">
        <f t="shared" ca="1" si="494"/>
        <v>0</v>
      </c>
      <c r="AJ134" s="561">
        <f t="shared" ca="1" si="494"/>
        <v>0</v>
      </c>
      <c r="AK134" s="561">
        <f t="shared" ca="1" si="494"/>
        <v>0</v>
      </c>
      <c r="AL134" s="1542">
        <f t="shared" ca="1" si="494"/>
        <v>0</v>
      </c>
      <c r="AM134" s="561">
        <f t="shared" ca="1" si="494"/>
        <v>0</v>
      </c>
      <c r="AN134" s="561">
        <f t="shared" ca="1" si="494"/>
        <v>0</v>
      </c>
      <c r="AO134" s="561">
        <f t="shared" ca="1" si="494"/>
        <v>0</v>
      </c>
      <c r="AP134" s="561">
        <f t="shared" ca="1" si="494"/>
        <v>0</v>
      </c>
      <c r="AQ134" s="561">
        <f t="shared" ca="1" si="495"/>
        <v>0</v>
      </c>
      <c r="AR134" s="561">
        <f t="shared" ca="1" si="495"/>
        <v>0</v>
      </c>
      <c r="AS134" s="561">
        <f t="shared" ca="1" si="495"/>
        <v>0</v>
      </c>
      <c r="AT134" s="561">
        <f t="shared" ca="1" si="495"/>
        <v>0</v>
      </c>
      <c r="AU134" s="561">
        <f t="shared" ca="1" si="495"/>
        <v>0</v>
      </c>
      <c r="AV134" s="561">
        <f t="shared" ca="1" si="495"/>
        <v>0</v>
      </c>
      <c r="AW134" s="561">
        <f t="shared" ca="1" si="495"/>
        <v>0</v>
      </c>
      <c r="AX134" s="561">
        <f t="shared" ca="1" si="495"/>
        <v>0</v>
      </c>
      <c r="AY134" s="561">
        <f t="shared" ca="1" si="495"/>
        <v>0</v>
      </c>
      <c r="AZ134" s="561">
        <f t="shared" ca="1" si="495"/>
        <v>0</v>
      </c>
      <c r="BA134" s="561">
        <f t="shared" ca="1" si="495"/>
        <v>-4735763.84</v>
      </c>
      <c r="BB134" s="561">
        <f t="shared" ca="1" si="495"/>
        <v>0</v>
      </c>
      <c r="BC134" s="561">
        <f t="shared" ca="1" si="495"/>
        <v>0</v>
      </c>
      <c r="BD134" s="561">
        <f t="shared" ca="1" si="495"/>
        <v>0</v>
      </c>
      <c r="BE134" s="561">
        <f t="shared" ca="1" si="495"/>
        <v>0</v>
      </c>
      <c r="BF134" s="561">
        <f t="shared" ca="1" si="495"/>
        <v>0</v>
      </c>
      <c r="BG134" s="561">
        <f t="shared" ca="1" si="496"/>
        <v>0</v>
      </c>
      <c r="BH134" s="561">
        <f t="shared" ca="1" si="496"/>
        <v>0</v>
      </c>
      <c r="BI134" s="561">
        <f t="shared" ca="1" si="496"/>
        <v>0</v>
      </c>
      <c r="BJ134" s="561">
        <f t="shared" ca="1" si="496"/>
        <v>0</v>
      </c>
      <c r="BK134" s="561">
        <f t="shared" ca="1" si="496"/>
        <v>0</v>
      </c>
      <c r="BL134" s="561">
        <f t="shared" ca="1" si="496"/>
        <v>0</v>
      </c>
      <c r="BM134" s="561">
        <f t="shared" ca="1" si="496"/>
        <v>0</v>
      </c>
      <c r="BN134" s="561">
        <f t="shared" ca="1" si="496"/>
        <v>0</v>
      </c>
      <c r="BO134" s="561">
        <f t="shared" ca="1" si="496"/>
        <v>0</v>
      </c>
      <c r="BP134" s="561">
        <f t="shared" ca="1" si="496"/>
        <v>0</v>
      </c>
      <c r="BQ134" s="561">
        <f t="shared" ca="1" si="496"/>
        <v>0</v>
      </c>
      <c r="BR134" s="561">
        <f t="shared" ca="1" si="496"/>
        <v>0</v>
      </c>
      <c r="BS134" s="561">
        <f t="shared" ca="1" si="496"/>
        <v>0</v>
      </c>
      <c r="BT134" s="561">
        <f t="shared" ca="1" si="496"/>
        <v>0</v>
      </c>
      <c r="BU134" s="561">
        <f t="shared" ca="1" si="496"/>
        <v>0</v>
      </c>
      <c r="BV134" s="561">
        <f t="shared" ca="1" si="496"/>
        <v>0</v>
      </c>
      <c r="BW134" s="561">
        <f t="shared" ca="1" si="497"/>
        <v>0</v>
      </c>
      <c r="BX134" s="561">
        <f t="shared" ca="1" si="497"/>
        <v>0</v>
      </c>
      <c r="BY134" s="561">
        <f t="shared" ca="1" si="497"/>
        <v>0</v>
      </c>
      <c r="BZ134" s="561">
        <f t="shared" ca="1" si="497"/>
        <v>0</v>
      </c>
      <c r="CA134" s="561">
        <f t="shared" ca="1" si="497"/>
        <v>0</v>
      </c>
      <c r="CB134" s="561">
        <f t="shared" ca="1" si="497"/>
        <v>0</v>
      </c>
      <c r="CC134" s="561">
        <f t="shared" ca="1" si="497"/>
        <v>0</v>
      </c>
      <c r="CD134" s="561">
        <f t="shared" ca="1" si="497"/>
        <v>0</v>
      </c>
      <c r="CE134" s="561">
        <f t="shared" ca="1" si="497"/>
        <v>0</v>
      </c>
      <c r="CF134" s="561">
        <f t="shared" ca="1" si="497"/>
        <v>0</v>
      </c>
      <c r="CG134" s="561">
        <f t="shared" ca="1" si="497"/>
        <v>0</v>
      </c>
      <c r="CH134" s="561">
        <f t="shared" ca="1" si="497"/>
        <v>0</v>
      </c>
      <c r="CI134" s="561">
        <f t="shared" ca="1" si="497"/>
        <v>0</v>
      </c>
      <c r="CJ134" s="561">
        <f t="shared" ca="1" si="497"/>
        <v>0</v>
      </c>
      <c r="CK134" s="561">
        <f t="shared" ca="1" si="497"/>
        <v>0</v>
      </c>
      <c r="CL134" s="561">
        <f t="shared" ca="1" si="497"/>
        <v>0</v>
      </c>
      <c r="CM134" s="561">
        <f t="shared" ca="1" si="499"/>
        <v>0</v>
      </c>
      <c r="CN134" s="561">
        <f t="shared" ca="1" si="499"/>
        <v>0</v>
      </c>
      <c r="CO134" s="561">
        <f t="shared" ca="1" si="499"/>
        <v>0</v>
      </c>
      <c r="CP134" s="561">
        <f t="shared" ca="1" si="499"/>
        <v>0</v>
      </c>
      <c r="CQ134" s="561">
        <f t="shared" ca="1" si="499"/>
        <v>0</v>
      </c>
      <c r="CR134" s="561">
        <f t="shared" ca="1" si="499"/>
        <v>0</v>
      </c>
      <c r="CS134" s="561">
        <f t="shared" ca="1" si="499"/>
        <v>0</v>
      </c>
      <c r="CT134" s="561">
        <f t="shared" ca="1" si="499"/>
        <v>0</v>
      </c>
      <c r="CU134" s="561">
        <f t="shared" ca="1" si="499"/>
        <v>0</v>
      </c>
      <c r="CV134" s="561">
        <f t="shared" ca="1" si="499"/>
        <v>0</v>
      </c>
      <c r="CW134" s="561">
        <f t="shared" ca="1" si="499"/>
        <v>0</v>
      </c>
      <c r="CX134" s="561">
        <f t="shared" ca="1" si="499"/>
        <v>0</v>
      </c>
      <c r="CY134" s="561">
        <f t="shared" ca="1" si="499"/>
        <v>0</v>
      </c>
      <c r="CZ134" s="561">
        <f t="shared" ca="1" si="499"/>
        <v>0</v>
      </c>
      <c r="DA134" s="561">
        <f t="shared" ca="1" si="499"/>
        <v>0</v>
      </c>
      <c r="DB134" s="561">
        <f t="shared" ca="1" si="499"/>
        <v>0</v>
      </c>
      <c r="DC134" s="561">
        <f t="shared" ca="1" si="498"/>
        <v>0</v>
      </c>
      <c r="DD134" s="561">
        <f t="shared" ca="1" si="498"/>
        <v>0</v>
      </c>
      <c r="DE134" s="561">
        <f t="shared" ca="1" si="498"/>
        <v>0</v>
      </c>
      <c r="DF134" s="561">
        <f t="shared" ca="1" si="498"/>
        <v>0</v>
      </c>
      <c r="DG134" s="561">
        <f t="shared" ca="1" si="498"/>
        <v>0</v>
      </c>
      <c r="DH134" s="561">
        <f t="shared" ca="1" si="498"/>
        <v>0</v>
      </c>
      <c r="DI134" s="561">
        <f t="shared" ca="1" si="498"/>
        <v>0</v>
      </c>
      <c r="DJ134" s="561">
        <f t="shared" ca="1" si="498"/>
        <v>0</v>
      </c>
      <c r="DK134" s="561">
        <f t="shared" ca="1" si="498"/>
        <v>0</v>
      </c>
      <c r="DL134" s="561">
        <f t="shared" ca="1" si="498"/>
        <v>0</v>
      </c>
      <c r="DM134" s="561">
        <f t="shared" ca="1" si="498"/>
        <v>0</v>
      </c>
      <c r="DN134" s="561">
        <f t="shared" ca="1" si="498"/>
        <v>0</v>
      </c>
      <c r="DO134" s="561">
        <f t="shared" ca="1" si="498"/>
        <v>0</v>
      </c>
      <c r="DP134" s="561">
        <f t="shared" ca="1" si="498"/>
        <v>0</v>
      </c>
    </row>
    <row r="135" spans="1:120" outlineLevel="1">
      <c r="A135" s="89">
        <v>1110052010</v>
      </c>
      <c r="B135" s="90" t="s">
        <v>2544</v>
      </c>
      <c r="C135" s="1476" t="s">
        <v>64</v>
      </c>
      <c r="D135" s="1481"/>
      <c r="E135" s="1482">
        <v>45044</v>
      </c>
      <c r="F135" s="420"/>
      <c r="G135" s="1256"/>
      <c r="H135" s="421"/>
      <c r="I135" s="422"/>
      <c r="J135" s="1425">
        <v>1</v>
      </c>
      <c r="K135" s="1426">
        <v>1</v>
      </c>
      <c r="L135" s="1043"/>
      <c r="M135" s="1594">
        <f t="shared" si="486"/>
        <v>0</v>
      </c>
      <c r="N135" s="504">
        <f ca="1">IF(OR(E135="",E135&gt;TODAY()),0,IF(ISERROR(VLOOKUP($E135,'TRM BanRep'!$A:$G,7,0)),0,VLOOKUP($E135,'TRM BanRep'!$A:$G,7,0)))</f>
        <v>4654.1400000000003</v>
      </c>
      <c r="O135" s="424">
        <f t="shared" ref="O135:O137" ca="1" si="544">+L135*N135</f>
        <v>0</v>
      </c>
      <c r="P135" s="425">
        <v>-7495.76</v>
      </c>
      <c r="Q135" s="1340">
        <f t="shared" si="427"/>
        <v>-7495.76</v>
      </c>
      <c r="R135" s="426">
        <v>4603</v>
      </c>
      <c r="S135" s="426">
        <f ca="1">IF(OR(E135="",E135&gt;TODAY()),0,IF(ISERROR(VLOOKUP($E135,'TRM BanRep'!$A:$G,7,0)),0,VLOOKUP($E135,'TRM BanRep'!$A:$G,7,0)))</f>
        <v>4654.1400000000003</v>
      </c>
      <c r="T135" s="427">
        <f t="shared" ref="T135:T137" ca="1" si="545">+P135*S135</f>
        <v>-34886316.446400002</v>
      </c>
      <c r="U135" s="418">
        <f t="shared" ref="U135:U137" si="546">+L135+P135+F135</f>
        <v>-7495.76</v>
      </c>
      <c r="V135" s="517">
        <f t="shared" ca="1" si="435"/>
        <v>-34502983.280000001</v>
      </c>
      <c r="W135" s="428">
        <f t="shared" ref="W135:W137" ca="1" si="547">(IF(R135&gt;S135,(-P135*R135)-(-P135*S135),0))</f>
        <v>0</v>
      </c>
      <c r="X135" s="429">
        <f t="shared" ref="X135:X137" ca="1" si="548">(IF(R135&lt;S135,(-P135*R135)-(-P135*S135),0))</f>
        <v>-383333.16640000045</v>
      </c>
      <c r="Y135" s="92"/>
      <c r="Z135" s="1055"/>
      <c r="AA135" s="85">
        <f t="shared" ca="1" si="494"/>
        <v>0</v>
      </c>
      <c r="AB135" s="508">
        <f t="shared" ca="1" si="494"/>
        <v>0</v>
      </c>
      <c r="AC135" s="508">
        <f t="shared" ca="1" si="494"/>
        <v>0</v>
      </c>
      <c r="AD135" s="508">
        <f t="shared" ca="1" si="494"/>
        <v>0</v>
      </c>
      <c r="AE135" s="508">
        <f t="shared" ca="1" si="494"/>
        <v>0</v>
      </c>
      <c r="AF135" s="561">
        <f t="shared" ca="1" si="494"/>
        <v>0</v>
      </c>
      <c r="AG135" s="561">
        <f t="shared" ca="1" si="494"/>
        <v>0</v>
      </c>
      <c r="AH135" s="561">
        <f t="shared" ca="1" si="494"/>
        <v>0</v>
      </c>
      <c r="AI135" s="561">
        <f t="shared" ca="1" si="494"/>
        <v>0</v>
      </c>
      <c r="AJ135" s="561">
        <f t="shared" ca="1" si="494"/>
        <v>0</v>
      </c>
      <c r="AK135" s="561">
        <f t="shared" ca="1" si="494"/>
        <v>0</v>
      </c>
      <c r="AL135" s="1542">
        <f t="shared" ca="1" si="494"/>
        <v>0</v>
      </c>
      <c r="AM135" s="561">
        <f t="shared" ca="1" si="494"/>
        <v>0</v>
      </c>
      <c r="AN135" s="561">
        <f t="shared" ca="1" si="494"/>
        <v>0</v>
      </c>
      <c r="AO135" s="561">
        <f t="shared" ca="1" si="494"/>
        <v>0</v>
      </c>
      <c r="AP135" s="561">
        <f t="shared" ca="1" si="494"/>
        <v>0</v>
      </c>
      <c r="AQ135" s="561">
        <f t="shared" ca="1" si="495"/>
        <v>0</v>
      </c>
      <c r="AR135" s="561">
        <f t="shared" ca="1" si="495"/>
        <v>0</v>
      </c>
      <c r="AS135" s="561">
        <f t="shared" ca="1" si="495"/>
        <v>0</v>
      </c>
      <c r="AT135" s="561">
        <f t="shared" ca="1" si="495"/>
        <v>0</v>
      </c>
      <c r="AU135" s="561">
        <f t="shared" ca="1" si="495"/>
        <v>0</v>
      </c>
      <c r="AV135" s="561">
        <f t="shared" ca="1" si="495"/>
        <v>0</v>
      </c>
      <c r="AW135" s="561">
        <f t="shared" ca="1" si="495"/>
        <v>0</v>
      </c>
      <c r="AX135" s="561">
        <f t="shared" ca="1" si="495"/>
        <v>0</v>
      </c>
      <c r="AY135" s="561">
        <f t="shared" ca="1" si="495"/>
        <v>0</v>
      </c>
      <c r="AZ135" s="561">
        <f t="shared" ca="1" si="495"/>
        <v>0</v>
      </c>
      <c r="BA135" s="561">
        <f t="shared" ca="1" si="495"/>
        <v>-7495.76</v>
      </c>
      <c r="BB135" s="561">
        <f t="shared" ca="1" si="495"/>
        <v>0</v>
      </c>
      <c r="BC135" s="561">
        <f t="shared" ca="1" si="495"/>
        <v>0</v>
      </c>
      <c r="BD135" s="561">
        <f t="shared" ca="1" si="495"/>
        <v>0</v>
      </c>
      <c r="BE135" s="561">
        <f t="shared" ca="1" si="495"/>
        <v>0</v>
      </c>
      <c r="BF135" s="561">
        <f t="shared" ca="1" si="495"/>
        <v>0</v>
      </c>
      <c r="BG135" s="561">
        <f t="shared" ca="1" si="496"/>
        <v>0</v>
      </c>
      <c r="BH135" s="561">
        <f t="shared" ca="1" si="496"/>
        <v>0</v>
      </c>
      <c r="BI135" s="561">
        <f t="shared" ca="1" si="496"/>
        <v>0</v>
      </c>
      <c r="BJ135" s="561">
        <f t="shared" ca="1" si="496"/>
        <v>0</v>
      </c>
      <c r="BK135" s="561">
        <f t="shared" ca="1" si="496"/>
        <v>0</v>
      </c>
      <c r="BL135" s="561">
        <f t="shared" ca="1" si="496"/>
        <v>0</v>
      </c>
      <c r="BM135" s="561">
        <f t="shared" ca="1" si="496"/>
        <v>0</v>
      </c>
      <c r="BN135" s="561">
        <f t="shared" ca="1" si="496"/>
        <v>0</v>
      </c>
      <c r="BO135" s="561">
        <f t="shared" ca="1" si="496"/>
        <v>0</v>
      </c>
      <c r="BP135" s="561">
        <f t="shared" ca="1" si="496"/>
        <v>0</v>
      </c>
      <c r="BQ135" s="561">
        <f t="shared" ca="1" si="496"/>
        <v>0</v>
      </c>
      <c r="BR135" s="561">
        <f t="shared" ca="1" si="496"/>
        <v>0</v>
      </c>
      <c r="BS135" s="561">
        <f t="shared" ca="1" si="496"/>
        <v>0</v>
      </c>
      <c r="BT135" s="561">
        <f t="shared" ca="1" si="496"/>
        <v>0</v>
      </c>
      <c r="BU135" s="561">
        <f t="shared" ca="1" si="496"/>
        <v>0</v>
      </c>
      <c r="BV135" s="561">
        <f t="shared" ca="1" si="496"/>
        <v>0</v>
      </c>
      <c r="BW135" s="561">
        <f t="shared" ca="1" si="497"/>
        <v>0</v>
      </c>
      <c r="BX135" s="561">
        <f t="shared" ca="1" si="497"/>
        <v>0</v>
      </c>
      <c r="BY135" s="561">
        <f t="shared" ca="1" si="497"/>
        <v>0</v>
      </c>
      <c r="BZ135" s="561">
        <f t="shared" ca="1" si="497"/>
        <v>0</v>
      </c>
      <c r="CA135" s="561">
        <f t="shared" ca="1" si="497"/>
        <v>0</v>
      </c>
      <c r="CB135" s="561">
        <f t="shared" ca="1" si="497"/>
        <v>0</v>
      </c>
      <c r="CC135" s="561">
        <f t="shared" ca="1" si="497"/>
        <v>0</v>
      </c>
      <c r="CD135" s="561">
        <f t="shared" ca="1" si="497"/>
        <v>0</v>
      </c>
      <c r="CE135" s="561">
        <f t="shared" ca="1" si="497"/>
        <v>0</v>
      </c>
      <c r="CF135" s="561">
        <f t="shared" ca="1" si="497"/>
        <v>0</v>
      </c>
      <c r="CG135" s="561">
        <f t="shared" ca="1" si="497"/>
        <v>0</v>
      </c>
      <c r="CH135" s="561">
        <f t="shared" ca="1" si="497"/>
        <v>0</v>
      </c>
      <c r="CI135" s="561">
        <f t="shared" ca="1" si="497"/>
        <v>0</v>
      </c>
      <c r="CJ135" s="561">
        <f t="shared" ca="1" si="497"/>
        <v>0</v>
      </c>
      <c r="CK135" s="561">
        <f t="shared" ca="1" si="497"/>
        <v>0</v>
      </c>
      <c r="CL135" s="561">
        <f t="shared" ca="1" si="497"/>
        <v>0</v>
      </c>
      <c r="CM135" s="561">
        <f t="shared" ca="1" si="499"/>
        <v>0</v>
      </c>
      <c r="CN135" s="561">
        <f t="shared" ca="1" si="499"/>
        <v>0</v>
      </c>
      <c r="CO135" s="561">
        <f t="shared" ca="1" si="499"/>
        <v>0</v>
      </c>
      <c r="CP135" s="561">
        <f t="shared" ca="1" si="499"/>
        <v>0</v>
      </c>
      <c r="CQ135" s="561">
        <f t="shared" ca="1" si="499"/>
        <v>0</v>
      </c>
      <c r="CR135" s="561">
        <f t="shared" ca="1" si="499"/>
        <v>0</v>
      </c>
      <c r="CS135" s="561">
        <f t="shared" ca="1" si="499"/>
        <v>0</v>
      </c>
      <c r="CT135" s="561">
        <f t="shared" ca="1" si="499"/>
        <v>0</v>
      </c>
      <c r="CU135" s="561">
        <f t="shared" ca="1" si="499"/>
        <v>0</v>
      </c>
      <c r="CV135" s="561">
        <f t="shared" ca="1" si="499"/>
        <v>0</v>
      </c>
      <c r="CW135" s="561">
        <f t="shared" ca="1" si="499"/>
        <v>0</v>
      </c>
      <c r="CX135" s="561">
        <f t="shared" ca="1" si="499"/>
        <v>0</v>
      </c>
      <c r="CY135" s="561">
        <f t="shared" ca="1" si="499"/>
        <v>0</v>
      </c>
      <c r="CZ135" s="561">
        <f t="shared" ca="1" si="499"/>
        <v>0</v>
      </c>
      <c r="DA135" s="561">
        <f t="shared" ca="1" si="499"/>
        <v>0</v>
      </c>
      <c r="DB135" s="561">
        <f t="shared" ca="1" si="499"/>
        <v>0</v>
      </c>
      <c r="DC135" s="561">
        <f t="shared" ca="1" si="498"/>
        <v>0</v>
      </c>
      <c r="DD135" s="561">
        <f t="shared" ca="1" si="498"/>
        <v>0</v>
      </c>
      <c r="DE135" s="561">
        <f t="shared" ca="1" si="498"/>
        <v>0</v>
      </c>
      <c r="DF135" s="561">
        <f t="shared" ca="1" si="498"/>
        <v>0</v>
      </c>
      <c r="DG135" s="561">
        <f t="shared" ca="1" si="498"/>
        <v>0</v>
      </c>
      <c r="DH135" s="561">
        <f t="shared" ca="1" si="498"/>
        <v>0</v>
      </c>
      <c r="DI135" s="561">
        <f t="shared" ca="1" si="498"/>
        <v>0</v>
      </c>
      <c r="DJ135" s="561">
        <f t="shared" ca="1" si="498"/>
        <v>0</v>
      </c>
      <c r="DK135" s="561">
        <f t="shared" ca="1" si="498"/>
        <v>0</v>
      </c>
      <c r="DL135" s="561">
        <f t="shared" ca="1" si="498"/>
        <v>0</v>
      </c>
      <c r="DM135" s="561">
        <f t="shared" ca="1" si="498"/>
        <v>0</v>
      </c>
      <c r="DN135" s="561">
        <f t="shared" ca="1" si="498"/>
        <v>0</v>
      </c>
      <c r="DO135" s="561">
        <f t="shared" ca="1" si="498"/>
        <v>0</v>
      </c>
      <c r="DP135" s="561">
        <f t="shared" ca="1" si="498"/>
        <v>0</v>
      </c>
    </row>
    <row r="136" spans="1:120" outlineLevel="1">
      <c r="A136" s="89">
        <v>1110052010</v>
      </c>
      <c r="B136" s="90"/>
      <c r="C136" s="1476" t="s">
        <v>64</v>
      </c>
      <c r="D136" s="1481"/>
      <c r="E136" s="1482"/>
      <c r="F136" s="420"/>
      <c r="G136" s="1256"/>
      <c r="H136" s="421"/>
      <c r="I136" s="422"/>
      <c r="J136" s="1425">
        <v>1</v>
      </c>
      <c r="K136" s="1426">
        <v>1</v>
      </c>
      <c r="L136" s="1043"/>
      <c r="M136" s="1594">
        <f t="shared" ref="M136:M137" si="549">+L136*J136</f>
        <v>0</v>
      </c>
      <c r="N136" s="504">
        <f ca="1">IF(OR(E136="",E136&gt;TODAY()),0,IF(ISERROR(VLOOKUP($E136,'TRM BanRep'!$A:$G,7,0)),0,VLOOKUP($E136,'TRM BanRep'!$A:$G,7,0)))</f>
        <v>0</v>
      </c>
      <c r="O136" s="424">
        <f t="shared" ca="1" si="544"/>
        <v>0</v>
      </c>
      <c r="P136" s="425"/>
      <c r="Q136" s="1340">
        <f t="shared" si="427"/>
        <v>0</v>
      </c>
      <c r="R136" s="426"/>
      <c r="S136" s="426">
        <f ca="1">IF(OR(E136="",E136&gt;TODAY()),0,IF(ISERROR(VLOOKUP($E136,'TRM BanRep'!$A:$G,7,0)),0,VLOOKUP($E136,'TRM BanRep'!$A:$G,7,0)))</f>
        <v>0</v>
      </c>
      <c r="T136" s="427">
        <f t="shared" ca="1" si="545"/>
        <v>0</v>
      </c>
      <c r="U136" s="418">
        <f t="shared" si="546"/>
        <v>0</v>
      </c>
      <c r="V136" s="517">
        <f t="shared" ca="1" si="435"/>
        <v>0</v>
      </c>
      <c r="W136" s="428">
        <f t="shared" ca="1" si="547"/>
        <v>0</v>
      </c>
      <c r="X136" s="429">
        <f t="shared" ca="1" si="548"/>
        <v>0</v>
      </c>
      <c r="Y136" s="92"/>
      <c r="Z136" s="1055"/>
      <c r="AA136" s="85">
        <f t="shared" si="494"/>
        <v>0</v>
      </c>
      <c r="AB136" s="508">
        <f t="shared" si="494"/>
        <v>0</v>
      </c>
      <c r="AC136" s="508">
        <f t="shared" si="494"/>
        <v>0</v>
      </c>
      <c r="AD136" s="508">
        <f t="shared" si="494"/>
        <v>0</v>
      </c>
      <c r="AE136" s="508">
        <f t="shared" si="494"/>
        <v>0</v>
      </c>
      <c r="AF136" s="561">
        <f t="shared" si="494"/>
        <v>0</v>
      </c>
      <c r="AG136" s="561">
        <f t="shared" si="494"/>
        <v>0</v>
      </c>
      <c r="AH136" s="561">
        <f t="shared" si="494"/>
        <v>0</v>
      </c>
      <c r="AI136" s="561">
        <f t="shared" si="494"/>
        <v>0</v>
      </c>
      <c r="AJ136" s="561">
        <f t="shared" si="494"/>
        <v>0</v>
      </c>
      <c r="AK136" s="561">
        <f t="shared" si="494"/>
        <v>0</v>
      </c>
      <c r="AL136" s="1542">
        <f t="shared" si="494"/>
        <v>0</v>
      </c>
      <c r="AM136" s="561">
        <f t="shared" si="494"/>
        <v>0</v>
      </c>
      <c r="AN136" s="561">
        <f t="shared" si="494"/>
        <v>0</v>
      </c>
      <c r="AO136" s="561">
        <f t="shared" si="494"/>
        <v>0</v>
      </c>
      <c r="AP136" s="561">
        <f t="shared" si="494"/>
        <v>0</v>
      </c>
      <c r="AQ136" s="561">
        <f t="shared" si="495"/>
        <v>0</v>
      </c>
      <c r="AR136" s="561">
        <f t="shared" si="495"/>
        <v>0</v>
      </c>
      <c r="AS136" s="561">
        <f t="shared" si="495"/>
        <v>0</v>
      </c>
      <c r="AT136" s="561">
        <f t="shared" si="495"/>
        <v>0</v>
      </c>
      <c r="AU136" s="561">
        <f t="shared" si="495"/>
        <v>0</v>
      </c>
      <c r="AV136" s="561">
        <f t="shared" si="495"/>
        <v>0</v>
      </c>
      <c r="AW136" s="561">
        <f t="shared" si="495"/>
        <v>0</v>
      </c>
      <c r="AX136" s="561">
        <f t="shared" si="495"/>
        <v>0</v>
      </c>
      <c r="AY136" s="561">
        <f t="shared" si="495"/>
        <v>0</v>
      </c>
      <c r="AZ136" s="561">
        <f t="shared" si="495"/>
        <v>0</v>
      </c>
      <c r="BA136" s="561">
        <f t="shared" si="495"/>
        <v>0</v>
      </c>
      <c r="BB136" s="561">
        <f t="shared" si="495"/>
        <v>0</v>
      </c>
      <c r="BC136" s="561">
        <f t="shared" si="495"/>
        <v>0</v>
      </c>
      <c r="BD136" s="561">
        <f t="shared" si="495"/>
        <v>0</v>
      </c>
      <c r="BE136" s="561">
        <f t="shared" si="495"/>
        <v>0</v>
      </c>
      <c r="BF136" s="561">
        <f t="shared" si="495"/>
        <v>0</v>
      </c>
      <c r="BG136" s="561">
        <f t="shared" si="496"/>
        <v>0</v>
      </c>
      <c r="BH136" s="561">
        <f t="shared" si="496"/>
        <v>0</v>
      </c>
      <c r="BI136" s="561">
        <f t="shared" si="496"/>
        <v>0</v>
      </c>
      <c r="BJ136" s="561">
        <f t="shared" si="496"/>
        <v>0</v>
      </c>
      <c r="BK136" s="561">
        <f t="shared" si="496"/>
        <v>0</v>
      </c>
      <c r="BL136" s="561">
        <f t="shared" si="496"/>
        <v>0</v>
      </c>
      <c r="BM136" s="561">
        <f t="shared" si="496"/>
        <v>0</v>
      </c>
      <c r="BN136" s="561">
        <f t="shared" si="496"/>
        <v>0</v>
      </c>
      <c r="BO136" s="561">
        <f t="shared" si="496"/>
        <v>0</v>
      </c>
      <c r="BP136" s="561">
        <f t="shared" si="496"/>
        <v>0</v>
      </c>
      <c r="BQ136" s="561">
        <f t="shared" si="496"/>
        <v>0</v>
      </c>
      <c r="BR136" s="561">
        <f t="shared" si="496"/>
        <v>0</v>
      </c>
      <c r="BS136" s="561">
        <f t="shared" si="496"/>
        <v>0</v>
      </c>
      <c r="BT136" s="561">
        <f t="shared" si="496"/>
        <v>0</v>
      </c>
      <c r="BU136" s="561">
        <f t="shared" si="496"/>
        <v>0</v>
      </c>
      <c r="BV136" s="561">
        <f t="shared" si="496"/>
        <v>0</v>
      </c>
      <c r="BW136" s="561">
        <f t="shared" si="497"/>
        <v>0</v>
      </c>
      <c r="BX136" s="561">
        <f t="shared" si="497"/>
        <v>0</v>
      </c>
      <c r="BY136" s="561">
        <f t="shared" si="497"/>
        <v>0</v>
      </c>
      <c r="BZ136" s="561">
        <f t="shared" si="497"/>
        <v>0</v>
      </c>
      <c r="CA136" s="561">
        <f t="shared" si="497"/>
        <v>0</v>
      </c>
      <c r="CB136" s="561">
        <f t="shared" si="497"/>
        <v>0</v>
      </c>
      <c r="CC136" s="561">
        <f t="shared" si="497"/>
        <v>0</v>
      </c>
      <c r="CD136" s="561">
        <f t="shared" si="497"/>
        <v>0</v>
      </c>
      <c r="CE136" s="561">
        <f t="shared" si="497"/>
        <v>0</v>
      </c>
      <c r="CF136" s="561">
        <f t="shared" si="497"/>
        <v>0</v>
      </c>
      <c r="CG136" s="561">
        <f t="shared" si="497"/>
        <v>0</v>
      </c>
      <c r="CH136" s="561">
        <f t="shared" si="497"/>
        <v>0</v>
      </c>
      <c r="CI136" s="561">
        <f t="shared" si="497"/>
        <v>0</v>
      </c>
      <c r="CJ136" s="561">
        <f t="shared" si="497"/>
        <v>0</v>
      </c>
      <c r="CK136" s="561">
        <f t="shared" si="497"/>
        <v>0</v>
      </c>
      <c r="CL136" s="561">
        <f t="shared" si="497"/>
        <v>0</v>
      </c>
      <c r="CM136" s="561">
        <f t="shared" si="499"/>
        <v>0</v>
      </c>
      <c r="CN136" s="561">
        <f t="shared" si="499"/>
        <v>0</v>
      </c>
      <c r="CO136" s="561">
        <f t="shared" si="499"/>
        <v>0</v>
      </c>
      <c r="CP136" s="561">
        <f t="shared" si="499"/>
        <v>0</v>
      </c>
      <c r="CQ136" s="561">
        <f t="shared" si="499"/>
        <v>0</v>
      </c>
      <c r="CR136" s="561">
        <f t="shared" si="499"/>
        <v>0</v>
      </c>
      <c r="CS136" s="561">
        <f t="shared" si="499"/>
        <v>0</v>
      </c>
      <c r="CT136" s="561">
        <f t="shared" si="499"/>
        <v>0</v>
      </c>
      <c r="CU136" s="561">
        <f t="shared" si="499"/>
        <v>0</v>
      </c>
      <c r="CV136" s="561">
        <f t="shared" si="499"/>
        <v>0</v>
      </c>
      <c r="CW136" s="561">
        <f t="shared" si="499"/>
        <v>0</v>
      </c>
      <c r="CX136" s="561">
        <f t="shared" si="499"/>
        <v>0</v>
      </c>
      <c r="CY136" s="561">
        <f t="shared" si="499"/>
        <v>0</v>
      </c>
      <c r="CZ136" s="561">
        <f t="shared" si="499"/>
        <v>0</v>
      </c>
      <c r="DA136" s="561">
        <f t="shared" si="499"/>
        <v>0</v>
      </c>
      <c r="DB136" s="561">
        <f t="shared" si="499"/>
        <v>0</v>
      </c>
      <c r="DC136" s="561">
        <f t="shared" si="498"/>
        <v>0</v>
      </c>
      <c r="DD136" s="561">
        <f t="shared" si="498"/>
        <v>0</v>
      </c>
      <c r="DE136" s="561">
        <f t="shared" si="498"/>
        <v>0</v>
      </c>
      <c r="DF136" s="561">
        <f t="shared" si="498"/>
        <v>0</v>
      </c>
      <c r="DG136" s="561">
        <f t="shared" si="498"/>
        <v>0</v>
      </c>
      <c r="DH136" s="561">
        <f t="shared" si="498"/>
        <v>0</v>
      </c>
      <c r="DI136" s="561">
        <f t="shared" si="498"/>
        <v>0</v>
      </c>
      <c r="DJ136" s="561">
        <f t="shared" si="498"/>
        <v>0</v>
      </c>
      <c r="DK136" s="561">
        <f t="shared" si="498"/>
        <v>0</v>
      </c>
      <c r="DL136" s="561">
        <f t="shared" si="498"/>
        <v>0</v>
      </c>
      <c r="DM136" s="561">
        <f t="shared" si="498"/>
        <v>0</v>
      </c>
      <c r="DN136" s="561">
        <f t="shared" si="498"/>
        <v>0</v>
      </c>
      <c r="DO136" s="561">
        <f t="shared" si="498"/>
        <v>0</v>
      </c>
      <c r="DP136" s="561">
        <f t="shared" si="498"/>
        <v>0</v>
      </c>
    </row>
    <row r="137" spans="1:120" outlineLevel="1">
      <c r="A137" s="89">
        <v>1110052010</v>
      </c>
      <c r="B137" s="90"/>
      <c r="C137" s="1476" t="s">
        <v>64</v>
      </c>
      <c r="D137" s="1481"/>
      <c r="E137" s="1482"/>
      <c r="F137" s="420"/>
      <c r="G137" s="1256"/>
      <c r="H137" s="421"/>
      <c r="I137" s="422"/>
      <c r="J137" s="1425">
        <v>1</v>
      </c>
      <c r="K137" s="1426">
        <v>1</v>
      </c>
      <c r="L137" s="1043"/>
      <c r="M137" s="1594">
        <f t="shared" si="549"/>
        <v>0</v>
      </c>
      <c r="N137" s="504">
        <f ca="1">IF(OR(E137="",E137&gt;TODAY()),0,IF(ISERROR(VLOOKUP($E137,'TRM BanRep'!$A:$G,7,0)),0,VLOOKUP($E137,'TRM BanRep'!$A:$G,7,0)))</f>
        <v>0</v>
      </c>
      <c r="O137" s="424">
        <f t="shared" ca="1" si="544"/>
        <v>0</v>
      </c>
      <c r="P137" s="425"/>
      <c r="Q137" s="1340">
        <f t="shared" si="427"/>
        <v>0</v>
      </c>
      <c r="R137" s="426"/>
      <c r="S137" s="426">
        <f ca="1">IF(OR(E137="",E137&gt;TODAY()),0,IF(ISERROR(VLOOKUP($E137,'TRM BanRep'!$A:$G,7,0)),0,VLOOKUP($E137,'TRM BanRep'!$A:$G,7,0)))</f>
        <v>0</v>
      </c>
      <c r="T137" s="427">
        <f t="shared" ca="1" si="545"/>
        <v>0</v>
      </c>
      <c r="U137" s="418">
        <f t="shared" si="546"/>
        <v>0</v>
      </c>
      <c r="V137" s="517">
        <f t="shared" ca="1" si="435"/>
        <v>0</v>
      </c>
      <c r="W137" s="428">
        <f t="shared" ca="1" si="547"/>
        <v>0</v>
      </c>
      <c r="X137" s="429">
        <f t="shared" ca="1" si="548"/>
        <v>0</v>
      </c>
      <c r="Y137" s="92"/>
      <c r="Z137" s="1055"/>
      <c r="AA137" s="85">
        <f t="shared" si="494"/>
        <v>0</v>
      </c>
      <c r="AB137" s="508">
        <f t="shared" si="494"/>
        <v>0</v>
      </c>
      <c r="AC137" s="508">
        <f t="shared" si="494"/>
        <v>0</v>
      </c>
      <c r="AD137" s="508">
        <f t="shared" si="494"/>
        <v>0</v>
      </c>
      <c r="AE137" s="508">
        <f t="shared" si="494"/>
        <v>0</v>
      </c>
      <c r="AF137" s="561">
        <f t="shared" si="494"/>
        <v>0</v>
      </c>
      <c r="AG137" s="561">
        <f t="shared" si="494"/>
        <v>0</v>
      </c>
      <c r="AH137" s="561">
        <f t="shared" si="494"/>
        <v>0</v>
      </c>
      <c r="AI137" s="561">
        <f t="shared" si="494"/>
        <v>0</v>
      </c>
      <c r="AJ137" s="561">
        <f t="shared" si="494"/>
        <v>0</v>
      </c>
      <c r="AK137" s="561">
        <f t="shared" si="494"/>
        <v>0</v>
      </c>
      <c r="AL137" s="1542">
        <f t="shared" si="494"/>
        <v>0</v>
      </c>
      <c r="AM137" s="561">
        <f t="shared" si="494"/>
        <v>0</v>
      </c>
      <c r="AN137" s="561">
        <f t="shared" si="494"/>
        <v>0</v>
      </c>
      <c r="AO137" s="561">
        <f t="shared" si="494"/>
        <v>0</v>
      </c>
      <c r="AP137" s="561">
        <f t="shared" si="494"/>
        <v>0</v>
      </c>
      <c r="AQ137" s="561">
        <f t="shared" si="495"/>
        <v>0</v>
      </c>
      <c r="AR137" s="561">
        <f t="shared" si="495"/>
        <v>0</v>
      </c>
      <c r="AS137" s="561">
        <f t="shared" si="495"/>
        <v>0</v>
      </c>
      <c r="AT137" s="561">
        <f t="shared" si="495"/>
        <v>0</v>
      </c>
      <c r="AU137" s="561">
        <f t="shared" si="495"/>
        <v>0</v>
      </c>
      <c r="AV137" s="561">
        <f t="shared" si="495"/>
        <v>0</v>
      </c>
      <c r="AW137" s="561">
        <f t="shared" si="495"/>
        <v>0</v>
      </c>
      <c r="AX137" s="561">
        <f t="shared" si="495"/>
        <v>0</v>
      </c>
      <c r="AY137" s="561">
        <f t="shared" si="495"/>
        <v>0</v>
      </c>
      <c r="AZ137" s="561">
        <f t="shared" si="495"/>
        <v>0</v>
      </c>
      <c r="BA137" s="561">
        <f t="shared" si="495"/>
        <v>0</v>
      </c>
      <c r="BB137" s="561">
        <f t="shared" si="495"/>
        <v>0</v>
      </c>
      <c r="BC137" s="561">
        <f t="shared" si="495"/>
        <v>0</v>
      </c>
      <c r="BD137" s="561">
        <f t="shared" si="495"/>
        <v>0</v>
      </c>
      <c r="BE137" s="561">
        <f t="shared" si="495"/>
        <v>0</v>
      </c>
      <c r="BF137" s="561">
        <f t="shared" si="495"/>
        <v>0</v>
      </c>
      <c r="BG137" s="561">
        <f t="shared" si="496"/>
        <v>0</v>
      </c>
      <c r="BH137" s="561">
        <f t="shared" si="496"/>
        <v>0</v>
      </c>
      <c r="BI137" s="561">
        <f t="shared" si="496"/>
        <v>0</v>
      </c>
      <c r="BJ137" s="561">
        <f t="shared" si="496"/>
        <v>0</v>
      </c>
      <c r="BK137" s="561">
        <f t="shared" si="496"/>
        <v>0</v>
      </c>
      <c r="BL137" s="561">
        <f t="shared" si="496"/>
        <v>0</v>
      </c>
      <c r="BM137" s="561">
        <f t="shared" si="496"/>
        <v>0</v>
      </c>
      <c r="BN137" s="561">
        <f t="shared" si="496"/>
        <v>0</v>
      </c>
      <c r="BO137" s="561">
        <f t="shared" si="496"/>
        <v>0</v>
      </c>
      <c r="BP137" s="561">
        <f t="shared" si="496"/>
        <v>0</v>
      </c>
      <c r="BQ137" s="561">
        <f t="shared" si="496"/>
        <v>0</v>
      </c>
      <c r="BR137" s="561">
        <f t="shared" si="496"/>
        <v>0</v>
      </c>
      <c r="BS137" s="561">
        <f t="shared" si="496"/>
        <v>0</v>
      </c>
      <c r="BT137" s="561">
        <f t="shared" si="496"/>
        <v>0</v>
      </c>
      <c r="BU137" s="561">
        <f t="shared" si="496"/>
        <v>0</v>
      </c>
      <c r="BV137" s="561">
        <f t="shared" si="496"/>
        <v>0</v>
      </c>
      <c r="BW137" s="561">
        <f t="shared" si="497"/>
        <v>0</v>
      </c>
      <c r="BX137" s="561">
        <f t="shared" si="497"/>
        <v>0</v>
      </c>
      <c r="BY137" s="561">
        <f t="shared" si="497"/>
        <v>0</v>
      </c>
      <c r="BZ137" s="561">
        <f t="shared" si="497"/>
        <v>0</v>
      </c>
      <c r="CA137" s="561">
        <f t="shared" si="497"/>
        <v>0</v>
      </c>
      <c r="CB137" s="561">
        <f t="shared" si="497"/>
        <v>0</v>
      </c>
      <c r="CC137" s="561">
        <f t="shared" si="497"/>
        <v>0</v>
      </c>
      <c r="CD137" s="561">
        <f t="shared" si="497"/>
        <v>0</v>
      </c>
      <c r="CE137" s="561">
        <f t="shared" si="497"/>
        <v>0</v>
      </c>
      <c r="CF137" s="561">
        <f t="shared" si="497"/>
        <v>0</v>
      </c>
      <c r="CG137" s="561">
        <f t="shared" si="497"/>
        <v>0</v>
      </c>
      <c r="CH137" s="561">
        <f t="shared" si="497"/>
        <v>0</v>
      </c>
      <c r="CI137" s="561">
        <f t="shared" si="497"/>
        <v>0</v>
      </c>
      <c r="CJ137" s="561">
        <f t="shared" si="497"/>
        <v>0</v>
      </c>
      <c r="CK137" s="561">
        <f t="shared" si="497"/>
        <v>0</v>
      </c>
      <c r="CL137" s="561">
        <f t="shared" si="497"/>
        <v>0</v>
      </c>
      <c r="CM137" s="561">
        <f t="shared" si="499"/>
        <v>0</v>
      </c>
      <c r="CN137" s="561">
        <f t="shared" si="499"/>
        <v>0</v>
      </c>
      <c r="CO137" s="561">
        <f t="shared" si="499"/>
        <v>0</v>
      </c>
      <c r="CP137" s="561">
        <f t="shared" si="499"/>
        <v>0</v>
      </c>
      <c r="CQ137" s="561">
        <f t="shared" si="499"/>
        <v>0</v>
      </c>
      <c r="CR137" s="561">
        <f t="shared" si="499"/>
        <v>0</v>
      </c>
      <c r="CS137" s="561">
        <f t="shared" si="499"/>
        <v>0</v>
      </c>
      <c r="CT137" s="561">
        <f t="shared" si="499"/>
        <v>0</v>
      </c>
      <c r="CU137" s="561">
        <f t="shared" si="499"/>
        <v>0</v>
      </c>
      <c r="CV137" s="561">
        <f t="shared" si="499"/>
        <v>0</v>
      </c>
      <c r="CW137" s="561">
        <f t="shared" si="499"/>
        <v>0</v>
      </c>
      <c r="CX137" s="561">
        <f t="shared" si="499"/>
        <v>0</v>
      </c>
      <c r="CY137" s="561">
        <f t="shared" si="499"/>
        <v>0</v>
      </c>
      <c r="CZ137" s="561">
        <f t="shared" si="499"/>
        <v>0</v>
      </c>
      <c r="DA137" s="561">
        <f t="shared" si="499"/>
        <v>0</v>
      </c>
      <c r="DB137" s="561">
        <f t="shared" si="499"/>
        <v>0</v>
      </c>
      <c r="DC137" s="561">
        <f t="shared" si="498"/>
        <v>0</v>
      </c>
      <c r="DD137" s="561">
        <f t="shared" si="498"/>
        <v>0</v>
      </c>
      <c r="DE137" s="561">
        <f t="shared" si="498"/>
        <v>0</v>
      </c>
      <c r="DF137" s="561">
        <f t="shared" si="498"/>
        <v>0</v>
      </c>
      <c r="DG137" s="561">
        <f t="shared" si="498"/>
        <v>0</v>
      </c>
      <c r="DH137" s="561">
        <f t="shared" si="498"/>
        <v>0</v>
      </c>
      <c r="DI137" s="561">
        <f t="shared" si="498"/>
        <v>0</v>
      </c>
      <c r="DJ137" s="561">
        <f t="shared" si="498"/>
        <v>0</v>
      </c>
      <c r="DK137" s="561">
        <f t="shared" si="498"/>
        <v>0</v>
      </c>
      <c r="DL137" s="561">
        <f t="shared" si="498"/>
        <v>0</v>
      </c>
      <c r="DM137" s="561">
        <f t="shared" si="498"/>
        <v>0</v>
      </c>
      <c r="DN137" s="561">
        <f t="shared" si="498"/>
        <v>0</v>
      </c>
      <c r="DO137" s="561">
        <f t="shared" si="498"/>
        <v>0</v>
      </c>
      <c r="DP137" s="561">
        <f t="shared" si="498"/>
        <v>0</v>
      </c>
    </row>
    <row r="138" spans="1:120" outlineLevel="1">
      <c r="A138" s="89">
        <v>1110052010</v>
      </c>
      <c r="B138" s="90"/>
      <c r="C138" s="1476" t="s">
        <v>64</v>
      </c>
      <c r="D138" s="1481"/>
      <c r="E138" s="1482"/>
      <c r="F138" s="420"/>
      <c r="G138" s="1256"/>
      <c r="H138" s="421"/>
      <c r="I138" s="422"/>
      <c r="J138" s="1425">
        <v>1</v>
      </c>
      <c r="K138" s="1426">
        <v>1</v>
      </c>
      <c r="L138" s="1043"/>
      <c r="M138" s="1594">
        <f t="shared" ref="M138" si="550">+L138*J138</f>
        <v>0</v>
      </c>
      <c r="N138" s="504">
        <f ca="1">IF(OR(E138="",E138&gt;TODAY()),0,IF(ISERROR(VLOOKUP($E138,'TRM BanRep'!$A:$G,7,0)),0,VLOOKUP($E138,'TRM BanRep'!$A:$G,7,0)))</f>
        <v>0</v>
      </c>
      <c r="O138" s="424">
        <f t="shared" ca="1" si="480"/>
        <v>0</v>
      </c>
      <c r="P138" s="425"/>
      <c r="Q138" s="1340">
        <f t="shared" si="427"/>
        <v>0</v>
      </c>
      <c r="R138" s="426"/>
      <c r="S138" s="426">
        <f ca="1">IF(OR(E138="",E138&gt;TODAY()),0,IF(ISERROR(VLOOKUP($E138,'TRM BanRep'!$A:$G,7,0)),0,VLOOKUP($E138,'TRM BanRep'!$A:$G,7,0)))</f>
        <v>0</v>
      </c>
      <c r="T138" s="427">
        <f t="shared" ca="1" si="482"/>
        <v>0</v>
      </c>
      <c r="U138" s="418">
        <f t="shared" si="483"/>
        <v>0</v>
      </c>
      <c r="V138" s="517">
        <f t="shared" ca="1" si="435"/>
        <v>0</v>
      </c>
      <c r="W138" s="428">
        <f t="shared" ca="1" si="484"/>
        <v>0</v>
      </c>
      <c r="X138" s="429">
        <f t="shared" ca="1" si="485"/>
        <v>0</v>
      </c>
      <c r="Y138" s="92"/>
      <c r="Z138" s="1055"/>
      <c r="AA138" s="85">
        <f t="shared" si="494"/>
        <v>0</v>
      </c>
      <c r="AB138" s="508">
        <f t="shared" si="494"/>
        <v>0</v>
      </c>
      <c r="AC138" s="508">
        <f t="shared" si="494"/>
        <v>0</v>
      </c>
      <c r="AD138" s="508">
        <f t="shared" si="494"/>
        <v>0</v>
      </c>
      <c r="AE138" s="508">
        <f t="shared" si="494"/>
        <v>0</v>
      </c>
      <c r="AF138" s="561">
        <f t="shared" si="494"/>
        <v>0</v>
      </c>
      <c r="AG138" s="561">
        <f t="shared" si="494"/>
        <v>0</v>
      </c>
      <c r="AH138" s="561">
        <f t="shared" si="494"/>
        <v>0</v>
      </c>
      <c r="AI138" s="561">
        <f t="shared" si="494"/>
        <v>0</v>
      </c>
      <c r="AJ138" s="561">
        <f t="shared" si="494"/>
        <v>0</v>
      </c>
      <c r="AK138" s="561">
        <f t="shared" si="494"/>
        <v>0</v>
      </c>
      <c r="AL138" s="1542">
        <f t="shared" si="494"/>
        <v>0</v>
      </c>
      <c r="AM138" s="561">
        <f t="shared" si="494"/>
        <v>0</v>
      </c>
      <c r="AN138" s="561">
        <f t="shared" si="494"/>
        <v>0</v>
      </c>
      <c r="AO138" s="561">
        <f t="shared" si="494"/>
        <v>0</v>
      </c>
      <c r="AP138" s="561">
        <f t="shared" si="494"/>
        <v>0</v>
      </c>
      <c r="AQ138" s="561">
        <f t="shared" si="495"/>
        <v>0</v>
      </c>
      <c r="AR138" s="561">
        <f t="shared" si="495"/>
        <v>0</v>
      </c>
      <c r="AS138" s="561">
        <f t="shared" si="495"/>
        <v>0</v>
      </c>
      <c r="AT138" s="561">
        <f t="shared" si="495"/>
        <v>0</v>
      </c>
      <c r="AU138" s="561">
        <f t="shared" si="495"/>
        <v>0</v>
      </c>
      <c r="AV138" s="561">
        <f t="shared" si="495"/>
        <v>0</v>
      </c>
      <c r="AW138" s="561">
        <f t="shared" si="495"/>
        <v>0</v>
      </c>
      <c r="AX138" s="561">
        <f t="shared" si="495"/>
        <v>0</v>
      </c>
      <c r="AY138" s="561">
        <f t="shared" si="495"/>
        <v>0</v>
      </c>
      <c r="AZ138" s="561">
        <f t="shared" si="495"/>
        <v>0</v>
      </c>
      <c r="BA138" s="561">
        <f t="shared" si="495"/>
        <v>0</v>
      </c>
      <c r="BB138" s="561">
        <f t="shared" si="495"/>
        <v>0</v>
      </c>
      <c r="BC138" s="561">
        <f t="shared" si="495"/>
        <v>0</v>
      </c>
      <c r="BD138" s="561">
        <f t="shared" si="495"/>
        <v>0</v>
      </c>
      <c r="BE138" s="561">
        <f t="shared" si="495"/>
        <v>0</v>
      </c>
      <c r="BF138" s="561">
        <f t="shared" si="495"/>
        <v>0</v>
      </c>
      <c r="BG138" s="561">
        <f t="shared" si="496"/>
        <v>0</v>
      </c>
      <c r="BH138" s="561">
        <f t="shared" si="496"/>
        <v>0</v>
      </c>
      <c r="BI138" s="561">
        <f t="shared" si="496"/>
        <v>0</v>
      </c>
      <c r="BJ138" s="561">
        <f t="shared" si="496"/>
        <v>0</v>
      </c>
      <c r="BK138" s="561">
        <f t="shared" si="496"/>
        <v>0</v>
      </c>
      <c r="BL138" s="561">
        <f t="shared" si="496"/>
        <v>0</v>
      </c>
      <c r="BM138" s="561">
        <f t="shared" si="496"/>
        <v>0</v>
      </c>
      <c r="BN138" s="561">
        <f t="shared" si="496"/>
        <v>0</v>
      </c>
      <c r="BO138" s="561">
        <f t="shared" si="496"/>
        <v>0</v>
      </c>
      <c r="BP138" s="561">
        <f t="shared" si="496"/>
        <v>0</v>
      </c>
      <c r="BQ138" s="561">
        <f t="shared" si="496"/>
        <v>0</v>
      </c>
      <c r="BR138" s="561">
        <f t="shared" si="496"/>
        <v>0</v>
      </c>
      <c r="BS138" s="561">
        <f t="shared" si="496"/>
        <v>0</v>
      </c>
      <c r="BT138" s="561">
        <f t="shared" si="496"/>
        <v>0</v>
      </c>
      <c r="BU138" s="561">
        <f t="shared" si="496"/>
        <v>0</v>
      </c>
      <c r="BV138" s="561">
        <f t="shared" si="496"/>
        <v>0</v>
      </c>
      <c r="BW138" s="561">
        <f t="shared" si="497"/>
        <v>0</v>
      </c>
      <c r="BX138" s="561">
        <f t="shared" si="497"/>
        <v>0</v>
      </c>
      <c r="BY138" s="561">
        <f t="shared" si="497"/>
        <v>0</v>
      </c>
      <c r="BZ138" s="561">
        <f t="shared" si="497"/>
        <v>0</v>
      </c>
      <c r="CA138" s="561">
        <f t="shared" si="497"/>
        <v>0</v>
      </c>
      <c r="CB138" s="561">
        <f t="shared" si="497"/>
        <v>0</v>
      </c>
      <c r="CC138" s="561">
        <f t="shared" si="497"/>
        <v>0</v>
      </c>
      <c r="CD138" s="561">
        <f t="shared" si="497"/>
        <v>0</v>
      </c>
      <c r="CE138" s="561">
        <f t="shared" si="497"/>
        <v>0</v>
      </c>
      <c r="CF138" s="561">
        <f t="shared" si="497"/>
        <v>0</v>
      </c>
      <c r="CG138" s="561">
        <f t="shared" si="497"/>
        <v>0</v>
      </c>
      <c r="CH138" s="561">
        <f t="shared" si="497"/>
        <v>0</v>
      </c>
      <c r="CI138" s="561">
        <f t="shared" si="497"/>
        <v>0</v>
      </c>
      <c r="CJ138" s="561">
        <f t="shared" si="497"/>
        <v>0</v>
      </c>
      <c r="CK138" s="561">
        <f t="shared" si="497"/>
        <v>0</v>
      </c>
      <c r="CL138" s="561">
        <f t="shared" si="497"/>
        <v>0</v>
      </c>
      <c r="CM138" s="561">
        <f t="shared" si="499"/>
        <v>0</v>
      </c>
      <c r="CN138" s="561">
        <f t="shared" si="499"/>
        <v>0</v>
      </c>
      <c r="CO138" s="561">
        <f t="shared" si="499"/>
        <v>0</v>
      </c>
      <c r="CP138" s="561">
        <f t="shared" si="499"/>
        <v>0</v>
      </c>
      <c r="CQ138" s="561">
        <f t="shared" si="499"/>
        <v>0</v>
      </c>
      <c r="CR138" s="561">
        <f t="shared" si="499"/>
        <v>0</v>
      </c>
      <c r="CS138" s="561">
        <f t="shared" si="499"/>
        <v>0</v>
      </c>
      <c r="CT138" s="561">
        <f t="shared" si="499"/>
        <v>0</v>
      </c>
      <c r="CU138" s="561">
        <f t="shared" si="499"/>
        <v>0</v>
      </c>
      <c r="CV138" s="561">
        <f t="shared" si="499"/>
        <v>0</v>
      </c>
      <c r="CW138" s="561">
        <f t="shared" si="499"/>
        <v>0</v>
      </c>
      <c r="CX138" s="561">
        <f t="shared" si="499"/>
        <v>0</v>
      </c>
      <c r="CY138" s="561">
        <f t="shared" si="499"/>
        <v>0</v>
      </c>
      <c r="CZ138" s="561">
        <f t="shared" si="499"/>
        <v>0</v>
      </c>
      <c r="DA138" s="561">
        <f t="shared" si="499"/>
        <v>0</v>
      </c>
      <c r="DB138" s="561">
        <f t="shared" si="499"/>
        <v>0</v>
      </c>
      <c r="DC138" s="561">
        <f t="shared" si="498"/>
        <v>0</v>
      </c>
      <c r="DD138" s="561">
        <f t="shared" si="498"/>
        <v>0</v>
      </c>
      <c r="DE138" s="561">
        <f t="shared" si="498"/>
        <v>0</v>
      </c>
      <c r="DF138" s="561">
        <f t="shared" si="498"/>
        <v>0</v>
      </c>
      <c r="DG138" s="561">
        <f t="shared" si="498"/>
        <v>0</v>
      </c>
      <c r="DH138" s="561">
        <f t="shared" si="498"/>
        <v>0</v>
      </c>
      <c r="DI138" s="561">
        <f t="shared" si="498"/>
        <v>0</v>
      </c>
      <c r="DJ138" s="561">
        <f t="shared" si="498"/>
        <v>0</v>
      </c>
      <c r="DK138" s="561">
        <f t="shared" si="498"/>
        <v>0</v>
      </c>
      <c r="DL138" s="561">
        <f t="shared" si="498"/>
        <v>0</v>
      </c>
      <c r="DM138" s="561">
        <f t="shared" si="498"/>
        <v>0</v>
      </c>
      <c r="DN138" s="561">
        <f t="shared" si="498"/>
        <v>0</v>
      </c>
      <c r="DO138" s="561">
        <f t="shared" si="498"/>
        <v>0</v>
      </c>
      <c r="DP138" s="561">
        <f t="shared" si="498"/>
        <v>0</v>
      </c>
    </row>
    <row r="139" spans="1:120" outlineLevel="1">
      <c r="A139" s="55"/>
      <c r="B139" s="509"/>
      <c r="C139" s="1512"/>
      <c r="D139" s="1469"/>
      <c r="E139" s="1470"/>
      <c r="F139" s="416"/>
      <c r="G139" s="1251"/>
      <c r="H139" s="511"/>
      <c r="I139" s="512"/>
      <c r="J139" s="1383"/>
      <c r="K139" s="1383"/>
      <c r="L139" s="419"/>
      <c r="M139" s="1337"/>
      <c r="N139" s="504"/>
      <c r="O139" s="513">
        <f>+L139*N139</f>
        <v>0</v>
      </c>
      <c r="P139" s="431"/>
      <c r="Q139" s="514"/>
      <c r="R139" s="515"/>
      <c r="S139" s="515"/>
      <c r="T139" s="562">
        <f>+P139*S139</f>
        <v>0</v>
      </c>
      <c r="U139" s="418">
        <f>+L139+P139+F139</f>
        <v>0</v>
      </c>
      <c r="V139" s="517">
        <f t="shared" si="435"/>
        <v>0</v>
      </c>
      <c r="W139" s="976">
        <f>(IF(R139&gt;S139,(-P139*R139)-(-P139*S139),0))</f>
        <v>0</v>
      </c>
      <c r="X139" s="975">
        <f>(IF(R139&lt;S139,(-P139*R139)-(-P139*S139),0))</f>
        <v>0</v>
      </c>
      <c r="Y139" s="519"/>
      <c r="Z139" s="1055"/>
      <c r="AA139" s="53"/>
      <c r="AB139" s="507"/>
      <c r="AC139" s="507"/>
      <c r="AD139" s="507"/>
      <c r="AE139" s="507"/>
      <c r="AF139" s="506"/>
      <c r="AG139" s="506"/>
      <c r="AH139" s="506"/>
      <c r="AI139" s="506"/>
      <c r="AJ139" s="506"/>
      <c r="AK139" s="506"/>
      <c r="AL139" s="1561"/>
      <c r="AM139" s="506"/>
      <c r="AN139" s="506"/>
      <c r="AO139" s="506"/>
      <c r="AP139" s="506"/>
      <c r="AQ139" s="506"/>
      <c r="AR139" s="506"/>
      <c r="AS139" s="506"/>
      <c r="AT139" s="506"/>
      <c r="AU139" s="506"/>
      <c r="AV139" s="506"/>
      <c r="AW139" s="506"/>
      <c r="AX139" s="506"/>
      <c r="AY139" s="506"/>
      <c r="AZ139" s="506"/>
      <c r="BA139" s="506"/>
      <c r="BB139" s="506"/>
      <c r="BC139" s="506"/>
      <c r="BD139" s="506"/>
      <c r="BE139" s="506"/>
      <c r="BF139" s="506"/>
      <c r="BG139" s="506"/>
      <c r="BH139" s="506"/>
      <c r="BI139" s="506"/>
      <c r="BJ139" s="506"/>
      <c r="BK139" s="506"/>
      <c r="BL139" s="506"/>
      <c r="BM139" s="506"/>
      <c r="BN139" s="506"/>
      <c r="BO139" s="506"/>
      <c r="BP139" s="506"/>
      <c r="BQ139" s="506"/>
      <c r="BR139" s="506"/>
      <c r="BS139" s="506"/>
      <c r="BT139" s="506"/>
      <c r="BU139" s="506"/>
      <c r="BV139" s="506"/>
      <c r="BW139" s="506"/>
      <c r="BX139" s="506"/>
      <c r="BY139" s="506"/>
      <c r="BZ139" s="506"/>
      <c r="CA139" s="506"/>
      <c r="CB139" s="506"/>
      <c r="CC139" s="506"/>
      <c r="CD139" s="506"/>
      <c r="CE139" s="506"/>
      <c r="CF139" s="506"/>
      <c r="CG139" s="506"/>
      <c r="CH139" s="506"/>
      <c r="CI139" s="506"/>
      <c r="CJ139" s="506"/>
      <c r="CK139" s="506"/>
      <c r="CL139" s="506"/>
      <c r="CM139" s="506"/>
      <c r="CN139" s="506"/>
      <c r="CO139" s="506"/>
      <c r="CP139" s="506"/>
      <c r="CQ139" s="506"/>
      <c r="CR139" s="506"/>
      <c r="CS139" s="506"/>
      <c r="CT139" s="506"/>
      <c r="CU139" s="506"/>
      <c r="CV139" s="506"/>
      <c r="CW139" s="506"/>
      <c r="CX139" s="506"/>
      <c r="CY139" s="506"/>
      <c r="CZ139" s="506"/>
      <c r="DA139" s="506"/>
      <c r="DB139" s="506"/>
      <c r="DC139" s="506"/>
      <c r="DD139" s="506"/>
      <c r="DE139" s="506"/>
      <c r="DF139" s="506"/>
      <c r="DG139" s="506"/>
      <c r="DH139" s="506"/>
      <c r="DI139" s="506"/>
      <c r="DJ139" s="506"/>
      <c r="DK139" s="506"/>
      <c r="DL139" s="506"/>
      <c r="DM139" s="506"/>
      <c r="DN139" s="506"/>
      <c r="DO139" s="506"/>
      <c r="DP139" s="506"/>
    </row>
    <row r="140" spans="1:120" ht="16.5" thickBot="1">
      <c r="A140" s="62" t="s">
        <v>229</v>
      </c>
      <c r="B140" s="63"/>
      <c r="C140" s="184"/>
      <c r="D140" s="1473"/>
      <c r="E140" s="1474"/>
      <c r="F140" s="66">
        <f>SUM(F113:F139)</f>
        <v>0</v>
      </c>
      <c r="G140" s="1253"/>
      <c r="H140" s="67"/>
      <c r="I140" s="68">
        <f>SUM(I113:I139)</f>
        <v>0</v>
      </c>
      <c r="J140" s="1376"/>
      <c r="K140" s="76"/>
      <c r="L140" s="1051">
        <f>SUM(L113:L139)</f>
        <v>10453224.109999999</v>
      </c>
      <c r="M140" s="1598"/>
      <c r="N140" s="70"/>
      <c r="O140" s="71">
        <f ca="1">SUM(O113:O139)</f>
        <v>48147491290.226395</v>
      </c>
      <c r="P140" s="72">
        <f>SUM(P113:P139)</f>
        <v>-12722535.58</v>
      </c>
      <c r="Q140" s="1339"/>
      <c r="R140" s="73"/>
      <c r="S140" s="73"/>
      <c r="T140" s="96">
        <f ca="1">SUM(T113:T139)</f>
        <v>-58839598764.069504</v>
      </c>
      <c r="U140" s="66">
        <f>SUM(U113:U139)</f>
        <v>-2269311.4700000002</v>
      </c>
      <c r="V140" s="76">
        <f ca="1">SUM(V113:V139)</f>
        <v>-10801356534.517904</v>
      </c>
      <c r="W140" s="97">
        <f ca="1">SUM(W113:W139)</f>
        <v>514813554.35260004</v>
      </c>
      <c r="X140" s="98">
        <f ca="1">SUM(X113:X139)</f>
        <v>-405564493.67779958</v>
      </c>
      <c r="Y140" s="43"/>
      <c r="AA140" s="80">
        <f t="shared" ref="AA140:BF140" ca="1" si="551">SUM(AA111:AA139)</f>
        <v>-2.7939677238464355E-9</v>
      </c>
      <c r="AB140" s="80">
        <f t="shared" ca="1" si="551"/>
        <v>0</v>
      </c>
      <c r="AC140" s="80">
        <f t="shared" ca="1" si="551"/>
        <v>0</v>
      </c>
      <c r="AD140" s="80">
        <f t="shared" ca="1" si="551"/>
        <v>0</v>
      </c>
      <c r="AE140" s="80">
        <f t="shared" ca="1" si="551"/>
        <v>0</v>
      </c>
      <c r="AF140" s="80">
        <f t="shared" ca="1" si="551"/>
        <v>0</v>
      </c>
      <c r="AG140" s="80">
        <f t="shared" ca="1" si="551"/>
        <v>0</v>
      </c>
      <c r="AH140" s="80">
        <f t="shared" ca="1" si="551"/>
        <v>0</v>
      </c>
      <c r="AI140" s="80">
        <f t="shared" ca="1" si="551"/>
        <v>0</v>
      </c>
      <c r="AJ140" s="80">
        <f t="shared" ca="1" si="551"/>
        <v>-2.3283064365386963E-10</v>
      </c>
      <c r="AK140" s="80">
        <f t="shared" ca="1" si="551"/>
        <v>-2.3283064365386963E-10</v>
      </c>
      <c r="AL140" s="80">
        <f t="shared" ca="1" si="551"/>
        <v>0</v>
      </c>
      <c r="AM140" s="80">
        <f t="shared" ca="1" si="551"/>
        <v>2.3283064365386963E-10</v>
      </c>
      <c r="AN140" s="80">
        <f t="shared" ca="1" si="551"/>
        <v>0</v>
      </c>
      <c r="AO140" s="80">
        <f t="shared" ca="1" si="551"/>
        <v>0</v>
      </c>
      <c r="AP140" s="80">
        <f t="shared" ca="1" si="551"/>
        <v>0</v>
      </c>
      <c r="AQ140" s="80">
        <f t="shared" ca="1" si="551"/>
        <v>0</v>
      </c>
      <c r="AR140" s="80">
        <f t="shared" ca="1" si="551"/>
        <v>0</v>
      </c>
      <c r="AS140" s="80">
        <f t="shared" ca="1" si="551"/>
        <v>-4.3655745685100555E-11</v>
      </c>
      <c r="AT140" s="80">
        <f t="shared" ca="1" si="551"/>
        <v>0</v>
      </c>
      <c r="AU140" s="80">
        <f t="shared" ca="1" si="551"/>
        <v>0</v>
      </c>
      <c r="AV140" s="80">
        <f t="shared" ca="1" si="551"/>
        <v>-2.3283064365386963E-10</v>
      </c>
      <c r="AW140" s="80">
        <f t="shared" ca="1" si="551"/>
        <v>-2.3283064365386963E-10</v>
      </c>
      <c r="AX140" s="80">
        <f t="shared" ca="1" si="551"/>
        <v>0</v>
      </c>
      <c r="AY140" s="80">
        <f t="shared" ca="1" si="551"/>
        <v>0</v>
      </c>
      <c r="AZ140" s="80">
        <f t="shared" ca="1" si="551"/>
        <v>0</v>
      </c>
      <c r="BA140" s="80">
        <f t="shared" ca="1" si="551"/>
        <v>1375193.1800000004</v>
      </c>
      <c r="BB140" s="80">
        <f t="shared" ca="1" si="551"/>
        <v>0</v>
      </c>
      <c r="BC140" s="80">
        <f t="shared" ca="1" si="551"/>
        <v>0</v>
      </c>
      <c r="BD140" s="80">
        <f t="shared" ca="1" si="551"/>
        <v>0</v>
      </c>
      <c r="BE140" s="80">
        <f t="shared" ca="1" si="551"/>
        <v>0</v>
      </c>
      <c r="BF140" s="80">
        <f t="shared" ca="1" si="551"/>
        <v>0</v>
      </c>
      <c r="BG140" s="80">
        <f t="shared" ref="BG140:CL140" ca="1" si="552">SUM(BG111:BG139)</f>
        <v>0</v>
      </c>
      <c r="BH140" s="80">
        <f t="shared" ca="1" si="552"/>
        <v>0</v>
      </c>
      <c r="BI140" s="80">
        <f t="shared" ca="1" si="552"/>
        <v>0</v>
      </c>
      <c r="BJ140" s="80">
        <f t="shared" ca="1" si="552"/>
        <v>0</v>
      </c>
      <c r="BK140" s="80">
        <f t="shared" ca="1" si="552"/>
        <v>0</v>
      </c>
      <c r="BL140" s="80">
        <f t="shared" ca="1" si="552"/>
        <v>0</v>
      </c>
      <c r="BM140" s="80">
        <f t="shared" ca="1" si="552"/>
        <v>0</v>
      </c>
      <c r="BN140" s="80">
        <f t="shared" ca="1" si="552"/>
        <v>0</v>
      </c>
      <c r="BO140" s="80">
        <f t="shared" ca="1" si="552"/>
        <v>0</v>
      </c>
      <c r="BP140" s="80">
        <f t="shared" ca="1" si="552"/>
        <v>0</v>
      </c>
      <c r="BQ140" s="80">
        <f t="shared" ca="1" si="552"/>
        <v>0</v>
      </c>
      <c r="BR140" s="80">
        <f t="shared" ca="1" si="552"/>
        <v>0</v>
      </c>
      <c r="BS140" s="80">
        <f t="shared" ca="1" si="552"/>
        <v>0</v>
      </c>
      <c r="BT140" s="80">
        <f t="shared" ca="1" si="552"/>
        <v>0</v>
      </c>
      <c r="BU140" s="80">
        <f t="shared" ca="1" si="552"/>
        <v>0</v>
      </c>
      <c r="BV140" s="80">
        <f t="shared" ca="1" si="552"/>
        <v>0</v>
      </c>
      <c r="BW140" s="80">
        <f t="shared" ca="1" si="552"/>
        <v>0</v>
      </c>
      <c r="BX140" s="80">
        <f t="shared" ca="1" si="552"/>
        <v>0</v>
      </c>
      <c r="BY140" s="80">
        <f t="shared" ca="1" si="552"/>
        <v>0</v>
      </c>
      <c r="BZ140" s="80">
        <f t="shared" ca="1" si="552"/>
        <v>0</v>
      </c>
      <c r="CA140" s="80">
        <f t="shared" ca="1" si="552"/>
        <v>0</v>
      </c>
      <c r="CB140" s="80">
        <f t="shared" ca="1" si="552"/>
        <v>0</v>
      </c>
      <c r="CC140" s="80">
        <f t="shared" ca="1" si="552"/>
        <v>0</v>
      </c>
      <c r="CD140" s="80">
        <f t="shared" ca="1" si="552"/>
        <v>0</v>
      </c>
      <c r="CE140" s="80">
        <f t="shared" ca="1" si="552"/>
        <v>0</v>
      </c>
      <c r="CF140" s="80">
        <f t="shared" ca="1" si="552"/>
        <v>0</v>
      </c>
      <c r="CG140" s="80">
        <f t="shared" ca="1" si="552"/>
        <v>0</v>
      </c>
      <c r="CH140" s="80">
        <f t="shared" ca="1" si="552"/>
        <v>0</v>
      </c>
      <c r="CI140" s="80">
        <f t="shared" ca="1" si="552"/>
        <v>0</v>
      </c>
      <c r="CJ140" s="80">
        <f t="shared" ca="1" si="552"/>
        <v>0</v>
      </c>
      <c r="CK140" s="80">
        <f t="shared" ca="1" si="552"/>
        <v>0</v>
      </c>
      <c r="CL140" s="80">
        <f t="shared" ca="1" si="552"/>
        <v>0</v>
      </c>
      <c r="CM140" s="80">
        <f t="shared" ref="CM140:DM140" ca="1" si="553">SUM(CM111:CM139)</f>
        <v>0</v>
      </c>
      <c r="CN140" s="80">
        <f t="shared" ca="1" si="553"/>
        <v>0</v>
      </c>
      <c r="CO140" s="80">
        <f t="shared" ca="1" si="553"/>
        <v>0</v>
      </c>
      <c r="CP140" s="80">
        <f t="shared" ca="1" si="553"/>
        <v>0</v>
      </c>
      <c r="CQ140" s="80">
        <f t="shared" ca="1" si="553"/>
        <v>0</v>
      </c>
      <c r="CR140" s="80">
        <f t="shared" ca="1" si="553"/>
        <v>0</v>
      </c>
      <c r="CS140" s="80">
        <f t="shared" ca="1" si="553"/>
        <v>0</v>
      </c>
      <c r="CT140" s="80">
        <f t="shared" ca="1" si="553"/>
        <v>0</v>
      </c>
      <c r="CU140" s="80">
        <f t="shared" ca="1" si="553"/>
        <v>0</v>
      </c>
      <c r="CV140" s="80">
        <f t="shared" ca="1" si="553"/>
        <v>0</v>
      </c>
      <c r="CW140" s="80">
        <f t="shared" ca="1" si="553"/>
        <v>0</v>
      </c>
      <c r="CX140" s="80">
        <f t="shared" ca="1" si="553"/>
        <v>0</v>
      </c>
      <c r="CY140" s="80">
        <f t="shared" ca="1" si="553"/>
        <v>0</v>
      </c>
      <c r="CZ140" s="80">
        <f t="shared" ca="1" si="553"/>
        <v>0</v>
      </c>
      <c r="DA140" s="80">
        <f t="shared" ca="1" si="553"/>
        <v>0</v>
      </c>
      <c r="DB140" s="80">
        <f t="shared" ca="1" si="553"/>
        <v>0</v>
      </c>
      <c r="DC140" s="80">
        <f t="shared" ca="1" si="553"/>
        <v>0</v>
      </c>
      <c r="DD140" s="80">
        <f t="shared" ca="1" si="553"/>
        <v>0</v>
      </c>
      <c r="DE140" s="80">
        <f t="shared" ca="1" si="553"/>
        <v>0</v>
      </c>
      <c r="DF140" s="80">
        <f t="shared" ca="1" si="553"/>
        <v>0</v>
      </c>
      <c r="DG140" s="80">
        <f t="shared" ca="1" si="553"/>
        <v>0</v>
      </c>
      <c r="DH140" s="80">
        <f t="shared" ca="1" si="553"/>
        <v>0</v>
      </c>
      <c r="DI140" s="80">
        <f t="shared" ca="1" si="553"/>
        <v>0</v>
      </c>
      <c r="DJ140" s="80">
        <f t="shared" ca="1" si="553"/>
        <v>0</v>
      </c>
      <c r="DK140" s="80">
        <f t="shared" ca="1" si="553"/>
        <v>0</v>
      </c>
      <c r="DL140" s="80">
        <f t="shared" ca="1" si="553"/>
        <v>0</v>
      </c>
      <c r="DM140" s="80">
        <f t="shared" ca="1" si="553"/>
        <v>0</v>
      </c>
      <c r="DN140" s="80">
        <f t="shared" ref="DN140:DO140" ca="1" si="554">SUM(DN111:DN139)</f>
        <v>0</v>
      </c>
      <c r="DO140" s="80">
        <f t="shared" ca="1" si="554"/>
        <v>0</v>
      </c>
      <c r="DP140" s="80">
        <f t="shared" ref="DP140" ca="1" si="555">SUM(DP111:DP139)</f>
        <v>0</v>
      </c>
    </row>
    <row r="141" spans="1:120" ht="9.75" customHeight="1"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</row>
    <row r="142" spans="1:120" hidden="1" outlineLevel="1">
      <c r="A142" s="532">
        <v>1110052010</v>
      </c>
      <c r="B142" s="533"/>
      <c r="C142" s="534" t="s">
        <v>64</v>
      </c>
      <c r="D142" s="1477"/>
      <c r="E142" s="1478"/>
      <c r="F142" s="535"/>
      <c r="G142" s="1254"/>
      <c r="H142" s="536"/>
      <c r="I142" s="537"/>
      <c r="J142" s="1483">
        <v>1</v>
      </c>
      <c r="K142" s="1484">
        <v>1</v>
      </c>
      <c r="L142" s="1042"/>
      <c r="M142" s="1593">
        <f t="shared" ref="M142" si="556">+L142*J142</f>
        <v>0</v>
      </c>
      <c r="N142" s="538"/>
      <c r="O142" s="539">
        <f t="shared" ref="O142" si="557">+L142*N142</f>
        <v>0</v>
      </c>
      <c r="P142" s="540"/>
      <c r="Q142" s="540">
        <f t="shared" ref="Q142" si="558">+P142*K142</f>
        <v>0</v>
      </c>
      <c r="R142" s="541"/>
      <c r="S142" s="541"/>
      <c r="T142" s="542">
        <f t="shared" ref="T142:T197" si="559">+P142*S142</f>
        <v>0</v>
      </c>
      <c r="U142" s="543">
        <f t="shared" ref="U142:U197" si="560">+L142+P142+F142</f>
        <v>0</v>
      </c>
      <c r="V142" s="544">
        <f t="shared" ref="V142:V197" si="561">+P142*R142+L142*N142+F142*H142</f>
        <v>0</v>
      </c>
      <c r="W142" s="545">
        <f t="shared" ref="W142:W197" si="562">(IF(R142&gt;S142,(-P142*R142)-(-P142*S142),0))</f>
        <v>0</v>
      </c>
      <c r="X142" s="546">
        <f t="shared" ref="X142:X197" si="563">(IF(R142&lt;S142,(-P142*R142)-(-P142*S142),0))</f>
        <v>0</v>
      </c>
      <c r="Y142" s="547"/>
      <c r="AA142" s="574"/>
      <c r="AB142" s="574"/>
      <c r="AC142" s="574"/>
      <c r="AD142" s="574"/>
      <c r="AE142" s="574"/>
      <c r="AF142" s="575"/>
      <c r="AG142" s="575"/>
      <c r="AH142" s="575"/>
      <c r="AI142" s="575"/>
      <c r="AJ142" s="575"/>
      <c r="AK142" s="575"/>
      <c r="AL142" s="575"/>
      <c r="AM142" s="575"/>
      <c r="AN142" s="575"/>
      <c r="AO142" s="575"/>
      <c r="AP142" s="575"/>
      <c r="AQ142" s="575"/>
      <c r="AR142" s="575"/>
      <c r="AS142" s="575"/>
      <c r="AT142" s="575"/>
      <c r="AU142" s="575"/>
      <c r="AV142" s="575"/>
      <c r="AW142" s="575"/>
      <c r="AX142" s="576"/>
      <c r="AY142" s="575"/>
      <c r="AZ142" s="575"/>
      <c r="BA142" s="576"/>
      <c r="BB142" s="576">
        <f>+Q142</f>
        <v>0</v>
      </c>
      <c r="BC142" s="575"/>
      <c r="BD142" s="575"/>
      <c r="BE142" s="575"/>
      <c r="BF142" s="575"/>
      <c r="BG142" s="575"/>
      <c r="BH142" s="575"/>
      <c r="BI142" s="575"/>
      <c r="BJ142" s="575"/>
      <c r="BK142" s="575"/>
      <c r="BL142" s="575"/>
      <c r="BM142" s="575"/>
      <c r="BN142" s="575"/>
      <c r="BO142" s="575"/>
      <c r="BP142" s="575"/>
      <c r="BQ142" s="575"/>
      <c r="BR142" s="575"/>
      <c r="BS142" s="575"/>
      <c r="BT142" s="575"/>
      <c r="BU142" s="575"/>
      <c r="BV142" s="575"/>
      <c r="BW142" s="575"/>
      <c r="BX142" s="575"/>
      <c r="BY142" s="575"/>
      <c r="BZ142" s="575"/>
      <c r="CA142" s="575"/>
      <c r="CB142" s="575"/>
      <c r="CC142" s="575"/>
      <c r="CD142" s="575"/>
      <c r="CE142" s="575"/>
      <c r="CF142" s="575"/>
      <c r="CG142" s="575"/>
      <c r="CH142" s="575"/>
      <c r="CI142" s="575"/>
      <c r="CJ142" s="575"/>
      <c r="CK142" s="575"/>
      <c r="CL142" s="575"/>
      <c r="CM142" s="575"/>
      <c r="CN142" s="575"/>
      <c r="CO142" s="575"/>
      <c r="CP142" s="575"/>
      <c r="CQ142" s="575"/>
      <c r="CR142" s="575"/>
      <c r="CS142" s="575"/>
      <c r="CT142" s="575"/>
      <c r="CU142" s="575"/>
      <c r="CV142" s="575"/>
      <c r="CW142" s="575"/>
      <c r="CX142" s="575"/>
      <c r="CY142" s="575"/>
      <c r="CZ142" s="575"/>
      <c r="DA142" s="575"/>
      <c r="DB142" s="575"/>
      <c r="DC142" s="575"/>
      <c r="DD142" s="575"/>
      <c r="DE142" s="575"/>
      <c r="DF142" s="575"/>
      <c r="DG142" s="575"/>
      <c r="DH142" s="575"/>
      <c r="DI142" s="575"/>
      <c r="DJ142" s="575"/>
      <c r="DK142" s="575"/>
      <c r="DL142" s="575"/>
      <c r="DM142" s="575"/>
      <c r="DN142" s="575"/>
      <c r="DO142" s="575"/>
      <c r="DP142" s="575"/>
    </row>
    <row r="143" spans="1:120" hidden="1" outlineLevel="1">
      <c r="A143" s="89">
        <v>1110052010</v>
      </c>
      <c r="B143" s="90"/>
      <c r="C143" s="91" t="s">
        <v>64</v>
      </c>
      <c r="D143" s="1481"/>
      <c r="E143" s="1482"/>
      <c r="F143" s="420"/>
      <c r="G143" s="1256"/>
      <c r="H143" s="421"/>
      <c r="I143" s="422"/>
      <c r="J143" s="1425">
        <v>1</v>
      </c>
      <c r="K143" s="1426">
        <v>1</v>
      </c>
      <c r="L143" s="1043"/>
      <c r="M143" s="1594">
        <f>+L143*J143</f>
        <v>0</v>
      </c>
      <c r="N143" s="415"/>
      <c r="O143" s="424">
        <f>+L143*N143</f>
        <v>0</v>
      </c>
      <c r="P143" s="425"/>
      <c r="Q143" s="1340">
        <f t="shared" ref="Q143:Q144" si="564">+P143*K143</f>
        <v>0</v>
      </c>
      <c r="R143" s="426"/>
      <c r="S143" s="426"/>
      <c r="T143" s="427">
        <f>+P143*S143</f>
        <v>0</v>
      </c>
      <c r="U143" s="418">
        <f>+L143+P143+F143</f>
        <v>0</v>
      </c>
      <c r="V143" s="517">
        <f>+P143*R143+L143*N143+F143*H143</f>
        <v>0</v>
      </c>
      <c r="W143" s="428">
        <f>(IF(R143&gt;S143,(-P143*R143)-(-P143*S143),0))</f>
        <v>0</v>
      </c>
      <c r="X143" s="429">
        <f>(IF(R143&lt;S143,(-P143*R143)-(-P143*S143),0))</f>
        <v>0</v>
      </c>
      <c r="Y143" s="92"/>
      <c r="AA143" s="578"/>
      <c r="AB143" s="578"/>
      <c r="AC143" s="578"/>
      <c r="AD143" s="578"/>
      <c r="AE143" s="578"/>
      <c r="AF143" s="579"/>
      <c r="AG143" s="579"/>
      <c r="AH143" s="579"/>
      <c r="AI143" s="579"/>
      <c r="AJ143" s="579"/>
      <c r="AK143" s="579"/>
      <c r="AL143" s="1563"/>
      <c r="AM143" s="579"/>
      <c r="AN143" s="579"/>
      <c r="AO143" s="579"/>
      <c r="AP143" s="579"/>
      <c r="AQ143" s="579"/>
      <c r="AR143" s="579"/>
      <c r="AS143" s="579"/>
      <c r="AT143" s="579"/>
      <c r="AU143" s="579"/>
      <c r="AV143" s="579"/>
      <c r="AW143" s="579"/>
      <c r="AX143" s="579"/>
      <c r="AY143" s="579"/>
      <c r="AZ143" s="579"/>
      <c r="BA143" s="579"/>
      <c r="BB143" s="594">
        <f>+Q143</f>
        <v>0</v>
      </c>
      <c r="BC143" s="579"/>
      <c r="BD143" s="595"/>
      <c r="BE143" s="595"/>
      <c r="BF143" s="595"/>
      <c r="BG143" s="579"/>
      <c r="BH143" s="579"/>
      <c r="BI143" s="579"/>
      <c r="BJ143" s="579"/>
      <c r="BK143" s="579"/>
      <c r="BL143" s="579"/>
      <c r="BM143" s="579"/>
      <c r="BN143" s="579"/>
      <c r="BO143" s="579"/>
      <c r="BP143" s="579"/>
      <c r="BQ143" s="579"/>
      <c r="BR143" s="579"/>
      <c r="BS143" s="579"/>
      <c r="BT143" s="579"/>
      <c r="BU143" s="579"/>
      <c r="BV143" s="579"/>
      <c r="BW143" s="579"/>
      <c r="BX143" s="579"/>
      <c r="BY143" s="579"/>
      <c r="BZ143" s="579"/>
      <c r="CA143" s="579"/>
      <c r="CB143" s="579"/>
      <c r="CC143" s="579"/>
      <c r="CD143" s="579"/>
      <c r="CE143" s="579"/>
      <c r="CF143" s="579"/>
      <c r="CG143" s="579"/>
      <c r="CH143" s="579"/>
      <c r="CI143" s="579"/>
      <c r="CJ143" s="579"/>
      <c r="CK143" s="579"/>
      <c r="CL143" s="579"/>
      <c r="CM143" s="579"/>
      <c r="CN143" s="579"/>
      <c r="CO143" s="579"/>
      <c r="CP143" s="579"/>
      <c r="CQ143" s="579"/>
      <c r="CR143" s="579"/>
      <c r="CS143" s="579"/>
      <c r="CT143" s="579"/>
      <c r="CU143" s="579"/>
      <c r="CV143" s="579"/>
      <c r="CW143" s="579"/>
      <c r="CX143" s="579"/>
      <c r="CY143" s="579"/>
      <c r="CZ143" s="579"/>
      <c r="DA143" s="579"/>
      <c r="DB143" s="579"/>
      <c r="DC143" s="579"/>
      <c r="DD143" s="579"/>
      <c r="DE143" s="579"/>
      <c r="DF143" s="579"/>
      <c r="DG143" s="579"/>
      <c r="DH143" s="579"/>
      <c r="DI143" s="579"/>
      <c r="DJ143" s="579"/>
      <c r="DK143" s="579"/>
      <c r="DL143" s="579"/>
      <c r="DM143" s="579"/>
      <c r="DN143" s="579"/>
      <c r="DO143" s="579"/>
      <c r="DP143" s="579"/>
    </row>
    <row r="144" spans="1:120" hidden="1" outlineLevel="1">
      <c r="A144" s="89">
        <v>1110052010</v>
      </c>
      <c r="B144" s="90"/>
      <c r="C144" s="91" t="s">
        <v>64</v>
      </c>
      <c r="D144" s="1481"/>
      <c r="E144" s="1482"/>
      <c r="F144" s="420"/>
      <c r="G144" s="1256"/>
      <c r="H144" s="421"/>
      <c r="I144" s="422"/>
      <c r="J144" s="1425">
        <v>1</v>
      </c>
      <c r="K144" s="1426">
        <v>1</v>
      </c>
      <c r="L144" s="1043"/>
      <c r="M144" s="1594">
        <f>+L144*J144</f>
        <v>0</v>
      </c>
      <c r="N144" s="415"/>
      <c r="O144" s="424">
        <f>+L144*N144</f>
        <v>0</v>
      </c>
      <c r="P144" s="425"/>
      <c r="Q144" s="1340">
        <f t="shared" si="564"/>
        <v>0</v>
      </c>
      <c r="R144" s="426"/>
      <c r="S144" s="426"/>
      <c r="T144" s="427">
        <f>+P144*S144</f>
        <v>0</v>
      </c>
      <c r="U144" s="418">
        <f>+L144+P144+F144</f>
        <v>0</v>
      </c>
      <c r="V144" s="517">
        <f>+P144*R144+L144*N144+F144*H144</f>
        <v>0</v>
      </c>
      <c r="W144" s="428">
        <f>(IF(R144&gt;S144,(-P144*R144)-(-P144*S144),0))</f>
        <v>0</v>
      </c>
      <c r="X144" s="429">
        <f>(IF(R144&lt;S144,(-P144*R144)-(-P144*S144),0))</f>
        <v>0</v>
      </c>
      <c r="Y144" s="92"/>
      <c r="Z144" s="1055"/>
      <c r="AA144" s="53"/>
      <c r="AB144" s="507"/>
      <c r="AC144" s="507"/>
      <c r="AD144" s="507"/>
      <c r="AE144" s="507"/>
      <c r="AF144" s="565"/>
      <c r="AG144" s="565"/>
      <c r="AH144" s="565"/>
      <c r="AI144" s="565"/>
      <c r="AJ144" s="565"/>
      <c r="AK144" s="565"/>
      <c r="AL144" s="1562"/>
      <c r="AM144" s="565"/>
      <c r="AN144" s="565"/>
      <c r="AO144" s="565"/>
      <c r="AP144" s="565"/>
      <c r="AQ144" s="565"/>
      <c r="AR144" s="565"/>
      <c r="AS144" s="565"/>
      <c r="AT144" s="565"/>
      <c r="AU144" s="565"/>
      <c r="AV144" s="565"/>
      <c r="AW144" s="565"/>
      <c r="AX144" s="565"/>
      <c r="AY144" s="565"/>
      <c r="AZ144" s="565"/>
      <c r="BA144" s="565"/>
      <c r="BB144" s="594">
        <f>+Q144</f>
        <v>0</v>
      </c>
      <c r="BC144" s="565"/>
      <c r="BD144" s="595"/>
      <c r="BE144" s="595"/>
      <c r="BF144" s="595"/>
      <c r="BG144" s="565"/>
      <c r="BH144" s="565"/>
      <c r="BI144" s="565"/>
      <c r="BJ144" s="565"/>
      <c r="BK144" s="565"/>
      <c r="BL144" s="565"/>
      <c r="BM144" s="565"/>
      <c r="BN144" s="565"/>
      <c r="BO144" s="565"/>
      <c r="BP144" s="565"/>
      <c r="BQ144" s="565"/>
      <c r="BR144" s="565"/>
      <c r="BS144" s="565"/>
      <c r="BT144" s="565"/>
      <c r="BU144" s="565"/>
      <c r="BV144" s="565"/>
      <c r="BW144" s="565"/>
      <c r="BX144" s="565"/>
      <c r="BY144" s="565"/>
      <c r="BZ144" s="565"/>
      <c r="CA144" s="565"/>
      <c r="CB144" s="565"/>
      <c r="CC144" s="565"/>
      <c r="CD144" s="565"/>
      <c r="CE144" s="565"/>
      <c r="CF144" s="565"/>
      <c r="CG144" s="565"/>
      <c r="CH144" s="565"/>
      <c r="CI144" s="565"/>
      <c r="CJ144" s="565"/>
      <c r="CK144" s="565"/>
      <c r="CL144" s="565"/>
      <c r="CM144" s="565"/>
      <c r="CN144" s="565"/>
      <c r="CO144" s="565"/>
      <c r="CP144" s="565"/>
      <c r="CQ144" s="565"/>
      <c r="CR144" s="565"/>
      <c r="CS144" s="565"/>
      <c r="CT144" s="565"/>
      <c r="CU144" s="565"/>
      <c r="CV144" s="565"/>
      <c r="CW144" s="565"/>
      <c r="CX144" s="565"/>
      <c r="CY144" s="565"/>
      <c r="CZ144" s="565"/>
      <c r="DA144" s="565"/>
      <c r="DB144" s="565"/>
      <c r="DC144" s="565"/>
      <c r="DD144" s="565"/>
      <c r="DE144" s="565"/>
      <c r="DF144" s="565"/>
      <c r="DG144" s="565"/>
      <c r="DH144" s="565"/>
      <c r="DI144" s="565"/>
      <c r="DJ144" s="565"/>
      <c r="DK144" s="565"/>
      <c r="DL144" s="565"/>
      <c r="DM144" s="565"/>
      <c r="DN144" s="565"/>
      <c r="DO144" s="565"/>
      <c r="DP144" s="565"/>
    </row>
    <row r="145" spans="1:120" hidden="1" outlineLevel="1">
      <c r="A145" s="89">
        <v>1110052010</v>
      </c>
      <c r="B145" s="90"/>
      <c r="C145" s="91" t="s">
        <v>64</v>
      </c>
      <c r="D145" s="1481"/>
      <c r="E145" s="1482"/>
      <c r="F145" s="420"/>
      <c r="G145" s="1256"/>
      <c r="H145" s="421"/>
      <c r="I145" s="422"/>
      <c r="J145" s="1425">
        <v>1</v>
      </c>
      <c r="K145" s="1426">
        <v>1</v>
      </c>
      <c r="L145" s="1043"/>
      <c r="M145" s="1594">
        <f>+L145*J145</f>
        <v>0</v>
      </c>
      <c r="N145" s="415"/>
      <c r="O145" s="424">
        <f>+L145*N145</f>
        <v>0</v>
      </c>
      <c r="P145" s="425"/>
      <c r="Q145" s="1340">
        <f t="shared" ref="Q145:Q149" si="565">+P145*K145</f>
        <v>0</v>
      </c>
      <c r="R145" s="426"/>
      <c r="S145" s="426"/>
      <c r="T145" s="427">
        <f>+P145*S145</f>
        <v>0</v>
      </c>
      <c r="U145" s="418">
        <f>+L145+P145+F145</f>
        <v>0</v>
      </c>
      <c r="V145" s="517">
        <f>+P145*R145+L145*N145+F145*H145</f>
        <v>0</v>
      </c>
      <c r="W145" s="428">
        <f>(IF(R145&gt;S145,(-P145*R145)-(-P145*S145),0))</f>
        <v>0</v>
      </c>
      <c r="X145" s="429">
        <f>(IF(R145&lt;S145,(-P145*R145)-(-P145*S145),0))</f>
        <v>0</v>
      </c>
      <c r="Y145" s="92"/>
      <c r="Z145" s="1055"/>
      <c r="AA145" s="53"/>
      <c r="AB145" s="507"/>
      <c r="AC145" s="507"/>
      <c r="AD145" s="507"/>
      <c r="AE145" s="507"/>
      <c r="AF145" s="565"/>
      <c r="AG145" s="565"/>
      <c r="AH145" s="565"/>
      <c r="AI145" s="565"/>
      <c r="AJ145" s="565"/>
      <c r="AK145" s="565"/>
      <c r="AL145" s="1562"/>
      <c r="AM145" s="565"/>
      <c r="AN145" s="565"/>
      <c r="AO145" s="565"/>
      <c r="AP145" s="565"/>
      <c r="AQ145" s="565"/>
      <c r="AR145" s="565"/>
      <c r="AS145" s="565"/>
      <c r="AT145" s="565"/>
      <c r="AU145" s="565"/>
      <c r="AV145" s="565"/>
      <c r="AW145" s="565"/>
      <c r="AX145" s="565"/>
      <c r="AY145" s="565"/>
      <c r="AZ145" s="565"/>
      <c r="BA145" s="565"/>
      <c r="BB145" s="565"/>
      <c r="BC145" s="565"/>
      <c r="BD145" s="595"/>
      <c r="BE145" s="595"/>
      <c r="BF145" s="595"/>
      <c r="BG145" s="565"/>
      <c r="BH145" s="565"/>
      <c r="BI145" s="565"/>
      <c r="BJ145" s="565"/>
      <c r="BK145" s="565"/>
      <c r="BL145" s="565"/>
      <c r="BM145" s="565"/>
      <c r="BN145" s="565"/>
      <c r="BO145" s="565">
        <f>+M145</f>
        <v>0</v>
      </c>
      <c r="BP145" s="565"/>
      <c r="BQ145" s="565"/>
      <c r="BR145" s="565"/>
      <c r="BS145" s="565"/>
      <c r="BT145" s="565"/>
      <c r="BU145" s="565"/>
      <c r="BV145" s="565"/>
      <c r="BW145" s="565"/>
      <c r="BX145" s="565"/>
      <c r="BY145" s="565"/>
      <c r="BZ145" s="565"/>
      <c r="CA145" s="565"/>
      <c r="CB145" s="565"/>
      <c r="CC145" s="565"/>
      <c r="CD145" s="565"/>
      <c r="CE145" s="565"/>
      <c r="CF145" s="565"/>
      <c r="CG145" s="565"/>
      <c r="CH145" s="565"/>
      <c r="CI145" s="565"/>
      <c r="CJ145" s="565"/>
      <c r="CK145" s="565"/>
      <c r="CL145" s="565"/>
      <c r="CM145" s="565"/>
      <c r="CN145" s="565"/>
      <c r="CO145" s="565"/>
      <c r="CP145" s="565"/>
      <c r="CQ145" s="565"/>
      <c r="CR145" s="565"/>
      <c r="CS145" s="565"/>
      <c r="CT145" s="565"/>
      <c r="CU145" s="565"/>
      <c r="CV145" s="565"/>
      <c r="CW145" s="565"/>
      <c r="CX145" s="565"/>
      <c r="CY145" s="565"/>
      <c r="CZ145" s="565"/>
      <c r="DA145" s="565"/>
      <c r="DB145" s="565"/>
      <c r="DC145" s="565"/>
      <c r="DD145" s="565"/>
      <c r="DE145" s="565"/>
      <c r="DF145" s="565"/>
      <c r="DG145" s="565"/>
      <c r="DH145" s="565"/>
      <c r="DI145" s="565"/>
      <c r="DJ145" s="565"/>
      <c r="DK145" s="565"/>
      <c r="DL145" s="565"/>
      <c r="DM145" s="565"/>
      <c r="DN145" s="565"/>
      <c r="DO145" s="565"/>
      <c r="DP145" s="565"/>
    </row>
    <row r="146" spans="1:120" hidden="1" outlineLevel="1">
      <c r="A146" s="89">
        <v>1110052010</v>
      </c>
      <c r="B146" s="90"/>
      <c r="C146" s="91" t="s">
        <v>64</v>
      </c>
      <c r="D146" s="1481"/>
      <c r="E146" s="1482"/>
      <c r="F146" s="420"/>
      <c r="G146" s="1256"/>
      <c r="H146" s="421"/>
      <c r="I146" s="422"/>
      <c r="J146" s="1425">
        <v>1</v>
      </c>
      <c r="K146" s="1426">
        <v>1</v>
      </c>
      <c r="L146" s="1043"/>
      <c r="M146" s="1594"/>
      <c r="N146" s="415"/>
      <c r="O146" s="424">
        <f t="shared" ref="O146:O197" si="566">+L146*N146</f>
        <v>0</v>
      </c>
      <c r="P146" s="425"/>
      <c r="Q146" s="1340">
        <f t="shared" si="565"/>
        <v>0</v>
      </c>
      <c r="R146" s="426"/>
      <c r="S146" s="426"/>
      <c r="T146" s="427">
        <f t="shared" si="559"/>
        <v>0</v>
      </c>
      <c r="U146" s="418">
        <f t="shared" si="560"/>
        <v>0</v>
      </c>
      <c r="V146" s="517">
        <f t="shared" si="561"/>
        <v>0</v>
      </c>
      <c r="W146" s="428">
        <f t="shared" si="562"/>
        <v>0</v>
      </c>
      <c r="X146" s="429">
        <f t="shared" si="563"/>
        <v>0</v>
      </c>
      <c r="Y146" s="92"/>
      <c r="Z146" s="1055"/>
      <c r="AA146" s="53"/>
      <c r="AB146" s="507"/>
      <c r="AC146" s="507"/>
      <c r="AD146" s="507"/>
      <c r="AE146" s="507"/>
      <c r="AF146" s="565"/>
      <c r="AG146" s="565"/>
      <c r="AH146" s="565"/>
      <c r="AI146" s="565"/>
      <c r="AJ146" s="565"/>
      <c r="AK146" s="565"/>
      <c r="AL146" s="1562"/>
      <c r="AM146" s="565"/>
      <c r="AN146" s="565"/>
      <c r="AO146" s="565"/>
      <c r="AP146" s="565"/>
      <c r="AQ146" s="565"/>
      <c r="AR146" s="565"/>
      <c r="AS146" s="565"/>
      <c r="AT146" s="565"/>
      <c r="AU146" s="565"/>
      <c r="AV146" s="565"/>
      <c r="AW146" s="565"/>
      <c r="AX146" s="565"/>
      <c r="AY146" s="565"/>
      <c r="AZ146" s="565"/>
      <c r="BA146" s="565"/>
      <c r="BB146" s="594">
        <f>+Q146</f>
        <v>0</v>
      </c>
      <c r="BC146" s="565"/>
      <c r="BD146" s="595"/>
      <c r="BE146" s="595"/>
      <c r="BF146" s="595"/>
      <c r="BG146" s="565"/>
      <c r="BH146" s="565"/>
      <c r="BI146" s="565"/>
      <c r="BJ146" s="565"/>
      <c r="BK146" s="565"/>
      <c r="BL146" s="565"/>
      <c r="BM146" s="565"/>
      <c r="BN146" s="565"/>
      <c r="BO146" s="565"/>
      <c r="BP146" s="565"/>
      <c r="BQ146" s="565"/>
      <c r="BR146" s="565"/>
      <c r="BS146" s="565"/>
      <c r="BT146" s="565"/>
      <c r="BU146" s="565"/>
      <c r="BV146" s="565"/>
      <c r="BW146" s="565"/>
      <c r="BX146" s="565"/>
      <c r="BY146" s="565"/>
      <c r="BZ146" s="565"/>
      <c r="CA146" s="565"/>
      <c r="CB146" s="565"/>
      <c r="CC146" s="565"/>
      <c r="CD146" s="565"/>
      <c r="CE146" s="565"/>
      <c r="CF146" s="565"/>
      <c r="CG146" s="565"/>
      <c r="CH146" s="565"/>
      <c r="CI146" s="565"/>
      <c r="CJ146" s="565"/>
      <c r="CK146" s="565"/>
      <c r="CL146" s="565"/>
      <c r="CM146" s="565"/>
      <c r="CN146" s="565"/>
      <c r="CO146" s="565"/>
      <c r="CP146" s="565"/>
      <c r="CQ146" s="565"/>
      <c r="CR146" s="565"/>
      <c r="CS146" s="565"/>
      <c r="CT146" s="565"/>
      <c r="CU146" s="565"/>
      <c r="CV146" s="565"/>
      <c r="CW146" s="565"/>
      <c r="CX146" s="565"/>
      <c r="CY146" s="565"/>
      <c r="CZ146" s="565"/>
      <c r="DA146" s="565"/>
      <c r="DB146" s="565"/>
      <c r="DC146" s="565"/>
      <c r="DD146" s="565"/>
      <c r="DE146" s="565"/>
      <c r="DF146" s="565"/>
      <c r="DG146" s="565"/>
      <c r="DH146" s="565"/>
      <c r="DI146" s="565"/>
      <c r="DJ146" s="565"/>
      <c r="DK146" s="565"/>
      <c r="DL146" s="565"/>
      <c r="DM146" s="565"/>
      <c r="DN146" s="565"/>
      <c r="DO146" s="565"/>
      <c r="DP146" s="565"/>
    </row>
    <row r="147" spans="1:120" hidden="1" outlineLevel="1">
      <c r="A147" s="89">
        <v>1110052010</v>
      </c>
      <c r="B147" s="90"/>
      <c r="C147" s="91" t="s">
        <v>64</v>
      </c>
      <c r="D147" s="1481"/>
      <c r="E147" s="1482"/>
      <c r="F147" s="420"/>
      <c r="G147" s="1256"/>
      <c r="H147" s="421"/>
      <c r="I147" s="422"/>
      <c r="J147" s="1425">
        <v>1</v>
      </c>
      <c r="K147" s="1426">
        <v>1</v>
      </c>
      <c r="L147" s="1043"/>
      <c r="M147" s="1594">
        <f t="shared" ref="M147:M197" si="567">+L147*J147</f>
        <v>0</v>
      </c>
      <c r="N147" s="415"/>
      <c r="O147" s="424">
        <f t="shared" si="566"/>
        <v>0</v>
      </c>
      <c r="P147" s="425"/>
      <c r="Q147" s="1340">
        <f t="shared" si="565"/>
        <v>0</v>
      </c>
      <c r="R147" s="426"/>
      <c r="S147" s="426"/>
      <c r="T147" s="427">
        <f t="shared" si="559"/>
        <v>0</v>
      </c>
      <c r="U147" s="418">
        <f t="shared" si="560"/>
        <v>0</v>
      </c>
      <c r="V147" s="517">
        <f t="shared" si="561"/>
        <v>0</v>
      </c>
      <c r="W147" s="428">
        <f t="shared" si="562"/>
        <v>0</v>
      </c>
      <c r="X147" s="429">
        <f t="shared" si="563"/>
        <v>0</v>
      </c>
      <c r="Y147" s="92"/>
      <c r="Z147" s="1055"/>
      <c r="AA147" s="53"/>
      <c r="AB147" s="507"/>
      <c r="AC147" s="507"/>
      <c r="AD147" s="507"/>
      <c r="AE147" s="507"/>
      <c r="AF147" s="506"/>
      <c r="AG147" s="506"/>
      <c r="AH147" s="506"/>
      <c r="AI147" s="506"/>
      <c r="AJ147" s="506"/>
      <c r="AK147" s="506"/>
      <c r="AL147" s="1561"/>
      <c r="AM147" s="506"/>
      <c r="AN147" s="506"/>
      <c r="AO147" s="506"/>
      <c r="AP147" s="506"/>
      <c r="AQ147" s="506"/>
      <c r="AR147" s="506"/>
      <c r="AS147" s="506"/>
      <c r="AT147" s="506"/>
      <c r="AU147" s="506"/>
      <c r="AV147" s="506"/>
      <c r="AW147" s="506"/>
      <c r="AX147" s="506"/>
      <c r="AY147" s="506"/>
      <c r="AZ147" s="506"/>
      <c r="BA147" s="506"/>
      <c r="BB147" s="594">
        <f>+Q147</f>
        <v>0</v>
      </c>
      <c r="BC147" s="506"/>
      <c r="BD147" s="595"/>
      <c r="BE147" s="595"/>
      <c r="BF147" s="595"/>
      <c r="BG147" s="506"/>
      <c r="BH147" s="506"/>
      <c r="BI147" s="506"/>
      <c r="BJ147" s="506"/>
      <c r="BK147" s="506"/>
      <c r="BL147" s="506"/>
      <c r="BM147" s="506"/>
      <c r="BN147" s="506"/>
      <c r="BO147" s="506"/>
      <c r="BP147" s="506"/>
      <c r="BQ147" s="506"/>
      <c r="BR147" s="506"/>
      <c r="BS147" s="506"/>
      <c r="BT147" s="506"/>
      <c r="BU147" s="506"/>
      <c r="BV147" s="506"/>
      <c r="BW147" s="506"/>
      <c r="BX147" s="506"/>
      <c r="BY147" s="506"/>
      <c r="BZ147" s="506"/>
      <c r="CA147" s="506"/>
      <c r="CB147" s="506"/>
      <c r="CC147" s="506"/>
      <c r="CD147" s="506"/>
      <c r="CE147" s="506"/>
      <c r="CF147" s="506"/>
      <c r="CG147" s="506"/>
      <c r="CH147" s="506"/>
      <c r="CI147" s="506"/>
      <c r="CJ147" s="506"/>
      <c r="CK147" s="506"/>
      <c r="CL147" s="506"/>
      <c r="CM147" s="506"/>
      <c r="CN147" s="506"/>
      <c r="CO147" s="506"/>
      <c r="CP147" s="506"/>
      <c r="CQ147" s="506"/>
      <c r="CR147" s="506"/>
      <c r="CS147" s="506"/>
      <c r="CT147" s="506"/>
      <c r="CU147" s="506"/>
      <c r="CV147" s="506"/>
      <c r="CW147" s="506"/>
      <c r="CX147" s="506"/>
      <c r="CY147" s="506"/>
      <c r="CZ147" s="506"/>
      <c r="DA147" s="506"/>
      <c r="DB147" s="506"/>
      <c r="DC147" s="506"/>
      <c r="DD147" s="506"/>
      <c r="DE147" s="506"/>
      <c r="DF147" s="506"/>
      <c r="DG147" s="506"/>
      <c r="DH147" s="506"/>
      <c r="DI147" s="506"/>
      <c r="DJ147" s="506"/>
      <c r="DK147" s="506"/>
      <c r="DL147" s="506"/>
      <c r="DM147" s="506"/>
      <c r="DN147" s="506"/>
      <c r="DO147" s="506"/>
      <c r="DP147" s="506"/>
    </row>
    <row r="148" spans="1:120" hidden="1" outlineLevel="1">
      <c r="A148" s="89">
        <v>1110052010</v>
      </c>
      <c r="B148" s="90"/>
      <c r="C148" s="91" t="s">
        <v>64</v>
      </c>
      <c r="D148" s="1481"/>
      <c r="E148" s="1482"/>
      <c r="F148" s="420"/>
      <c r="G148" s="1256"/>
      <c r="H148" s="421"/>
      <c r="I148" s="422"/>
      <c r="J148" s="1425">
        <v>1</v>
      </c>
      <c r="K148" s="1426">
        <v>1</v>
      </c>
      <c r="L148" s="1043"/>
      <c r="M148" s="1594">
        <f t="shared" si="567"/>
        <v>0</v>
      </c>
      <c r="N148" s="415"/>
      <c r="O148" s="424">
        <f t="shared" si="566"/>
        <v>0</v>
      </c>
      <c r="P148" s="425"/>
      <c r="Q148" s="1340">
        <f t="shared" si="565"/>
        <v>0</v>
      </c>
      <c r="R148" s="426"/>
      <c r="S148" s="426"/>
      <c r="T148" s="427">
        <f t="shared" si="559"/>
        <v>0</v>
      </c>
      <c r="U148" s="418">
        <f t="shared" si="560"/>
        <v>0</v>
      </c>
      <c r="V148" s="517">
        <f t="shared" si="561"/>
        <v>0</v>
      </c>
      <c r="W148" s="428">
        <f t="shared" si="562"/>
        <v>0</v>
      </c>
      <c r="X148" s="429">
        <f t="shared" si="563"/>
        <v>0</v>
      </c>
      <c r="Y148" s="92"/>
      <c r="Z148" s="1055"/>
      <c r="AA148" s="53"/>
      <c r="AB148" s="507"/>
      <c r="AC148" s="507"/>
      <c r="AD148" s="507"/>
      <c r="AE148" s="507"/>
      <c r="AF148" s="506"/>
      <c r="AG148" s="506"/>
      <c r="AH148" s="506"/>
      <c r="AI148" s="506"/>
      <c r="AJ148" s="506"/>
      <c r="AK148" s="506"/>
      <c r="AL148" s="1561"/>
      <c r="AM148" s="506"/>
      <c r="AN148" s="506"/>
      <c r="AO148" s="506"/>
      <c r="AP148" s="506"/>
      <c r="AQ148" s="506"/>
      <c r="AR148" s="506"/>
      <c r="AS148" s="506"/>
      <c r="AT148" s="506"/>
      <c r="AU148" s="506"/>
      <c r="AV148" s="506"/>
      <c r="AW148" s="506"/>
      <c r="AX148" s="506"/>
      <c r="AY148" s="506"/>
      <c r="AZ148" s="520"/>
      <c r="BA148" s="506"/>
      <c r="BB148" s="594">
        <f>+Q148</f>
        <v>0</v>
      </c>
      <c r="BC148" s="506"/>
      <c r="BD148" s="595"/>
      <c r="BE148" s="595"/>
      <c r="BF148" s="595"/>
      <c r="BG148" s="506"/>
      <c r="BH148" s="506"/>
      <c r="BI148" s="506"/>
      <c r="BJ148" s="506"/>
      <c r="BK148" s="506"/>
      <c r="BL148" s="506"/>
      <c r="BM148" s="506"/>
      <c r="BN148" s="506"/>
      <c r="BO148" s="506"/>
      <c r="BP148" s="506"/>
      <c r="BQ148" s="506"/>
      <c r="BR148" s="506"/>
      <c r="BS148" s="506"/>
      <c r="BT148" s="506"/>
      <c r="BU148" s="506"/>
      <c r="BV148" s="506"/>
      <c r="BW148" s="506"/>
      <c r="BX148" s="506"/>
      <c r="BY148" s="506"/>
      <c r="BZ148" s="506"/>
      <c r="CA148" s="506"/>
      <c r="CB148" s="506"/>
      <c r="CC148" s="506"/>
      <c r="CD148" s="506"/>
      <c r="CE148" s="506"/>
      <c r="CF148" s="506"/>
      <c r="CG148" s="506"/>
      <c r="CH148" s="506"/>
      <c r="CI148" s="506"/>
      <c r="CJ148" s="506"/>
      <c r="CK148" s="506"/>
      <c r="CL148" s="506"/>
      <c r="CM148" s="506"/>
      <c r="CN148" s="506"/>
      <c r="CO148" s="506"/>
      <c r="CP148" s="506"/>
      <c r="CQ148" s="506"/>
      <c r="CR148" s="506"/>
      <c r="CS148" s="506"/>
      <c r="CT148" s="506"/>
      <c r="CU148" s="506"/>
      <c r="CV148" s="506"/>
      <c r="CW148" s="506"/>
      <c r="CX148" s="506"/>
      <c r="CY148" s="506"/>
      <c r="CZ148" s="506"/>
      <c r="DA148" s="506"/>
      <c r="DB148" s="506"/>
      <c r="DC148" s="506"/>
      <c r="DD148" s="506"/>
      <c r="DE148" s="506"/>
      <c r="DF148" s="506"/>
      <c r="DG148" s="506"/>
      <c r="DH148" s="506"/>
      <c r="DI148" s="506"/>
      <c r="DJ148" s="506"/>
      <c r="DK148" s="506"/>
      <c r="DL148" s="506"/>
      <c r="DM148" s="506"/>
      <c r="DN148" s="506"/>
      <c r="DO148" s="506"/>
      <c r="DP148" s="506"/>
    </row>
    <row r="149" spans="1:120" hidden="1" outlineLevel="1">
      <c r="A149" s="89">
        <v>1110052010</v>
      </c>
      <c r="B149" s="90"/>
      <c r="C149" s="91" t="s">
        <v>64</v>
      </c>
      <c r="D149" s="1481"/>
      <c r="E149" s="1482"/>
      <c r="F149" s="420"/>
      <c r="G149" s="1256"/>
      <c r="H149" s="421"/>
      <c r="I149" s="422"/>
      <c r="J149" s="1425">
        <v>1</v>
      </c>
      <c r="K149" s="1426">
        <v>1</v>
      </c>
      <c r="L149" s="1043"/>
      <c r="M149" s="1594">
        <f t="shared" si="567"/>
        <v>0</v>
      </c>
      <c r="N149" s="415"/>
      <c r="O149" s="424">
        <f t="shared" si="566"/>
        <v>0</v>
      </c>
      <c r="P149" s="425"/>
      <c r="Q149" s="1340">
        <f t="shared" si="565"/>
        <v>0</v>
      </c>
      <c r="R149" s="426"/>
      <c r="S149" s="426"/>
      <c r="T149" s="427">
        <f t="shared" si="559"/>
        <v>0</v>
      </c>
      <c r="U149" s="418">
        <f t="shared" si="560"/>
        <v>0</v>
      </c>
      <c r="V149" s="517">
        <f t="shared" si="561"/>
        <v>0</v>
      </c>
      <c r="W149" s="428">
        <f t="shared" si="562"/>
        <v>0</v>
      </c>
      <c r="X149" s="429">
        <f t="shared" si="563"/>
        <v>0</v>
      </c>
      <c r="Y149" s="92"/>
      <c r="Z149" s="1055"/>
      <c r="AA149" s="53"/>
      <c r="AB149" s="507"/>
      <c r="AC149" s="507"/>
      <c r="AD149" s="507"/>
      <c r="AE149" s="507"/>
      <c r="AF149" s="506"/>
      <c r="AG149" s="506"/>
      <c r="AH149" s="506"/>
      <c r="AI149" s="506"/>
      <c r="AJ149" s="506"/>
      <c r="AK149" s="506"/>
      <c r="AL149" s="1561"/>
      <c r="AM149" s="506"/>
      <c r="AN149" s="506"/>
      <c r="AO149" s="506"/>
      <c r="AP149" s="506"/>
      <c r="AQ149" s="506"/>
      <c r="AR149" s="506"/>
      <c r="AS149" s="506"/>
      <c r="AT149" s="506"/>
      <c r="AU149" s="506"/>
      <c r="AV149" s="506"/>
      <c r="AW149" s="506"/>
      <c r="AX149" s="506"/>
      <c r="AY149" s="506"/>
      <c r="AZ149" s="520"/>
      <c r="BA149" s="506"/>
      <c r="BB149" s="594">
        <f>+Q149</f>
        <v>0</v>
      </c>
      <c r="BC149" s="506"/>
      <c r="BD149" s="595"/>
      <c r="BE149" s="595"/>
      <c r="BF149" s="595"/>
      <c r="BG149" s="506"/>
      <c r="BH149" s="506"/>
      <c r="BI149" s="506"/>
      <c r="BJ149" s="506"/>
      <c r="BK149" s="506"/>
      <c r="BL149" s="506"/>
      <c r="BM149" s="506"/>
      <c r="BN149" s="506"/>
      <c r="BO149" s="506"/>
      <c r="BP149" s="506"/>
      <c r="BQ149" s="506"/>
      <c r="BR149" s="506"/>
      <c r="BS149" s="506"/>
      <c r="BT149" s="506"/>
      <c r="BU149" s="506"/>
      <c r="BV149" s="506"/>
      <c r="BW149" s="506"/>
      <c r="BX149" s="506"/>
      <c r="BY149" s="506"/>
      <c r="BZ149" s="506"/>
      <c r="CA149" s="506"/>
      <c r="CB149" s="506"/>
      <c r="CC149" s="506"/>
      <c r="CD149" s="506"/>
      <c r="CE149" s="506"/>
      <c r="CF149" s="506"/>
      <c r="CG149" s="506"/>
      <c r="CH149" s="506"/>
      <c r="CI149" s="506"/>
      <c r="CJ149" s="506"/>
      <c r="CK149" s="506"/>
      <c r="CL149" s="506"/>
      <c r="CM149" s="506"/>
      <c r="CN149" s="506"/>
      <c r="CO149" s="506"/>
      <c r="CP149" s="506"/>
      <c r="CQ149" s="506"/>
      <c r="CR149" s="506"/>
      <c r="CS149" s="506"/>
      <c r="CT149" s="506"/>
      <c r="CU149" s="506"/>
      <c r="CV149" s="506"/>
      <c r="CW149" s="506"/>
      <c r="CX149" s="506"/>
      <c r="CY149" s="506"/>
      <c r="CZ149" s="506"/>
      <c r="DA149" s="506"/>
      <c r="DB149" s="506"/>
      <c r="DC149" s="506"/>
      <c r="DD149" s="506"/>
      <c r="DE149" s="506"/>
      <c r="DF149" s="506"/>
      <c r="DG149" s="506"/>
      <c r="DH149" s="506"/>
      <c r="DI149" s="506"/>
      <c r="DJ149" s="506"/>
      <c r="DK149" s="506"/>
      <c r="DL149" s="506"/>
      <c r="DM149" s="506"/>
      <c r="DN149" s="506"/>
      <c r="DO149" s="506"/>
      <c r="DP149" s="506"/>
    </row>
    <row r="150" spans="1:120" hidden="1" outlineLevel="1">
      <c r="A150" s="100">
        <v>1110052010</v>
      </c>
      <c r="B150" s="1216"/>
      <c r="C150" s="1695" t="s">
        <v>64</v>
      </c>
      <c r="D150" s="1629"/>
      <c r="E150" s="1630"/>
      <c r="F150" s="102"/>
      <c r="G150" s="1258"/>
      <c r="H150" s="103"/>
      <c r="I150" s="104"/>
      <c r="J150" s="1604">
        <v>1</v>
      </c>
      <c r="K150" s="1605">
        <v>1</v>
      </c>
      <c r="L150" s="1696"/>
      <c r="M150" s="1697">
        <f t="shared" ref="M150:M161" si="568">+L150*J150</f>
        <v>0</v>
      </c>
      <c r="N150" s="106"/>
      <c r="O150" s="107">
        <f t="shared" ref="O150:O161" si="569">+L150*N150</f>
        <v>0</v>
      </c>
      <c r="P150" s="108"/>
      <c r="Q150" s="1340">
        <f t="shared" ref="Q150:Q152" si="570">+P150*K150</f>
        <v>0</v>
      </c>
      <c r="R150" s="109"/>
      <c r="S150" s="109"/>
      <c r="T150" s="110">
        <f t="shared" ref="T150:T161" si="571">+P150*S150</f>
        <v>0</v>
      </c>
      <c r="U150" s="111">
        <f t="shared" ref="U150:U161" si="572">+L150+P150+F150</f>
        <v>0</v>
      </c>
      <c r="V150" s="566">
        <f t="shared" ref="V150:V161" si="573">+P150*R150+L150*N150+F150*H150</f>
        <v>0</v>
      </c>
      <c r="W150" s="112">
        <f t="shared" ref="W150:W161" si="574">(IF(R150&gt;S150,(-P150*R150)-(-P150*S150),0))</f>
        <v>0</v>
      </c>
      <c r="X150" s="113">
        <f t="shared" ref="X150:X161" si="575">(IF(R150&lt;S150,(-P150*R150)-(-P150*S150),0))</f>
        <v>0</v>
      </c>
      <c r="Y150" s="114"/>
      <c r="Z150" s="1055"/>
      <c r="AA150" s="53"/>
      <c r="AB150" s="507"/>
      <c r="AC150" s="507"/>
      <c r="AD150" s="507"/>
      <c r="AE150" s="507"/>
      <c r="AF150" s="565"/>
      <c r="AG150" s="565"/>
      <c r="AH150" s="565"/>
      <c r="AI150" s="565">
        <f>+M150</f>
        <v>0</v>
      </c>
      <c r="AJ150" s="565"/>
      <c r="AK150" s="565"/>
      <c r="AL150" s="1562"/>
      <c r="AM150" s="565"/>
      <c r="AN150" s="565"/>
      <c r="AO150" s="565"/>
      <c r="AP150" s="565"/>
      <c r="AQ150" s="565"/>
      <c r="AR150" s="565"/>
      <c r="AS150" s="565"/>
      <c r="AT150" s="565"/>
      <c r="AU150" s="565"/>
      <c r="AV150" s="565"/>
      <c r="AW150" s="565"/>
      <c r="AX150" s="565"/>
      <c r="AY150" s="565"/>
      <c r="AZ150" s="565"/>
      <c r="BA150" s="565"/>
      <c r="BB150" s="565"/>
      <c r="BC150" s="565"/>
      <c r="BD150" s="565"/>
      <c r="BE150" s="565"/>
      <c r="BF150" s="565"/>
      <c r="BG150" s="565"/>
      <c r="BH150" s="565"/>
      <c r="BI150" s="565"/>
      <c r="BJ150" s="565"/>
      <c r="BK150" s="565"/>
      <c r="BL150" s="565"/>
      <c r="BM150" s="565"/>
      <c r="BN150" s="565"/>
      <c r="BO150" s="565"/>
      <c r="BP150" s="565"/>
      <c r="BQ150" s="565"/>
      <c r="BR150" s="565"/>
      <c r="BS150" s="565"/>
      <c r="BT150" s="565"/>
      <c r="BU150" s="565"/>
      <c r="BV150" s="565"/>
      <c r="BW150" s="565"/>
      <c r="BX150" s="565"/>
      <c r="BY150" s="565"/>
      <c r="BZ150" s="565"/>
      <c r="CA150" s="565"/>
      <c r="CB150" s="565"/>
      <c r="CC150" s="565"/>
      <c r="CD150" s="565"/>
      <c r="CE150" s="565"/>
      <c r="CF150" s="565"/>
      <c r="CG150" s="565"/>
      <c r="CH150" s="565"/>
      <c r="CI150" s="565"/>
      <c r="CJ150" s="565"/>
      <c r="CK150" s="565"/>
      <c r="CL150" s="565"/>
      <c r="CM150" s="565"/>
      <c r="CN150" s="565"/>
      <c r="CO150" s="565"/>
      <c r="CP150" s="565"/>
      <c r="CQ150" s="565"/>
      <c r="CR150" s="565"/>
      <c r="CS150" s="565"/>
      <c r="CT150" s="565"/>
      <c r="CU150" s="565"/>
      <c r="CV150" s="565"/>
      <c r="CW150" s="565"/>
      <c r="CX150" s="565"/>
      <c r="CY150" s="565"/>
      <c r="CZ150" s="565"/>
      <c r="DA150" s="565"/>
      <c r="DB150" s="565"/>
      <c r="DC150" s="565"/>
      <c r="DD150" s="565"/>
      <c r="DE150" s="565"/>
      <c r="DF150" s="565"/>
      <c r="DG150" s="565"/>
      <c r="DH150" s="565"/>
      <c r="DI150" s="565"/>
      <c r="DJ150" s="565"/>
      <c r="DK150" s="565"/>
      <c r="DL150" s="565"/>
      <c r="DM150" s="565"/>
      <c r="DN150" s="565"/>
      <c r="DO150" s="565"/>
      <c r="DP150" s="565"/>
    </row>
    <row r="151" spans="1:120" hidden="1" outlineLevel="1">
      <c r="A151" s="100">
        <v>1110052010</v>
      </c>
      <c r="B151" s="1216"/>
      <c r="C151" s="1695" t="s">
        <v>64</v>
      </c>
      <c r="D151" s="1629"/>
      <c r="E151" s="1630"/>
      <c r="F151" s="102"/>
      <c r="G151" s="1258"/>
      <c r="H151" s="103"/>
      <c r="I151" s="104"/>
      <c r="J151" s="1604">
        <v>1</v>
      </c>
      <c r="K151" s="1605">
        <v>1</v>
      </c>
      <c r="L151" s="1696"/>
      <c r="M151" s="1697">
        <f t="shared" si="568"/>
        <v>0</v>
      </c>
      <c r="N151" s="106"/>
      <c r="O151" s="107">
        <f t="shared" si="569"/>
        <v>0</v>
      </c>
      <c r="P151" s="108"/>
      <c r="Q151" s="1340">
        <f t="shared" si="570"/>
        <v>0</v>
      </c>
      <c r="R151" s="109"/>
      <c r="S151" s="109"/>
      <c r="T151" s="110">
        <f t="shared" si="571"/>
        <v>0</v>
      </c>
      <c r="U151" s="111">
        <f t="shared" si="572"/>
        <v>0</v>
      </c>
      <c r="V151" s="566">
        <f t="shared" si="573"/>
        <v>0</v>
      </c>
      <c r="W151" s="112">
        <f t="shared" si="574"/>
        <v>0</v>
      </c>
      <c r="X151" s="113">
        <f t="shared" si="575"/>
        <v>0</v>
      </c>
      <c r="Y151" s="114"/>
      <c r="Z151" s="1055"/>
      <c r="AA151" s="53"/>
      <c r="AB151" s="507"/>
      <c r="AC151" s="507"/>
      <c r="AD151" s="507"/>
      <c r="AE151" s="507"/>
      <c r="AF151" s="565"/>
      <c r="AG151" s="565"/>
      <c r="AH151" s="565"/>
      <c r="AI151" s="565"/>
      <c r="AJ151" s="565">
        <f>+M151</f>
        <v>0</v>
      </c>
      <c r="AK151" s="565"/>
      <c r="AL151" s="1562"/>
      <c r="AM151" s="565"/>
      <c r="AN151" s="565"/>
      <c r="AO151" s="565"/>
      <c r="AP151" s="565"/>
      <c r="AQ151" s="565"/>
      <c r="AR151" s="565"/>
      <c r="AS151" s="565"/>
      <c r="AT151" s="565"/>
      <c r="AU151" s="565"/>
      <c r="AV151" s="565"/>
      <c r="AW151" s="565"/>
      <c r="AX151" s="565"/>
      <c r="AY151" s="565"/>
      <c r="AZ151" s="565"/>
      <c r="BA151" s="565"/>
      <c r="BB151" s="565"/>
      <c r="BC151" s="565"/>
      <c r="BD151" s="565"/>
      <c r="BE151" s="565"/>
      <c r="BF151" s="565"/>
      <c r="BG151" s="565"/>
      <c r="BH151" s="565"/>
      <c r="BI151" s="565"/>
      <c r="BJ151" s="565"/>
      <c r="BK151" s="565"/>
      <c r="BL151" s="565"/>
      <c r="BM151" s="565"/>
      <c r="BN151" s="565"/>
      <c r="BO151" s="565"/>
      <c r="BP151" s="565"/>
      <c r="BQ151" s="565"/>
      <c r="BR151" s="565"/>
      <c r="BS151" s="565"/>
      <c r="BT151" s="565"/>
      <c r="BU151" s="565"/>
      <c r="BV151" s="565"/>
      <c r="BW151" s="565"/>
      <c r="BX151" s="565"/>
      <c r="BY151" s="565"/>
      <c r="BZ151" s="565"/>
      <c r="CA151" s="565"/>
      <c r="CB151" s="565"/>
      <c r="CC151" s="565"/>
      <c r="CD151" s="565"/>
      <c r="CE151" s="565"/>
      <c r="CF151" s="565"/>
      <c r="CG151" s="565"/>
      <c r="CH151" s="565"/>
      <c r="CI151" s="565"/>
      <c r="CJ151" s="565"/>
      <c r="CK151" s="565"/>
      <c r="CL151" s="565"/>
      <c r="CM151" s="565"/>
      <c r="CN151" s="565"/>
      <c r="CO151" s="565"/>
      <c r="CP151" s="565"/>
      <c r="CQ151" s="565"/>
      <c r="CR151" s="565"/>
      <c r="CS151" s="565"/>
      <c r="CT151" s="565"/>
      <c r="CU151" s="565"/>
      <c r="CV151" s="565"/>
      <c r="CW151" s="565"/>
      <c r="CX151" s="565"/>
      <c r="CY151" s="565"/>
      <c r="CZ151" s="565"/>
      <c r="DA151" s="565"/>
      <c r="DB151" s="565"/>
      <c r="DC151" s="565"/>
      <c r="DD151" s="565"/>
      <c r="DE151" s="565"/>
      <c r="DF151" s="565"/>
      <c r="DG151" s="565"/>
      <c r="DH151" s="565"/>
      <c r="DI151" s="565"/>
      <c r="DJ151" s="565"/>
      <c r="DK151" s="565"/>
      <c r="DL151" s="565"/>
      <c r="DM151" s="565"/>
      <c r="DN151" s="565"/>
      <c r="DO151" s="565"/>
      <c r="DP151" s="565"/>
    </row>
    <row r="152" spans="1:120" hidden="1" outlineLevel="1">
      <c r="A152" s="89">
        <v>1110052010</v>
      </c>
      <c r="B152" s="90"/>
      <c r="C152" s="91" t="s">
        <v>64</v>
      </c>
      <c r="D152" s="1481"/>
      <c r="E152" s="1482"/>
      <c r="F152" s="420"/>
      <c r="G152" s="1256"/>
      <c r="H152" s="421"/>
      <c r="I152" s="422"/>
      <c r="J152" s="1425">
        <v>1</v>
      </c>
      <c r="K152" s="1426">
        <v>1</v>
      </c>
      <c r="L152" s="1043"/>
      <c r="M152" s="1594">
        <f t="shared" si="568"/>
        <v>0</v>
      </c>
      <c r="N152" s="415"/>
      <c r="O152" s="424">
        <f t="shared" si="569"/>
        <v>0</v>
      </c>
      <c r="P152" s="425"/>
      <c r="Q152" s="1340">
        <f t="shared" si="570"/>
        <v>0</v>
      </c>
      <c r="R152" s="426"/>
      <c r="S152" s="426"/>
      <c r="T152" s="427">
        <f t="shared" si="571"/>
        <v>0</v>
      </c>
      <c r="U152" s="418">
        <f t="shared" si="572"/>
        <v>0</v>
      </c>
      <c r="V152" s="517">
        <f t="shared" si="573"/>
        <v>0</v>
      </c>
      <c r="W152" s="428">
        <f t="shared" si="574"/>
        <v>0</v>
      </c>
      <c r="X152" s="429">
        <f t="shared" si="575"/>
        <v>0</v>
      </c>
      <c r="Y152" s="92"/>
      <c r="Z152" s="1055"/>
      <c r="AA152" s="53"/>
      <c r="AB152" s="507"/>
      <c r="AC152" s="507"/>
      <c r="AD152" s="507"/>
      <c r="AE152" s="507"/>
      <c r="AF152" s="506"/>
      <c r="AG152" s="506"/>
      <c r="AH152" s="506"/>
      <c r="AI152" s="520">
        <f>+Q152</f>
        <v>0</v>
      </c>
      <c r="AJ152" s="506"/>
      <c r="AK152" s="506"/>
      <c r="AL152" s="1561"/>
      <c r="AM152" s="506"/>
      <c r="AN152" s="506"/>
      <c r="AO152" s="506"/>
      <c r="AP152" s="506"/>
      <c r="AQ152" s="506"/>
      <c r="AR152" s="506"/>
      <c r="AS152" s="506"/>
      <c r="AT152" s="506"/>
      <c r="AU152" s="506"/>
      <c r="AV152" s="506"/>
      <c r="AW152" s="506"/>
      <c r="AX152" s="506"/>
      <c r="AY152" s="506"/>
      <c r="AZ152" s="520"/>
      <c r="BA152" s="506"/>
      <c r="BB152" s="506"/>
      <c r="BC152" s="506"/>
      <c r="BD152" s="595"/>
      <c r="BE152" s="595"/>
      <c r="BF152" s="595"/>
      <c r="BG152" s="506"/>
      <c r="BH152" s="506"/>
      <c r="BI152" s="506"/>
      <c r="BJ152" s="506"/>
      <c r="BK152" s="506"/>
      <c r="BL152" s="506"/>
      <c r="BM152" s="506"/>
      <c r="BN152" s="506"/>
      <c r="BO152" s="506"/>
      <c r="BP152" s="506"/>
      <c r="BQ152" s="506"/>
      <c r="BR152" s="506"/>
      <c r="BS152" s="506"/>
      <c r="BT152" s="506"/>
      <c r="BU152" s="506"/>
      <c r="BV152" s="506"/>
      <c r="BW152" s="506"/>
      <c r="BX152" s="506"/>
      <c r="BY152" s="506"/>
      <c r="BZ152" s="506"/>
      <c r="CA152" s="506"/>
      <c r="CB152" s="506"/>
      <c r="CC152" s="506"/>
      <c r="CD152" s="506"/>
      <c r="CE152" s="506"/>
      <c r="CF152" s="506"/>
      <c r="CG152" s="506"/>
      <c r="CH152" s="506"/>
      <c r="CI152" s="506"/>
      <c r="CJ152" s="506"/>
      <c r="CK152" s="506"/>
      <c r="CL152" s="506"/>
      <c r="CM152" s="506"/>
      <c r="CN152" s="506"/>
      <c r="CO152" s="506"/>
      <c r="CP152" s="506"/>
      <c r="CQ152" s="506"/>
      <c r="CR152" s="506"/>
      <c r="CS152" s="506"/>
      <c r="CT152" s="506"/>
      <c r="CU152" s="506"/>
      <c r="CV152" s="506"/>
      <c r="CW152" s="506"/>
      <c r="CX152" s="506"/>
      <c r="CY152" s="506"/>
      <c r="CZ152" s="506"/>
      <c r="DA152" s="506"/>
      <c r="DB152" s="506"/>
      <c r="DC152" s="506"/>
      <c r="DD152" s="506"/>
      <c r="DE152" s="506"/>
      <c r="DF152" s="506"/>
      <c r="DG152" s="506"/>
      <c r="DH152" s="506"/>
      <c r="DI152" s="506"/>
      <c r="DJ152" s="506"/>
      <c r="DK152" s="506"/>
      <c r="DL152" s="506"/>
      <c r="DM152" s="506"/>
      <c r="DN152" s="506"/>
      <c r="DO152" s="506"/>
      <c r="DP152" s="506"/>
    </row>
    <row r="153" spans="1:120" hidden="1" outlineLevel="1">
      <c r="A153" s="89">
        <v>1110052010</v>
      </c>
      <c r="B153" s="90"/>
      <c r="C153" s="91" t="s">
        <v>64</v>
      </c>
      <c r="D153" s="1481"/>
      <c r="E153" s="1482"/>
      <c r="F153" s="420"/>
      <c r="G153" s="1256"/>
      <c r="H153" s="421"/>
      <c r="I153" s="422"/>
      <c r="J153" s="1425">
        <v>1</v>
      </c>
      <c r="K153" s="1426">
        <v>1</v>
      </c>
      <c r="L153" s="1043"/>
      <c r="M153" s="1594">
        <f t="shared" si="568"/>
        <v>0</v>
      </c>
      <c r="N153" s="415"/>
      <c r="O153" s="424">
        <f t="shared" si="569"/>
        <v>0</v>
      </c>
      <c r="P153" s="425"/>
      <c r="Q153" s="1340">
        <f t="shared" ref="Q153:Q206" si="576">+P153*K153</f>
        <v>0</v>
      </c>
      <c r="R153" s="426"/>
      <c r="S153" s="426"/>
      <c r="T153" s="427">
        <f t="shared" si="571"/>
        <v>0</v>
      </c>
      <c r="U153" s="418">
        <f t="shared" si="572"/>
        <v>0</v>
      </c>
      <c r="V153" s="517">
        <f t="shared" si="573"/>
        <v>0</v>
      </c>
      <c r="W153" s="428">
        <f t="shared" si="574"/>
        <v>0</v>
      </c>
      <c r="X153" s="429">
        <f t="shared" si="575"/>
        <v>0</v>
      </c>
      <c r="Y153" s="92"/>
      <c r="Z153" s="1055"/>
      <c r="AA153" s="53"/>
      <c r="AB153" s="507"/>
      <c r="AC153" s="507"/>
      <c r="AD153" s="507"/>
      <c r="AE153" s="507"/>
      <c r="AF153" s="506"/>
      <c r="AG153" s="506"/>
      <c r="AH153" s="506"/>
      <c r="AI153" s="506"/>
      <c r="AJ153" s="506"/>
      <c r="AK153" s="506"/>
      <c r="AL153" s="1561"/>
      <c r="AM153" s="506"/>
      <c r="AN153" s="506"/>
      <c r="AO153" s="506"/>
      <c r="AP153" s="506"/>
      <c r="AQ153" s="506"/>
      <c r="AR153" s="506"/>
      <c r="AS153" s="506"/>
      <c r="AT153" s="506"/>
      <c r="AU153" s="506"/>
      <c r="AV153" s="506"/>
      <c r="AW153" s="506"/>
      <c r="AX153" s="506"/>
      <c r="AY153" s="506"/>
      <c r="AZ153" s="520"/>
      <c r="BA153" s="506"/>
      <c r="BB153" s="506"/>
      <c r="BC153" s="506"/>
      <c r="BD153" s="595"/>
      <c r="BE153" s="595"/>
      <c r="BF153" s="595"/>
      <c r="BG153" s="506"/>
      <c r="BH153" s="506"/>
      <c r="BI153" s="506"/>
      <c r="BJ153" s="506"/>
      <c r="BK153" s="506"/>
      <c r="BL153" s="506"/>
      <c r="BM153" s="506"/>
      <c r="BN153" s="506"/>
      <c r="BO153" s="506"/>
      <c r="BP153" s="506"/>
      <c r="BQ153" s="520">
        <f>+M153</f>
        <v>0</v>
      </c>
      <c r="BR153" s="506"/>
      <c r="BS153" s="506"/>
      <c r="BT153" s="506"/>
      <c r="BU153" s="506"/>
      <c r="BV153" s="506"/>
      <c r="BW153" s="506"/>
      <c r="BX153" s="506"/>
      <c r="BY153" s="506"/>
      <c r="BZ153" s="506"/>
      <c r="CA153" s="506"/>
      <c r="CB153" s="506"/>
      <c r="CC153" s="506"/>
      <c r="CD153" s="506"/>
      <c r="CE153" s="506"/>
      <c r="CF153" s="506"/>
      <c r="CG153" s="506"/>
      <c r="CH153" s="506"/>
      <c r="CI153" s="506"/>
      <c r="CJ153" s="506"/>
      <c r="CK153" s="506"/>
      <c r="CL153" s="506"/>
      <c r="CM153" s="506"/>
      <c r="CN153" s="506"/>
      <c r="CO153" s="506"/>
      <c r="CP153" s="506"/>
      <c r="CQ153" s="506"/>
      <c r="CR153" s="506"/>
      <c r="CS153" s="506"/>
      <c r="CT153" s="506"/>
      <c r="CU153" s="506"/>
      <c r="CV153" s="506"/>
      <c r="CW153" s="506"/>
      <c r="CX153" s="506"/>
      <c r="CY153" s="506"/>
      <c r="CZ153" s="506"/>
      <c r="DA153" s="506"/>
      <c r="DB153" s="506"/>
      <c r="DC153" s="506"/>
      <c r="DD153" s="506"/>
      <c r="DE153" s="506"/>
      <c r="DF153" s="506"/>
      <c r="DG153" s="506"/>
      <c r="DH153" s="506"/>
      <c r="DI153" s="506"/>
      <c r="DJ153" s="506"/>
      <c r="DK153" s="506"/>
      <c r="DL153" s="506"/>
      <c r="DM153" s="506"/>
      <c r="DN153" s="506"/>
      <c r="DO153" s="506"/>
      <c r="DP153" s="506"/>
    </row>
    <row r="154" spans="1:120" hidden="1" outlineLevel="1">
      <c r="A154" s="89">
        <v>1110052010</v>
      </c>
      <c r="B154" s="90"/>
      <c r="C154" s="91" t="s">
        <v>64</v>
      </c>
      <c r="D154" s="1481"/>
      <c r="E154" s="2105"/>
      <c r="F154" s="420"/>
      <c r="G154" s="1256"/>
      <c r="H154" s="421"/>
      <c r="I154" s="422"/>
      <c r="J154" s="1425">
        <v>1</v>
      </c>
      <c r="K154" s="1426">
        <v>1</v>
      </c>
      <c r="L154" s="1043"/>
      <c r="M154" s="1594">
        <f t="shared" si="568"/>
        <v>0</v>
      </c>
      <c r="N154" s="415"/>
      <c r="O154" s="424">
        <f t="shared" si="569"/>
        <v>0</v>
      </c>
      <c r="P154" s="425"/>
      <c r="Q154" s="1340">
        <f t="shared" si="576"/>
        <v>0</v>
      </c>
      <c r="R154" s="426"/>
      <c r="S154" s="426"/>
      <c r="T154" s="427">
        <f t="shared" si="571"/>
        <v>0</v>
      </c>
      <c r="U154" s="418">
        <f t="shared" si="572"/>
        <v>0</v>
      </c>
      <c r="V154" s="517">
        <f t="shared" si="573"/>
        <v>0</v>
      </c>
      <c r="W154" s="428">
        <f t="shared" si="574"/>
        <v>0</v>
      </c>
      <c r="X154" s="429">
        <f t="shared" si="575"/>
        <v>0</v>
      </c>
      <c r="Y154" s="92"/>
      <c r="Z154" s="1055"/>
      <c r="AA154" s="53"/>
      <c r="AB154" s="507"/>
      <c r="AC154" s="507"/>
      <c r="AD154" s="507"/>
      <c r="AE154" s="507"/>
      <c r="AF154" s="506"/>
      <c r="AG154" s="506"/>
      <c r="AH154" s="506"/>
      <c r="AI154" s="506"/>
      <c r="AJ154" s="506"/>
      <c r="AK154" s="506"/>
      <c r="AL154" s="1561"/>
      <c r="AM154" s="506"/>
      <c r="AN154" s="506"/>
      <c r="AO154" s="506"/>
      <c r="AP154" s="506"/>
      <c r="AQ154" s="506"/>
      <c r="AR154" s="506"/>
      <c r="AS154" s="506"/>
      <c r="AT154" s="506"/>
      <c r="AU154" s="506"/>
      <c r="AV154" s="506"/>
      <c r="AW154" s="506"/>
      <c r="AX154" s="506"/>
      <c r="AY154" s="506"/>
      <c r="AZ154" s="520"/>
      <c r="BA154" s="506"/>
      <c r="BB154" s="506"/>
      <c r="BC154" s="506"/>
      <c r="BD154" s="595"/>
      <c r="BE154" s="595"/>
      <c r="BF154" s="595"/>
      <c r="BG154" s="506"/>
      <c r="BH154" s="506"/>
      <c r="BI154" s="506"/>
      <c r="BJ154" s="506"/>
      <c r="BK154" s="506"/>
      <c r="BL154" s="506"/>
      <c r="BM154" s="506"/>
      <c r="BN154" s="506"/>
      <c r="BO154" s="506"/>
      <c r="BP154" s="506"/>
      <c r="BQ154" s="520">
        <f>+M154</f>
        <v>0</v>
      </c>
      <c r="BR154" s="506"/>
      <c r="BS154" s="506"/>
      <c r="BT154" s="506"/>
      <c r="BU154" s="506"/>
      <c r="BV154" s="506"/>
      <c r="BW154" s="506"/>
      <c r="BX154" s="506"/>
      <c r="BY154" s="506"/>
      <c r="BZ154" s="506"/>
      <c r="CA154" s="506"/>
      <c r="CB154" s="506"/>
      <c r="CC154" s="506"/>
      <c r="CD154" s="506"/>
      <c r="CE154" s="506"/>
      <c r="CF154" s="506"/>
      <c r="CG154" s="506"/>
      <c r="CH154" s="506"/>
      <c r="CI154" s="506"/>
      <c r="CJ154" s="506"/>
      <c r="CK154" s="506"/>
      <c r="CL154" s="506"/>
      <c r="CM154" s="506"/>
      <c r="CN154" s="506"/>
      <c r="CO154" s="506"/>
      <c r="CP154" s="506"/>
      <c r="CQ154" s="506"/>
      <c r="CR154" s="506"/>
      <c r="CS154" s="506"/>
      <c r="CT154" s="506"/>
      <c r="CU154" s="506"/>
      <c r="CV154" s="506"/>
      <c r="CW154" s="506"/>
      <c r="CX154" s="506"/>
      <c r="CY154" s="506"/>
      <c r="CZ154" s="506"/>
      <c r="DA154" s="506"/>
      <c r="DB154" s="506"/>
      <c r="DC154" s="506"/>
      <c r="DD154" s="506"/>
      <c r="DE154" s="506"/>
      <c r="DF154" s="506"/>
      <c r="DG154" s="506"/>
      <c r="DH154" s="506"/>
      <c r="DI154" s="506"/>
      <c r="DJ154" s="506"/>
      <c r="DK154" s="506"/>
      <c r="DL154" s="506"/>
      <c r="DM154" s="506"/>
      <c r="DN154" s="506"/>
      <c r="DO154" s="506"/>
      <c r="DP154" s="506"/>
    </row>
    <row r="155" spans="1:120" hidden="1" outlineLevel="1">
      <c r="A155" s="89">
        <v>1110052010</v>
      </c>
      <c r="B155" s="90"/>
      <c r="C155" s="91" t="s">
        <v>64</v>
      </c>
      <c r="D155" s="1481"/>
      <c r="E155" s="1482"/>
      <c r="F155" s="420"/>
      <c r="G155" s="1256"/>
      <c r="H155" s="421"/>
      <c r="I155" s="422"/>
      <c r="J155" s="1425">
        <v>1</v>
      </c>
      <c r="K155" s="1426">
        <v>1</v>
      </c>
      <c r="L155" s="1043"/>
      <c r="M155" s="1594">
        <f t="shared" si="568"/>
        <v>0</v>
      </c>
      <c r="N155" s="415"/>
      <c r="O155" s="424">
        <f t="shared" si="569"/>
        <v>0</v>
      </c>
      <c r="P155" s="425"/>
      <c r="Q155" s="1340">
        <f t="shared" si="576"/>
        <v>0</v>
      </c>
      <c r="R155" s="426"/>
      <c r="S155" s="426"/>
      <c r="T155" s="427">
        <f t="shared" si="571"/>
        <v>0</v>
      </c>
      <c r="U155" s="418">
        <f t="shared" si="572"/>
        <v>0</v>
      </c>
      <c r="V155" s="517">
        <f t="shared" si="573"/>
        <v>0</v>
      </c>
      <c r="W155" s="428">
        <f t="shared" si="574"/>
        <v>0</v>
      </c>
      <c r="X155" s="429">
        <f t="shared" si="575"/>
        <v>0</v>
      </c>
      <c r="Y155" s="92"/>
      <c r="Z155" s="1055"/>
      <c r="AA155" s="53"/>
      <c r="AB155" s="507"/>
      <c r="AC155" s="507"/>
      <c r="AD155" s="507"/>
      <c r="AE155" s="507"/>
      <c r="AF155" s="506"/>
      <c r="AG155" s="506"/>
      <c r="AH155" s="506"/>
      <c r="AI155" s="506"/>
      <c r="AJ155" s="506"/>
      <c r="AK155" s="506"/>
      <c r="AL155" s="1561"/>
      <c r="AM155" s="506"/>
      <c r="AN155" s="506"/>
      <c r="AO155" s="506"/>
      <c r="AP155" s="506"/>
      <c r="AQ155" s="506"/>
      <c r="AR155" s="506"/>
      <c r="AS155" s="506"/>
      <c r="AT155" s="506"/>
      <c r="AU155" s="506"/>
      <c r="AV155" s="506"/>
      <c r="AW155" s="506"/>
      <c r="AX155" s="506"/>
      <c r="AY155" s="506"/>
      <c r="AZ155" s="520"/>
      <c r="BA155" s="506"/>
      <c r="BB155" s="506"/>
      <c r="BC155" s="506"/>
      <c r="BD155" s="595"/>
      <c r="BE155" s="595"/>
      <c r="BF155" s="595"/>
      <c r="BG155" s="506"/>
      <c r="BH155" s="506"/>
      <c r="BI155" s="506"/>
      <c r="BJ155" s="506"/>
      <c r="BK155" s="506"/>
      <c r="BL155" s="506"/>
      <c r="BM155" s="506"/>
      <c r="BN155" s="506"/>
      <c r="BO155" s="506"/>
      <c r="BP155" s="506"/>
      <c r="BQ155" s="506"/>
      <c r="BR155" s="506"/>
      <c r="BS155" s="520">
        <f>+M155</f>
        <v>0</v>
      </c>
      <c r="BT155" s="506"/>
      <c r="BU155" s="506"/>
      <c r="BV155" s="506"/>
      <c r="BW155" s="506"/>
      <c r="BX155" s="506"/>
      <c r="BY155" s="506"/>
      <c r="BZ155" s="506"/>
      <c r="CA155" s="506"/>
      <c r="CB155" s="506"/>
      <c r="CC155" s="506"/>
      <c r="CD155" s="506"/>
      <c r="CE155" s="506"/>
      <c r="CF155" s="506"/>
      <c r="CG155" s="506"/>
      <c r="CH155" s="506"/>
      <c r="CI155" s="506"/>
      <c r="CJ155" s="506"/>
      <c r="CK155" s="506"/>
      <c r="CL155" s="506"/>
      <c r="CM155" s="506"/>
      <c r="CN155" s="506"/>
      <c r="CO155" s="506"/>
      <c r="CP155" s="506"/>
      <c r="CQ155" s="506"/>
      <c r="CR155" s="506"/>
      <c r="CS155" s="506"/>
      <c r="CT155" s="506"/>
      <c r="CU155" s="506"/>
      <c r="CV155" s="506"/>
      <c r="CW155" s="506"/>
      <c r="CX155" s="506"/>
      <c r="CY155" s="506"/>
      <c r="CZ155" s="506"/>
      <c r="DA155" s="506"/>
      <c r="DB155" s="506"/>
      <c r="DC155" s="506"/>
      <c r="DD155" s="506"/>
      <c r="DE155" s="506"/>
      <c r="DF155" s="506"/>
      <c r="DG155" s="506"/>
      <c r="DH155" s="506"/>
      <c r="DI155" s="506"/>
      <c r="DJ155" s="506"/>
      <c r="DK155" s="506"/>
      <c r="DL155" s="506"/>
      <c r="DM155" s="506"/>
      <c r="DN155" s="506"/>
      <c r="DO155" s="506"/>
      <c r="DP155" s="506"/>
    </row>
    <row r="156" spans="1:120" hidden="1" outlineLevel="1">
      <c r="A156" s="89">
        <v>1110052010</v>
      </c>
      <c r="B156" s="90"/>
      <c r="C156" s="91" t="s">
        <v>64</v>
      </c>
      <c r="D156" s="1481"/>
      <c r="E156" s="1482"/>
      <c r="F156" s="420"/>
      <c r="G156" s="1256"/>
      <c r="H156" s="421"/>
      <c r="I156" s="422"/>
      <c r="J156" s="1425">
        <v>1</v>
      </c>
      <c r="K156" s="1426">
        <v>1</v>
      </c>
      <c r="L156" s="1043"/>
      <c r="M156" s="1594">
        <f t="shared" si="568"/>
        <v>0</v>
      </c>
      <c r="N156" s="415"/>
      <c r="O156" s="424">
        <f t="shared" si="569"/>
        <v>0</v>
      </c>
      <c r="P156" s="425"/>
      <c r="Q156" s="1340">
        <f t="shared" si="576"/>
        <v>0</v>
      </c>
      <c r="R156" s="426"/>
      <c r="S156" s="426"/>
      <c r="T156" s="427">
        <f t="shared" si="571"/>
        <v>0</v>
      </c>
      <c r="U156" s="418">
        <f t="shared" si="572"/>
        <v>0</v>
      </c>
      <c r="V156" s="517">
        <f t="shared" si="573"/>
        <v>0</v>
      </c>
      <c r="W156" s="428">
        <f t="shared" si="574"/>
        <v>0</v>
      </c>
      <c r="X156" s="429">
        <f t="shared" si="575"/>
        <v>0</v>
      </c>
      <c r="Y156" s="92"/>
      <c r="Z156" s="1055"/>
      <c r="AA156" s="53"/>
      <c r="AB156" s="507"/>
      <c r="AC156" s="507"/>
      <c r="AD156" s="507"/>
      <c r="AE156" s="507"/>
      <c r="AF156" s="506"/>
      <c r="AG156" s="506"/>
      <c r="AH156" s="506"/>
      <c r="AI156" s="520">
        <f>+Q156</f>
        <v>0</v>
      </c>
      <c r="AJ156" s="506"/>
      <c r="AK156" s="506"/>
      <c r="AL156" s="1561"/>
      <c r="AM156" s="506"/>
      <c r="AN156" s="506"/>
      <c r="AO156" s="506"/>
      <c r="AP156" s="506"/>
      <c r="AQ156" s="506"/>
      <c r="AR156" s="506"/>
      <c r="AS156" s="506"/>
      <c r="AT156" s="506"/>
      <c r="AU156" s="506"/>
      <c r="AV156" s="506"/>
      <c r="AW156" s="506"/>
      <c r="AX156" s="506"/>
      <c r="AY156" s="506"/>
      <c r="AZ156" s="506"/>
      <c r="BA156" s="506"/>
      <c r="BB156" s="506"/>
      <c r="BC156" s="506"/>
      <c r="BD156" s="595"/>
      <c r="BE156" s="595"/>
      <c r="BF156" s="595"/>
      <c r="BG156" s="506"/>
      <c r="BH156" s="506"/>
      <c r="BI156" s="506"/>
      <c r="BJ156" s="506"/>
      <c r="BK156" s="506"/>
      <c r="BL156" s="506"/>
      <c r="BM156" s="506"/>
      <c r="BN156" s="506"/>
      <c r="BO156" s="506"/>
      <c r="BP156" s="506"/>
      <c r="BQ156" s="506"/>
      <c r="BR156" s="506"/>
      <c r="BS156" s="506"/>
      <c r="BT156" s="506"/>
      <c r="BU156" s="506"/>
      <c r="BV156" s="506"/>
      <c r="BW156" s="506"/>
      <c r="BX156" s="506"/>
      <c r="BY156" s="506"/>
      <c r="BZ156" s="506"/>
      <c r="CA156" s="506"/>
      <c r="CB156" s="506"/>
      <c r="CC156" s="506"/>
      <c r="CD156" s="506"/>
      <c r="CE156" s="506"/>
      <c r="CF156" s="506"/>
      <c r="CG156" s="506"/>
      <c r="CH156" s="506"/>
      <c r="CI156" s="506"/>
      <c r="CJ156" s="506"/>
      <c r="CK156" s="506"/>
      <c r="CL156" s="506"/>
      <c r="CM156" s="506"/>
      <c r="CN156" s="506"/>
      <c r="CO156" s="506"/>
      <c r="CP156" s="506"/>
      <c r="CQ156" s="506"/>
      <c r="CR156" s="506"/>
      <c r="CS156" s="506"/>
      <c r="CT156" s="506"/>
      <c r="CU156" s="506"/>
      <c r="CV156" s="506"/>
      <c r="CW156" s="506"/>
      <c r="CX156" s="506"/>
      <c r="CY156" s="506"/>
      <c r="CZ156" s="506"/>
      <c r="DA156" s="506"/>
      <c r="DB156" s="506"/>
      <c r="DC156" s="506"/>
      <c r="DD156" s="506"/>
      <c r="DE156" s="506"/>
      <c r="DF156" s="506"/>
      <c r="DG156" s="506"/>
      <c r="DH156" s="506"/>
      <c r="DI156" s="506"/>
      <c r="DJ156" s="506"/>
      <c r="DK156" s="506"/>
      <c r="DL156" s="506"/>
      <c r="DM156" s="506"/>
      <c r="DN156" s="506"/>
      <c r="DO156" s="506"/>
      <c r="DP156" s="506"/>
    </row>
    <row r="157" spans="1:120" hidden="1" outlineLevel="1">
      <c r="A157" s="89">
        <v>1110052010</v>
      </c>
      <c r="B157" s="90"/>
      <c r="C157" s="91" t="s">
        <v>64</v>
      </c>
      <c r="D157" s="1481"/>
      <c r="E157" s="1482"/>
      <c r="F157" s="420"/>
      <c r="G157" s="1256"/>
      <c r="H157" s="421"/>
      <c r="I157" s="422"/>
      <c r="J157" s="1425">
        <v>1</v>
      </c>
      <c r="K157" s="1426">
        <v>1</v>
      </c>
      <c r="L157" s="1043"/>
      <c r="M157" s="1594">
        <f t="shared" si="568"/>
        <v>0</v>
      </c>
      <c r="N157" s="415"/>
      <c r="O157" s="424">
        <f t="shared" si="569"/>
        <v>0</v>
      </c>
      <c r="P157" s="425"/>
      <c r="Q157" s="1340">
        <f t="shared" si="576"/>
        <v>0</v>
      </c>
      <c r="R157" s="426"/>
      <c r="S157" s="426"/>
      <c r="T157" s="427">
        <f t="shared" si="571"/>
        <v>0</v>
      </c>
      <c r="U157" s="418">
        <f t="shared" si="572"/>
        <v>0</v>
      </c>
      <c r="V157" s="517">
        <f t="shared" si="573"/>
        <v>0</v>
      </c>
      <c r="W157" s="428">
        <f t="shared" si="574"/>
        <v>0</v>
      </c>
      <c r="X157" s="429">
        <f t="shared" si="575"/>
        <v>0</v>
      </c>
      <c r="Y157" s="92"/>
      <c r="Z157" s="1055"/>
      <c r="AA157" s="53"/>
      <c r="AB157" s="507"/>
      <c r="AC157" s="507"/>
      <c r="AD157" s="507"/>
      <c r="AE157" s="507"/>
      <c r="AF157" s="506"/>
      <c r="AG157" s="506"/>
      <c r="AH157" s="506"/>
      <c r="AI157" s="506"/>
      <c r="AJ157" s="506"/>
      <c r="AK157" s="506"/>
      <c r="AL157" s="1561"/>
      <c r="AM157" s="506"/>
      <c r="AN157" s="506"/>
      <c r="AO157" s="506"/>
      <c r="AP157" s="506"/>
      <c r="AQ157" s="506"/>
      <c r="AR157" s="506"/>
      <c r="AS157" s="506"/>
      <c r="AT157" s="506"/>
      <c r="AU157" s="506"/>
      <c r="AV157" s="506"/>
      <c r="AW157" s="506"/>
      <c r="AX157" s="506"/>
      <c r="AY157" s="506"/>
      <c r="AZ157" s="520"/>
      <c r="BA157" s="506"/>
      <c r="BB157" s="506"/>
      <c r="BC157" s="506"/>
      <c r="BD157" s="595"/>
      <c r="BE157" s="595"/>
      <c r="BF157" s="595"/>
      <c r="BG157" s="506"/>
      <c r="BH157" s="506"/>
      <c r="BI157" s="506"/>
      <c r="BJ157" s="506"/>
      <c r="BK157" s="506"/>
      <c r="BL157" s="506"/>
      <c r="BM157" s="506"/>
      <c r="BN157" s="506"/>
      <c r="BO157" s="506"/>
      <c r="BP157" s="506"/>
      <c r="BQ157" s="506"/>
      <c r="BR157" s="506"/>
      <c r="BS157" s="506"/>
      <c r="BT157" s="520">
        <f>+M157</f>
        <v>0</v>
      </c>
      <c r="BU157" s="506"/>
      <c r="BV157" s="506"/>
      <c r="BW157" s="506"/>
      <c r="BX157" s="506"/>
      <c r="BY157" s="506"/>
      <c r="BZ157" s="506"/>
      <c r="CA157" s="506"/>
      <c r="CB157" s="506"/>
      <c r="CC157" s="506"/>
      <c r="CD157" s="506"/>
      <c r="CE157" s="506"/>
      <c r="CF157" s="506"/>
      <c r="CG157" s="506"/>
      <c r="CH157" s="506"/>
      <c r="CI157" s="506"/>
      <c r="CJ157" s="506"/>
      <c r="CK157" s="506"/>
      <c r="CL157" s="506"/>
      <c r="CM157" s="506"/>
      <c r="CN157" s="506"/>
      <c r="CO157" s="506"/>
      <c r="CP157" s="506"/>
      <c r="CQ157" s="506"/>
      <c r="CR157" s="506"/>
      <c r="CS157" s="506"/>
      <c r="CT157" s="506"/>
      <c r="CU157" s="506"/>
      <c r="CV157" s="506"/>
      <c r="CW157" s="506"/>
      <c r="CX157" s="506"/>
      <c r="CY157" s="506"/>
      <c r="CZ157" s="506"/>
      <c r="DA157" s="506"/>
      <c r="DB157" s="506"/>
      <c r="DC157" s="506"/>
      <c r="DD157" s="506"/>
      <c r="DE157" s="506"/>
      <c r="DF157" s="506"/>
      <c r="DG157" s="506"/>
      <c r="DH157" s="506"/>
      <c r="DI157" s="506"/>
      <c r="DJ157" s="506"/>
      <c r="DK157" s="506"/>
      <c r="DL157" s="506"/>
      <c r="DM157" s="506"/>
      <c r="DN157" s="506"/>
      <c r="DO157" s="506"/>
      <c r="DP157" s="506"/>
    </row>
    <row r="158" spans="1:120" hidden="1" outlineLevel="1">
      <c r="A158" s="89">
        <v>1110052010</v>
      </c>
      <c r="B158" s="90"/>
      <c r="C158" s="91" t="s">
        <v>64</v>
      </c>
      <c r="D158" s="1481"/>
      <c r="E158" s="1482"/>
      <c r="F158" s="420"/>
      <c r="G158" s="1256"/>
      <c r="H158" s="421"/>
      <c r="I158" s="422"/>
      <c r="J158" s="1425">
        <v>1</v>
      </c>
      <c r="K158" s="1426">
        <v>1</v>
      </c>
      <c r="L158" s="1043"/>
      <c r="M158" s="1594">
        <f t="shared" si="568"/>
        <v>0</v>
      </c>
      <c r="N158" s="415"/>
      <c r="O158" s="424">
        <f t="shared" si="569"/>
        <v>0</v>
      </c>
      <c r="P158" s="425"/>
      <c r="Q158" s="1340">
        <f t="shared" si="576"/>
        <v>0</v>
      </c>
      <c r="R158" s="426"/>
      <c r="S158" s="426"/>
      <c r="T158" s="427">
        <f t="shared" si="571"/>
        <v>0</v>
      </c>
      <c r="U158" s="418">
        <f t="shared" si="572"/>
        <v>0</v>
      </c>
      <c r="V158" s="517">
        <f t="shared" si="573"/>
        <v>0</v>
      </c>
      <c r="W158" s="428">
        <f t="shared" si="574"/>
        <v>0</v>
      </c>
      <c r="X158" s="429">
        <f t="shared" si="575"/>
        <v>0</v>
      </c>
      <c r="Y158" s="92"/>
      <c r="Z158" s="1055"/>
      <c r="AA158" s="53"/>
      <c r="AB158" s="507"/>
      <c r="AC158" s="507"/>
      <c r="AD158" s="507"/>
      <c r="AE158" s="507"/>
      <c r="AF158" s="506"/>
      <c r="AG158" s="506"/>
      <c r="AH158" s="506"/>
      <c r="AI158" s="506"/>
      <c r="AJ158" s="506"/>
      <c r="AK158" s="506"/>
      <c r="AL158" s="1561"/>
      <c r="AM158" s="506"/>
      <c r="AN158" s="506"/>
      <c r="AO158" s="506"/>
      <c r="AP158" s="506"/>
      <c r="AQ158" s="506"/>
      <c r="AR158" s="506"/>
      <c r="AS158" s="506"/>
      <c r="AT158" s="506"/>
      <c r="AU158" s="506"/>
      <c r="AV158" s="506"/>
      <c r="AW158" s="506"/>
      <c r="AX158" s="506"/>
      <c r="AY158" s="506"/>
      <c r="AZ158" s="520"/>
      <c r="BA158" s="506"/>
      <c r="BB158" s="506"/>
      <c r="BC158" s="506"/>
      <c r="BD158" s="595"/>
      <c r="BE158" s="595"/>
      <c r="BF158" s="595"/>
      <c r="BG158" s="506"/>
      <c r="BH158" s="506"/>
      <c r="BI158" s="506"/>
      <c r="BJ158" s="506"/>
      <c r="BK158" s="506"/>
      <c r="BL158" s="506"/>
      <c r="BM158" s="506"/>
      <c r="BN158" s="506"/>
      <c r="BO158" s="506"/>
      <c r="BP158" s="506"/>
      <c r="BQ158" s="506"/>
      <c r="BR158" s="506"/>
      <c r="BS158" s="506"/>
      <c r="BT158" s="506"/>
      <c r="BU158" s="520">
        <f t="shared" ref="BU158:BU164" si="577">+M158</f>
        <v>0</v>
      </c>
      <c r="BV158" s="506"/>
      <c r="BW158" s="506"/>
      <c r="BX158" s="506"/>
      <c r="BY158" s="506"/>
      <c r="BZ158" s="506"/>
      <c r="CA158" s="506"/>
      <c r="CB158" s="506"/>
      <c r="CC158" s="506"/>
      <c r="CD158" s="506"/>
      <c r="CE158" s="506"/>
      <c r="CF158" s="506"/>
      <c r="CG158" s="506"/>
      <c r="CH158" s="506"/>
      <c r="CI158" s="506"/>
      <c r="CJ158" s="506"/>
      <c r="CK158" s="506"/>
      <c r="CL158" s="506"/>
      <c r="CM158" s="506"/>
      <c r="CN158" s="506"/>
      <c r="CO158" s="506"/>
      <c r="CP158" s="506"/>
      <c r="CQ158" s="506"/>
      <c r="CR158" s="506"/>
      <c r="CS158" s="506"/>
      <c r="CT158" s="506"/>
      <c r="CU158" s="506"/>
      <c r="CV158" s="506"/>
      <c r="CW158" s="506"/>
      <c r="CX158" s="506"/>
      <c r="CY158" s="506"/>
      <c r="CZ158" s="506"/>
      <c r="DA158" s="506"/>
      <c r="DB158" s="506"/>
      <c r="DC158" s="506"/>
      <c r="DD158" s="506"/>
      <c r="DE158" s="506"/>
      <c r="DF158" s="506"/>
      <c r="DG158" s="506"/>
      <c r="DH158" s="506"/>
      <c r="DI158" s="506"/>
      <c r="DJ158" s="506"/>
      <c r="DK158" s="506"/>
      <c r="DL158" s="506"/>
      <c r="DM158" s="506"/>
      <c r="DN158" s="506"/>
      <c r="DO158" s="506"/>
      <c r="DP158" s="506"/>
    </row>
    <row r="159" spans="1:120" hidden="1" outlineLevel="1">
      <c r="A159" s="89">
        <v>1110052010</v>
      </c>
      <c r="B159" s="90"/>
      <c r="C159" s="91" t="s">
        <v>64</v>
      </c>
      <c r="D159" s="1481"/>
      <c r="E159" s="1482"/>
      <c r="F159" s="420"/>
      <c r="G159" s="1256"/>
      <c r="H159" s="421"/>
      <c r="I159" s="422"/>
      <c r="J159" s="1425">
        <v>1</v>
      </c>
      <c r="K159" s="1426">
        <v>1</v>
      </c>
      <c r="L159" s="1043"/>
      <c r="M159" s="1594">
        <f t="shared" si="568"/>
        <v>0</v>
      </c>
      <c r="N159" s="415"/>
      <c r="O159" s="424">
        <f t="shared" si="569"/>
        <v>0</v>
      </c>
      <c r="P159" s="425"/>
      <c r="Q159" s="1340">
        <f t="shared" si="576"/>
        <v>0</v>
      </c>
      <c r="R159" s="426"/>
      <c r="S159" s="426"/>
      <c r="T159" s="427">
        <f t="shared" si="571"/>
        <v>0</v>
      </c>
      <c r="U159" s="418">
        <f t="shared" si="572"/>
        <v>0</v>
      </c>
      <c r="V159" s="517">
        <f t="shared" si="573"/>
        <v>0</v>
      </c>
      <c r="W159" s="428">
        <f t="shared" si="574"/>
        <v>0</v>
      </c>
      <c r="X159" s="429">
        <f t="shared" si="575"/>
        <v>0</v>
      </c>
      <c r="Y159" s="92"/>
      <c r="Z159" s="1055"/>
      <c r="AA159" s="53"/>
      <c r="AB159" s="507"/>
      <c r="AC159" s="507"/>
      <c r="AD159" s="507"/>
      <c r="AE159" s="507"/>
      <c r="AF159" s="506"/>
      <c r="AG159" s="506"/>
      <c r="AH159" s="506"/>
      <c r="AI159" s="506"/>
      <c r="AJ159" s="506"/>
      <c r="AK159" s="506"/>
      <c r="AL159" s="1561"/>
      <c r="AM159" s="506"/>
      <c r="AN159" s="506"/>
      <c r="AO159" s="506"/>
      <c r="AP159" s="506"/>
      <c r="AQ159" s="506"/>
      <c r="AR159" s="506"/>
      <c r="AS159" s="506"/>
      <c r="AT159" s="506"/>
      <c r="AU159" s="506"/>
      <c r="AV159" s="506"/>
      <c r="AW159" s="506"/>
      <c r="AX159" s="506"/>
      <c r="AY159" s="506"/>
      <c r="AZ159" s="520"/>
      <c r="BA159" s="506"/>
      <c r="BB159" s="506"/>
      <c r="BC159" s="506"/>
      <c r="BD159" s="595"/>
      <c r="BE159" s="595"/>
      <c r="BF159" s="595"/>
      <c r="BG159" s="506"/>
      <c r="BH159" s="506"/>
      <c r="BI159" s="506"/>
      <c r="BJ159" s="506"/>
      <c r="BK159" s="506"/>
      <c r="BL159" s="506"/>
      <c r="BM159" s="506"/>
      <c r="BN159" s="506"/>
      <c r="BO159" s="506"/>
      <c r="BP159" s="506"/>
      <c r="BQ159" s="506"/>
      <c r="BR159" s="506"/>
      <c r="BS159" s="506"/>
      <c r="BT159" s="506"/>
      <c r="BU159" s="520">
        <f t="shared" si="577"/>
        <v>0</v>
      </c>
      <c r="BV159" s="506"/>
      <c r="BW159" s="506"/>
      <c r="BX159" s="506"/>
      <c r="BY159" s="506"/>
      <c r="BZ159" s="506"/>
      <c r="CA159" s="506"/>
      <c r="CB159" s="506"/>
      <c r="CC159" s="506"/>
      <c r="CD159" s="506"/>
      <c r="CE159" s="506"/>
      <c r="CF159" s="506"/>
      <c r="CG159" s="506"/>
      <c r="CH159" s="506"/>
      <c r="CI159" s="506"/>
      <c r="CJ159" s="506"/>
      <c r="CK159" s="506"/>
      <c r="CL159" s="506"/>
      <c r="CM159" s="506"/>
      <c r="CN159" s="506"/>
      <c r="CO159" s="506"/>
      <c r="CP159" s="506"/>
      <c r="CQ159" s="506"/>
      <c r="CR159" s="506"/>
      <c r="CS159" s="506"/>
      <c r="CT159" s="506"/>
      <c r="CU159" s="506"/>
      <c r="CV159" s="506"/>
      <c r="CW159" s="506"/>
      <c r="CX159" s="506"/>
      <c r="CY159" s="506"/>
      <c r="CZ159" s="506"/>
      <c r="DA159" s="506"/>
      <c r="DB159" s="506"/>
      <c r="DC159" s="506"/>
      <c r="DD159" s="506"/>
      <c r="DE159" s="506"/>
      <c r="DF159" s="506"/>
      <c r="DG159" s="506"/>
      <c r="DH159" s="506"/>
      <c r="DI159" s="506"/>
      <c r="DJ159" s="506"/>
      <c r="DK159" s="506"/>
      <c r="DL159" s="506"/>
      <c r="DM159" s="506"/>
      <c r="DN159" s="506"/>
      <c r="DO159" s="506"/>
      <c r="DP159" s="506"/>
    </row>
    <row r="160" spans="1:120" hidden="1" outlineLevel="1">
      <c r="A160" s="89">
        <v>1110052010</v>
      </c>
      <c r="B160" s="90"/>
      <c r="C160" s="91" t="s">
        <v>64</v>
      </c>
      <c r="D160" s="1481"/>
      <c r="E160" s="1482"/>
      <c r="F160" s="420"/>
      <c r="G160" s="1256"/>
      <c r="H160" s="421"/>
      <c r="I160" s="422"/>
      <c r="J160" s="1425">
        <v>1</v>
      </c>
      <c r="K160" s="1426">
        <v>1</v>
      </c>
      <c r="L160" s="1043"/>
      <c r="M160" s="1594">
        <f t="shared" si="568"/>
        <v>0</v>
      </c>
      <c r="N160" s="415"/>
      <c r="O160" s="424">
        <f t="shared" si="569"/>
        <v>0</v>
      </c>
      <c r="P160" s="425"/>
      <c r="Q160" s="1340">
        <f t="shared" si="576"/>
        <v>0</v>
      </c>
      <c r="R160" s="426"/>
      <c r="S160" s="426"/>
      <c r="T160" s="427">
        <f t="shared" si="571"/>
        <v>0</v>
      </c>
      <c r="U160" s="418">
        <f t="shared" si="572"/>
        <v>0</v>
      </c>
      <c r="V160" s="517">
        <f t="shared" si="573"/>
        <v>0</v>
      </c>
      <c r="W160" s="428">
        <f t="shared" si="574"/>
        <v>0</v>
      </c>
      <c r="X160" s="429">
        <f t="shared" si="575"/>
        <v>0</v>
      </c>
      <c r="Y160" s="92"/>
      <c r="Z160" s="1055"/>
      <c r="AA160" s="53"/>
      <c r="AB160" s="507"/>
      <c r="AC160" s="507"/>
      <c r="AD160" s="507"/>
      <c r="AE160" s="507"/>
      <c r="AF160" s="506"/>
      <c r="AG160" s="506"/>
      <c r="AH160" s="506"/>
      <c r="AI160" s="506"/>
      <c r="AJ160" s="506"/>
      <c r="AK160" s="506"/>
      <c r="AL160" s="1561"/>
      <c r="AM160" s="506"/>
      <c r="AN160" s="506"/>
      <c r="AO160" s="506"/>
      <c r="AP160" s="506"/>
      <c r="AQ160" s="506"/>
      <c r="AR160" s="506"/>
      <c r="AS160" s="506"/>
      <c r="AT160" s="506"/>
      <c r="AU160" s="506"/>
      <c r="AV160" s="506"/>
      <c r="AW160" s="506"/>
      <c r="AX160" s="506"/>
      <c r="AY160" s="506"/>
      <c r="AZ160" s="520"/>
      <c r="BA160" s="506"/>
      <c r="BB160" s="506"/>
      <c r="BC160" s="506"/>
      <c r="BD160" s="595"/>
      <c r="BE160" s="595"/>
      <c r="BF160" s="595"/>
      <c r="BG160" s="506"/>
      <c r="BH160" s="506"/>
      <c r="BI160" s="506"/>
      <c r="BJ160" s="506"/>
      <c r="BK160" s="506"/>
      <c r="BL160" s="506"/>
      <c r="BM160" s="506"/>
      <c r="BN160" s="506"/>
      <c r="BO160" s="506"/>
      <c r="BP160" s="506"/>
      <c r="BQ160" s="506"/>
      <c r="BR160" s="506"/>
      <c r="BS160" s="506"/>
      <c r="BT160" s="506"/>
      <c r="BU160" s="520">
        <f t="shared" si="577"/>
        <v>0</v>
      </c>
      <c r="BV160" s="506"/>
      <c r="BW160" s="506"/>
      <c r="BX160" s="506"/>
      <c r="BY160" s="506"/>
      <c r="BZ160" s="506"/>
      <c r="CA160" s="506"/>
      <c r="CB160" s="506"/>
      <c r="CC160" s="506"/>
      <c r="CD160" s="506"/>
      <c r="CE160" s="506"/>
      <c r="CF160" s="506"/>
      <c r="CG160" s="506"/>
      <c r="CH160" s="506"/>
      <c r="CI160" s="506"/>
      <c r="CJ160" s="506"/>
      <c r="CK160" s="506"/>
      <c r="CL160" s="506"/>
      <c r="CM160" s="506"/>
      <c r="CN160" s="506"/>
      <c r="CO160" s="506"/>
      <c r="CP160" s="506"/>
      <c r="CQ160" s="506"/>
      <c r="CR160" s="506"/>
      <c r="CS160" s="506"/>
      <c r="CT160" s="506"/>
      <c r="CU160" s="506"/>
      <c r="CV160" s="506"/>
      <c r="CW160" s="506"/>
      <c r="CX160" s="506"/>
      <c r="CY160" s="506"/>
      <c r="CZ160" s="506"/>
      <c r="DA160" s="506"/>
      <c r="DB160" s="506"/>
      <c r="DC160" s="506"/>
      <c r="DD160" s="506"/>
      <c r="DE160" s="506"/>
      <c r="DF160" s="506"/>
      <c r="DG160" s="506"/>
      <c r="DH160" s="506"/>
      <c r="DI160" s="506"/>
      <c r="DJ160" s="506"/>
      <c r="DK160" s="506"/>
      <c r="DL160" s="506"/>
      <c r="DM160" s="506"/>
      <c r="DN160" s="506"/>
      <c r="DO160" s="506"/>
      <c r="DP160" s="506"/>
    </row>
    <row r="161" spans="1:120" hidden="1" outlineLevel="1">
      <c r="A161" s="89">
        <v>1110052010</v>
      </c>
      <c r="B161" s="90"/>
      <c r="C161" s="91" t="s">
        <v>64</v>
      </c>
      <c r="D161" s="1481"/>
      <c r="E161" s="1482"/>
      <c r="F161" s="420"/>
      <c r="G161" s="1256"/>
      <c r="H161" s="421"/>
      <c r="I161" s="422"/>
      <c r="J161" s="1425">
        <v>1</v>
      </c>
      <c r="K161" s="1426">
        <v>1</v>
      </c>
      <c r="L161" s="1043"/>
      <c r="M161" s="1594">
        <f t="shared" si="568"/>
        <v>0</v>
      </c>
      <c r="N161" s="415"/>
      <c r="O161" s="424">
        <f t="shared" si="569"/>
        <v>0</v>
      </c>
      <c r="P161" s="425"/>
      <c r="Q161" s="1340">
        <f t="shared" si="576"/>
        <v>0</v>
      </c>
      <c r="R161" s="426"/>
      <c r="S161" s="426"/>
      <c r="T161" s="427">
        <f t="shared" si="571"/>
        <v>0</v>
      </c>
      <c r="U161" s="418">
        <f t="shared" si="572"/>
        <v>0</v>
      </c>
      <c r="V161" s="517">
        <f t="shared" si="573"/>
        <v>0</v>
      </c>
      <c r="W161" s="428">
        <f t="shared" si="574"/>
        <v>0</v>
      </c>
      <c r="X161" s="429">
        <f t="shared" si="575"/>
        <v>0</v>
      </c>
      <c r="Y161" s="92"/>
      <c r="Z161" s="1055"/>
      <c r="AA161" s="53"/>
      <c r="AB161" s="507"/>
      <c r="AC161" s="507"/>
      <c r="AD161" s="507"/>
      <c r="AE161" s="507"/>
      <c r="AF161" s="506"/>
      <c r="AG161" s="506"/>
      <c r="AH161" s="506"/>
      <c r="AI161" s="506"/>
      <c r="AJ161" s="506"/>
      <c r="AK161" s="506"/>
      <c r="AL161" s="1561"/>
      <c r="AM161" s="506"/>
      <c r="AN161" s="506"/>
      <c r="AO161" s="506"/>
      <c r="AP161" s="506"/>
      <c r="AQ161" s="506"/>
      <c r="AR161" s="506"/>
      <c r="AS161" s="506"/>
      <c r="AT161" s="506"/>
      <c r="AU161" s="506"/>
      <c r="AV161" s="506"/>
      <c r="AW161" s="506"/>
      <c r="AX161" s="506"/>
      <c r="AY161" s="506"/>
      <c r="AZ161" s="520"/>
      <c r="BA161" s="506"/>
      <c r="BB161" s="506"/>
      <c r="BC161" s="506"/>
      <c r="BD161" s="595"/>
      <c r="BE161" s="595"/>
      <c r="BF161" s="595"/>
      <c r="BG161" s="506"/>
      <c r="BH161" s="506"/>
      <c r="BI161" s="506"/>
      <c r="BJ161" s="506"/>
      <c r="BK161" s="506"/>
      <c r="BL161" s="506"/>
      <c r="BM161" s="506"/>
      <c r="BN161" s="506"/>
      <c r="BO161" s="506"/>
      <c r="BP161" s="506"/>
      <c r="BQ161" s="506"/>
      <c r="BR161" s="506"/>
      <c r="BS161" s="506"/>
      <c r="BT161" s="506"/>
      <c r="BU161" s="520">
        <f t="shared" si="577"/>
        <v>0</v>
      </c>
      <c r="BV161" s="506"/>
      <c r="BW161" s="506"/>
      <c r="BX161" s="506"/>
      <c r="BY161" s="506"/>
      <c r="BZ161" s="506"/>
      <c r="CA161" s="506"/>
      <c r="CB161" s="506"/>
      <c r="CC161" s="506"/>
      <c r="CD161" s="506"/>
      <c r="CE161" s="506"/>
      <c r="CF161" s="506"/>
      <c r="CG161" s="506"/>
      <c r="CH161" s="506"/>
      <c r="CI161" s="506"/>
      <c r="CJ161" s="506"/>
      <c r="CK161" s="506"/>
      <c r="CL161" s="506"/>
      <c r="CM161" s="506"/>
      <c r="CN161" s="506"/>
      <c r="CO161" s="506"/>
      <c r="CP161" s="506"/>
      <c r="CQ161" s="506"/>
      <c r="CR161" s="506"/>
      <c r="CS161" s="506"/>
      <c r="CT161" s="506"/>
      <c r="CU161" s="506"/>
      <c r="CV161" s="506"/>
      <c r="CW161" s="506"/>
      <c r="CX161" s="506"/>
      <c r="CY161" s="506"/>
      <c r="CZ161" s="506"/>
      <c r="DA161" s="506"/>
      <c r="DB161" s="506"/>
      <c r="DC161" s="506"/>
      <c r="DD161" s="506"/>
      <c r="DE161" s="506"/>
      <c r="DF161" s="506"/>
      <c r="DG161" s="506"/>
      <c r="DH161" s="506"/>
      <c r="DI161" s="506"/>
      <c r="DJ161" s="506"/>
      <c r="DK161" s="506"/>
      <c r="DL161" s="506"/>
      <c r="DM161" s="506"/>
      <c r="DN161" s="506"/>
      <c r="DO161" s="506"/>
      <c r="DP161" s="506"/>
    </row>
    <row r="162" spans="1:120" hidden="1" outlineLevel="1">
      <c r="A162" s="89">
        <v>1110052010</v>
      </c>
      <c r="B162" s="90"/>
      <c r="C162" s="91" t="s">
        <v>64</v>
      </c>
      <c r="D162" s="1481"/>
      <c r="E162" s="1482"/>
      <c r="F162" s="420"/>
      <c r="G162" s="1256"/>
      <c r="H162" s="421"/>
      <c r="I162" s="422"/>
      <c r="J162" s="1425">
        <v>1</v>
      </c>
      <c r="K162" s="1426">
        <v>1</v>
      </c>
      <c r="L162" s="1043"/>
      <c r="M162" s="1594">
        <f t="shared" si="567"/>
        <v>0</v>
      </c>
      <c r="N162" s="415"/>
      <c r="O162" s="424">
        <f t="shared" si="566"/>
        <v>0</v>
      </c>
      <c r="P162" s="425"/>
      <c r="Q162" s="1340">
        <f t="shared" si="576"/>
        <v>0</v>
      </c>
      <c r="R162" s="426"/>
      <c r="S162" s="426"/>
      <c r="T162" s="427">
        <f t="shared" si="559"/>
        <v>0</v>
      </c>
      <c r="U162" s="418">
        <f t="shared" si="560"/>
        <v>0</v>
      </c>
      <c r="V162" s="517">
        <f t="shared" si="561"/>
        <v>0</v>
      </c>
      <c r="W162" s="428">
        <f t="shared" si="562"/>
        <v>0</v>
      </c>
      <c r="X162" s="429">
        <f t="shared" si="563"/>
        <v>0</v>
      </c>
      <c r="Y162" s="92"/>
      <c r="Z162" s="1055"/>
      <c r="AA162" s="53"/>
      <c r="AB162" s="507"/>
      <c r="AC162" s="507"/>
      <c r="AD162" s="507"/>
      <c r="AE162" s="507"/>
      <c r="AF162" s="506"/>
      <c r="AG162" s="506"/>
      <c r="AH162" s="506"/>
      <c r="AI162" s="506"/>
      <c r="AJ162" s="506"/>
      <c r="AK162" s="506"/>
      <c r="AL162" s="1561"/>
      <c r="AM162" s="506"/>
      <c r="AN162" s="506"/>
      <c r="AO162" s="506"/>
      <c r="AP162" s="506"/>
      <c r="AQ162" s="506"/>
      <c r="AR162" s="506"/>
      <c r="AS162" s="506"/>
      <c r="AT162" s="506"/>
      <c r="AU162" s="506"/>
      <c r="AV162" s="506"/>
      <c r="AW162" s="506"/>
      <c r="AX162" s="506"/>
      <c r="AY162" s="506"/>
      <c r="AZ162" s="506"/>
      <c r="BA162" s="506"/>
      <c r="BB162" s="506"/>
      <c r="BC162" s="506"/>
      <c r="BD162" s="595"/>
      <c r="BE162" s="595"/>
      <c r="BF162" s="595"/>
      <c r="BG162" s="506"/>
      <c r="BH162" s="506"/>
      <c r="BI162" s="506"/>
      <c r="BJ162" s="506"/>
      <c r="BK162" s="506"/>
      <c r="BL162" s="506"/>
      <c r="BM162" s="506"/>
      <c r="BN162" s="506"/>
      <c r="BO162" s="506"/>
      <c r="BP162" s="506"/>
      <c r="BQ162" s="506"/>
      <c r="BR162" s="506"/>
      <c r="BS162" s="506"/>
      <c r="BT162" s="506"/>
      <c r="BU162" s="520">
        <f t="shared" si="577"/>
        <v>0</v>
      </c>
      <c r="BV162" s="506"/>
      <c r="BW162" s="506"/>
      <c r="BX162" s="506"/>
      <c r="BY162" s="506"/>
      <c r="BZ162" s="506"/>
      <c r="CA162" s="506"/>
      <c r="CB162" s="506"/>
      <c r="CC162" s="506"/>
      <c r="CD162" s="506"/>
      <c r="CE162" s="506"/>
      <c r="CF162" s="506"/>
      <c r="CG162" s="506"/>
      <c r="CH162" s="506"/>
      <c r="CI162" s="506"/>
      <c r="CJ162" s="506"/>
      <c r="CK162" s="506"/>
      <c r="CL162" s="506"/>
      <c r="CM162" s="506"/>
      <c r="CN162" s="506"/>
      <c r="CO162" s="506"/>
      <c r="CP162" s="506"/>
      <c r="CQ162" s="506"/>
      <c r="CR162" s="506"/>
      <c r="CS162" s="506"/>
      <c r="CT162" s="506"/>
      <c r="CU162" s="506"/>
      <c r="CV162" s="506"/>
      <c r="CW162" s="506"/>
      <c r="CX162" s="506"/>
      <c r="CY162" s="506"/>
      <c r="CZ162" s="506"/>
      <c r="DA162" s="506"/>
      <c r="DB162" s="506"/>
      <c r="DC162" s="506"/>
      <c r="DD162" s="506"/>
      <c r="DE162" s="506"/>
      <c r="DF162" s="506"/>
      <c r="DG162" s="506"/>
      <c r="DH162" s="506"/>
      <c r="DI162" s="506"/>
      <c r="DJ162" s="506"/>
      <c r="DK162" s="506"/>
      <c r="DL162" s="506"/>
      <c r="DM162" s="506"/>
      <c r="DN162" s="506"/>
      <c r="DO162" s="506"/>
      <c r="DP162" s="506"/>
    </row>
    <row r="163" spans="1:120" hidden="1" outlineLevel="1">
      <c r="A163" s="89">
        <v>1110052010</v>
      </c>
      <c r="B163" s="90"/>
      <c r="C163" s="91" t="s">
        <v>64</v>
      </c>
      <c r="D163" s="1481"/>
      <c r="E163" s="1482"/>
      <c r="F163" s="420"/>
      <c r="G163" s="1256"/>
      <c r="H163" s="421"/>
      <c r="I163" s="422"/>
      <c r="J163" s="1425">
        <v>1</v>
      </c>
      <c r="K163" s="1426">
        <v>1</v>
      </c>
      <c r="L163" s="1043"/>
      <c r="M163" s="1594">
        <f t="shared" si="567"/>
        <v>0</v>
      </c>
      <c r="N163" s="415"/>
      <c r="O163" s="424">
        <f t="shared" si="566"/>
        <v>0</v>
      </c>
      <c r="P163" s="425"/>
      <c r="Q163" s="1340">
        <f t="shared" si="576"/>
        <v>0</v>
      </c>
      <c r="R163" s="426"/>
      <c r="S163" s="426"/>
      <c r="T163" s="427">
        <f t="shared" si="559"/>
        <v>0</v>
      </c>
      <c r="U163" s="418">
        <f t="shared" si="560"/>
        <v>0</v>
      </c>
      <c r="V163" s="517">
        <f t="shared" si="561"/>
        <v>0</v>
      </c>
      <c r="W163" s="428">
        <f t="shared" si="562"/>
        <v>0</v>
      </c>
      <c r="X163" s="429">
        <f t="shared" si="563"/>
        <v>0</v>
      </c>
      <c r="Y163" s="92"/>
      <c r="Z163" s="1055"/>
      <c r="AA163" s="53"/>
      <c r="AB163" s="507"/>
      <c r="AC163" s="507"/>
      <c r="AD163" s="507"/>
      <c r="AE163" s="507"/>
      <c r="AF163" s="506"/>
      <c r="AG163" s="506"/>
      <c r="AH163" s="506"/>
      <c r="AI163" s="506"/>
      <c r="AJ163" s="506"/>
      <c r="AK163" s="506"/>
      <c r="AL163" s="1561"/>
      <c r="AM163" s="506"/>
      <c r="AN163" s="506"/>
      <c r="AO163" s="506"/>
      <c r="AP163" s="506"/>
      <c r="AQ163" s="506"/>
      <c r="AR163" s="506"/>
      <c r="AS163" s="506"/>
      <c r="AT163" s="506"/>
      <c r="AU163" s="506"/>
      <c r="AV163" s="506"/>
      <c r="AW163" s="506"/>
      <c r="AX163" s="506"/>
      <c r="AY163" s="506"/>
      <c r="AZ163" s="520"/>
      <c r="BA163" s="506"/>
      <c r="BB163" s="506"/>
      <c r="BC163" s="506"/>
      <c r="BD163" s="595"/>
      <c r="BE163" s="595"/>
      <c r="BF163" s="595"/>
      <c r="BG163" s="506"/>
      <c r="BH163" s="506"/>
      <c r="BI163" s="506"/>
      <c r="BJ163" s="506"/>
      <c r="BK163" s="506"/>
      <c r="BL163" s="506"/>
      <c r="BM163" s="506"/>
      <c r="BN163" s="506"/>
      <c r="BO163" s="506"/>
      <c r="BP163" s="506"/>
      <c r="BQ163" s="506"/>
      <c r="BR163" s="506"/>
      <c r="BS163" s="506"/>
      <c r="BT163" s="506"/>
      <c r="BU163" s="520">
        <f t="shared" si="577"/>
        <v>0</v>
      </c>
      <c r="BV163" s="506"/>
      <c r="BW163" s="506"/>
      <c r="BX163" s="506"/>
      <c r="BY163" s="506"/>
      <c r="BZ163" s="506"/>
      <c r="CA163" s="506"/>
      <c r="CB163" s="506"/>
      <c r="CC163" s="506"/>
      <c r="CD163" s="506"/>
      <c r="CE163" s="506"/>
      <c r="CF163" s="506"/>
      <c r="CG163" s="506"/>
      <c r="CH163" s="506"/>
      <c r="CI163" s="506"/>
      <c r="CJ163" s="506"/>
      <c r="CK163" s="506"/>
      <c r="CL163" s="506"/>
      <c r="CM163" s="506"/>
      <c r="CN163" s="506"/>
      <c r="CO163" s="506"/>
      <c r="CP163" s="506"/>
      <c r="CQ163" s="506"/>
      <c r="CR163" s="506"/>
      <c r="CS163" s="506"/>
      <c r="CT163" s="506"/>
      <c r="CU163" s="506"/>
      <c r="CV163" s="506"/>
      <c r="CW163" s="506"/>
      <c r="CX163" s="506"/>
      <c r="CY163" s="506"/>
      <c r="CZ163" s="506"/>
      <c r="DA163" s="506"/>
      <c r="DB163" s="506"/>
      <c r="DC163" s="506"/>
      <c r="DD163" s="506"/>
      <c r="DE163" s="506"/>
      <c r="DF163" s="506"/>
      <c r="DG163" s="506"/>
      <c r="DH163" s="506"/>
      <c r="DI163" s="506"/>
      <c r="DJ163" s="506"/>
      <c r="DK163" s="506"/>
      <c r="DL163" s="506"/>
      <c r="DM163" s="506"/>
      <c r="DN163" s="506"/>
      <c r="DO163" s="506"/>
      <c r="DP163" s="506"/>
    </row>
    <row r="164" spans="1:120" hidden="1" outlineLevel="1">
      <c r="A164" s="89">
        <v>1110052010</v>
      </c>
      <c r="B164" s="90"/>
      <c r="C164" s="91" t="s">
        <v>64</v>
      </c>
      <c r="D164" s="1481"/>
      <c r="E164" s="1482"/>
      <c r="F164" s="420"/>
      <c r="G164" s="1256"/>
      <c r="H164" s="421"/>
      <c r="I164" s="422"/>
      <c r="J164" s="1425">
        <v>1</v>
      </c>
      <c r="K164" s="1426">
        <v>1</v>
      </c>
      <c r="L164" s="1043"/>
      <c r="M164" s="1594">
        <f t="shared" si="567"/>
        <v>0</v>
      </c>
      <c r="N164" s="415"/>
      <c r="O164" s="424">
        <f t="shared" si="566"/>
        <v>0</v>
      </c>
      <c r="P164" s="425"/>
      <c r="Q164" s="1340">
        <f t="shared" si="576"/>
        <v>0</v>
      </c>
      <c r="R164" s="426"/>
      <c r="S164" s="426"/>
      <c r="T164" s="427">
        <f t="shared" si="559"/>
        <v>0</v>
      </c>
      <c r="U164" s="418">
        <f t="shared" si="560"/>
        <v>0</v>
      </c>
      <c r="V164" s="517">
        <f t="shared" si="561"/>
        <v>0</v>
      </c>
      <c r="W164" s="428">
        <f t="shared" si="562"/>
        <v>0</v>
      </c>
      <c r="X164" s="429">
        <f t="shared" si="563"/>
        <v>0</v>
      </c>
      <c r="Y164" s="92"/>
      <c r="Z164" s="1055"/>
      <c r="AA164" s="53"/>
      <c r="AB164" s="507"/>
      <c r="AC164" s="507"/>
      <c r="AD164" s="507"/>
      <c r="AE164" s="507"/>
      <c r="AF164" s="506"/>
      <c r="AG164" s="506"/>
      <c r="AH164" s="506"/>
      <c r="AI164" s="506"/>
      <c r="AJ164" s="506"/>
      <c r="AK164" s="506"/>
      <c r="AL164" s="1561"/>
      <c r="AM164" s="506"/>
      <c r="AN164" s="506"/>
      <c r="AO164" s="506"/>
      <c r="AP164" s="506"/>
      <c r="AQ164" s="506"/>
      <c r="AR164" s="506"/>
      <c r="AS164" s="506"/>
      <c r="AT164" s="506"/>
      <c r="AU164" s="506"/>
      <c r="AV164" s="506"/>
      <c r="AW164" s="506"/>
      <c r="AX164" s="506"/>
      <c r="AY164" s="506"/>
      <c r="AZ164" s="520"/>
      <c r="BA164" s="506"/>
      <c r="BB164" s="506"/>
      <c r="BC164" s="506"/>
      <c r="BD164" s="595"/>
      <c r="BE164" s="595"/>
      <c r="BF164" s="595"/>
      <c r="BG164" s="506"/>
      <c r="BH164" s="506"/>
      <c r="BI164" s="506"/>
      <c r="BJ164" s="506"/>
      <c r="BK164" s="506"/>
      <c r="BL164" s="506"/>
      <c r="BM164" s="506"/>
      <c r="BN164" s="506"/>
      <c r="BO164" s="506"/>
      <c r="BP164" s="506"/>
      <c r="BQ164" s="506"/>
      <c r="BR164" s="506"/>
      <c r="BS164" s="506"/>
      <c r="BT164" s="506"/>
      <c r="BU164" s="520">
        <f t="shared" si="577"/>
        <v>0</v>
      </c>
      <c r="BV164" s="506"/>
      <c r="BW164" s="506"/>
      <c r="BX164" s="506"/>
      <c r="BY164" s="506"/>
      <c r="BZ164" s="506"/>
      <c r="CA164" s="506"/>
      <c r="CB164" s="506"/>
      <c r="CC164" s="506"/>
      <c r="CD164" s="506"/>
      <c r="CE164" s="506"/>
      <c r="CF164" s="506"/>
      <c r="CG164" s="506"/>
      <c r="CH164" s="506"/>
      <c r="CI164" s="506"/>
      <c r="CJ164" s="506"/>
      <c r="CK164" s="506"/>
      <c r="CL164" s="506"/>
      <c r="CM164" s="506"/>
      <c r="CN164" s="506"/>
      <c r="CO164" s="506"/>
      <c r="CP164" s="506"/>
      <c r="CQ164" s="506"/>
      <c r="CR164" s="506"/>
      <c r="CS164" s="506"/>
      <c r="CT164" s="506"/>
      <c r="CU164" s="506"/>
      <c r="CV164" s="506"/>
      <c r="CW164" s="506"/>
      <c r="CX164" s="506"/>
      <c r="CY164" s="506"/>
      <c r="CZ164" s="506"/>
      <c r="DA164" s="506"/>
      <c r="DB164" s="506"/>
      <c r="DC164" s="506"/>
      <c r="DD164" s="506"/>
      <c r="DE164" s="506"/>
      <c r="DF164" s="506"/>
      <c r="DG164" s="506"/>
      <c r="DH164" s="506"/>
      <c r="DI164" s="506"/>
      <c r="DJ164" s="506"/>
      <c r="DK164" s="506"/>
      <c r="DL164" s="506"/>
      <c r="DM164" s="506"/>
      <c r="DN164" s="506"/>
      <c r="DO164" s="506"/>
      <c r="DP164" s="506"/>
    </row>
    <row r="165" spans="1:120" hidden="1" outlineLevel="1">
      <c r="A165" s="100">
        <v>1110052010</v>
      </c>
      <c r="B165" s="1216"/>
      <c r="C165" s="1695" t="s">
        <v>64</v>
      </c>
      <c r="D165" s="1629"/>
      <c r="E165" s="1630"/>
      <c r="F165" s="102"/>
      <c r="G165" s="1258"/>
      <c r="H165" s="103"/>
      <c r="I165" s="104"/>
      <c r="J165" s="1604">
        <v>1</v>
      </c>
      <c r="K165" s="1605">
        <v>1</v>
      </c>
      <c r="L165" s="1696"/>
      <c r="M165" s="1697">
        <f t="shared" ref="M165:M168" si="578">+L165*J165</f>
        <v>0</v>
      </c>
      <c r="N165" s="106"/>
      <c r="O165" s="107">
        <f t="shared" ref="O165:O168" si="579">+L165*N165</f>
        <v>0</v>
      </c>
      <c r="P165" s="108"/>
      <c r="Q165" s="1340">
        <f t="shared" ref="Q165:Q168" si="580">+P165*K165</f>
        <v>0</v>
      </c>
      <c r="R165" s="109"/>
      <c r="S165" s="109"/>
      <c r="T165" s="110">
        <f t="shared" ref="T165:T168" si="581">+P165*S165</f>
        <v>0</v>
      </c>
      <c r="U165" s="111">
        <f t="shared" ref="U165:U168" si="582">+L165+P165+F165</f>
        <v>0</v>
      </c>
      <c r="V165" s="566">
        <f t="shared" ref="V165:V168" si="583">+P165*R165+L165*N165+F165*H165</f>
        <v>0</v>
      </c>
      <c r="W165" s="112">
        <f t="shared" ref="W165:W168" si="584">(IF(R165&gt;S165,(-P165*R165)-(-P165*S165),0))</f>
        <v>0</v>
      </c>
      <c r="X165" s="113">
        <f t="shared" ref="X165:X168" si="585">(IF(R165&lt;S165,(-P165*R165)-(-P165*S165),0))</f>
        <v>0</v>
      </c>
      <c r="Y165" s="114"/>
      <c r="Z165" s="1055"/>
      <c r="AA165" s="53"/>
      <c r="AB165" s="507"/>
      <c r="AC165" s="507"/>
      <c r="AD165" s="507"/>
      <c r="AE165" s="507"/>
      <c r="AF165" s="565"/>
      <c r="AG165" s="565"/>
      <c r="AH165" s="565"/>
      <c r="AI165" s="565"/>
      <c r="AJ165" s="565"/>
      <c r="AK165" s="565"/>
      <c r="AL165" s="1562"/>
      <c r="AM165" s="565"/>
      <c r="AN165" s="565"/>
      <c r="AO165" s="565"/>
      <c r="AP165" s="565"/>
      <c r="AQ165" s="565"/>
      <c r="AR165" s="565"/>
      <c r="AS165" s="565"/>
      <c r="AT165" s="565"/>
      <c r="AU165" s="565"/>
      <c r="AV165" s="565"/>
      <c r="AW165" s="565"/>
      <c r="AX165" s="565"/>
      <c r="AY165" s="565"/>
      <c r="AZ165" s="565"/>
      <c r="BA165" s="565"/>
      <c r="BB165" s="565">
        <f>+M165</f>
        <v>0</v>
      </c>
      <c r="BC165" s="565"/>
      <c r="BD165" s="565"/>
      <c r="BE165" s="565"/>
      <c r="BF165" s="565"/>
      <c r="BG165" s="565"/>
      <c r="BH165" s="565"/>
      <c r="BI165" s="565"/>
      <c r="BJ165" s="565"/>
      <c r="BK165" s="565"/>
      <c r="BL165" s="565"/>
      <c r="BM165" s="565"/>
      <c r="BN165" s="565"/>
      <c r="BO165" s="565"/>
      <c r="BP165" s="565"/>
      <c r="BQ165" s="565"/>
      <c r="BR165" s="565"/>
      <c r="BS165" s="565"/>
      <c r="BT165" s="565"/>
      <c r="BU165" s="565"/>
      <c r="BV165" s="565"/>
      <c r="BW165" s="565"/>
      <c r="BX165" s="565"/>
      <c r="BY165" s="565"/>
      <c r="BZ165" s="565"/>
      <c r="CA165" s="565"/>
      <c r="CB165" s="565"/>
      <c r="CC165" s="565"/>
      <c r="CD165" s="565"/>
      <c r="CE165" s="565"/>
      <c r="CF165" s="565"/>
      <c r="CG165" s="565"/>
      <c r="CH165" s="565"/>
      <c r="CI165" s="565"/>
      <c r="CJ165" s="565"/>
      <c r="CK165" s="565"/>
      <c r="CL165" s="565"/>
      <c r="CM165" s="565"/>
      <c r="CN165" s="565"/>
      <c r="CO165" s="565"/>
      <c r="CP165" s="565"/>
      <c r="CQ165" s="565"/>
      <c r="CR165" s="565"/>
      <c r="CS165" s="565"/>
      <c r="CT165" s="565"/>
      <c r="CU165" s="565"/>
      <c r="CV165" s="565"/>
      <c r="CW165" s="565"/>
      <c r="CX165" s="565"/>
      <c r="CY165" s="565"/>
      <c r="CZ165" s="565"/>
      <c r="DA165" s="565"/>
      <c r="DB165" s="565"/>
      <c r="DC165" s="565"/>
      <c r="DD165" s="565"/>
      <c r="DE165" s="565"/>
      <c r="DF165" s="565"/>
      <c r="DG165" s="565"/>
      <c r="DH165" s="565"/>
      <c r="DI165" s="565"/>
      <c r="DJ165" s="565"/>
      <c r="DK165" s="565"/>
      <c r="DL165" s="565"/>
      <c r="DM165" s="565"/>
      <c r="DN165" s="565"/>
      <c r="DO165" s="565"/>
      <c r="DP165" s="565"/>
    </row>
    <row r="166" spans="1:120" hidden="1" outlineLevel="1">
      <c r="A166" s="100">
        <v>1110052010</v>
      </c>
      <c r="B166" s="1216"/>
      <c r="C166" s="1695" t="s">
        <v>64</v>
      </c>
      <c r="D166" s="1629"/>
      <c r="E166" s="1630"/>
      <c r="F166" s="102"/>
      <c r="G166" s="1258"/>
      <c r="H166" s="103"/>
      <c r="I166" s="104"/>
      <c r="J166" s="1604">
        <v>1</v>
      </c>
      <c r="K166" s="1605">
        <v>1</v>
      </c>
      <c r="L166" s="1696"/>
      <c r="M166" s="1697">
        <f t="shared" si="578"/>
        <v>0</v>
      </c>
      <c r="N166" s="106"/>
      <c r="O166" s="107">
        <f t="shared" si="579"/>
        <v>0</v>
      </c>
      <c r="P166" s="108"/>
      <c r="Q166" s="1340">
        <f t="shared" si="580"/>
        <v>0</v>
      </c>
      <c r="R166" s="109"/>
      <c r="S166" s="109"/>
      <c r="T166" s="110">
        <f t="shared" si="581"/>
        <v>0</v>
      </c>
      <c r="U166" s="111">
        <f t="shared" si="582"/>
        <v>0</v>
      </c>
      <c r="V166" s="566">
        <f t="shared" si="583"/>
        <v>0</v>
      </c>
      <c r="W166" s="112">
        <f t="shared" si="584"/>
        <v>0</v>
      </c>
      <c r="X166" s="113">
        <f t="shared" si="585"/>
        <v>0</v>
      </c>
      <c r="Y166" s="114"/>
      <c r="Z166" s="1055"/>
      <c r="AA166" s="53"/>
      <c r="AB166" s="507"/>
      <c r="AC166" s="507"/>
      <c r="AD166" s="507"/>
      <c r="AE166" s="507"/>
      <c r="AF166" s="565"/>
      <c r="AG166" s="565"/>
      <c r="AH166" s="565"/>
      <c r="AI166" s="565"/>
      <c r="AJ166" s="565"/>
      <c r="AK166" s="565"/>
      <c r="AL166" s="1562"/>
      <c r="AM166" s="565"/>
      <c r="AN166" s="565"/>
      <c r="AO166" s="565"/>
      <c r="AP166" s="565"/>
      <c r="AQ166" s="565"/>
      <c r="AR166" s="565"/>
      <c r="AS166" s="565"/>
      <c r="AT166" s="565"/>
      <c r="AU166" s="565"/>
      <c r="AV166" s="565"/>
      <c r="AW166" s="565"/>
      <c r="AX166" s="565"/>
      <c r="AY166" s="565"/>
      <c r="AZ166" s="565"/>
      <c r="BA166" s="565"/>
      <c r="BB166" s="565"/>
      <c r="BC166" s="565"/>
      <c r="BD166" s="565"/>
      <c r="BE166" s="565">
        <f>+M166</f>
        <v>0</v>
      </c>
      <c r="BF166" s="565"/>
      <c r="BG166" s="565"/>
      <c r="BH166" s="565"/>
      <c r="BI166" s="565"/>
      <c r="BJ166" s="565"/>
      <c r="BK166" s="565"/>
      <c r="BL166" s="565"/>
      <c r="BM166" s="565"/>
      <c r="BN166" s="565"/>
      <c r="BO166" s="565"/>
      <c r="BP166" s="565"/>
      <c r="BQ166" s="565"/>
      <c r="BR166" s="565"/>
      <c r="BS166" s="565"/>
      <c r="BT166" s="565"/>
      <c r="BU166" s="565"/>
      <c r="BV166" s="565"/>
      <c r="BW166" s="565"/>
      <c r="BX166" s="565"/>
      <c r="BY166" s="565"/>
      <c r="BZ166" s="565"/>
      <c r="CA166" s="565"/>
      <c r="CB166" s="565"/>
      <c r="CC166" s="565"/>
      <c r="CD166" s="565"/>
      <c r="CE166" s="565"/>
      <c r="CF166" s="565"/>
      <c r="CG166" s="565"/>
      <c r="CH166" s="565"/>
      <c r="CI166" s="565"/>
      <c r="CJ166" s="565"/>
      <c r="CK166" s="565"/>
      <c r="CL166" s="565"/>
      <c r="CM166" s="565"/>
      <c r="CN166" s="565"/>
      <c r="CO166" s="565"/>
      <c r="CP166" s="565"/>
      <c r="CQ166" s="565"/>
      <c r="CR166" s="565"/>
      <c r="CS166" s="565"/>
      <c r="CT166" s="565"/>
      <c r="CU166" s="565"/>
      <c r="CV166" s="565"/>
      <c r="CW166" s="565"/>
      <c r="CX166" s="565"/>
      <c r="CY166" s="565"/>
      <c r="CZ166" s="565"/>
      <c r="DA166" s="565"/>
      <c r="DB166" s="565"/>
      <c r="DC166" s="565"/>
      <c r="DD166" s="565"/>
      <c r="DE166" s="565"/>
      <c r="DF166" s="565"/>
      <c r="DG166" s="565"/>
      <c r="DH166" s="565"/>
      <c r="DI166" s="565"/>
      <c r="DJ166" s="565"/>
      <c r="DK166" s="565"/>
      <c r="DL166" s="565"/>
      <c r="DM166" s="565"/>
      <c r="DN166" s="565"/>
      <c r="DO166" s="565"/>
      <c r="DP166" s="565"/>
    </row>
    <row r="167" spans="1:120" hidden="1" outlineLevel="1">
      <c r="A167" s="100">
        <v>1110052010</v>
      </c>
      <c r="B167" s="1216"/>
      <c r="C167" s="1695" t="s">
        <v>64</v>
      </c>
      <c r="D167" s="1629"/>
      <c r="E167" s="1630"/>
      <c r="F167" s="102"/>
      <c r="G167" s="1258"/>
      <c r="H167" s="103"/>
      <c r="I167" s="104"/>
      <c r="J167" s="1604">
        <v>1</v>
      </c>
      <c r="K167" s="1605">
        <v>1</v>
      </c>
      <c r="L167" s="1696"/>
      <c r="M167" s="1697">
        <f t="shared" si="578"/>
        <v>0</v>
      </c>
      <c r="N167" s="106"/>
      <c r="O167" s="107">
        <f t="shared" si="579"/>
        <v>0</v>
      </c>
      <c r="P167" s="108"/>
      <c r="Q167" s="1340">
        <f t="shared" si="580"/>
        <v>0</v>
      </c>
      <c r="R167" s="109"/>
      <c r="S167" s="109"/>
      <c r="T167" s="110">
        <f t="shared" si="581"/>
        <v>0</v>
      </c>
      <c r="U167" s="111">
        <f t="shared" si="582"/>
        <v>0</v>
      </c>
      <c r="V167" s="566">
        <f t="shared" si="583"/>
        <v>0</v>
      </c>
      <c r="W167" s="112">
        <f t="shared" si="584"/>
        <v>0</v>
      </c>
      <c r="X167" s="113">
        <f t="shared" si="585"/>
        <v>0</v>
      </c>
      <c r="Y167" s="114"/>
      <c r="Z167" s="1055"/>
      <c r="AA167" s="53"/>
      <c r="AB167" s="507"/>
      <c r="AC167" s="507"/>
      <c r="AD167" s="507"/>
      <c r="AE167" s="507"/>
      <c r="AF167" s="565"/>
      <c r="AG167" s="565"/>
      <c r="AH167" s="565"/>
      <c r="AI167" s="565"/>
      <c r="AJ167" s="565"/>
      <c r="AK167" s="565"/>
      <c r="AL167" s="1562"/>
      <c r="AM167" s="565"/>
      <c r="AN167" s="565"/>
      <c r="AO167" s="565"/>
      <c r="AP167" s="565"/>
      <c r="AQ167" s="565"/>
      <c r="AR167" s="565"/>
      <c r="AS167" s="565"/>
      <c r="AT167" s="565"/>
      <c r="AU167" s="565"/>
      <c r="AV167" s="565"/>
      <c r="AW167" s="565"/>
      <c r="AX167" s="565"/>
      <c r="AY167" s="565"/>
      <c r="AZ167" s="565"/>
      <c r="BA167" s="565"/>
      <c r="BB167" s="565"/>
      <c r="BC167" s="565"/>
      <c r="BD167" s="565"/>
      <c r="BE167" s="565"/>
      <c r="BF167" s="565">
        <f>+M167</f>
        <v>0</v>
      </c>
      <c r="BG167" s="565"/>
      <c r="BH167" s="565"/>
      <c r="BI167" s="565"/>
      <c r="BJ167" s="565"/>
      <c r="BK167" s="565"/>
      <c r="BL167" s="565"/>
      <c r="BM167" s="565"/>
      <c r="BN167" s="565"/>
      <c r="BO167" s="565"/>
      <c r="BP167" s="565"/>
      <c r="BQ167" s="565"/>
      <c r="BR167" s="565"/>
      <c r="BS167" s="565"/>
      <c r="BT167" s="565"/>
      <c r="BU167" s="565"/>
      <c r="BV167" s="565"/>
      <c r="BW167" s="565"/>
      <c r="BX167" s="565"/>
      <c r="BY167" s="565"/>
      <c r="BZ167" s="565"/>
      <c r="CA167" s="565"/>
      <c r="CB167" s="565"/>
      <c r="CC167" s="565"/>
      <c r="CD167" s="565"/>
      <c r="CE167" s="565"/>
      <c r="CF167" s="565"/>
      <c r="CG167" s="565"/>
      <c r="CH167" s="565"/>
      <c r="CI167" s="565"/>
      <c r="CJ167" s="565"/>
      <c r="CK167" s="565"/>
      <c r="CL167" s="565"/>
      <c r="CM167" s="565"/>
      <c r="CN167" s="565"/>
      <c r="CO167" s="565"/>
      <c r="CP167" s="565"/>
      <c r="CQ167" s="565"/>
      <c r="CR167" s="565"/>
      <c r="CS167" s="565"/>
      <c r="CT167" s="565"/>
      <c r="CU167" s="565"/>
      <c r="CV167" s="565"/>
      <c r="CW167" s="565"/>
      <c r="CX167" s="565"/>
      <c r="CY167" s="565"/>
      <c r="CZ167" s="565"/>
      <c r="DA167" s="565"/>
      <c r="DB167" s="565"/>
      <c r="DC167" s="565"/>
      <c r="DD167" s="565"/>
      <c r="DE167" s="565"/>
      <c r="DF167" s="565"/>
      <c r="DG167" s="565"/>
      <c r="DH167" s="565"/>
      <c r="DI167" s="565"/>
      <c r="DJ167" s="565"/>
      <c r="DK167" s="565"/>
      <c r="DL167" s="565"/>
      <c r="DM167" s="565"/>
      <c r="DN167" s="565"/>
      <c r="DO167" s="565"/>
      <c r="DP167" s="565"/>
    </row>
    <row r="168" spans="1:120" hidden="1" outlineLevel="1">
      <c r="A168" s="100">
        <v>1110052010</v>
      </c>
      <c r="B168" s="1216"/>
      <c r="C168" s="1695" t="s">
        <v>64</v>
      </c>
      <c r="D168" s="1629"/>
      <c r="E168" s="1630"/>
      <c r="F168" s="102"/>
      <c r="G168" s="1258"/>
      <c r="H168" s="103"/>
      <c r="I168" s="104"/>
      <c r="J168" s="1604">
        <v>1</v>
      </c>
      <c r="K168" s="1605">
        <v>1</v>
      </c>
      <c r="L168" s="1696"/>
      <c r="M168" s="1697">
        <f t="shared" si="578"/>
        <v>0</v>
      </c>
      <c r="N168" s="106"/>
      <c r="O168" s="107">
        <f t="shared" si="579"/>
        <v>0</v>
      </c>
      <c r="P168" s="108"/>
      <c r="Q168" s="1340">
        <f t="shared" si="580"/>
        <v>0</v>
      </c>
      <c r="R168" s="109"/>
      <c r="S168" s="109"/>
      <c r="T168" s="110">
        <f t="shared" si="581"/>
        <v>0</v>
      </c>
      <c r="U168" s="111">
        <f t="shared" si="582"/>
        <v>0</v>
      </c>
      <c r="V168" s="566">
        <f t="shared" si="583"/>
        <v>0</v>
      </c>
      <c r="W168" s="112">
        <f t="shared" si="584"/>
        <v>0</v>
      </c>
      <c r="X168" s="113">
        <f t="shared" si="585"/>
        <v>0</v>
      </c>
      <c r="Y168" s="114"/>
      <c r="Z168" s="1055"/>
      <c r="AA168" s="53"/>
      <c r="AB168" s="507"/>
      <c r="AC168" s="507"/>
      <c r="AD168" s="507"/>
      <c r="AE168" s="507"/>
      <c r="AF168" s="565"/>
      <c r="AG168" s="565"/>
      <c r="AH168" s="565"/>
      <c r="AI168" s="565"/>
      <c r="AJ168" s="565"/>
      <c r="AK168" s="565"/>
      <c r="AL168" s="1562"/>
      <c r="AM168" s="565"/>
      <c r="AN168" s="565"/>
      <c r="AO168" s="565"/>
      <c r="AP168" s="565"/>
      <c r="AQ168" s="565"/>
      <c r="AR168" s="565"/>
      <c r="AS168" s="565"/>
      <c r="AT168" s="565"/>
      <c r="AU168" s="565"/>
      <c r="AV168" s="565"/>
      <c r="AW168" s="565"/>
      <c r="AX168" s="565"/>
      <c r="AY168" s="565"/>
      <c r="AZ168" s="565"/>
      <c r="BA168" s="565"/>
      <c r="BB168" s="565"/>
      <c r="BC168" s="565"/>
      <c r="BD168" s="565"/>
      <c r="BE168" s="565"/>
      <c r="BF168" s="565"/>
      <c r="BG168" s="565"/>
      <c r="BH168" s="565">
        <f>+M168</f>
        <v>0</v>
      </c>
      <c r="BI168" s="565"/>
      <c r="BJ168" s="565"/>
      <c r="BK168" s="565"/>
      <c r="BL168" s="565"/>
      <c r="BM168" s="565"/>
      <c r="BN168" s="565"/>
      <c r="BO168" s="565"/>
      <c r="BP168" s="565"/>
      <c r="BQ168" s="565"/>
      <c r="BR168" s="565"/>
      <c r="BS168" s="565"/>
      <c r="BT168" s="565"/>
      <c r="BU168" s="565"/>
      <c r="BV168" s="565"/>
      <c r="BW168" s="565"/>
      <c r="BX168" s="565"/>
      <c r="BY168" s="565"/>
      <c r="BZ168" s="565"/>
      <c r="CA168" s="565"/>
      <c r="CB168" s="565"/>
      <c r="CC168" s="565"/>
      <c r="CD168" s="565"/>
      <c r="CE168" s="565"/>
      <c r="CF168" s="565"/>
      <c r="CG168" s="565"/>
      <c r="CH168" s="565"/>
      <c r="CI168" s="565"/>
      <c r="CJ168" s="565"/>
      <c r="CK168" s="565"/>
      <c r="CL168" s="565"/>
      <c r="CM168" s="565"/>
      <c r="CN168" s="565"/>
      <c r="CO168" s="565"/>
      <c r="CP168" s="565"/>
      <c r="CQ168" s="565"/>
      <c r="CR168" s="565"/>
      <c r="CS168" s="565"/>
      <c r="CT168" s="565"/>
      <c r="CU168" s="565"/>
      <c r="CV168" s="565"/>
      <c r="CW168" s="565"/>
      <c r="CX168" s="565"/>
      <c r="CY168" s="565"/>
      <c r="CZ168" s="565"/>
      <c r="DA168" s="565"/>
      <c r="DB168" s="565"/>
      <c r="DC168" s="565"/>
      <c r="DD168" s="565"/>
      <c r="DE168" s="565"/>
      <c r="DF168" s="565"/>
      <c r="DG168" s="565"/>
      <c r="DH168" s="565"/>
      <c r="DI168" s="565"/>
      <c r="DJ168" s="565"/>
      <c r="DK168" s="565"/>
      <c r="DL168" s="565"/>
      <c r="DM168" s="565"/>
      <c r="DN168" s="565"/>
      <c r="DO168" s="565"/>
      <c r="DP168" s="565"/>
    </row>
    <row r="169" spans="1:120" hidden="1" outlineLevel="1">
      <c r="A169" s="100">
        <v>1110052010</v>
      </c>
      <c r="B169" s="1216"/>
      <c r="C169" s="1695" t="s">
        <v>64</v>
      </c>
      <c r="D169" s="1629"/>
      <c r="E169" s="1630"/>
      <c r="F169" s="102"/>
      <c r="G169" s="1258"/>
      <c r="H169" s="103"/>
      <c r="I169" s="104"/>
      <c r="J169" s="1604">
        <v>1</v>
      </c>
      <c r="K169" s="1605">
        <v>1</v>
      </c>
      <c r="L169" s="1696"/>
      <c r="M169" s="1697">
        <f t="shared" si="567"/>
        <v>0</v>
      </c>
      <c r="N169" s="106"/>
      <c r="O169" s="107">
        <f t="shared" si="566"/>
        <v>0</v>
      </c>
      <c r="P169" s="108"/>
      <c r="Q169" s="1340">
        <f t="shared" si="576"/>
        <v>0</v>
      </c>
      <c r="R169" s="109"/>
      <c r="S169" s="109"/>
      <c r="T169" s="110">
        <f t="shared" si="559"/>
        <v>0</v>
      </c>
      <c r="U169" s="111">
        <f t="shared" si="560"/>
        <v>0</v>
      </c>
      <c r="V169" s="566">
        <f t="shared" si="561"/>
        <v>0</v>
      </c>
      <c r="W169" s="112">
        <f t="shared" si="562"/>
        <v>0</v>
      </c>
      <c r="X169" s="113">
        <f t="shared" si="563"/>
        <v>0</v>
      </c>
      <c r="Y169" s="114"/>
      <c r="Z169" s="1055"/>
      <c r="AA169" s="53"/>
      <c r="AB169" s="507"/>
      <c r="AC169" s="507"/>
      <c r="AD169" s="507"/>
      <c r="AE169" s="507"/>
      <c r="AF169" s="565"/>
      <c r="AG169" s="565"/>
      <c r="AH169" s="565"/>
      <c r="AI169" s="565"/>
      <c r="AJ169" s="565"/>
      <c r="AK169" s="565"/>
      <c r="AL169" s="1562"/>
      <c r="AM169" s="565"/>
      <c r="AN169" s="565"/>
      <c r="AO169" s="565"/>
      <c r="AP169" s="565"/>
      <c r="AQ169" s="565"/>
      <c r="AR169" s="565"/>
      <c r="AS169" s="565"/>
      <c r="AT169" s="565"/>
      <c r="AU169" s="565"/>
      <c r="AV169" s="565"/>
      <c r="AW169" s="565"/>
      <c r="AX169" s="565"/>
      <c r="AY169" s="565"/>
      <c r="AZ169" s="565"/>
      <c r="BA169" s="565"/>
      <c r="BB169" s="565"/>
      <c r="BC169" s="565"/>
      <c r="BD169" s="565"/>
      <c r="BE169" s="565"/>
      <c r="BF169" s="565"/>
      <c r="BG169" s="565"/>
      <c r="BH169" s="565"/>
      <c r="BI169" s="565"/>
      <c r="BJ169" s="565">
        <f>+M169</f>
        <v>0</v>
      </c>
      <c r="BK169" s="565"/>
      <c r="BL169" s="565"/>
      <c r="BM169" s="565"/>
      <c r="BN169" s="565"/>
      <c r="BO169" s="565"/>
      <c r="BP169" s="565"/>
      <c r="BQ169" s="565"/>
      <c r="BR169" s="565"/>
      <c r="BS169" s="565"/>
      <c r="BT169" s="565"/>
      <c r="BU169" s="565"/>
      <c r="BV169" s="565"/>
      <c r="BW169" s="565"/>
      <c r="BX169" s="565"/>
      <c r="BY169" s="565"/>
      <c r="BZ169" s="565"/>
      <c r="CA169" s="565"/>
      <c r="CB169" s="565"/>
      <c r="CC169" s="565"/>
      <c r="CD169" s="565"/>
      <c r="CE169" s="565"/>
      <c r="CF169" s="565"/>
      <c r="CG169" s="565"/>
      <c r="CH169" s="565"/>
      <c r="CI169" s="565"/>
      <c r="CJ169" s="565"/>
      <c r="CK169" s="565"/>
      <c r="CL169" s="565"/>
      <c r="CM169" s="565"/>
      <c r="CN169" s="565"/>
      <c r="CO169" s="565"/>
      <c r="CP169" s="565"/>
      <c r="CQ169" s="565"/>
      <c r="CR169" s="565"/>
      <c r="CS169" s="565"/>
      <c r="CT169" s="565"/>
      <c r="CU169" s="565"/>
      <c r="CV169" s="565"/>
      <c r="CW169" s="565"/>
      <c r="CX169" s="565"/>
      <c r="CY169" s="565"/>
      <c r="CZ169" s="565"/>
      <c r="DA169" s="565"/>
      <c r="DB169" s="565"/>
      <c r="DC169" s="565"/>
      <c r="DD169" s="565"/>
      <c r="DE169" s="565"/>
      <c r="DF169" s="565"/>
      <c r="DG169" s="565"/>
      <c r="DH169" s="565"/>
      <c r="DI169" s="565"/>
      <c r="DJ169" s="565"/>
      <c r="DK169" s="565"/>
      <c r="DL169" s="565"/>
      <c r="DM169" s="565"/>
      <c r="DN169" s="565"/>
      <c r="DO169" s="565"/>
      <c r="DP169" s="565"/>
    </row>
    <row r="170" spans="1:120" hidden="1" outlineLevel="1">
      <c r="A170" s="100">
        <v>1110052010</v>
      </c>
      <c r="B170" s="1216"/>
      <c r="C170" s="1695" t="s">
        <v>64</v>
      </c>
      <c r="D170" s="1629"/>
      <c r="E170" s="1630"/>
      <c r="F170" s="102"/>
      <c r="G170" s="1258"/>
      <c r="H170" s="103"/>
      <c r="I170" s="104"/>
      <c r="J170" s="1604">
        <v>1</v>
      </c>
      <c r="K170" s="1605">
        <v>1</v>
      </c>
      <c r="L170" s="1696"/>
      <c r="M170" s="1697">
        <f t="shared" ref="M170" si="586">+L170*J170</f>
        <v>0</v>
      </c>
      <c r="N170" s="106"/>
      <c r="O170" s="107">
        <f t="shared" ref="O170" si="587">+L170*N170</f>
        <v>0</v>
      </c>
      <c r="P170" s="108"/>
      <c r="Q170" s="1340">
        <f t="shared" ref="Q170" si="588">+P170*K170</f>
        <v>0</v>
      </c>
      <c r="R170" s="109"/>
      <c r="S170" s="109"/>
      <c r="T170" s="110">
        <f t="shared" ref="T170" si="589">+P170*S170</f>
        <v>0</v>
      </c>
      <c r="U170" s="111">
        <f t="shared" ref="U170" si="590">+L170+P170+F170</f>
        <v>0</v>
      </c>
      <c r="V170" s="566">
        <f t="shared" ref="V170" si="591">+P170*R170+L170*N170+F170*H170</f>
        <v>0</v>
      </c>
      <c r="W170" s="112">
        <f t="shared" ref="W170" si="592">(IF(R170&gt;S170,(-P170*R170)-(-P170*S170),0))</f>
        <v>0</v>
      </c>
      <c r="X170" s="113">
        <f t="shared" ref="X170" si="593">(IF(R170&lt;S170,(-P170*R170)-(-P170*S170),0))</f>
        <v>0</v>
      </c>
      <c r="Y170" s="114"/>
      <c r="Z170" s="1055"/>
      <c r="AA170" s="53"/>
      <c r="AB170" s="507"/>
      <c r="AC170" s="507"/>
      <c r="AD170" s="507"/>
      <c r="AE170" s="507"/>
      <c r="AF170" s="565"/>
      <c r="AG170" s="565"/>
      <c r="AH170" s="565"/>
      <c r="AI170" s="565"/>
      <c r="AJ170" s="565"/>
      <c r="AK170" s="565"/>
      <c r="AL170" s="1562"/>
      <c r="AM170" s="565"/>
      <c r="AN170" s="565"/>
      <c r="AO170" s="565"/>
      <c r="AP170" s="565"/>
      <c r="AQ170" s="565"/>
      <c r="AR170" s="565"/>
      <c r="AS170" s="565"/>
      <c r="AT170" s="565"/>
      <c r="AU170" s="565"/>
      <c r="AV170" s="565"/>
      <c r="AW170" s="565"/>
      <c r="AX170" s="565"/>
      <c r="AY170" s="565"/>
      <c r="AZ170" s="565"/>
      <c r="BA170" s="565"/>
      <c r="BB170" s="565"/>
      <c r="BC170" s="565"/>
      <c r="BD170" s="565"/>
      <c r="BE170" s="565"/>
      <c r="BF170" s="565"/>
      <c r="BG170" s="565"/>
      <c r="BH170" s="565"/>
      <c r="BI170" s="565"/>
      <c r="BJ170" s="565"/>
      <c r="BK170" s="565"/>
      <c r="BL170" s="565"/>
      <c r="BM170" s="565"/>
      <c r="BN170" s="565">
        <f>+M170</f>
        <v>0</v>
      </c>
      <c r="BO170" s="565"/>
      <c r="BP170" s="565"/>
      <c r="BQ170" s="565"/>
      <c r="BR170" s="565"/>
      <c r="BS170" s="565"/>
      <c r="BT170" s="565"/>
      <c r="BU170" s="565"/>
      <c r="BV170" s="565"/>
      <c r="BW170" s="565"/>
      <c r="BX170" s="565"/>
      <c r="BY170" s="565"/>
      <c r="BZ170" s="565"/>
      <c r="CA170" s="565"/>
      <c r="CB170" s="565"/>
      <c r="CC170" s="565"/>
      <c r="CD170" s="565"/>
      <c r="CE170" s="565"/>
      <c r="CF170" s="565"/>
      <c r="CG170" s="565"/>
      <c r="CH170" s="565"/>
      <c r="CI170" s="565"/>
      <c r="CJ170" s="565"/>
      <c r="CK170" s="565"/>
      <c r="CL170" s="565"/>
      <c r="CM170" s="565"/>
      <c r="CN170" s="565"/>
      <c r="CO170" s="565"/>
      <c r="CP170" s="565"/>
      <c r="CQ170" s="565"/>
      <c r="CR170" s="565"/>
      <c r="CS170" s="565"/>
      <c r="CT170" s="565"/>
      <c r="CU170" s="565"/>
      <c r="CV170" s="565"/>
      <c r="CW170" s="565"/>
      <c r="CX170" s="565"/>
      <c r="CY170" s="565"/>
      <c r="CZ170" s="565"/>
      <c r="DA170" s="565"/>
      <c r="DB170" s="565"/>
      <c r="DC170" s="565"/>
      <c r="DD170" s="565"/>
      <c r="DE170" s="565"/>
      <c r="DF170" s="565"/>
      <c r="DG170" s="565"/>
      <c r="DH170" s="565"/>
      <c r="DI170" s="565"/>
      <c r="DJ170" s="565"/>
      <c r="DK170" s="565"/>
      <c r="DL170" s="565"/>
      <c r="DM170" s="565"/>
      <c r="DN170" s="565"/>
      <c r="DO170" s="565"/>
      <c r="DP170" s="565"/>
    </row>
    <row r="171" spans="1:120" hidden="1" outlineLevel="1">
      <c r="A171" s="100">
        <v>1110052010</v>
      </c>
      <c r="B171" s="1216"/>
      <c r="C171" s="1695" t="s">
        <v>64</v>
      </c>
      <c r="D171" s="1629"/>
      <c r="E171" s="1630"/>
      <c r="F171" s="102"/>
      <c r="G171" s="1258"/>
      <c r="H171" s="103"/>
      <c r="I171" s="104"/>
      <c r="J171" s="1604">
        <v>1</v>
      </c>
      <c r="K171" s="1605">
        <v>1</v>
      </c>
      <c r="L171" s="1696"/>
      <c r="M171" s="1697">
        <f t="shared" ref="M171" si="594">+L171*J171</f>
        <v>0</v>
      </c>
      <c r="N171" s="106"/>
      <c r="O171" s="107">
        <f t="shared" ref="O171" si="595">+L171*N171</f>
        <v>0</v>
      </c>
      <c r="P171" s="108"/>
      <c r="Q171" s="1340">
        <f t="shared" ref="Q171" si="596">+P171*K171</f>
        <v>0</v>
      </c>
      <c r="R171" s="109"/>
      <c r="S171" s="109"/>
      <c r="T171" s="110">
        <f t="shared" ref="T171" si="597">+P171*S171</f>
        <v>0</v>
      </c>
      <c r="U171" s="111">
        <f t="shared" ref="U171" si="598">+L171+P171+F171</f>
        <v>0</v>
      </c>
      <c r="V171" s="566">
        <f t="shared" ref="V171" si="599">+P171*R171+L171*N171+F171*H171</f>
        <v>0</v>
      </c>
      <c r="W171" s="112">
        <f t="shared" ref="W171" si="600">(IF(R171&gt;S171,(-P171*R171)-(-P171*S171),0))</f>
        <v>0</v>
      </c>
      <c r="X171" s="113">
        <f t="shared" ref="X171" si="601">(IF(R171&lt;S171,(-P171*R171)-(-P171*S171),0))</f>
        <v>0</v>
      </c>
      <c r="Y171" s="114"/>
      <c r="Z171" s="1055"/>
      <c r="AA171" s="53"/>
      <c r="AB171" s="507"/>
      <c r="AC171" s="507"/>
      <c r="AD171" s="507"/>
      <c r="AE171" s="507"/>
      <c r="AF171" s="565"/>
      <c r="AG171" s="565"/>
      <c r="AH171" s="565"/>
      <c r="AI171" s="565"/>
      <c r="AJ171" s="565"/>
      <c r="AK171" s="565"/>
      <c r="AL171" s="1562"/>
      <c r="AM171" s="565"/>
      <c r="AN171" s="565"/>
      <c r="AO171" s="565"/>
      <c r="AP171" s="565"/>
      <c r="AQ171" s="565"/>
      <c r="AR171" s="565"/>
      <c r="AS171" s="565"/>
      <c r="AT171" s="565"/>
      <c r="AU171" s="565"/>
      <c r="AV171" s="565"/>
      <c r="AW171" s="565"/>
      <c r="AX171" s="565"/>
      <c r="AY171" s="565"/>
      <c r="AZ171" s="565"/>
      <c r="BA171" s="565"/>
      <c r="BB171" s="565"/>
      <c r="BC171" s="565"/>
      <c r="BD171" s="565"/>
      <c r="BE171" s="565"/>
      <c r="BF171" s="565"/>
      <c r="BG171" s="565"/>
      <c r="BH171" s="565"/>
      <c r="BI171" s="565"/>
      <c r="BJ171" s="565"/>
      <c r="BK171" s="565"/>
      <c r="BL171" s="565"/>
      <c r="BM171" s="565"/>
      <c r="BN171" s="565"/>
      <c r="BO171" s="565"/>
      <c r="BP171" s="565">
        <f>+M171</f>
        <v>0</v>
      </c>
      <c r="BQ171" s="565"/>
      <c r="BR171" s="565"/>
      <c r="BS171" s="565"/>
      <c r="BT171" s="565"/>
      <c r="BU171" s="565"/>
      <c r="BV171" s="565"/>
      <c r="BW171" s="565"/>
      <c r="BX171" s="565"/>
      <c r="BY171" s="565"/>
      <c r="BZ171" s="565"/>
      <c r="CA171" s="565"/>
      <c r="CB171" s="565"/>
      <c r="CC171" s="565"/>
      <c r="CD171" s="565"/>
      <c r="CE171" s="565"/>
      <c r="CF171" s="565"/>
      <c r="CG171" s="565"/>
      <c r="CH171" s="565"/>
      <c r="CI171" s="565"/>
      <c r="CJ171" s="565"/>
      <c r="CK171" s="565"/>
      <c r="CL171" s="565"/>
      <c r="CM171" s="565"/>
      <c r="CN171" s="565"/>
      <c r="CO171" s="565"/>
      <c r="CP171" s="565"/>
      <c r="CQ171" s="565"/>
      <c r="CR171" s="565"/>
      <c r="CS171" s="565"/>
      <c r="CT171" s="565"/>
      <c r="CU171" s="565"/>
      <c r="CV171" s="565"/>
      <c r="CW171" s="565"/>
      <c r="CX171" s="565"/>
      <c r="CY171" s="565"/>
      <c r="CZ171" s="565"/>
      <c r="DA171" s="565"/>
      <c r="DB171" s="565"/>
      <c r="DC171" s="565"/>
      <c r="DD171" s="565"/>
      <c r="DE171" s="565"/>
      <c r="DF171" s="565"/>
      <c r="DG171" s="565"/>
      <c r="DH171" s="565"/>
      <c r="DI171" s="565"/>
      <c r="DJ171" s="565"/>
      <c r="DK171" s="565"/>
      <c r="DL171" s="565"/>
      <c r="DM171" s="565"/>
      <c r="DN171" s="565"/>
      <c r="DO171" s="565"/>
      <c r="DP171" s="565"/>
    </row>
    <row r="172" spans="1:120" hidden="1" outlineLevel="1">
      <c r="A172" s="100">
        <v>1110052010</v>
      </c>
      <c r="B172" s="1216"/>
      <c r="C172" s="1695" t="s">
        <v>64</v>
      </c>
      <c r="D172" s="1629"/>
      <c r="E172" s="1630"/>
      <c r="F172" s="102"/>
      <c r="G172" s="1258"/>
      <c r="H172" s="103"/>
      <c r="I172" s="104"/>
      <c r="J172" s="1604">
        <v>1</v>
      </c>
      <c r="K172" s="1605">
        <v>1</v>
      </c>
      <c r="L172" s="1696"/>
      <c r="M172" s="1697">
        <f t="shared" si="567"/>
        <v>0</v>
      </c>
      <c r="N172" s="106"/>
      <c r="O172" s="107">
        <f t="shared" si="566"/>
        <v>0</v>
      </c>
      <c r="P172" s="108"/>
      <c r="Q172" s="1340">
        <f t="shared" si="576"/>
        <v>0</v>
      </c>
      <c r="R172" s="109"/>
      <c r="S172" s="109"/>
      <c r="T172" s="110">
        <f t="shared" si="559"/>
        <v>0</v>
      </c>
      <c r="U172" s="111">
        <f t="shared" si="560"/>
        <v>0</v>
      </c>
      <c r="V172" s="566">
        <f t="shared" si="561"/>
        <v>0</v>
      </c>
      <c r="W172" s="112">
        <f t="shared" si="562"/>
        <v>0</v>
      </c>
      <c r="X172" s="113">
        <f t="shared" si="563"/>
        <v>0</v>
      </c>
      <c r="Y172" s="114"/>
      <c r="Z172" s="1055"/>
      <c r="AA172" s="53"/>
      <c r="AB172" s="507"/>
      <c r="AC172" s="507"/>
      <c r="AD172" s="507"/>
      <c r="AE172" s="507"/>
      <c r="AF172" s="565"/>
      <c r="AG172" s="565"/>
      <c r="AH172" s="565"/>
      <c r="AI172" s="565"/>
      <c r="AJ172" s="565"/>
      <c r="AK172" s="565"/>
      <c r="AL172" s="1562"/>
      <c r="AM172" s="565"/>
      <c r="AN172" s="565"/>
      <c r="AO172" s="565"/>
      <c r="AP172" s="565"/>
      <c r="AQ172" s="565"/>
      <c r="AR172" s="565"/>
      <c r="AS172" s="565"/>
      <c r="AT172" s="565"/>
      <c r="AU172" s="565"/>
      <c r="AV172" s="565"/>
      <c r="AW172" s="565"/>
      <c r="AX172" s="565"/>
      <c r="AY172" s="565"/>
      <c r="AZ172" s="565"/>
      <c r="BA172" s="565"/>
      <c r="BB172" s="565"/>
      <c r="BC172" s="565"/>
      <c r="BD172" s="565"/>
      <c r="BE172" s="565"/>
      <c r="BF172" s="565"/>
      <c r="BG172" s="565"/>
      <c r="BH172" s="565"/>
      <c r="BI172" s="565"/>
      <c r="BJ172" s="565"/>
      <c r="BK172" s="565"/>
      <c r="BL172" s="565"/>
      <c r="BM172" s="565"/>
      <c r="BN172" s="565"/>
      <c r="BO172" s="565"/>
      <c r="BP172" s="565"/>
      <c r="BQ172" s="565"/>
      <c r="BR172" s="565"/>
      <c r="BS172" s="565">
        <f>+M172</f>
        <v>0</v>
      </c>
      <c r="BT172" s="565"/>
      <c r="BU172" s="565"/>
      <c r="BV172" s="565"/>
      <c r="BW172" s="565"/>
      <c r="BX172" s="565"/>
      <c r="BY172" s="565"/>
      <c r="BZ172" s="565"/>
      <c r="CA172" s="565"/>
      <c r="CB172" s="565"/>
      <c r="CC172" s="565"/>
      <c r="CD172" s="565"/>
      <c r="CE172" s="565"/>
      <c r="CF172" s="565"/>
      <c r="CG172" s="565"/>
      <c r="CH172" s="565"/>
      <c r="CI172" s="565"/>
      <c r="CJ172" s="565"/>
      <c r="CK172" s="565"/>
      <c r="CL172" s="565"/>
      <c r="CM172" s="565"/>
      <c r="CN172" s="565"/>
      <c r="CO172" s="565"/>
      <c r="CP172" s="565"/>
      <c r="CQ172" s="565"/>
      <c r="CR172" s="565"/>
      <c r="CS172" s="565"/>
      <c r="CT172" s="565"/>
      <c r="CU172" s="565"/>
      <c r="CV172" s="565"/>
      <c r="CW172" s="565"/>
      <c r="CX172" s="565"/>
      <c r="CY172" s="565"/>
      <c r="CZ172" s="565"/>
      <c r="DA172" s="565"/>
      <c r="DB172" s="565"/>
      <c r="DC172" s="565"/>
      <c r="DD172" s="565"/>
      <c r="DE172" s="565"/>
      <c r="DF172" s="565"/>
      <c r="DG172" s="565"/>
      <c r="DH172" s="565"/>
      <c r="DI172" s="565"/>
      <c r="DJ172" s="565"/>
      <c r="DK172" s="565"/>
      <c r="DL172" s="565"/>
      <c r="DM172" s="565"/>
      <c r="DN172" s="565"/>
      <c r="DO172" s="565"/>
      <c r="DP172" s="565"/>
    </row>
    <row r="173" spans="1:120" hidden="1" outlineLevel="1">
      <c r="A173" s="89">
        <v>1110052010</v>
      </c>
      <c r="B173" s="90"/>
      <c r="C173" s="91" t="s">
        <v>64</v>
      </c>
      <c r="D173" s="1481"/>
      <c r="E173" s="1482"/>
      <c r="F173" s="420"/>
      <c r="G173" s="1256"/>
      <c r="H173" s="421"/>
      <c r="I173" s="422"/>
      <c r="J173" s="1425">
        <v>1</v>
      </c>
      <c r="K173" s="1426">
        <v>1</v>
      </c>
      <c r="L173" s="1043"/>
      <c r="M173" s="1594">
        <f t="shared" si="567"/>
        <v>0</v>
      </c>
      <c r="N173" s="415"/>
      <c r="O173" s="424">
        <f t="shared" si="566"/>
        <v>0</v>
      </c>
      <c r="P173" s="425"/>
      <c r="Q173" s="1340">
        <f t="shared" si="576"/>
        <v>0</v>
      </c>
      <c r="R173" s="426"/>
      <c r="S173" s="426"/>
      <c r="T173" s="427">
        <f t="shared" si="559"/>
        <v>0</v>
      </c>
      <c r="U173" s="418">
        <f t="shared" si="560"/>
        <v>0</v>
      </c>
      <c r="V173" s="517">
        <f t="shared" si="561"/>
        <v>0</v>
      </c>
      <c r="W173" s="428">
        <f t="shared" si="562"/>
        <v>0</v>
      </c>
      <c r="X173" s="429">
        <f t="shared" si="563"/>
        <v>0</v>
      </c>
      <c r="Y173" s="92"/>
      <c r="Z173" s="1055"/>
      <c r="AA173" s="53"/>
      <c r="AB173" s="507"/>
      <c r="AC173" s="507"/>
      <c r="AD173" s="507"/>
      <c r="AE173" s="507"/>
      <c r="AF173" s="506"/>
      <c r="AG173" s="506"/>
      <c r="AH173" s="506"/>
      <c r="AI173" s="506"/>
      <c r="AJ173" s="506"/>
      <c r="AK173" s="506"/>
      <c r="AL173" s="1561"/>
      <c r="AM173" s="506"/>
      <c r="AN173" s="506"/>
      <c r="AO173" s="506"/>
      <c r="AP173" s="506"/>
      <c r="AQ173" s="506"/>
      <c r="AR173" s="506"/>
      <c r="AS173" s="506"/>
      <c r="AT173" s="506"/>
      <c r="AU173" s="506"/>
      <c r="AV173" s="506"/>
      <c r="AW173" s="506"/>
      <c r="AX173" s="506"/>
      <c r="AY173" s="506"/>
      <c r="AZ173" s="520"/>
      <c r="BA173" s="506"/>
      <c r="BB173" s="506"/>
      <c r="BC173" s="506"/>
      <c r="BD173" s="595"/>
      <c r="BE173" s="595"/>
      <c r="BF173" s="595"/>
      <c r="BG173" s="506"/>
      <c r="BH173" s="506"/>
      <c r="BI173" s="506"/>
      <c r="BJ173" s="506"/>
      <c r="BK173" s="506"/>
      <c r="BL173" s="506"/>
      <c r="BM173" s="506"/>
      <c r="BN173" s="506"/>
      <c r="BO173" s="506"/>
      <c r="BP173" s="506"/>
      <c r="BQ173" s="506"/>
      <c r="BR173" s="506"/>
      <c r="BS173" s="506"/>
      <c r="BT173" s="506"/>
      <c r="BU173" s="506"/>
      <c r="BV173" s="520">
        <f>+M173</f>
        <v>0</v>
      </c>
      <c r="BW173" s="506"/>
      <c r="BX173" s="506"/>
      <c r="BY173" s="506"/>
      <c r="BZ173" s="506"/>
      <c r="CA173" s="506"/>
      <c r="CB173" s="506"/>
      <c r="CC173" s="506"/>
      <c r="CD173" s="506"/>
      <c r="CE173" s="506"/>
      <c r="CF173" s="506"/>
      <c r="CG173" s="506"/>
      <c r="CH173" s="506"/>
      <c r="CI173" s="506"/>
      <c r="CJ173" s="506"/>
      <c r="CK173" s="506"/>
      <c r="CL173" s="506"/>
      <c r="CM173" s="506"/>
      <c r="CN173" s="506"/>
      <c r="CO173" s="506"/>
      <c r="CP173" s="506"/>
      <c r="CQ173" s="506"/>
      <c r="CR173" s="506"/>
      <c r="CS173" s="506"/>
      <c r="CT173" s="506"/>
      <c r="CU173" s="506"/>
      <c r="CV173" s="506"/>
      <c r="CW173" s="506"/>
      <c r="CX173" s="506"/>
      <c r="CY173" s="506"/>
      <c r="CZ173" s="506"/>
      <c r="DA173" s="506"/>
      <c r="DB173" s="506"/>
      <c r="DC173" s="506"/>
      <c r="DD173" s="506"/>
      <c r="DE173" s="506"/>
      <c r="DF173" s="506"/>
      <c r="DG173" s="506"/>
      <c r="DH173" s="506"/>
      <c r="DI173" s="506"/>
      <c r="DJ173" s="506"/>
      <c r="DK173" s="506"/>
      <c r="DL173" s="506"/>
      <c r="DM173" s="506"/>
      <c r="DN173" s="506"/>
      <c r="DO173" s="506"/>
      <c r="DP173" s="506"/>
    </row>
    <row r="174" spans="1:120" hidden="1" outlineLevel="1">
      <c r="A174" s="89">
        <v>1110052010</v>
      </c>
      <c r="B174" s="90"/>
      <c r="C174" s="91" t="s">
        <v>64</v>
      </c>
      <c r="D174" s="1481"/>
      <c r="E174" s="1482"/>
      <c r="F174" s="420"/>
      <c r="G174" s="1256"/>
      <c r="H174" s="421"/>
      <c r="I174" s="422"/>
      <c r="J174" s="1425">
        <v>1</v>
      </c>
      <c r="K174" s="1426">
        <v>1</v>
      </c>
      <c r="L174" s="1043"/>
      <c r="M174" s="1594">
        <f t="shared" si="567"/>
        <v>0</v>
      </c>
      <c r="N174" s="415"/>
      <c r="O174" s="424">
        <f t="shared" si="566"/>
        <v>0</v>
      </c>
      <c r="P174" s="425"/>
      <c r="Q174" s="1340">
        <f t="shared" si="576"/>
        <v>0</v>
      </c>
      <c r="R174" s="426"/>
      <c r="S174" s="426"/>
      <c r="T174" s="427">
        <f t="shared" si="559"/>
        <v>0</v>
      </c>
      <c r="U174" s="418">
        <f t="shared" si="560"/>
        <v>0</v>
      </c>
      <c r="V174" s="517">
        <f t="shared" si="561"/>
        <v>0</v>
      </c>
      <c r="W174" s="428">
        <f t="shared" si="562"/>
        <v>0</v>
      </c>
      <c r="X174" s="429">
        <f t="shared" si="563"/>
        <v>0</v>
      </c>
      <c r="Y174" s="92"/>
      <c r="Z174" s="1055"/>
      <c r="AA174" s="53"/>
      <c r="AB174" s="507"/>
      <c r="AC174" s="507"/>
      <c r="AD174" s="507"/>
      <c r="AE174" s="507"/>
      <c r="AF174" s="506"/>
      <c r="AG174" s="506"/>
      <c r="AH174" s="506"/>
      <c r="AI174" s="506"/>
      <c r="AJ174" s="506"/>
      <c r="AK174" s="506"/>
      <c r="AL174" s="1561"/>
      <c r="AM174" s="506"/>
      <c r="AN174" s="506"/>
      <c r="AO174" s="506"/>
      <c r="AP174" s="506"/>
      <c r="AQ174" s="506"/>
      <c r="AR174" s="506"/>
      <c r="AS174" s="506"/>
      <c r="AT174" s="506"/>
      <c r="AU174" s="506"/>
      <c r="AV174" s="506"/>
      <c r="AW174" s="506"/>
      <c r="AX174" s="506"/>
      <c r="AY174" s="506"/>
      <c r="AZ174" s="520"/>
      <c r="BA174" s="506"/>
      <c r="BB174" s="506"/>
      <c r="BC174" s="506"/>
      <c r="BD174" s="595"/>
      <c r="BE174" s="595"/>
      <c r="BF174" s="595"/>
      <c r="BG174" s="506"/>
      <c r="BH174" s="506"/>
      <c r="BI174" s="506"/>
      <c r="BJ174" s="506"/>
      <c r="BK174" s="506"/>
      <c r="BL174" s="506"/>
      <c r="BM174" s="506"/>
      <c r="BN174" s="506"/>
      <c r="BO174" s="506"/>
      <c r="BP174" s="506"/>
      <c r="BQ174" s="506"/>
      <c r="BR174" s="506"/>
      <c r="BS174" s="506"/>
      <c r="BT174" s="506"/>
      <c r="BU174" s="506"/>
      <c r="BV174" s="520">
        <f>+M174</f>
        <v>0</v>
      </c>
      <c r="BW174" s="506"/>
      <c r="BX174" s="506"/>
      <c r="BY174" s="506"/>
      <c r="BZ174" s="506"/>
      <c r="CA174" s="506"/>
      <c r="CB174" s="506"/>
      <c r="CC174" s="506"/>
      <c r="CD174" s="506"/>
      <c r="CE174" s="506"/>
      <c r="CF174" s="506"/>
      <c r="CG174" s="506"/>
      <c r="CH174" s="506"/>
      <c r="CI174" s="506"/>
      <c r="CJ174" s="506"/>
      <c r="CK174" s="506"/>
      <c r="CL174" s="506"/>
      <c r="CM174" s="506"/>
      <c r="CN174" s="506"/>
      <c r="CO174" s="506"/>
      <c r="CP174" s="506"/>
      <c r="CQ174" s="506"/>
      <c r="CR174" s="506"/>
      <c r="CS174" s="506"/>
      <c r="CT174" s="506"/>
      <c r="CU174" s="506"/>
      <c r="CV174" s="506"/>
      <c r="CW174" s="506"/>
      <c r="CX174" s="506"/>
      <c r="CY174" s="506"/>
      <c r="CZ174" s="506"/>
      <c r="DA174" s="506"/>
      <c r="DB174" s="506"/>
      <c r="DC174" s="506"/>
      <c r="DD174" s="506"/>
      <c r="DE174" s="506"/>
      <c r="DF174" s="506"/>
      <c r="DG174" s="506"/>
      <c r="DH174" s="506"/>
      <c r="DI174" s="506"/>
      <c r="DJ174" s="506"/>
      <c r="DK174" s="506"/>
      <c r="DL174" s="506"/>
      <c r="DM174" s="506"/>
      <c r="DN174" s="506"/>
      <c r="DO174" s="506"/>
      <c r="DP174" s="506"/>
    </row>
    <row r="175" spans="1:120" hidden="1" outlineLevel="1">
      <c r="A175" s="89">
        <v>1110052010</v>
      </c>
      <c r="B175" s="90"/>
      <c r="C175" s="91" t="s">
        <v>64</v>
      </c>
      <c r="D175" s="1481"/>
      <c r="E175" s="1482"/>
      <c r="F175" s="420"/>
      <c r="G175" s="1256"/>
      <c r="H175" s="421"/>
      <c r="I175" s="422"/>
      <c r="J175" s="1425">
        <v>1</v>
      </c>
      <c r="K175" s="1426">
        <v>1</v>
      </c>
      <c r="L175" s="1043"/>
      <c r="M175" s="1594">
        <f t="shared" si="567"/>
        <v>0</v>
      </c>
      <c r="N175" s="415"/>
      <c r="O175" s="424">
        <f t="shared" si="566"/>
        <v>0</v>
      </c>
      <c r="P175" s="425"/>
      <c r="Q175" s="1340">
        <f t="shared" si="576"/>
        <v>0</v>
      </c>
      <c r="R175" s="426"/>
      <c r="S175" s="426"/>
      <c r="T175" s="427">
        <f t="shared" si="559"/>
        <v>0</v>
      </c>
      <c r="U175" s="418">
        <f t="shared" si="560"/>
        <v>0</v>
      </c>
      <c r="V175" s="517">
        <f t="shared" si="561"/>
        <v>0</v>
      </c>
      <c r="W175" s="428">
        <f t="shared" si="562"/>
        <v>0</v>
      </c>
      <c r="X175" s="429">
        <f t="shared" si="563"/>
        <v>0</v>
      </c>
      <c r="Y175" s="92"/>
      <c r="Z175" s="1055"/>
      <c r="AA175" s="53"/>
      <c r="AB175" s="507"/>
      <c r="AC175" s="507"/>
      <c r="AD175" s="507"/>
      <c r="AE175" s="507"/>
      <c r="AF175" s="506"/>
      <c r="AG175" s="506"/>
      <c r="AH175" s="506"/>
      <c r="AI175" s="506"/>
      <c r="AJ175" s="506"/>
      <c r="AK175" s="506"/>
      <c r="AL175" s="1561"/>
      <c r="AM175" s="506"/>
      <c r="AN175" s="506"/>
      <c r="AO175" s="506"/>
      <c r="AP175" s="506"/>
      <c r="AQ175" s="506"/>
      <c r="AR175" s="506"/>
      <c r="AS175" s="506"/>
      <c r="AT175" s="506"/>
      <c r="AU175" s="506"/>
      <c r="AV175" s="506"/>
      <c r="AW175" s="506"/>
      <c r="AX175" s="506"/>
      <c r="AY175" s="506"/>
      <c r="AZ175" s="506"/>
      <c r="BA175" s="506"/>
      <c r="BB175" s="506"/>
      <c r="BC175" s="506"/>
      <c r="BD175" s="595"/>
      <c r="BE175" s="595"/>
      <c r="BF175" s="595"/>
      <c r="BG175" s="506"/>
      <c r="BH175" s="506"/>
      <c r="BI175" s="506"/>
      <c r="BJ175" s="506"/>
      <c r="BK175" s="506"/>
      <c r="BL175" s="506"/>
      <c r="BM175" s="506"/>
      <c r="BN175" s="506"/>
      <c r="BO175" s="506"/>
      <c r="BP175" s="506"/>
      <c r="BQ175" s="506"/>
      <c r="BR175" s="506"/>
      <c r="BS175" s="506"/>
      <c r="BT175" s="506"/>
      <c r="BU175" s="506"/>
      <c r="BV175" s="520">
        <f>+M175</f>
        <v>0</v>
      </c>
      <c r="BW175" s="506"/>
      <c r="BX175" s="506"/>
      <c r="BY175" s="506"/>
      <c r="BZ175" s="506"/>
      <c r="CA175" s="506"/>
      <c r="CB175" s="506"/>
      <c r="CC175" s="506"/>
      <c r="CD175" s="506"/>
      <c r="CE175" s="506"/>
      <c r="CF175" s="506"/>
      <c r="CG175" s="506"/>
      <c r="CH175" s="506"/>
      <c r="CI175" s="506"/>
      <c r="CJ175" s="506"/>
      <c r="CK175" s="506"/>
      <c r="CL175" s="506"/>
      <c r="CM175" s="506"/>
      <c r="CN175" s="506"/>
      <c r="CO175" s="506"/>
      <c r="CP175" s="506"/>
      <c r="CQ175" s="506"/>
      <c r="CR175" s="506"/>
      <c r="CS175" s="506"/>
      <c r="CT175" s="506"/>
      <c r="CU175" s="506"/>
      <c r="CV175" s="506"/>
      <c r="CW175" s="506"/>
      <c r="CX175" s="506"/>
      <c r="CY175" s="506"/>
      <c r="CZ175" s="506"/>
      <c r="DA175" s="506"/>
      <c r="DB175" s="506"/>
      <c r="DC175" s="506"/>
      <c r="DD175" s="506"/>
      <c r="DE175" s="506"/>
      <c r="DF175" s="506"/>
      <c r="DG175" s="506"/>
      <c r="DH175" s="506"/>
      <c r="DI175" s="506"/>
      <c r="DJ175" s="506"/>
      <c r="DK175" s="506"/>
      <c r="DL175" s="506"/>
      <c r="DM175" s="506"/>
      <c r="DN175" s="506"/>
      <c r="DO175" s="506"/>
      <c r="DP175" s="506"/>
    </row>
    <row r="176" spans="1:120" hidden="1" outlineLevel="1">
      <c r="A176" s="89">
        <v>1110052010</v>
      </c>
      <c r="B176" s="90"/>
      <c r="C176" s="91" t="s">
        <v>64</v>
      </c>
      <c r="D176" s="1481"/>
      <c r="E176" s="1482"/>
      <c r="F176" s="420"/>
      <c r="G176" s="1256"/>
      <c r="H176" s="421"/>
      <c r="I176" s="422"/>
      <c r="J176" s="1425">
        <v>1</v>
      </c>
      <c r="K176" s="1426">
        <v>1</v>
      </c>
      <c r="L176" s="1043"/>
      <c r="M176" s="1594">
        <f t="shared" ref="M176:M186" si="602">+L176*J176</f>
        <v>0</v>
      </c>
      <c r="N176" s="415"/>
      <c r="O176" s="424">
        <f t="shared" ref="O176:O186" si="603">+L176*N176</f>
        <v>0</v>
      </c>
      <c r="P176" s="425"/>
      <c r="Q176" s="1340">
        <f t="shared" ref="Q176:Q186" si="604">+P176*K176</f>
        <v>0</v>
      </c>
      <c r="R176" s="426"/>
      <c r="S176" s="426"/>
      <c r="T176" s="427">
        <f t="shared" ref="T176:T186" si="605">+P176*S176</f>
        <v>0</v>
      </c>
      <c r="U176" s="418">
        <f t="shared" ref="U176:U186" si="606">+L176+P176+F176</f>
        <v>0</v>
      </c>
      <c r="V176" s="517">
        <f t="shared" ref="V176:V186" si="607">+P176*R176+L176*N176+F176*H176</f>
        <v>0</v>
      </c>
      <c r="W176" s="428">
        <f t="shared" ref="W176:W186" si="608">(IF(R176&gt;S176,(-P176*R176)-(-P176*S176),0))</f>
        <v>0</v>
      </c>
      <c r="X176" s="429">
        <f t="shared" ref="X176:X186" si="609">(IF(R176&lt;S176,(-P176*R176)-(-P176*S176),0))</f>
        <v>0</v>
      </c>
      <c r="Y176" s="92"/>
      <c r="Z176" s="1055"/>
      <c r="AA176" s="53"/>
      <c r="AB176" s="507"/>
      <c r="AC176" s="507"/>
      <c r="AD176" s="507"/>
      <c r="AE176" s="507"/>
      <c r="AF176" s="506"/>
      <c r="AG176" s="506"/>
      <c r="AH176" s="506"/>
      <c r="AI176" s="520">
        <f>+Q176</f>
        <v>0</v>
      </c>
      <c r="AJ176" s="506"/>
      <c r="AK176" s="506"/>
      <c r="AL176" s="1561"/>
      <c r="AM176" s="506"/>
      <c r="AN176" s="506"/>
      <c r="AO176" s="506"/>
      <c r="AP176" s="506"/>
      <c r="AQ176" s="506"/>
      <c r="AR176" s="506"/>
      <c r="AS176" s="506"/>
      <c r="AT176" s="506"/>
      <c r="AU176" s="506"/>
      <c r="AV176" s="506"/>
      <c r="AW176" s="506"/>
      <c r="AX176" s="506"/>
      <c r="AY176" s="506"/>
      <c r="AZ176" s="520"/>
      <c r="BA176" s="506"/>
      <c r="BB176" s="506"/>
      <c r="BC176" s="506"/>
      <c r="BD176" s="595"/>
      <c r="BE176" s="595"/>
      <c r="BF176" s="595"/>
      <c r="BG176" s="506"/>
      <c r="BH176" s="506"/>
      <c r="BI176" s="506"/>
      <c r="BJ176" s="506"/>
      <c r="BK176" s="506"/>
      <c r="BL176" s="506"/>
      <c r="BM176" s="506"/>
      <c r="BN176" s="506"/>
      <c r="BO176" s="506"/>
      <c r="BP176" s="506"/>
      <c r="BQ176" s="506"/>
      <c r="BR176" s="506"/>
      <c r="BS176" s="506"/>
      <c r="BT176" s="506"/>
      <c r="BU176" s="506"/>
      <c r="BV176" s="506"/>
      <c r="BW176" s="506"/>
      <c r="BX176" s="506"/>
      <c r="BY176" s="506"/>
      <c r="BZ176" s="506"/>
      <c r="CA176" s="506"/>
      <c r="CB176" s="506"/>
      <c r="CC176" s="506"/>
      <c r="CD176" s="506"/>
      <c r="CE176" s="506"/>
      <c r="CF176" s="506"/>
      <c r="CG176" s="506"/>
      <c r="CH176" s="506"/>
      <c r="CI176" s="506"/>
      <c r="CJ176" s="506"/>
      <c r="CK176" s="506"/>
      <c r="CL176" s="506"/>
      <c r="CM176" s="506"/>
      <c r="CN176" s="506"/>
      <c r="CO176" s="506"/>
      <c r="CP176" s="506"/>
      <c r="CQ176" s="506"/>
      <c r="CR176" s="506"/>
      <c r="CS176" s="506"/>
      <c r="CT176" s="506"/>
      <c r="CU176" s="506"/>
      <c r="CV176" s="506"/>
      <c r="CW176" s="506"/>
      <c r="CX176" s="506"/>
      <c r="CY176" s="506"/>
      <c r="CZ176" s="506"/>
      <c r="DA176" s="506"/>
      <c r="DB176" s="506"/>
      <c r="DC176" s="506"/>
      <c r="DD176" s="506"/>
      <c r="DE176" s="506"/>
      <c r="DF176" s="506"/>
      <c r="DG176" s="506"/>
      <c r="DH176" s="506"/>
      <c r="DI176" s="506"/>
      <c r="DJ176" s="506"/>
      <c r="DK176" s="506"/>
      <c r="DL176" s="506"/>
      <c r="DM176" s="506"/>
      <c r="DN176" s="506"/>
      <c r="DO176" s="506"/>
      <c r="DP176" s="506"/>
    </row>
    <row r="177" spans="1:120" hidden="1" outlineLevel="1">
      <c r="A177" s="89">
        <v>1110052010</v>
      </c>
      <c r="B177" s="90"/>
      <c r="C177" s="91" t="s">
        <v>64</v>
      </c>
      <c r="D177" s="1481"/>
      <c r="E177" s="1482"/>
      <c r="F177" s="420"/>
      <c r="G177" s="1256"/>
      <c r="H177" s="421"/>
      <c r="I177" s="422"/>
      <c r="J177" s="1425">
        <v>1</v>
      </c>
      <c r="K177" s="1426">
        <v>1</v>
      </c>
      <c r="L177" s="1043"/>
      <c r="M177" s="1594">
        <f t="shared" si="602"/>
        <v>0</v>
      </c>
      <c r="N177" s="415"/>
      <c r="O177" s="424">
        <f t="shared" si="603"/>
        <v>0</v>
      </c>
      <c r="P177" s="425"/>
      <c r="Q177" s="1340">
        <f t="shared" si="604"/>
        <v>0</v>
      </c>
      <c r="R177" s="426"/>
      <c r="S177" s="426"/>
      <c r="T177" s="427">
        <f t="shared" si="605"/>
        <v>0</v>
      </c>
      <c r="U177" s="418">
        <f t="shared" si="606"/>
        <v>0</v>
      </c>
      <c r="V177" s="517">
        <f t="shared" si="607"/>
        <v>0</v>
      </c>
      <c r="W177" s="428">
        <f t="shared" si="608"/>
        <v>0</v>
      </c>
      <c r="X177" s="429">
        <f t="shared" si="609"/>
        <v>0</v>
      </c>
      <c r="Y177" s="92"/>
      <c r="Z177" s="1055"/>
      <c r="AA177" s="53"/>
      <c r="AB177" s="507"/>
      <c r="AC177" s="507"/>
      <c r="AD177" s="507"/>
      <c r="AE177" s="507"/>
      <c r="AF177" s="506"/>
      <c r="AG177" s="506"/>
      <c r="AH177" s="506"/>
      <c r="AI177" s="506"/>
      <c r="AJ177" s="520">
        <f>+Q177</f>
        <v>0</v>
      </c>
      <c r="AK177" s="506"/>
      <c r="AL177" s="1561"/>
      <c r="AM177" s="506"/>
      <c r="AN177" s="506"/>
      <c r="AO177" s="506"/>
      <c r="AP177" s="506"/>
      <c r="AQ177" s="506"/>
      <c r="AR177" s="506"/>
      <c r="AS177" s="506"/>
      <c r="AT177" s="506"/>
      <c r="AU177" s="506"/>
      <c r="AV177" s="506"/>
      <c r="AW177" s="506"/>
      <c r="AX177" s="506"/>
      <c r="AY177" s="506"/>
      <c r="AZ177" s="520"/>
      <c r="BA177" s="506"/>
      <c r="BB177" s="506"/>
      <c r="BC177" s="506"/>
      <c r="BD177" s="595"/>
      <c r="BE177" s="595"/>
      <c r="BF177" s="595"/>
      <c r="BG177" s="506"/>
      <c r="BH177" s="506"/>
      <c r="BI177" s="506"/>
      <c r="BJ177" s="506"/>
      <c r="BK177" s="506"/>
      <c r="BL177" s="506"/>
      <c r="BM177" s="506"/>
      <c r="BN177" s="506"/>
      <c r="BO177" s="506"/>
      <c r="BP177" s="506"/>
      <c r="BQ177" s="506"/>
      <c r="BR177" s="506"/>
      <c r="BS177" s="506"/>
      <c r="BT177" s="506"/>
      <c r="BU177" s="506"/>
      <c r="BV177" s="506"/>
      <c r="BW177" s="506"/>
      <c r="BX177" s="506"/>
      <c r="BY177" s="506"/>
      <c r="BZ177" s="506"/>
      <c r="CA177" s="506"/>
      <c r="CB177" s="506"/>
      <c r="CC177" s="506"/>
      <c r="CD177" s="506"/>
      <c r="CE177" s="506"/>
      <c r="CF177" s="506"/>
      <c r="CG177" s="506"/>
      <c r="CH177" s="506"/>
      <c r="CI177" s="506"/>
      <c r="CJ177" s="506"/>
      <c r="CK177" s="506"/>
      <c r="CL177" s="506"/>
      <c r="CM177" s="506"/>
      <c r="CN177" s="506"/>
      <c r="CO177" s="506"/>
      <c r="CP177" s="506"/>
      <c r="CQ177" s="506"/>
      <c r="CR177" s="506"/>
      <c r="CS177" s="506"/>
      <c r="CT177" s="506"/>
      <c r="CU177" s="506"/>
      <c r="CV177" s="506"/>
      <c r="CW177" s="506"/>
      <c r="CX177" s="506"/>
      <c r="CY177" s="506"/>
      <c r="CZ177" s="506"/>
      <c r="DA177" s="506"/>
      <c r="DB177" s="506"/>
      <c r="DC177" s="506"/>
      <c r="DD177" s="506"/>
      <c r="DE177" s="506"/>
      <c r="DF177" s="506"/>
      <c r="DG177" s="506"/>
      <c r="DH177" s="506"/>
      <c r="DI177" s="506"/>
      <c r="DJ177" s="506"/>
      <c r="DK177" s="506"/>
      <c r="DL177" s="506"/>
      <c r="DM177" s="506"/>
      <c r="DN177" s="506"/>
      <c r="DO177" s="506"/>
      <c r="DP177" s="506"/>
    </row>
    <row r="178" spans="1:120" hidden="1" outlineLevel="1">
      <c r="A178" s="89">
        <v>1110052010</v>
      </c>
      <c r="B178" s="90"/>
      <c r="C178" s="91" t="s">
        <v>64</v>
      </c>
      <c r="D178" s="1481"/>
      <c r="E178" s="1482"/>
      <c r="F178" s="420"/>
      <c r="G178" s="1256"/>
      <c r="H178" s="421"/>
      <c r="I178" s="422"/>
      <c r="J178" s="1425">
        <v>1</v>
      </c>
      <c r="K178" s="1426">
        <v>1</v>
      </c>
      <c r="L178" s="1043"/>
      <c r="M178" s="1594">
        <f t="shared" ref="M178" si="610">+L178*J178</f>
        <v>0</v>
      </c>
      <c r="N178" s="415"/>
      <c r="O178" s="424">
        <f t="shared" ref="O178" si="611">+L178*N178</f>
        <v>0</v>
      </c>
      <c r="P178" s="425"/>
      <c r="Q178" s="1340">
        <f t="shared" ref="Q178" si="612">+P178*K178</f>
        <v>0</v>
      </c>
      <c r="R178" s="426"/>
      <c r="S178" s="426"/>
      <c r="T178" s="427">
        <f t="shared" ref="T178" si="613">+P178*S178</f>
        <v>0</v>
      </c>
      <c r="U178" s="418">
        <f t="shared" ref="U178" si="614">+L178+P178+F178</f>
        <v>0</v>
      </c>
      <c r="V178" s="517">
        <f t="shared" ref="V178" si="615">+P178*R178+L178*N178+F178*H178</f>
        <v>0</v>
      </c>
      <c r="W178" s="428">
        <f t="shared" ref="W178" si="616">(IF(R178&gt;S178,(-P178*R178)-(-P178*S178),0))</f>
        <v>0</v>
      </c>
      <c r="X178" s="429">
        <f t="shared" ref="X178" si="617">(IF(R178&lt;S178,(-P178*R178)-(-P178*S178),0))</f>
        <v>0</v>
      </c>
      <c r="Y178" s="92"/>
      <c r="Z178" s="1055"/>
      <c r="AA178" s="53"/>
      <c r="AB178" s="507"/>
      <c r="AC178" s="507"/>
      <c r="AD178" s="507"/>
      <c r="AE178" s="507"/>
      <c r="AF178" s="506"/>
      <c r="AG178" s="506"/>
      <c r="AH178" s="506"/>
      <c r="AI178" s="506"/>
      <c r="AJ178" s="506"/>
      <c r="AK178" s="506"/>
      <c r="AL178" s="1561"/>
      <c r="AM178" s="506"/>
      <c r="AN178" s="506"/>
      <c r="AO178" s="506"/>
      <c r="AP178" s="506"/>
      <c r="AQ178" s="506"/>
      <c r="AR178" s="506"/>
      <c r="AS178" s="506"/>
      <c r="AT178" s="506"/>
      <c r="AU178" s="506"/>
      <c r="AV178" s="506"/>
      <c r="AW178" s="506"/>
      <c r="AX178" s="506"/>
      <c r="AY178" s="506"/>
      <c r="AZ178" s="520"/>
      <c r="BA178" s="506"/>
      <c r="BB178" s="520">
        <f>+Q178</f>
        <v>0</v>
      </c>
      <c r="BC178" s="506"/>
      <c r="BD178" s="595"/>
      <c r="BE178" s="595"/>
      <c r="BF178" s="595"/>
      <c r="BG178" s="506"/>
      <c r="BH178" s="506"/>
      <c r="BI178" s="506"/>
      <c r="BJ178" s="506"/>
      <c r="BK178" s="506"/>
      <c r="BL178" s="506"/>
      <c r="BM178" s="506"/>
      <c r="BN178" s="506"/>
      <c r="BO178" s="506"/>
      <c r="BP178" s="506"/>
      <c r="BQ178" s="506"/>
      <c r="BR178" s="506"/>
      <c r="BS178" s="506"/>
      <c r="BT178" s="506"/>
      <c r="BU178" s="506"/>
      <c r="BV178" s="506"/>
      <c r="BW178" s="506"/>
      <c r="BX178" s="506"/>
      <c r="BY178" s="506"/>
      <c r="BZ178" s="506"/>
      <c r="CA178" s="506"/>
      <c r="CB178" s="506"/>
      <c r="CC178" s="506"/>
      <c r="CD178" s="506"/>
      <c r="CE178" s="506"/>
      <c r="CF178" s="506"/>
      <c r="CG178" s="506"/>
      <c r="CH178" s="506"/>
      <c r="CI178" s="506"/>
      <c r="CJ178" s="506"/>
      <c r="CK178" s="506"/>
      <c r="CL178" s="506"/>
      <c r="CM178" s="506"/>
      <c r="CN178" s="506"/>
      <c r="CO178" s="506"/>
      <c r="CP178" s="506"/>
      <c r="CQ178" s="506"/>
      <c r="CR178" s="506"/>
      <c r="CS178" s="506"/>
      <c r="CT178" s="506"/>
      <c r="CU178" s="506"/>
      <c r="CV178" s="506"/>
      <c r="CW178" s="506"/>
      <c r="CX178" s="506"/>
      <c r="CY178" s="506"/>
      <c r="CZ178" s="506"/>
      <c r="DA178" s="506"/>
      <c r="DB178" s="506"/>
      <c r="DC178" s="506"/>
      <c r="DD178" s="506"/>
      <c r="DE178" s="506"/>
      <c r="DF178" s="506"/>
      <c r="DG178" s="506"/>
      <c r="DH178" s="506"/>
      <c r="DI178" s="506"/>
      <c r="DJ178" s="506"/>
      <c r="DK178" s="506"/>
      <c r="DL178" s="506"/>
      <c r="DM178" s="506"/>
      <c r="DN178" s="506"/>
      <c r="DO178" s="506"/>
      <c r="DP178" s="506"/>
    </row>
    <row r="179" spans="1:120" hidden="1" outlineLevel="1">
      <c r="A179" s="89">
        <v>1110052010</v>
      </c>
      <c r="B179" s="90"/>
      <c r="C179" s="91" t="s">
        <v>64</v>
      </c>
      <c r="D179" s="1481"/>
      <c r="E179" s="1482"/>
      <c r="F179" s="420"/>
      <c r="G179" s="1256"/>
      <c r="H179" s="421"/>
      <c r="I179" s="422"/>
      <c r="J179" s="1425">
        <v>1</v>
      </c>
      <c r="K179" s="1426">
        <v>1</v>
      </c>
      <c r="L179" s="1043"/>
      <c r="M179" s="1594">
        <f t="shared" si="602"/>
        <v>0</v>
      </c>
      <c r="N179" s="415"/>
      <c r="O179" s="424">
        <f t="shared" si="603"/>
        <v>0</v>
      </c>
      <c r="P179" s="425"/>
      <c r="Q179" s="1340">
        <f t="shared" si="604"/>
        <v>0</v>
      </c>
      <c r="R179" s="426"/>
      <c r="S179" s="426"/>
      <c r="T179" s="427">
        <f t="shared" si="605"/>
        <v>0</v>
      </c>
      <c r="U179" s="418">
        <f t="shared" si="606"/>
        <v>0</v>
      </c>
      <c r="V179" s="517">
        <f t="shared" si="607"/>
        <v>0</v>
      </c>
      <c r="W179" s="428">
        <f t="shared" si="608"/>
        <v>0</v>
      </c>
      <c r="X179" s="429">
        <f t="shared" si="609"/>
        <v>0</v>
      </c>
      <c r="Y179" s="92"/>
      <c r="Z179" s="1055"/>
      <c r="AA179" s="53"/>
      <c r="AB179" s="507"/>
      <c r="AC179" s="507"/>
      <c r="AD179" s="507"/>
      <c r="AE179" s="507"/>
      <c r="AF179" s="506"/>
      <c r="AG179" s="506"/>
      <c r="AH179" s="506"/>
      <c r="AI179" s="506"/>
      <c r="AJ179" s="506"/>
      <c r="AK179" s="506"/>
      <c r="AL179" s="1561"/>
      <c r="AM179" s="506"/>
      <c r="AN179" s="506"/>
      <c r="AO179" s="506"/>
      <c r="AP179" s="506"/>
      <c r="AQ179" s="506"/>
      <c r="AR179" s="506"/>
      <c r="AS179" s="506"/>
      <c r="AT179" s="506"/>
      <c r="AU179" s="506"/>
      <c r="AV179" s="506"/>
      <c r="AW179" s="506"/>
      <c r="AX179" s="506"/>
      <c r="AY179" s="506"/>
      <c r="AZ179" s="520"/>
      <c r="BA179" s="506"/>
      <c r="BB179" s="520">
        <f>+Q179</f>
        <v>0</v>
      </c>
      <c r="BC179" s="506"/>
      <c r="BD179" s="595"/>
      <c r="BE179" s="595"/>
      <c r="BF179" s="595"/>
      <c r="BG179" s="506"/>
      <c r="BH179" s="506"/>
      <c r="BI179" s="506"/>
      <c r="BJ179" s="506"/>
      <c r="BK179" s="506"/>
      <c r="BL179" s="506"/>
      <c r="BM179" s="506"/>
      <c r="BN179" s="506"/>
      <c r="BO179" s="506"/>
      <c r="BP179" s="506"/>
      <c r="BQ179" s="506"/>
      <c r="BR179" s="506"/>
      <c r="BS179" s="506"/>
      <c r="BT179" s="506"/>
      <c r="BU179" s="506"/>
      <c r="BV179" s="506"/>
      <c r="BW179" s="506"/>
      <c r="BX179" s="506"/>
      <c r="BY179" s="506"/>
      <c r="BZ179" s="506"/>
      <c r="CA179" s="506"/>
      <c r="CB179" s="506"/>
      <c r="CC179" s="506"/>
      <c r="CD179" s="506"/>
      <c r="CE179" s="506"/>
      <c r="CF179" s="506"/>
      <c r="CG179" s="506"/>
      <c r="CH179" s="506"/>
      <c r="CI179" s="506"/>
      <c r="CJ179" s="506"/>
      <c r="CK179" s="506"/>
      <c r="CL179" s="506"/>
      <c r="CM179" s="506"/>
      <c r="CN179" s="506"/>
      <c r="CO179" s="506"/>
      <c r="CP179" s="506"/>
      <c r="CQ179" s="506"/>
      <c r="CR179" s="506"/>
      <c r="CS179" s="506"/>
      <c r="CT179" s="506"/>
      <c r="CU179" s="506"/>
      <c r="CV179" s="506"/>
      <c r="CW179" s="506"/>
      <c r="CX179" s="506"/>
      <c r="CY179" s="506"/>
      <c r="CZ179" s="506"/>
      <c r="DA179" s="506"/>
      <c r="DB179" s="506"/>
      <c r="DC179" s="506"/>
      <c r="DD179" s="506"/>
      <c r="DE179" s="506"/>
      <c r="DF179" s="506"/>
      <c r="DG179" s="506"/>
      <c r="DH179" s="506"/>
      <c r="DI179" s="506"/>
      <c r="DJ179" s="506"/>
      <c r="DK179" s="506"/>
      <c r="DL179" s="506"/>
      <c r="DM179" s="506"/>
      <c r="DN179" s="506"/>
      <c r="DO179" s="506"/>
      <c r="DP179" s="506"/>
    </row>
    <row r="180" spans="1:120" hidden="1" outlineLevel="1">
      <c r="A180" s="89">
        <v>1110052010</v>
      </c>
      <c r="B180" s="90"/>
      <c r="C180" s="91" t="s">
        <v>64</v>
      </c>
      <c r="D180" s="1481"/>
      <c r="E180" s="1482"/>
      <c r="F180" s="420"/>
      <c r="G180" s="1256"/>
      <c r="H180" s="421"/>
      <c r="I180" s="422"/>
      <c r="J180" s="1425">
        <v>1</v>
      </c>
      <c r="K180" s="1426">
        <v>1</v>
      </c>
      <c r="L180" s="1043"/>
      <c r="M180" s="1594">
        <f t="shared" si="602"/>
        <v>0</v>
      </c>
      <c r="N180" s="415"/>
      <c r="O180" s="424">
        <f t="shared" si="603"/>
        <v>0</v>
      </c>
      <c r="P180" s="425"/>
      <c r="Q180" s="1340">
        <f t="shared" si="604"/>
        <v>0</v>
      </c>
      <c r="R180" s="426"/>
      <c r="S180" s="426"/>
      <c r="T180" s="427">
        <f t="shared" si="605"/>
        <v>0</v>
      </c>
      <c r="U180" s="418">
        <f t="shared" si="606"/>
        <v>0</v>
      </c>
      <c r="V180" s="517">
        <f t="shared" si="607"/>
        <v>0</v>
      </c>
      <c r="W180" s="428">
        <f t="shared" si="608"/>
        <v>0</v>
      </c>
      <c r="X180" s="429">
        <f t="shared" si="609"/>
        <v>0</v>
      </c>
      <c r="Y180" s="92"/>
      <c r="Z180" s="1055"/>
      <c r="AA180" s="53"/>
      <c r="AB180" s="507"/>
      <c r="AC180" s="507"/>
      <c r="AD180" s="507"/>
      <c r="AE180" s="507"/>
      <c r="AF180" s="506"/>
      <c r="AG180" s="506"/>
      <c r="AH180" s="506"/>
      <c r="AI180" s="506"/>
      <c r="AJ180" s="506"/>
      <c r="AK180" s="506"/>
      <c r="AL180" s="1561"/>
      <c r="AM180" s="506"/>
      <c r="AN180" s="506"/>
      <c r="AO180" s="506"/>
      <c r="AP180" s="506"/>
      <c r="AQ180" s="506"/>
      <c r="AR180" s="506"/>
      <c r="AS180" s="506"/>
      <c r="AT180" s="506"/>
      <c r="AU180" s="506"/>
      <c r="AV180" s="506"/>
      <c r="AW180" s="506"/>
      <c r="AX180" s="506"/>
      <c r="AY180" s="506"/>
      <c r="AZ180" s="520"/>
      <c r="BA180" s="506"/>
      <c r="BB180" s="506"/>
      <c r="BC180" s="506"/>
      <c r="BD180" s="595"/>
      <c r="BE180" s="595"/>
      <c r="BF180" s="595"/>
      <c r="BG180" s="506"/>
      <c r="BH180" s="506"/>
      <c r="BI180" s="506"/>
      <c r="BJ180" s="506"/>
      <c r="BK180" s="506"/>
      <c r="BL180" s="506"/>
      <c r="BM180" s="506"/>
      <c r="BN180" s="506"/>
      <c r="BO180" s="506"/>
      <c r="BP180" s="506"/>
      <c r="BQ180" s="506"/>
      <c r="BR180" s="506"/>
      <c r="BS180" s="506"/>
      <c r="BT180" s="506"/>
      <c r="BU180" s="506"/>
      <c r="BV180" s="506"/>
      <c r="BW180" s="520">
        <f>+M180</f>
        <v>0</v>
      </c>
      <c r="BX180" s="506"/>
      <c r="BY180" s="506"/>
      <c r="BZ180" s="506"/>
      <c r="CA180" s="506"/>
      <c r="CB180" s="506"/>
      <c r="CC180" s="506"/>
      <c r="CD180" s="506"/>
      <c r="CE180" s="506"/>
      <c r="CF180" s="506"/>
      <c r="CG180" s="506"/>
      <c r="CH180" s="506"/>
      <c r="CI180" s="506"/>
      <c r="CJ180" s="506"/>
      <c r="CK180" s="506"/>
      <c r="CL180" s="506"/>
      <c r="CM180" s="506"/>
      <c r="CN180" s="506"/>
      <c r="CO180" s="506"/>
      <c r="CP180" s="506"/>
      <c r="CQ180" s="506"/>
      <c r="CR180" s="506"/>
      <c r="CS180" s="506"/>
      <c r="CT180" s="506"/>
      <c r="CU180" s="506"/>
      <c r="CV180" s="506"/>
      <c r="CW180" s="506"/>
      <c r="CX180" s="506"/>
      <c r="CY180" s="506"/>
      <c r="CZ180" s="506"/>
      <c r="DA180" s="506"/>
      <c r="DB180" s="506"/>
      <c r="DC180" s="506"/>
      <c r="DD180" s="506"/>
      <c r="DE180" s="506"/>
      <c r="DF180" s="506"/>
      <c r="DG180" s="506"/>
      <c r="DH180" s="506"/>
      <c r="DI180" s="506"/>
      <c r="DJ180" s="506"/>
      <c r="DK180" s="506"/>
      <c r="DL180" s="506"/>
      <c r="DM180" s="506"/>
      <c r="DN180" s="506"/>
      <c r="DO180" s="506"/>
      <c r="DP180" s="506"/>
    </row>
    <row r="181" spans="1:120" hidden="1" outlineLevel="1">
      <c r="A181" s="89">
        <v>1110052010</v>
      </c>
      <c r="B181" s="90"/>
      <c r="C181" s="91" t="s">
        <v>64</v>
      </c>
      <c r="D181" s="1481"/>
      <c r="E181" s="1482"/>
      <c r="F181" s="420"/>
      <c r="G181" s="1256"/>
      <c r="H181" s="421"/>
      <c r="I181" s="422"/>
      <c r="J181" s="1425">
        <v>1</v>
      </c>
      <c r="K181" s="1426">
        <v>1</v>
      </c>
      <c r="L181" s="1043"/>
      <c r="M181" s="1594">
        <f t="shared" si="602"/>
        <v>0</v>
      </c>
      <c r="N181" s="415"/>
      <c r="O181" s="424">
        <f t="shared" si="603"/>
        <v>0</v>
      </c>
      <c r="P181" s="425"/>
      <c r="Q181" s="1340">
        <f t="shared" si="604"/>
        <v>0</v>
      </c>
      <c r="R181" s="426"/>
      <c r="S181" s="426"/>
      <c r="T181" s="427">
        <f t="shared" si="605"/>
        <v>0</v>
      </c>
      <c r="U181" s="418">
        <f t="shared" si="606"/>
        <v>0</v>
      </c>
      <c r="V181" s="517">
        <f t="shared" si="607"/>
        <v>0</v>
      </c>
      <c r="W181" s="428">
        <f t="shared" si="608"/>
        <v>0</v>
      </c>
      <c r="X181" s="429">
        <f t="shared" si="609"/>
        <v>0</v>
      </c>
      <c r="Y181" s="92"/>
      <c r="Z181" s="1055"/>
      <c r="AA181" s="53"/>
      <c r="AB181" s="507"/>
      <c r="AC181" s="507"/>
      <c r="AD181" s="507"/>
      <c r="AE181" s="507"/>
      <c r="AF181" s="506"/>
      <c r="AG181" s="506"/>
      <c r="AH181" s="506"/>
      <c r="AI181" s="506"/>
      <c r="AJ181" s="506"/>
      <c r="AK181" s="506"/>
      <c r="AL181" s="1561"/>
      <c r="AM181" s="506"/>
      <c r="AN181" s="506"/>
      <c r="AO181" s="506"/>
      <c r="AP181" s="506"/>
      <c r="AQ181" s="506"/>
      <c r="AR181" s="506"/>
      <c r="AS181" s="506"/>
      <c r="AT181" s="506"/>
      <c r="AU181" s="506"/>
      <c r="AV181" s="506"/>
      <c r="AW181" s="506"/>
      <c r="AX181" s="506"/>
      <c r="AY181" s="506"/>
      <c r="AZ181" s="506"/>
      <c r="BA181" s="506"/>
      <c r="BB181" s="506"/>
      <c r="BC181" s="506"/>
      <c r="BD181" s="595"/>
      <c r="BE181" s="595"/>
      <c r="BF181" s="595"/>
      <c r="BG181" s="506"/>
      <c r="BH181" s="506"/>
      <c r="BI181" s="506"/>
      <c r="BJ181" s="506"/>
      <c r="BK181" s="506"/>
      <c r="BL181" s="506"/>
      <c r="BM181" s="506"/>
      <c r="BN181" s="506"/>
      <c r="BO181" s="506"/>
      <c r="BP181" s="506"/>
      <c r="BQ181" s="506"/>
      <c r="BR181" s="506"/>
      <c r="BS181" s="506"/>
      <c r="BT181" s="506"/>
      <c r="BU181" s="506"/>
      <c r="BV181" s="506"/>
      <c r="BW181" s="520">
        <f>+M181</f>
        <v>0</v>
      </c>
      <c r="BX181" s="506"/>
      <c r="BY181" s="506"/>
      <c r="BZ181" s="506"/>
      <c r="CA181" s="506"/>
      <c r="CB181" s="506"/>
      <c r="CC181" s="506"/>
      <c r="CD181" s="506"/>
      <c r="CE181" s="506"/>
      <c r="CF181" s="506"/>
      <c r="CG181" s="506"/>
      <c r="CH181" s="506"/>
      <c r="CI181" s="506"/>
      <c r="CJ181" s="506"/>
      <c r="CK181" s="506"/>
      <c r="CL181" s="506"/>
      <c r="CM181" s="506"/>
      <c r="CN181" s="506"/>
      <c r="CO181" s="506"/>
      <c r="CP181" s="506"/>
      <c r="CQ181" s="506"/>
      <c r="CR181" s="506"/>
      <c r="CS181" s="506"/>
      <c r="CT181" s="506"/>
      <c r="CU181" s="506"/>
      <c r="CV181" s="506"/>
      <c r="CW181" s="506"/>
      <c r="CX181" s="506"/>
      <c r="CY181" s="506"/>
      <c r="CZ181" s="506"/>
      <c r="DA181" s="506"/>
      <c r="DB181" s="506"/>
      <c r="DC181" s="506"/>
      <c r="DD181" s="506"/>
      <c r="DE181" s="506"/>
      <c r="DF181" s="506"/>
      <c r="DG181" s="506"/>
      <c r="DH181" s="506"/>
      <c r="DI181" s="506"/>
      <c r="DJ181" s="506"/>
      <c r="DK181" s="506"/>
      <c r="DL181" s="506"/>
      <c r="DM181" s="506"/>
      <c r="DN181" s="506"/>
      <c r="DO181" s="506"/>
      <c r="DP181" s="506"/>
    </row>
    <row r="182" spans="1:120" hidden="1" outlineLevel="1">
      <c r="A182" s="89">
        <v>1110052010</v>
      </c>
      <c r="B182" s="90"/>
      <c r="C182" s="91" t="s">
        <v>64</v>
      </c>
      <c r="D182" s="1481"/>
      <c r="E182" s="1482"/>
      <c r="F182" s="420"/>
      <c r="G182" s="1256"/>
      <c r="H182" s="421"/>
      <c r="I182" s="422"/>
      <c r="J182" s="1425">
        <v>1</v>
      </c>
      <c r="K182" s="1426">
        <v>1</v>
      </c>
      <c r="L182" s="1043"/>
      <c r="M182" s="1594">
        <f t="shared" si="602"/>
        <v>0</v>
      </c>
      <c r="N182" s="415"/>
      <c r="O182" s="424">
        <f t="shared" si="603"/>
        <v>0</v>
      </c>
      <c r="P182" s="425"/>
      <c r="Q182" s="1340">
        <f t="shared" si="604"/>
        <v>0</v>
      </c>
      <c r="R182" s="426"/>
      <c r="S182" s="426"/>
      <c r="T182" s="427">
        <f t="shared" si="605"/>
        <v>0</v>
      </c>
      <c r="U182" s="418">
        <f t="shared" si="606"/>
        <v>0</v>
      </c>
      <c r="V182" s="517">
        <f t="shared" si="607"/>
        <v>0</v>
      </c>
      <c r="W182" s="428">
        <f t="shared" si="608"/>
        <v>0</v>
      </c>
      <c r="X182" s="429">
        <f t="shared" si="609"/>
        <v>0</v>
      </c>
      <c r="Y182" s="92"/>
      <c r="Z182" s="1055"/>
      <c r="AA182" s="53"/>
      <c r="AB182" s="507"/>
      <c r="AC182" s="507"/>
      <c r="AD182" s="507"/>
      <c r="AE182" s="507"/>
      <c r="AF182" s="506"/>
      <c r="AG182" s="506"/>
      <c r="AH182" s="506"/>
      <c r="AI182" s="506"/>
      <c r="AJ182" s="506"/>
      <c r="AK182" s="506"/>
      <c r="AL182" s="1561"/>
      <c r="AM182" s="506"/>
      <c r="AN182" s="506"/>
      <c r="AO182" s="506"/>
      <c r="AP182" s="506"/>
      <c r="AQ182" s="506"/>
      <c r="AR182" s="506"/>
      <c r="AS182" s="506"/>
      <c r="AT182" s="506"/>
      <c r="AU182" s="506"/>
      <c r="AV182" s="506"/>
      <c r="AW182" s="506"/>
      <c r="AX182" s="506"/>
      <c r="AY182" s="506"/>
      <c r="AZ182" s="520"/>
      <c r="BA182" s="506"/>
      <c r="BB182" s="506"/>
      <c r="BC182" s="506"/>
      <c r="BD182" s="595"/>
      <c r="BE182" s="595"/>
      <c r="BF182" s="595"/>
      <c r="BG182" s="506"/>
      <c r="BH182" s="506"/>
      <c r="BI182" s="506"/>
      <c r="BJ182" s="506"/>
      <c r="BK182" s="506"/>
      <c r="BL182" s="506"/>
      <c r="BM182" s="506"/>
      <c r="BN182" s="506"/>
      <c r="BO182" s="506"/>
      <c r="BP182" s="506"/>
      <c r="BQ182" s="506"/>
      <c r="BR182" s="506"/>
      <c r="BS182" s="506"/>
      <c r="BT182" s="506"/>
      <c r="BU182" s="506"/>
      <c r="BV182" s="506"/>
      <c r="BW182" s="520">
        <f>+M182</f>
        <v>0</v>
      </c>
      <c r="BX182" s="506"/>
      <c r="BY182" s="506"/>
      <c r="BZ182" s="506"/>
      <c r="CA182" s="506"/>
      <c r="CB182" s="506"/>
      <c r="CC182" s="506"/>
      <c r="CD182" s="506"/>
      <c r="CE182" s="506"/>
      <c r="CF182" s="506"/>
      <c r="CG182" s="506"/>
      <c r="CH182" s="506"/>
      <c r="CI182" s="506"/>
      <c r="CJ182" s="506"/>
      <c r="CK182" s="506"/>
      <c r="CL182" s="506"/>
      <c r="CM182" s="506"/>
      <c r="CN182" s="506"/>
      <c r="CO182" s="506"/>
      <c r="CP182" s="506"/>
      <c r="CQ182" s="506"/>
      <c r="CR182" s="506"/>
      <c r="CS182" s="506"/>
      <c r="CT182" s="506"/>
      <c r="CU182" s="506"/>
      <c r="CV182" s="506"/>
      <c r="CW182" s="506"/>
      <c r="CX182" s="506"/>
      <c r="CY182" s="506"/>
      <c r="CZ182" s="506"/>
      <c r="DA182" s="506"/>
      <c r="DB182" s="506"/>
      <c r="DC182" s="506"/>
      <c r="DD182" s="506"/>
      <c r="DE182" s="506"/>
      <c r="DF182" s="506"/>
      <c r="DG182" s="506"/>
      <c r="DH182" s="506"/>
      <c r="DI182" s="506"/>
      <c r="DJ182" s="506"/>
      <c r="DK182" s="506"/>
      <c r="DL182" s="506"/>
      <c r="DM182" s="506"/>
      <c r="DN182" s="506"/>
      <c r="DO182" s="506"/>
      <c r="DP182" s="506"/>
    </row>
    <row r="183" spans="1:120" hidden="1" outlineLevel="1">
      <c r="A183" s="100">
        <v>1110052010</v>
      </c>
      <c r="B183" s="1216"/>
      <c r="C183" s="1695" t="s">
        <v>64</v>
      </c>
      <c r="D183" s="1629"/>
      <c r="E183" s="1630"/>
      <c r="F183" s="102"/>
      <c r="G183" s="1258"/>
      <c r="H183" s="103"/>
      <c r="I183" s="104"/>
      <c r="J183" s="1604">
        <v>1</v>
      </c>
      <c r="K183" s="1605">
        <v>1</v>
      </c>
      <c r="L183" s="1696"/>
      <c r="M183" s="1697">
        <f t="shared" si="602"/>
        <v>0</v>
      </c>
      <c r="N183" s="106"/>
      <c r="O183" s="107">
        <f t="shared" si="603"/>
        <v>0</v>
      </c>
      <c r="P183" s="108"/>
      <c r="Q183" s="1340">
        <f t="shared" si="604"/>
        <v>0</v>
      </c>
      <c r="R183" s="109"/>
      <c r="S183" s="109"/>
      <c r="T183" s="110">
        <f t="shared" si="605"/>
        <v>0</v>
      </c>
      <c r="U183" s="111">
        <f t="shared" si="606"/>
        <v>0</v>
      </c>
      <c r="V183" s="566">
        <f t="shared" si="607"/>
        <v>0</v>
      </c>
      <c r="W183" s="112">
        <f t="shared" si="608"/>
        <v>0</v>
      </c>
      <c r="X183" s="113">
        <f t="shared" si="609"/>
        <v>0</v>
      </c>
      <c r="Y183" s="114"/>
      <c r="Z183" s="1055"/>
      <c r="AA183" s="53"/>
      <c r="AB183" s="507"/>
      <c r="AC183" s="507"/>
      <c r="AD183" s="507"/>
      <c r="AE183" s="507"/>
      <c r="AF183" s="565"/>
      <c r="AG183" s="565"/>
      <c r="AH183" s="565"/>
      <c r="AI183" s="565"/>
      <c r="AJ183" s="565"/>
      <c r="AK183" s="565"/>
      <c r="AL183" s="1562"/>
      <c r="AM183" s="565"/>
      <c r="AN183" s="565"/>
      <c r="AO183" s="565"/>
      <c r="AP183" s="565"/>
      <c r="AQ183" s="565"/>
      <c r="AR183" s="565"/>
      <c r="AS183" s="565"/>
      <c r="AT183" s="565"/>
      <c r="AU183" s="565"/>
      <c r="AV183" s="565"/>
      <c r="AW183" s="565"/>
      <c r="AX183" s="565"/>
      <c r="AY183" s="565"/>
      <c r="AZ183" s="565"/>
      <c r="BA183" s="565"/>
      <c r="BB183" s="565"/>
      <c r="BC183" s="565"/>
      <c r="BD183" s="565"/>
      <c r="BE183" s="565"/>
      <c r="BF183" s="565"/>
      <c r="BG183" s="565"/>
      <c r="BH183" s="565"/>
      <c r="BI183" s="565"/>
      <c r="BJ183" s="565"/>
      <c r="BK183" s="565"/>
      <c r="BL183" s="565"/>
      <c r="BM183" s="565"/>
      <c r="BN183" s="565"/>
      <c r="BO183" s="565"/>
      <c r="BP183" s="565"/>
      <c r="BQ183" s="565"/>
      <c r="BR183" s="565"/>
      <c r="BS183" s="565">
        <f>+M183</f>
        <v>0</v>
      </c>
      <c r="BT183" s="565"/>
      <c r="BU183" s="565"/>
      <c r="BV183" s="565"/>
      <c r="BW183" s="565"/>
      <c r="BX183" s="565"/>
      <c r="BY183" s="565"/>
      <c r="BZ183" s="565"/>
      <c r="CA183" s="565"/>
      <c r="CB183" s="565"/>
      <c r="CC183" s="565"/>
      <c r="CD183" s="565"/>
      <c r="CE183" s="565"/>
      <c r="CF183" s="565"/>
      <c r="CG183" s="565"/>
      <c r="CH183" s="565"/>
      <c r="CI183" s="565"/>
      <c r="CJ183" s="565"/>
      <c r="CK183" s="565"/>
      <c r="CL183" s="565"/>
      <c r="CM183" s="565"/>
      <c r="CN183" s="565"/>
      <c r="CO183" s="565"/>
      <c r="CP183" s="565"/>
      <c r="CQ183" s="565"/>
      <c r="CR183" s="565"/>
      <c r="CS183" s="565"/>
      <c r="CT183" s="565"/>
      <c r="CU183" s="565"/>
      <c r="CV183" s="565"/>
      <c r="CW183" s="565"/>
      <c r="CX183" s="565"/>
      <c r="CY183" s="565"/>
      <c r="CZ183" s="565"/>
      <c r="DA183" s="565"/>
      <c r="DB183" s="565"/>
      <c r="DC183" s="565"/>
      <c r="DD183" s="565"/>
      <c r="DE183" s="565"/>
      <c r="DF183" s="565"/>
      <c r="DG183" s="565"/>
      <c r="DH183" s="565"/>
      <c r="DI183" s="565"/>
      <c r="DJ183" s="565"/>
      <c r="DK183" s="565"/>
      <c r="DL183" s="565"/>
      <c r="DM183" s="565"/>
      <c r="DN183" s="565"/>
      <c r="DO183" s="565"/>
      <c r="DP183" s="565"/>
    </row>
    <row r="184" spans="1:120" hidden="1" outlineLevel="1">
      <c r="A184" s="89">
        <v>1110052010</v>
      </c>
      <c r="B184" s="90"/>
      <c r="C184" s="91" t="s">
        <v>64</v>
      </c>
      <c r="D184" s="1481"/>
      <c r="E184" s="1482"/>
      <c r="F184" s="420"/>
      <c r="G184" s="1256"/>
      <c r="H184" s="421"/>
      <c r="I184" s="422"/>
      <c r="J184" s="1425">
        <v>1</v>
      </c>
      <c r="K184" s="1426">
        <v>1</v>
      </c>
      <c r="L184" s="1043"/>
      <c r="M184" s="1594">
        <f t="shared" si="602"/>
        <v>0</v>
      </c>
      <c r="N184" s="415"/>
      <c r="O184" s="424">
        <f t="shared" si="603"/>
        <v>0</v>
      </c>
      <c r="P184" s="425"/>
      <c r="Q184" s="1340">
        <f t="shared" si="604"/>
        <v>0</v>
      </c>
      <c r="R184" s="426"/>
      <c r="S184" s="426"/>
      <c r="T184" s="427">
        <f t="shared" si="605"/>
        <v>0</v>
      </c>
      <c r="U184" s="418">
        <f t="shared" si="606"/>
        <v>0</v>
      </c>
      <c r="V184" s="517">
        <f t="shared" si="607"/>
        <v>0</v>
      </c>
      <c r="W184" s="428">
        <f t="shared" si="608"/>
        <v>0</v>
      </c>
      <c r="X184" s="429">
        <f t="shared" si="609"/>
        <v>0</v>
      </c>
      <c r="Y184" s="92"/>
      <c r="Z184" s="1055"/>
      <c r="AA184" s="53"/>
      <c r="AB184" s="507"/>
      <c r="AC184" s="507"/>
      <c r="AD184" s="507"/>
      <c r="AE184" s="507"/>
      <c r="AF184" s="506"/>
      <c r="AG184" s="506"/>
      <c r="AH184" s="506"/>
      <c r="AI184" s="506"/>
      <c r="AJ184" s="506"/>
      <c r="AK184" s="506"/>
      <c r="AL184" s="1561"/>
      <c r="AM184" s="506"/>
      <c r="AN184" s="506"/>
      <c r="AO184" s="506"/>
      <c r="AP184" s="506"/>
      <c r="AQ184" s="506"/>
      <c r="AR184" s="506"/>
      <c r="AS184" s="506"/>
      <c r="AT184" s="506"/>
      <c r="AU184" s="506"/>
      <c r="AV184" s="506"/>
      <c r="AW184" s="506"/>
      <c r="AX184" s="506"/>
      <c r="AY184" s="506"/>
      <c r="AZ184" s="520"/>
      <c r="BA184" s="506"/>
      <c r="BB184" s="520">
        <f>+Q184</f>
        <v>0</v>
      </c>
      <c r="BC184" s="506"/>
      <c r="BD184" s="595"/>
      <c r="BE184" s="595"/>
      <c r="BF184" s="595"/>
      <c r="BG184" s="506"/>
      <c r="BH184" s="506"/>
      <c r="BI184" s="506"/>
      <c r="BJ184" s="506"/>
      <c r="BK184" s="506"/>
      <c r="BL184" s="506"/>
      <c r="BM184" s="506"/>
      <c r="BN184" s="506"/>
      <c r="BO184" s="506"/>
      <c r="BP184" s="506"/>
      <c r="BQ184" s="506"/>
      <c r="BR184" s="506"/>
      <c r="BS184" s="506"/>
      <c r="BT184" s="506"/>
      <c r="BU184" s="506"/>
      <c r="BV184" s="506"/>
      <c r="BW184" s="506"/>
      <c r="BX184" s="506"/>
      <c r="BY184" s="506"/>
      <c r="BZ184" s="506"/>
      <c r="CA184" s="506"/>
      <c r="CB184" s="506"/>
      <c r="CC184" s="506"/>
      <c r="CD184" s="506"/>
      <c r="CE184" s="506"/>
      <c r="CF184" s="506"/>
      <c r="CG184" s="506"/>
      <c r="CH184" s="506"/>
      <c r="CI184" s="506"/>
      <c r="CJ184" s="506"/>
      <c r="CK184" s="506"/>
      <c r="CL184" s="506"/>
      <c r="CM184" s="506"/>
      <c r="CN184" s="506"/>
      <c r="CO184" s="506"/>
      <c r="CP184" s="506"/>
      <c r="CQ184" s="506"/>
      <c r="CR184" s="506"/>
      <c r="CS184" s="506"/>
      <c r="CT184" s="506"/>
      <c r="CU184" s="506"/>
      <c r="CV184" s="506"/>
      <c r="CW184" s="506"/>
      <c r="CX184" s="506"/>
      <c r="CY184" s="506"/>
      <c r="CZ184" s="506"/>
      <c r="DA184" s="506"/>
      <c r="DB184" s="506"/>
      <c r="DC184" s="506"/>
      <c r="DD184" s="506"/>
      <c r="DE184" s="506"/>
      <c r="DF184" s="506"/>
      <c r="DG184" s="506"/>
      <c r="DH184" s="506"/>
      <c r="DI184" s="506"/>
      <c r="DJ184" s="506"/>
      <c r="DK184" s="506"/>
      <c r="DL184" s="506"/>
      <c r="DM184" s="506"/>
      <c r="DN184" s="506"/>
      <c r="DO184" s="506"/>
      <c r="DP184" s="506"/>
    </row>
    <row r="185" spans="1:120" hidden="1" outlineLevel="1">
      <c r="A185" s="89">
        <v>1110052010</v>
      </c>
      <c r="B185" s="90"/>
      <c r="C185" s="91" t="s">
        <v>64</v>
      </c>
      <c r="D185" s="1481"/>
      <c r="E185" s="1482"/>
      <c r="F185" s="420"/>
      <c r="G185" s="1256"/>
      <c r="H185" s="421"/>
      <c r="I185" s="422"/>
      <c r="J185" s="1425">
        <v>1</v>
      </c>
      <c r="K185" s="1426">
        <v>1</v>
      </c>
      <c r="L185" s="1043"/>
      <c r="M185" s="1594">
        <f t="shared" si="602"/>
        <v>0</v>
      </c>
      <c r="N185" s="415"/>
      <c r="O185" s="424">
        <f t="shared" si="603"/>
        <v>0</v>
      </c>
      <c r="P185" s="425"/>
      <c r="Q185" s="1340">
        <f t="shared" si="604"/>
        <v>0</v>
      </c>
      <c r="R185" s="426"/>
      <c r="S185" s="426"/>
      <c r="T185" s="427">
        <f t="shared" si="605"/>
        <v>0</v>
      </c>
      <c r="U185" s="418">
        <f t="shared" si="606"/>
        <v>0</v>
      </c>
      <c r="V185" s="517">
        <f t="shared" si="607"/>
        <v>0</v>
      </c>
      <c r="W185" s="428">
        <f t="shared" si="608"/>
        <v>0</v>
      </c>
      <c r="X185" s="429">
        <f t="shared" si="609"/>
        <v>0</v>
      </c>
      <c r="Y185" s="92"/>
      <c r="Z185" s="1055"/>
      <c r="AA185" s="53"/>
      <c r="AB185" s="507"/>
      <c r="AC185" s="507"/>
      <c r="AD185" s="507"/>
      <c r="AE185" s="507"/>
      <c r="AF185" s="506"/>
      <c r="AG185" s="506"/>
      <c r="AH185" s="506"/>
      <c r="AI185" s="506"/>
      <c r="AJ185" s="506"/>
      <c r="AK185" s="506"/>
      <c r="AL185" s="1561"/>
      <c r="AM185" s="506"/>
      <c r="AN185" s="506"/>
      <c r="AO185" s="506"/>
      <c r="AP185" s="506"/>
      <c r="AQ185" s="506"/>
      <c r="AR185" s="506"/>
      <c r="AS185" s="506"/>
      <c r="AT185" s="506"/>
      <c r="AU185" s="506"/>
      <c r="AV185" s="506"/>
      <c r="AW185" s="506"/>
      <c r="AX185" s="506"/>
      <c r="AY185" s="506"/>
      <c r="AZ185" s="520"/>
      <c r="BA185" s="506"/>
      <c r="BB185" s="520">
        <f>+Q185</f>
        <v>0</v>
      </c>
      <c r="BC185" s="506"/>
      <c r="BD185" s="595"/>
      <c r="BE185" s="595"/>
      <c r="BF185" s="595"/>
      <c r="BG185" s="506"/>
      <c r="BH185" s="506"/>
      <c r="BI185" s="506"/>
      <c r="BJ185" s="506"/>
      <c r="BK185" s="506"/>
      <c r="BL185" s="506"/>
      <c r="BM185" s="506"/>
      <c r="BN185" s="506"/>
      <c r="BO185" s="506"/>
      <c r="BP185" s="506"/>
      <c r="BQ185" s="506"/>
      <c r="BR185" s="506"/>
      <c r="BS185" s="506"/>
      <c r="BT185" s="506"/>
      <c r="BU185" s="506"/>
      <c r="BV185" s="506"/>
      <c r="BW185" s="506"/>
      <c r="BX185" s="506"/>
      <c r="BY185" s="506"/>
      <c r="BZ185" s="506"/>
      <c r="CA185" s="506"/>
      <c r="CB185" s="506"/>
      <c r="CC185" s="506"/>
      <c r="CD185" s="506"/>
      <c r="CE185" s="506"/>
      <c r="CF185" s="506"/>
      <c r="CG185" s="506"/>
      <c r="CH185" s="506"/>
      <c r="CI185" s="506"/>
      <c r="CJ185" s="506"/>
      <c r="CK185" s="506"/>
      <c r="CL185" s="506"/>
      <c r="CM185" s="506"/>
      <c r="CN185" s="506"/>
      <c r="CO185" s="506"/>
      <c r="CP185" s="506"/>
      <c r="CQ185" s="506"/>
      <c r="CR185" s="506"/>
      <c r="CS185" s="506"/>
      <c r="CT185" s="506"/>
      <c r="CU185" s="506"/>
      <c r="CV185" s="506"/>
      <c r="CW185" s="506"/>
      <c r="CX185" s="506"/>
      <c r="CY185" s="506"/>
      <c r="CZ185" s="506"/>
      <c r="DA185" s="506"/>
      <c r="DB185" s="506"/>
      <c r="DC185" s="506"/>
      <c r="DD185" s="506"/>
      <c r="DE185" s="506"/>
      <c r="DF185" s="506"/>
      <c r="DG185" s="506"/>
      <c r="DH185" s="506"/>
      <c r="DI185" s="506"/>
      <c r="DJ185" s="506"/>
      <c r="DK185" s="506"/>
      <c r="DL185" s="506"/>
      <c r="DM185" s="506"/>
      <c r="DN185" s="506"/>
      <c r="DO185" s="506"/>
      <c r="DP185" s="506"/>
    </row>
    <row r="186" spans="1:120" hidden="1" outlineLevel="1">
      <c r="A186" s="89">
        <v>1110052010</v>
      </c>
      <c r="B186" s="90"/>
      <c r="C186" s="91" t="s">
        <v>64</v>
      </c>
      <c r="D186" s="1481"/>
      <c r="E186" s="1482"/>
      <c r="F186" s="420"/>
      <c r="G186" s="1256"/>
      <c r="H186" s="421"/>
      <c r="I186" s="422"/>
      <c r="J186" s="1425">
        <v>1</v>
      </c>
      <c r="K186" s="1426">
        <v>1</v>
      </c>
      <c r="L186" s="1043"/>
      <c r="M186" s="1594">
        <f t="shared" si="602"/>
        <v>0</v>
      </c>
      <c r="N186" s="415"/>
      <c r="O186" s="424">
        <f t="shared" si="603"/>
        <v>0</v>
      </c>
      <c r="P186" s="425"/>
      <c r="Q186" s="1340">
        <f t="shared" si="604"/>
        <v>0</v>
      </c>
      <c r="R186" s="426"/>
      <c r="S186" s="426"/>
      <c r="T186" s="427">
        <f t="shared" si="605"/>
        <v>0</v>
      </c>
      <c r="U186" s="418">
        <f t="shared" si="606"/>
        <v>0</v>
      </c>
      <c r="V186" s="517">
        <f t="shared" si="607"/>
        <v>0</v>
      </c>
      <c r="W186" s="428">
        <f t="shared" si="608"/>
        <v>0</v>
      </c>
      <c r="X186" s="429">
        <f t="shared" si="609"/>
        <v>0</v>
      </c>
      <c r="Y186" s="92"/>
      <c r="Z186" s="1055"/>
      <c r="AA186" s="53"/>
      <c r="AB186" s="507"/>
      <c r="AC186" s="507"/>
      <c r="AD186" s="507"/>
      <c r="AE186" s="507"/>
      <c r="AF186" s="506"/>
      <c r="AG186" s="506"/>
      <c r="AH186" s="506"/>
      <c r="AI186" s="506"/>
      <c r="AJ186" s="506"/>
      <c r="AK186" s="506"/>
      <c r="AL186" s="1561"/>
      <c r="AM186" s="506"/>
      <c r="AN186" s="506"/>
      <c r="AO186" s="506"/>
      <c r="AP186" s="506"/>
      <c r="AQ186" s="506"/>
      <c r="AR186" s="506"/>
      <c r="AS186" s="506"/>
      <c r="AT186" s="506"/>
      <c r="AU186" s="506"/>
      <c r="AV186" s="506"/>
      <c r="AW186" s="506"/>
      <c r="AX186" s="506"/>
      <c r="AY186" s="506"/>
      <c r="AZ186" s="520"/>
      <c r="BA186" s="506"/>
      <c r="BB186" s="506"/>
      <c r="BC186" s="506"/>
      <c r="BD186" s="595"/>
      <c r="BE186" s="595"/>
      <c r="BF186" s="595"/>
      <c r="BG186" s="506"/>
      <c r="BH186" s="506"/>
      <c r="BI186" s="506"/>
      <c r="BJ186" s="506"/>
      <c r="BK186" s="506"/>
      <c r="BL186" s="506"/>
      <c r="BM186" s="506"/>
      <c r="BN186" s="506"/>
      <c r="BO186" s="506"/>
      <c r="BP186" s="506"/>
      <c r="BQ186" s="506"/>
      <c r="BR186" s="506"/>
      <c r="BS186" s="506"/>
      <c r="BT186" s="506"/>
      <c r="BU186" s="506"/>
      <c r="BV186" s="506"/>
      <c r="BW186" s="506"/>
      <c r="BX186" s="520">
        <f>+M186</f>
        <v>0</v>
      </c>
      <c r="BY186" s="506"/>
      <c r="BZ186" s="506"/>
      <c r="CA186" s="506"/>
      <c r="CB186" s="506"/>
      <c r="CC186" s="506"/>
      <c r="CD186" s="506"/>
      <c r="CE186" s="506"/>
      <c r="CF186" s="506"/>
      <c r="CG186" s="506"/>
      <c r="CH186" s="506"/>
      <c r="CI186" s="506"/>
      <c r="CJ186" s="506"/>
      <c r="CK186" s="506"/>
      <c r="CL186" s="506"/>
      <c r="CM186" s="506"/>
      <c r="CN186" s="506"/>
      <c r="CO186" s="506"/>
      <c r="CP186" s="506"/>
      <c r="CQ186" s="506"/>
      <c r="CR186" s="506"/>
      <c r="CS186" s="506"/>
      <c r="CT186" s="506"/>
      <c r="CU186" s="506"/>
      <c r="CV186" s="506"/>
      <c r="CW186" s="506"/>
      <c r="CX186" s="506"/>
      <c r="CY186" s="506"/>
      <c r="CZ186" s="506"/>
      <c r="DA186" s="506"/>
      <c r="DB186" s="506"/>
      <c r="DC186" s="506"/>
      <c r="DD186" s="506"/>
      <c r="DE186" s="506"/>
      <c r="DF186" s="506"/>
      <c r="DG186" s="506"/>
      <c r="DH186" s="506"/>
      <c r="DI186" s="506"/>
      <c r="DJ186" s="506"/>
      <c r="DK186" s="506"/>
      <c r="DL186" s="506"/>
      <c r="DM186" s="506"/>
      <c r="DN186" s="506"/>
      <c r="DO186" s="506"/>
      <c r="DP186" s="506"/>
    </row>
    <row r="187" spans="1:120" hidden="1" outlineLevel="1">
      <c r="A187" s="100">
        <v>1110052010</v>
      </c>
      <c r="B187" s="1216"/>
      <c r="C187" s="1695" t="s">
        <v>64</v>
      </c>
      <c r="D187" s="1629"/>
      <c r="E187" s="1630"/>
      <c r="F187" s="102"/>
      <c r="G187" s="1258"/>
      <c r="H187" s="103"/>
      <c r="I187" s="104"/>
      <c r="J187" s="1604">
        <v>1</v>
      </c>
      <c r="K187" s="1605">
        <v>1</v>
      </c>
      <c r="L187" s="1696"/>
      <c r="M187" s="1697">
        <f t="shared" si="567"/>
        <v>0</v>
      </c>
      <c r="N187" s="106"/>
      <c r="O187" s="107">
        <f t="shared" si="566"/>
        <v>0</v>
      </c>
      <c r="P187" s="108"/>
      <c r="Q187" s="1340">
        <f t="shared" si="576"/>
        <v>0</v>
      </c>
      <c r="R187" s="109"/>
      <c r="S187" s="109"/>
      <c r="T187" s="110">
        <f t="shared" si="559"/>
        <v>0</v>
      </c>
      <c r="U187" s="111">
        <f t="shared" si="560"/>
        <v>0</v>
      </c>
      <c r="V187" s="566">
        <f t="shared" si="561"/>
        <v>0</v>
      </c>
      <c r="W187" s="112">
        <f t="shared" si="562"/>
        <v>0</v>
      </c>
      <c r="X187" s="113">
        <f t="shared" si="563"/>
        <v>0</v>
      </c>
      <c r="Y187" s="114"/>
      <c r="Z187" s="1055"/>
      <c r="AA187" s="53"/>
      <c r="AB187" s="507"/>
      <c r="AC187" s="507"/>
      <c r="AD187" s="507"/>
      <c r="AE187" s="507"/>
      <c r="AF187" s="565"/>
      <c r="AG187" s="565"/>
      <c r="AH187" s="565"/>
      <c r="AI187" s="565"/>
      <c r="AJ187" s="565"/>
      <c r="AK187" s="565"/>
      <c r="AL187" s="1562"/>
      <c r="AM187" s="565"/>
      <c r="AN187" s="565"/>
      <c r="AO187" s="565"/>
      <c r="AP187" s="565"/>
      <c r="AQ187" s="565"/>
      <c r="AR187" s="565"/>
      <c r="AS187" s="565"/>
      <c r="AT187" s="565"/>
      <c r="AU187" s="565"/>
      <c r="AV187" s="565"/>
      <c r="AW187" s="565"/>
      <c r="AX187" s="565"/>
      <c r="AY187" s="565"/>
      <c r="AZ187" s="565"/>
      <c r="BA187" s="565"/>
      <c r="BB187" s="565"/>
      <c r="BC187" s="565"/>
      <c r="BD187" s="565"/>
      <c r="BE187" s="565"/>
      <c r="BF187" s="565"/>
      <c r="BG187" s="565"/>
      <c r="BH187" s="565"/>
      <c r="BI187" s="565"/>
      <c r="BJ187" s="565"/>
      <c r="BK187" s="565"/>
      <c r="BL187" s="565"/>
      <c r="BM187" s="565"/>
      <c r="BN187" s="565"/>
      <c r="BO187" s="565"/>
      <c r="BP187" s="565"/>
      <c r="BQ187" s="565"/>
      <c r="BR187" s="565"/>
      <c r="BS187" s="565">
        <f>+M187</f>
        <v>0</v>
      </c>
      <c r="BT187" s="565"/>
      <c r="BU187" s="565"/>
      <c r="BV187" s="565"/>
      <c r="BW187" s="565"/>
      <c r="BX187" s="565"/>
      <c r="BY187" s="565"/>
      <c r="BZ187" s="565"/>
      <c r="CA187" s="565"/>
      <c r="CB187" s="565"/>
      <c r="CC187" s="565"/>
      <c r="CD187" s="565"/>
      <c r="CE187" s="565"/>
      <c r="CF187" s="565"/>
      <c r="CG187" s="565"/>
      <c r="CH187" s="565"/>
      <c r="CI187" s="565"/>
      <c r="CJ187" s="565"/>
      <c r="CK187" s="565"/>
      <c r="CL187" s="565"/>
      <c r="CM187" s="565"/>
      <c r="CN187" s="565"/>
      <c r="CO187" s="565"/>
      <c r="CP187" s="565"/>
      <c r="CQ187" s="565"/>
      <c r="CR187" s="565"/>
      <c r="CS187" s="565"/>
      <c r="CT187" s="565"/>
      <c r="CU187" s="565"/>
      <c r="CV187" s="565"/>
      <c r="CW187" s="565"/>
      <c r="CX187" s="565"/>
      <c r="CY187" s="565"/>
      <c r="CZ187" s="565"/>
      <c r="DA187" s="565"/>
      <c r="DB187" s="565"/>
      <c r="DC187" s="565"/>
      <c r="DD187" s="565"/>
      <c r="DE187" s="565"/>
      <c r="DF187" s="565"/>
      <c r="DG187" s="565"/>
      <c r="DH187" s="565"/>
      <c r="DI187" s="565"/>
      <c r="DJ187" s="565"/>
      <c r="DK187" s="565"/>
      <c r="DL187" s="565"/>
      <c r="DM187" s="565"/>
      <c r="DN187" s="565"/>
      <c r="DO187" s="565"/>
      <c r="DP187" s="565"/>
    </row>
    <row r="188" spans="1:120" hidden="1" outlineLevel="1">
      <c r="A188" s="89">
        <v>1110052010</v>
      </c>
      <c r="B188" s="90"/>
      <c r="C188" s="91" t="s">
        <v>64</v>
      </c>
      <c r="D188" s="1481"/>
      <c r="E188" s="1482"/>
      <c r="F188" s="420"/>
      <c r="G188" s="1256"/>
      <c r="H188" s="421"/>
      <c r="I188" s="422"/>
      <c r="J188" s="1425">
        <v>1</v>
      </c>
      <c r="K188" s="1426">
        <v>1</v>
      </c>
      <c r="L188" s="1043"/>
      <c r="M188" s="1594">
        <f t="shared" si="567"/>
        <v>0</v>
      </c>
      <c r="N188" s="415"/>
      <c r="O188" s="424">
        <f t="shared" si="566"/>
        <v>0</v>
      </c>
      <c r="P188" s="425"/>
      <c r="Q188" s="1340">
        <f t="shared" si="576"/>
        <v>0</v>
      </c>
      <c r="R188" s="426"/>
      <c r="S188" s="426"/>
      <c r="T188" s="427">
        <f t="shared" si="559"/>
        <v>0</v>
      </c>
      <c r="U188" s="418">
        <f t="shared" si="560"/>
        <v>0</v>
      </c>
      <c r="V188" s="517">
        <f t="shared" si="561"/>
        <v>0</v>
      </c>
      <c r="W188" s="428">
        <f t="shared" si="562"/>
        <v>0</v>
      </c>
      <c r="X188" s="429">
        <f t="shared" si="563"/>
        <v>0</v>
      </c>
      <c r="Y188" s="92"/>
      <c r="Z188" s="1055"/>
      <c r="AA188" s="53"/>
      <c r="AB188" s="507"/>
      <c r="AC188" s="507"/>
      <c r="AD188" s="507"/>
      <c r="AE188" s="507"/>
      <c r="AF188" s="506"/>
      <c r="AG188" s="506"/>
      <c r="AH188" s="506"/>
      <c r="AI188" s="506"/>
      <c r="AJ188" s="506"/>
      <c r="AK188" s="506"/>
      <c r="AL188" s="1561"/>
      <c r="AM188" s="506"/>
      <c r="AN188" s="506"/>
      <c r="AO188" s="506"/>
      <c r="AP188" s="506"/>
      <c r="AQ188" s="506"/>
      <c r="AR188" s="506"/>
      <c r="AS188" s="506"/>
      <c r="AT188" s="506"/>
      <c r="AU188" s="506"/>
      <c r="AV188" s="506"/>
      <c r="AW188" s="506"/>
      <c r="AX188" s="506"/>
      <c r="AY188" s="506"/>
      <c r="AZ188" s="520"/>
      <c r="BA188" s="506"/>
      <c r="BB188" s="506"/>
      <c r="BC188" s="506"/>
      <c r="BD188" s="595"/>
      <c r="BE188" s="595"/>
      <c r="BF188" s="595"/>
      <c r="BG188" s="506"/>
      <c r="BH188" s="506"/>
      <c r="BI188" s="506"/>
      <c r="BJ188" s="506"/>
      <c r="BK188" s="506"/>
      <c r="BL188" s="506"/>
      <c r="BM188" s="506"/>
      <c r="BN188" s="506"/>
      <c r="BO188" s="506"/>
      <c r="BP188" s="506"/>
      <c r="BQ188" s="506"/>
      <c r="BR188" s="506"/>
      <c r="BS188" s="506"/>
      <c r="BT188" s="506"/>
      <c r="BU188" s="506"/>
      <c r="BV188" s="506"/>
      <c r="BW188" s="506"/>
      <c r="BX188" s="506"/>
      <c r="BY188" s="520">
        <f>+M188</f>
        <v>0</v>
      </c>
      <c r="BZ188" s="506"/>
      <c r="CA188" s="506"/>
      <c r="CB188" s="506"/>
      <c r="CC188" s="506"/>
      <c r="CD188" s="506"/>
      <c r="CE188" s="506"/>
      <c r="CF188" s="506"/>
      <c r="CG188" s="506"/>
      <c r="CH188" s="506"/>
      <c r="CI188" s="506"/>
      <c r="CJ188" s="506"/>
      <c r="CK188" s="506"/>
      <c r="CL188" s="506"/>
      <c r="CM188" s="506"/>
      <c r="CN188" s="506"/>
      <c r="CO188" s="506"/>
      <c r="CP188" s="506"/>
      <c r="CQ188" s="506"/>
      <c r="CR188" s="506"/>
      <c r="CS188" s="506"/>
      <c r="CT188" s="506"/>
      <c r="CU188" s="506"/>
      <c r="CV188" s="506"/>
      <c r="CW188" s="506"/>
      <c r="CX188" s="506"/>
      <c r="CY188" s="506"/>
      <c r="CZ188" s="506"/>
      <c r="DA188" s="506"/>
      <c r="DB188" s="506"/>
      <c r="DC188" s="506"/>
      <c r="DD188" s="506"/>
      <c r="DE188" s="506"/>
      <c r="DF188" s="506"/>
      <c r="DG188" s="506"/>
      <c r="DH188" s="506"/>
      <c r="DI188" s="506"/>
      <c r="DJ188" s="506"/>
      <c r="DK188" s="506"/>
      <c r="DL188" s="506"/>
      <c r="DM188" s="506"/>
      <c r="DN188" s="506"/>
      <c r="DO188" s="506"/>
      <c r="DP188" s="506"/>
    </row>
    <row r="189" spans="1:120" hidden="1" outlineLevel="1">
      <c r="A189" s="381">
        <v>1110052010</v>
      </c>
      <c r="B189" s="195"/>
      <c r="C189" s="196" t="s">
        <v>64</v>
      </c>
      <c r="D189" s="1585"/>
      <c r="E189" s="1586"/>
      <c r="F189" s="382"/>
      <c r="G189" s="1260"/>
      <c r="H189" s="1044"/>
      <c r="I189" s="1045"/>
      <c r="J189" s="1451">
        <v>1</v>
      </c>
      <c r="K189" s="1452">
        <v>1</v>
      </c>
      <c r="L189" s="1046"/>
      <c r="M189" s="1595">
        <f t="shared" ref="M189:M196" si="618">+L189*J189</f>
        <v>0</v>
      </c>
      <c r="N189" s="386"/>
      <c r="O189" s="1047">
        <f t="shared" ref="O189:O196" si="619">+L189*N189</f>
        <v>0</v>
      </c>
      <c r="P189" s="1048"/>
      <c r="Q189" s="1239">
        <f t="shared" ref="Q189:Q196" si="620">+P189*K189</f>
        <v>0</v>
      </c>
      <c r="R189" s="389"/>
      <c r="S189" s="389"/>
      <c r="T189" s="390">
        <f t="shared" ref="T189:T196" si="621">+P189*S189</f>
        <v>0</v>
      </c>
      <c r="U189" s="60">
        <f t="shared" ref="U189:U196" si="622">+L189+P189+F189</f>
        <v>0</v>
      </c>
      <c r="V189" s="529">
        <f t="shared" ref="V189:V196" si="623">+P189*R189+L189*N189+F189*H189</f>
        <v>0</v>
      </c>
      <c r="W189" s="1049">
        <f t="shared" ref="W189:W196" si="624">(IF(R189&gt;S189,(-P189*R189)-(-P189*S189),0))</f>
        <v>0</v>
      </c>
      <c r="X189" s="1050">
        <f t="shared" ref="X189:X196" si="625">(IF(R189&lt;S189,(-P189*R189)-(-P189*S189),0))</f>
        <v>0</v>
      </c>
      <c r="Y189" s="92"/>
      <c r="Z189" s="1055"/>
      <c r="AA189" s="53"/>
      <c r="AB189" s="507"/>
      <c r="AC189" s="507"/>
      <c r="AD189" s="507"/>
      <c r="AE189" s="507"/>
      <c r="AF189" s="506"/>
      <c r="AG189" s="506"/>
      <c r="AH189" s="506"/>
      <c r="AI189" s="506"/>
      <c r="AJ189" s="506"/>
      <c r="AK189" s="506"/>
      <c r="AL189" s="1561"/>
      <c r="AM189" s="506"/>
      <c r="AN189" s="506"/>
      <c r="AO189" s="506"/>
      <c r="AP189" s="506"/>
      <c r="AQ189" s="506"/>
      <c r="AR189" s="506"/>
      <c r="AS189" s="506"/>
      <c r="AT189" s="506"/>
      <c r="AU189" s="506"/>
      <c r="AV189" s="506"/>
      <c r="AW189" s="506"/>
      <c r="AX189" s="506"/>
      <c r="AY189" s="506"/>
      <c r="AZ189" s="520"/>
      <c r="BA189" s="506"/>
      <c r="BB189" s="520">
        <f>+Q189</f>
        <v>0</v>
      </c>
      <c r="BC189" s="506"/>
      <c r="BD189" s="595"/>
      <c r="BE189" s="595"/>
      <c r="BF189" s="595"/>
      <c r="BG189" s="506"/>
      <c r="BH189" s="506"/>
      <c r="BI189" s="506"/>
      <c r="BJ189" s="506"/>
      <c r="BK189" s="506"/>
      <c r="BL189" s="506"/>
      <c r="BM189" s="506"/>
      <c r="BN189" s="506"/>
      <c r="BO189" s="506"/>
      <c r="BP189" s="506"/>
      <c r="BQ189" s="506"/>
      <c r="BR189" s="506"/>
      <c r="BS189" s="506"/>
      <c r="BT189" s="506"/>
      <c r="BU189" s="506"/>
      <c r="BV189" s="506"/>
      <c r="BW189" s="506"/>
      <c r="BX189" s="506"/>
      <c r="BY189" s="506"/>
      <c r="BZ189" s="506"/>
      <c r="CA189" s="506"/>
      <c r="CB189" s="506"/>
      <c r="CC189" s="506"/>
      <c r="CD189" s="506"/>
      <c r="CE189" s="506"/>
      <c r="CF189" s="506"/>
      <c r="CG189" s="506"/>
      <c r="CH189" s="506"/>
      <c r="CI189" s="506"/>
      <c r="CJ189" s="506"/>
      <c r="CK189" s="506"/>
      <c r="CL189" s="506"/>
      <c r="CM189" s="506"/>
      <c r="CN189" s="506"/>
      <c r="CO189" s="506"/>
      <c r="CP189" s="506"/>
      <c r="CQ189" s="506"/>
      <c r="CR189" s="506"/>
      <c r="CS189" s="506"/>
      <c r="CT189" s="506"/>
      <c r="CU189" s="506"/>
      <c r="CV189" s="506"/>
      <c r="CW189" s="506"/>
      <c r="CX189" s="506"/>
      <c r="CY189" s="506"/>
      <c r="CZ189" s="506"/>
      <c r="DA189" s="506"/>
      <c r="DB189" s="506"/>
      <c r="DC189" s="506"/>
      <c r="DD189" s="506"/>
      <c r="DE189" s="506"/>
      <c r="DF189" s="506"/>
      <c r="DG189" s="506"/>
      <c r="DH189" s="506"/>
      <c r="DI189" s="506"/>
      <c r="DJ189" s="506"/>
      <c r="DK189" s="506"/>
      <c r="DL189" s="506"/>
      <c r="DM189" s="506"/>
      <c r="DN189" s="506"/>
      <c r="DO189" s="506"/>
      <c r="DP189" s="506"/>
    </row>
    <row r="190" spans="1:120" hidden="1" outlineLevel="1">
      <c r="A190" s="381">
        <v>1110052010</v>
      </c>
      <c r="B190" s="195"/>
      <c r="C190" s="196" t="s">
        <v>64</v>
      </c>
      <c r="D190" s="1585"/>
      <c r="E190" s="1586"/>
      <c r="F190" s="382"/>
      <c r="G190" s="1260"/>
      <c r="H190" s="1044"/>
      <c r="I190" s="1045"/>
      <c r="J190" s="1451">
        <v>1</v>
      </c>
      <c r="K190" s="1452">
        <v>1</v>
      </c>
      <c r="L190" s="1046"/>
      <c r="M190" s="1595">
        <f t="shared" si="618"/>
        <v>0</v>
      </c>
      <c r="N190" s="386"/>
      <c r="O190" s="1047">
        <f t="shared" si="619"/>
        <v>0</v>
      </c>
      <c r="P190" s="1048"/>
      <c r="Q190" s="1239">
        <f t="shared" si="620"/>
        <v>0</v>
      </c>
      <c r="R190" s="389"/>
      <c r="S190" s="389"/>
      <c r="T190" s="390">
        <f t="shared" si="621"/>
        <v>0</v>
      </c>
      <c r="U190" s="60">
        <f t="shared" si="622"/>
        <v>0</v>
      </c>
      <c r="V190" s="529">
        <f t="shared" si="623"/>
        <v>0</v>
      </c>
      <c r="W190" s="1049">
        <f t="shared" si="624"/>
        <v>0</v>
      </c>
      <c r="X190" s="1050">
        <f t="shared" si="625"/>
        <v>0</v>
      </c>
      <c r="Y190" s="92"/>
      <c r="Z190" s="1055"/>
      <c r="AA190" s="53"/>
      <c r="AB190" s="507"/>
      <c r="AC190" s="507"/>
      <c r="AD190" s="507"/>
      <c r="AE190" s="507"/>
      <c r="AF190" s="506"/>
      <c r="AG190" s="506"/>
      <c r="AH190" s="506"/>
      <c r="AI190" s="506"/>
      <c r="AJ190" s="506"/>
      <c r="AK190" s="506"/>
      <c r="AL190" s="1561"/>
      <c r="AM190" s="506"/>
      <c r="AN190" s="506"/>
      <c r="AO190" s="506"/>
      <c r="AP190" s="506"/>
      <c r="AQ190" s="506"/>
      <c r="AR190" s="506"/>
      <c r="AS190" s="506"/>
      <c r="AT190" s="506"/>
      <c r="AU190" s="506"/>
      <c r="AV190" s="506"/>
      <c r="AW190" s="506"/>
      <c r="AX190" s="506"/>
      <c r="AY190" s="506"/>
      <c r="AZ190" s="520"/>
      <c r="BA190" s="506"/>
      <c r="BB190" s="506"/>
      <c r="BC190" s="506"/>
      <c r="BD190" s="595"/>
      <c r="BE190" s="595">
        <f>+Q190</f>
        <v>0</v>
      </c>
      <c r="BF190" s="595"/>
      <c r="BG190" s="506"/>
      <c r="BH190" s="506"/>
      <c r="BI190" s="506"/>
      <c r="BJ190" s="506"/>
      <c r="BK190" s="506"/>
      <c r="BL190" s="506"/>
      <c r="BM190" s="506"/>
      <c r="BN190" s="506"/>
      <c r="BO190" s="506"/>
      <c r="BP190" s="506"/>
      <c r="BQ190" s="506"/>
      <c r="BR190" s="506"/>
      <c r="BS190" s="506"/>
      <c r="BT190" s="506"/>
      <c r="BU190" s="506"/>
      <c r="BV190" s="506"/>
      <c r="BW190" s="506"/>
      <c r="BX190" s="506"/>
      <c r="BY190" s="506"/>
      <c r="BZ190" s="506"/>
      <c r="CA190" s="506"/>
      <c r="CB190" s="506"/>
      <c r="CC190" s="506"/>
      <c r="CD190" s="506"/>
      <c r="CE190" s="506"/>
      <c r="CF190" s="506"/>
      <c r="CG190" s="506"/>
      <c r="CH190" s="506"/>
      <c r="CI190" s="506"/>
      <c r="CJ190" s="506"/>
      <c r="CK190" s="506"/>
      <c r="CL190" s="506"/>
      <c r="CM190" s="506"/>
      <c r="CN190" s="506"/>
      <c r="CO190" s="506"/>
      <c r="CP190" s="506"/>
      <c r="CQ190" s="506"/>
      <c r="CR190" s="506"/>
      <c r="CS190" s="506"/>
      <c r="CT190" s="506"/>
      <c r="CU190" s="506"/>
      <c r="CV190" s="506"/>
      <c r="CW190" s="506"/>
      <c r="CX190" s="506"/>
      <c r="CY190" s="506"/>
      <c r="CZ190" s="506"/>
      <c r="DA190" s="506"/>
      <c r="DB190" s="506"/>
      <c r="DC190" s="506"/>
      <c r="DD190" s="506"/>
      <c r="DE190" s="506"/>
      <c r="DF190" s="506"/>
      <c r="DG190" s="506"/>
      <c r="DH190" s="506"/>
      <c r="DI190" s="506"/>
      <c r="DJ190" s="506"/>
      <c r="DK190" s="506"/>
      <c r="DL190" s="506"/>
      <c r="DM190" s="506"/>
      <c r="DN190" s="506"/>
      <c r="DO190" s="506"/>
      <c r="DP190" s="506"/>
    </row>
    <row r="191" spans="1:120" hidden="1" outlineLevel="1">
      <c r="A191" s="381">
        <v>1110052010</v>
      </c>
      <c r="B191" s="195"/>
      <c r="C191" s="196" t="s">
        <v>64</v>
      </c>
      <c r="D191" s="1585"/>
      <c r="E191" s="1586"/>
      <c r="F191" s="382"/>
      <c r="G191" s="1260"/>
      <c r="H191" s="1044"/>
      <c r="I191" s="1045"/>
      <c r="J191" s="1451">
        <v>1</v>
      </c>
      <c r="K191" s="1452">
        <v>1</v>
      </c>
      <c r="L191" s="1046"/>
      <c r="M191" s="1595">
        <f t="shared" si="618"/>
        <v>0</v>
      </c>
      <c r="N191" s="386"/>
      <c r="O191" s="1047">
        <f t="shared" si="619"/>
        <v>0</v>
      </c>
      <c r="P191" s="1048"/>
      <c r="Q191" s="1239">
        <f t="shared" si="620"/>
        <v>0</v>
      </c>
      <c r="R191" s="389"/>
      <c r="S191" s="389"/>
      <c r="T191" s="390">
        <f t="shared" si="621"/>
        <v>0</v>
      </c>
      <c r="U191" s="60">
        <f t="shared" si="622"/>
        <v>0</v>
      </c>
      <c r="V191" s="529">
        <f t="shared" si="623"/>
        <v>0</v>
      </c>
      <c r="W191" s="1049">
        <f t="shared" si="624"/>
        <v>0</v>
      </c>
      <c r="X191" s="1050">
        <f t="shared" si="625"/>
        <v>0</v>
      </c>
      <c r="Y191" s="92"/>
      <c r="Z191" s="1055"/>
      <c r="AA191" s="53"/>
      <c r="AB191" s="507"/>
      <c r="AC191" s="507"/>
      <c r="AD191" s="507"/>
      <c r="AE191" s="507"/>
      <c r="AF191" s="506"/>
      <c r="AG191" s="506"/>
      <c r="AH191" s="506"/>
      <c r="AI191" s="506"/>
      <c r="AJ191" s="506"/>
      <c r="AK191" s="506"/>
      <c r="AL191" s="1561"/>
      <c r="AM191" s="506"/>
      <c r="AN191" s="506"/>
      <c r="AO191" s="506"/>
      <c r="AP191" s="506"/>
      <c r="AQ191" s="506"/>
      <c r="AR191" s="506"/>
      <c r="AS191" s="506"/>
      <c r="AT191" s="506"/>
      <c r="AU191" s="506"/>
      <c r="AV191" s="506"/>
      <c r="AW191" s="506"/>
      <c r="AX191" s="506"/>
      <c r="AY191" s="506"/>
      <c r="AZ191" s="520"/>
      <c r="BA191" s="506"/>
      <c r="BB191" s="506"/>
      <c r="BC191" s="506"/>
      <c r="BD191" s="595"/>
      <c r="BE191" s="595"/>
      <c r="BF191" s="595">
        <f>+Q191</f>
        <v>0</v>
      </c>
      <c r="BG191" s="506"/>
      <c r="BH191" s="506"/>
      <c r="BI191" s="506"/>
      <c r="BJ191" s="506"/>
      <c r="BK191" s="506"/>
      <c r="BL191" s="506"/>
      <c r="BM191" s="506"/>
      <c r="BN191" s="506"/>
      <c r="BO191" s="506"/>
      <c r="BP191" s="506"/>
      <c r="BQ191" s="506"/>
      <c r="BR191" s="506"/>
      <c r="BS191" s="506"/>
      <c r="BT191" s="506"/>
      <c r="BU191" s="506"/>
      <c r="BV191" s="506"/>
      <c r="BW191" s="506"/>
      <c r="BX191" s="506"/>
      <c r="BY191" s="506"/>
      <c r="BZ191" s="506"/>
      <c r="CA191" s="506"/>
      <c r="CB191" s="506"/>
      <c r="CC191" s="506"/>
      <c r="CD191" s="506"/>
      <c r="CE191" s="506"/>
      <c r="CF191" s="506"/>
      <c r="CG191" s="506"/>
      <c r="CH191" s="506"/>
      <c r="CI191" s="506"/>
      <c r="CJ191" s="506"/>
      <c r="CK191" s="506"/>
      <c r="CL191" s="506"/>
      <c r="CM191" s="506"/>
      <c r="CN191" s="506"/>
      <c r="CO191" s="506"/>
      <c r="CP191" s="506"/>
      <c r="CQ191" s="506"/>
      <c r="CR191" s="506"/>
      <c r="CS191" s="506"/>
      <c r="CT191" s="506"/>
      <c r="CU191" s="506"/>
      <c r="CV191" s="506"/>
      <c r="CW191" s="506"/>
      <c r="CX191" s="506"/>
      <c r="CY191" s="506"/>
      <c r="CZ191" s="506"/>
      <c r="DA191" s="506"/>
      <c r="DB191" s="506"/>
      <c r="DC191" s="506"/>
      <c r="DD191" s="506"/>
      <c r="DE191" s="506"/>
      <c r="DF191" s="506"/>
      <c r="DG191" s="506"/>
      <c r="DH191" s="506"/>
      <c r="DI191" s="506"/>
      <c r="DJ191" s="506"/>
      <c r="DK191" s="506"/>
      <c r="DL191" s="506"/>
      <c r="DM191" s="506"/>
      <c r="DN191" s="506"/>
      <c r="DO191" s="506"/>
      <c r="DP191" s="506"/>
    </row>
    <row r="192" spans="1:120" hidden="1" outlineLevel="1">
      <c r="A192" s="381">
        <v>1110052010</v>
      </c>
      <c r="B192" s="195"/>
      <c r="C192" s="196" t="s">
        <v>64</v>
      </c>
      <c r="D192" s="1585"/>
      <c r="E192" s="1586"/>
      <c r="F192" s="382"/>
      <c r="G192" s="1260"/>
      <c r="H192" s="1044"/>
      <c r="I192" s="1045"/>
      <c r="J192" s="1451">
        <v>1</v>
      </c>
      <c r="K192" s="1452">
        <v>1</v>
      </c>
      <c r="L192" s="1046"/>
      <c r="M192" s="1595">
        <f t="shared" si="618"/>
        <v>0</v>
      </c>
      <c r="N192" s="386"/>
      <c r="O192" s="1047">
        <f t="shared" si="619"/>
        <v>0</v>
      </c>
      <c r="P192" s="1048"/>
      <c r="Q192" s="1239">
        <f t="shared" si="620"/>
        <v>0</v>
      </c>
      <c r="R192" s="389"/>
      <c r="S192" s="389"/>
      <c r="T192" s="390">
        <f t="shared" si="621"/>
        <v>0</v>
      </c>
      <c r="U192" s="60">
        <f t="shared" si="622"/>
        <v>0</v>
      </c>
      <c r="V192" s="529">
        <f t="shared" si="623"/>
        <v>0</v>
      </c>
      <c r="W192" s="1049">
        <f t="shared" si="624"/>
        <v>0</v>
      </c>
      <c r="X192" s="1050">
        <f t="shared" si="625"/>
        <v>0</v>
      </c>
      <c r="Y192" s="92"/>
      <c r="Z192" s="1055"/>
      <c r="AA192" s="53"/>
      <c r="AB192" s="507"/>
      <c r="AC192" s="507"/>
      <c r="AD192" s="507"/>
      <c r="AE192" s="507"/>
      <c r="AF192" s="506"/>
      <c r="AG192" s="506"/>
      <c r="AH192" s="506"/>
      <c r="AI192" s="506"/>
      <c r="AJ192" s="506"/>
      <c r="AK192" s="506"/>
      <c r="AL192" s="1561"/>
      <c r="AM192" s="506"/>
      <c r="AN192" s="506"/>
      <c r="AO192" s="506"/>
      <c r="AP192" s="506"/>
      <c r="AQ192" s="506"/>
      <c r="AR192" s="506"/>
      <c r="AS192" s="506"/>
      <c r="AT192" s="506"/>
      <c r="AU192" s="506"/>
      <c r="AV192" s="506"/>
      <c r="AW192" s="506"/>
      <c r="AX192" s="506"/>
      <c r="AY192" s="506"/>
      <c r="AZ192" s="520"/>
      <c r="BA192" s="506"/>
      <c r="BB192" s="506"/>
      <c r="BC192" s="506"/>
      <c r="BD192" s="595"/>
      <c r="BE192" s="595"/>
      <c r="BF192" s="595"/>
      <c r="BG192" s="506"/>
      <c r="BH192" s="520">
        <f>+Q192</f>
        <v>0</v>
      </c>
      <c r="BI192" s="506"/>
      <c r="BJ192" s="506"/>
      <c r="BK192" s="506"/>
      <c r="BL192" s="506"/>
      <c r="BM192" s="506"/>
      <c r="BN192" s="506"/>
      <c r="BO192" s="506"/>
      <c r="BP192" s="506"/>
      <c r="BQ192" s="506"/>
      <c r="BR192" s="506"/>
      <c r="BS192" s="506"/>
      <c r="BT192" s="506"/>
      <c r="BU192" s="506"/>
      <c r="BV192" s="506"/>
      <c r="BW192" s="506"/>
      <c r="BX192" s="506"/>
      <c r="BY192" s="506"/>
      <c r="BZ192" s="506"/>
      <c r="CA192" s="506"/>
      <c r="CB192" s="506"/>
      <c r="CC192" s="506"/>
      <c r="CD192" s="506"/>
      <c r="CE192" s="506"/>
      <c r="CF192" s="506"/>
      <c r="CG192" s="506"/>
      <c r="CH192" s="506"/>
      <c r="CI192" s="506"/>
      <c r="CJ192" s="506"/>
      <c r="CK192" s="506"/>
      <c r="CL192" s="506"/>
      <c r="CM192" s="506"/>
      <c r="CN192" s="506"/>
      <c r="CO192" s="506"/>
      <c r="CP192" s="506"/>
      <c r="CQ192" s="506"/>
      <c r="CR192" s="506"/>
      <c r="CS192" s="506"/>
      <c r="CT192" s="506"/>
      <c r="CU192" s="506"/>
      <c r="CV192" s="506"/>
      <c r="CW192" s="506"/>
      <c r="CX192" s="506"/>
      <c r="CY192" s="506"/>
      <c r="CZ192" s="506"/>
      <c r="DA192" s="506"/>
      <c r="DB192" s="506"/>
      <c r="DC192" s="506"/>
      <c r="DD192" s="506"/>
      <c r="DE192" s="506"/>
      <c r="DF192" s="506"/>
      <c r="DG192" s="506"/>
      <c r="DH192" s="506"/>
      <c r="DI192" s="506"/>
      <c r="DJ192" s="506"/>
      <c r="DK192" s="506"/>
      <c r="DL192" s="506"/>
      <c r="DM192" s="506"/>
      <c r="DN192" s="506"/>
      <c r="DO192" s="506"/>
      <c r="DP192" s="506"/>
    </row>
    <row r="193" spans="1:120" hidden="1" outlineLevel="1">
      <c r="A193" s="381">
        <v>1110052010</v>
      </c>
      <c r="B193" s="195"/>
      <c r="C193" s="196" t="s">
        <v>64</v>
      </c>
      <c r="D193" s="1585"/>
      <c r="E193" s="1586"/>
      <c r="F193" s="382"/>
      <c r="G193" s="1260"/>
      <c r="H193" s="1044"/>
      <c r="I193" s="1045"/>
      <c r="J193" s="1451">
        <v>1</v>
      </c>
      <c r="K193" s="1452">
        <v>1</v>
      </c>
      <c r="L193" s="1046"/>
      <c r="M193" s="1595">
        <f t="shared" si="618"/>
        <v>0</v>
      </c>
      <c r="N193" s="386"/>
      <c r="O193" s="1047">
        <f t="shared" si="619"/>
        <v>0</v>
      </c>
      <c r="P193" s="1048"/>
      <c r="Q193" s="1239">
        <f t="shared" si="620"/>
        <v>0</v>
      </c>
      <c r="R193" s="389"/>
      <c r="S193" s="389"/>
      <c r="T193" s="390">
        <f t="shared" si="621"/>
        <v>0</v>
      </c>
      <c r="U193" s="60">
        <f t="shared" si="622"/>
        <v>0</v>
      </c>
      <c r="V193" s="529">
        <f t="shared" si="623"/>
        <v>0</v>
      </c>
      <c r="W193" s="1049">
        <f t="shared" si="624"/>
        <v>0</v>
      </c>
      <c r="X193" s="1050">
        <f t="shared" si="625"/>
        <v>0</v>
      </c>
      <c r="Y193" s="92"/>
      <c r="Z193" s="1055"/>
      <c r="AA193" s="53"/>
      <c r="AB193" s="507"/>
      <c r="AC193" s="507"/>
      <c r="AD193" s="507"/>
      <c r="AE193" s="507"/>
      <c r="AF193" s="506"/>
      <c r="AG193" s="506"/>
      <c r="AH193" s="506"/>
      <c r="AI193" s="506"/>
      <c r="AJ193" s="506"/>
      <c r="AK193" s="506"/>
      <c r="AL193" s="1561"/>
      <c r="AM193" s="506"/>
      <c r="AN193" s="506"/>
      <c r="AO193" s="506"/>
      <c r="AP193" s="506"/>
      <c r="AQ193" s="506"/>
      <c r="AR193" s="506"/>
      <c r="AS193" s="506"/>
      <c r="AT193" s="506"/>
      <c r="AU193" s="506"/>
      <c r="AV193" s="506"/>
      <c r="AW193" s="506"/>
      <c r="AX193" s="506"/>
      <c r="AY193" s="506"/>
      <c r="AZ193" s="520"/>
      <c r="BA193" s="506"/>
      <c r="BB193" s="506"/>
      <c r="BC193" s="506"/>
      <c r="BD193" s="595"/>
      <c r="BE193" s="595"/>
      <c r="BF193" s="595"/>
      <c r="BG193" s="506"/>
      <c r="BH193" s="506"/>
      <c r="BI193" s="506"/>
      <c r="BJ193" s="520">
        <f>+Q193</f>
        <v>0</v>
      </c>
      <c r="BK193" s="506"/>
      <c r="BL193" s="506"/>
      <c r="BM193" s="506"/>
      <c r="BN193" s="506"/>
      <c r="BO193" s="506"/>
      <c r="BP193" s="506"/>
      <c r="BQ193" s="506"/>
      <c r="BR193" s="506"/>
      <c r="BS193" s="506"/>
      <c r="BT193" s="506"/>
      <c r="BU193" s="506"/>
      <c r="BV193" s="506"/>
      <c r="BW193" s="506"/>
      <c r="BX193" s="506"/>
      <c r="BY193" s="506"/>
      <c r="BZ193" s="506"/>
      <c r="CA193" s="506"/>
      <c r="CB193" s="506"/>
      <c r="CC193" s="506"/>
      <c r="CD193" s="506"/>
      <c r="CE193" s="506"/>
      <c r="CF193" s="506"/>
      <c r="CG193" s="506"/>
      <c r="CH193" s="506"/>
      <c r="CI193" s="506"/>
      <c r="CJ193" s="506"/>
      <c r="CK193" s="506"/>
      <c r="CL193" s="506"/>
      <c r="CM193" s="506"/>
      <c r="CN193" s="506"/>
      <c r="CO193" s="506"/>
      <c r="CP193" s="506"/>
      <c r="CQ193" s="506"/>
      <c r="CR193" s="506"/>
      <c r="CS193" s="506"/>
      <c r="CT193" s="506"/>
      <c r="CU193" s="506"/>
      <c r="CV193" s="506"/>
      <c r="CW193" s="506"/>
      <c r="CX193" s="506"/>
      <c r="CY193" s="506"/>
      <c r="CZ193" s="506"/>
      <c r="DA193" s="506"/>
      <c r="DB193" s="506"/>
      <c r="DC193" s="506"/>
      <c r="DD193" s="506"/>
      <c r="DE193" s="506"/>
      <c r="DF193" s="506"/>
      <c r="DG193" s="506"/>
      <c r="DH193" s="506"/>
      <c r="DI193" s="506"/>
      <c r="DJ193" s="506"/>
      <c r="DK193" s="506"/>
      <c r="DL193" s="506"/>
      <c r="DM193" s="506"/>
      <c r="DN193" s="506"/>
      <c r="DO193" s="506"/>
      <c r="DP193" s="506"/>
    </row>
    <row r="194" spans="1:120" hidden="1" outlineLevel="1">
      <c r="A194" s="381">
        <v>1110052010</v>
      </c>
      <c r="B194" s="195"/>
      <c r="C194" s="196" t="s">
        <v>64</v>
      </c>
      <c r="D194" s="1585"/>
      <c r="E194" s="1586"/>
      <c r="F194" s="382"/>
      <c r="G194" s="1260"/>
      <c r="H194" s="1044"/>
      <c r="I194" s="1045"/>
      <c r="J194" s="1451">
        <v>1</v>
      </c>
      <c r="K194" s="1452">
        <v>1</v>
      </c>
      <c r="L194" s="1046"/>
      <c r="M194" s="1595">
        <f t="shared" si="618"/>
        <v>0</v>
      </c>
      <c r="N194" s="386"/>
      <c r="O194" s="1047">
        <f t="shared" si="619"/>
        <v>0</v>
      </c>
      <c r="P194" s="1048"/>
      <c r="Q194" s="1239">
        <f t="shared" si="620"/>
        <v>0</v>
      </c>
      <c r="R194" s="389"/>
      <c r="S194" s="389"/>
      <c r="T194" s="390">
        <f t="shared" si="621"/>
        <v>0</v>
      </c>
      <c r="U194" s="60">
        <f t="shared" si="622"/>
        <v>0</v>
      </c>
      <c r="V194" s="529">
        <f t="shared" si="623"/>
        <v>0</v>
      </c>
      <c r="W194" s="1049">
        <f t="shared" si="624"/>
        <v>0</v>
      </c>
      <c r="X194" s="1050">
        <f t="shared" si="625"/>
        <v>0</v>
      </c>
      <c r="Y194" s="92"/>
      <c r="Z194" s="1055"/>
      <c r="AA194" s="53"/>
      <c r="AB194" s="507"/>
      <c r="AC194" s="507"/>
      <c r="AD194" s="507"/>
      <c r="AE194" s="507"/>
      <c r="AF194" s="506"/>
      <c r="AG194" s="506"/>
      <c r="AH194" s="506"/>
      <c r="AI194" s="506"/>
      <c r="AJ194" s="506"/>
      <c r="AK194" s="506"/>
      <c r="AL194" s="1561"/>
      <c r="AM194" s="506"/>
      <c r="AN194" s="506"/>
      <c r="AO194" s="506"/>
      <c r="AP194" s="506"/>
      <c r="AQ194" s="506"/>
      <c r="AR194" s="506"/>
      <c r="AS194" s="506"/>
      <c r="AT194" s="506"/>
      <c r="AU194" s="506"/>
      <c r="AV194" s="506"/>
      <c r="AW194" s="506"/>
      <c r="AX194" s="506"/>
      <c r="AY194" s="506"/>
      <c r="AZ194" s="520"/>
      <c r="BA194" s="506"/>
      <c r="BB194" s="506"/>
      <c r="BC194" s="506"/>
      <c r="BD194" s="595"/>
      <c r="BE194" s="595"/>
      <c r="BF194" s="595"/>
      <c r="BG194" s="506"/>
      <c r="BH194" s="506"/>
      <c r="BI194" s="506"/>
      <c r="BJ194" s="506"/>
      <c r="BK194" s="506"/>
      <c r="BL194" s="520">
        <f>+Q194</f>
        <v>0</v>
      </c>
      <c r="BM194" s="506"/>
      <c r="BN194" s="506"/>
      <c r="BO194" s="506"/>
      <c r="BP194" s="506"/>
      <c r="BQ194" s="506"/>
      <c r="BR194" s="506"/>
      <c r="BS194" s="506"/>
      <c r="BT194" s="506"/>
      <c r="BU194" s="506"/>
      <c r="BV194" s="506"/>
      <c r="BW194" s="506"/>
      <c r="BX194" s="506"/>
      <c r="BY194" s="506"/>
      <c r="BZ194" s="506"/>
      <c r="CA194" s="506"/>
      <c r="CB194" s="506"/>
      <c r="CC194" s="506"/>
      <c r="CD194" s="506"/>
      <c r="CE194" s="506"/>
      <c r="CF194" s="506"/>
      <c r="CG194" s="506"/>
      <c r="CH194" s="506"/>
      <c r="CI194" s="506"/>
      <c r="CJ194" s="506"/>
      <c r="CK194" s="506"/>
      <c r="CL194" s="506"/>
      <c r="CM194" s="506"/>
      <c r="CN194" s="506"/>
      <c r="CO194" s="506"/>
      <c r="CP194" s="506"/>
      <c r="CQ194" s="506"/>
      <c r="CR194" s="506"/>
      <c r="CS194" s="506"/>
      <c r="CT194" s="506"/>
      <c r="CU194" s="506"/>
      <c r="CV194" s="506"/>
      <c r="CW194" s="506"/>
      <c r="CX194" s="506"/>
      <c r="CY194" s="506"/>
      <c r="CZ194" s="506"/>
      <c r="DA194" s="506"/>
      <c r="DB194" s="506"/>
      <c r="DC194" s="506"/>
      <c r="DD194" s="506"/>
      <c r="DE194" s="506"/>
      <c r="DF194" s="506"/>
      <c r="DG194" s="506"/>
      <c r="DH194" s="506"/>
      <c r="DI194" s="506"/>
      <c r="DJ194" s="506"/>
      <c r="DK194" s="506"/>
      <c r="DL194" s="506"/>
      <c r="DM194" s="506"/>
      <c r="DN194" s="506"/>
      <c r="DO194" s="506"/>
      <c r="DP194" s="506"/>
    </row>
    <row r="195" spans="1:120" hidden="1" outlineLevel="1">
      <c r="A195" s="381">
        <v>1110052010</v>
      </c>
      <c r="B195" s="195"/>
      <c r="C195" s="196" t="s">
        <v>64</v>
      </c>
      <c r="D195" s="1585"/>
      <c r="E195" s="1586"/>
      <c r="F195" s="382"/>
      <c r="G195" s="1260"/>
      <c r="H195" s="1044"/>
      <c r="I195" s="1045"/>
      <c r="J195" s="1451">
        <v>1</v>
      </c>
      <c r="K195" s="1452">
        <v>1</v>
      </c>
      <c r="L195" s="1046"/>
      <c r="M195" s="1595">
        <f t="shared" si="618"/>
        <v>0</v>
      </c>
      <c r="N195" s="386"/>
      <c r="O195" s="1047">
        <f t="shared" si="619"/>
        <v>0</v>
      </c>
      <c r="P195" s="1048"/>
      <c r="Q195" s="1239">
        <f t="shared" si="620"/>
        <v>0</v>
      </c>
      <c r="R195" s="389"/>
      <c r="S195" s="389"/>
      <c r="T195" s="390">
        <f t="shared" si="621"/>
        <v>0</v>
      </c>
      <c r="U195" s="60">
        <f t="shared" si="622"/>
        <v>0</v>
      </c>
      <c r="V195" s="529">
        <f t="shared" si="623"/>
        <v>0</v>
      </c>
      <c r="W195" s="1049">
        <f t="shared" si="624"/>
        <v>0</v>
      </c>
      <c r="X195" s="1050">
        <f t="shared" si="625"/>
        <v>0</v>
      </c>
      <c r="Y195" s="92"/>
      <c r="Z195" s="1055"/>
      <c r="AA195" s="53"/>
      <c r="AB195" s="507"/>
      <c r="AC195" s="507"/>
      <c r="AD195" s="507"/>
      <c r="AE195" s="507"/>
      <c r="AF195" s="506"/>
      <c r="AG195" s="506"/>
      <c r="AH195" s="506"/>
      <c r="AI195" s="506"/>
      <c r="AJ195" s="506"/>
      <c r="AK195" s="506"/>
      <c r="AL195" s="1561"/>
      <c r="AM195" s="506"/>
      <c r="AN195" s="506"/>
      <c r="AO195" s="506"/>
      <c r="AP195" s="506"/>
      <c r="AQ195" s="506"/>
      <c r="AR195" s="506"/>
      <c r="AS195" s="506"/>
      <c r="AT195" s="506"/>
      <c r="AU195" s="506"/>
      <c r="AV195" s="506"/>
      <c r="AW195" s="506"/>
      <c r="AX195" s="506"/>
      <c r="AY195" s="506"/>
      <c r="AZ195" s="520"/>
      <c r="BA195" s="506"/>
      <c r="BB195" s="506"/>
      <c r="BC195" s="506"/>
      <c r="BD195" s="595"/>
      <c r="BE195" s="595"/>
      <c r="BF195" s="595"/>
      <c r="BG195" s="506"/>
      <c r="BH195" s="506"/>
      <c r="BI195" s="506"/>
      <c r="BJ195" s="506"/>
      <c r="BK195" s="506"/>
      <c r="BL195" s="506"/>
      <c r="BM195" s="506"/>
      <c r="BN195" s="520">
        <f>+Q195</f>
        <v>0</v>
      </c>
      <c r="BO195" s="506"/>
      <c r="BP195" s="506"/>
      <c r="BQ195" s="506"/>
      <c r="BR195" s="506"/>
      <c r="BS195" s="506"/>
      <c r="BT195" s="506"/>
      <c r="BU195" s="506"/>
      <c r="BV195" s="506"/>
      <c r="BW195" s="506"/>
      <c r="BX195" s="506"/>
      <c r="BY195" s="506"/>
      <c r="BZ195" s="506"/>
      <c r="CA195" s="506"/>
      <c r="CB195" s="506"/>
      <c r="CC195" s="506"/>
      <c r="CD195" s="506"/>
      <c r="CE195" s="506"/>
      <c r="CF195" s="506"/>
      <c r="CG195" s="506"/>
      <c r="CH195" s="506"/>
      <c r="CI195" s="506"/>
      <c r="CJ195" s="506"/>
      <c r="CK195" s="506"/>
      <c r="CL195" s="506"/>
      <c r="CM195" s="506"/>
      <c r="CN195" s="506"/>
      <c r="CO195" s="506"/>
      <c r="CP195" s="506"/>
      <c r="CQ195" s="506"/>
      <c r="CR195" s="506"/>
      <c r="CS195" s="506"/>
      <c r="CT195" s="506"/>
      <c r="CU195" s="506"/>
      <c r="CV195" s="506"/>
      <c r="CW195" s="506"/>
      <c r="CX195" s="506"/>
      <c r="CY195" s="506"/>
      <c r="CZ195" s="506"/>
      <c r="DA195" s="506"/>
      <c r="DB195" s="506"/>
      <c r="DC195" s="506"/>
      <c r="DD195" s="506"/>
      <c r="DE195" s="506"/>
      <c r="DF195" s="506"/>
      <c r="DG195" s="506"/>
      <c r="DH195" s="506"/>
      <c r="DI195" s="506"/>
      <c r="DJ195" s="506"/>
      <c r="DK195" s="506"/>
      <c r="DL195" s="506"/>
      <c r="DM195" s="506"/>
      <c r="DN195" s="506"/>
      <c r="DO195" s="506"/>
      <c r="DP195" s="506"/>
    </row>
    <row r="196" spans="1:120" hidden="1" outlineLevel="1">
      <c r="A196" s="381">
        <v>1110052010</v>
      </c>
      <c r="B196" s="195"/>
      <c r="C196" s="196" t="s">
        <v>64</v>
      </c>
      <c r="D196" s="1585"/>
      <c r="E196" s="1586"/>
      <c r="F196" s="382"/>
      <c r="G196" s="1260"/>
      <c r="H196" s="1044"/>
      <c r="I196" s="1045"/>
      <c r="J196" s="1451">
        <v>1</v>
      </c>
      <c r="K196" s="1452">
        <v>1</v>
      </c>
      <c r="L196" s="1046"/>
      <c r="M196" s="1595">
        <f t="shared" si="618"/>
        <v>0</v>
      </c>
      <c r="N196" s="386"/>
      <c r="O196" s="1047">
        <f t="shared" si="619"/>
        <v>0</v>
      </c>
      <c r="P196" s="1048"/>
      <c r="Q196" s="1239">
        <f t="shared" si="620"/>
        <v>0</v>
      </c>
      <c r="R196" s="389"/>
      <c r="S196" s="389"/>
      <c r="T196" s="390">
        <f t="shared" si="621"/>
        <v>0</v>
      </c>
      <c r="U196" s="60">
        <f t="shared" si="622"/>
        <v>0</v>
      </c>
      <c r="V196" s="529">
        <f t="shared" si="623"/>
        <v>0</v>
      </c>
      <c r="W196" s="1049">
        <f t="shared" si="624"/>
        <v>0</v>
      </c>
      <c r="X196" s="1050">
        <f t="shared" si="625"/>
        <v>0</v>
      </c>
      <c r="Y196" s="92"/>
      <c r="Z196" s="1055"/>
      <c r="AA196" s="53"/>
      <c r="AB196" s="507"/>
      <c r="AC196" s="507"/>
      <c r="AD196" s="507"/>
      <c r="AE196" s="507"/>
      <c r="AF196" s="506"/>
      <c r="AG196" s="506"/>
      <c r="AH196" s="506"/>
      <c r="AI196" s="506"/>
      <c r="AJ196" s="506"/>
      <c r="AK196" s="506"/>
      <c r="AL196" s="1561"/>
      <c r="AM196" s="506"/>
      <c r="AN196" s="506"/>
      <c r="AO196" s="506"/>
      <c r="AP196" s="506"/>
      <c r="AQ196" s="506"/>
      <c r="AR196" s="506"/>
      <c r="AS196" s="506"/>
      <c r="AT196" s="506"/>
      <c r="AU196" s="506"/>
      <c r="AV196" s="506"/>
      <c r="AW196" s="506"/>
      <c r="AX196" s="506"/>
      <c r="AY196" s="506"/>
      <c r="AZ196" s="520"/>
      <c r="BA196" s="506"/>
      <c r="BB196" s="506"/>
      <c r="BC196" s="506"/>
      <c r="BD196" s="595"/>
      <c r="BE196" s="595"/>
      <c r="BF196" s="595"/>
      <c r="BG196" s="506"/>
      <c r="BH196" s="506"/>
      <c r="BI196" s="506"/>
      <c r="BJ196" s="506"/>
      <c r="BK196" s="506"/>
      <c r="BL196" s="506"/>
      <c r="BM196" s="506"/>
      <c r="BN196" s="506"/>
      <c r="BO196" s="506"/>
      <c r="BP196" s="520">
        <f>+Q196</f>
        <v>0</v>
      </c>
      <c r="BQ196" s="506"/>
      <c r="BR196" s="506"/>
      <c r="BS196" s="506"/>
      <c r="BT196" s="506"/>
      <c r="BU196" s="506"/>
      <c r="BV196" s="506"/>
      <c r="BW196" s="506"/>
      <c r="BX196" s="506"/>
      <c r="BY196" s="506"/>
      <c r="BZ196" s="506"/>
      <c r="CA196" s="506"/>
      <c r="CB196" s="506"/>
      <c r="CC196" s="506"/>
      <c r="CD196" s="506"/>
      <c r="CE196" s="506"/>
      <c r="CF196" s="506"/>
      <c r="CG196" s="506"/>
      <c r="CH196" s="506"/>
      <c r="CI196" s="506"/>
      <c r="CJ196" s="506"/>
      <c r="CK196" s="506"/>
      <c r="CL196" s="506"/>
      <c r="CM196" s="506"/>
      <c r="CN196" s="506"/>
      <c r="CO196" s="506"/>
      <c r="CP196" s="506"/>
      <c r="CQ196" s="506"/>
      <c r="CR196" s="506"/>
      <c r="CS196" s="506"/>
      <c r="CT196" s="506"/>
      <c r="CU196" s="506"/>
      <c r="CV196" s="506"/>
      <c r="CW196" s="506"/>
      <c r="CX196" s="506"/>
      <c r="CY196" s="506"/>
      <c r="CZ196" s="506"/>
      <c r="DA196" s="506"/>
      <c r="DB196" s="506"/>
      <c r="DC196" s="506"/>
      <c r="DD196" s="506"/>
      <c r="DE196" s="506"/>
      <c r="DF196" s="506"/>
      <c r="DG196" s="506"/>
      <c r="DH196" s="506"/>
      <c r="DI196" s="506"/>
      <c r="DJ196" s="506"/>
      <c r="DK196" s="506"/>
      <c r="DL196" s="506"/>
      <c r="DM196" s="506"/>
      <c r="DN196" s="506"/>
      <c r="DO196" s="506"/>
      <c r="DP196" s="506"/>
    </row>
    <row r="197" spans="1:120" hidden="1" outlineLevel="1">
      <c r="A197" s="381">
        <v>1110052010</v>
      </c>
      <c r="B197" s="195"/>
      <c r="C197" s="196" t="s">
        <v>64</v>
      </c>
      <c r="D197" s="1585"/>
      <c r="E197" s="1586"/>
      <c r="F197" s="382"/>
      <c r="G197" s="1260"/>
      <c r="H197" s="1044"/>
      <c r="I197" s="1045"/>
      <c r="J197" s="1451">
        <v>1</v>
      </c>
      <c r="K197" s="1452">
        <v>1</v>
      </c>
      <c r="L197" s="1046"/>
      <c r="M197" s="1595">
        <f t="shared" si="567"/>
        <v>0</v>
      </c>
      <c r="N197" s="386"/>
      <c r="O197" s="1047">
        <f t="shared" si="566"/>
        <v>0</v>
      </c>
      <c r="P197" s="1048"/>
      <c r="Q197" s="1239">
        <f t="shared" si="576"/>
        <v>0</v>
      </c>
      <c r="R197" s="389"/>
      <c r="S197" s="389"/>
      <c r="T197" s="390">
        <f t="shared" si="559"/>
        <v>0</v>
      </c>
      <c r="U197" s="60">
        <f t="shared" si="560"/>
        <v>0</v>
      </c>
      <c r="V197" s="529">
        <f t="shared" si="561"/>
        <v>0</v>
      </c>
      <c r="W197" s="1049">
        <f t="shared" si="562"/>
        <v>0</v>
      </c>
      <c r="X197" s="1050">
        <f t="shared" si="563"/>
        <v>0</v>
      </c>
      <c r="Y197" s="92"/>
      <c r="Z197" s="1055"/>
      <c r="AA197" s="53"/>
      <c r="AB197" s="507"/>
      <c r="AC197" s="507"/>
      <c r="AD197" s="507"/>
      <c r="AE197" s="507"/>
      <c r="AF197" s="506"/>
      <c r="AG197" s="506"/>
      <c r="AH197" s="506"/>
      <c r="AI197" s="506"/>
      <c r="AJ197" s="506"/>
      <c r="AK197" s="506"/>
      <c r="AL197" s="1561"/>
      <c r="AM197" s="506"/>
      <c r="AN197" s="506"/>
      <c r="AO197" s="506"/>
      <c r="AP197" s="506"/>
      <c r="AQ197" s="506"/>
      <c r="AR197" s="506"/>
      <c r="AS197" s="506"/>
      <c r="AT197" s="506"/>
      <c r="AU197" s="506"/>
      <c r="AV197" s="506"/>
      <c r="AW197" s="506"/>
      <c r="AX197" s="506"/>
      <c r="AY197" s="506"/>
      <c r="AZ197" s="520"/>
      <c r="BA197" s="506"/>
      <c r="BB197" s="506"/>
      <c r="BC197" s="506"/>
      <c r="BD197" s="595"/>
      <c r="BE197" s="595"/>
      <c r="BF197" s="595"/>
      <c r="BG197" s="506"/>
      <c r="BH197" s="506"/>
      <c r="BI197" s="506"/>
      <c r="BJ197" s="506"/>
      <c r="BK197" s="506"/>
      <c r="BL197" s="506"/>
      <c r="BM197" s="506"/>
      <c r="BN197" s="506"/>
      <c r="BO197" s="506"/>
      <c r="BP197" s="506"/>
      <c r="BQ197" s="520">
        <f>+Q197</f>
        <v>0</v>
      </c>
      <c r="BR197" s="506"/>
      <c r="BS197" s="506"/>
      <c r="BT197" s="506"/>
      <c r="BU197" s="506"/>
      <c r="BV197" s="506"/>
      <c r="BW197" s="506"/>
      <c r="BX197" s="506"/>
      <c r="BY197" s="506"/>
      <c r="BZ197" s="506"/>
      <c r="CA197" s="506"/>
      <c r="CB197" s="506"/>
      <c r="CC197" s="506"/>
      <c r="CD197" s="506"/>
      <c r="CE197" s="506"/>
      <c r="CF197" s="506"/>
      <c r="CG197" s="506"/>
      <c r="CH197" s="506"/>
      <c r="CI197" s="506"/>
      <c r="CJ197" s="506"/>
      <c r="CK197" s="506"/>
      <c r="CL197" s="506"/>
      <c r="CM197" s="506"/>
      <c r="CN197" s="506"/>
      <c r="CO197" s="506"/>
      <c r="CP197" s="506"/>
      <c r="CQ197" s="506"/>
      <c r="CR197" s="506"/>
      <c r="CS197" s="506"/>
      <c r="CT197" s="506"/>
      <c r="CU197" s="506"/>
      <c r="CV197" s="506"/>
      <c r="CW197" s="506"/>
      <c r="CX197" s="506"/>
      <c r="CY197" s="506"/>
      <c r="CZ197" s="506"/>
      <c r="DA197" s="506"/>
      <c r="DB197" s="506"/>
      <c r="DC197" s="506"/>
      <c r="DD197" s="506"/>
      <c r="DE197" s="506"/>
      <c r="DF197" s="506"/>
      <c r="DG197" s="506"/>
      <c r="DH197" s="506"/>
      <c r="DI197" s="506"/>
      <c r="DJ197" s="506"/>
      <c r="DK197" s="506"/>
      <c r="DL197" s="506"/>
      <c r="DM197" s="506"/>
      <c r="DN197" s="506"/>
      <c r="DO197" s="506"/>
      <c r="DP197" s="506"/>
    </row>
    <row r="198" spans="1:120" hidden="1" outlineLevel="1">
      <c r="A198" s="381">
        <v>1110052010</v>
      </c>
      <c r="B198" s="195"/>
      <c r="C198" s="196" t="s">
        <v>64</v>
      </c>
      <c r="D198" s="1585"/>
      <c r="E198" s="1586"/>
      <c r="F198" s="382"/>
      <c r="G198" s="1260"/>
      <c r="H198" s="1044"/>
      <c r="I198" s="1045"/>
      <c r="J198" s="1451">
        <v>1</v>
      </c>
      <c r="K198" s="1452">
        <v>1</v>
      </c>
      <c r="L198" s="1046"/>
      <c r="M198" s="1595">
        <f t="shared" ref="M198:M199" si="626">+L198*J198</f>
        <v>0</v>
      </c>
      <c r="N198" s="386"/>
      <c r="O198" s="1047">
        <f t="shared" ref="O198:O199" si="627">+L198*N198</f>
        <v>0</v>
      </c>
      <c r="P198" s="1048"/>
      <c r="Q198" s="1239">
        <f t="shared" ref="Q198:Q199" si="628">+P198*K198</f>
        <v>0</v>
      </c>
      <c r="R198" s="389"/>
      <c r="S198" s="389"/>
      <c r="T198" s="390">
        <f t="shared" ref="T198:T199" si="629">+P198*S198</f>
        <v>0</v>
      </c>
      <c r="U198" s="60">
        <f t="shared" ref="U198:U199" si="630">+L198+P198+F198</f>
        <v>0</v>
      </c>
      <c r="V198" s="529">
        <f t="shared" ref="V198:V199" si="631">+P198*R198+L198*N198+F198*H198</f>
        <v>0</v>
      </c>
      <c r="W198" s="1049">
        <f t="shared" ref="W198:W199" si="632">(IF(R198&gt;S198,(-P198*R198)-(-P198*S198),0))</f>
        <v>0</v>
      </c>
      <c r="X198" s="1050">
        <f t="shared" ref="X198:X199" si="633">(IF(R198&lt;S198,(-P198*R198)-(-P198*S198),0))</f>
        <v>0</v>
      </c>
      <c r="Y198" s="92"/>
      <c r="Z198" s="1055"/>
      <c r="AA198" s="53"/>
      <c r="AB198" s="507"/>
      <c r="AC198" s="507"/>
      <c r="AD198" s="507"/>
      <c r="AE198" s="507"/>
      <c r="AF198" s="506"/>
      <c r="AG198" s="506"/>
      <c r="AH198" s="506"/>
      <c r="AI198" s="506"/>
      <c r="AJ198" s="506"/>
      <c r="AK198" s="506"/>
      <c r="AL198" s="1561"/>
      <c r="AM198" s="506"/>
      <c r="AN198" s="506"/>
      <c r="AO198" s="506"/>
      <c r="AP198" s="506"/>
      <c r="AQ198" s="506"/>
      <c r="AR198" s="506"/>
      <c r="AS198" s="506"/>
      <c r="AT198" s="506"/>
      <c r="AU198" s="506"/>
      <c r="AV198" s="506"/>
      <c r="AW198" s="506"/>
      <c r="AX198" s="506"/>
      <c r="AY198" s="506"/>
      <c r="AZ198" s="520"/>
      <c r="BA198" s="506"/>
      <c r="BB198" s="506"/>
      <c r="BC198" s="506"/>
      <c r="BD198" s="595"/>
      <c r="BE198" s="595"/>
      <c r="BF198" s="595"/>
      <c r="BG198" s="506"/>
      <c r="BH198" s="506"/>
      <c r="BI198" s="506"/>
      <c r="BJ198" s="506"/>
      <c r="BK198" s="506"/>
      <c r="BL198" s="506"/>
      <c r="BM198" s="506"/>
      <c r="BN198" s="506"/>
      <c r="BO198" s="506"/>
      <c r="BP198" s="506"/>
      <c r="BQ198" s="506"/>
      <c r="BR198" s="506"/>
      <c r="BS198" s="520">
        <f>+Q198</f>
        <v>0</v>
      </c>
      <c r="BT198" s="506"/>
      <c r="BU198" s="506"/>
      <c r="BV198" s="506"/>
      <c r="BW198" s="506"/>
      <c r="BX198" s="506"/>
      <c r="BY198" s="506"/>
      <c r="BZ198" s="506"/>
      <c r="CA198" s="506"/>
      <c r="CB198" s="506"/>
      <c r="CC198" s="506"/>
      <c r="CD198" s="506"/>
      <c r="CE198" s="506"/>
      <c r="CF198" s="506"/>
      <c r="CG198" s="506"/>
      <c r="CH198" s="506"/>
      <c r="CI198" s="506"/>
      <c r="CJ198" s="506"/>
      <c r="CK198" s="506"/>
      <c r="CL198" s="506"/>
      <c r="CM198" s="506"/>
      <c r="CN198" s="506"/>
      <c r="CO198" s="506"/>
      <c r="CP198" s="506"/>
      <c r="CQ198" s="506"/>
      <c r="CR198" s="506"/>
      <c r="CS198" s="506"/>
      <c r="CT198" s="506"/>
      <c r="CU198" s="506"/>
      <c r="CV198" s="506"/>
      <c r="CW198" s="506"/>
      <c r="CX198" s="506"/>
      <c r="CY198" s="506"/>
      <c r="CZ198" s="506"/>
      <c r="DA198" s="506"/>
      <c r="DB198" s="506"/>
      <c r="DC198" s="506"/>
      <c r="DD198" s="506"/>
      <c r="DE198" s="506"/>
      <c r="DF198" s="506"/>
      <c r="DG198" s="506"/>
      <c r="DH198" s="506"/>
      <c r="DI198" s="506"/>
      <c r="DJ198" s="506"/>
      <c r="DK198" s="506"/>
      <c r="DL198" s="506"/>
      <c r="DM198" s="506"/>
      <c r="DN198" s="506"/>
      <c r="DO198" s="506"/>
      <c r="DP198" s="506"/>
    </row>
    <row r="199" spans="1:120" hidden="1" outlineLevel="1">
      <c r="A199" s="381">
        <v>1110052010</v>
      </c>
      <c r="B199" s="195"/>
      <c r="C199" s="196" t="s">
        <v>64</v>
      </c>
      <c r="D199" s="1585"/>
      <c r="E199" s="1586"/>
      <c r="F199" s="382"/>
      <c r="G199" s="1260"/>
      <c r="H199" s="1044"/>
      <c r="I199" s="1045"/>
      <c r="J199" s="1451">
        <v>1</v>
      </c>
      <c r="K199" s="1452">
        <v>1</v>
      </c>
      <c r="L199" s="1046"/>
      <c r="M199" s="1595">
        <f t="shared" si="626"/>
        <v>0</v>
      </c>
      <c r="N199" s="386"/>
      <c r="O199" s="1047">
        <f t="shared" si="627"/>
        <v>0</v>
      </c>
      <c r="P199" s="1048"/>
      <c r="Q199" s="1239">
        <f t="shared" si="628"/>
        <v>0</v>
      </c>
      <c r="R199" s="389"/>
      <c r="S199" s="389"/>
      <c r="T199" s="390">
        <f t="shared" si="629"/>
        <v>0</v>
      </c>
      <c r="U199" s="60">
        <f t="shared" si="630"/>
        <v>0</v>
      </c>
      <c r="V199" s="529">
        <f t="shared" si="631"/>
        <v>0</v>
      </c>
      <c r="W199" s="1049">
        <f t="shared" si="632"/>
        <v>0</v>
      </c>
      <c r="X199" s="1050">
        <f t="shared" si="633"/>
        <v>0</v>
      </c>
      <c r="Y199" s="92"/>
      <c r="Z199" s="1055"/>
      <c r="AA199" s="53"/>
      <c r="AB199" s="507"/>
      <c r="AC199" s="507"/>
      <c r="AD199" s="507"/>
      <c r="AE199" s="507"/>
      <c r="AF199" s="506"/>
      <c r="AG199" s="506"/>
      <c r="AH199" s="506"/>
      <c r="AI199" s="506"/>
      <c r="AJ199" s="506"/>
      <c r="AK199" s="506"/>
      <c r="AL199" s="1561"/>
      <c r="AM199" s="506"/>
      <c r="AN199" s="506"/>
      <c r="AO199" s="506"/>
      <c r="AP199" s="506"/>
      <c r="AQ199" s="506"/>
      <c r="AR199" s="506"/>
      <c r="AS199" s="506"/>
      <c r="AT199" s="506"/>
      <c r="AU199" s="506"/>
      <c r="AV199" s="506"/>
      <c r="AW199" s="506"/>
      <c r="AX199" s="506"/>
      <c r="AY199" s="506"/>
      <c r="AZ199" s="520"/>
      <c r="BA199" s="506"/>
      <c r="BB199" s="506"/>
      <c r="BC199" s="506"/>
      <c r="BD199" s="595"/>
      <c r="BE199" s="595"/>
      <c r="BF199" s="595"/>
      <c r="BG199" s="506"/>
      <c r="BH199" s="506"/>
      <c r="BI199" s="506"/>
      <c r="BJ199" s="506"/>
      <c r="BK199" s="506"/>
      <c r="BL199" s="506"/>
      <c r="BM199" s="506"/>
      <c r="BN199" s="506"/>
      <c r="BO199" s="506"/>
      <c r="BP199" s="506"/>
      <c r="BQ199" s="506"/>
      <c r="BR199" s="506"/>
      <c r="BS199" s="506"/>
      <c r="BT199" s="520">
        <f>+Q199</f>
        <v>0</v>
      </c>
      <c r="BU199" s="506"/>
      <c r="BV199" s="506"/>
      <c r="BW199" s="506"/>
      <c r="BX199" s="506"/>
      <c r="BY199" s="506"/>
      <c r="BZ199" s="506"/>
      <c r="CA199" s="506"/>
      <c r="CB199" s="506"/>
      <c r="CC199" s="506"/>
      <c r="CD199" s="506"/>
      <c r="CE199" s="506"/>
      <c r="CF199" s="506"/>
      <c r="CG199" s="506"/>
      <c r="CH199" s="506"/>
      <c r="CI199" s="506"/>
      <c r="CJ199" s="506"/>
      <c r="CK199" s="506"/>
      <c r="CL199" s="506"/>
      <c r="CM199" s="506"/>
      <c r="CN199" s="506"/>
      <c r="CO199" s="506"/>
      <c r="CP199" s="506"/>
      <c r="CQ199" s="506"/>
      <c r="CR199" s="506"/>
      <c r="CS199" s="506"/>
      <c r="CT199" s="506"/>
      <c r="CU199" s="506"/>
      <c r="CV199" s="506"/>
      <c r="CW199" s="506"/>
      <c r="CX199" s="506"/>
      <c r="CY199" s="506"/>
      <c r="CZ199" s="506"/>
      <c r="DA199" s="506"/>
      <c r="DB199" s="506"/>
      <c r="DC199" s="506"/>
      <c r="DD199" s="506"/>
      <c r="DE199" s="506"/>
      <c r="DF199" s="506"/>
      <c r="DG199" s="506"/>
      <c r="DH199" s="506"/>
      <c r="DI199" s="506"/>
      <c r="DJ199" s="506"/>
      <c r="DK199" s="506"/>
      <c r="DL199" s="506"/>
      <c r="DM199" s="506"/>
      <c r="DN199" s="506"/>
      <c r="DO199" s="506"/>
      <c r="DP199" s="506"/>
    </row>
    <row r="200" spans="1:120" hidden="1" outlineLevel="1">
      <c r="A200" s="381">
        <v>1110052010</v>
      </c>
      <c r="B200" s="195"/>
      <c r="C200" s="196" t="s">
        <v>64</v>
      </c>
      <c r="D200" s="1585"/>
      <c r="E200" s="1586"/>
      <c r="F200" s="382"/>
      <c r="G200" s="1260"/>
      <c r="H200" s="1044"/>
      <c r="I200" s="1045"/>
      <c r="J200" s="1451">
        <v>1</v>
      </c>
      <c r="K200" s="1452">
        <v>1</v>
      </c>
      <c r="L200" s="1046"/>
      <c r="M200" s="1595">
        <f t="shared" ref="M200" si="634">+L200*J200</f>
        <v>0</v>
      </c>
      <c r="N200" s="386"/>
      <c r="O200" s="1047">
        <f t="shared" ref="O200" si="635">+L200*N200</f>
        <v>0</v>
      </c>
      <c r="P200" s="1048"/>
      <c r="Q200" s="1239">
        <f t="shared" ref="Q200" si="636">+P200*K200</f>
        <v>0</v>
      </c>
      <c r="R200" s="389"/>
      <c r="S200" s="389"/>
      <c r="T200" s="390">
        <f t="shared" ref="T200" si="637">+P200*S200</f>
        <v>0</v>
      </c>
      <c r="U200" s="60">
        <f t="shared" ref="U200" si="638">+L200+P200+F200</f>
        <v>0</v>
      </c>
      <c r="V200" s="529">
        <f t="shared" ref="V200" si="639">+P200*R200+L200*N200+F200*H200</f>
        <v>0</v>
      </c>
      <c r="W200" s="1049">
        <f t="shared" ref="W200" si="640">(IF(R200&gt;S200,(-P200*R200)-(-P200*S200),0))</f>
        <v>0</v>
      </c>
      <c r="X200" s="1050">
        <f t="shared" ref="X200" si="641">(IF(R200&lt;S200,(-P200*R200)-(-P200*S200),0))</f>
        <v>0</v>
      </c>
      <c r="Y200" s="92"/>
      <c r="Z200" s="1055"/>
      <c r="AA200" s="53"/>
      <c r="AB200" s="507"/>
      <c r="AC200" s="507"/>
      <c r="AD200" s="507"/>
      <c r="AE200" s="507"/>
      <c r="AF200" s="506"/>
      <c r="AG200" s="506"/>
      <c r="AH200" s="506"/>
      <c r="AI200" s="506"/>
      <c r="AJ200" s="506"/>
      <c r="AK200" s="506"/>
      <c r="AL200" s="1561"/>
      <c r="AM200" s="506"/>
      <c r="AN200" s="506"/>
      <c r="AO200" s="506"/>
      <c r="AP200" s="506"/>
      <c r="AQ200" s="506"/>
      <c r="AR200" s="506"/>
      <c r="AS200" s="506"/>
      <c r="AT200" s="506"/>
      <c r="AU200" s="506"/>
      <c r="AV200" s="506"/>
      <c r="AW200" s="506"/>
      <c r="AX200" s="506"/>
      <c r="AY200" s="506"/>
      <c r="AZ200" s="520"/>
      <c r="BA200" s="506"/>
      <c r="BB200" s="506"/>
      <c r="BC200" s="506"/>
      <c r="BD200" s="595"/>
      <c r="BE200" s="595"/>
      <c r="BF200" s="595"/>
      <c r="BG200" s="506"/>
      <c r="BH200" s="506"/>
      <c r="BI200" s="506"/>
      <c r="BJ200" s="506"/>
      <c r="BK200" s="506"/>
      <c r="BL200" s="506"/>
      <c r="BM200" s="506"/>
      <c r="BN200" s="506"/>
      <c r="BO200" s="506"/>
      <c r="BP200" s="506"/>
      <c r="BQ200" s="506"/>
      <c r="BR200" s="506"/>
      <c r="BS200" s="506"/>
      <c r="BT200" s="506"/>
      <c r="BU200" s="520">
        <f>+Q200</f>
        <v>0</v>
      </c>
      <c r="BV200" s="506"/>
      <c r="BW200" s="506"/>
      <c r="BX200" s="506"/>
      <c r="BY200" s="506"/>
      <c r="BZ200" s="506"/>
      <c r="CA200" s="506"/>
      <c r="CB200" s="506"/>
      <c r="CC200" s="506"/>
      <c r="CD200" s="506"/>
      <c r="CE200" s="506"/>
      <c r="CF200" s="506"/>
      <c r="CG200" s="506"/>
      <c r="CH200" s="506"/>
      <c r="CI200" s="506"/>
      <c r="CJ200" s="506"/>
      <c r="CK200" s="506"/>
      <c r="CL200" s="506"/>
      <c r="CM200" s="506"/>
      <c r="CN200" s="506"/>
      <c r="CO200" s="506"/>
      <c r="CP200" s="506"/>
      <c r="CQ200" s="506"/>
      <c r="CR200" s="506"/>
      <c r="CS200" s="506"/>
      <c r="CT200" s="506"/>
      <c r="CU200" s="506"/>
      <c r="CV200" s="506"/>
      <c r="CW200" s="506"/>
      <c r="CX200" s="506"/>
      <c r="CY200" s="506"/>
      <c r="CZ200" s="506"/>
      <c r="DA200" s="506"/>
      <c r="DB200" s="506"/>
      <c r="DC200" s="506"/>
      <c r="DD200" s="506"/>
      <c r="DE200" s="506"/>
      <c r="DF200" s="506"/>
      <c r="DG200" s="506"/>
      <c r="DH200" s="506"/>
      <c r="DI200" s="506"/>
      <c r="DJ200" s="506"/>
      <c r="DK200" s="506"/>
      <c r="DL200" s="506"/>
      <c r="DM200" s="506"/>
      <c r="DN200" s="506"/>
      <c r="DO200" s="506"/>
      <c r="DP200" s="506"/>
    </row>
    <row r="201" spans="1:120" hidden="1" outlineLevel="1">
      <c r="A201" s="89">
        <v>1110052010</v>
      </c>
      <c r="B201" s="90"/>
      <c r="C201" s="91" t="s">
        <v>64</v>
      </c>
      <c r="D201" s="1481"/>
      <c r="E201" s="1482"/>
      <c r="F201" s="420"/>
      <c r="G201" s="1256"/>
      <c r="H201" s="421"/>
      <c r="I201" s="422"/>
      <c r="J201" s="1425">
        <v>1</v>
      </c>
      <c r="K201" s="1426">
        <v>1</v>
      </c>
      <c r="L201" s="1043"/>
      <c r="M201" s="1594">
        <f t="shared" ref="M201:M206" si="642">+L201*J201</f>
        <v>0</v>
      </c>
      <c r="N201" s="415"/>
      <c r="O201" s="424">
        <f t="shared" ref="O201:O206" si="643">+L201*N201</f>
        <v>0</v>
      </c>
      <c r="P201" s="425"/>
      <c r="Q201" s="1340">
        <f t="shared" si="576"/>
        <v>0</v>
      </c>
      <c r="R201" s="426"/>
      <c r="S201" s="426"/>
      <c r="T201" s="427">
        <f t="shared" ref="T201:T206" si="644">+P201*S201</f>
        <v>0</v>
      </c>
      <c r="U201" s="418">
        <f t="shared" ref="U201:U206" si="645">+L201+P201+F201</f>
        <v>0</v>
      </c>
      <c r="V201" s="517">
        <f t="shared" ref="V201:V206" si="646">+P201*R201+L201*N201+F201*H201</f>
        <v>0</v>
      </c>
      <c r="W201" s="428">
        <f t="shared" ref="W201:W206" si="647">(IF(R201&gt;S201,(-P201*R201)-(-P201*S201),0))</f>
        <v>0</v>
      </c>
      <c r="X201" s="429">
        <f t="shared" ref="X201:X206" si="648">(IF(R201&lt;S201,(-P201*R201)-(-P201*S201),0))</f>
        <v>0</v>
      </c>
      <c r="Y201" s="92"/>
      <c r="Z201" s="1055"/>
      <c r="AA201" s="53"/>
      <c r="AB201" s="507"/>
      <c r="AC201" s="507"/>
      <c r="AD201" s="507"/>
      <c r="AE201" s="507"/>
      <c r="AF201" s="506"/>
      <c r="AG201" s="506"/>
      <c r="AH201" s="506"/>
      <c r="AI201" s="506"/>
      <c r="AJ201" s="506"/>
      <c r="AK201" s="506"/>
      <c r="AL201" s="1561"/>
      <c r="AM201" s="506"/>
      <c r="AN201" s="506"/>
      <c r="AO201" s="506"/>
      <c r="AP201" s="506"/>
      <c r="AQ201" s="506"/>
      <c r="AR201" s="506"/>
      <c r="AS201" s="506"/>
      <c r="AT201" s="506"/>
      <c r="AU201" s="506"/>
      <c r="AV201" s="506"/>
      <c r="AW201" s="506"/>
      <c r="AX201" s="506"/>
      <c r="AY201" s="506"/>
      <c r="AZ201" s="506"/>
      <c r="BA201" s="506"/>
      <c r="BB201" s="506"/>
      <c r="BC201" s="506"/>
      <c r="BD201" s="595"/>
      <c r="BE201" s="595"/>
      <c r="BF201" s="595"/>
      <c r="BG201" s="506"/>
      <c r="BH201" s="506"/>
      <c r="BI201" s="506"/>
      <c r="BJ201" s="506"/>
      <c r="BK201" s="506"/>
      <c r="BL201" s="506"/>
      <c r="BM201" s="506"/>
      <c r="BN201" s="506"/>
      <c r="BO201" s="506"/>
      <c r="BP201" s="506"/>
      <c r="BQ201" s="506"/>
      <c r="BR201" s="506"/>
      <c r="BS201" s="506"/>
      <c r="BT201" s="506"/>
      <c r="BU201" s="520">
        <f>+Q201</f>
        <v>0</v>
      </c>
      <c r="BV201" s="506"/>
      <c r="BW201" s="506"/>
      <c r="BX201" s="506"/>
      <c r="BY201" s="506"/>
      <c r="BZ201" s="506"/>
      <c r="CA201" s="506"/>
      <c r="CB201" s="506"/>
      <c r="CC201" s="506"/>
      <c r="CD201" s="506"/>
      <c r="CE201" s="506"/>
      <c r="CF201" s="506"/>
      <c r="CG201" s="506"/>
      <c r="CH201" s="506"/>
      <c r="CI201" s="506"/>
      <c r="CJ201" s="506"/>
      <c r="CK201" s="506"/>
      <c r="CL201" s="506"/>
      <c r="CM201" s="506"/>
      <c r="CN201" s="506"/>
      <c r="CO201" s="506"/>
      <c r="CP201" s="506"/>
      <c r="CQ201" s="506"/>
      <c r="CR201" s="506"/>
      <c r="CS201" s="506"/>
      <c r="CT201" s="506"/>
      <c r="CU201" s="506"/>
      <c r="CV201" s="506"/>
      <c r="CW201" s="506"/>
      <c r="CX201" s="506"/>
      <c r="CY201" s="506"/>
      <c r="CZ201" s="506"/>
      <c r="DA201" s="506"/>
      <c r="DB201" s="506"/>
      <c r="DC201" s="506"/>
      <c r="DD201" s="506"/>
      <c r="DE201" s="506"/>
      <c r="DF201" s="506"/>
      <c r="DG201" s="506"/>
      <c r="DH201" s="506"/>
      <c r="DI201" s="506"/>
      <c r="DJ201" s="506"/>
      <c r="DK201" s="506"/>
      <c r="DL201" s="506"/>
      <c r="DM201" s="506"/>
      <c r="DN201" s="506"/>
      <c r="DO201" s="506"/>
      <c r="DP201" s="506"/>
    </row>
    <row r="202" spans="1:120" hidden="1" outlineLevel="1">
      <c r="A202" s="89">
        <v>1110052010</v>
      </c>
      <c r="B202" s="90"/>
      <c r="C202" s="91" t="s">
        <v>64</v>
      </c>
      <c r="D202" s="1481"/>
      <c r="E202" s="1482"/>
      <c r="F202" s="420"/>
      <c r="G202" s="1256"/>
      <c r="H202" s="421"/>
      <c r="I202" s="422"/>
      <c r="J202" s="1425">
        <v>1</v>
      </c>
      <c r="K202" s="1426">
        <v>1</v>
      </c>
      <c r="L202" s="1043"/>
      <c r="M202" s="1594">
        <f t="shared" si="642"/>
        <v>0</v>
      </c>
      <c r="N202" s="415"/>
      <c r="O202" s="424">
        <f t="shared" si="643"/>
        <v>0</v>
      </c>
      <c r="P202" s="425"/>
      <c r="Q202" s="1340">
        <f t="shared" si="576"/>
        <v>0</v>
      </c>
      <c r="R202" s="426"/>
      <c r="S202" s="426"/>
      <c r="T202" s="427">
        <f t="shared" si="644"/>
        <v>0</v>
      </c>
      <c r="U202" s="418">
        <f t="shared" si="645"/>
        <v>0</v>
      </c>
      <c r="V202" s="517">
        <f t="shared" si="646"/>
        <v>0</v>
      </c>
      <c r="W202" s="428">
        <f t="shared" si="647"/>
        <v>0</v>
      </c>
      <c r="X202" s="429">
        <f t="shared" si="648"/>
        <v>0</v>
      </c>
      <c r="Y202" s="92"/>
      <c r="Z202" s="1055"/>
      <c r="AA202" s="53"/>
      <c r="AB202" s="507"/>
      <c r="AC202" s="507"/>
      <c r="AD202" s="507"/>
      <c r="AE202" s="507"/>
      <c r="AF202" s="506"/>
      <c r="AG202" s="506"/>
      <c r="AH202" s="506"/>
      <c r="AI202" s="506"/>
      <c r="AJ202" s="506"/>
      <c r="AK202" s="506"/>
      <c r="AL202" s="1561"/>
      <c r="AM202" s="506"/>
      <c r="AN202" s="506"/>
      <c r="AO202" s="506"/>
      <c r="AP202" s="506"/>
      <c r="AQ202" s="506"/>
      <c r="AR202" s="506"/>
      <c r="AS202" s="506"/>
      <c r="AT202" s="506"/>
      <c r="AU202" s="506"/>
      <c r="AV202" s="506"/>
      <c r="AW202" s="506"/>
      <c r="AX202" s="506"/>
      <c r="AY202" s="506"/>
      <c r="AZ202" s="520"/>
      <c r="BA202" s="506"/>
      <c r="BB202" s="506"/>
      <c r="BC202" s="506"/>
      <c r="BD202" s="595"/>
      <c r="BE202" s="595"/>
      <c r="BF202" s="595"/>
      <c r="BG202" s="506"/>
      <c r="BH202" s="506"/>
      <c r="BI202" s="506"/>
      <c r="BJ202" s="506"/>
      <c r="BK202" s="506"/>
      <c r="BL202" s="506"/>
      <c r="BM202" s="506"/>
      <c r="BN202" s="506"/>
      <c r="BO202" s="506"/>
      <c r="BP202" s="506"/>
      <c r="BQ202" s="506"/>
      <c r="BR202" s="506"/>
      <c r="BS202" s="506"/>
      <c r="BT202" s="506"/>
      <c r="BU202" s="520">
        <f>+Q202</f>
        <v>0</v>
      </c>
      <c r="BV202" s="506"/>
      <c r="BW202" s="506"/>
      <c r="BX202" s="506"/>
      <c r="BY202" s="506"/>
      <c r="BZ202" s="506"/>
      <c r="CA202" s="506"/>
      <c r="CB202" s="506"/>
      <c r="CC202" s="506"/>
      <c r="CD202" s="506"/>
      <c r="CE202" s="506"/>
      <c r="CF202" s="506"/>
      <c r="CG202" s="506"/>
      <c r="CH202" s="506"/>
      <c r="CI202" s="506"/>
      <c r="CJ202" s="506"/>
      <c r="CK202" s="506"/>
      <c r="CL202" s="506"/>
      <c r="CM202" s="506"/>
      <c r="CN202" s="506"/>
      <c r="CO202" s="506"/>
      <c r="CP202" s="506"/>
      <c r="CQ202" s="506"/>
      <c r="CR202" s="506"/>
      <c r="CS202" s="506"/>
      <c r="CT202" s="506"/>
      <c r="CU202" s="506"/>
      <c r="CV202" s="506"/>
      <c r="CW202" s="506"/>
      <c r="CX202" s="506"/>
      <c r="CY202" s="506"/>
      <c r="CZ202" s="506"/>
      <c r="DA202" s="506"/>
      <c r="DB202" s="506"/>
      <c r="DC202" s="506"/>
      <c r="DD202" s="506"/>
      <c r="DE202" s="506"/>
      <c r="DF202" s="506"/>
      <c r="DG202" s="506"/>
      <c r="DH202" s="506"/>
      <c r="DI202" s="506"/>
      <c r="DJ202" s="506"/>
      <c r="DK202" s="506"/>
      <c r="DL202" s="506"/>
      <c r="DM202" s="506"/>
      <c r="DN202" s="506"/>
      <c r="DO202" s="506"/>
      <c r="DP202" s="506"/>
    </row>
    <row r="203" spans="1:120" hidden="1" outlineLevel="1">
      <c r="A203" s="89">
        <v>1110052010</v>
      </c>
      <c r="B203" s="90"/>
      <c r="C203" s="91" t="s">
        <v>64</v>
      </c>
      <c r="D203" s="1481"/>
      <c r="E203" s="1482"/>
      <c r="F203" s="420"/>
      <c r="G203" s="1256"/>
      <c r="H203" s="421"/>
      <c r="I203" s="422"/>
      <c r="J203" s="1425">
        <v>1</v>
      </c>
      <c r="K203" s="1426">
        <v>1</v>
      </c>
      <c r="L203" s="1043"/>
      <c r="M203" s="1594">
        <f t="shared" si="642"/>
        <v>0</v>
      </c>
      <c r="N203" s="415"/>
      <c r="O203" s="424">
        <f t="shared" si="643"/>
        <v>0</v>
      </c>
      <c r="P203" s="425"/>
      <c r="Q203" s="1340">
        <f t="shared" si="576"/>
        <v>0</v>
      </c>
      <c r="R203" s="426"/>
      <c r="S203" s="426"/>
      <c r="T203" s="427">
        <f t="shared" si="644"/>
        <v>0</v>
      </c>
      <c r="U203" s="418">
        <f t="shared" si="645"/>
        <v>0</v>
      </c>
      <c r="V203" s="517">
        <f t="shared" si="646"/>
        <v>0</v>
      </c>
      <c r="W203" s="428">
        <f t="shared" si="647"/>
        <v>0</v>
      </c>
      <c r="X203" s="429">
        <f t="shared" si="648"/>
        <v>0</v>
      </c>
      <c r="Y203" s="92"/>
      <c r="Z203" s="1055"/>
      <c r="AA203" s="53"/>
      <c r="AB203" s="507"/>
      <c r="AC203" s="507"/>
      <c r="AD203" s="507"/>
      <c r="AE203" s="507"/>
      <c r="AF203" s="506"/>
      <c r="AG203" s="506"/>
      <c r="AH203" s="506"/>
      <c r="AI203" s="506"/>
      <c r="AJ203" s="506"/>
      <c r="AK203" s="506"/>
      <c r="AL203" s="1561"/>
      <c r="AM203" s="506"/>
      <c r="AN203" s="506"/>
      <c r="AO203" s="506"/>
      <c r="AP203" s="506"/>
      <c r="AQ203" s="506"/>
      <c r="AR203" s="506"/>
      <c r="AS203" s="506"/>
      <c r="AT203" s="506"/>
      <c r="AU203" s="506"/>
      <c r="AV203" s="506"/>
      <c r="AW203" s="506"/>
      <c r="AX203" s="506"/>
      <c r="AY203" s="506"/>
      <c r="AZ203" s="520"/>
      <c r="BA203" s="506"/>
      <c r="BB203" s="506"/>
      <c r="BC203" s="506"/>
      <c r="BD203" s="595"/>
      <c r="BE203" s="595"/>
      <c r="BF203" s="595"/>
      <c r="BG203" s="506"/>
      <c r="BH203" s="506"/>
      <c r="BI203" s="506"/>
      <c r="BJ203" s="506"/>
      <c r="BK203" s="506"/>
      <c r="BL203" s="506"/>
      <c r="BM203" s="506"/>
      <c r="BN203" s="506"/>
      <c r="BO203" s="506"/>
      <c r="BP203" s="506"/>
      <c r="BQ203" s="506"/>
      <c r="BR203" s="506"/>
      <c r="BS203" s="506"/>
      <c r="BT203" s="506"/>
      <c r="BU203" s="506"/>
      <c r="BV203" s="506"/>
      <c r="BW203" s="506"/>
      <c r="BX203" s="506"/>
      <c r="BY203" s="520">
        <f>+M203</f>
        <v>0</v>
      </c>
      <c r="BZ203" s="506"/>
      <c r="CA203" s="506"/>
      <c r="CB203" s="506"/>
      <c r="CC203" s="506"/>
      <c r="CD203" s="506"/>
      <c r="CE203" s="506"/>
      <c r="CF203" s="506"/>
      <c r="CG203" s="506"/>
      <c r="CH203" s="506"/>
      <c r="CI203" s="506"/>
      <c r="CJ203" s="506"/>
      <c r="CK203" s="506"/>
      <c r="CL203" s="506"/>
      <c r="CM203" s="506"/>
      <c r="CN203" s="506"/>
      <c r="CO203" s="506"/>
      <c r="CP203" s="506"/>
      <c r="CQ203" s="506"/>
      <c r="CR203" s="506"/>
      <c r="CS203" s="506"/>
      <c r="CT203" s="506"/>
      <c r="CU203" s="506"/>
      <c r="CV203" s="506"/>
      <c r="CW203" s="506"/>
      <c r="CX203" s="506"/>
      <c r="CY203" s="506"/>
      <c r="CZ203" s="506"/>
      <c r="DA203" s="506"/>
      <c r="DB203" s="506"/>
      <c r="DC203" s="506"/>
      <c r="DD203" s="506"/>
      <c r="DE203" s="506"/>
      <c r="DF203" s="506"/>
      <c r="DG203" s="506"/>
      <c r="DH203" s="506"/>
      <c r="DI203" s="506"/>
      <c r="DJ203" s="506"/>
      <c r="DK203" s="506"/>
      <c r="DL203" s="506"/>
      <c r="DM203" s="506"/>
      <c r="DN203" s="506"/>
      <c r="DO203" s="506"/>
      <c r="DP203" s="506"/>
    </row>
    <row r="204" spans="1:120" ht="0.75" customHeight="1" outlineLevel="1">
      <c r="A204" s="89">
        <v>1110052010</v>
      </c>
      <c r="B204" s="90"/>
      <c r="C204" s="91" t="s">
        <v>64</v>
      </c>
      <c r="D204" s="1481"/>
      <c r="E204" s="1482"/>
      <c r="F204" s="420"/>
      <c r="G204" s="1256"/>
      <c r="H204" s="421"/>
      <c r="I204" s="422"/>
      <c r="J204" s="1425">
        <v>1</v>
      </c>
      <c r="K204" s="1426">
        <v>1</v>
      </c>
      <c r="L204" s="1043"/>
      <c r="M204" s="1594">
        <f t="shared" si="642"/>
        <v>0</v>
      </c>
      <c r="N204" s="415"/>
      <c r="O204" s="424">
        <f t="shared" si="643"/>
        <v>0</v>
      </c>
      <c r="P204" s="425"/>
      <c r="Q204" s="1340">
        <f t="shared" si="576"/>
        <v>0</v>
      </c>
      <c r="R204" s="426"/>
      <c r="S204" s="426"/>
      <c r="T204" s="427">
        <f t="shared" si="644"/>
        <v>0</v>
      </c>
      <c r="U204" s="418">
        <f t="shared" si="645"/>
        <v>0</v>
      </c>
      <c r="V204" s="517">
        <f t="shared" si="646"/>
        <v>0</v>
      </c>
      <c r="W204" s="428">
        <f t="shared" si="647"/>
        <v>0</v>
      </c>
      <c r="X204" s="429">
        <f t="shared" si="648"/>
        <v>0</v>
      </c>
      <c r="Y204" s="92"/>
      <c r="Z204" s="1055"/>
      <c r="AA204" s="53"/>
      <c r="AB204" s="507"/>
      <c r="AC204" s="507"/>
      <c r="AD204" s="507"/>
      <c r="AE204" s="507"/>
      <c r="AF204" s="506"/>
      <c r="AG204" s="506"/>
      <c r="AH204" s="506"/>
      <c r="AI204" s="506"/>
      <c r="AJ204" s="506"/>
      <c r="AK204" s="506"/>
      <c r="AL204" s="1561"/>
      <c r="AM204" s="506"/>
      <c r="AN204" s="506"/>
      <c r="AO204" s="506"/>
      <c r="AP204" s="506"/>
      <c r="AQ204" s="506"/>
      <c r="AR204" s="506"/>
      <c r="AS204" s="506"/>
      <c r="AT204" s="506"/>
      <c r="AU204" s="506"/>
      <c r="AV204" s="506"/>
      <c r="AW204" s="506"/>
      <c r="AX204" s="506"/>
      <c r="AY204" s="506"/>
      <c r="AZ204" s="520"/>
      <c r="BA204" s="506"/>
      <c r="BB204" s="506"/>
      <c r="BC204" s="506"/>
      <c r="BD204" s="595"/>
      <c r="BE204" s="595"/>
      <c r="BF204" s="595"/>
      <c r="BG204" s="506"/>
      <c r="BH204" s="506"/>
      <c r="BI204" s="506"/>
      <c r="BJ204" s="506"/>
      <c r="BK204" s="506"/>
      <c r="BL204" s="506"/>
      <c r="BM204" s="506"/>
      <c r="BN204" s="506"/>
      <c r="BO204" s="506"/>
      <c r="BP204" s="506"/>
      <c r="BQ204" s="506"/>
      <c r="BR204" s="506"/>
      <c r="BS204" s="506"/>
      <c r="BT204" s="506"/>
      <c r="BU204" s="506"/>
      <c r="BV204" s="506"/>
      <c r="BW204" s="506"/>
      <c r="BX204" s="506"/>
      <c r="BY204" s="520">
        <f>+M204</f>
        <v>0</v>
      </c>
      <c r="BZ204" s="506"/>
      <c r="CA204" s="506"/>
      <c r="CB204" s="506"/>
      <c r="CC204" s="506"/>
      <c r="CD204" s="506"/>
      <c r="CE204" s="506"/>
      <c r="CF204" s="506"/>
      <c r="CG204" s="506"/>
      <c r="CH204" s="506"/>
      <c r="CI204" s="506"/>
      <c r="CJ204" s="506"/>
      <c r="CK204" s="506"/>
      <c r="CL204" s="506"/>
      <c r="CM204" s="506"/>
      <c r="CN204" s="506"/>
      <c r="CO204" s="506"/>
      <c r="CP204" s="506"/>
      <c r="CQ204" s="506"/>
      <c r="CR204" s="506"/>
      <c r="CS204" s="506"/>
      <c r="CT204" s="506"/>
      <c r="CU204" s="506"/>
      <c r="CV204" s="506"/>
      <c r="CW204" s="506"/>
      <c r="CX204" s="506"/>
      <c r="CY204" s="506"/>
      <c r="CZ204" s="506"/>
      <c r="DA204" s="506"/>
      <c r="DB204" s="506"/>
      <c r="DC204" s="506"/>
      <c r="DD204" s="506"/>
      <c r="DE204" s="506"/>
      <c r="DF204" s="506"/>
      <c r="DG204" s="506"/>
      <c r="DH204" s="506"/>
      <c r="DI204" s="506"/>
      <c r="DJ204" s="506"/>
      <c r="DK204" s="506"/>
      <c r="DL204" s="506"/>
      <c r="DM204" s="506"/>
      <c r="DN204" s="506"/>
      <c r="DO204" s="506"/>
      <c r="DP204" s="506"/>
    </row>
    <row r="205" spans="1:120" ht="16.5" customHeight="1" outlineLevel="1">
      <c r="A205" s="89">
        <v>1110052010</v>
      </c>
      <c r="B205" s="90"/>
      <c r="C205" s="91" t="s">
        <v>64</v>
      </c>
      <c r="D205" s="1481"/>
      <c r="E205" s="1482"/>
      <c r="F205" s="420"/>
      <c r="G205" s="1256"/>
      <c r="H205" s="421"/>
      <c r="I205" s="422"/>
      <c r="J205" s="1425">
        <v>1</v>
      </c>
      <c r="K205" s="1426">
        <v>1</v>
      </c>
      <c r="L205" s="1043"/>
      <c r="M205" s="1594">
        <f t="shared" si="642"/>
        <v>0</v>
      </c>
      <c r="N205" s="415"/>
      <c r="O205" s="424">
        <f t="shared" si="643"/>
        <v>0</v>
      </c>
      <c r="P205" s="425"/>
      <c r="Q205" s="1340">
        <f t="shared" si="576"/>
        <v>0</v>
      </c>
      <c r="R205" s="426"/>
      <c r="S205" s="426"/>
      <c r="T205" s="427">
        <f t="shared" si="644"/>
        <v>0</v>
      </c>
      <c r="U205" s="418">
        <f t="shared" si="645"/>
        <v>0</v>
      </c>
      <c r="V205" s="517">
        <f t="shared" si="646"/>
        <v>0</v>
      </c>
      <c r="W205" s="428">
        <f t="shared" si="647"/>
        <v>0</v>
      </c>
      <c r="X205" s="429">
        <f t="shared" si="648"/>
        <v>0</v>
      </c>
      <c r="Y205" s="92"/>
      <c r="Z205" s="1055"/>
      <c r="AA205" s="53"/>
      <c r="AB205" s="507"/>
      <c r="AC205" s="507"/>
      <c r="AD205" s="507"/>
      <c r="AE205" s="507"/>
      <c r="AF205" s="506"/>
      <c r="AG205" s="506"/>
      <c r="AH205" s="506"/>
      <c r="AI205" s="506"/>
      <c r="AJ205" s="506"/>
      <c r="AK205" s="506"/>
      <c r="AL205" s="1561"/>
      <c r="AM205" s="506"/>
      <c r="AN205" s="506"/>
      <c r="AO205" s="506"/>
      <c r="AP205" s="506"/>
      <c r="AQ205" s="506"/>
      <c r="AR205" s="506"/>
      <c r="AS205" s="506"/>
      <c r="AT205" s="506"/>
      <c r="AU205" s="506"/>
      <c r="AV205" s="506"/>
      <c r="AW205" s="506"/>
      <c r="AX205" s="506"/>
      <c r="AY205" s="506"/>
      <c r="AZ205" s="520"/>
      <c r="BA205" s="506"/>
      <c r="BB205" s="506"/>
      <c r="BC205" s="506"/>
      <c r="BD205" s="595"/>
      <c r="BE205" s="595"/>
      <c r="BF205" s="595"/>
      <c r="BG205" s="506"/>
      <c r="BH205" s="506"/>
      <c r="BI205" s="506"/>
      <c r="BJ205" s="506"/>
      <c r="BK205" s="506"/>
      <c r="BL205" s="506"/>
      <c r="BM205" s="506"/>
      <c r="BN205" s="506"/>
      <c r="BO205" s="506"/>
      <c r="BP205" s="506"/>
      <c r="BQ205" s="506"/>
      <c r="BR205" s="506"/>
      <c r="BS205" s="506"/>
      <c r="BT205" s="506"/>
      <c r="BU205" s="506"/>
      <c r="BV205" s="506"/>
      <c r="BW205" s="506"/>
      <c r="BX205" s="506"/>
      <c r="BY205" s="506"/>
      <c r="BZ205" s="506"/>
      <c r="CA205" s="506"/>
      <c r="CB205" s="506"/>
      <c r="CC205" s="506"/>
      <c r="CD205" s="506"/>
      <c r="CE205" s="506"/>
      <c r="CF205" s="506"/>
      <c r="CG205" s="506"/>
      <c r="CH205" s="506"/>
      <c r="CI205" s="506"/>
      <c r="CJ205" s="506"/>
      <c r="CK205" s="506"/>
      <c r="CL205" s="506"/>
      <c r="CM205" s="506"/>
      <c r="CN205" s="506"/>
      <c r="CO205" s="506"/>
      <c r="CP205" s="506"/>
      <c r="CQ205" s="506"/>
      <c r="CR205" s="506"/>
      <c r="CS205" s="506"/>
      <c r="CT205" s="506"/>
      <c r="CU205" s="506"/>
      <c r="CV205" s="506"/>
      <c r="CW205" s="506"/>
      <c r="CX205" s="506"/>
      <c r="CY205" s="506"/>
      <c r="CZ205" s="506"/>
      <c r="DA205" s="506"/>
      <c r="DB205" s="506"/>
      <c r="DC205" s="506"/>
      <c r="DD205" s="506"/>
      <c r="DE205" s="506"/>
      <c r="DF205" s="506"/>
      <c r="DG205" s="506"/>
      <c r="DH205" s="506"/>
      <c r="DI205" s="506"/>
      <c r="DJ205" s="506"/>
      <c r="DK205" s="506"/>
      <c r="DL205" s="506"/>
      <c r="DM205" s="506"/>
      <c r="DN205" s="506"/>
      <c r="DO205" s="506"/>
      <c r="DP205" s="506"/>
    </row>
    <row r="206" spans="1:120" ht="15.75" customHeight="1" outlineLevel="1">
      <c r="A206" s="89">
        <v>1110052010</v>
      </c>
      <c r="B206" s="90"/>
      <c r="C206" s="91" t="s">
        <v>64</v>
      </c>
      <c r="D206" s="1481"/>
      <c r="E206" s="1482"/>
      <c r="F206" s="420"/>
      <c r="G206" s="1256"/>
      <c r="H206" s="421"/>
      <c r="I206" s="422"/>
      <c r="J206" s="1425">
        <v>1</v>
      </c>
      <c r="K206" s="1426">
        <v>1</v>
      </c>
      <c r="L206" s="1043"/>
      <c r="M206" s="1594">
        <f t="shared" si="642"/>
        <v>0</v>
      </c>
      <c r="N206" s="415"/>
      <c r="O206" s="424">
        <f t="shared" si="643"/>
        <v>0</v>
      </c>
      <c r="P206" s="425"/>
      <c r="Q206" s="1340">
        <f t="shared" si="576"/>
        <v>0</v>
      </c>
      <c r="R206" s="426"/>
      <c r="S206" s="426"/>
      <c r="T206" s="427">
        <f t="shared" si="644"/>
        <v>0</v>
      </c>
      <c r="U206" s="418">
        <f t="shared" si="645"/>
        <v>0</v>
      </c>
      <c r="V206" s="517">
        <f t="shared" si="646"/>
        <v>0</v>
      </c>
      <c r="W206" s="428">
        <f t="shared" si="647"/>
        <v>0</v>
      </c>
      <c r="X206" s="429">
        <f t="shared" si="648"/>
        <v>0</v>
      </c>
      <c r="Y206" s="92"/>
      <c r="Z206" s="1055"/>
      <c r="AA206" s="53"/>
      <c r="AB206" s="507"/>
      <c r="AC206" s="507"/>
      <c r="AD206" s="507"/>
      <c r="AE206" s="507"/>
      <c r="AF206" s="506"/>
      <c r="AG206" s="506"/>
      <c r="AH206" s="506"/>
      <c r="AI206" s="506"/>
      <c r="AJ206" s="506"/>
      <c r="AK206" s="506"/>
      <c r="AL206" s="1561"/>
      <c r="AM206" s="506"/>
      <c r="AN206" s="506"/>
      <c r="AO206" s="506"/>
      <c r="AP206" s="506"/>
      <c r="AQ206" s="506"/>
      <c r="AR206" s="506"/>
      <c r="AS206" s="506"/>
      <c r="AT206" s="506"/>
      <c r="AU206" s="506"/>
      <c r="AV206" s="506"/>
      <c r="AW206" s="506"/>
      <c r="AX206" s="506"/>
      <c r="AY206" s="506"/>
      <c r="AZ206" s="520"/>
      <c r="BA206" s="506"/>
      <c r="BB206" s="506"/>
      <c r="BC206" s="506"/>
      <c r="BD206" s="595"/>
      <c r="BE206" s="595"/>
      <c r="BF206" s="595"/>
      <c r="BG206" s="506"/>
      <c r="BH206" s="506"/>
      <c r="BI206" s="506"/>
      <c r="BJ206" s="506"/>
      <c r="BK206" s="506"/>
      <c r="BL206" s="506"/>
      <c r="BM206" s="506"/>
      <c r="BN206" s="506"/>
      <c r="BO206" s="506"/>
      <c r="BP206" s="506"/>
      <c r="BQ206" s="506"/>
      <c r="BR206" s="506"/>
      <c r="BS206" s="506"/>
      <c r="BT206" s="506"/>
      <c r="BU206" s="506"/>
      <c r="BV206" s="506"/>
      <c r="BW206" s="506"/>
      <c r="BX206" s="506"/>
      <c r="BY206" s="506"/>
      <c r="BZ206" s="506"/>
      <c r="CA206" s="506"/>
      <c r="CB206" s="506"/>
      <c r="CC206" s="506"/>
      <c r="CD206" s="506"/>
      <c r="CE206" s="506"/>
      <c r="CF206" s="506"/>
      <c r="CG206" s="506"/>
      <c r="CH206" s="506"/>
      <c r="CI206" s="506"/>
      <c r="CJ206" s="506"/>
      <c r="CK206" s="506"/>
      <c r="CL206" s="506"/>
      <c r="CM206" s="506"/>
      <c r="CN206" s="506"/>
      <c r="CO206" s="506"/>
      <c r="CP206" s="506"/>
      <c r="CQ206" s="506"/>
      <c r="CR206" s="506"/>
      <c r="CS206" s="506"/>
      <c r="CT206" s="506"/>
      <c r="CU206" s="506"/>
      <c r="CV206" s="506"/>
      <c r="CW206" s="506"/>
      <c r="CX206" s="506"/>
      <c r="CY206" s="506"/>
      <c r="CZ206" s="506"/>
      <c r="DA206" s="506"/>
      <c r="DB206" s="506"/>
      <c r="DC206" s="506"/>
      <c r="DD206" s="506"/>
      <c r="DE206" s="506"/>
      <c r="DF206" s="506"/>
      <c r="DG206" s="506"/>
      <c r="DH206" s="506"/>
      <c r="DI206" s="506"/>
      <c r="DJ206" s="506"/>
      <c r="DK206" s="506"/>
      <c r="DL206" s="506"/>
      <c r="DM206" s="506"/>
      <c r="DN206" s="506"/>
      <c r="DO206" s="506"/>
      <c r="DP206" s="506"/>
    </row>
    <row r="207" spans="1:120" ht="15.75" customHeight="1" outlineLevel="1">
      <c r="A207" s="89">
        <v>24345</v>
      </c>
      <c r="B207" s="90" t="s">
        <v>2659</v>
      </c>
      <c r="C207" s="91" t="s">
        <v>64</v>
      </c>
      <c r="D207" s="1481"/>
      <c r="E207" s="1482">
        <v>45047</v>
      </c>
      <c r="F207" s="420"/>
      <c r="G207" s="2550"/>
      <c r="H207" s="421"/>
      <c r="I207" s="422"/>
      <c r="J207" s="2551"/>
      <c r="K207" s="2552"/>
      <c r="L207" s="1043"/>
      <c r="M207" s="2553"/>
      <c r="N207" s="415"/>
      <c r="O207" s="424"/>
      <c r="P207" s="425"/>
      <c r="Q207" s="425"/>
      <c r="R207" s="426"/>
      <c r="S207" s="426"/>
      <c r="T207" s="427"/>
      <c r="U207" s="2554"/>
      <c r="V207" s="2555"/>
      <c r="W207" s="428"/>
      <c r="X207" s="429"/>
      <c r="Y207" s="92"/>
      <c r="Z207" s="1055"/>
      <c r="AA207" s="2556"/>
      <c r="AB207" s="2556"/>
      <c r="AC207" s="2556"/>
      <c r="AD207" s="2556"/>
      <c r="AE207" s="2556"/>
      <c r="AF207" s="1563"/>
      <c r="AG207" s="1563"/>
      <c r="AH207" s="1563"/>
      <c r="AI207" s="1563"/>
      <c r="AJ207" s="1563"/>
      <c r="AK207" s="1563"/>
      <c r="AL207" s="1563"/>
      <c r="AM207" s="1563"/>
      <c r="AN207" s="1563"/>
      <c r="AO207" s="1563"/>
      <c r="AP207" s="1563"/>
      <c r="AQ207" s="1563"/>
      <c r="AR207" s="1563"/>
      <c r="AS207" s="1563"/>
      <c r="AT207" s="1563"/>
      <c r="AU207" s="1563"/>
      <c r="AV207" s="1563"/>
      <c r="AW207" s="1563"/>
      <c r="AX207" s="1563"/>
      <c r="AY207" s="1563"/>
      <c r="AZ207" s="2156"/>
      <c r="BA207" s="1563"/>
      <c r="BB207" s="1563"/>
      <c r="BC207" s="1563"/>
      <c r="BD207" s="2557"/>
      <c r="BE207" s="2557"/>
      <c r="BF207" s="2557"/>
      <c r="BG207" s="1563"/>
      <c r="BH207" s="1563"/>
      <c r="BI207" s="1563"/>
      <c r="BJ207" s="1563"/>
      <c r="BK207" s="1563"/>
      <c r="BL207" s="1563"/>
      <c r="BM207" s="1563"/>
      <c r="BN207" s="1563"/>
      <c r="BO207" s="1563"/>
      <c r="BP207" s="1563"/>
      <c r="BQ207" s="1563"/>
      <c r="BR207" s="1563"/>
      <c r="BS207" s="1563"/>
      <c r="BT207" s="1563"/>
      <c r="BU207" s="1563"/>
      <c r="BV207" s="1563"/>
      <c r="BW207" s="1563"/>
      <c r="BX207" s="1563"/>
      <c r="BY207" s="1563"/>
      <c r="BZ207" s="1563"/>
      <c r="CA207" s="1563"/>
      <c r="CB207" s="1563"/>
      <c r="CC207" s="1563"/>
      <c r="CD207" s="1563"/>
      <c r="CE207" s="1563"/>
      <c r="CF207" s="1563"/>
      <c r="CG207" s="1563"/>
      <c r="CH207" s="1563"/>
      <c r="CI207" s="1563"/>
      <c r="CJ207" s="1563"/>
      <c r="CK207" s="1563"/>
      <c r="CL207" s="1563"/>
      <c r="CM207" s="1563"/>
      <c r="CN207" s="1563"/>
      <c r="CO207" s="1563"/>
      <c r="CP207" s="1563"/>
      <c r="CQ207" s="1563"/>
      <c r="CR207" s="1563"/>
      <c r="CS207" s="1563"/>
      <c r="CT207" s="1563"/>
      <c r="CU207" s="1563"/>
      <c r="CV207" s="1563"/>
      <c r="CW207" s="1563"/>
      <c r="CX207" s="1563"/>
      <c r="CY207" s="1563"/>
      <c r="CZ207" s="1563"/>
      <c r="DA207" s="1563"/>
      <c r="DB207" s="1563"/>
      <c r="DC207" s="1563"/>
      <c r="DD207" s="1563"/>
      <c r="DE207" s="1563"/>
      <c r="DF207" s="1563"/>
      <c r="DG207" s="1563"/>
      <c r="DH207" s="1563"/>
      <c r="DI207" s="1563"/>
      <c r="DJ207" s="1563"/>
      <c r="DK207" s="1563"/>
      <c r="DL207" s="1563"/>
      <c r="DM207" s="1563"/>
      <c r="DN207" s="1563"/>
      <c r="DO207" s="1563"/>
      <c r="DP207" s="1563"/>
    </row>
    <row r="208" spans="1:120" ht="15.75" customHeight="1" outlineLevel="1">
      <c r="A208" s="89"/>
      <c r="B208" s="2548"/>
      <c r="C208" s="2549"/>
      <c r="D208" s="1481"/>
      <c r="E208" s="1482"/>
      <c r="F208" s="420"/>
      <c r="G208" s="2550"/>
      <c r="H208" s="421"/>
      <c r="I208" s="422"/>
      <c r="J208" s="2551"/>
      <c r="K208" s="2552"/>
      <c r="L208" s="1043"/>
      <c r="M208" s="2553"/>
      <c r="N208" s="415"/>
      <c r="O208" s="424"/>
      <c r="P208" s="425"/>
      <c r="Q208" s="425"/>
      <c r="R208" s="426"/>
      <c r="S208" s="426"/>
      <c r="T208" s="427"/>
      <c r="U208" s="2554"/>
      <c r="V208" s="2555"/>
      <c r="W208" s="428"/>
      <c r="X208" s="429"/>
      <c r="Y208" s="92"/>
      <c r="Z208" s="1055"/>
      <c r="AA208" s="2556"/>
      <c r="AB208" s="2556"/>
      <c r="AC208" s="2556"/>
      <c r="AD208" s="2556"/>
      <c r="AE208" s="2556"/>
      <c r="AF208" s="1563"/>
      <c r="AG208" s="1563"/>
      <c r="AH208" s="1563"/>
      <c r="AI208" s="1563"/>
      <c r="AJ208" s="1563"/>
      <c r="AK208" s="1563"/>
      <c r="AL208" s="1563"/>
      <c r="AM208" s="1563"/>
      <c r="AN208" s="1563"/>
      <c r="AO208" s="1563"/>
      <c r="AP208" s="1563"/>
      <c r="AQ208" s="1563"/>
      <c r="AR208" s="1563"/>
      <c r="AS208" s="1563"/>
      <c r="AT208" s="1563"/>
      <c r="AU208" s="1563"/>
      <c r="AV208" s="1563"/>
      <c r="AW208" s="1563"/>
      <c r="AX208" s="1563"/>
      <c r="AY208" s="1563"/>
      <c r="AZ208" s="2156"/>
      <c r="BA208" s="1563"/>
      <c r="BB208" s="1563"/>
      <c r="BC208" s="1563"/>
      <c r="BD208" s="2557"/>
      <c r="BE208" s="2557"/>
      <c r="BF208" s="2557"/>
      <c r="BG208" s="1563"/>
      <c r="BH208" s="1563"/>
      <c r="BI208" s="1563"/>
      <c r="BJ208" s="1563"/>
      <c r="BK208" s="1563"/>
      <c r="BL208" s="1563"/>
      <c r="BM208" s="1563"/>
      <c r="BN208" s="1563"/>
      <c r="BO208" s="1563"/>
      <c r="BP208" s="1563"/>
      <c r="BQ208" s="1563"/>
      <c r="BR208" s="1563"/>
      <c r="BS208" s="1563"/>
      <c r="BT208" s="1563"/>
      <c r="BU208" s="1563"/>
      <c r="BV208" s="1563"/>
      <c r="BW208" s="1563"/>
      <c r="BX208" s="1563"/>
      <c r="BY208" s="1563"/>
      <c r="BZ208" s="1563"/>
      <c r="CA208" s="1563"/>
      <c r="CB208" s="1563"/>
      <c r="CC208" s="1563"/>
      <c r="CD208" s="1563"/>
      <c r="CE208" s="1563"/>
      <c r="CF208" s="1563"/>
      <c r="CG208" s="1563"/>
      <c r="CH208" s="1563"/>
      <c r="CI208" s="1563"/>
      <c r="CJ208" s="1563"/>
      <c r="CK208" s="1563"/>
      <c r="CL208" s="1563"/>
      <c r="CM208" s="1563"/>
      <c r="CN208" s="1563"/>
      <c r="CO208" s="1563"/>
      <c r="CP208" s="1563"/>
      <c r="CQ208" s="1563"/>
      <c r="CR208" s="1563"/>
      <c r="CS208" s="1563"/>
      <c r="CT208" s="1563"/>
      <c r="CU208" s="1563"/>
      <c r="CV208" s="1563"/>
      <c r="CW208" s="1563"/>
      <c r="CX208" s="1563"/>
      <c r="CY208" s="1563"/>
      <c r="CZ208" s="1563"/>
      <c r="DA208" s="1563"/>
      <c r="DB208" s="1563"/>
      <c r="DC208" s="1563"/>
      <c r="DD208" s="1563"/>
      <c r="DE208" s="1563"/>
      <c r="DF208" s="1563"/>
      <c r="DG208" s="1563"/>
      <c r="DH208" s="1563"/>
      <c r="DI208" s="1563"/>
      <c r="DJ208" s="1563"/>
      <c r="DK208" s="1563"/>
      <c r="DL208" s="1563"/>
      <c r="DM208" s="1563"/>
      <c r="DN208" s="1563"/>
      <c r="DO208" s="1563"/>
      <c r="DP208" s="1563"/>
    </row>
    <row r="209" spans="1:120" s="4" customFormat="1" ht="20.25" customHeight="1" outlineLevel="1">
      <c r="A209" s="432"/>
      <c r="B209" s="581"/>
      <c r="C209" s="582"/>
      <c r="D209" s="1469"/>
      <c r="E209" s="1470"/>
      <c r="F209" s="416"/>
      <c r="G209" s="1251"/>
      <c r="H209" s="511"/>
      <c r="I209" s="512"/>
      <c r="J209" s="1383"/>
      <c r="K209" s="1383"/>
      <c r="L209" s="1188"/>
      <c r="M209" s="1597"/>
      <c r="N209" s="583"/>
      <c r="O209" s="584"/>
      <c r="P209" s="433"/>
      <c r="Q209" s="1343"/>
      <c r="R209" s="434"/>
      <c r="S209" s="585"/>
      <c r="T209" s="586"/>
      <c r="U209" s="435"/>
      <c r="V209" s="587"/>
      <c r="W209" s="436"/>
      <c r="X209" s="588"/>
      <c r="Y209" s="589"/>
      <c r="Z209" s="14"/>
      <c r="AA209" s="590"/>
      <c r="AB209" s="590"/>
      <c r="AC209" s="590"/>
      <c r="AD209" s="590"/>
      <c r="AE209" s="590"/>
      <c r="AF209" s="592"/>
      <c r="AG209" s="592"/>
      <c r="AH209" s="592"/>
      <c r="AI209" s="592"/>
      <c r="AJ209" s="592"/>
      <c r="AK209" s="592"/>
      <c r="AL209" s="1564"/>
      <c r="AM209" s="592"/>
      <c r="AN209" s="592"/>
      <c r="AO209" s="592"/>
      <c r="AP209" s="592"/>
      <c r="AQ209" s="591"/>
      <c r="AR209" s="592"/>
      <c r="AS209" s="592"/>
      <c r="AT209" s="592"/>
      <c r="AU209" s="592"/>
      <c r="AV209" s="592"/>
      <c r="AW209" s="592"/>
      <c r="AX209" s="592"/>
      <c r="AY209" s="592"/>
      <c r="AZ209" s="592"/>
      <c r="BA209" s="592"/>
      <c r="BB209" s="592"/>
      <c r="BC209" s="592"/>
      <c r="BD209" s="592"/>
      <c r="BE209" s="592"/>
      <c r="BF209" s="592"/>
      <c r="BG209" s="592"/>
      <c r="BH209" s="592"/>
      <c r="BI209" s="592"/>
      <c r="BJ209" s="592"/>
      <c r="BK209" s="592"/>
      <c r="BL209" s="592"/>
      <c r="BM209" s="592"/>
      <c r="BN209" s="592"/>
      <c r="BO209" s="592"/>
      <c r="BP209" s="592"/>
      <c r="BQ209" s="592"/>
      <c r="BR209" s="592"/>
      <c r="BS209" s="592"/>
      <c r="BT209" s="592"/>
      <c r="BU209" s="592"/>
      <c r="BV209" s="592"/>
      <c r="BW209" s="592"/>
      <c r="BX209" s="592"/>
      <c r="BY209" s="592"/>
      <c r="BZ209" s="592"/>
      <c r="CA209" s="592"/>
      <c r="CB209" s="592"/>
      <c r="CC209" s="592"/>
      <c r="CD209" s="592"/>
      <c r="CE209" s="592"/>
      <c r="CF209" s="592"/>
      <c r="CG209" s="592"/>
      <c r="CH209" s="592"/>
      <c r="CI209" s="592"/>
      <c r="CJ209" s="592"/>
      <c r="CK209" s="592"/>
      <c r="CL209" s="592"/>
      <c r="CM209" s="592"/>
      <c r="CN209" s="592"/>
      <c r="CO209" s="592"/>
      <c r="CP209" s="592"/>
      <c r="CQ209" s="592"/>
      <c r="CR209" s="592"/>
      <c r="CS209" s="592"/>
      <c r="CT209" s="592"/>
      <c r="CU209" s="592"/>
      <c r="CV209" s="592"/>
      <c r="CW209" s="592"/>
      <c r="CX209" s="592"/>
      <c r="CY209" s="592"/>
      <c r="CZ209" s="592"/>
      <c r="DA209" s="592"/>
      <c r="DB209" s="592"/>
      <c r="DC209" s="592"/>
      <c r="DD209" s="592"/>
      <c r="DE209" s="592"/>
      <c r="DF209" s="592"/>
      <c r="DG209" s="592"/>
      <c r="DH209" s="592"/>
      <c r="DI209" s="592"/>
      <c r="DJ209" s="592"/>
      <c r="DK209" s="592"/>
      <c r="DL209" s="592"/>
      <c r="DM209" s="592"/>
      <c r="DN209" s="592"/>
      <c r="DO209" s="592"/>
      <c r="DP209" s="592"/>
    </row>
    <row r="210" spans="1:120" ht="16.5" thickBot="1">
      <c r="A210" s="62" t="s">
        <v>230</v>
      </c>
      <c r="B210" s="63"/>
      <c r="C210" s="64"/>
      <c r="D210" s="1473"/>
      <c r="E210" s="1474"/>
      <c r="F210" s="66">
        <f>SUM(F142:F209)</f>
        <v>0</v>
      </c>
      <c r="G210" s="1253"/>
      <c r="H210" s="67"/>
      <c r="I210" s="68">
        <f>SUM(I142:I209)</f>
        <v>0</v>
      </c>
      <c r="J210" s="1376"/>
      <c r="K210" s="76"/>
      <c r="L210" s="1051">
        <f>SUM(L142:L209)</f>
        <v>0</v>
      </c>
      <c r="M210" s="1598"/>
      <c r="N210" s="70"/>
      <c r="O210" s="71">
        <f>SUM(O142:O209)</f>
        <v>0</v>
      </c>
      <c r="P210" s="72">
        <f>SUM(P142:P209)</f>
        <v>0</v>
      </c>
      <c r="Q210" s="1339"/>
      <c r="R210" s="73"/>
      <c r="S210" s="73"/>
      <c r="T210" s="96">
        <f>SUM(T142:T209)</f>
        <v>0</v>
      </c>
      <c r="U210" s="66">
        <f>SUM(U142:U209)</f>
        <v>0</v>
      </c>
      <c r="V210" s="76">
        <f>SUM(V142:V209)</f>
        <v>0</v>
      </c>
      <c r="W210" s="97">
        <f>SUM(W142:W209)</f>
        <v>0</v>
      </c>
      <c r="X210" s="98">
        <f>SUM(X142:X209)</f>
        <v>0</v>
      </c>
      <c r="Y210" s="43"/>
      <c r="AA210" s="130">
        <f t="shared" ref="AA210:BF210" ca="1" si="649">SUM(AA140:AA209)</f>
        <v>-2.7939677238464355E-9</v>
      </c>
      <c r="AB210" s="130">
        <f t="shared" ca="1" si="649"/>
        <v>0</v>
      </c>
      <c r="AC210" s="130">
        <f t="shared" ca="1" si="649"/>
        <v>0</v>
      </c>
      <c r="AD210" s="130">
        <f t="shared" ca="1" si="649"/>
        <v>0</v>
      </c>
      <c r="AE210" s="130">
        <f t="shared" ca="1" si="649"/>
        <v>0</v>
      </c>
      <c r="AF210" s="130">
        <f t="shared" ca="1" si="649"/>
        <v>0</v>
      </c>
      <c r="AG210" s="130">
        <f t="shared" ca="1" si="649"/>
        <v>0</v>
      </c>
      <c r="AH210" s="130">
        <f t="shared" ca="1" si="649"/>
        <v>0</v>
      </c>
      <c r="AI210" s="130">
        <f t="shared" ca="1" si="649"/>
        <v>0</v>
      </c>
      <c r="AJ210" s="130">
        <f t="shared" ca="1" si="649"/>
        <v>-2.3283064365386963E-10</v>
      </c>
      <c r="AK210" s="130">
        <f t="shared" ca="1" si="649"/>
        <v>-2.3283064365386963E-10</v>
      </c>
      <c r="AL210" s="130">
        <f t="shared" ca="1" si="649"/>
        <v>0</v>
      </c>
      <c r="AM210" s="130">
        <f t="shared" ca="1" si="649"/>
        <v>2.3283064365386963E-10</v>
      </c>
      <c r="AN210" s="130">
        <f t="shared" ca="1" si="649"/>
        <v>0</v>
      </c>
      <c r="AO210" s="130">
        <f t="shared" ca="1" si="649"/>
        <v>0</v>
      </c>
      <c r="AP210" s="130">
        <f t="shared" ca="1" si="649"/>
        <v>0</v>
      </c>
      <c r="AQ210" s="130">
        <f t="shared" ca="1" si="649"/>
        <v>0</v>
      </c>
      <c r="AR210" s="130">
        <f t="shared" ca="1" si="649"/>
        <v>0</v>
      </c>
      <c r="AS210" s="130">
        <f t="shared" ca="1" si="649"/>
        <v>-4.3655745685100555E-11</v>
      </c>
      <c r="AT210" s="130">
        <f t="shared" ca="1" si="649"/>
        <v>0</v>
      </c>
      <c r="AU210" s="130">
        <f t="shared" ca="1" si="649"/>
        <v>0</v>
      </c>
      <c r="AV210" s="130">
        <f t="shared" ca="1" si="649"/>
        <v>-2.3283064365386963E-10</v>
      </c>
      <c r="AW210" s="130">
        <f t="shared" ca="1" si="649"/>
        <v>-2.3283064365386963E-10</v>
      </c>
      <c r="AX210" s="130">
        <f t="shared" ca="1" si="649"/>
        <v>0</v>
      </c>
      <c r="AY210" s="130">
        <f t="shared" ca="1" si="649"/>
        <v>0</v>
      </c>
      <c r="AZ210" s="130">
        <f t="shared" ca="1" si="649"/>
        <v>0</v>
      </c>
      <c r="BA210" s="130">
        <f t="shared" ca="1" si="649"/>
        <v>1375193.1800000004</v>
      </c>
      <c r="BB210" s="130">
        <f t="shared" ca="1" si="649"/>
        <v>0</v>
      </c>
      <c r="BC210" s="130">
        <f t="shared" ca="1" si="649"/>
        <v>0</v>
      </c>
      <c r="BD210" s="130">
        <f t="shared" ca="1" si="649"/>
        <v>0</v>
      </c>
      <c r="BE210" s="130">
        <f t="shared" ca="1" si="649"/>
        <v>0</v>
      </c>
      <c r="BF210" s="130">
        <f t="shared" ca="1" si="649"/>
        <v>0</v>
      </c>
      <c r="BG210" s="130">
        <f t="shared" ref="BG210:CL210" ca="1" si="650">SUM(BG140:BG209)</f>
        <v>0</v>
      </c>
      <c r="BH210" s="130">
        <f t="shared" ca="1" si="650"/>
        <v>0</v>
      </c>
      <c r="BI210" s="130">
        <f t="shared" ca="1" si="650"/>
        <v>0</v>
      </c>
      <c r="BJ210" s="130">
        <f t="shared" ca="1" si="650"/>
        <v>0</v>
      </c>
      <c r="BK210" s="130">
        <f t="shared" ca="1" si="650"/>
        <v>0</v>
      </c>
      <c r="BL210" s="130">
        <f t="shared" ca="1" si="650"/>
        <v>0</v>
      </c>
      <c r="BM210" s="130">
        <f t="shared" ca="1" si="650"/>
        <v>0</v>
      </c>
      <c r="BN210" s="130">
        <f t="shared" ca="1" si="650"/>
        <v>0</v>
      </c>
      <c r="BO210" s="130">
        <f t="shared" ca="1" si="650"/>
        <v>0</v>
      </c>
      <c r="BP210" s="130">
        <f t="shared" ca="1" si="650"/>
        <v>0</v>
      </c>
      <c r="BQ210" s="130">
        <f t="shared" ca="1" si="650"/>
        <v>0</v>
      </c>
      <c r="BR210" s="130">
        <f t="shared" ca="1" si="650"/>
        <v>0</v>
      </c>
      <c r="BS210" s="130">
        <f t="shared" ca="1" si="650"/>
        <v>0</v>
      </c>
      <c r="BT210" s="130">
        <f t="shared" ca="1" si="650"/>
        <v>0</v>
      </c>
      <c r="BU210" s="130">
        <f t="shared" ca="1" si="650"/>
        <v>0</v>
      </c>
      <c r="BV210" s="130">
        <f t="shared" ca="1" si="650"/>
        <v>0</v>
      </c>
      <c r="BW210" s="130">
        <f t="shared" ca="1" si="650"/>
        <v>0</v>
      </c>
      <c r="BX210" s="130">
        <f t="shared" ca="1" si="650"/>
        <v>0</v>
      </c>
      <c r="BY210" s="130">
        <f t="shared" ca="1" si="650"/>
        <v>0</v>
      </c>
      <c r="BZ210" s="130">
        <f t="shared" ca="1" si="650"/>
        <v>0</v>
      </c>
      <c r="CA210" s="130">
        <f t="shared" ca="1" si="650"/>
        <v>0</v>
      </c>
      <c r="CB210" s="130">
        <f t="shared" ca="1" si="650"/>
        <v>0</v>
      </c>
      <c r="CC210" s="130">
        <f t="shared" ca="1" si="650"/>
        <v>0</v>
      </c>
      <c r="CD210" s="130">
        <f t="shared" ca="1" si="650"/>
        <v>0</v>
      </c>
      <c r="CE210" s="130">
        <f t="shared" ca="1" si="650"/>
        <v>0</v>
      </c>
      <c r="CF210" s="130">
        <f t="shared" ca="1" si="650"/>
        <v>0</v>
      </c>
      <c r="CG210" s="130">
        <f t="shared" ca="1" si="650"/>
        <v>0</v>
      </c>
      <c r="CH210" s="130">
        <f t="shared" ca="1" si="650"/>
        <v>0</v>
      </c>
      <c r="CI210" s="130">
        <f t="shared" ca="1" si="650"/>
        <v>0</v>
      </c>
      <c r="CJ210" s="130">
        <f t="shared" ca="1" si="650"/>
        <v>0</v>
      </c>
      <c r="CK210" s="130">
        <f t="shared" ca="1" si="650"/>
        <v>0</v>
      </c>
      <c r="CL210" s="130">
        <f t="shared" ca="1" si="650"/>
        <v>0</v>
      </c>
      <c r="CM210" s="130">
        <f t="shared" ref="CM210:DM210" ca="1" si="651">SUM(CM140:CM209)</f>
        <v>0</v>
      </c>
      <c r="CN210" s="130">
        <f t="shared" ca="1" si="651"/>
        <v>0</v>
      </c>
      <c r="CO210" s="130">
        <f t="shared" ca="1" si="651"/>
        <v>0</v>
      </c>
      <c r="CP210" s="130">
        <f t="shared" ca="1" si="651"/>
        <v>0</v>
      </c>
      <c r="CQ210" s="130">
        <f t="shared" ca="1" si="651"/>
        <v>0</v>
      </c>
      <c r="CR210" s="130">
        <f t="shared" ca="1" si="651"/>
        <v>0</v>
      </c>
      <c r="CS210" s="130">
        <f t="shared" ca="1" si="651"/>
        <v>0</v>
      </c>
      <c r="CT210" s="130">
        <f t="shared" ca="1" si="651"/>
        <v>0</v>
      </c>
      <c r="CU210" s="130">
        <f t="shared" ca="1" si="651"/>
        <v>0</v>
      </c>
      <c r="CV210" s="130">
        <f t="shared" ca="1" si="651"/>
        <v>0</v>
      </c>
      <c r="CW210" s="130">
        <f t="shared" ca="1" si="651"/>
        <v>0</v>
      </c>
      <c r="CX210" s="130">
        <f t="shared" ca="1" si="651"/>
        <v>0</v>
      </c>
      <c r="CY210" s="130">
        <f t="shared" ca="1" si="651"/>
        <v>0</v>
      </c>
      <c r="CZ210" s="130">
        <f t="shared" ca="1" si="651"/>
        <v>0</v>
      </c>
      <c r="DA210" s="130">
        <f t="shared" ca="1" si="651"/>
        <v>0</v>
      </c>
      <c r="DB210" s="130">
        <f t="shared" ca="1" si="651"/>
        <v>0</v>
      </c>
      <c r="DC210" s="130">
        <f t="shared" ca="1" si="651"/>
        <v>0</v>
      </c>
      <c r="DD210" s="130">
        <f t="shared" ca="1" si="651"/>
        <v>0</v>
      </c>
      <c r="DE210" s="130">
        <f t="shared" ca="1" si="651"/>
        <v>0</v>
      </c>
      <c r="DF210" s="130">
        <f t="shared" ca="1" si="651"/>
        <v>0</v>
      </c>
      <c r="DG210" s="130">
        <f t="shared" ca="1" si="651"/>
        <v>0</v>
      </c>
      <c r="DH210" s="130">
        <f t="shared" ca="1" si="651"/>
        <v>0</v>
      </c>
      <c r="DI210" s="130">
        <f t="shared" ca="1" si="651"/>
        <v>0</v>
      </c>
      <c r="DJ210" s="130">
        <f t="shared" ca="1" si="651"/>
        <v>0</v>
      </c>
      <c r="DK210" s="130">
        <f t="shared" ca="1" si="651"/>
        <v>0</v>
      </c>
      <c r="DL210" s="130">
        <f t="shared" ca="1" si="651"/>
        <v>0</v>
      </c>
      <c r="DM210" s="130">
        <f t="shared" ca="1" si="651"/>
        <v>0</v>
      </c>
      <c r="DN210" s="130">
        <f t="shared" ref="DN210:DO210" ca="1" si="652">SUM(DN140:DN209)</f>
        <v>0</v>
      </c>
      <c r="DO210" s="130">
        <f t="shared" ca="1" si="652"/>
        <v>0</v>
      </c>
      <c r="DP210" s="130">
        <f t="shared" ref="DP210" ca="1" si="653">SUM(DP140:DP209)</f>
        <v>0</v>
      </c>
    </row>
    <row r="211" spans="1:120"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</row>
    <row r="212" spans="1:120" hidden="1" outlineLevel="1">
      <c r="A212" s="532">
        <v>1110052010</v>
      </c>
      <c r="B212" s="573"/>
      <c r="C212" s="534" t="s">
        <v>64</v>
      </c>
      <c r="D212" s="1477"/>
      <c r="E212" s="1478"/>
      <c r="F212" s="535"/>
      <c r="G212" s="1254"/>
      <c r="H212" s="536"/>
      <c r="I212" s="537"/>
      <c r="J212" s="1483">
        <v>1</v>
      </c>
      <c r="K212" s="1484">
        <v>1</v>
      </c>
      <c r="L212" s="1042"/>
      <c r="M212" s="1593">
        <f t="shared" ref="M212" si="654">+L212*J212</f>
        <v>0</v>
      </c>
      <c r="N212" s="538"/>
      <c r="O212" s="539">
        <f t="shared" ref="O212:O243" si="655">+L212*N212</f>
        <v>0</v>
      </c>
      <c r="P212" s="540"/>
      <c r="Q212" s="540"/>
      <c r="R212" s="541"/>
      <c r="S212" s="541"/>
      <c r="T212" s="542">
        <f t="shared" ref="T212:T243" si="656">+P212*S212</f>
        <v>0</v>
      </c>
      <c r="U212" s="543">
        <f t="shared" ref="U212:U243" si="657">+L212+P212+F212</f>
        <v>0</v>
      </c>
      <c r="V212" s="544">
        <f t="shared" ref="V212:V243" si="658">+P212*R212+L212*N212+F212*H212</f>
        <v>0</v>
      </c>
      <c r="W212" s="545">
        <f t="shared" ref="W212:W243" si="659">(IF(R212&gt;S212,(-P212*R212)-(-P212*S212),0))</f>
        <v>0</v>
      </c>
      <c r="X212" s="546">
        <f t="shared" ref="X212:X243" si="660">(IF(R212&lt;S212,(-P212*R212)-(-P212*S212),0))</f>
        <v>0</v>
      </c>
      <c r="Y212" s="547"/>
      <c r="AA212" s="548"/>
      <c r="AB212" s="574"/>
      <c r="AC212" s="574"/>
      <c r="AD212" s="574"/>
      <c r="AE212" s="574"/>
      <c r="AF212" s="575"/>
      <c r="AG212" s="575"/>
      <c r="AH212" s="575"/>
      <c r="AI212" s="575"/>
      <c r="AJ212" s="575"/>
      <c r="AK212" s="575"/>
      <c r="AL212" s="575"/>
      <c r="AM212" s="575"/>
      <c r="AN212" s="575"/>
      <c r="AO212" s="575"/>
      <c r="AP212" s="575"/>
      <c r="AQ212" s="575"/>
      <c r="AR212" s="575"/>
      <c r="AS212" s="575"/>
      <c r="AT212" s="575"/>
      <c r="AU212" s="575"/>
      <c r="AV212" s="575"/>
      <c r="AW212" s="575"/>
      <c r="AX212" s="575"/>
      <c r="AY212" s="575"/>
      <c r="AZ212" s="593"/>
      <c r="BA212" s="575"/>
      <c r="BB212" s="575"/>
      <c r="BC212" s="575"/>
      <c r="BD212" s="575"/>
      <c r="BE212" s="576"/>
      <c r="BF212" s="575"/>
      <c r="BG212" s="575"/>
      <c r="BH212" s="593"/>
      <c r="BI212" s="593"/>
      <c r="BJ212" s="575"/>
      <c r="BK212" s="575"/>
      <c r="BL212" s="575"/>
      <c r="BM212" s="575"/>
      <c r="BN212" s="575"/>
      <c r="BO212" s="575"/>
      <c r="BP212" s="575"/>
      <c r="BQ212" s="575"/>
      <c r="BR212" s="575"/>
      <c r="BS212" s="575"/>
      <c r="BT212" s="575"/>
      <c r="BU212" s="575"/>
      <c r="BV212" s="575"/>
      <c r="BW212" s="575"/>
      <c r="BX212" s="575"/>
      <c r="BY212" s="575"/>
      <c r="BZ212" s="575"/>
      <c r="CA212" s="576">
        <f>+M212</f>
        <v>0</v>
      </c>
      <c r="CB212" s="575"/>
      <c r="CC212" s="575"/>
      <c r="CD212" s="575"/>
      <c r="CE212" s="575"/>
      <c r="CF212" s="575"/>
      <c r="CG212" s="575"/>
      <c r="CH212" s="575"/>
      <c r="CI212" s="575"/>
      <c r="CJ212" s="575"/>
      <c r="CK212" s="575"/>
      <c r="CL212" s="575"/>
      <c r="CM212" s="575"/>
      <c r="CN212" s="575"/>
      <c r="CO212" s="575"/>
      <c r="CP212" s="575"/>
      <c r="CQ212" s="575"/>
      <c r="CR212" s="575"/>
      <c r="CS212" s="575"/>
      <c r="CT212" s="575"/>
      <c r="CU212" s="575"/>
      <c r="CV212" s="575"/>
      <c r="CW212" s="575"/>
      <c r="CX212" s="575"/>
      <c r="CY212" s="575"/>
      <c r="CZ212" s="575"/>
      <c r="DA212" s="575"/>
      <c r="DB212" s="575"/>
      <c r="DC212" s="575"/>
      <c r="DD212" s="575"/>
      <c r="DE212" s="575"/>
      <c r="DF212" s="575"/>
      <c r="DG212" s="575"/>
      <c r="DH212" s="575"/>
      <c r="DI212" s="575"/>
      <c r="DJ212" s="575"/>
      <c r="DK212" s="575"/>
      <c r="DL212" s="575"/>
      <c r="DM212" s="575"/>
      <c r="DN212" s="575"/>
      <c r="DO212" s="575"/>
      <c r="DP212" s="575"/>
    </row>
    <row r="213" spans="1:120" hidden="1" outlineLevel="1">
      <c r="A213" s="89">
        <v>1110052010</v>
      </c>
      <c r="B213" s="90"/>
      <c r="C213" s="91" t="s">
        <v>64</v>
      </c>
      <c r="D213" s="1481"/>
      <c r="E213" s="1482"/>
      <c r="F213" s="420"/>
      <c r="G213" s="1256"/>
      <c r="H213" s="421"/>
      <c r="I213" s="422"/>
      <c r="J213" s="1425">
        <v>1</v>
      </c>
      <c r="K213" s="1426">
        <v>1</v>
      </c>
      <c r="L213" s="1043"/>
      <c r="M213" s="1594">
        <f t="shared" ref="M213:M241" si="661">+L213*J213</f>
        <v>0</v>
      </c>
      <c r="N213" s="415"/>
      <c r="O213" s="424">
        <f t="shared" si="655"/>
        <v>0</v>
      </c>
      <c r="P213" s="425"/>
      <c r="Q213" s="1340"/>
      <c r="R213" s="426"/>
      <c r="S213" s="426"/>
      <c r="T213" s="427">
        <f t="shared" si="656"/>
        <v>0</v>
      </c>
      <c r="U213" s="418">
        <f t="shared" si="657"/>
        <v>0</v>
      </c>
      <c r="V213" s="517">
        <f t="shared" si="658"/>
        <v>0</v>
      </c>
      <c r="W213" s="428">
        <f t="shared" si="659"/>
        <v>0</v>
      </c>
      <c r="X213" s="429">
        <f t="shared" si="660"/>
        <v>0</v>
      </c>
      <c r="Y213" s="92"/>
      <c r="AA213" s="2118"/>
      <c r="AB213" s="578"/>
      <c r="AC213" s="578"/>
      <c r="AD213" s="578"/>
      <c r="AE213" s="578"/>
      <c r="AF213" s="579"/>
      <c r="AG213" s="579"/>
      <c r="AH213" s="579"/>
      <c r="AI213" s="579"/>
      <c r="AJ213" s="579"/>
      <c r="AK213" s="579"/>
      <c r="AL213" s="1563"/>
      <c r="AM213" s="579"/>
      <c r="AN213" s="579"/>
      <c r="AO213" s="579"/>
      <c r="AP213" s="579"/>
      <c r="AQ213" s="579"/>
      <c r="AR213" s="579"/>
      <c r="AS213" s="579"/>
      <c r="AT213" s="579"/>
      <c r="AU213" s="579"/>
      <c r="AV213" s="579"/>
      <c r="AW213" s="579"/>
      <c r="AX213" s="579"/>
      <c r="AY213" s="579"/>
      <c r="AZ213" s="579"/>
      <c r="BA213" s="595"/>
      <c r="BB213" s="595"/>
      <c r="BC213" s="579"/>
      <c r="BD213" s="579"/>
      <c r="BE213" s="579"/>
      <c r="BF213" s="579"/>
      <c r="BG213" s="579"/>
      <c r="BH213" s="594"/>
      <c r="BI213" s="579"/>
      <c r="BJ213" s="579"/>
      <c r="BK213" s="579"/>
      <c r="BL213" s="594"/>
      <c r="BM213" s="579"/>
      <c r="BN213" s="579"/>
      <c r="BO213" s="579"/>
      <c r="BP213" s="579"/>
      <c r="BQ213" s="579"/>
      <c r="BR213" s="579"/>
      <c r="BS213" s="579"/>
      <c r="BT213" s="579"/>
      <c r="BU213" s="579"/>
      <c r="BV213" s="579"/>
      <c r="BW213" s="579"/>
      <c r="BX213" s="579"/>
      <c r="BY213" s="579"/>
      <c r="BZ213" s="579"/>
      <c r="CA213" s="594">
        <f>+M213</f>
        <v>0</v>
      </c>
      <c r="CB213" s="579"/>
      <c r="CC213" s="579"/>
      <c r="CD213" s="579"/>
      <c r="CE213" s="579"/>
      <c r="CF213" s="579"/>
      <c r="CG213" s="579"/>
      <c r="CH213" s="579"/>
      <c r="CI213" s="579"/>
      <c r="CJ213" s="579"/>
      <c r="CK213" s="579"/>
      <c r="CL213" s="579"/>
      <c r="CM213" s="579"/>
      <c r="CN213" s="579"/>
      <c r="CO213" s="579"/>
      <c r="CP213" s="579"/>
      <c r="CQ213" s="579"/>
      <c r="CR213" s="579"/>
      <c r="CS213" s="579"/>
      <c r="CT213" s="579"/>
      <c r="CU213" s="579"/>
      <c r="CV213" s="579"/>
      <c r="CW213" s="579"/>
      <c r="CX213" s="579"/>
      <c r="CY213" s="579"/>
      <c r="CZ213" s="579"/>
      <c r="DA213" s="579"/>
      <c r="DB213" s="579"/>
      <c r="DC213" s="579"/>
      <c r="DD213" s="579"/>
      <c r="DE213" s="579"/>
      <c r="DF213" s="579"/>
      <c r="DG213" s="579"/>
      <c r="DH213" s="579"/>
      <c r="DI213" s="579"/>
      <c r="DJ213" s="579"/>
      <c r="DK213" s="579"/>
      <c r="DL213" s="579"/>
      <c r="DM213" s="579"/>
      <c r="DN213" s="579"/>
      <c r="DO213" s="579"/>
      <c r="DP213" s="579"/>
    </row>
    <row r="214" spans="1:120" hidden="1" outlineLevel="1">
      <c r="A214" s="89">
        <v>1110052010</v>
      </c>
      <c r="B214" s="90"/>
      <c r="C214" s="91" t="s">
        <v>64</v>
      </c>
      <c r="D214" s="1481"/>
      <c r="E214" s="1482"/>
      <c r="F214" s="420"/>
      <c r="G214" s="1256"/>
      <c r="H214" s="421"/>
      <c r="I214" s="422"/>
      <c r="J214" s="1425">
        <v>1</v>
      </c>
      <c r="K214" s="1426">
        <v>1</v>
      </c>
      <c r="L214" s="1043"/>
      <c r="M214" s="1594">
        <f t="shared" si="661"/>
        <v>0</v>
      </c>
      <c r="N214" s="415"/>
      <c r="O214" s="424">
        <f t="shared" si="655"/>
        <v>0</v>
      </c>
      <c r="P214" s="425"/>
      <c r="Q214" s="1340"/>
      <c r="R214" s="426"/>
      <c r="S214" s="426"/>
      <c r="T214" s="427">
        <f t="shared" si="656"/>
        <v>0</v>
      </c>
      <c r="U214" s="418">
        <f t="shared" si="657"/>
        <v>0</v>
      </c>
      <c r="V214" s="517">
        <f t="shared" si="658"/>
        <v>0</v>
      </c>
      <c r="W214" s="428">
        <f t="shared" si="659"/>
        <v>0</v>
      </c>
      <c r="X214" s="429">
        <f t="shared" si="660"/>
        <v>0</v>
      </c>
      <c r="Y214" s="92"/>
      <c r="AA214" s="2118"/>
      <c r="AB214" s="578"/>
      <c r="AC214" s="578"/>
      <c r="AD214" s="578"/>
      <c r="AE214" s="578"/>
      <c r="AF214" s="579"/>
      <c r="AG214" s="579"/>
      <c r="AH214" s="579"/>
      <c r="AI214" s="579"/>
      <c r="AJ214" s="579"/>
      <c r="AK214" s="579"/>
      <c r="AL214" s="1563"/>
      <c r="AM214" s="579"/>
      <c r="AN214" s="579"/>
      <c r="AO214" s="579"/>
      <c r="AP214" s="579"/>
      <c r="AQ214" s="579"/>
      <c r="AR214" s="579"/>
      <c r="AS214" s="579"/>
      <c r="AT214" s="579"/>
      <c r="AU214" s="579"/>
      <c r="AV214" s="579"/>
      <c r="AW214" s="579"/>
      <c r="AX214" s="579"/>
      <c r="AY214" s="579"/>
      <c r="AZ214" s="579"/>
      <c r="BA214" s="595"/>
      <c r="BB214" s="595"/>
      <c r="BC214" s="579"/>
      <c r="BD214" s="579"/>
      <c r="BE214" s="579"/>
      <c r="BF214" s="579"/>
      <c r="BG214" s="579"/>
      <c r="BH214" s="594"/>
      <c r="BI214" s="579"/>
      <c r="BJ214" s="579"/>
      <c r="BK214" s="579"/>
      <c r="BL214" s="579"/>
      <c r="BM214" s="594"/>
      <c r="BN214" s="579"/>
      <c r="BO214" s="579"/>
      <c r="BP214" s="579"/>
      <c r="BQ214" s="579"/>
      <c r="BR214" s="579"/>
      <c r="BS214" s="579"/>
      <c r="BT214" s="579"/>
      <c r="BU214" s="579"/>
      <c r="BV214" s="579"/>
      <c r="BW214" s="579"/>
      <c r="BX214" s="579"/>
      <c r="BY214" s="579"/>
      <c r="BZ214" s="579"/>
      <c r="CA214" s="594">
        <f>+M214</f>
        <v>0</v>
      </c>
      <c r="CB214" s="579"/>
      <c r="CC214" s="579"/>
      <c r="CD214" s="579"/>
      <c r="CE214" s="579"/>
      <c r="CF214" s="579"/>
      <c r="CG214" s="579"/>
      <c r="CH214" s="579"/>
      <c r="CI214" s="579"/>
      <c r="CJ214" s="579"/>
      <c r="CK214" s="579"/>
      <c r="CL214" s="579"/>
      <c r="CM214" s="579"/>
      <c r="CN214" s="579"/>
      <c r="CO214" s="579"/>
      <c r="CP214" s="579"/>
      <c r="CQ214" s="579"/>
      <c r="CR214" s="579"/>
      <c r="CS214" s="579"/>
      <c r="CT214" s="579"/>
      <c r="CU214" s="579"/>
      <c r="CV214" s="579"/>
      <c r="CW214" s="579"/>
      <c r="CX214" s="579"/>
      <c r="CY214" s="579"/>
      <c r="CZ214" s="579"/>
      <c r="DA214" s="579"/>
      <c r="DB214" s="579"/>
      <c r="DC214" s="579"/>
      <c r="DD214" s="579"/>
      <c r="DE214" s="579"/>
      <c r="DF214" s="579"/>
      <c r="DG214" s="579"/>
      <c r="DH214" s="579"/>
      <c r="DI214" s="579"/>
      <c r="DJ214" s="579"/>
      <c r="DK214" s="579"/>
      <c r="DL214" s="579"/>
      <c r="DM214" s="579"/>
      <c r="DN214" s="579"/>
      <c r="DO214" s="579"/>
      <c r="DP214" s="579"/>
    </row>
    <row r="215" spans="1:120" hidden="1" outlineLevel="1">
      <c r="A215" s="100">
        <v>1110052010</v>
      </c>
      <c r="B215" s="1216"/>
      <c r="C215" s="1695" t="s">
        <v>64</v>
      </c>
      <c r="D215" s="1629"/>
      <c r="E215" s="1630"/>
      <c r="F215" s="102"/>
      <c r="G215" s="1258"/>
      <c r="H215" s="103"/>
      <c r="I215" s="104"/>
      <c r="J215" s="1604">
        <v>1</v>
      </c>
      <c r="K215" s="1605">
        <v>1</v>
      </c>
      <c r="L215" s="1696"/>
      <c r="M215" s="1697">
        <f t="shared" si="661"/>
        <v>0</v>
      </c>
      <c r="N215" s="106"/>
      <c r="O215" s="107">
        <f t="shared" si="655"/>
        <v>0</v>
      </c>
      <c r="P215" s="108"/>
      <c r="Q215" s="1342">
        <f t="shared" ref="Q215:Q241" si="662">+P215*K215</f>
        <v>0</v>
      </c>
      <c r="R215" s="109"/>
      <c r="S215" s="109"/>
      <c r="T215" s="110">
        <f t="shared" si="656"/>
        <v>0</v>
      </c>
      <c r="U215" s="111">
        <f t="shared" si="657"/>
        <v>0</v>
      </c>
      <c r="V215" s="566">
        <f t="shared" si="658"/>
        <v>0</v>
      </c>
      <c r="W215" s="112">
        <f t="shared" si="659"/>
        <v>0</v>
      </c>
      <c r="X215" s="113">
        <f t="shared" si="660"/>
        <v>0</v>
      </c>
      <c r="Y215" s="114"/>
      <c r="Z215" s="1055"/>
      <c r="AA215" s="2118"/>
      <c r="AB215" s="507"/>
      <c r="AC215" s="507"/>
      <c r="AD215" s="507"/>
      <c r="AE215" s="507"/>
      <c r="AF215" s="565"/>
      <c r="AG215" s="565"/>
      <c r="AH215" s="565"/>
      <c r="AI215" s="565"/>
      <c r="AJ215" s="565"/>
      <c r="AK215" s="565"/>
      <c r="AL215" s="1562"/>
      <c r="AM215" s="565"/>
      <c r="AN215" s="565"/>
      <c r="AO215" s="565"/>
      <c r="AP215" s="565"/>
      <c r="AQ215" s="565"/>
      <c r="AR215" s="565"/>
      <c r="AS215" s="565"/>
      <c r="AT215" s="565"/>
      <c r="AU215" s="565"/>
      <c r="AV215" s="565"/>
      <c r="AW215" s="565"/>
      <c r="AX215" s="565"/>
      <c r="AY215" s="565"/>
      <c r="AZ215" s="565"/>
      <c r="BA215" s="565"/>
      <c r="BB215" s="565"/>
      <c r="BC215" s="565"/>
      <c r="BD215" s="565"/>
      <c r="BE215" s="565"/>
      <c r="BF215" s="565"/>
      <c r="BG215" s="565"/>
      <c r="BH215" s="565"/>
      <c r="BI215" s="565"/>
      <c r="BJ215" s="565"/>
      <c r="BK215" s="565"/>
      <c r="BL215" s="565"/>
      <c r="BM215" s="565"/>
      <c r="BN215" s="565"/>
      <c r="BO215" s="565"/>
      <c r="BP215" s="565"/>
      <c r="BQ215" s="565"/>
      <c r="BR215" s="565"/>
      <c r="BS215" s="565"/>
      <c r="BT215" s="565"/>
      <c r="BU215" s="2120">
        <f>+Q215</f>
        <v>0</v>
      </c>
      <c r="BV215" s="565"/>
      <c r="BW215" s="565"/>
      <c r="BX215" s="565"/>
      <c r="BY215" s="565"/>
      <c r="BZ215" s="565"/>
      <c r="CA215" s="565"/>
      <c r="CB215" s="565"/>
      <c r="CC215" s="565"/>
      <c r="CD215" s="565"/>
      <c r="CE215" s="565"/>
      <c r="CF215" s="565"/>
      <c r="CG215" s="565"/>
      <c r="CH215" s="565"/>
      <c r="CI215" s="565"/>
      <c r="CJ215" s="565"/>
      <c r="CK215" s="565"/>
      <c r="CL215" s="565"/>
      <c r="CM215" s="565"/>
      <c r="CN215" s="565"/>
      <c r="CO215" s="565"/>
      <c r="CP215" s="565"/>
      <c r="CQ215" s="565"/>
      <c r="CR215" s="565"/>
      <c r="CS215" s="565"/>
      <c r="CT215" s="565"/>
      <c r="CU215" s="565"/>
      <c r="CV215" s="565"/>
      <c r="CW215" s="565"/>
      <c r="CX215" s="565"/>
      <c r="CY215" s="565"/>
      <c r="CZ215" s="565"/>
      <c r="DA215" s="565"/>
      <c r="DB215" s="565"/>
      <c r="DC215" s="565"/>
      <c r="DD215" s="565"/>
      <c r="DE215" s="565"/>
      <c r="DF215" s="565"/>
      <c r="DG215" s="565"/>
      <c r="DH215" s="565"/>
      <c r="DI215" s="565"/>
      <c r="DJ215" s="565"/>
      <c r="DK215" s="565"/>
      <c r="DL215" s="565"/>
      <c r="DM215" s="565"/>
      <c r="DN215" s="565"/>
      <c r="DO215" s="565"/>
      <c r="DP215" s="565"/>
    </row>
    <row r="216" spans="1:120" hidden="1" outlineLevel="1">
      <c r="A216" s="100">
        <v>1110052010</v>
      </c>
      <c r="B216" s="1216"/>
      <c r="C216" s="1695" t="s">
        <v>64</v>
      </c>
      <c r="D216" s="1629"/>
      <c r="E216" s="1630"/>
      <c r="F216" s="102"/>
      <c r="G216" s="1258"/>
      <c r="H216" s="103"/>
      <c r="I216" s="104"/>
      <c r="J216" s="1604">
        <v>1</v>
      </c>
      <c r="K216" s="1605">
        <v>1</v>
      </c>
      <c r="L216" s="1696"/>
      <c r="M216" s="1697">
        <f t="shared" ref="M216" si="663">+L216*J216</f>
        <v>0</v>
      </c>
      <c r="N216" s="106"/>
      <c r="O216" s="107">
        <f t="shared" ref="O216" si="664">+L216*N216</f>
        <v>0</v>
      </c>
      <c r="P216" s="108"/>
      <c r="Q216" s="1342">
        <f t="shared" ref="Q216" si="665">+P216*K216</f>
        <v>0</v>
      </c>
      <c r="R216" s="109"/>
      <c r="S216" s="109"/>
      <c r="T216" s="110">
        <f t="shared" ref="T216" si="666">+P216*S216</f>
        <v>0</v>
      </c>
      <c r="U216" s="111">
        <f t="shared" ref="U216" si="667">+L216+P216+F216</f>
        <v>0</v>
      </c>
      <c r="V216" s="566">
        <f t="shared" ref="V216" si="668">+P216*R216+L216*N216+F216*H216</f>
        <v>0</v>
      </c>
      <c r="W216" s="112">
        <f t="shared" ref="W216" si="669">(IF(R216&gt;S216,(-P216*R216)-(-P216*S216),0))</f>
        <v>0</v>
      </c>
      <c r="X216" s="113">
        <f t="shared" ref="X216" si="670">(IF(R216&lt;S216,(-P216*R216)-(-P216*S216),0))</f>
        <v>0</v>
      </c>
      <c r="Y216" s="114"/>
      <c r="Z216" s="1055"/>
      <c r="AA216" s="2118"/>
      <c r="AB216" s="507"/>
      <c r="AC216" s="507"/>
      <c r="AD216" s="507"/>
      <c r="AE216" s="507"/>
      <c r="AF216" s="565"/>
      <c r="AG216" s="565"/>
      <c r="AH216" s="565"/>
      <c r="AI216" s="565"/>
      <c r="AJ216" s="565"/>
      <c r="AK216" s="565"/>
      <c r="AL216" s="1562"/>
      <c r="AM216" s="565"/>
      <c r="AN216" s="565"/>
      <c r="AO216" s="565"/>
      <c r="AP216" s="565"/>
      <c r="AQ216" s="565"/>
      <c r="AR216" s="565"/>
      <c r="AS216" s="565"/>
      <c r="AT216" s="565"/>
      <c r="AU216" s="565"/>
      <c r="AV216" s="565"/>
      <c r="AW216" s="565"/>
      <c r="AX216" s="565"/>
      <c r="AY216" s="565"/>
      <c r="AZ216" s="565"/>
      <c r="BA216" s="565"/>
      <c r="BB216" s="565"/>
      <c r="BC216" s="565"/>
      <c r="BD216" s="565"/>
      <c r="BE216" s="565"/>
      <c r="BF216" s="565"/>
      <c r="BG216" s="565"/>
      <c r="BH216" s="565"/>
      <c r="BI216" s="565"/>
      <c r="BJ216" s="565"/>
      <c r="BK216" s="565"/>
      <c r="BL216" s="565"/>
      <c r="BM216" s="565"/>
      <c r="BN216" s="565"/>
      <c r="BO216" s="565"/>
      <c r="BP216" s="565"/>
      <c r="BQ216" s="565"/>
      <c r="BR216" s="565"/>
      <c r="BS216" s="565"/>
      <c r="BT216" s="565"/>
      <c r="BU216" s="565"/>
      <c r="BV216" s="2120">
        <f>+Q216</f>
        <v>0</v>
      </c>
      <c r="BW216" s="565"/>
      <c r="BX216" s="565"/>
      <c r="BY216" s="565"/>
      <c r="BZ216" s="565"/>
      <c r="CA216" s="565"/>
      <c r="CB216" s="565"/>
      <c r="CC216" s="565"/>
      <c r="CD216" s="565"/>
      <c r="CE216" s="565"/>
      <c r="CF216" s="565"/>
      <c r="CG216" s="565"/>
      <c r="CH216" s="565"/>
      <c r="CI216" s="565"/>
      <c r="CJ216" s="565"/>
      <c r="CK216" s="565"/>
      <c r="CL216" s="565"/>
      <c r="CM216" s="565"/>
      <c r="CN216" s="565"/>
      <c r="CO216" s="565"/>
      <c r="CP216" s="565"/>
      <c r="CQ216" s="565"/>
      <c r="CR216" s="565"/>
      <c r="CS216" s="565"/>
      <c r="CT216" s="565"/>
      <c r="CU216" s="565"/>
      <c r="CV216" s="565"/>
      <c r="CW216" s="565"/>
      <c r="CX216" s="565"/>
      <c r="CY216" s="565"/>
      <c r="CZ216" s="565"/>
      <c r="DA216" s="565"/>
      <c r="DB216" s="565"/>
      <c r="DC216" s="565"/>
      <c r="DD216" s="565"/>
      <c r="DE216" s="565"/>
      <c r="DF216" s="565"/>
      <c r="DG216" s="565"/>
      <c r="DH216" s="565"/>
      <c r="DI216" s="565"/>
      <c r="DJ216" s="565"/>
      <c r="DK216" s="565"/>
      <c r="DL216" s="565"/>
      <c r="DM216" s="565"/>
      <c r="DN216" s="565"/>
      <c r="DO216" s="565"/>
      <c r="DP216" s="565"/>
    </row>
    <row r="217" spans="1:120" hidden="1" outlineLevel="1">
      <c r="A217" s="100">
        <v>1110052010</v>
      </c>
      <c r="B217" s="1216"/>
      <c r="C217" s="1695" t="s">
        <v>64</v>
      </c>
      <c r="D217" s="1629"/>
      <c r="E217" s="1630"/>
      <c r="F217" s="102"/>
      <c r="G217" s="1258"/>
      <c r="H217" s="103"/>
      <c r="I217" s="104"/>
      <c r="J217" s="1604">
        <v>1</v>
      </c>
      <c r="K217" s="1605">
        <v>1</v>
      </c>
      <c r="L217" s="1696"/>
      <c r="M217" s="1697">
        <f t="shared" ref="M217" si="671">+L217*J217</f>
        <v>0</v>
      </c>
      <c r="N217" s="106"/>
      <c r="O217" s="107">
        <f t="shared" ref="O217" si="672">+L217*N217</f>
        <v>0</v>
      </c>
      <c r="P217" s="108"/>
      <c r="Q217" s="1342">
        <f t="shared" ref="Q217" si="673">+P217*K217</f>
        <v>0</v>
      </c>
      <c r="R217" s="109"/>
      <c r="S217" s="109"/>
      <c r="T217" s="110">
        <f t="shared" ref="T217" si="674">+P217*S217</f>
        <v>0</v>
      </c>
      <c r="U217" s="111">
        <f t="shared" ref="U217" si="675">+L217+P217+F217</f>
        <v>0</v>
      </c>
      <c r="V217" s="566">
        <f t="shared" ref="V217" si="676">+P217*R217+L217*N217+F217*H217</f>
        <v>0</v>
      </c>
      <c r="W217" s="112">
        <f t="shared" ref="W217" si="677">(IF(R217&gt;S217,(-P217*R217)-(-P217*S217),0))</f>
        <v>0</v>
      </c>
      <c r="X217" s="113">
        <f t="shared" ref="X217" si="678">(IF(R217&lt;S217,(-P217*R217)-(-P217*S217),0))</f>
        <v>0</v>
      </c>
      <c r="Y217" s="114"/>
      <c r="Z217" s="1055"/>
      <c r="AA217" s="2118"/>
      <c r="AB217" s="507"/>
      <c r="AC217" s="507"/>
      <c r="AD217" s="507"/>
      <c r="AE217" s="507"/>
      <c r="AF217" s="565"/>
      <c r="AG217" s="565"/>
      <c r="AH217" s="565"/>
      <c r="AI217" s="565"/>
      <c r="AJ217" s="565"/>
      <c r="AK217" s="565"/>
      <c r="AL217" s="1562"/>
      <c r="AM217" s="565"/>
      <c r="AN217" s="565"/>
      <c r="AO217" s="565"/>
      <c r="AP217" s="565"/>
      <c r="AQ217" s="565"/>
      <c r="AR217" s="565"/>
      <c r="AS217" s="565"/>
      <c r="AT217" s="565"/>
      <c r="AU217" s="565"/>
      <c r="AV217" s="565"/>
      <c r="AW217" s="565"/>
      <c r="AX217" s="565"/>
      <c r="AY217" s="565"/>
      <c r="AZ217" s="565"/>
      <c r="BA217" s="565"/>
      <c r="BB217" s="565"/>
      <c r="BC217" s="565"/>
      <c r="BD217" s="565"/>
      <c r="BE217" s="565"/>
      <c r="BF217" s="565"/>
      <c r="BG217" s="565"/>
      <c r="BH217" s="565"/>
      <c r="BI217" s="565"/>
      <c r="BJ217" s="565"/>
      <c r="BK217" s="565"/>
      <c r="BL217" s="565"/>
      <c r="BM217" s="565"/>
      <c r="BN217" s="565"/>
      <c r="BO217" s="565"/>
      <c r="BP217" s="565"/>
      <c r="BQ217" s="565"/>
      <c r="BR217" s="565"/>
      <c r="BS217" s="565"/>
      <c r="BT217" s="565"/>
      <c r="BU217" s="565"/>
      <c r="BV217" s="565"/>
      <c r="BW217" s="2120">
        <f>+Q217</f>
        <v>0</v>
      </c>
      <c r="BX217" s="565"/>
      <c r="BY217" s="565"/>
      <c r="BZ217" s="565"/>
      <c r="CA217" s="565"/>
      <c r="CB217" s="565"/>
      <c r="CC217" s="565"/>
      <c r="CD217" s="565"/>
      <c r="CE217" s="565"/>
      <c r="CF217" s="565"/>
      <c r="CG217" s="565"/>
      <c r="CH217" s="565"/>
      <c r="CI217" s="565"/>
      <c r="CJ217" s="565"/>
      <c r="CK217" s="565"/>
      <c r="CL217" s="565"/>
      <c r="CM217" s="565"/>
      <c r="CN217" s="565"/>
      <c r="CO217" s="565"/>
      <c r="CP217" s="565"/>
      <c r="CQ217" s="565"/>
      <c r="CR217" s="565"/>
      <c r="CS217" s="565"/>
      <c r="CT217" s="565"/>
      <c r="CU217" s="565"/>
      <c r="CV217" s="565"/>
      <c r="CW217" s="565"/>
      <c r="CX217" s="565"/>
      <c r="CY217" s="565"/>
      <c r="CZ217" s="565"/>
      <c r="DA217" s="565"/>
      <c r="DB217" s="565"/>
      <c r="DC217" s="565"/>
      <c r="DD217" s="565"/>
      <c r="DE217" s="565"/>
      <c r="DF217" s="565"/>
      <c r="DG217" s="565"/>
      <c r="DH217" s="565"/>
      <c r="DI217" s="565"/>
      <c r="DJ217" s="565"/>
      <c r="DK217" s="565"/>
      <c r="DL217" s="565"/>
      <c r="DM217" s="565"/>
      <c r="DN217" s="565"/>
      <c r="DO217" s="565"/>
      <c r="DP217" s="565"/>
    </row>
    <row r="218" spans="1:120" hidden="1" outlineLevel="1">
      <c r="A218" s="100">
        <v>1110052010</v>
      </c>
      <c r="B218" s="1216"/>
      <c r="C218" s="1695" t="s">
        <v>64</v>
      </c>
      <c r="D218" s="1629"/>
      <c r="E218" s="1630"/>
      <c r="F218" s="102"/>
      <c r="G218" s="1258"/>
      <c r="H218" s="103"/>
      <c r="I218" s="104"/>
      <c r="J218" s="1604">
        <v>1</v>
      </c>
      <c r="K218" s="1605">
        <v>1</v>
      </c>
      <c r="L218" s="1696"/>
      <c r="M218" s="1697">
        <f t="shared" si="661"/>
        <v>0</v>
      </c>
      <c r="N218" s="106"/>
      <c r="O218" s="107">
        <f t="shared" ref="O218:O225" si="679">+L218*N218</f>
        <v>0</v>
      </c>
      <c r="P218" s="108"/>
      <c r="Q218" s="1342">
        <f t="shared" si="662"/>
        <v>0</v>
      </c>
      <c r="R218" s="109"/>
      <c r="S218" s="109"/>
      <c r="T218" s="110">
        <f t="shared" ref="T218:T225" si="680">+P218*S218</f>
        <v>0</v>
      </c>
      <c r="U218" s="111">
        <f t="shared" ref="U218:U225" si="681">+L218+P218+F218</f>
        <v>0</v>
      </c>
      <c r="V218" s="566">
        <f t="shared" ref="V218:V225" si="682">+P218*R218+L218*N218+F218*H218</f>
        <v>0</v>
      </c>
      <c r="W218" s="112">
        <f t="shared" ref="W218:W225" si="683">(IF(R218&gt;S218,(-P218*R218)-(-P218*S218),0))</f>
        <v>0</v>
      </c>
      <c r="X218" s="113">
        <f t="shared" ref="X218:X225" si="684">(IF(R218&lt;S218,(-P218*R218)-(-P218*S218),0))</f>
        <v>0</v>
      </c>
      <c r="Y218" s="114"/>
      <c r="Z218" s="1055"/>
      <c r="AA218" s="2118"/>
      <c r="AB218" s="507"/>
      <c r="AC218" s="507"/>
      <c r="AD218" s="507"/>
      <c r="AE218" s="507"/>
      <c r="AF218" s="565"/>
      <c r="AG218" s="565"/>
      <c r="AH218" s="565"/>
      <c r="AI218" s="565"/>
      <c r="AJ218" s="565"/>
      <c r="AK218" s="565"/>
      <c r="AL218" s="1562"/>
      <c r="AM218" s="565"/>
      <c r="AN218" s="565"/>
      <c r="AO218" s="565"/>
      <c r="AP218" s="565"/>
      <c r="AQ218" s="565"/>
      <c r="AR218" s="565"/>
      <c r="AS218" s="565"/>
      <c r="AT218" s="565"/>
      <c r="AU218" s="565"/>
      <c r="AV218" s="565"/>
      <c r="AW218" s="565"/>
      <c r="AX218" s="565"/>
      <c r="AY218" s="565"/>
      <c r="AZ218" s="565"/>
      <c r="BA218" s="565"/>
      <c r="BB218" s="565"/>
      <c r="BC218" s="565"/>
      <c r="BD218" s="565"/>
      <c r="BE218" s="565"/>
      <c r="BF218" s="565"/>
      <c r="BG218" s="565"/>
      <c r="BH218" s="565"/>
      <c r="BI218" s="565"/>
      <c r="BJ218" s="565"/>
      <c r="BK218" s="565"/>
      <c r="BL218" s="565"/>
      <c r="BM218" s="565"/>
      <c r="BN218" s="565"/>
      <c r="BO218" s="565"/>
      <c r="BP218" s="565"/>
      <c r="BQ218" s="565"/>
      <c r="BR218" s="565"/>
      <c r="BS218" s="565"/>
      <c r="BT218" s="565"/>
      <c r="BU218" s="565"/>
      <c r="BV218" s="565"/>
      <c r="BW218" s="2120">
        <f>+Q218</f>
        <v>0</v>
      </c>
      <c r="BX218" s="565"/>
      <c r="BY218" s="565"/>
      <c r="BZ218" s="565"/>
      <c r="CA218" s="565"/>
      <c r="CB218" s="565"/>
      <c r="CC218" s="565"/>
      <c r="CD218" s="565"/>
      <c r="CE218" s="565"/>
      <c r="CF218" s="565"/>
      <c r="CG218" s="565"/>
      <c r="CH218" s="565"/>
      <c r="CI218" s="565"/>
      <c r="CJ218" s="565"/>
      <c r="CK218" s="565"/>
      <c r="CL218" s="565"/>
      <c r="CM218" s="565"/>
      <c r="CN218" s="565"/>
      <c r="CO218" s="565"/>
      <c r="CP218" s="565"/>
      <c r="CQ218" s="565"/>
      <c r="CR218" s="565"/>
      <c r="CS218" s="565"/>
      <c r="CT218" s="565"/>
      <c r="CU218" s="565"/>
      <c r="CV218" s="565"/>
      <c r="CW218" s="565"/>
      <c r="CX218" s="565"/>
      <c r="CY218" s="565"/>
      <c r="CZ218" s="565"/>
      <c r="DA218" s="565"/>
      <c r="DB218" s="565"/>
      <c r="DC218" s="565"/>
      <c r="DD218" s="565"/>
      <c r="DE218" s="565"/>
      <c r="DF218" s="565"/>
      <c r="DG218" s="565"/>
      <c r="DH218" s="565"/>
      <c r="DI218" s="565"/>
      <c r="DJ218" s="565"/>
      <c r="DK218" s="565"/>
      <c r="DL218" s="565"/>
      <c r="DM218" s="565"/>
      <c r="DN218" s="565"/>
      <c r="DO218" s="565"/>
      <c r="DP218" s="565"/>
    </row>
    <row r="219" spans="1:120" hidden="1" outlineLevel="1">
      <c r="A219" s="100">
        <v>1110052010</v>
      </c>
      <c r="B219" s="1216"/>
      <c r="C219" s="1695" t="s">
        <v>64</v>
      </c>
      <c r="D219" s="1629"/>
      <c r="E219" s="1630"/>
      <c r="F219" s="102"/>
      <c r="G219" s="1258"/>
      <c r="H219" s="103"/>
      <c r="I219" s="104"/>
      <c r="J219" s="1604">
        <v>1</v>
      </c>
      <c r="K219" s="1605">
        <v>1</v>
      </c>
      <c r="L219" s="1696"/>
      <c r="M219" s="1697">
        <f t="shared" ref="M219" si="685">+L219*J219</f>
        <v>0</v>
      </c>
      <c r="N219" s="106"/>
      <c r="O219" s="107">
        <f t="shared" ref="O219" si="686">+L219*N219</f>
        <v>0</v>
      </c>
      <c r="P219" s="108"/>
      <c r="Q219" s="1342">
        <f t="shared" ref="Q219:Q239" si="687">+P219*K219</f>
        <v>0</v>
      </c>
      <c r="R219" s="109"/>
      <c r="S219" s="109"/>
      <c r="T219" s="110">
        <f t="shared" ref="T219" si="688">+P219*S219</f>
        <v>0</v>
      </c>
      <c r="U219" s="111">
        <f t="shared" ref="U219" si="689">+L219+P219+F219</f>
        <v>0</v>
      </c>
      <c r="V219" s="566">
        <f t="shared" ref="V219" si="690">+P219*R219+L219*N219+F219*H219</f>
        <v>0</v>
      </c>
      <c r="W219" s="112">
        <f t="shared" ref="W219" si="691">(IF(R219&gt;S219,(-P219*R219)-(-P219*S219),0))</f>
        <v>0</v>
      </c>
      <c r="X219" s="113">
        <f t="shared" ref="X219" si="692">(IF(R219&lt;S219,(-P219*R219)-(-P219*S219),0))</f>
        <v>0</v>
      </c>
      <c r="Y219" s="114"/>
      <c r="Z219" s="1055"/>
      <c r="AA219" s="2118"/>
      <c r="AB219" s="507"/>
      <c r="AC219" s="507"/>
      <c r="AD219" s="507"/>
      <c r="AE219" s="507"/>
      <c r="AF219" s="565"/>
      <c r="AG219" s="565"/>
      <c r="AH219" s="565"/>
      <c r="AI219" s="565"/>
      <c r="AJ219" s="565"/>
      <c r="AK219" s="565"/>
      <c r="AL219" s="1562"/>
      <c r="AM219" s="565"/>
      <c r="AN219" s="565"/>
      <c r="AO219" s="565"/>
      <c r="AP219" s="565"/>
      <c r="AQ219" s="565"/>
      <c r="AR219" s="565"/>
      <c r="AS219" s="565"/>
      <c r="AT219" s="565"/>
      <c r="AU219" s="565"/>
      <c r="AV219" s="565"/>
      <c r="AW219" s="565"/>
      <c r="AX219" s="565"/>
      <c r="AY219" s="565"/>
      <c r="AZ219" s="565"/>
      <c r="BA219" s="565"/>
      <c r="BB219" s="565"/>
      <c r="BC219" s="565"/>
      <c r="BD219" s="565"/>
      <c r="BE219" s="565"/>
      <c r="BF219" s="565"/>
      <c r="BG219" s="565"/>
      <c r="BH219" s="565"/>
      <c r="BI219" s="565"/>
      <c r="BJ219" s="565"/>
      <c r="BK219" s="565"/>
      <c r="BL219" s="565"/>
      <c r="BM219" s="565"/>
      <c r="BN219" s="565"/>
      <c r="BO219" s="565"/>
      <c r="BP219" s="565"/>
      <c r="BQ219" s="565"/>
      <c r="BR219" s="565"/>
      <c r="BS219" s="565"/>
      <c r="BT219" s="565"/>
      <c r="BU219" s="565"/>
      <c r="BV219" s="565"/>
      <c r="BW219" s="565"/>
      <c r="BX219" s="2120">
        <f>+Q219</f>
        <v>0</v>
      </c>
      <c r="BY219" s="565"/>
      <c r="BZ219" s="565"/>
      <c r="CA219" s="565"/>
      <c r="CB219" s="565"/>
      <c r="CC219" s="565"/>
      <c r="CD219" s="565"/>
      <c r="CE219" s="565"/>
      <c r="CF219" s="565"/>
      <c r="CG219" s="565"/>
      <c r="CH219" s="565"/>
      <c r="CI219" s="565"/>
      <c r="CJ219" s="565"/>
      <c r="CK219" s="565"/>
      <c r="CL219" s="565"/>
      <c r="CM219" s="565"/>
      <c r="CN219" s="565"/>
      <c r="CO219" s="565"/>
      <c r="CP219" s="565"/>
      <c r="CQ219" s="565"/>
      <c r="CR219" s="565"/>
      <c r="CS219" s="565"/>
      <c r="CT219" s="565"/>
      <c r="CU219" s="565"/>
      <c r="CV219" s="565"/>
      <c r="CW219" s="565"/>
      <c r="CX219" s="565"/>
      <c r="CY219" s="565"/>
      <c r="CZ219" s="565"/>
      <c r="DA219" s="565"/>
      <c r="DB219" s="565"/>
      <c r="DC219" s="565"/>
      <c r="DD219" s="565"/>
      <c r="DE219" s="565"/>
      <c r="DF219" s="565"/>
      <c r="DG219" s="565"/>
      <c r="DH219" s="565"/>
      <c r="DI219" s="565"/>
      <c r="DJ219" s="565"/>
      <c r="DK219" s="565"/>
      <c r="DL219" s="565"/>
      <c r="DM219" s="565"/>
      <c r="DN219" s="565"/>
      <c r="DO219" s="565"/>
      <c r="DP219" s="565"/>
    </row>
    <row r="220" spans="1:120" hidden="1" outlineLevel="1">
      <c r="A220" s="89">
        <v>1110052010</v>
      </c>
      <c r="B220" s="90"/>
      <c r="C220" s="91" t="s">
        <v>64</v>
      </c>
      <c r="D220" s="1481"/>
      <c r="E220" s="1482"/>
      <c r="F220" s="420"/>
      <c r="G220" s="1256"/>
      <c r="H220" s="421"/>
      <c r="I220" s="422"/>
      <c r="J220" s="1425">
        <v>1</v>
      </c>
      <c r="K220" s="1426">
        <v>1</v>
      </c>
      <c r="L220" s="1043"/>
      <c r="M220" s="1594">
        <f t="shared" si="661"/>
        <v>0</v>
      </c>
      <c r="N220" s="415"/>
      <c r="O220" s="424">
        <f t="shared" si="679"/>
        <v>0</v>
      </c>
      <c r="P220" s="425"/>
      <c r="Q220" s="1340">
        <f t="shared" si="687"/>
        <v>0</v>
      </c>
      <c r="R220" s="426"/>
      <c r="S220" s="426"/>
      <c r="T220" s="427">
        <f t="shared" si="680"/>
        <v>0</v>
      </c>
      <c r="U220" s="418">
        <f t="shared" si="681"/>
        <v>0</v>
      </c>
      <c r="V220" s="517">
        <f t="shared" si="682"/>
        <v>0</v>
      </c>
      <c r="W220" s="428">
        <f t="shared" si="683"/>
        <v>0</v>
      </c>
      <c r="X220" s="429">
        <f t="shared" si="684"/>
        <v>0</v>
      </c>
      <c r="Y220" s="1694"/>
      <c r="AA220" s="2118"/>
      <c r="AB220" s="2121">
        <f>+Q220</f>
        <v>0</v>
      </c>
      <c r="AC220" s="578"/>
      <c r="AD220" s="578"/>
      <c r="AE220" s="578"/>
      <c r="AF220" s="579"/>
      <c r="AG220" s="579"/>
      <c r="AH220" s="579"/>
      <c r="AI220" s="579"/>
      <c r="AJ220" s="579"/>
      <c r="AK220" s="579"/>
      <c r="AL220" s="1563"/>
      <c r="AM220" s="579"/>
      <c r="AN220" s="579"/>
      <c r="AO220" s="579"/>
      <c r="AP220" s="579"/>
      <c r="AQ220" s="579"/>
      <c r="AR220" s="579"/>
      <c r="AS220" s="579"/>
      <c r="AT220" s="579"/>
      <c r="AU220" s="579"/>
      <c r="AV220" s="579"/>
      <c r="AW220" s="579"/>
      <c r="AX220" s="579"/>
      <c r="AY220" s="579"/>
      <c r="AZ220" s="579"/>
      <c r="BA220" s="595"/>
      <c r="BB220" s="595"/>
      <c r="BC220" s="579"/>
      <c r="BD220" s="579"/>
      <c r="BE220" s="579"/>
      <c r="BF220" s="579"/>
      <c r="BG220" s="579"/>
      <c r="BH220" s="579"/>
      <c r="BI220" s="594"/>
      <c r="BJ220" s="579"/>
      <c r="BK220" s="594"/>
      <c r="BL220" s="579"/>
      <c r="BM220" s="579"/>
      <c r="BN220" s="579"/>
      <c r="BO220" s="579"/>
      <c r="BP220" s="579"/>
      <c r="BQ220" s="579"/>
      <c r="BR220" s="579"/>
      <c r="BS220" s="579"/>
      <c r="BT220" s="579"/>
      <c r="BU220" s="579"/>
      <c r="BV220" s="579"/>
      <c r="BW220" s="579"/>
      <c r="BX220" s="594"/>
      <c r="BY220" s="579"/>
      <c r="BZ220" s="579"/>
      <c r="CA220" s="579"/>
      <c r="CB220" s="579"/>
      <c r="CC220" s="579"/>
      <c r="CD220" s="579"/>
      <c r="CE220" s="579"/>
      <c r="CF220" s="579"/>
      <c r="CG220" s="579"/>
      <c r="CH220" s="579"/>
      <c r="CI220" s="579"/>
      <c r="CJ220" s="579"/>
      <c r="CK220" s="579"/>
      <c r="CL220" s="579"/>
      <c r="CM220" s="579"/>
      <c r="CN220" s="579"/>
      <c r="CO220" s="579"/>
      <c r="CP220" s="579"/>
      <c r="CQ220" s="579"/>
      <c r="CR220" s="579"/>
      <c r="CS220" s="579"/>
      <c r="CT220" s="579"/>
      <c r="CU220" s="579"/>
      <c r="CV220" s="579"/>
      <c r="CW220" s="579"/>
      <c r="CX220" s="579"/>
      <c r="CY220" s="579"/>
      <c r="CZ220" s="579"/>
      <c r="DA220" s="579"/>
      <c r="DB220" s="579"/>
      <c r="DC220" s="579"/>
      <c r="DD220" s="579"/>
      <c r="DE220" s="579"/>
      <c r="DF220" s="579"/>
      <c r="DG220" s="579"/>
      <c r="DH220" s="579"/>
      <c r="DI220" s="579"/>
      <c r="DJ220" s="579"/>
      <c r="DK220" s="579"/>
      <c r="DL220" s="579"/>
      <c r="DM220" s="579"/>
      <c r="DN220" s="579"/>
      <c r="DO220" s="579"/>
      <c r="DP220" s="579"/>
    </row>
    <row r="221" spans="1:120" hidden="1" outlineLevel="1">
      <c r="A221" s="89">
        <v>1110052010</v>
      </c>
      <c r="B221" s="90"/>
      <c r="C221" s="91" t="s">
        <v>64</v>
      </c>
      <c r="D221" s="1481"/>
      <c r="E221" s="1482"/>
      <c r="F221" s="420"/>
      <c r="G221" s="1256"/>
      <c r="H221" s="421"/>
      <c r="I221" s="422"/>
      <c r="J221" s="1425">
        <v>1</v>
      </c>
      <c r="K221" s="1426">
        <v>1</v>
      </c>
      <c r="L221" s="1043"/>
      <c r="M221" s="1594">
        <f t="shared" ref="M221" si="693">+L221*J221</f>
        <v>0</v>
      </c>
      <c r="N221" s="415"/>
      <c r="O221" s="424">
        <f t="shared" ref="O221" si="694">+L221*N221</f>
        <v>0</v>
      </c>
      <c r="P221" s="425"/>
      <c r="Q221" s="1340">
        <f t="shared" si="687"/>
        <v>0</v>
      </c>
      <c r="R221" s="426"/>
      <c r="S221" s="426"/>
      <c r="T221" s="427">
        <f t="shared" ref="T221" si="695">+P221*S221</f>
        <v>0</v>
      </c>
      <c r="U221" s="418">
        <f t="shared" ref="U221" si="696">+L221+P221+F221</f>
        <v>0</v>
      </c>
      <c r="V221" s="517">
        <f t="shared" ref="V221" si="697">+P221*R221+L221*N221+F221*H221</f>
        <v>0</v>
      </c>
      <c r="W221" s="428">
        <f t="shared" ref="W221" si="698">(IF(R221&gt;S221,(-P221*R221)-(-P221*S221),0))</f>
        <v>0</v>
      </c>
      <c r="X221" s="429">
        <f t="shared" ref="X221" si="699">(IF(R221&lt;S221,(-P221*R221)-(-P221*S221),0))</f>
        <v>0</v>
      </c>
      <c r="Y221" s="1694"/>
      <c r="AA221" s="2118"/>
      <c r="AB221" s="2121"/>
      <c r="AC221" s="578"/>
      <c r="AD221" s="578"/>
      <c r="AE221" s="578"/>
      <c r="AF221" s="579"/>
      <c r="AG221" s="579"/>
      <c r="AH221" s="579"/>
      <c r="AI221" s="579"/>
      <c r="AJ221" s="579"/>
      <c r="AK221" s="579"/>
      <c r="AL221" s="1563"/>
      <c r="AM221" s="579"/>
      <c r="AN221" s="579"/>
      <c r="AO221" s="579"/>
      <c r="AP221" s="579"/>
      <c r="AQ221" s="579"/>
      <c r="AR221" s="579"/>
      <c r="AS221" s="579"/>
      <c r="AT221" s="579"/>
      <c r="AU221" s="579"/>
      <c r="AV221" s="579"/>
      <c r="AW221" s="579"/>
      <c r="AX221" s="579"/>
      <c r="AY221" s="579"/>
      <c r="AZ221" s="579"/>
      <c r="BA221" s="595"/>
      <c r="BB221" s="595"/>
      <c r="BC221" s="579"/>
      <c r="BD221" s="579"/>
      <c r="BE221" s="579"/>
      <c r="BF221" s="579"/>
      <c r="BG221" s="579"/>
      <c r="BH221" s="579"/>
      <c r="BI221" s="594"/>
      <c r="BJ221" s="579"/>
      <c r="BK221" s="594"/>
      <c r="BL221" s="579"/>
      <c r="BM221" s="579"/>
      <c r="BN221" s="579"/>
      <c r="BO221" s="579"/>
      <c r="BP221" s="579"/>
      <c r="BQ221" s="579"/>
      <c r="BR221" s="579"/>
      <c r="BS221" s="579"/>
      <c r="BT221" s="579"/>
      <c r="BU221" s="579"/>
      <c r="BV221" s="579"/>
      <c r="BW221" s="579"/>
      <c r="BX221" s="594">
        <f>+Q221</f>
        <v>0</v>
      </c>
      <c r="BY221" s="579"/>
      <c r="BZ221" s="579"/>
      <c r="CA221" s="579"/>
      <c r="CB221" s="579"/>
      <c r="CC221" s="579"/>
      <c r="CD221" s="579"/>
      <c r="CE221" s="579"/>
      <c r="CF221" s="579"/>
      <c r="CG221" s="579"/>
      <c r="CH221" s="579"/>
      <c r="CI221" s="579"/>
      <c r="CJ221" s="579"/>
      <c r="CK221" s="579"/>
      <c r="CL221" s="579"/>
      <c r="CM221" s="579"/>
      <c r="CN221" s="579"/>
      <c r="CO221" s="579"/>
      <c r="CP221" s="579"/>
      <c r="CQ221" s="579"/>
      <c r="CR221" s="579"/>
      <c r="CS221" s="579"/>
      <c r="CT221" s="579"/>
      <c r="CU221" s="579"/>
      <c r="CV221" s="579"/>
      <c r="CW221" s="579"/>
      <c r="CX221" s="579"/>
      <c r="CY221" s="579"/>
      <c r="CZ221" s="579"/>
      <c r="DA221" s="579"/>
      <c r="DB221" s="579"/>
      <c r="DC221" s="579"/>
      <c r="DD221" s="579"/>
      <c r="DE221" s="579"/>
      <c r="DF221" s="579"/>
      <c r="DG221" s="579"/>
      <c r="DH221" s="579"/>
      <c r="DI221" s="579"/>
      <c r="DJ221" s="579"/>
      <c r="DK221" s="579"/>
      <c r="DL221" s="579"/>
      <c r="DM221" s="579"/>
      <c r="DN221" s="579"/>
      <c r="DO221" s="579"/>
      <c r="DP221" s="579"/>
    </row>
    <row r="222" spans="1:120" hidden="1" outlineLevel="1">
      <c r="A222" s="89">
        <v>1110052010</v>
      </c>
      <c r="B222" s="90"/>
      <c r="C222" s="91" t="s">
        <v>64</v>
      </c>
      <c r="D222" s="1481"/>
      <c r="E222" s="1482"/>
      <c r="F222" s="420"/>
      <c r="G222" s="1256"/>
      <c r="H222" s="421"/>
      <c r="I222" s="422"/>
      <c r="J222" s="1425">
        <v>1</v>
      </c>
      <c r="K222" s="1426">
        <v>1</v>
      </c>
      <c r="L222" s="1043"/>
      <c r="M222" s="1594">
        <f t="shared" si="661"/>
        <v>0</v>
      </c>
      <c r="N222" s="415"/>
      <c r="O222" s="424">
        <f t="shared" si="679"/>
        <v>0</v>
      </c>
      <c r="P222" s="425"/>
      <c r="Q222" s="1340">
        <f t="shared" si="687"/>
        <v>0</v>
      </c>
      <c r="R222" s="426"/>
      <c r="S222" s="426"/>
      <c r="T222" s="427">
        <f t="shared" si="680"/>
        <v>0</v>
      </c>
      <c r="U222" s="418">
        <f t="shared" si="681"/>
        <v>0</v>
      </c>
      <c r="V222" s="517">
        <f t="shared" si="682"/>
        <v>0</v>
      </c>
      <c r="W222" s="428">
        <f t="shared" si="683"/>
        <v>0</v>
      </c>
      <c r="X222" s="429">
        <f t="shared" si="684"/>
        <v>0</v>
      </c>
      <c r="Y222" s="1694"/>
      <c r="AA222" s="2118"/>
      <c r="AB222" s="2121"/>
      <c r="AC222" s="578"/>
      <c r="AD222" s="578"/>
      <c r="AE222" s="578"/>
      <c r="AF222" s="579"/>
      <c r="AG222" s="579"/>
      <c r="AH222" s="579"/>
      <c r="AI222" s="579"/>
      <c r="AJ222" s="579"/>
      <c r="AK222" s="579"/>
      <c r="AL222" s="1563"/>
      <c r="AM222" s="579"/>
      <c r="AN222" s="579"/>
      <c r="AO222" s="579"/>
      <c r="AP222" s="579"/>
      <c r="AQ222" s="579"/>
      <c r="AR222" s="579"/>
      <c r="AS222" s="579"/>
      <c r="AT222" s="579"/>
      <c r="AU222" s="579"/>
      <c r="AV222" s="579"/>
      <c r="AW222" s="579"/>
      <c r="AX222" s="579"/>
      <c r="AY222" s="579"/>
      <c r="AZ222" s="579"/>
      <c r="BA222" s="595"/>
      <c r="BB222" s="595"/>
      <c r="BC222" s="579"/>
      <c r="BD222" s="579"/>
      <c r="BE222" s="579"/>
      <c r="BF222" s="579"/>
      <c r="BG222" s="579"/>
      <c r="BH222" s="579"/>
      <c r="BI222" s="594"/>
      <c r="BJ222" s="579"/>
      <c r="BK222" s="594"/>
      <c r="BL222" s="579"/>
      <c r="BM222" s="579"/>
      <c r="BN222" s="579"/>
      <c r="BO222" s="579"/>
      <c r="BP222" s="579"/>
      <c r="BQ222" s="579"/>
      <c r="BR222" s="579"/>
      <c r="BS222" s="579"/>
      <c r="BT222" s="579"/>
      <c r="BU222" s="579"/>
      <c r="BV222" s="579"/>
      <c r="BW222" s="579"/>
      <c r="BX222" s="594">
        <f>+Q222</f>
        <v>0</v>
      </c>
      <c r="BY222" s="579"/>
      <c r="BZ222" s="579"/>
      <c r="CA222" s="579"/>
      <c r="CB222" s="579"/>
      <c r="CC222" s="579"/>
      <c r="CD222" s="579"/>
      <c r="CE222" s="579"/>
      <c r="CF222" s="579"/>
      <c r="CG222" s="579"/>
      <c r="CH222" s="579"/>
      <c r="CI222" s="579"/>
      <c r="CJ222" s="579"/>
      <c r="CK222" s="579"/>
      <c r="CL222" s="579"/>
      <c r="CM222" s="579"/>
      <c r="CN222" s="579"/>
      <c r="CO222" s="579"/>
      <c r="CP222" s="579"/>
      <c r="CQ222" s="579"/>
      <c r="CR222" s="579"/>
      <c r="CS222" s="579"/>
      <c r="CT222" s="579"/>
      <c r="CU222" s="579"/>
      <c r="CV222" s="579"/>
      <c r="CW222" s="579"/>
      <c r="CX222" s="579"/>
      <c r="CY222" s="579"/>
      <c r="CZ222" s="579"/>
      <c r="DA222" s="579"/>
      <c r="DB222" s="579"/>
      <c r="DC222" s="579"/>
      <c r="DD222" s="579"/>
      <c r="DE222" s="579"/>
      <c r="DF222" s="579"/>
      <c r="DG222" s="579"/>
      <c r="DH222" s="579"/>
      <c r="DI222" s="579"/>
      <c r="DJ222" s="579"/>
      <c r="DK222" s="579"/>
      <c r="DL222" s="579"/>
      <c r="DM222" s="579"/>
      <c r="DN222" s="579"/>
      <c r="DO222" s="579"/>
      <c r="DP222" s="579"/>
    </row>
    <row r="223" spans="1:120" hidden="1" outlineLevel="1">
      <c r="A223" s="89">
        <v>1110052010</v>
      </c>
      <c r="B223" s="90"/>
      <c r="C223" s="91" t="s">
        <v>64</v>
      </c>
      <c r="D223" s="1481"/>
      <c r="E223" s="1482"/>
      <c r="F223" s="420"/>
      <c r="G223" s="1256"/>
      <c r="H223" s="421"/>
      <c r="I223" s="422"/>
      <c r="J223" s="1425">
        <v>1</v>
      </c>
      <c r="K223" s="1426">
        <v>1</v>
      </c>
      <c r="L223" s="1043"/>
      <c r="M223" s="1594">
        <f t="shared" si="661"/>
        <v>0</v>
      </c>
      <c r="N223" s="415"/>
      <c r="O223" s="424">
        <f t="shared" si="679"/>
        <v>0</v>
      </c>
      <c r="P223" s="425"/>
      <c r="Q223" s="1340">
        <f t="shared" si="687"/>
        <v>0</v>
      </c>
      <c r="R223" s="426"/>
      <c r="S223" s="426"/>
      <c r="T223" s="427">
        <f t="shared" si="680"/>
        <v>0</v>
      </c>
      <c r="U223" s="418">
        <f t="shared" si="681"/>
        <v>0</v>
      </c>
      <c r="V223" s="517">
        <f t="shared" si="682"/>
        <v>0</v>
      </c>
      <c r="W223" s="428">
        <f t="shared" si="683"/>
        <v>0</v>
      </c>
      <c r="X223" s="429">
        <f t="shared" si="684"/>
        <v>0</v>
      </c>
      <c r="Y223" s="1694"/>
      <c r="AA223" s="2118"/>
      <c r="AB223" s="578"/>
      <c r="AC223" s="578"/>
      <c r="AD223" s="578"/>
      <c r="AE223" s="578"/>
      <c r="AF223" s="579"/>
      <c r="AG223" s="579"/>
      <c r="AH223" s="579"/>
      <c r="AI223" s="579"/>
      <c r="AJ223" s="579"/>
      <c r="AK223" s="579"/>
      <c r="AL223" s="1563"/>
      <c r="AM223" s="579"/>
      <c r="AN223" s="579"/>
      <c r="AO223" s="579"/>
      <c r="AP223" s="579"/>
      <c r="AQ223" s="579"/>
      <c r="AR223" s="579"/>
      <c r="AS223" s="579"/>
      <c r="AT223" s="579"/>
      <c r="AU223" s="579"/>
      <c r="AV223" s="579"/>
      <c r="AW223" s="579"/>
      <c r="AX223" s="579"/>
      <c r="AY223" s="579"/>
      <c r="AZ223" s="579"/>
      <c r="BA223" s="595"/>
      <c r="BB223" s="595"/>
      <c r="BC223" s="579"/>
      <c r="BD223" s="579"/>
      <c r="BE223" s="579"/>
      <c r="BF223" s="579"/>
      <c r="BG223" s="579"/>
      <c r="BH223" s="579"/>
      <c r="BI223" s="594"/>
      <c r="BJ223" s="579"/>
      <c r="BK223" s="594"/>
      <c r="BL223" s="579"/>
      <c r="BM223" s="579"/>
      <c r="BN223" s="579"/>
      <c r="BO223" s="579"/>
      <c r="BP223" s="579"/>
      <c r="BQ223" s="579"/>
      <c r="BR223" s="579"/>
      <c r="BS223" s="579"/>
      <c r="BT223" s="579"/>
      <c r="BU223" s="579"/>
      <c r="BV223" s="579"/>
      <c r="BW223" s="579"/>
      <c r="BX223" s="594"/>
      <c r="BY223" s="579"/>
      <c r="BZ223" s="579"/>
      <c r="CA223" s="579"/>
      <c r="CB223" s="594">
        <f>+M223</f>
        <v>0</v>
      </c>
      <c r="CC223" s="579"/>
      <c r="CD223" s="579"/>
      <c r="CE223" s="579"/>
      <c r="CF223" s="579"/>
      <c r="CG223" s="579"/>
      <c r="CH223" s="579"/>
      <c r="CI223" s="579"/>
      <c r="CJ223" s="579"/>
      <c r="CK223" s="579"/>
      <c r="CL223" s="579"/>
      <c r="CM223" s="579"/>
      <c r="CN223" s="579"/>
      <c r="CO223" s="579"/>
      <c r="CP223" s="579"/>
      <c r="CQ223" s="579"/>
      <c r="CR223" s="579"/>
      <c r="CS223" s="579"/>
      <c r="CT223" s="579"/>
      <c r="CU223" s="579"/>
      <c r="CV223" s="579"/>
      <c r="CW223" s="579"/>
      <c r="CX223" s="579"/>
      <c r="CY223" s="579"/>
      <c r="CZ223" s="579"/>
      <c r="DA223" s="579"/>
      <c r="DB223" s="579"/>
      <c r="DC223" s="579"/>
      <c r="DD223" s="579"/>
      <c r="DE223" s="579"/>
      <c r="DF223" s="579"/>
      <c r="DG223" s="579"/>
      <c r="DH223" s="579"/>
      <c r="DI223" s="579"/>
      <c r="DJ223" s="579"/>
      <c r="DK223" s="579"/>
      <c r="DL223" s="579"/>
      <c r="DM223" s="579"/>
      <c r="DN223" s="579"/>
      <c r="DO223" s="579"/>
      <c r="DP223" s="579"/>
    </row>
    <row r="224" spans="1:120" hidden="1" outlineLevel="1">
      <c r="A224" s="89">
        <v>1110052010</v>
      </c>
      <c r="B224" s="90"/>
      <c r="C224" s="91" t="s">
        <v>64</v>
      </c>
      <c r="D224" s="1481"/>
      <c r="E224" s="1482"/>
      <c r="F224" s="420"/>
      <c r="G224" s="1256"/>
      <c r="H224" s="421"/>
      <c r="I224" s="422"/>
      <c r="J224" s="1425">
        <v>1</v>
      </c>
      <c r="K224" s="1426">
        <v>1</v>
      </c>
      <c r="L224" s="1043"/>
      <c r="M224" s="1594">
        <f t="shared" si="661"/>
        <v>0</v>
      </c>
      <c r="N224" s="415"/>
      <c r="O224" s="424">
        <f t="shared" si="679"/>
        <v>0</v>
      </c>
      <c r="P224" s="425"/>
      <c r="Q224" s="1340">
        <f t="shared" si="687"/>
        <v>0</v>
      </c>
      <c r="R224" s="426"/>
      <c r="S224" s="426"/>
      <c r="T224" s="427">
        <f t="shared" si="680"/>
        <v>0</v>
      </c>
      <c r="U224" s="418">
        <f t="shared" si="681"/>
        <v>0</v>
      </c>
      <c r="V224" s="517">
        <f t="shared" si="682"/>
        <v>0</v>
      </c>
      <c r="W224" s="428">
        <f t="shared" si="683"/>
        <v>0</v>
      </c>
      <c r="X224" s="429">
        <f t="shared" si="684"/>
        <v>0</v>
      </c>
      <c r="Y224" s="1694"/>
      <c r="AA224" s="2118"/>
      <c r="AB224" s="578"/>
      <c r="AC224" s="578"/>
      <c r="AD224" s="578"/>
      <c r="AE224" s="578"/>
      <c r="AF224" s="579"/>
      <c r="AG224" s="579"/>
      <c r="AH224" s="579"/>
      <c r="AI224" s="579"/>
      <c r="AJ224" s="579"/>
      <c r="AK224" s="579"/>
      <c r="AL224" s="1563"/>
      <c r="AM224" s="579"/>
      <c r="AN224" s="579"/>
      <c r="AO224" s="579"/>
      <c r="AP224" s="579"/>
      <c r="AQ224" s="579"/>
      <c r="AR224" s="579"/>
      <c r="AS224" s="579"/>
      <c r="AT224" s="579"/>
      <c r="AU224" s="579"/>
      <c r="AV224" s="579"/>
      <c r="AW224" s="579"/>
      <c r="AX224" s="579"/>
      <c r="AY224" s="579"/>
      <c r="AZ224" s="579"/>
      <c r="BA224" s="595"/>
      <c r="BB224" s="595"/>
      <c r="BC224" s="579"/>
      <c r="BD224" s="579"/>
      <c r="BE224" s="594"/>
      <c r="BF224" s="579"/>
      <c r="BG224" s="579"/>
      <c r="BH224" s="579"/>
      <c r="BI224" s="594"/>
      <c r="BJ224" s="579"/>
      <c r="BK224" s="594"/>
      <c r="BL224" s="579"/>
      <c r="BM224" s="579"/>
      <c r="BN224" s="579"/>
      <c r="BO224" s="579"/>
      <c r="BP224" s="579"/>
      <c r="BQ224" s="579"/>
      <c r="BR224" s="579"/>
      <c r="BS224" s="579"/>
      <c r="BT224" s="579"/>
      <c r="BU224" s="579"/>
      <c r="BV224" s="579"/>
      <c r="BW224" s="579"/>
      <c r="BX224" s="594"/>
      <c r="BY224" s="579"/>
      <c r="BZ224" s="579"/>
      <c r="CA224" s="579"/>
      <c r="CB224" s="579"/>
      <c r="CC224" s="594">
        <f>+M224</f>
        <v>0</v>
      </c>
      <c r="CD224" s="579"/>
      <c r="CE224" s="579"/>
      <c r="CF224" s="579"/>
      <c r="CG224" s="579"/>
      <c r="CH224" s="579"/>
      <c r="CI224" s="579"/>
      <c r="CJ224" s="579"/>
      <c r="CK224" s="579"/>
      <c r="CL224" s="579"/>
      <c r="CM224" s="579"/>
      <c r="CN224" s="579"/>
      <c r="CO224" s="579"/>
      <c r="CP224" s="579"/>
      <c r="CQ224" s="579"/>
      <c r="CR224" s="579"/>
      <c r="CS224" s="579"/>
      <c r="CT224" s="579"/>
      <c r="CU224" s="579"/>
      <c r="CV224" s="579"/>
      <c r="CW224" s="579"/>
      <c r="CX224" s="579"/>
      <c r="CY224" s="579"/>
      <c r="CZ224" s="579"/>
      <c r="DA224" s="579"/>
      <c r="DB224" s="579"/>
      <c r="DC224" s="579"/>
      <c r="DD224" s="579"/>
      <c r="DE224" s="579"/>
      <c r="DF224" s="579"/>
      <c r="DG224" s="579"/>
      <c r="DH224" s="579"/>
      <c r="DI224" s="579"/>
      <c r="DJ224" s="579"/>
      <c r="DK224" s="579"/>
      <c r="DL224" s="579"/>
      <c r="DM224" s="579"/>
      <c r="DN224" s="579"/>
      <c r="DO224" s="579"/>
      <c r="DP224" s="579"/>
    </row>
    <row r="225" spans="1:120" hidden="1" outlineLevel="1">
      <c r="A225" s="89">
        <v>1110052010</v>
      </c>
      <c r="B225" s="90"/>
      <c r="C225" s="91" t="s">
        <v>64</v>
      </c>
      <c r="D225" s="1481"/>
      <c r="E225" s="1482"/>
      <c r="F225" s="420"/>
      <c r="G225" s="1256"/>
      <c r="H225" s="421"/>
      <c r="I225" s="422"/>
      <c r="J225" s="1425">
        <v>1</v>
      </c>
      <c r="K225" s="1426">
        <v>1</v>
      </c>
      <c r="L225" s="1043"/>
      <c r="M225" s="1594">
        <f t="shared" si="661"/>
        <v>0</v>
      </c>
      <c r="N225" s="415"/>
      <c r="O225" s="424">
        <f t="shared" si="679"/>
        <v>0</v>
      </c>
      <c r="P225" s="425"/>
      <c r="Q225" s="1340">
        <f t="shared" si="687"/>
        <v>0</v>
      </c>
      <c r="R225" s="426"/>
      <c r="S225" s="426"/>
      <c r="T225" s="427">
        <f t="shared" si="680"/>
        <v>0</v>
      </c>
      <c r="U225" s="418">
        <f t="shared" si="681"/>
        <v>0</v>
      </c>
      <c r="V225" s="517">
        <f t="shared" si="682"/>
        <v>0</v>
      </c>
      <c r="W225" s="428">
        <f t="shared" si="683"/>
        <v>0</v>
      </c>
      <c r="X225" s="429">
        <f t="shared" si="684"/>
        <v>0</v>
      </c>
      <c r="Y225" s="1694"/>
      <c r="AA225" s="2118"/>
      <c r="AB225" s="578"/>
      <c r="AC225" s="578"/>
      <c r="AD225" s="578"/>
      <c r="AE225" s="578"/>
      <c r="AF225" s="579"/>
      <c r="AG225" s="579"/>
      <c r="AH225" s="579"/>
      <c r="AI225" s="579"/>
      <c r="AJ225" s="579"/>
      <c r="AK225" s="579"/>
      <c r="AL225" s="1563"/>
      <c r="AM225" s="579"/>
      <c r="AN225" s="579"/>
      <c r="AO225" s="579"/>
      <c r="AP225" s="579"/>
      <c r="AQ225" s="579"/>
      <c r="AR225" s="579"/>
      <c r="AS225" s="579"/>
      <c r="AT225" s="579"/>
      <c r="AU225" s="579"/>
      <c r="AV225" s="579"/>
      <c r="AW225" s="579"/>
      <c r="AX225" s="579"/>
      <c r="AY225" s="579"/>
      <c r="AZ225" s="579"/>
      <c r="BA225" s="595"/>
      <c r="BB225" s="595"/>
      <c r="BC225" s="579"/>
      <c r="BD225" s="579"/>
      <c r="BE225" s="579"/>
      <c r="BF225" s="579"/>
      <c r="BG225" s="579"/>
      <c r="BH225" s="594"/>
      <c r="BI225" s="594"/>
      <c r="BJ225" s="579"/>
      <c r="BK225" s="594"/>
      <c r="BL225" s="579"/>
      <c r="BM225" s="579"/>
      <c r="BN225" s="579"/>
      <c r="BO225" s="579"/>
      <c r="BP225" s="579"/>
      <c r="BQ225" s="579"/>
      <c r="BR225" s="579"/>
      <c r="BS225" s="579"/>
      <c r="BT225" s="579"/>
      <c r="BU225" s="579"/>
      <c r="BV225" s="579"/>
      <c r="BW225" s="579"/>
      <c r="BX225" s="594">
        <f>+Q225</f>
        <v>0</v>
      </c>
      <c r="BY225" s="579"/>
      <c r="BZ225" s="579"/>
      <c r="CA225" s="579"/>
      <c r="CB225" s="579"/>
      <c r="CC225" s="579"/>
      <c r="CD225" s="579"/>
      <c r="CE225" s="579"/>
      <c r="CF225" s="579"/>
      <c r="CG225" s="579"/>
      <c r="CH225" s="579"/>
      <c r="CI225" s="579"/>
      <c r="CJ225" s="579"/>
      <c r="CK225" s="579"/>
      <c r="CL225" s="579"/>
      <c r="CM225" s="579"/>
      <c r="CN225" s="579"/>
      <c r="CO225" s="579"/>
      <c r="CP225" s="579"/>
      <c r="CQ225" s="579"/>
      <c r="CR225" s="579"/>
      <c r="CS225" s="579"/>
      <c r="CT225" s="579"/>
      <c r="CU225" s="579"/>
      <c r="CV225" s="579"/>
      <c r="CW225" s="579"/>
      <c r="CX225" s="579"/>
      <c r="CY225" s="579"/>
      <c r="CZ225" s="579"/>
      <c r="DA225" s="579"/>
      <c r="DB225" s="579"/>
      <c r="DC225" s="579"/>
      <c r="DD225" s="579"/>
      <c r="DE225" s="579"/>
      <c r="DF225" s="579"/>
      <c r="DG225" s="579"/>
      <c r="DH225" s="579"/>
      <c r="DI225" s="579"/>
      <c r="DJ225" s="579"/>
      <c r="DK225" s="579"/>
      <c r="DL225" s="579"/>
      <c r="DM225" s="579"/>
      <c r="DN225" s="579"/>
      <c r="DO225" s="579"/>
      <c r="DP225" s="579"/>
    </row>
    <row r="226" spans="1:120" hidden="1" outlineLevel="1">
      <c r="A226" s="89">
        <v>1110052010</v>
      </c>
      <c r="B226" s="90"/>
      <c r="C226" s="91" t="s">
        <v>64</v>
      </c>
      <c r="D226" s="1481"/>
      <c r="E226" s="1482"/>
      <c r="F226" s="420"/>
      <c r="G226" s="1256"/>
      <c r="H226" s="421"/>
      <c r="I226" s="422"/>
      <c r="J226" s="1425">
        <v>1</v>
      </c>
      <c r="K226" s="1426">
        <v>1</v>
      </c>
      <c r="L226" s="1043"/>
      <c r="M226" s="1594">
        <f t="shared" si="661"/>
        <v>0</v>
      </c>
      <c r="N226" s="415"/>
      <c r="O226" s="424">
        <f t="shared" ref="O226:O233" si="700">+L226*N226</f>
        <v>0</v>
      </c>
      <c r="P226" s="425"/>
      <c r="Q226" s="1340">
        <f t="shared" si="687"/>
        <v>0</v>
      </c>
      <c r="R226" s="426"/>
      <c r="S226" s="426"/>
      <c r="T226" s="427">
        <f t="shared" ref="T226:T233" si="701">+P226*S226</f>
        <v>0</v>
      </c>
      <c r="U226" s="418">
        <f t="shared" ref="U226:U233" si="702">+L226+P226+F226</f>
        <v>0</v>
      </c>
      <c r="V226" s="517">
        <f t="shared" ref="V226:V233" si="703">+P226*R226+L226*N226+F226*H226</f>
        <v>0</v>
      </c>
      <c r="W226" s="428">
        <f t="shared" ref="W226:W233" si="704">(IF(R226&gt;S226,(-P226*R226)-(-P226*S226),0))</f>
        <v>0</v>
      </c>
      <c r="X226" s="429">
        <f t="shared" ref="X226:X233" si="705">(IF(R226&lt;S226,(-P226*R226)-(-P226*S226),0))</f>
        <v>0</v>
      </c>
      <c r="Y226" s="92"/>
      <c r="AA226" s="2118"/>
      <c r="AB226" s="578"/>
      <c r="AC226" s="578"/>
      <c r="AD226" s="578"/>
      <c r="AE226" s="578"/>
      <c r="AF226" s="579"/>
      <c r="AG226" s="579"/>
      <c r="AH226" s="579"/>
      <c r="AI226" s="579"/>
      <c r="AJ226" s="579"/>
      <c r="AK226" s="579"/>
      <c r="AL226" s="1563"/>
      <c r="AM226" s="579"/>
      <c r="AN226" s="579"/>
      <c r="AO226" s="579"/>
      <c r="AP226" s="579"/>
      <c r="AQ226" s="579"/>
      <c r="AR226" s="579"/>
      <c r="AS226" s="579"/>
      <c r="AT226" s="579"/>
      <c r="AU226" s="579"/>
      <c r="AV226" s="579"/>
      <c r="AW226" s="579"/>
      <c r="AX226" s="579"/>
      <c r="AY226" s="579"/>
      <c r="AZ226" s="579"/>
      <c r="BA226" s="595"/>
      <c r="BB226" s="595"/>
      <c r="BC226" s="579"/>
      <c r="BD226" s="579"/>
      <c r="BE226" s="579"/>
      <c r="BF226" s="579"/>
      <c r="BG226" s="579"/>
      <c r="BH226" s="579"/>
      <c r="BI226" s="579"/>
      <c r="BJ226" s="579"/>
      <c r="BK226" s="594"/>
      <c r="BL226" s="594"/>
      <c r="BM226" s="579"/>
      <c r="BN226" s="579"/>
      <c r="BO226" s="579"/>
      <c r="BP226" s="579"/>
      <c r="BQ226" s="579"/>
      <c r="BR226" s="579"/>
      <c r="BS226" s="579"/>
      <c r="BT226" s="579"/>
      <c r="BU226" s="579"/>
      <c r="BV226" s="579"/>
      <c r="BW226" s="579"/>
      <c r="BX226" s="594">
        <f>+Q226</f>
        <v>0</v>
      </c>
      <c r="BY226" s="579"/>
      <c r="BZ226" s="579"/>
      <c r="CA226" s="579"/>
      <c r="CB226" s="579"/>
      <c r="CC226" s="579"/>
      <c r="CD226" s="579"/>
      <c r="CE226" s="579"/>
      <c r="CF226" s="579"/>
      <c r="CG226" s="579"/>
      <c r="CH226" s="579"/>
      <c r="CI226" s="579"/>
      <c r="CJ226" s="579"/>
      <c r="CK226" s="579"/>
      <c r="CL226" s="579"/>
      <c r="CM226" s="579"/>
      <c r="CN226" s="579"/>
      <c r="CO226" s="579"/>
      <c r="CP226" s="579"/>
      <c r="CQ226" s="579"/>
      <c r="CR226" s="579"/>
      <c r="CS226" s="579"/>
      <c r="CT226" s="579"/>
      <c r="CU226" s="579"/>
      <c r="CV226" s="579"/>
      <c r="CW226" s="579"/>
      <c r="CX226" s="579"/>
      <c r="CY226" s="579"/>
      <c r="CZ226" s="579"/>
      <c r="DA226" s="579"/>
      <c r="DB226" s="579"/>
      <c r="DC226" s="579"/>
      <c r="DD226" s="579"/>
      <c r="DE226" s="579"/>
      <c r="DF226" s="579"/>
      <c r="DG226" s="579"/>
      <c r="DH226" s="579"/>
      <c r="DI226" s="579"/>
      <c r="DJ226" s="579"/>
      <c r="DK226" s="579"/>
      <c r="DL226" s="579"/>
      <c r="DM226" s="579"/>
      <c r="DN226" s="579"/>
      <c r="DO226" s="579"/>
      <c r="DP226" s="579"/>
    </row>
    <row r="227" spans="1:120" hidden="1" outlineLevel="1">
      <c r="A227" s="100">
        <v>1110052010</v>
      </c>
      <c r="B227" s="1216"/>
      <c r="C227" s="1695" t="s">
        <v>64</v>
      </c>
      <c r="D227" s="1629"/>
      <c r="E227" s="1630"/>
      <c r="F227" s="102"/>
      <c r="G227" s="1258"/>
      <c r="H227" s="103"/>
      <c r="I227" s="104"/>
      <c r="J227" s="1604">
        <v>1</v>
      </c>
      <c r="K227" s="1605">
        <v>1</v>
      </c>
      <c r="L227" s="1696"/>
      <c r="M227" s="1697">
        <f t="shared" si="661"/>
        <v>0</v>
      </c>
      <c r="N227" s="106"/>
      <c r="O227" s="107">
        <f t="shared" si="700"/>
        <v>0</v>
      </c>
      <c r="P227" s="108"/>
      <c r="Q227" s="1342">
        <f t="shared" si="687"/>
        <v>0</v>
      </c>
      <c r="R227" s="109"/>
      <c r="S227" s="109"/>
      <c r="T227" s="110">
        <f t="shared" si="701"/>
        <v>0</v>
      </c>
      <c r="U227" s="111">
        <f t="shared" si="702"/>
        <v>0</v>
      </c>
      <c r="V227" s="566">
        <f t="shared" si="703"/>
        <v>0</v>
      </c>
      <c r="W227" s="112">
        <f t="shared" si="704"/>
        <v>0</v>
      </c>
      <c r="X227" s="113">
        <f t="shared" si="705"/>
        <v>0</v>
      </c>
      <c r="Y227" s="114"/>
      <c r="Z227" s="1055"/>
      <c r="AA227" s="2118"/>
      <c r="AB227" s="507"/>
      <c r="AC227" s="507"/>
      <c r="AD227" s="507"/>
      <c r="AE227" s="507"/>
      <c r="AF227" s="565"/>
      <c r="AG227" s="565"/>
      <c r="AH227" s="565"/>
      <c r="AI227" s="565"/>
      <c r="AJ227" s="565"/>
      <c r="AK227" s="565"/>
      <c r="AL227" s="1562"/>
      <c r="AM227" s="565"/>
      <c r="AN227" s="565"/>
      <c r="AO227" s="565"/>
      <c r="AP227" s="565"/>
      <c r="AQ227" s="565"/>
      <c r="AR227" s="565"/>
      <c r="AS227" s="565"/>
      <c r="AT227" s="565"/>
      <c r="AU227" s="565"/>
      <c r="AV227" s="565"/>
      <c r="AW227" s="565"/>
      <c r="AX227" s="565"/>
      <c r="AY227" s="565"/>
      <c r="AZ227" s="565"/>
      <c r="BA227" s="565"/>
      <c r="BB227" s="565"/>
      <c r="BC227" s="565"/>
      <c r="BD227" s="565"/>
      <c r="BE227" s="565"/>
      <c r="BF227" s="565"/>
      <c r="BG227" s="565"/>
      <c r="BH227" s="565"/>
      <c r="BI227" s="565"/>
      <c r="BJ227" s="565"/>
      <c r="BK227" s="565"/>
      <c r="BL227" s="565"/>
      <c r="BM227" s="565"/>
      <c r="BN227" s="565"/>
      <c r="BO227" s="565"/>
      <c r="BP227" s="565"/>
      <c r="BQ227" s="565"/>
      <c r="BR227" s="565"/>
      <c r="BS227" s="565"/>
      <c r="BT227" s="565"/>
      <c r="BU227" s="565"/>
      <c r="BV227" s="565"/>
      <c r="BW227" s="565"/>
      <c r="BX227" s="2120">
        <f>+Q227</f>
        <v>0</v>
      </c>
      <c r="BY227" s="565"/>
      <c r="BZ227" s="565"/>
      <c r="CA227" s="565"/>
      <c r="CB227" s="565"/>
      <c r="CC227" s="565"/>
      <c r="CD227" s="565"/>
      <c r="CE227" s="565"/>
      <c r="CF227" s="565"/>
      <c r="CG227" s="565"/>
      <c r="CH227" s="565"/>
      <c r="CI227" s="565"/>
      <c r="CJ227" s="565"/>
      <c r="CK227" s="565"/>
      <c r="CL227" s="565"/>
      <c r="CM227" s="565"/>
      <c r="CN227" s="565"/>
      <c r="CO227" s="565"/>
      <c r="CP227" s="565"/>
      <c r="CQ227" s="565"/>
      <c r="CR227" s="565"/>
      <c r="CS227" s="565"/>
      <c r="CT227" s="565"/>
      <c r="CU227" s="565"/>
      <c r="CV227" s="565"/>
      <c r="CW227" s="565"/>
      <c r="CX227" s="565"/>
      <c r="CY227" s="565"/>
      <c r="CZ227" s="565"/>
      <c r="DA227" s="565"/>
      <c r="DB227" s="565"/>
      <c r="DC227" s="565"/>
      <c r="DD227" s="565"/>
      <c r="DE227" s="565"/>
      <c r="DF227" s="565"/>
      <c r="DG227" s="565"/>
      <c r="DH227" s="565"/>
      <c r="DI227" s="565"/>
      <c r="DJ227" s="565"/>
      <c r="DK227" s="565"/>
      <c r="DL227" s="565"/>
      <c r="DM227" s="565"/>
      <c r="DN227" s="565"/>
      <c r="DO227" s="565"/>
      <c r="DP227" s="565"/>
    </row>
    <row r="228" spans="1:120" hidden="1" outlineLevel="1">
      <c r="A228" s="100">
        <v>1110052010</v>
      </c>
      <c r="B228" s="1216"/>
      <c r="C228" s="1695" t="s">
        <v>64</v>
      </c>
      <c r="D228" s="1629"/>
      <c r="E228" s="1630"/>
      <c r="F228" s="102"/>
      <c r="G228" s="1258"/>
      <c r="H228" s="103"/>
      <c r="I228" s="104"/>
      <c r="J228" s="1604">
        <v>1</v>
      </c>
      <c r="K228" s="1605">
        <v>1</v>
      </c>
      <c r="L228" s="1696"/>
      <c r="M228" s="1697">
        <f t="shared" ref="M228:M229" si="706">+L228*J228</f>
        <v>0</v>
      </c>
      <c r="N228" s="106"/>
      <c r="O228" s="107">
        <f t="shared" ref="O228:O229" si="707">+L228*N228</f>
        <v>0</v>
      </c>
      <c r="P228" s="108"/>
      <c r="Q228" s="1342">
        <f t="shared" si="687"/>
        <v>0</v>
      </c>
      <c r="R228" s="109"/>
      <c r="S228" s="109"/>
      <c r="T228" s="110">
        <f t="shared" ref="T228:T229" si="708">+P228*S228</f>
        <v>0</v>
      </c>
      <c r="U228" s="111">
        <f t="shared" ref="U228:U229" si="709">+L228+P228+F228</f>
        <v>0</v>
      </c>
      <c r="V228" s="566">
        <f t="shared" ref="V228:V229" si="710">+P228*R228+L228*N228+F228*H228</f>
        <v>0</v>
      </c>
      <c r="W228" s="112">
        <f t="shared" ref="W228:W229" si="711">(IF(R228&gt;S228,(-P228*R228)-(-P228*S228),0))</f>
        <v>0</v>
      </c>
      <c r="X228" s="113">
        <f t="shared" ref="X228:X229" si="712">(IF(R228&lt;S228,(-P228*R228)-(-P228*S228),0))</f>
        <v>0</v>
      </c>
      <c r="Y228" s="114"/>
      <c r="Z228" s="1055"/>
      <c r="AA228" s="2118"/>
      <c r="AB228" s="507"/>
      <c r="AC228" s="507"/>
      <c r="AD228" s="507"/>
      <c r="AE228" s="507"/>
      <c r="AF228" s="565"/>
      <c r="AG228" s="565"/>
      <c r="AH228" s="565"/>
      <c r="AI228" s="565"/>
      <c r="AJ228" s="565"/>
      <c r="AK228" s="565"/>
      <c r="AL228" s="1562"/>
      <c r="AM228" s="565"/>
      <c r="AN228" s="565"/>
      <c r="AO228" s="565"/>
      <c r="AP228" s="565"/>
      <c r="AQ228" s="565"/>
      <c r="AR228" s="565"/>
      <c r="AS228" s="565"/>
      <c r="AT228" s="565"/>
      <c r="AU228" s="565"/>
      <c r="AV228" s="565"/>
      <c r="AW228" s="565"/>
      <c r="AX228" s="565"/>
      <c r="AY228" s="565"/>
      <c r="AZ228" s="565"/>
      <c r="BA228" s="565"/>
      <c r="BB228" s="565"/>
      <c r="BC228" s="565"/>
      <c r="BD228" s="565"/>
      <c r="BE228" s="565"/>
      <c r="BF228" s="565"/>
      <c r="BG228" s="565"/>
      <c r="BH228" s="565"/>
      <c r="BI228" s="565"/>
      <c r="BJ228" s="565"/>
      <c r="BK228" s="565"/>
      <c r="BL228" s="565"/>
      <c r="BM228" s="565"/>
      <c r="BN228" s="565"/>
      <c r="BO228" s="565"/>
      <c r="BP228" s="565"/>
      <c r="BQ228" s="565"/>
      <c r="BR228" s="565"/>
      <c r="BS228" s="565"/>
      <c r="BT228" s="565"/>
      <c r="BU228" s="565"/>
      <c r="BV228" s="565"/>
      <c r="BW228" s="565"/>
      <c r="BX228" s="565"/>
      <c r="BY228" s="2120">
        <f>+Q228</f>
        <v>0</v>
      </c>
      <c r="BZ228" s="565"/>
      <c r="CA228" s="565"/>
      <c r="CB228" s="565"/>
      <c r="CC228" s="565"/>
      <c r="CD228" s="565"/>
      <c r="CE228" s="565"/>
      <c r="CF228" s="565"/>
      <c r="CG228" s="565"/>
      <c r="CH228" s="565"/>
      <c r="CI228" s="565"/>
      <c r="CJ228" s="565"/>
      <c r="CK228" s="565"/>
      <c r="CL228" s="565"/>
      <c r="CM228" s="565"/>
      <c r="CN228" s="565"/>
      <c r="CO228" s="565"/>
      <c r="CP228" s="565"/>
      <c r="CQ228" s="565"/>
      <c r="CR228" s="565"/>
      <c r="CS228" s="565"/>
      <c r="CT228" s="565"/>
      <c r="CU228" s="565"/>
      <c r="CV228" s="565"/>
      <c r="CW228" s="565"/>
      <c r="CX228" s="565"/>
      <c r="CY228" s="565"/>
      <c r="CZ228" s="565"/>
      <c r="DA228" s="565"/>
      <c r="DB228" s="565"/>
      <c r="DC228" s="565"/>
      <c r="DD228" s="565"/>
      <c r="DE228" s="565"/>
      <c r="DF228" s="565"/>
      <c r="DG228" s="565"/>
      <c r="DH228" s="565"/>
      <c r="DI228" s="565"/>
      <c r="DJ228" s="565"/>
      <c r="DK228" s="565"/>
      <c r="DL228" s="565"/>
      <c r="DM228" s="565"/>
      <c r="DN228" s="565"/>
      <c r="DO228" s="565"/>
      <c r="DP228" s="565"/>
    </row>
    <row r="229" spans="1:120" hidden="1" outlineLevel="1">
      <c r="A229" s="100">
        <v>1110052010</v>
      </c>
      <c r="B229" s="1216"/>
      <c r="C229" s="1695" t="s">
        <v>64</v>
      </c>
      <c r="D229" s="1629"/>
      <c r="E229" s="1630"/>
      <c r="F229" s="102"/>
      <c r="G229" s="1258"/>
      <c r="H229" s="103"/>
      <c r="I229" s="104"/>
      <c r="J229" s="1604">
        <v>1</v>
      </c>
      <c r="K229" s="1605">
        <v>1</v>
      </c>
      <c r="L229" s="1696"/>
      <c r="M229" s="1697">
        <f t="shared" si="706"/>
        <v>0</v>
      </c>
      <c r="N229" s="106"/>
      <c r="O229" s="107">
        <f t="shared" si="707"/>
        <v>0</v>
      </c>
      <c r="P229" s="108"/>
      <c r="Q229" s="1342">
        <f t="shared" si="687"/>
        <v>0</v>
      </c>
      <c r="R229" s="109"/>
      <c r="S229" s="109"/>
      <c r="T229" s="110">
        <f t="shared" si="708"/>
        <v>0</v>
      </c>
      <c r="U229" s="111">
        <f t="shared" si="709"/>
        <v>0</v>
      </c>
      <c r="V229" s="566">
        <f t="shared" si="710"/>
        <v>0</v>
      </c>
      <c r="W229" s="112">
        <f t="shared" si="711"/>
        <v>0</v>
      </c>
      <c r="X229" s="113">
        <f t="shared" si="712"/>
        <v>0</v>
      </c>
      <c r="Y229" s="114"/>
      <c r="Z229" s="1055"/>
      <c r="AA229" s="2118"/>
      <c r="AB229" s="507"/>
      <c r="AC229" s="507"/>
      <c r="AD229" s="507"/>
      <c r="AE229" s="507"/>
      <c r="AF229" s="565"/>
      <c r="AG229" s="565"/>
      <c r="AH229" s="565"/>
      <c r="AI229" s="565"/>
      <c r="AJ229" s="565"/>
      <c r="AK229" s="565"/>
      <c r="AL229" s="1562"/>
      <c r="AM229" s="565"/>
      <c r="AN229" s="565"/>
      <c r="AO229" s="565"/>
      <c r="AP229" s="565"/>
      <c r="AQ229" s="565"/>
      <c r="AR229" s="565"/>
      <c r="AS229" s="565"/>
      <c r="AT229" s="565"/>
      <c r="AU229" s="565"/>
      <c r="AV229" s="565"/>
      <c r="AW229" s="565"/>
      <c r="AX229" s="565"/>
      <c r="AY229" s="565"/>
      <c r="AZ229" s="565"/>
      <c r="BA229" s="565"/>
      <c r="BB229" s="565"/>
      <c r="BC229" s="565"/>
      <c r="BD229" s="565"/>
      <c r="BE229" s="565"/>
      <c r="BF229" s="565"/>
      <c r="BG229" s="565"/>
      <c r="BH229" s="565"/>
      <c r="BI229" s="565"/>
      <c r="BJ229" s="565"/>
      <c r="BK229" s="565"/>
      <c r="BL229" s="565"/>
      <c r="BM229" s="565"/>
      <c r="BN229" s="565"/>
      <c r="BO229" s="565"/>
      <c r="BP229" s="565"/>
      <c r="BQ229" s="565"/>
      <c r="BR229" s="565"/>
      <c r="BS229" s="565"/>
      <c r="BT229" s="565"/>
      <c r="BU229" s="565"/>
      <c r="BV229" s="565"/>
      <c r="BW229" s="565"/>
      <c r="BX229" s="565"/>
      <c r="BY229" s="565"/>
      <c r="BZ229" s="565"/>
      <c r="CA229" s="2120">
        <f>+Q229</f>
        <v>0</v>
      </c>
      <c r="CB229" s="565"/>
      <c r="CC229" s="565"/>
      <c r="CD229" s="565"/>
      <c r="CE229" s="565"/>
      <c r="CF229" s="565"/>
      <c r="CG229" s="565"/>
      <c r="CH229" s="565"/>
      <c r="CI229" s="565"/>
      <c r="CJ229" s="565"/>
      <c r="CK229" s="565"/>
      <c r="CL229" s="565"/>
      <c r="CM229" s="565"/>
      <c r="CN229" s="565"/>
      <c r="CO229" s="565"/>
      <c r="CP229" s="565"/>
      <c r="CQ229" s="565"/>
      <c r="CR229" s="565"/>
      <c r="CS229" s="565"/>
      <c r="CT229" s="565"/>
      <c r="CU229" s="565"/>
      <c r="CV229" s="565"/>
      <c r="CW229" s="565"/>
      <c r="CX229" s="565"/>
      <c r="CY229" s="565"/>
      <c r="CZ229" s="565"/>
      <c r="DA229" s="565"/>
      <c r="DB229" s="565"/>
      <c r="DC229" s="565"/>
      <c r="DD229" s="565"/>
      <c r="DE229" s="565"/>
      <c r="DF229" s="565"/>
      <c r="DG229" s="565"/>
      <c r="DH229" s="565"/>
      <c r="DI229" s="565"/>
      <c r="DJ229" s="565"/>
      <c r="DK229" s="565"/>
      <c r="DL229" s="565"/>
      <c r="DM229" s="565"/>
      <c r="DN229" s="565"/>
      <c r="DO229" s="565"/>
      <c r="DP229" s="565"/>
    </row>
    <row r="230" spans="1:120" hidden="1" outlineLevel="1">
      <c r="A230" s="100">
        <v>1110052010</v>
      </c>
      <c r="B230" s="1216"/>
      <c r="C230" s="1695" t="s">
        <v>64</v>
      </c>
      <c r="D230" s="1629"/>
      <c r="E230" s="1630"/>
      <c r="F230" s="102"/>
      <c r="G230" s="1258"/>
      <c r="H230" s="103"/>
      <c r="I230" s="104"/>
      <c r="J230" s="1604">
        <v>1</v>
      </c>
      <c r="K230" s="1605">
        <v>1</v>
      </c>
      <c r="L230" s="1696"/>
      <c r="M230" s="1697">
        <f t="shared" ref="M230" si="713">+L230*J230</f>
        <v>0</v>
      </c>
      <c r="N230" s="106"/>
      <c r="O230" s="107">
        <f t="shared" ref="O230" si="714">+L230*N230</f>
        <v>0</v>
      </c>
      <c r="P230" s="108"/>
      <c r="Q230" s="1342">
        <f t="shared" si="687"/>
        <v>0</v>
      </c>
      <c r="R230" s="109"/>
      <c r="S230" s="109"/>
      <c r="T230" s="110">
        <f t="shared" ref="T230" si="715">+P230*S230</f>
        <v>0</v>
      </c>
      <c r="U230" s="111">
        <f t="shared" ref="U230" si="716">+L230+P230+F230</f>
        <v>0</v>
      </c>
      <c r="V230" s="566">
        <f t="shared" ref="V230" si="717">+P230*R230+L230*N230+F230*H230</f>
        <v>0</v>
      </c>
      <c r="W230" s="112">
        <f t="shared" ref="W230" si="718">(IF(R230&gt;S230,(-P230*R230)-(-P230*S230),0))</f>
        <v>0</v>
      </c>
      <c r="X230" s="113">
        <f t="shared" ref="X230" si="719">(IF(R230&lt;S230,(-P230*R230)-(-P230*S230),0))</f>
        <v>0</v>
      </c>
      <c r="Y230" s="114"/>
      <c r="Z230" s="1055"/>
      <c r="AA230" s="2118"/>
      <c r="AB230" s="507"/>
      <c r="AC230" s="507"/>
      <c r="AD230" s="507"/>
      <c r="AE230" s="507"/>
      <c r="AF230" s="565"/>
      <c r="AG230" s="565"/>
      <c r="AH230" s="565"/>
      <c r="AI230" s="565"/>
      <c r="AJ230" s="565"/>
      <c r="AK230" s="565"/>
      <c r="AL230" s="1562"/>
      <c r="AM230" s="565"/>
      <c r="AN230" s="565"/>
      <c r="AO230" s="565"/>
      <c r="AP230" s="565"/>
      <c r="AQ230" s="565"/>
      <c r="AR230" s="565"/>
      <c r="AS230" s="565"/>
      <c r="AT230" s="565"/>
      <c r="AU230" s="565"/>
      <c r="AV230" s="565"/>
      <c r="AW230" s="565"/>
      <c r="AX230" s="565"/>
      <c r="AY230" s="565"/>
      <c r="AZ230" s="565"/>
      <c r="BA230" s="565"/>
      <c r="BB230" s="565"/>
      <c r="BC230" s="565"/>
      <c r="BD230" s="565"/>
      <c r="BE230" s="565"/>
      <c r="BF230" s="565"/>
      <c r="BG230" s="565"/>
      <c r="BH230" s="565"/>
      <c r="BI230" s="565"/>
      <c r="BJ230" s="565"/>
      <c r="BK230" s="565"/>
      <c r="BL230" s="565"/>
      <c r="BM230" s="565"/>
      <c r="BN230" s="565"/>
      <c r="BO230" s="565"/>
      <c r="BP230" s="565"/>
      <c r="BQ230" s="565"/>
      <c r="BR230" s="565"/>
      <c r="BS230" s="565"/>
      <c r="BT230" s="565"/>
      <c r="BU230" s="565"/>
      <c r="BV230" s="565"/>
      <c r="BW230" s="565"/>
      <c r="BX230" s="565"/>
      <c r="BY230" s="565"/>
      <c r="BZ230" s="565"/>
      <c r="CA230" s="565"/>
      <c r="CB230" s="565"/>
      <c r="CC230" s="2120">
        <f>+Q230</f>
        <v>0</v>
      </c>
      <c r="CD230" s="565"/>
      <c r="CE230" s="565"/>
      <c r="CF230" s="565"/>
      <c r="CG230" s="565"/>
      <c r="CH230" s="565"/>
      <c r="CI230" s="565"/>
      <c r="CJ230" s="565"/>
      <c r="CK230" s="565"/>
      <c r="CL230" s="565"/>
      <c r="CM230" s="565"/>
      <c r="CN230" s="565"/>
      <c r="CO230" s="565"/>
      <c r="CP230" s="565"/>
      <c r="CQ230" s="565"/>
      <c r="CR230" s="565"/>
      <c r="CS230" s="565"/>
      <c r="CT230" s="565"/>
      <c r="CU230" s="565"/>
      <c r="CV230" s="565"/>
      <c r="CW230" s="565"/>
      <c r="CX230" s="565"/>
      <c r="CY230" s="565"/>
      <c r="CZ230" s="565"/>
      <c r="DA230" s="565"/>
      <c r="DB230" s="565"/>
      <c r="DC230" s="565"/>
      <c r="DD230" s="565"/>
      <c r="DE230" s="565"/>
      <c r="DF230" s="565"/>
      <c r="DG230" s="565"/>
      <c r="DH230" s="565"/>
      <c r="DI230" s="565"/>
      <c r="DJ230" s="565"/>
      <c r="DK230" s="565"/>
      <c r="DL230" s="565"/>
      <c r="DM230" s="565"/>
      <c r="DN230" s="565"/>
      <c r="DO230" s="565"/>
      <c r="DP230" s="565"/>
    </row>
    <row r="231" spans="1:120" hidden="1" outlineLevel="1">
      <c r="A231" s="89">
        <v>1110052010</v>
      </c>
      <c r="B231" s="90"/>
      <c r="C231" s="91" t="s">
        <v>64</v>
      </c>
      <c r="D231" s="1481"/>
      <c r="E231" s="1482"/>
      <c r="F231" s="420"/>
      <c r="G231" s="1256"/>
      <c r="H231" s="421"/>
      <c r="I231" s="422"/>
      <c r="J231" s="1425">
        <v>1</v>
      </c>
      <c r="K231" s="1426">
        <v>1</v>
      </c>
      <c r="L231" s="1043"/>
      <c r="M231" s="1594">
        <f t="shared" si="661"/>
        <v>0</v>
      </c>
      <c r="N231" s="415"/>
      <c r="O231" s="424">
        <f t="shared" si="700"/>
        <v>0</v>
      </c>
      <c r="P231" s="425"/>
      <c r="Q231" s="1340">
        <f t="shared" si="687"/>
        <v>0</v>
      </c>
      <c r="R231" s="426"/>
      <c r="S231" s="426"/>
      <c r="T231" s="427">
        <f t="shared" si="701"/>
        <v>0</v>
      </c>
      <c r="U231" s="418">
        <f t="shared" si="702"/>
        <v>0</v>
      </c>
      <c r="V231" s="517">
        <f t="shared" si="703"/>
        <v>0</v>
      </c>
      <c r="W231" s="428">
        <f t="shared" si="704"/>
        <v>0</v>
      </c>
      <c r="X231" s="429">
        <f t="shared" si="705"/>
        <v>0</v>
      </c>
      <c r="Y231" s="92"/>
      <c r="AA231" s="2118"/>
      <c r="AB231" s="2121"/>
      <c r="AC231" s="578"/>
      <c r="AD231" s="578"/>
      <c r="AE231" s="578"/>
      <c r="AF231" s="579"/>
      <c r="AG231" s="579"/>
      <c r="AH231" s="579"/>
      <c r="AI231" s="579"/>
      <c r="AJ231" s="579"/>
      <c r="AK231" s="579"/>
      <c r="AL231" s="1563"/>
      <c r="AM231" s="579"/>
      <c r="AN231" s="579"/>
      <c r="AO231" s="579"/>
      <c r="AP231" s="579"/>
      <c r="AQ231" s="579"/>
      <c r="AR231" s="579"/>
      <c r="AS231" s="579"/>
      <c r="AT231" s="579"/>
      <c r="AU231" s="579"/>
      <c r="AV231" s="579"/>
      <c r="AW231" s="579"/>
      <c r="AX231" s="579"/>
      <c r="AY231" s="579"/>
      <c r="AZ231" s="579"/>
      <c r="BA231" s="595"/>
      <c r="BB231" s="595"/>
      <c r="BC231" s="579"/>
      <c r="BD231" s="579"/>
      <c r="BE231" s="579"/>
      <c r="BF231" s="579"/>
      <c r="BG231" s="579"/>
      <c r="BH231" s="579"/>
      <c r="BI231" s="579"/>
      <c r="BJ231" s="579"/>
      <c r="BK231" s="579"/>
      <c r="BL231" s="579"/>
      <c r="BM231" s="594"/>
      <c r="BN231" s="594"/>
      <c r="BO231" s="579"/>
      <c r="BP231" s="579"/>
      <c r="BQ231" s="579"/>
      <c r="BR231" s="579"/>
      <c r="BS231" s="579"/>
      <c r="BT231" s="579"/>
      <c r="BU231" s="579"/>
      <c r="BV231" s="579"/>
      <c r="BW231" s="579"/>
      <c r="BX231" s="579"/>
      <c r="BY231" s="579"/>
      <c r="BZ231" s="579"/>
      <c r="CA231" s="579"/>
      <c r="CB231" s="579"/>
      <c r="CC231" s="594">
        <f>+Q231</f>
        <v>0</v>
      </c>
      <c r="CD231" s="579"/>
      <c r="CE231" s="579"/>
      <c r="CF231" s="579"/>
      <c r="CG231" s="579"/>
      <c r="CH231" s="579"/>
      <c r="CI231" s="579"/>
      <c r="CJ231" s="579"/>
      <c r="CK231" s="579"/>
      <c r="CL231" s="579"/>
      <c r="CM231" s="579"/>
      <c r="CN231" s="579"/>
      <c r="CO231" s="579"/>
      <c r="CP231" s="579"/>
      <c r="CQ231" s="579"/>
      <c r="CR231" s="579"/>
      <c r="CS231" s="579"/>
      <c r="CT231" s="579"/>
      <c r="CU231" s="579"/>
      <c r="CV231" s="579"/>
      <c r="CW231" s="579"/>
      <c r="CX231" s="579"/>
      <c r="CY231" s="579"/>
      <c r="CZ231" s="579"/>
      <c r="DA231" s="579"/>
      <c r="DB231" s="579"/>
      <c r="DC231" s="579"/>
      <c r="DD231" s="579"/>
      <c r="DE231" s="579"/>
      <c r="DF231" s="579"/>
      <c r="DG231" s="579"/>
      <c r="DH231" s="579"/>
      <c r="DI231" s="579"/>
      <c r="DJ231" s="579"/>
      <c r="DK231" s="579"/>
      <c r="DL231" s="579"/>
      <c r="DM231" s="579"/>
      <c r="DN231" s="579"/>
      <c r="DO231" s="579"/>
      <c r="DP231" s="579"/>
    </row>
    <row r="232" spans="1:120" hidden="1" outlineLevel="1">
      <c r="A232" s="100">
        <v>1110052010</v>
      </c>
      <c r="B232" s="1216"/>
      <c r="C232" s="1695" t="s">
        <v>64</v>
      </c>
      <c r="D232" s="1629"/>
      <c r="E232" s="1630"/>
      <c r="F232" s="102"/>
      <c r="G232" s="1258"/>
      <c r="H232" s="103"/>
      <c r="I232" s="104"/>
      <c r="J232" s="1604">
        <v>1</v>
      </c>
      <c r="K232" s="1605">
        <v>1</v>
      </c>
      <c r="L232" s="1696"/>
      <c r="M232" s="1697">
        <f t="shared" si="661"/>
        <v>0</v>
      </c>
      <c r="N232" s="106"/>
      <c r="O232" s="107">
        <f t="shared" si="700"/>
        <v>0</v>
      </c>
      <c r="P232" s="108"/>
      <c r="Q232" s="1342">
        <f t="shared" si="687"/>
        <v>0</v>
      </c>
      <c r="R232" s="109"/>
      <c r="S232" s="109"/>
      <c r="T232" s="110">
        <f t="shared" si="701"/>
        <v>0</v>
      </c>
      <c r="U232" s="111">
        <f t="shared" si="702"/>
        <v>0</v>
      </c>
      <c r="V232" s="566">
        <f t="shared" si="703"/>
        <v>0</v>
      </c>
      <c r="W232" s="112">
        <f t="shared" si="704"/>
        <v>0</v>
      </c>
      <c r="X232" s="113">
        <f t="shared" si="705"/>
        <v>0</v>
      </c>
      <c r="Y232" s="114"/>
      <c r="Z232" s="1055"/>
      <c r="AA232" s="2118"/>
      <c r="AB232" s="507"/>
      <c r="AC232" s="507"/>
      <c r="AD232" s="507"/>
      <c r="AE232" s="507"/>
      <c r="AF232" s="565"/>
      <c r="AG232" s="565"/>
      <c r="AH232" s="565"/>
      <c r="AI232" s="565"/>
      <c r="AJ232" s="565"/>
      <c r="AK232" s="565"/>
      <c r="AL232" s="1562"/>
      <c r="AM232" s="565"/>
      <c r="AN232" s="565"/>
      <c r="AO232" s="565"/>
      <c r="AP232" s="565"/>
      <c r="AQ232" s="565"/>
      <c r="AR232" s="565"/>
      <c r="AS232" s="565"/>
      <c r="AT232" s="565"/>
      <c r="AU232" s="565"/>
      <c r="AV232" s="565"/>
      <c r="AW232" s="565"/>
      <c r="AX232" s="565"/>
      <c r="AY232" s="565"/>
      <c r="AZ232" s="565"/>
      <c r="BA232" s="565"/>
      <c r="BB232" s="565"/>
      <c r="BC232" s="565"/>
      <c r="BD232" s="565"/>
      <c r="BE232" s="565"/>
      <c r="BF232" s="565"/>
      <c r="BG232" s="565"/>
      <c r="BH232" s="565"/>
      <c r="BI232" s="565"/>
      <c r="BJ232" s="565"/>
      <c r="BK232" s="565"/>
      <c r="BL232" s="565"/>
      <c r="BM232" s="565"/>
      <c r="BN232" s="565"/>
      <c r="BO232" s="565"/>
      <c r="BP232" s="565"/>
      <c r="BQ232" s="565"/>
      <c r="BR232" s="565"/>
      <c r="BS232" s="565"/>
      <c r="BT232" s="565"/>
      <c r="BU232" s="565"/>
      <c r="BV232" s="565"/>
      <c r="BW232" s="565"/>
      <c r="BX232" s="565"/>
      <c r="BY232" s="565"/>
      <c r="BZ232" s="565"/>
      <c r="CA232" s="565"/>
      <c r="CB232" s="565"/>
      <c r="CC232" s="2120">
        <f>+Q232</f>
        <v>0</v>
      </c>
      <c r="CD232" s="565"/>
      <c r="CE232" s="565"/>
      <c r="CF232" s="565"/>
      <c r="CG232" s="565"/>
      <c r="CH232" s="565"/>
      <c r="CI232" s="565"/>
      <c r="CJ232" s="565"/>
      <c r="CK232" s="565"/>
      <c r="CL232" s="565"/>
      <c r="CM232" s="565"/>
      <c r="CN232" s="565"/>
      <c r="CO232" s="565"/>
      <c r="CP232" s="565"/>
      <c r="CQ232" s="565"/>
      <c r="CR232" s="565"/>
      <c r="CS232" s="565"/>
      <c r="CT232" s="565"/>
      <c r="CU232" s="565"/>
      <c r="CV232" s="565"/>
      <c r="CW232" s="565"/>
      <c r="CX232" s="565"/>
      <c r="CY232" s="565"/>
      <c r="CZ232" s="565"/>
      <c r="DA232" s="565"/>
      <c r="DB232" s="565"/>
      <c r="DC232" s="565"/>
      <c r="DD232" s="565"/>
      <c r="DE232" s="565"/>
      <c r="DF232" s="565"/>
      <c r="DG232" s="565"/>
      <c r="DH232" s="565"/>
      <c r="DI232" s="565"/>
      <c r="DJ232" s="565"/>
      <c r="DK232" s="565"/>
      <c r="DL232" s="565"/>
      <c r="DM232" s="565"/>
      <c r="DN232" s="565"/>
      <c r="DO232" s="565"/>
      <c r="DP232" s="565"/>
    </row>
    <row r="233" spans="1:120" hidden="1" outlineLevel="1">
      <c r="A233" s="89">
        <v>1110052010</v>
      </c>
      <c r="B233" s="90"/>
      <c r="C233" s="91" t="s">
        <v>64</v>
      </c>
      <c r="D233" s="1481"/>
      <c r="E233" s="1482"/>
      <c r="F233" s="420"/>
      <c r="G233" s="1256"/>
      <c r="H233" s="421"/>
      <c r="I233" s="422"/>
      <c r="J233" s="1425">
        <v>1</v>
      </c>
      <c r="K233" s="1426">
        <v>1</v>
      </c>
      <c r="L233" s="1043"/>
      <c r="M233" s="1594">
        <f t="shared" si="661"/>
        <v>0</v>
      </c>
      <c r="N233" s="415"/>
      <c r="O233" s="424">
        <f t="shared" si="700"/>
        <v>0</v>
      </c>
      <c r="P233" s="425"/>
      <c r="Q233" s="1340">
        <f t="shared" si="687"/>
        <v>0</v>
      </c>
      <c r="R233" s="426"/>
      <c r="S233" s="426"/>
      <c r="T233" s="427">
        <f t="shared" si="701"/>
        <v>0</v>
      </c>
      <c r="U233" s="418">
        <f t="shared" si="702"/>
        <v>0</v>
      </c>
      <c r="V233" s="517">
        <f t="shared" si="703"/>
        <v>0</v>
      </c>
      <c r="W233" s="428">
        <f t="shared" si="704"/>
        <v>0</v>
      </c>
      <c r="X233" s="429">
        <f t="shared" si="705"/>
        <v>0</v>
      </c>
      <c r="Y233" s="92"/>
      <c r="AA233" s="2118"/>
      <c r="AB233" s="578"/>
      <c r="AC233" s="578"/>
      <c r="AD233" s="578"/>
      <c r="AE233" s="578"/>
      <c r="AF233" s="579"/>
      <c r="AG233" s="579"/>
      <c r="AH233" s="579"/>
      <c r="AI233" s="579"/>
      <c r="AJ233" s="579"/>
      <c r="AK233" s="579"/>
      <c r="AL233" s="1563"/>
      <c r="AM233" s="579"/>
      <c r="AN233" s="579"/>
      <c r="AO233" s="579"/>
      <c r="AP233" s="579"/>
      <c r="AQ233" s="579"/>
      <c r="AR233" s="579"/>
      <c r="AS233" s="579"/>
      <c r="AT233" s="579"/>
      <c r="AU233" s="579"/>
      <c r="AV233" s="579"/>
      <c r="AW233" s="579"/>
      <c r="AX233" s="579"/>
      <c r="AY233" s="579"/>
      <c r="AZ233" s="579"/>
      <c r="BA233" s="595"/>
      <c r="BB233" s="595"/>
      <c r="BC233" s="579"/>
      <c r="BD233" s="579"/>
      <c r="BE233" s="579"/>
      <c r="BF233" s="579"/>
      <c r="BG233" s="579"/>
      <c r="BH233" s="579"/>
      <c r="BI233" s="579"/>
      <c r="BJ233" s="579"/>
      <c r="BK233" s="594"/>
      <c r="BL233" s="579"/>
      <c r="BM233" s="579"/>
      <c r="BN233" s="594"/>
      <c r="BO233" s="579"/>
      <c r="BP233" s="579"/>
      <c r="BQ233" s="579"/>
      <c r="BR233" s="579"/>
      <c r="BS233" s="579"/>
      <c r="BT233" s="579"/>
      <c r="BU233" s="579"/>
      <c r="BV233" s="579"/>
      <c r="BW233" s="579"/>
      <c r="BX233" s="579"/>
      <c r="BY233" s="579"/>
      <c r="BZ233" s="579"/>
      <c r="CA233" s="579"/>
      <c r="CB233" s="579"/>
      <c r="CC233" s="594">
        <f>+Q233</f>
        <v>0</v>
      </c>
      <c r="CD233" s="579"/>
      <c r="CE233" s="579"/>
      <c r="CF233" s="579"/>
      <c r="CG233" s="579"/>
      <c r="CH233" s="579"/>
      <c r="CI233" s="579"/>
      <c r="CJ233" s="579"/>
      <c r="CK233" s="579"/>
      <c r="CL233" s="579"/>
      <c r="CM233" s="579"/>
      <c r="CN233" s="579"/>
      <c r="CO233" s="579"/>
      <c r="CP233" s="579"/>
      <c r="CQ233" s="579"/>
      <c r="CR233" s="579"/>
      <c r="CS233" s="579"/>
      <c r="CT233" s="579"/>
      <c r="CU233" s="579"/>
      <c r="CV233" s="579"/>
      <c r="CW233" s="579"/>
      <c r="CX233" s="579"/>
      <c r="CY233" s="579"/>
      <c r="CZ233" s="579"/>
      <c r="DA233" s="579"/>
      <c r="DB233" s="579"/>
      <c r="DC233" s="579"/>
      <c r="DD233" s="579"/>
      <c r="DE233" s="579"/>
      <c r="DF233" s="579"/>
      <c r="DG233" s="579"/>
      <c r="DH233" s="579"/>
      <c r="DI233" s="579"/>
      <c r="DJ233" s="579"/>
      <c r="DK233" s="579"/>
      <c r="DL233" s="579"/>
      <c r="DM233" s="579"/>
      <c r="DN233" s="579"/>
      <c r="DO233" s="579"/>
      <c r="DP233" s="579"/>
    </row>
    <row r="234" spans="1:120" hidden="1" outlineLevel="1">
      <c r="A234" s="89">
        <v>1110052010</v>
      </c>
      <c r="B234" s="90"/>
      <c r="C234" s="91" t="s">
        <v>64</v>
      </c>
      <c r="D234" s="1481"/>
      <c r="E234" s="1482"/>
      <c r="F234" s="420"/>
      <c r="G234" s="1256"/>
      <c r="H234" s="421"/>
      <c r="I234" s="422"/>
      <c r="J234" s="1425">
        <v>1</v>
      </c>
      <c r="K234" s="1426">
        <v>1</v>
      </c>
      <c r="L234" s="1043"/>
      <c r="M234" s="1594">
        <f t="shared" si="661"/>
        <v>0</v>
      </c>
      <c r="N234" s="415"/>
      <c r="O234" s="424">
        <f t="shared" ref="O234:O235" si="720">+L234*N234</f>
        <v>0</v>
      </c>
      <c r="P234" s="425"/>
      <c r="Q234" s="1340">
        <f t="shared" si="687"/>
        <v>0</v>
      </c>
      <c r="R234" s="426"/>
      <c r="S234" s="426"/>
      <c r="T234" s="427">
        <f t="shared" ref="T234:T235" si="721">+P234*S234</f>
        <v>0</v>
      </c>
      <c r="U234" s="418">
        <f t="shared" ref="U234:U235" si="722">+L234+P234+F234</f>
        <v>0</v>
      </c>
      <c r="V234" s="517">
        <f t="shared" ref="V234:V235" si="723">+P234*R234+L234*N234+F234*H234</f>
        <v>0</v>
      </c>
      <c r="W234" s="428">
        <f t="shared" ref="W234:W235" si="724">(IF(R234&gt;S234,(-P234*R234)-(-P234*S234),0))</f>
        <v>0</v>
      </c>
      <c r="X234" s="429">
        <f t="shared" ref="X234:X235" si="725">(IF(R234&lt;S234,(-P234*R234)-(-P234*S234),0))</f>
        <v>0</v>
      </c>
      <c r="Y234" s="1694"/>
      <c r="AA234" s="2118"/>
      <c r="AB234" s="578"/>
      <c r="AC234" s="578"/>
      <c r="AD234" s="578"/>
      <c r="AE234" s="578"/>
      <c r="AF234" s="579"/>
      <c r="AG234" s="579"/>
      <c r="AH234" s="579"/>
      <c r="AI234" s="579"/>
      <c r="AJ234" s="579"/>
      <c r="AK234" s="579"/>
      <c r="AL234" s="1563"/>
      <c r="AM234" s="579"/>
      <c r="AN234" s="579"/>
      <c r="AO234" s="579"/>
      <c r="AP234" s="579"/>
      <c r="AQ234" s="579"/>
      <c r="AR234" s="579"/>
      <c r="AS234" s="579"/>
      <c r="AT234" s="579"/>
      <c r="AU234" s="579"/>
      <c r="AV234" s="579"/>
      <c r="AW234" s="579"/>
      <c r="AX234" s="579"/>
      <c r="AY234" s="579"/>
      <c r="AZ234" s="594"/>
      <c r="BA234" s="595"/>
      <c r="BB234" s="595"/>
      <c r="BC234" s="579"/>
      <c r="BD234" s="579"/>
      <c r="BE234" s="579"/>
      <c r="BF234" s="579"/>
      <c r="BG234" s="579"/>
      <c r="BH234" s="579"/>
      <c r="BI234" s="594"/>
      <c r="BJ234" s="579"/>
      <c r="BK234" s="594"/>
      <c r="BL234" s="579"/>
      <c r="BM234" s="579"/>
      <c r="BN234" s="579"/>
      <c r="BO234" s="579"/>
      <c r="BP234" s="579"/>
      <c r="BQ234" s="579"/>
      <c r="BR234" s="579"/>
      <c r="BS234" s="579"/>
      <c r="BT234" s="579"/>
      <c r="BU234" s="579"/>
      <c r="BV234" s="579"/>
      <c r="BW234" s="579"/>
      <c r="BX234" s="579"/>
      <c r="BY234" s="579"/>
      <c r="BZ234" s="579"/>
      <c r="CA234" s="579"/>
      <c r="CB234" s="579"/>
      <c r="CC234" s="594"/>
      <c r="CD234" s="594">
        <f>+M234</f>
        <v>0</v>
      </c>
      <c r="CE234" s="579"/>
      <c r="CF234" s="579"/>
      <c r="CG234" s="579"/>
      <c r="CH234" s="579"/>
      <c r="CI234" s="579"/>
      <c r="CJ234" s="579"/>
      <c r="CK234" s="579"/>
      <c r="CL234" s="579"/>
      <c r="CM234" s="579"/>
      <c r="CN234" s="579"/>
      <c r="CO234" s="579"/>
      <c r="CP234" s="579"/>
      <c r="CQ234" s="579"/>
      <c r="CR234" s="579"/>
      <c r="CS234" s="579"/>
      <c r="CT234" s="579"/>
      <c r="CU234" s="579"/>
      <c r="CV234" s="579"/>
      <c r="CW234" s="579"/>
      <c r="CX234" s="579"/>
      <c r="CY234" s="579"/>
      <c r="CZ234" s="579"/>
      <c r="DA234" s="579"/>
      <c r="DB234" s="579"/>
      <c r="DC234" s="579"/>
      <c r="DD234" s="579"/>
      <c r="DE234" s="579"/>
      <c r="DF234" s="579"/>
      <c r="DG234" s="579"/>
      <c r="DH234" s="579"/>
      <c r="DI234" s="579"/>
      <c r="DJ234" s="579"/>
      <c r="DK234" s="579"/>
      <c r="DL234" s="579"/>
      <c r="DM234" s="579"/>
      <c r="DN234" s="579"/>
      <c r="DO234" s="579"/>
      <c r="DP234" s="579"/>
    </row>
    <row r="235" spans="1:120" hidden="1" outlineLevel="1">
      <c r="A235" s="89">
        <v>1110052010</v>
      </c>
      <c r="B235" s="90"/>
      <c r="C235" s="91" t="s">
        <v>64</v>
      </c>
      <c r="D235" s="1481"/>
      <c r="E235" s="1482"/>
      <c r="F235" s="420"/>
      <c r="G235" s="1256"/>
      <c r="H235" s="421"/>
      <c r="I235" s="422"/>
      <c r="J235" s="1425">
        <v>1</v>
      </c>
      <c r="K235" s="1426">
        <v>1</v>
      </c>
      <c r="L235" s="1043"/>
      <c r="M235" s="1594">
        <f t="shared" si="661"/>
        <v>0</v>
      </c>
      <c r="N235" s="415"/>
      <c r="O235" s="424">
        <f t="shared" si="720"/>
        <v>0</v>
      </c>
      <c r="P235" s="425"/>
      <c r="Q235" s="1340">
        <f t="shared" si="687"/>
        <v>0</v>
      </c>
      <c r="R235" s="426"/>
      <c r="S235" s="426"/>
      <c r="T235" s="427">
        <f t="shared" si="721"/>
        <v>0</v>
      </c>
      <c r="U235" s="418">
        <f t="shared" si="722"/>
        <v>0</v>
      </c>
      <c r="V235" s="517">
        <f t="shared" si="723"/>
        <v>0</v>
      </c>
      <c r="W235" s="428">
        <f t="shared" si="724"/>
        <v>0</v>
      </c>
      <c r="X235" s="429">
        <f t="shared" si="725"/>
        <v>0</v>
      </c>
      <c r="Y235" s="1694"/>
      <c r="AA235" s="2118"/>
      <c r="AB235" s="578"/>
      <c r="AC235" s="578"/>
      <c r="AD235" s="578"/>
      <c r="AE235" s="578"/>
      <c r="AF235" s="579"/>
      <c r="AG235" s="579"/>
      <c r="AH235" s="579"/>
      <c r="AI235" s="579"/>
      <c r="AJ235" s="579"/>
      <c r="AK235" s="579"/>
      <c r="AL235" s="1563"/>
      <c r="AM235" s="579"/>
      <c r="AN235" s="579"/>
      <c r="AO235" s="579"/>
      <c r="AP235" s="579"/>
      <c r="AQ235" s="579"/>
      <c r="AR235" s="579"/>
      <c r="AS235" s="579"/>
      <c r="AT235" s="579"/>
      <c r="AU235" s="579"/>
      <c r="AV235" s="579"/>
      <c r="AW235" s="579"/>
      <c r="AX235" s="579"/>
      <c r="AY235" s="579"/>
      <c r="AZ235" s="579"/>
      <c r="BA235" s="595"/>
      <c r="BB235" s="595"/>
      <c r="BC235" s="579"/>
      <c r="BD235" s="579"/>
      <c r="BE235" s="579"/>
      <c r="BF235" s="579"/>
      <c r="BG235" s="579"/>
      <c r="BH235" s="579"/>
      <c r="BI235" s="594"/>
      <c r="BJ235" s="579"/>
      <c r="BK235" s="594"/>
      <c r="BL235" s="579"/>
      <c r="BM235" s="579"/>
      <c r="BN235" s="579"/>
      <c r="BO235" s="579"/>
      <c r="BP235" s="579"/>
      <c r="BQ235" s="579"/>
      <c r="BR235" s="579"/>
      <c r="BS235" s="579"/>
      <c r="BT235" s="579"/>
      <c r="BU235" s="579"/>
      <c r="BV235" s="579"/>
      <c r="BW235" s="579"/>
      <c r="BX235" s="579"/>
      <c r="BY235" s="579"/>
      <c r="BZ235" s="579"/>
      <c r="CA235" s="579"/>
      <c r="CB235" s="579"/>
      <c r="CC235" s="594"/>
      <c r="CD235" s="594">
        <f>+M235</f>
        <v>0</v>
      </c>
      <c r="CE235" s="579"/>
      <c r="CF235" s="579"/>
      <c r="CG235" s="579"/>
      <c r="CH235" s="579"/>
      <c r="CI235" s="579"/>
      <c r="CJ235" s="579"/>
      <c r="CK235" s="579"/>
      <c r="CL235" s="579"/>
      <c r="CM235" s="579"/>
      <c r="CN235" s="579"/>
      <c r="CO235" s="579"/>
      <c r="CP235" s="579"/>
      <c r="CQ235" s="579"/>
      <c r="CR235" s="579"/>
      <c r="CS235" s="579"/>
      <c r="CT235" s="579"/>
      <c r="CU235" s="579"/>
      <c r="CV235" s="579"/>
      <c r="CW235" s="579"/>
      <c r="CX235" s="579"/>
      <c r="CY235" s="579"/>
      <c r="CZ235" s="579"/>
      <c r="DA235" s="579"/>
      <c r="DB235" s="579"/>
      <c r="DC235" s="579"/>
      <c r="DD235" s="579"/>
      <c r="DE235" s="579"/>
      <c r="DF235" s="579"/>
      <c r="DG235" s="579"/>
      <c r="DH235" s="579"/>
      <c r="DI235" s="579"/>
      <c r="DJ235" s="579"/>
      <c r="DK235" s="579"/>
      <c r="DL235" s="579"/>
      <c r="DM235" s="579"/>
      <c r="DN235" s="579"/>
      <c r="DO235" s="579"/>
      <c r="DP235" s="579"/>
    </row>
    <row r="236" spans="1:120" hidden="1" outlineLevel="1">
      <c r="A236" s="89">
        <v>1110052010</v>
      </c>
      <c r="B236" s="90"/>
      <c r="C236" s="91" t="s">
        <v>64</v>
      </c>
      <c r="D236" s="1481"/>
      <c r="E236" s="1482"/>
      <c r="F236" s="420"/>
      <c r="G236" s="1256"/>
      <c r="H236" s="421"/>
      <c r="I236" s="422"/>
      <c r="J236" s="1425">
        <v>1</v>
      </c>
      <c r="K236" s="1426">
        <v>1</v>
      </c>
      <c r="L236" s="1043"/>
      <c r="M236" s="1594">
        <f t="shared" si="661"/>
        <v>0</v>
      </c>
      <c r="N236" s="415"/>
      <c r="O236" s="424">
        <f t="shared" ref="O236:O239" si="726">+L236*N236</f>
        <v>0</v>
      </c>
      <c r="P236" s="425"/>
      <c r="Q236" s="1340">
        <f t="shared" si="687"/>
        <v>0</v>
      </c>
      <c r="R236" s="426"/>
      <c r="S236" s="426"/>
      <c r="T236" s="427">
        <f t="shared" ref="T236:T239" si="727">+P236*S236</f>
        <v>0</v>
      </c>
      <c r="U236" s="418">
        <f t="shared" ref="U236:U239" si="728">+L236+P236+F236</f>
        <v>0</v>
      </c>
      <c r="V236" s="517">
        <f t="shared" ref="V236:V239" si="729">+P236*R236+L236*N236+F236*H236</f>
        <v>0</v>
      </c>
      <c r="W236" s="428">
        <f t="shared" ref="W236:W239" si="730">(IF(R236&gt;S236,(-P236*R236)-(-P236*S236),0))</f>
        <v>0</v>
      </c>
      <c r="X236" s="429">
        <f t="shared" ref="X236:X239" si="731">(IF(R236&lt;S236,(-P236*R236)-(-P236*S236),0))</f>
        <v>0</v>
      </c>
      <c r="Y236" s="1694"/>
      <c r="AA236" s="2118"/>
      <c r="AB236" s="2121"/>
      <c r="AC236" s="578"/>
      <c r="AD236" s="578"/>
      <c r="AE236" s="578"/>
      <c r="AF236" s="579"/>
      <c r="AG236" s="579"/>
      <c r="AH236" s="579"/>
      <c r="AI236" s="579"/>
      <c r="AJ236" s="579"/>
      <c r="AK236" s="579"/>
      <c r="AL236" s="1563"/>
      <c r="AM236" s="579"/>
      <c r="AN236" s="579"/>
      <c r="AO236" s="579"/>
      <c r="AP236" s="579"/>
      <c r="AQ236" s="579"/>
      <c r="AR236" s="579"/>
      <c r="AS236" s="579"/>
      <c r="AT236" s="579"/>
      <c r="AU236" s="579"/>
      <c r="AV236" s="579"/>
      <c r="AW236" s="579"/>
      <c r="AX236" s="579"/>
      <c r="AY236" s="579"/>
      <c r="AZ236" s="579"/>
      <c r="BA236" s="595"/>
      <c r="BB236" s="595"/>
      <c r="BC236" s="579"/>
      <c r="BD236" s="579"/>
      <c r="BE236" s="579"/>
      <c r="BF236" s="579"/>
      <c r="BG236" s="579"/>
      <c r="BH236" s="579"/>
      <c r="BI236" s="594"/>
      <c r="BJ236" s="579"/>
      <c r="BK236" s="594"/>
      <c r="BL236" s="579"/>
      <c r="BM236" s="579"/>
      <c r="BN236" s="579"/>
      <c r="BO236" s="579"/>
      <c r="BP236" s="579"/>
      <c r="BQ236" s="579"/>
      <c r="BR236" s="579"/>
      <c r="BS236" s="579"/>
      <c r="BT236" s="579"/>
      <c r="BU236" s="579"/>
      <c r="BV236" s="579"/>
      <c r="BW236" s="579"/>
      <c r="BX236" s="579"/>
      <c r="BY236" s="579"/>
      <c r="BZ236" s="579"/>
      <c r="CA236" s="579"/>
      <c r="CB236" s="579"/>
      <c r="CC236" s="594">
        <f>+Q236</f>
        <v>0</v>
      </c>
      <c r="CD236" s="579"/>
      <c r="CE236" s="579"/>
      <c r="CF236" s="579"/>
      <c r="CG236" s="579"/>
      <c r="CH236" s="579"/>
      <c r="CI236" s="579"/>
      <c r="CJ236" s="579"/>
      <c r="CK236" s="579"/>
      <c r="CL236" s="579"/>
      <c r="CM236" s="579"/>
      <c r="CN236" s="579"/>
      <c r="CO236" s="579"/>
      <c r="CP236" s="579"/>
      <c r="CQ236" s="579"/>
      <c r="CR236" s="579"/>
      <c r="CS236" s="579"/>
      <c r="CT236" s="579"/>
      <c r="CU236" s="579"/>
      <c r="CV236" s="579"/>
      <c r="CW236" s="579"/>
      <c r="CX236" s="579"/>
      <c r="CY236" s="579"/>
      <c r="CZ236" s="579"/>
      <c r="DA236" s="579"/>
      <c r="DB236" s="579"/>
      <c r="DC236" s="579"/>
      <c r="DD236" s="579"/>
      <c r="DE236" s="579"/>
      <c r="DF236" s="579"/>
      <c r="DG236" s="579"/>
      <c r="DH236" s="579"/>
      <c r="DI236" s="579"/>
      <c r="DJ236" s="579"/>
      <c r="DK236" s="579"/>
      <c r="DL236" s="579"/>
      <c r="DM236" s="579"/>
      <c r="DN236" s="579"/>
      <c r="DO236" s="579"/>
      <c r="DP236" s="579"/>
    </row>
    <row r="237" spans="1:120" hidden="1" outlineLevel="1">
      <c r="A237" s="89">
        <v>1110052010</v>
      </c>
      <c r="B237" s="90"/>
      <c r="C237" s="91" t="s">
        <v>64</v>
      </c>
      <c r="D237" s="1481"/>
      <c r="E237" s="1482"/>
      <c r="F237" s="420"/>
      <c r="G237" s="1256"/>
      <c r="H237" s="421"/>
      <c r="I237" s="422"/>
      <c r="J237" s="1425">
        <v>1</v>
      </c>
      <c r="K237" s="1426">
        <v>1</v>
      </c>
      <c r="L237" s="1043"/>
      <c r="M237" s="1594">
        <f t="shared" si="661"/>
        <v>0</v>
      </c>
      <c r="N237" s="415"/>
      <c r="O237" s="424">
        <f t="shared" si="726"/>
        <v>0</v>
      </c>
      <c r="P237" s="425"/>
      <c r="Q237" s="1340">
        <f t="shared" si="687"/>
        <v>0</v>
      </c>
      <c r="R237" s="426"/>
      <c r="S237" s="426"/>
      <c r="T237" s="427">
        <f t="shared" si="727"/>
        <v>0</v>
      </c>
      <c r="U237" s="418">
        <f t="shared" si="728"/>
        <v>0</v>
      </c>
      <c r="V237" s="517">
        <f t="shared" si="729"/>
        <v>0</v>
      </c>
      <c r="W237" s="428">
        <f t="shared" si="730"/>
        <v>0</v>
      </c>
      <c r="X237" s="429">
        <f t="shared" si="731"/>
        <v>0</v>
      </c>
      <c r="Y237" s="1694"/>
      <c r="AA237" s="2118"/>
      <c r="AB237" s="578"/>
      <c r="AC237" s="578"/>
      <c r="AD237" s="578"/>
      <c r="AE237" s="578"/>
      <c r="AF237" s="579"/>
      <c r="AG237" s="579"/>
      <c r="AH237" s="579"/>
      <c r="AI237" s="579"/>
      <c r="AJ237" s="579"/>
      <c r="AK237" s="579"/>
      <c r="AL237" s="1563"/>
      <c r="AM237" s="579"/>
      <c r="AN237" s="579"/>
      <c r="AO237" s="579"/>
      <c r="AP237" s="579"/>
      <c r="AQ237" s="579"/>
      <c r="AR237" s="579"/>
      <c r="AS237" s="579"/>
      <c r="AT237" s="579"/>
      <c r="AU237" s="579"/>
      <c r="AV237" s="579"/>
      <c r="AW237" s="579"/>
      <c r="AX237" s="579"/>
      <c r="AY237" s="579"/>
      <c r="AZ237" s="579"/>
      <c r="BA237" s="595"/>
      <c r="BB237" s="595"/>
      <c r="BC237" s="579"/>
      <c r="BD237" s="579"/>
      <c r="BE237" s="579"/>
      <c r="BF237" s="579"/>
      <c r="BG237" s="579"/>
      <c r="BH237" s="579"/>
      <c r="BI237" s="594"/>
      <c r="BJ237" s="579"/>
      <c r="BK237" s="594"/>
      <c r="BL237" s="579"/>
      <c r="BM237" s="579"/>
      <c r="BN237" s="579"/>
      <c r="BO237" s="579"/>
      <c r="BP237" s="579"/>
      <c r="BQ237" s="579"/>
      <c r="BR237" s="579"/>
      <c r="BS237" s="579"/>
      <c r="BT237" s="579"/>
      <c r="BU237" s="579"/>
      <c r="BV237" s="579"/>
      <c r="BW237" s="579"/>
      <c r="BX237" s="579"/>
      <c r="BY237" s="579"/>
      <c r="BZ237" s="579"/>
      <c r="CA237" s="579"/>
      <c r="CB237" s="579"/>
      <c r="CC237" s="594">
        <f>+Q237</f>
        <v>0</v>
      </c>
      <c r="CD237" s="594"/>
      <c r="CE237" s="579"/>
      <c r="CF237" s="579"/>
      <c r="CG237" s="579"/>
      <c r="CH237" s="579"/>
      <c r="CI237" s="579"/>
      <c r="CJ237" s="579"/>
      <c r="CK237" s="579"/>
      <c r="CL237" s="579"/>
      <c r="CM237" s="579"/>
      <c r="CN237" s="579"/>
      <c r="CO237" s="579"/>
      <c r="CP237" s="579"/>
      <c r="CQ237" s="579"/>
      <c r="CR237" s="579"/>
      <c r="CS237" s="579"/>
      <c r="CT237" s="579"/>
      <c r="CU237" s="579"/>
      <c r="CV237" s="579"/>
      <c r="CW237" s="579"/>
      <c r="CX237" s="579"/>
      <c r="CY237" s="579"/>
      <c r="CZ237" s="579"/>
      <c r="DA237" s="579"/>
      <c r="DB237" s="579"/>
      <c r="DC237" s="579"/>
      <c r="DD237" s="579"/>
      <c r="DE237" s="579"/>
      <c r="DF237" s="579"/>
      <c r="DG237" s="579"/>
      <c r="DH237" s="579"/>
      <c r="DI237" s="579"/>
      <c r="DJ237" s="579"/>
      <c r="DK237" s="579"/>
      <c r="DL237" s="579"/>
      <c r="DM237" s="579"/>
      <c r="DN237" s="579"/>
      <c r="DO237" s="579"/>
      <c r="DP237" s="579"/>
    </row>
    <row r="238" spans="1:120" hidden="1" outlineLevel="1">
      <c r="A238" s="89">
        <v>1110052010</v>
      </c>
      <c r="B238" s="90"/>
      <c r="C238" s="91" t="s">
        <v>64</v>
      </c>
      <c r="D238" s="1481"/>
      <c r="E238" s="1482"/>
      <c r="F238" s="420"/>
      <c r="G238" s="1256"/>
      <c r="H238" s="421"/>
      <c r="I238" s="422"/>
      <c r="J238" s="1425">
        <v>1</v>
      </c>
      <c r="K238" s="1426">
        <v>1</v>
      </c>
      <c r="L238" s="1043"/>
      <c r="M238" s="1594">
        <f t="shared" si="661"/>
        <v>0</v>
      </c>
      <c r="N238" s="415"/>
      <c r="O238" s="424">
        <f t="shared" si="726"/>
        <v>0</v>
      </c>
      <c r="P238" s="425"/>
      <c r="Q238" s="1340">
        <f t="shared" si="687"/>
        <v>0</v>
      </c>
      <c r="R238" s="426"/>
      <c r="S238" s="426"/>
      <c r="T238" s="427">
        <f t="shared" si="727"/>
        <v>0</v>
      </c>
      <c r="U238" s="418">
        <f t="shared" si="728"/>
        <v>0</v>
      </c>
      <c r="V238" s="517">
        <f t="shared" si="729"/>
        <v>0</v>
      </c>
      <c r="W238" s="428">
        <f t="shared" si="730"/>
        <v>0</v>
      </c>
      <c r="X238" s="429">
        <f t="shared" si="731"/>
        <v>0</v>
      </c>
      <c r="Y238" s="1694"/>
      <c r="AA238" s="2118"/>
      <c r="AB238" s="578"/>
      <c r="AC238" s="578"/>
      <c r="AD238" s="578"/>
      <c r="AE238" s="578"/>
      <c r="AF238" s="579"/>
      <c r="AG238" s="579"/>
      <c r="AH238" s="579"/>
      <c r="AI238" s="579"/>
      <c r="AJ238" s="579"/>
      <c r="AK238" s="579"/>
      <c r="AL238" s="1563"/>
      <c r="AM238" s="579"/>
      <c r="AN238" s="579"/>
      <c r="AO238" s="579"/>
      <c r="AP238" s="579"/>
      <c r="AQ238" s="579"/>
      <c r="AR238" s="579"/>
      <c r="AS238" s="579"/>
      <c r="AT238" s="579"/>
      <c r="AU238" s="579"/>
      <c r="AV238" s="579"/>
      <c r="AW238" s="579"/>
      <c r="AX238" s="579"/>
      <c r="AY238" s="579"/>
      <c r="AZ238" s="579"/>
      <c r="BA238" s="595"/>
      <c r="BB238" s="595"/>
      <c r="BC238" s="579"/>
      <c r="BD238" s="579"/>
      <c r="BE238" s="579"/>
      <c r="BF238" s="579"/>
      <c r="BG238" s="579"/>
      <c r="BH238" s="579"/>
      <c r="BI238" s="594"/>
      <c r="BJ238" s="579"/>
      <c r="BK238" s="594"/>
      <c r="BL238" s="579"/>
      <c r="BM238" s="579"/>
      <c r="BN238" s="579"/>
      <c r="BO238" s="579"/>
      <c r="BP238" s="579"/>
      <c r="BQ238" s="579"/>
      <c r="BR238" s="579"/>
      <c r="BS238" s="579"/>
      <c r="BT238" s="579"/>
      <c r="BU238" s="579"/>
      <c r="BV238" s="579"/>
      <c r="BW238" s="579"/>
      <c r="BX238" s="579"/>
      <c r="BY238" s="579"/>
      <c r="BZ238" s="579"/>
      <c r="CA238" s="579"/>
      <c r="CB238" s="579"/>
      <c r="CC238" s="579"/>
      <c r="CD238" s="579"/>
      <c r="CE238" s="594">
        <f>+M238</f>
        <v>0</v>
      </c>
      <c r="CF238" s="579"/>
      <c r="CG238" s="579"/>
      <c r="CH238" s="579"/>
      <c r="CI238" s="579"/>
      <c r="CJ238" s="579"/>
      <c r="CK238" s="579"/>
      <c r="CL238" s="579"/>
      <c r="CM238" s="579"/>
      <c r="CN238" s="579"/>
      <c r="CO238" s="579"/>
      <c r="CP238" s="579"/>
      <c r="CQ238" s="579"/>
      <c r="CR238" s="579"/>
      <c r="CS238" s="579"/>
      <c r="CT238" s="579"/>
      <c r="CU238" s="579"/>
      <c r="CV238" s="579"/>
      <c r="CW238" s="579"/>
      <c r="CX238" s="579"/>
      <c r="CY238" s="579"/>
      <c r="CZ238" s="579"/>
      <c r="DA238" s="579"/>
      <c r="DB238" s="579"/>
      <c r="DC238" s="579"/>
      <c r="DD238" s="579"/>
      <c r="DE238" s="579"/>
      <c r="DF238" s="579"/>
      <c r="DG238" s="579"/>
      <c r="DH238" s="579"/>
      <c r="DI238" s="579"/>
      <c r="DJ238" s="579"/>
      <c r="DK238" s="579"/>
      <c r="DL238" s="579"/>
      <c r="DM238" s="579"/>
      <c r="DN238" s="579"/>
      <c r="DO238" s="579"/>
      <c r="DP238" s="579"/>
    </row>
    <row r="239" spans="1:120" hidden="1" outlineLevel="1">
      <c r="A239" s="89">
        <v>1110052010</v>
      </c>
      <c r="B239" s="90"/>
      <c r="C239" s="91" t="s">
        <v>64</v>
      </c>
      <c r="D239" s="1481"/>
      <c r="E239" s="1482"/>
      <c r="F239" s="420"/>
      <c r="G239" s="1256"/>
      <c r="H239" s="421"/>
      <c r="I239" s="422"/>
      <c r="J239" s="1425">
        <v>1</v>
      </c>
      <c r="K239" s="1426">
        <v>1</v>
      </c>
      <c r="L239" s="1043"/>
      <c r="M239" s="1594">
        <f t="shared" si="661"/>
        <v>0</v>
      </c>
      <c r="N239" s="415"/>
      <c r="O239" s="424">
        <f t="shared" si="726"/>
        <v>0</v>
      </c>
      <c r="P239" s="425"/>
      <c r="Q239" s="1340">
        <f t="shared" si="687"/>
        <v>0</v>
      </c>
      <c r="R239" s="426"/>
      <c r="S239" s="426"/>
      <c r="T239" s="427">
        <f t="shared" si="727"/>
        <v>0</v>
      </c>
      <c r="U239" s="418">
        <f t="shared" si="728"/>
        <v>0</v>
      </c>
      <c r="V239" s="517">
        <f t="shared" si="729"/>
        <v>0</v>
      </c>
      <c r="W239" s="428">
        <f t="shared" si="730"/>
        <v>0</v>
      </c>
      <c r="X239" s="429">
        <f t="shared" si="731"/>
        <v>0</v>
      </c>
      <c r="Y239" s="1694"/>
      <c r="AA239" s="2118"/>
      <c r="AB239" s="578"/>
      <c r="AC239" s="578"/>
      <c r="AD239" s="578"/>
      <c r="AE239" s="578"/>
      <c r="AF239" s="579"/>
      <c r="AG239" s="579"/>
      <c r="AH239" s="579"/>
      <c r="AI239" s="579"/>
      <c r="AJ239" s="579"/>
      <c r="AK239" s="579"/>
      <c r="AL239" s="1563"/>
      <c r="AM239" s="579"/>
      <c r="AN239" s="579"/>
      <c r="AO239" s="579"/>
      <c r="AP239" s="579"/>
      <c r="AQ239" s="579"/>
      <c r="AR239" s="579"/>
      <c r="AS239" s="579"/>
      <c r="AT239" s="579"/>
      <c r="AU239" s="579"/>
      <c r="AV239" s="579"/>
      <c r="AW239" s="579"/>
      <c r="AX239" s="579"/>
      <c r="AY239" s="579"/>
      <c r="AZ239" s="579"/>
      <c r="BA239" s="595"/>
      <c r="BB239" s="595"/>
      <c r="BC239" s="579"/>
      <c r="BD239" s="579"/>
      <c r="BE239" s="594"/>
      <c r="BF239" s="579"/>
      <c r="BG239" s="579"/>
      <c r="BH239" s="579"/>
      <c r="BI239" s="594"/>
      <c r="BJ239" s="579"/>
      <c r="BK239" s="594"/>
      <c r="BL239" s="579"/>
      <c r="BM239" s="579"/>
      <c r="BN239" s="579"/>
      <c r="BO239" s="579"/>
      <c r="BP239" s="579"/>
      <c r="BQ239" s="579"/>
      <c r="BR239" s="579"/>
      <c r="BS239" s="579"/>
      <c r="BT239" s="579"/>
      <c r="BU239" s="579"/>
      <c r="BV239" s="579"/>
      <c r="BW239" s="579"/>
      <c r="BX239" s="579"/>
      <c r="BY239" s="579"/>
      <c r="BZ239" s="579"/>
      <c r="CA239" s="579"/>
      <c r="CB239" s="579"/>
      <c r="CC239" s="594"/>
      <c r="CD239" s="594">
        <f>+Q239</f>
        <v>0</v>
      </c>
      <c r="CE239" s="579"/>
      <c r="CF239" s="579"/>
      <c r="CG239" s="579"/>
      <c r="CH239" s="579"/>
      <c r="CI239" s="579"/>
      <c r="CJ239" s="579"/>
      <c r="CK239" s="579"/>
      <c r="CL239" s="579"/>
      <c r="CM239" s="579"/>
      <c r="CN239" s="579"/>
      <c r="CO239" s="579"/>
      <c r="CP239" s="579"/>
      <c r="CQ239" s="579"/>
      <c r="CR239" s="579"/>
      <c r="CS239" s="579"/>
      <c r="CT239" s="579"/>
      <c r="CU239" s="579"/>
      <c r="CV239" s="579"/>
      <c r="CW239" s="579"/>
      <c r="CX239" s="579"/>
      <c r="CY239" s="579"/>
      <c r="CZ239" s="579"/>
      <c r="DA239" s="579"/>
      <c r="DB239" s="579"/>
      <c r="DC239" s="579"/>
      <c r="DD239" s="579"/>
      <c r="DE239" s="579"/>
      <c r="DF239" s="579"/>
      <c r="DG239" s="579"/>
      <c r="DH239" s="579"/>
      <c r="DI239" s="579"/>
      <c r="DJ239" s="579"/>
      <c r="DK239" s="579"/>
      <c r="DL239" s="579"/>
      <c r="DM239" s="579"/>
      <c r="DN239" s="579"/>
      <c r="DO239" s="579"/>
      <c r="DP239" s="579"/>
    </row>
    <row r="240" spans="1:120" hidden="1" outlineLevel="1">
      <c r="A240" s="89">
        <v>1110052010</v>
      </c>
      <c r="B240" s="90"/>
      <c r="C240" s="91" t="s">
        <v>64</v>
      </c>
      <c r="D240" s="1481"/>
      <c r="E240" s="1482"/>
      <c r="F240" s="420"/>
      <c r="G240" s="1256"/>
      <c r="H240" s="421"/>
      <c r="I240" s="422"/>
      <c r="J240" s="1425">
        <v>1</v>
      </c>
      <c r="K240" s="1426">
        <v>1</v>
      </c>
      <c r="L240" s="1043"/>
      <c r="M240" s="1594">
        <f t="shared" ref="M240" si="732">+L240*J240</f>
        <v>0</v>
      </c>
      <c r="N240" s="415"/>
      <c r="O240" s="424">
        <f t="shared" ref="O240" si="733">+L240*N240</f>
        <v>0</v>
      </c>
      <c r="P240" s="425"/>
      <c r="Q240" s="1340">
        <f t="shared" ref="Q240" si="734">+P240*K240</f>
        <v>0</v>
      </c>
      <c r="R240" s="426"/>
      <c r="S240" s="426"/>
      <c r="T240" s="427">
        <f t="shared" ref="T240" si="735">+P240*S240</f>
        <v>0</v>
      </c>
      <c r="U240" s="418">
        <f t="shared" ref="U240" si="736">+L240+P240+F240</f>
        <v>0</v>
      </c>
      <c r="V240" s="517">
        <f t="shared" ref="V240" si="737">+P240*R240+L240*N240+F240*H240</f>
        <v>0</v>
      </c>
      <c r="W240" s="428">
        <f t="shared" ref="W240" si="738">(IF(R240&gt;S240,(-P240*R240)-(-P240*S240),0))</f>
        <v>0</v>
      </c>
      <c r="X240" s="429">
        <f t="shared" ref="X240" si="739">(IF(R240&lt;S240,(-P240*R240)-(-P240*S240),0))</f>
        <v>0</v>
      </c>
      <c r="Y240" s="1694"/>
      <c r="AA240" s="2118"/>
      <c r="AB240" s="578"/>
      <c r="AC240" s="578"/>
      <c r="AD240" s="578"/>
      <c r="AE240" s="578"/>
      <c r="AF240" s="579"/>
      <c r="AG240" s="579"/>
      <c r="AH240" s="579"/>
      <c r="AI240" s="579"/>
      <c r="AJ240" s="579"/>
      <c r="AK240" s="579"/>
      <c r="AL240" s="1563"/>
      <c r="AM240" s="579"/>
      <c r="AN240" s="579"/>
      <c r="AO240" s="579"/>
      <c r="AP240" s="579"/>
      <c r="AQ240" s="579"/>
      <c r="AR240" s="579"/>
      <c r="AS240" s="579"/>
      <c r="AT240" s="579"/>
      <c r="AU240" s="579"/>
      <c r="AV240" s="579"/>
      <c r="AW240" s="579"/>
      <c r="AX240" s="579"/>
      <c r="AY240" s="579"/>
      <c r="AZ240" s="579"/>
      <c r="BA240" s="595"/>
      <c r="BB240" s="595"/>
      <c r="BC240" s="579"/>
      <c r="BD240" s="579"/>
      <c r="BE240" s="594"/>
      <c r="BF240" s="579"/>
      <c r="BG240" s="579"/>
      <c r="BH240" s="579"/>
      <c r="BI240" s="594"/>
      <c r="BJ240" s="579"/>
      <c r="BK240" s="594"/>
      <c r="BL240" s="579"/>
      <c r="BM240" s="579"/>
      <c r="BN240" s="579"/>
      <c r="BO240" s="579"/>
      <c r="BP240" s="579"/>
      <c r="BQ240" s="579"/>
      <c r="BR240" s="579"/>
      <c r="BS240" s="579"/>
      <c r="BT240" s="579"/>
      <c r="BU240" s="579"/>
      <c r="BV240" s="579"/>
      <c r="BW240" s="579"/>
      <c r="BX240" s="579"/>
      <c r="BY240" s="579"/>
      <c r="BZ240" s="579"/>
      <c r="CA240" s="579"/>
      <c r="CB240" s="579"/>
      <c r="CC240" s="579"/>
      <c r="CD240" s="594">
        <f>+Q240</f>
        <v>0</v>
      </c>
      <c r="CE240" s="594"/>
      <c r="CF240" s="579"/>
      <c r="CG240" s="579"/>
      <c r="CH240" s="579"/>
      <c r="CI240" s="579"/>
      <c r="CJ240" s="579"/>
      <c r="CK240" s="579"/>
      <c r="CL240" s="579"/>
      <c r="CM240" s="579"/>
      <c r="CN240" s="579"/>
      <c r="CO240" s="579"/>
      <c r="CP240" s="579"/>
      <c r="CQ240" s="579"/>
      <c r="CR240" s="579"/>
      <c r="CS240" s="579"/>
      <c r="CT240" s="579"/>
      <c r="CU240" s="579"/>
      <c r="CV240" s="579"/>
      <c r="CW240" s="579"/>
      <c r="CX240" s="579"/>
      <c r="CY240" s="579"/>
      <c r="CZ240" s="579"/>
      <c r="DA240" s="579"/>
      <c r="DB240" s="579"/>
      <c r="DC240" s="579"/>
      <c r="DD240" s="579"/>
      <c r="DE240" s="579"/>
      <c r="DF240" s="579"/>
      <c r="DG240" s="579"/>
      <c r="DH240" s="579"/>
      <c r="DI240" s="579"/>
      <c r="DJ240" s="579"/>
      <c r="DK240" s="579"/>
      <c r="DL240" s="579"/>
      <c r="DM240" s="579"/>
      <c r="DN240" s="579"/>
      <c r="DO240" s="579"/>
      <c r="DP240" s="579"/>
    </row>
    <row r="241" spans="1:120" hidden="1" outlineLevel="1">
      <c r="A241" s="89">
        <v>1110052010</v>
      </c>
      <c r="B241" s="90"/>
      <c r="C241" s="91" t="s">
        <v>64</v>
      </c>
      <c r="D241" s="1481"/>
      <c r="E241" s="1482"/>
      <c r="F241" s="420"/>
      <c r="G241" s="1256"/>
      <c r="H241" s="421"/>
      <c r="I241" s="422"/>
      <c r="J241" s="1425">
        <v>1</v>
      </c>
      <c r="K241" s="1426">
        <v>1</v>
      </c>
      <c r="L241" s="1043"/>
      <c r="M241" s="1594">
        <f t="shared" si="661"/>
        <v>0</v>
      </c>
      <c r="N241" s="415"/>
      <c r="O241" s="424">
        <f t="shared" ref="O241" si="740">+L241*N241</f>
        <v>0</v>
      </c>
      <c r="P241" s="425"/>
      <c r="Q241" s="1340">
        <f t="shared" si="662"/>
        <v>0</v>
      </c>
      <c r="R241" s="426"/>
      <c r="S241" s="426"/>
      <c r="T241" s="427">
        <f t="shared" ref="T241" si="741">+P241*S241</f>
        <v>0</v>
      </c>
      <c r="U241" s="418">
        <f t="shared" ref="U241" si="742">+L241+P241+F241</f>
        <v>0</v>
      </c>
      <c r="V241" s="517">
        <f t="shared" ref="V241" si="743">+P241*R241+L241*N241+F241*H241</f>
        <v>0</v>
      </c>
      <c r="W241" s="428">
        <f t="shared" ref="W241" si="744">(IF(R241&gt;S241,(-P241*R241)-(-P241*S241),0))</f>
        <v>0</v>
      </c>
      <c r="X241" s="429">
        <f t="shared" ref="X241" si="745">(IF(R241&lt;S241,(-P241*R241)-(-P241*S241),0))</f>
        <v>0</v>
      </c>
      <c r="Y241" s="1694"/>
      <c r="AA241" s="2118"/>
      <c r="AB241" s="2121">
        <f>+Q241</f>
        <v>0</v>
      </c>
      <c r="AC241" s="578"/>
      <c r="AD241" s="578"/>
      <c r="AE241" s="578"/>
      <c r="AF241" s="579"/>
      <c r="AG241" s="579"/>
      <c r="AH241" s="579"/>
      <c r="AI241" s="579"/>
      <c r="AJ241" s="579"/>
      <c r="AK241" s="579"/>
      <c r="AL241" s="1563"/>
      <c r="AM241" s="579"/>
      <c r="AN241" s="579"/>
      <c r="AO241" s="579"/>
      <c r="AP241" s="579"/>
      <c r="AQ241" s="579"/>
      <c r="AR241" s="579"/>
      <c r="AS241" s="579"/>
      <c r="AT241" s="579"/>
      <c r="AU241" s="579"/>
      <c r="AV241" s="579"/>
      <c r="AW241" s="579"/>
      <c r="AX241" s="579"/>
      <c r="AY241" s="579"/>
      <c r="AZ241" s="579"/>
      <c r="BA241" s="595"/>
      <c r="BB241" s="595"/>
      <c r="BC241" s="579"/>
      <c r="BD241" s="579"/>
      <c r="BE241" s="579"/>
      <c r="BF241" s="579"/>
      <c r="BG241" s="579"/>
      <c r="BH241" s="594"/>
      <c r="BI241" s="594"/>
      <c r="BJ241" s="579"/>
      <c r="BK241" s="594"/>
      <c r="BL241" s="579"/>
      <c r="BM241" s="579"/>
      <c r="BN241" s="579"/>
      <c r="BO241" s="579"/>
      <c r="BP241" s="579"/>
      <c r="BQ241" s="579"/>
      <c r="BR241" s="579"/>
      <c r="BS241" s="579"/>
      <c r="BT241" s="579"/>
      <c r="BU241" s="579"/>
      <c r="BV241" s="579"/>
      <c r="BW241" s="579"/>
      <c r="BX241" s="579"/>
      <c r="BY241" s="579"/>
      <c r="BZ241" s="579"/>
      <c r="CA241" s="579"/>
      <c r="CB241" s="579"/>
      <c r="CC241" s="579"/>
      <c r="CD241" s="594"/>
      <c r="CE241" s="594"/>
      <c r="CF241" s="579"/>
      <c r="CG241" s="579"/>
      <c r="CH241" s="579"/>
      <c r="CI241" s="579"/>
      <c r="CJ241" s="579"/>
      <c r="CK241" s="579"/>
      <c r="CL241" s="579"/>
      <c r="CM241" s="579"/>
      <c r="CN241" s="579"/>
      <c r="CO241" s="579"/>
      <c r="CP241" s="579"/>
      <c r="CQ241" s="579"/>
      <c r="CR241" s="579"/>
      <c r="CS241" s="579"/>
      <c r="CT241" s="579"/>
      <c r="CU241" s="579"/>
      <c r="CV241" s="579"/>
      <c r="CW241" s="579"/>
      <c r="CX241" s="579"/>
      <c r="CY241" s="579"/>
      <c r="CZ241" s="579"/>
      <c r="DA241" s="579"/>
      <c r="DB241" s="579"/>
      <c r="DC241" s="579"/>
      <c r="DD241" s="579"/>
      <c r="DE241" s="579"/>
      <c r="DF241" s="579"/>
      <c r="DG241" s="579"/>
      <c r="DH241" s="579"/>
      <c r="DI241" s="579"/>
      <c r="DJ241" s="579"/>
      <c r="DK241" s="579"/>
      <c r="DL241" s="579"/>
      <c r="DM241" s="579"/>
      <c r="DN241" s="579"/>
      <c r="DO241" s="579"/>
      <c r="DP241" s="579"/>
    </row>
    <row r="242" spans="1:120" s="128" customFormat="1" hidden="1" outlineLevel="1">
      <c r="A242" s="131"/>
      <c r="B242" s="132"/>
      <c r="C242" s="133"/>
      <c r="D242" s="1481"/>
      <c r="E242" s="1482"/>
      <c r="F242" s="117"/>
      <c r="G242" s="1261"/>
      <c r="H242" s="118"/>
      <c r="I242" s="119"/>
      <c r="J242" s="1425">
        <v>1</v>
      </c>
      <c r="K242" s="1426">
        <v>1</v>
      </c>
      <c r="L242" s="1187"/>
      <c r="M242" s="1596"/>
      <c r="N242" s="120"/>
      <c r="O242" s="121">
        <f t="shared" si="655"/>
        <v>0</v>
      </c>
      <c r="P242" s="1048"/>
      <c r="Q242" s="1239"/>
      <c r="R242" s="122"/>
      <c r="S242" s="122"/>
      <c r="T242" s="123">
        <f t="shared" si="656"/>
        <v>0</v>
      </c>
      <c r="U242" s="124">
        <f t="shared" si="657"/>
        <v>0</v>
      </c>
      <c r="V242" s="567">
        <f t="shared" si="658"/>
        <v>0</v>
      </c>
      <c r="W242" s="125">
        <f t="shared" si="659"/>
        <v>0</v>
      </c>
      <c r="X242" s="126">
        <f t="shared" si="660"/>
        <v>0</v>
      </c>
      <c r="Y242" s="127"/>
      <c r="Z242" s="1057"/>
      <c r="AA242" s="2119"/>
      <c r="AB242" s="596"/>
      <c r="AC242" s="596"/>
      <c r="AD242" s="596"/>
      <c r="AE242" s="596"/>
      <c r="AF242" s="597"/>
      <c r="AG242" s="597"/>
      <c r="AH242" s="597"/>
      <c r="AI242" s="597"/>
      <c r="AJ242" s="597"/>
      <c r="AK242" s="597"/>
      <c r="AL242" s="1565"/>
      <c r="AM242" s="597"/>
      <c r="AN242" s="597"/>
      <c r="AO242" s="597"/>
      <c r="AP242" s="597"/>
      <c r="AQ242" s="597"/>
      <c r="AR242" s="597"/>
      <c r="AS242" s="597"/>
      <c r="AT242" s="597"/>
      <c r="AU242" s="597"/>
      <c r="AV242" s="597"/>
      <c r="AW242" s="597"/>
      <c r="AX242" s="597"/>
      <c r="AY242" s="597"/>
      <c r="AZ242" s="597"/>
      <c r="BA242" s="597"/>
      <c r="BB242" s="597"/>
      <c r="BC242" s="598"/>
      <c r="BD242" s="597"/>
      <c r="BE242" s="597"/>
      <c r="BF242" s="597"/>
      <c r="BG242" s="597"/>
      <c r="BH242" s="597"/>
      <c r="BI242" s="597"/>
      <c r="BJ242" s="597"/>
      <c r="BK242" s="597"/>
      <c r="BL242" s="597"/>
      <c r="BM242" s="597"/>
      <c r="BN242" s="597"/>
      <c r="BO242" s="597"/>
      <c r="BP242" s="597"/>
      <c r="BQ242" s="597"/>
      <c r="BR242" s="597"/>
      <c r="BS242" s="597"/>
      <c r="BT242" s="597"/>
      <c r="BU242" s="597"/>
      <c r="BV242" s="597"/>
      <c r="BW242" s="597"/>
      <c r="BX242" s="597"/>
      <c r="BY242" s="597"/>
      <c r="BZ242" s="597"/>
      <c r="CA242" s="597"/>
      <c r="CB242" s="597"/>
      <c r="CC242" s="597"/>
      <c r="CD242" s="598"/>
      <c r="CE242" s="597"/>
      <c r="CF242" s="597"/>
      <c r="CG242" s="597"/>
      <c r="CH242" s="597"/>
      <c r="CI242" s="597"/>
      <c r="CJ242" s="597"/>
      <c r="CK242" s="597"/>
      <c r="CL242" s="597"/>
      <c r="CM242" s="597"/>
      <c r="CN242" s="597"/>
      <c r="CO242" s="597"/>
      <c r="CP242" s="597"/>
      <c r="CQ242" s="597"/>
      <c r="CR242" s="597"/>
      <c r="CS242" s="597"/>
      <c r="CT242" s="597"/>
      <c r="CU242" s="597"/>
      <c r="CV242" s="597"/>
      <c r="CW242" s="597"/>
      <c r="CX242" s="597"/>
      <c r="CY242" s="597"/>
      <c r="CZ242" s="597"/>
      <c r="DA242" s="597"/>
      <c r="DB242" s="597"/>
      <c r="DC242" s="597"/>
      <c r="DD242" s="597"/>
      <c r="DE242" s="597"/>
      <c r="DF242" s="597"/>
      <c r="DG242" s="597"/>
      <c r="DH242" s="597"/>
      <c r="DI242" s="597"/>
      <c r="DJ242" s="597"/>
      <c r="DK242" s="597"/>
      <c r="DL242" s="597"/>
      <c r="DM242" s="597"/>
      <c r="DN242" s="597"/>
      <c r="DO242" s="597"/>
      <c r="DP242" s="597"/>
    </row>
    <row r="243" spans="1:120" hidden="1" outlineLevel="1">
      <c r="A243" s="55"/>
      <c r="B243" s="509"/>
      <c r="C243" s="510"/>
      <c r="D243" s="1469"/>
      <c r="E243" s="1470"/>
      <c r="F243" s="416"/>
      <c r="G243" s="1251"/>
      <c r="H243" s="511"/>
      <c r="I243" s="512"/>
      <c r="J243" s="1383"/>
      <c r="K243" s="1383"/>
      <c r="L243" s="419"/>
      <c r="M243" s="1600"/>
      <c r="N243" s="504"/>
      <c r="O243" s="513">
        <f t="shared" si="655"/>
        <v>0</v>
      </c>
      <c r="P243" s="431"/>
      <c r="Q243" s="514"/>
      <c r="R243" s="515"/>
      <c r="S243" s="515"/>
      <c r="T243" s="562">
        <f t="shared" si="656"/>
        <v>0</v>
      </c>
      <c r="U243" s="418">
        <f t="shared" si="657"/>
        <v>0</v>
      </c>
      <c r="V243" s="517">
        <f t="shared" si="658"/>
        <v>0</v>
      </c>
      <c r="W243" s="976">
        <f t="shared" si="659"/>
        <v>0</v>
      </c>
      <c r="X243" s="975">
        <f t="shared" si="660"/>
        <v>0</v>
      </c>
      <c r="Y243" s="519"/>
      <c r="AA243" s="2118"/>
      <c r="AB243" s="578"/>
      <c r="AC243" s="578"/>
      <c r="AD243" s="578"/>
      <c r="AE243" s="578"/>
      <c r="AF243" s="579"/>
      <c r="AG243" s="579"/>
      <c r="AH243" s="579"/>
      <c r="AI243" s="579"/>
      <c r="AJ243" s="579"/>
      <c r="AK243" s="579"/>
      <c r="AL243" s="1563"/>
      <c r="AM243" s="579"/>
      <c r="AN243" s="579"/>
      <c r="AO243" s="579"/>
      <c r="AP243" s="579"/>
      <c r="AQ243" s="579"/>
      <c r="AR243" s="579"/>
      <c r="AS243" s="579"/>
      <c r="AT243" s="579"/>
      <c r="AU243" s="579"/>
      <c r="AV243" s="579"/>
      <c r="AW243" s="579"/>
      <c r="AX243" s="579"/>
      <c r="AY243" s="579"/>
      <c r="AZ243" s="579"/>
      <c r="BA243" s="579"/>
      <c r="BB243" s="579"/>
      <c r="BC243" s="579"/>
      <c r="BD243" s="579"/>
      <c r="BE243" s="579"/>
      <c r="BF243" s="579"/>
      <c r="BG243" s="579"/>
      <c r="BH243" s="579"/>
      <c r="BI243" s="579"/>
      <c r="BJ243" s="579"/>
      <c r="BK243" s="579"/>
      <c r="BL243" s="579"/>
      <c r="BM243" s="579"/>
      <c r="BN243" s="579"/>
      <c r="BO243" s="579"/>
      <c r="BP243" s="579"/>
      <c r="BQ243" s="579"/>
      <c r="BR243" s="579"/>
      <c r="BS243" s="579"/>
      <c r="BT243" s="579"/>
      <c r="BU243" s="579"/>
      <c r="BV243" s="579"/>
      <c r="BW243" s="579"/>
      <c r="BX243" s="2122"/>
      <c r="BY243" s="579"/>
      <c r="BZ243" s="579"/>
      <c r="CA243" s="579"/>
      <c r="CB243" s="579"/>
      <c r="CC243" s="2122">
        <v>4.0972736314870402E-10</v>
      </c>
      <c r="CD243" s="579"/>
      <c r="CE243" s="579"/>
      <c r="CF243" s="579"/>
      <c r="CG243" s="579"/>
      <c r="CH243" s="579"/>
      <c r="CI243" s="579"/>
      <c r="CJ243" s="579"/>
      <c r="CK243" s="579"/>
      <c r="CL243" s="579"/>
      <c r="CM243" s="579"/>
      <c r="CN243" s="579"/>
      <c r="CO243" s="579"/>
      <c r="CP243" s="579"/>
      <c r="CQ243" s="579"/>
      <c r="CR243" s="579"/>
      <c r="CS243" s="579"/>
      <c r="CT243" s="579"/>
      <c r="CU243" s="579"/>
      <c r="CV243" s="579"/>
      <c r="CW243" s="579"/>
      <c r="CX243" s="579"/>
      <c r="CY243" s="579"/>
      <c r="CZ243" s="579"/>
      <c r="DA243" s="579"/>
      <c r="DB243" s="579"/>
      <c r="DC243" s="579"/>
      <c r="DD243" s="579"/>
      <c r="DE243" s="579"/>
      <c r="DF243" s="579"/>
      <c r="DG243" s="579"/>
      <c r="DH243" s="579"/>
      <c r="DI243" s="579"/>
      <c r="DJ243" s="579"/>
      <c r="DK243" s="579"/>
      <c r="DL243" s="579"/>
      <c r="DM243" s="579"/>
      <c r="DN243" s="579"/>
      <c r="DO243" s="579"/>
      <c r="DP243" s="579"/>
    </row>
    <row r="244" spans="1:120" ht="16.5" collapsed="1" thickBot="1">
      <c r="A244" s="62" t="s">
        <v>231</v>
      </c>
      <c r="B244" s="63"/>
      <c r="C244" s="64"/>
      <c r="D244" s="1473"/>
      <c r="E244" s="1474"/>
      <c r="F244" s="66">
        <f>SUM(F212:F243)</f>
        <v>0</v>
      </c>
      <c r="G244" s="1253"/>
      <c r="H244" s="67"/>
      <c r="I244" s="68">
        <f>SUM(I212:I243)</f>
        <v>0</v>
      </c>
      <c r="J244" s="1376"/>
      <c r="K244" s="76"/>
      <c r="L244" s="1051">
        <f>SUM(L212:L243)</f>
        <v>0</v>
      </c>
      <c r="M244" s="1598"/>
      <c r="N244" s="70"/>
      <c r="O244" s="71">
        <f>SUM(O212:O243)</f>
        <v>0</v>
      </c>
      <c r="P244" s="72">
        <f>SUM(P212:P243)</f>
        <v>0</v>
      </c>
      <c r="Q244" s="1339"/>
      <c r="R244" s="73"/>
      <c r="S244" s="73"/>
      <c r="T244" s="96">
        <f>SUM(T212:T243)</f>
        <v>0</v>
      </c>
      <c r="U244" s="66">
        <f>SUM(U212:U243)</f>
        <v>0</v>
      </c>
      <c r="V244" s="76">
        <f>SUM(V212:V243)</f>
        <v>0</v>
      </c>
      <c r="W244" s="97">
        <f>SUM(W212:W243)</f>
        <v>0</v>
      </c>
      <c r="X244" s="98">
        <f>SUM(X212:X243)</f>
        <v>0</v>
      </c>
      <c r="Y244" s="43"/>
      <c r="AA244" s="79">
        <f t="shared" ref="AA244:BF244" ca="1" si="746">SUM(AA210:AA243)</f>
        <v>-2.7939677238464355E-9</v>
      </c>
      <c r="AB244" s="130">
        <f t="shared" ca="1" si="746"/>
        <v>0</v>
      </c>
      <c r="AC244" s="130">
        <f t="shared" ca="1" si="746"/>
        <v>0</v>
      </c>
      <c r="AD244" s="130">
        <f t="shared" ca="1" si="746"/>
        <v>0</v>
      </c>
      <c r="AE244" s="130">
        <f t="shared" ca="1" si="746"/>
        <v>0</v>
      </c>
      <c r="AF244" s="130">
        <f t="shared" ca="1" si="746"/>
        <v>0</v>
      </c>
      <c r="AG244" s="130">
        <f t="shared" ca="1" si="746"/>
        <v>0</v>
      </c>
      <c r="AH244" s="130">
        <f t="shared" ca="1" si="746"/>
        <v>0</v>
      </c>
      <c r="AI244" s="130">
        <f t="shared" ca="1" si="746"/>
        <v>0</v>
      </c>
      <c r="AJ244" s="130">
        <f t="shared" ca="1" si="746"/>
        <v>-2.3283064365386963E-10</v>
      </c>
      <c r="AK244" s="130">
        <f t="shared" ca="1" si="746"/>
        <v>-2.3283064365386963E-10</v>
      </c>
      <c r="AL244" s="130">
        <f t="shared" ca="1" si="746"/>
        <v>0</v>
      </c>
      <c r="AM244" s="130">
        <f t="shared" ca="1" si="746"/>
        <v>2.3283064365386963E-10</v>
      </c>
      <c r="AN244" s="130">
        <f t="shared" ca="1" si="746"/>
        <v>0</v>
      </c>
      <c r="AO244" s="130">
        <f t="shared" ca="1" si="746"/>
        <v>0</v>
      </c>
      <c r="AP244" s="130">
        <f t="shared" ca="1" si="746"/>
        <v>0</v>
      </c>
      <c r="AQ244" s="130">
        <f t="shared" ca="1" si="746"/>
        <v>0</v>
      </c>
      <c r="AR244" s="130">
        <f t="shared" ca="1" si="746"/>
        <v>0</v>
      </c>
      <c r="AS244" s="130">
        <f t="shared" ca="1" si="746"/>
        <v>-4.3655745685100555E-11</v>
      </c>
      <c r="AT244" s="130">
        <f t="shared" ca="1" si="746"/>
        <v>0</v>
      </c>
      <c r="AU244" s="130">
        <f t="shared" ca="1" si="746"/>
        <v>0</v>
      </c>
      <c r="AV244" s="130">
        <f t="shared" ca="1" si="746"/>
        <v>-2.3283064365386963E-10</v>
      </c>
      <c r="AW244" s="130">
        <f t="shared" ca="1" si="746"/>
        <v>-2.3283064365386963E-10</v>
      </c>
      <c r="AX244" s="130">
        <f t="shared" ca="1" si="746"/>
        <v>0</v>
      </c>
      <c r="AY244" s="130">
        <f t="shared" ca="1" si="746"/>
        <v>0</v>
      </c>
      <c r="AZ244" s="130">
        <f t="shared" ca="1" si="746"/>
        <v>0</v>
      </c>
      <c r="BA244" s="130">
        <f t="shared" ca="1" si="746"/>
        <v>1375193.1800000004</v>
      </c>
      <c r="BB244" s="130">
        <f t="shared" ca="1" si="746"/>
        <v>0</v>
      </c>
      <c r="BC244" s="130">
        <f t="shared" ca="1" si="746"/>
        <v>0</v>
      </c>
      <c r="BD244" s="130">
        <f t="shared" ca="1" si="746"/>
        <v>0</v>
      </c>
      <c r="BE244" s="130">
        <f t="shared" ca="1" si="746"/>
        <v>0</v>
      </c>
      <c r="BF244" s="130">
        <f t="shared" ca="1" si="746"/>
        <v>0</v>
      </c>
      <c r="BG244" s="130">
        <f t="shared" ref="BG244:CL244" ca="1" si="747">SUM(BG210:BG243)</f>
        <v>0</v>
      </c>
      <c r="BH244" s="130">
        <f t="shared" ca="1" si="747"/>
        <v>0</v>
      </c>
      <c r="BI244" s="130">
        <f t="shared" ca="1" si="747"/>
        <v>0</v>
      </c>
      <c r="BJ244" s="130">
        <f t="shared" ca="1" si="747"/>
        <v>0</v>
      </c>
      <c r="BK244" s="130">
        <f t="shared" ca="1" si="747"/>
        <v>0</v>
      </c>
      <c r="BL244" s="130">
        <f t="shared" ca="1" si="747"/>
        <v>0</v>
      </c>
      <c r="BM244" s="130">
        <f t="shared" ca="1" si="747"/>
        <v>0</v>
      </c>
      <c r="BN244" s="130">
        <f t="shared" ca="1" si="747"/>
        <v>0</v>
      </c>
      <c r="BO244" s="130">
        <f t="shared" ca="1" si="747"/>
        <v>0</v>
      </c>
      <c r="BP244" s="130">
        <f t="shared" ca="1" si="747"/>
        <v>0</v>
      </c>
      <c r="BQ244" s="130">
        <f t="shared" ca="1" si="747"/>
        <v>0</v>
      </c>
      <c r="BR244" s="130">
        <f t="shared" ca="1" si="747"/>
        <v>0</v>
      </c>
      <c r="BS244" s="130">
        <f t="shared" ca="1" si="747"/>
        <v>0</v>
      </c>
      <c r="BT244" s="130">
        <f t="shared" ca="1" si="747"/>
        <v>0</v>
      </c>
      <c r="BU244" s="130">
        <f t="shared" ca="1" si="747"/>
        <v>0</v>
      </c>
      <c r="BV244" s="130">
        <f t="shared" ca="1" si="747"/>
        <v>0</v>
      </c>
      <c r="BW244" s="130">
        <f t="shared" ca="1" si="747"/>
        <v>0</v>
      </c>
      <c r="BX244" s="130">
        <f t="shared" ca="1" si="747"/>
        <v>0</v>
      </c>
      <c r="BY244" s="130">
        <f t="shared" ca="1" si="747"/>
        <v>0</v>
      </c>
      <c r="BZ244" s="130">
        <f t="shared" ca="1" si="747"/>
        <v>0</v>
      </c>
      <c r="CA244" s="130">
        <f t="shared" ca="1" si="747"/>
        <v>0</v>
      </c>
      <c r="CB244" s="130">
        <f t="shared" ca="1" si="747"/>
        <v>0</v>
      </c>
      <c r="CC244" s="130">
        <f t="shared" ca="1" si="747"/>
        <v>4.0972736314870402E-10</v>
      </c>
      <c r="CD244" s="130">
        <f t="shared" ca="1" si="747"/>
        <v>0</v>
      </c>
      <c r="CE244" s="130">
        <f t="shared" ca="1" si="747"/>
        <v>0</v>
      </c>
      <c r="CF244" s="130">
        <f t="shared" ca="1" si="747"/>
        <v>0</v>
      </c>
      <c r="CG244" s="130">
        <f t="shared" ca="1" si="747"/>
        <v>0</v>
      </c>
      <c r="CH244" s="130">
        <f t="shared" ca="1" si="747"/>
        <v>0</v>
      </c>
      <c r="CI244" s="130">
        <f t="shared" ca="1" si="747"/>
        <v>0</v>
      </c>
      <c r="CJ244" s="130">
        <f t="shared" ca="1" si="747"/>
        <v>0</v>
      </c>
      <c r="CK244" s="130">
        <f t="shared" ca="1" si="747"/>
        <v>0</v>
      </c>
      <c r="CL244" s="130">
        <f t="shared" ca="1" si="747"/>
        <v>0</v>
      </c>
      <c r="CM244" s="130">
        <f t="shared" ref="CM244:DM244" ca="1" si="748">SUM(CM210:CM243)</f>
        <v>0</v>
      </c>
      <c r="CN244" s="130">
        <f t="shared" ca="1" si="748"/>
        <v>0</v>
      </c>
      <c r="CO244" s="130">
        <f t="shared" ca="1" si="748"/>
        <v>0</v>
      </c>
      <c r="CP244" s="130">
        <f t="shared" ca="1" si="748"/>
        <v>0</v>
      </c>
      <c r="CQ244" s="130">
        <f t="shared" ca="1" si="748"/>
        <v>0</v>
      </c>
      <c r="CR244" s="130">
        <f t="shared" ca="1" si="748"/>
        <v>0</v>
      </c>
      <c r="CS244" s="130">
        <f t="shared" ca="1" si="748"/>
        <v>0</v>
      </c>
      <c r="CT244" s="130">
        <f t="shared" ca="1" si="748"/>
        <v>0</v>
      </c>
      <c r="CU244" s="130">
        <f t="shared" ca="1" si="748"/>
        <v>0</v>
      </c>
      <c r="CV244" s="130">
        <f t="shared" ca="1" si="748"/>
        <v>0</v>
      </c>
      <c r="CW244" s="130">
        <f t="shared" ca="1" si="748"/>
        <v>0</v>
      </c>
      <c r="CX244" s="130">
        <f t="shared" ca="1" si="748"/>
        <v>0</v>
      </c>
      <c r="CY244" s="130">
        <f t="shared" ca="1" si="748"/>
        <v>0</v>
      </c>
      <c r="CZ244" s="130">
        <f t="shared" ca="1" si="748"/>
        <v>0</v>
      </c>
      <c r="DA244" s="130">
        <f t="shared" ca="1" si="748"/>
        <v>0</v>
      </c>
      <c r="DB244" s="130">
        <f t="shared" ca="1" si="748"/>
        <v>0</v>
      </c>
      <c r="DC244" s="130">
        <f t="shared" ca="1" si="748"/>
        <v>0</v>
      </c>
      <c r="DD244" s="130">
        <f t="shared" ca="1" si="748"/>
        <v>0</v>
      </c>
      <c r="DE244" s="130">
        <f t="shared" ca="1" si="748"/>
        <v>0</v>
      </c>
      <c r="DF244" s="130">
        <f t="shared" ca="1" si="748"/>
        <v>0</v>
      </c>
      <c r="DG244" s="130">
        <f t="shared" ca="1" si="748"/>
        <v>0</v>
      </c>
      <c r="DH244" s="130">
        <f t="shared" ca="1" si="748"/>
        <v>0</v>
      </c>
      <c r="DI244" s="130">
        <f t="shared" ca="1" si="748"/>
        <v>0</v>
      </c>
      <c r="DJ244" s="130">
        <f t="shared" ca="1" si="748"/>
        <v>0</v>
      </c>
      <c r="DK244" s="130">
        <f t="shared" ca="1" si="748"/>
        <v>0</v>
      </c>
      <c r="DL244" s="130">
        <f t="shared" ca="1" si="748"/>
        <v>0</v>
      </c>
      <c r="DM244" s="130">
        <f t="shared" ca="1" si="748"/>
        <v>0</v>
      </c>
      <c r="DN244" s="130">
        <f t="shared" ref="DN244:DO244" ca="1" si="749">SUM(DN210:DN243)</f>
        <v>0</v>
      </c>
      <c r="DO244" s="130">
        <f t="shared" ca="1" si="749"/>
        <v>0</v>
      </c>
      <c r="DP244" s="130">
        <f t="shared" ref="DP244" ca="1" si="750">SUM(DP210:DP243)</f>
        <v>0</v>
      </c>
    </row>
    <row r="245" spans="1:120"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</row>
    <row r="246" spans="1:120" hidden="1" outlineLevel="1">
      <c r="A246" s="532">
        <v>1110052010</v>
      </c>
      <c r="B246" s="573"/>
      <c r="C246" s="534" t="s">
        <v>64</v>
      </c>
      <c r="D246" s="1477"/>
      <c r="E246" s="1478"/>
      <c r="F246" s="535"/>
      <c r="G246" s="1254"/>
      <c r="H246" s="536"/>
      <c r="I246" s="537"/>
      <c r="J246" s="1483">
        <v>1</v>
      </c>
      <c r="K246" s="1484">
        <v>1</v>
      </c>
      <c r="L246" s="1042"/>
      <c r="M246" s="1593">
        <f>+L246*J246</f>
        <v>0</v>
      </c>
      <c r="N246" s="538"/>
      <c r="O246" s="539">
        <f>+L246*N246</f>
        <v>0</v>
      </c>
      <c r="P246" s="540"/>
      <c r="Q246" s="540">
        <f t="shared" ref="Q246:Q247" si="751">+P246*K246</f>
        <v>0</v>
      </c>
      <c r="R246" s="541"/>
      <c r="S246" s="541"/>
      <c r="T246" s="542">
        <f t="shared" ref="T246:T275" si="752">+P246*S246</f>
        <v>0</v>
      </c>
      <c r="U246" s="543">
        <f t="shared" ref="U246:U250" si="753">+L246+P246+F246</f>
        <v>0</v>
      </c>
      <c r="V246" s="544">
        <f>+P246*R246+L246*N246+F246*H246</f>
        <v>0</v>
      </c>
      <c r="W246" s="545">
        <f t="shared" ref="W246:W275" si="754">(IF(R246&gt;S246,(-P246*R246)-(-P246*S246),0))</f>
        <v>0</v>
      </c>
      <c r="X246" s="546">
        <f t="shared" ref="X246:X275" si="755">(IF(R246&lt;S246,(-P246*R246)-(-P246*S246),0))</f>
        <v>0</v>
      </c>
      <c r="Y246" s="547"/>
      <c r="AA246" s="574"/>
      <c r="AB246" s="574"/>
      <c r="AC246" s="574"/>
      <c r="AD246" s="574"/>
      <c r="AE246" s="574"/>
      <c r="AF246" s="575"/>
      <c r="AG246" s="575"/>
      <c r="AH246" s="575"/>
      <c r="AI246" s="575"/>
      <c r="AJ246" s="575"/>
      <c r="AK246" s="575"/>
      <c r="AL246" s="575"/>
      <c r="AM246" s="575"/>
      <c r="AN246" s="575"/>
      <c r="AO246" s="575"/>
      <c r="AP246" s="575"/>
      <c r="AQ246" s="575"/>
      <c r="AR246" s="575"/>
      <c r="AS246" s="575"/>
      <c r="AT246" s="575"/>
      <c r="AU246" s="575"/>
      <c r="AV246" s="575"/>
      <c r="AW246" s="575"/>
      <c r="AX246" s="575"/>
      <c r="AY246" s="575"/>
      <c r="AZ246" s="575"/>
      <c r="BA246" s="575"/>
      <c r="BB246" s="575"/>
      <c r="BC246" s="575"/>
      <c r="BD246" s="575"/>
      <c r="BE246" s="575"/>
      <c r="BF246" s="575"/>
      <c r="BG246" s="575"/>
      <c r="BH246" s="575"/>
      <c r="BI246" s="575"/>
      <c r="BJ246" s="575"/>
      <c r="BK246" s="575"/>
      <c r="BL246" s="575"/>
      <c r="BM246" s="575"/>
      <c r="BN246" s="576"/>
      <c r="BO246" s="576"/>
      <c r="BP246" s="575"/>
      <c r="BQ246" s="575"/>
      <c r="BR246" s="575"/>
      <c r="BS246" s="575"/>
      <c r="BT246" s="575"/>
      <c r="BU246" s="575"/>
      <c r="BV246" s="575"/>
      <c r="BW246" s="575"/>
      <c r="BX246" s="575"/>
      <c r="BY246" s="575"/>
      <c r="BZ246" s="575"/>
      <c r="CA246" s="575"/>
      <c r="CB246" s="575"/>
      <c r="CC246" s="575"/>
      <c r="CD246" s="576">
        <f>+Q246</f>
        <v>0</v>
      </c>
      <c r="CE246" s="575"/>
      <c r="CF246" s="575"/>
      <c r="CG246" s="575"/>
      <c r="CH246" s="575"/>
      <c r="CI246" s="575"/>
      <c r="CJ246" s="575"/>
      <c r="CK246" s="575"/>
      <c r="CL246" s="575"/>
      <c r="CM246" s="575"/>
      <c r="CN246" s="575"/>
      <c r="CO246" s="575"/>
      <c r="CP246" s="575"/>
      <c r="CQ246" s="575"/>
      <c r="CR246" s="575"/>
      <c r="CS246" s="575"/>
      <c r="CT246" s="575"/>
      <c r="CU246" s="575"/>
      <c r="CV246" s="575"/>
      <c r="CW246" s="575"/>
      <c r="CX246" s="575"/>
      <c r="CY246" s="575"/>
      <c r="CZ246" s="575"/>
      <c r="DA246" s="575"/>
      <c r="DB246" s="575"/>
      <c r="DC246" s="575"/>
      <c r="DD246" s="575"/>
      <c r="DE246" s="575"/>
      <c r="DF246" s="575"/>
      <c r="DG246" s="575"/>
      <c r="DH246" s="575"/>
      <c r="DI246" s="575"/>
      <c r="DJ246" s="575"/>
      <c r="DK246" s="575"/>
      <c r="DL246" s="575"/>
      <c r="DM246" s="575"/>
      <c r="DN246" s="575"/>
      <c r="DO246" s="575"/>
      <c r="DP246" s="575"/>
    </row>
    <row r="247" spans="1:120" hidden="1" outlineLevel="1">
      <c r="A247" s="55">
        <v>1110052010</v>
      </c>
      <c r="B247" s="90"/>
      <c r="C247" s="91" t="s">
        <v>64</v>
      </c>
      <c r="D247" s="1481"/>
      <c r="E247" s="1482"/>
      <c r="F247" s="420"/>
      <c r="G247" s="1256"/>
      <c r="H247" s="421"/>
      <c r="I247" s="422"/>
      <c r="J247" s="1425">
        <v>1</v>
      </c>
      <c r="K247" s="1426">
        <v>1</v>
      </c>
      <c r="L247" s="1043"/>
      <c r="M247" s="1594">
        <f t="shared" ref="M247" si="756">+L247*J247</f>
        <v>0</v>
      </c>
      <c r="N247" s="415"/>
      <c r="O247" s="424">
        <f t="shared" ref="O247" si="757">+L247*N247</f>
        <v>0</v>
      </c>
      <c r="P247" s="425"/>
      <c r="Q247" s="1340">
        <f t="shared" si="751"/>
        <v>0</v>
      </c>
      <c r="R247" s="426"/>
      <c r="S247" s="426"/>
      <c r="T247" s="427">
        <f t="shared" ref="T247" si="758">+P247*S247</f>
        <v>0</v>
      </c>
      <c r="U247" s="418">
        <f t="shared" ref="U247" si="759">+L247+P247+F247</f>
        <v>0</v>
      </c>
      <c r="V247" s="517">
        <f t="shared" ref="V247" si="760">+P247*R247+L247*N247+F247*H247</f>
        <v>0</v>
      </c>
      <c r="W247" s="428">
        <f t="shared" ref="W247" si="761">(IF(R247&gt;S247,(-P247*R247)-(-P247*S247),0))</f>
        <v>0</v>
      </c>
      <c r="X247" s="429">
        <f t="shared" ref="X247" si="762">(IF(R247&lt;S247,(-P247*R247)-(-P247*S247),0))</f>
        <v>0</v>
      </c>
      <c r="Y247" s="92"/>
      <c r="AA247" s="578"/>
      <c r="AB247" s="578"/>
      <c r="AC247" s="578"/>
      <c r="AD247" s="578"/>
      <c r="AE247" s="578"/>
      <c r="AF247" s="579"/>
      <c r="AG247" s="579"/>
      <c r="AH247" s="579"/>
      <c r="AI247" s="579"/>
      <c r="AJ247" s="579"/>
      <c r="AK247" s="579"/>
      <c r="AL247" s="1563"/>
      <c r="AM247" s="579"/>
      <c r="AN247" s="579"/>
      <c r="AO247" s="579"/>
      <c r="AP247" s="579"/>
      <c r="AQ247" s="579"/>
      <c r="AR247" s="579"/>
      <c r="AS247" s="579"/>
      <c r="AT247" s="579"/>
      <c r="AU247" s="579"/>
      <c r="AV247" s="579"/>
      <c r="AW247" s="579"/>
      <c r="AX247" s="579"/>
      <c r="AY247" s="579"/>
      <c r="AZ247" s="579"/>
      <c r="BA247" s="579"/>
      <c r="BB247" s="594"/>
      <c r="BC247" s="579"/>
      <c r="BD247" s="579"/>
      <c r="BE247" s="579"/>
      <c r="BF247" s="579"/>
      <c r="BG247" s="579"/>
      <c r="BH247" s="579"/>
      <c r="BI247" s="579"/>
      <c r="BJ247" s="579"/>
      <c r="BK247" s="579"/>
      <c r="BL247" s="579"/>
      <c r="BM247" s="579"/>
      <c r="BN247" s="594"/>
      <c r="BO247" s="579"/>
      <c r="BP247" s="579"/>
      <c r="BQ247" s="579"/>
      <c r="BR247" s="579"/>
      <c r="BS247" s="579"/>
      <c r="BT247" s="579"/>
      <c r="BU247" s="579"/>
      <c r="BV247" s="579"/>
      <c r="BW247" s="579"/>
      <c r="BX247" s="579"/>
      <c r="BY247" s="579"/>
      <c r="BZ247" s="579"/>
      <c r="CA247" s="579"/>
      <c r="CB247" s="579"/>
      <c r="CC247" s="579"/>
      <c r="CD247" s="579"/>
      <c r="CE247" s="594">
        <f>+Q247</f>
        <v>0</v>
      </c>
      <c r="CF247" s="579"/>
      <c r="CG247" s="579"/>
      <c r="CH247" s="579"/>
      <c r="CI247" s="579"/>
      <c r="CJ247" s="579"/>
      <c r="CK247" s="579"/>
      <c r="CL247" s="579"/>
      <c r="CM247" s="579"/>
      <c r="CN247" s="579"/>
      <c r="CO247" s="579"/>
      <c r="CP247" s="579"/>
      <c r="CQ247" s="579"/>
      <c r="CR247" s="579"/>
      <c r="CS247" s="579"/>
      <c r="CT247" s="579"/>
      <c r="CU247" s="579"/>
      <c r="CV247" s="579"/>
      <c r="CW247" s="579"/>
      <c r="CX247" s="579"/>
      <c r="CY247" s="579"/>
      <c r="CZ247" s="579"/>
      <c r="DA247" s="579"/>
      <c r="DB247" s="579"/>
      <c r="DC247" s="579"/>
      <c r="DD247" s="579"/>
      <c r="DE247" s="579"/>
      <c r="DF247" s="579"/>
      <c r="DG247" s="579"/>
      <c r="DH247" s="579"/>
      <c r="DI247" s="579"/>
      <c r="DJ247" s="579"/>
      <c r="DK247" s="579"/>
      <c r="DL247" s="579"/>
      <c r="DM247" s="579"/>
      <c r="DN247" s="579"/>
      <c r="DO247" s="579"/>
      <c r="DP247" s="579"/>
    </row>
    <row r="248" spans="1:120" hidden="1" outlineLevel="1">
      <c r="A248" s="55">
        <v>1110052010</v>
      </c>
      <c r="B248" s="90"/>
      <c r="C248" s="91" t="s">
        <v>64</v>
      </c>
      <c r="D248" s="1481"/>
      <c r="E248" s="1482"/>
      <c r="F248" s="420"/>
      <c r="G248" s="1256"/>
      <c r="H248" s="421"/>
      <c r="I248" s="422"/>
      <c r="J248" s="1425">
        <v>1</v>
      </c>
      <c r="K248" s="1426">
        <v>1</v>
      </c>
      <c r="L248" s="1043"/>
      <c r="M248" s="1594">
        <f t="shared" ref="M248" si="763">+L248*J248</f>
        <v>0</v>
      </c>
      <c r="N248" s="415"/>
      <c r="O248" s="424">
        <f t="shared" ref="O248" si="764">+L248*N248</f>
        <v>0</v>
      </c>
      <c r="P248" s="425"/>
      <c r="Q248" s="1340">
        <f t="shared" ref="Q248" si="765">+P248*K248</f>
        <v>0</v>
      </c>
      <c r="R248" s="426"/>
      <c r="S248" s="426"/>
      <c r="T248" s="427">
        <f t="shared" ref="T248" si="766">+P248*S248</f>
        <v>0</v>
      </c>
      <c r="U248" s="418">
        <f t="shared" ref="U248" si="767">+L248+P248+F248</f>
        <v>0</v>
      </c>
      <c r="V248" s="517">
        <f t="shared" ref="V248" si="768">+P248*R248+L248*N248+F248*H248</f>
        <v>0</v>
      </c>
      <c r="W248" s="428">
        <f t="shared" ref="W248" si="769">(IF(R248&gt;S248,(-P248*R248)-(-P248*S248),0))</f>
        <v>0</v>
      </c>
      <c r="X248" s="429">
        <f t="shared" ref="X248" si="770">(IF(R248&lt;S248,(-P248*R248)-(-P248*S248),0))</f>
        <v>0</v>
      </c>
      <c r="Y248" s="92"/>
      <c r="AA248" s="578"/>
      <c r="AB248" s="2121">
        <f>+Q248</f>
        <v>0</v>
      </c>
      <c r="AC248" s="578"/>
      <c r="AD248" s="578"/>
      <c r="AE248" s="578"/>
      <c r="AF248" s="579"/>
      <c r="AG248" s="579"/>
      <c r="AH248" s="579"/>
      <c r="AI248" s="579"/>
      <c r="AJ248" s="579"/>
      <c r="AK248" s="579"/>
      <c r="AL248" s="1563"/>
      <c r="AM248" s="579"/>
      <c r="AN248" s="579"/>
      <c r="AO248" s="579"/>
      <c r="AP248" s="579"/>
      <c r="AQ248" s="579"/>
      <c r="AR248" s="579"/>
      <c r="AS248" s="579"/>
      <c r="AT248" s="579"/>
      <c r="AU248" s="579"/>
      <c r="AV248" s="579"/>
      <c r="AW248" s="579"/>
      <c r="AX248" s="579"/>
      <c r="AY248" s="579"/>
      <c r="AZ248" s="579"/>
      <c r="BA248" s="579"/>
      <c r="BB248" s="594"/>
      <c r="BC248" s="579"/>
      <c r="BD248" s="579"/>
      <c r="BE248" s="579"/>
      <c r="BF248" s="579"/>
      <c r="BG248" s="579"/>
      <c r="BH248" s="579"/>
      <c r="BI248" s="579"/>
      <c r="BJ248" s="579"/>
      <c r="BK248" s="579"/>
      <c r="BL248" s="579"/>
      <c r="BM248" s="579"/>
      <c r="BN248" s="594"/>
      <c r="BO248" s="579"/>
      <c r="BP248" s="579"/>
      <c r="BQ248" s="579"/>
      <c r="BR248" s="579"/>
      <c r="BS248" s="579"/>
      <c r="BT248" s="579"/>
      <c r="BU248" s="579"/>
      <c r="BV248" s="579"/>
      <c r="BW248" s="579"/>
      <c r="BX248" s="579"/>
      <c r="BY248" s="579"/>
      <c r="BZ248" s="579"/>
      <c r="CA248" s="579"/>
      <c r="CB248" s="579"/>
      <c r="CC248" s="579"/>
      <c r="CD248" s="579"/>
      <c r="CE248" s="579"/>
      <c r="CF248" s="579"/>
      <c r="CG248" s="579"/>
      <c r="CH248" s="579"/>
      <c r="CI248" s="579"/>
      <c r="CJ248" s="579"/>
      <c r="CK248" s="579"/>
      <c r="CL248" s="579"/>
      <c r="CM248" s="579"/>
      <c r="CN248" s="579"/>
      <c r="CO248" s="579"/>
      <c r="CP248" s="579"/>
      <c r="CQ248" s="579"/>
      <c r="CR248" s="579"/>
      <c r="CS248" s="579"/>
      <c r="CT248" s="579"/>
      <c r="CU248" s="579"/>
      <c r="CV248" s="579"/>
      <c r="CW248" s="579"/>
      <c r="CX248" s="579"/>
      <c r="CY248" s="579"/>
      <c r="CZ248" s="579"/>
      <c r="DA248" s="579"/>
      <c r="DB248" s="579"/>
      <c r="DC248" s="579"/>
      <c r="DD248" s="579"/>
      <c r="DE248" s="579"/>
      <c r="DF248" s="579"/>
      <c r="DG248" s="579"/>
      <c r="DH248" s="579"/>
      <c r="DI248" s="579"/>
      <c r="DJ248" s="579"/>
      <c r="DK248" s="579"/>
      <c r="DL248" s="579"/>
      <c r="DM248" s="579"/>
      <c r="DN248" s="579"/>
      <c r="DO248" s="579"/>
      <c r="DP248" s="579"/>
    </row>
    <row r="249" spans="1:120" hidden="1" outlineLevel="1">
      <c r="A249" s="55">
        <v>1110052010</v>
      </c>
      <c r="B249" s="90"/>
      <c r="C249" s="91" t="s">
        <v>64</v>
      </c>
      <c r="D249" s="1481"/>
      <c r="E249" s="1482"/>
      <c r="F249" s="420"/>
      <c r="G249" s="1256"/>
      <c r="H249" s="421"/>
      <c r="I249" s="422"/>
      <c r="J249" s="1425">
        <v>1</v>
      </c>
      <c r="K249" s="1426">
        <v>1</v>
      </c>
      <c r="L249" s="1043"/>
      <c r="M249" s="1594">
        <f t="shared" ref="M249:M274" si="771">+L249*J249</f>
        <v>0</v>
      </c>
      <c r="N249" s="415"/>
      <c r="O249" s="424">
        <f t="shared" ref="O249:O275" si="772">+L249*N249</f>
        <v>0</v>
      </c>
      <c r="P249" s="425"/>
      <c r="Q249" s="1340">
        <f t="shared" ref="Q249:Q274" si="773">+P249*K249</f>
        <v>0</v>
      </c>
      <c r="R249" s="426"/>
      <c r="S249" s="426"/>
      <c r="T249" s="427">
        <f t="shared" si="752"/>
        <v>0</v>
      </c>
      <c r="U249" s="418">
        <f t="shared" si="753"/>
        <v>0</v>
      </c>
      <c r="V249" s="517">
        <f t="shared" ref="V249:V250" si="774">+P249*R249+L249*N249+F249*H249</f>
        <v>0</v>
      </c>
      <c r="W249" s="428">
        <f t="shared" si="754"/>
        <v>0</v>
      </c>
      <c r="X249" s="429">
        <f t="shared" si="755"/>
        <v>0</v>
      </c>
      <c r="Y249" s="92"/>
      <c r="AA249" s="578"/>
      <c r="AB249" s="578"/>
      <c r="AC249" s="578"/>
      <c r="AD249" s="578"/>
      <c r="AE249" s="578"/>
      <c r="AF249" s="579"/>
      <c r="AG249" s="579"/>
      <c r="AH249" s="579"/>
      <c r="AI249" s="579"/>
      <c r="AJ249" s="579"/>
      <c r="AK249" s="579"/>
      <c r="AL249" s="1563"/>
      <c r="AM249" s="579"/>
      <c r="AN249" s="579"/>
      <c r="AO249" s="579"/>
      <c r="AP249" s="579"/>
      <c r="AQ249" s="579"/>
      <c r="AR249" s="579"/>
      <c r="AS249" s="579"/>
      <c r="AT249" s="579"/>
      <c r="AU249" s="579"/>
      <c r="AV249" s="579"/>
      <c r="AW249" s="579"/>
      <c r="AX249" s="579"/>
      <c r="AY249" s="579"/>
      <c r="AZ249" s="579"/>
      <c r="BA249" s="579"/>
      <c r="BB249" s="594"/>
      <c r="BC249" s="579"/>
      <c r="BD249" s="579"/>
      <c r="BE249" s="579"/>
      <c r="BF249" s="579"/>
      <c r="BG249" s="579"/>
      <c r="BH249" s="579"/>
      <c r="BI249" s="579"/>
      <c r="BJ249" s="579"/>
      <c r="BK249" s="579"/>
      <c r="BL249" s="579"/>
      <c r="BM249" s="579"/>
      <c r="BN249" s="594"/>
      <c r="BO249" s="579"/>
      <c r="BP249" s="579"/>
      <c r="BQ249" s="579"/>
      <c r="BR249" s="579"/>
      <c r="BS249" s="579"/>
      <c r="BT249" s="579"/>
      <c r="BU249" s="579"/>
      <c r="BV249" s="579"/>
      <c r="BW249" s="579"/>
      <c r="BX249" s="579"/>
      <c r="BY249" s="579"/>
      <c r="BZ249" s="579"/>
      <c r="CA249" s="579"/>
      <c r="CB249" s="579"/>
      <c r="CC249" s="579"/>
      <c r="CD249" s="579"/>
      <c r="CE249" s="579"/>
      <c r="CF249" s="579"/>
      <c r="CG249" s="594">
        <f>+M249</f>
        <v>0</v>
      </c>
      <c r="CH249" s="579"/>
      <c r="CI249" s="579"/>
      <c r="CJ249" s="579"/>
      <c r="CK249" s="579"/>
      <c r="CL249" s="579"/>
      <c r="CM249" s="579"/>
      <c r="CN249" s="579"/>
      <c r="CO249" s="579"/>
      <c r="CP249" s="579"/>
      <c r="CQ249" s="579"/>
      <c r="CR249" s="579"/>
      <c r="CS249" s="579"/>
      <c r="CT249" s="579"/>
      <c r="CU249" s="579"/>
      <c r="CV249" s="579"/>
      <c r="CW249" s="579"/>
      <c r="CX249" s="579"/>
      <c r="CY249" s="579"/>
      <c r="CZ249" s="579"/>
      <c r="DA249" s="579"/>
      <c r="DB249" s="579"/>
      <c r="DC249" s="579"/>
      <c r="DD249" s="579"/>
      <c r="DE249" s="579"/>
      <c r="DF249" s="579"/>
      <c r="DG249" s="579"/>
      <c r="DH249" s="579"/>
      <c r="DI249" s="579"/>
      <c r="DJ249" s="579"/>
      <c r="DK249" s="579"/>
      <c r="DL249" s="579"/>
      <c r="DM249" s="579"/>
      <c r="DN249" s="579"/>
      <c r="DO249" s="579"/>
      <c r="DP249" s="579"/>
    </row>
    <row r="250" spans="1:120" hidden="1" outlineLevel="1">
      <c r="A250" s="55">
        <v>1110052010</v>
      </c>
      <c r="B250" s="90"/>
      <c r="C250" s="91" t="s">
        <v>64</v>
      </c>
      <c r="D250" s="1481"/>
      <c r="E250" s="1482"/>
      <c r="F250" s="420"/>
      <c r="G250" s="1256"/>
      <c r="H250" s="421"/>
      <c r="I250" s="422"/>
      <c r="J250" s="1425">
        <v>1</v>
      </c>
      <c r="K250" s="1426">
        <v>1</v>
      </c>
      <c r="L250" s="1043"/>
      <c r="M250" s="1594">
        <f t="shared" si="771"/>
        <v>0</v>
      </c>
      <c r="N250" s="415"/>
      <c r="O250" s="424">
        <f t="shared" si="772"/>
        <v>0</v>
      </c>
      <c r="P250" s="425"/>
      <c r="Q250" s="1340">
        <f t="shared" si="773"/>
        <v>0</v>
      </c>
      <c r="R250" s="426"/>
      <c r="S250" s="426"/>
      <c r="T250" s="427">
        <f t="shared" si="752"/>
        <v>0</v>
      </c>
      <c r="U250" s="418">
        <f t="shared" si="753"/>
        <v>0</v>
      </c>
      <c r="V250" s="517">
        <f t="shared" si="774"/>
        <v>0</v>
      </c>
      <c r="W250" s="428">
        <f t="shared" si="754"/>
        <v>0</v>
      </c>
      <c r="X250" s="429">
        <f t="shared" si="755"/>
        <v>0</v>
      </c>
      <c r="Y250" s="92"/>
      <c r="AA250" s="578"/>
      <c r="AB250" s="578"/>
      <c r="AC250" s="578"/>
      <c r="AD250" s="578"/>
      <c r="AE250" s="578"/>
      <c r="AF250" s="579"/>
      <c r="AG250" s="579"/>
      <c r="AH250" s="579"/>
      <c r="AI250" s="579"/>
      <c r="AJ250" s="579"/>
      <c r="AK250" s="579"/>
      <c r="AL250" s="1563"/>
      <c r="AM250" s="579"/>
      <c r="AN250" s="579"/>
      <c r="AO250" s="579"/>
      <c r="AP250" s="579"/>
      <c r="AQ250" s="579"/>
      <c r="AR250" s="579"/>
      <c r="AS250" s="579"/>
      <c r="AT250" s="579"/>
      <c r="AU250" s="579"/>
      <c r="AV250" s="579"/>
      <c r="AW250" s="579"/>
      <c r="AX250" s="579"/>
      <c r="AY250" s="579"/>
      <c r="AZ250" s="579"/>
      <c r="BA250" s="579"/>
      <c r="BB250" s="594"/>
      <c r="BC250" s="579"/>
      <c r="BD250" s="579"/>
      <c r="BE250" s="579"/>
      <c r="BF250" s="579"/>
      <c r="BG250" s="579"/>
      <c r="BH250" s="579"/>
      <c r="BI250" s="579"/>
      <c r="BJ250" s="579"/>
      <c r="BK250" s="579"/>
      <c r="BL250" s="579"/>
      <c r="BM250" s="579"/>
      <c r="BN250" s="579"/>
      <c r="BO250" s="579"/>
      <c r="BP250" s="579"/>
      <c r="BQ250" s="579"/>
      <c r="BR250" s="594"/>
      <c r="BS250" s="579"/>
      <c r="BT250" s="579"/>
      <c r="BU250" s="579"/>
      <c r="BV250" s="579"/>
      <c r="BW250" s="579"/>
      <c r="BX250" s="579"/>
      <c r="BY250" s="579"/>
      <c r="BZ250" s="579"/>
      <c r="CA250" s="579"/>
      <c r="CB250" s="579"/>
      <c r="CC250" s="579"/>
      <c r="CD250" s="579"/>
      <c r="CE250" s="579"/>
      <c r="CF250" s="579"/>
      <c r="CG250" s="594">
        <f>+Q250</f>
        <v>0</v>
      </c>
      <c r="CH250" s="579"/>
      <c r="CI250" s="579"/>
      <c r="CJ250" s="579"/>
      <c r="CK250" s="579"/>
      <c r="CL250" s="579"/>
      <c r="CM250" s="579"/>
      <c r="CN250" s="579"/>
      <c r="CO250" s="579"/>
      <c r="CP250" s="579"/>
      <c r="CQ250" s="579"/>
      <c r="CR250" s="579"/>
      <c r="CS250" s="579"/>
      <c r="CT250" s="579"/>
      <c r="CU250" s="579"/>
      <c r="CV250" s="579"/>
      <c r="CW250" s="579"/>
      <c r="CX250" s="579"/>
      <c r="CY250" s="579"/>
      <c r="CZ250" s="579"/>
      <c r="DA250" s="579"/>
      <c r="DB250" s="579"/>
      <c r="DC250" s="579"/>
      <c r="DD250" s="579"/>
      <c r="DE250" s="579"/>
      <c r="DF250" s="579"/>
      <c r="DG250" s="579"/>
      <c r="DH250" s="579"/>
      <c r="DI250" s="579"/>
      <c r="DJ250" s="579"/>
      <c r="DK250" s="579"/>
      <c r="DL250" s="579"/>
      <c r="DM250" s="579"/>
      <c r="DN250" s="579"/>
      <c r="DO250" s="579"/>
      <c r="DP250" s="579"/>
    </row>
    <row r="251" spans="1:120" hidden="1" outlineLevel="1">
      <c r="A251" s="55">
        <v>1110052010</v>
      </c>
      <c r="B251" s="90"/>
      <c r="C251" s="91" t="s">
        <v>64</v>
      </c>
      <c r="D251" s="1481"/>
      <c r="E251" s="1482"/>
      <c r="F251" s="420"/>
      <c r="G251" s="1256"/>
      <c r="H251" s="421"/>
      <c r="I251" s="422"/>
      <c r="J251" s="1425">
        <v>1</v>
      </c>
      <c r="K251" s="1426">
        <v>1</v>
      </c>
      <c r="L251" s="1043"/>
      <c r="M251" s="1594">
        <f t="shared" si="771"/>
        <v>0</v>
      </c>
      <c r="N251" s="415"/>
      <c r="O251" s="424">
        <f t="shared" ref="O251:O255" si="775">+L251*N251</f>
        <v>0</v>
      </c>
      <c r="P251" s="425"/>
      <c r="Q251" s="1340">
        <f t="shared" si="773"/>
        <v>0</v>
      </c>
      <c r="R251" s="426"/>
      <c r="S251" s="426"/>
      <c r="T251" s="427">
        <f t="shared" ref="T251:T255" si="776">+P251*S251</f>
        <v>0</v>
      </c>
      <c r="U251" s="418">
        <f t="shared" ref="U251:U255" si="777">+L251+P251+F251</f>
        <v>0</v>
      </c>
      <c r="V251" s="517">
        <f t="shared" ref="V251:V255" si="778">+P251*R251+L251*N251+F251*H251</f>
        <v>0</v>
      </c>
      <c r="W251" s="428">
        <f t="shared" ref="W251:W255" si="779">(IF(R251&gt;S251,(-P251*R251)-(-P251*S251),0))</f>
        <v>0</v>
      </c>
      <c r="X251" s="429">
        <f t="shared" ref="X251:X255" si="780">(IF(R251&lt;S251,(-P251*R251)-(-P251*S251),0))</f>
        <v>0</v>
      </c>
      <c r="Y251" s="92"/>
      <c r="AA251" s="578"/>
      <c r="AB251" s="578"/>
      <c r="AC251" s="578"/>
      <c r="AD251" s="578"/>
      <c r="AE251" s="578"/>
      <c r="AF251" s="579"/>
      <c r="AG251" s="579"/>
      <c r="AH251" s="579"/>
      <c r="AI251" s="579"/>
      <c r="AJ251" s="579"/>
      <c r="AK251" s="579"/>
      <c r="AL251" s="1563"/>
      <c r="AM251" s="579"/>
      <c r="AN251" s="579"/>
      <c r="AO251" s="579"/>
      <c r="AP251" s="579"/>
      <c r="AQ251" s="579"/>
      <c r="AR251" s="579"/>
      <c r="AS251" s="579"/>
      <c r="AT251" s="579"/>
      <c r="AU251" s="579"/>
      <c r="AV251" s="579"/>
      <c r="AW251" s="579"/>
      <c r="AX251" s="579"/>
      <c r="AY251" s="579"/>
      <c r="AZ251" s="579"/>
      <c r="BA251" s="579"/>
      <c r="BB251" s="594"/>
      <c r="BC251" s="579"/>
      <c r="BD251" s="579"/>
      <c r="BE251" s="579"/>
      <c r="BF251" s="579"/>
      <c r="BG251" s="579"/>
      <c r="BH251" s="579"/>
      <c r="BI251" s="579"/>
      <c r="BJ251" s="579"/>
      <c r="BK251" s="579"/>
      <c r="BL251" s="579"/>
      <c r="BM251" s="579"/>
      <c r="BN251" s="594"/>
      <c r="BO251" s="579"/>
      <c r="BP251" s="579"/>
      <c r="BQ251" s="579"/>
      <c r="BR251" s="579"/>
      <c r="BS251" s="579"/>
      <c r="BT251" s="579"/>
      <c r="BU251" s="579"/>
      <c r="BV251" s="579"/>
      <c r="BW251" s="579"/>
      <c r="BX251" s="579"/>
      <c r="BY251" s="579"/>
      <c r="BZ251" s="579"/>
      <c r="CA251" s="579"/>
      <c r="CB251" s="579"/>
      <c r="CC251" s="579"/>
      <c r="CD251" s="579"/>
      <c r="CE251" s="579"/>
      <c r="CF251" s="579"/>
      <c r="CG251" s="594">
        <f>+Q251</f>
        <v>0</v>
      </c>
      <c r="CH251" s="579"/>
      <c r="CI251" s="579"/>
      <c r="CJ251" s="579"/>
      <c r="CK251" s="579"/>
      <c r="CL251" s="579"/>
      <c r="CM251" s="579"/>
      <c r="CN251" s="579"/>
      <c r="CO251" s="579"/>
      <c r="CP251" s="579"/>
      <c r="CQ251" s="579"/>
      <c r="CR251" s="579"/>
      <c r="CS251" s="579"/>
      <c r="CT251" s="579"/>
      <c r="CU251" s="579"/>
      <c r="CV251" s="579"/>
      <c r="CW251" s="579"/>
      <c r="CX251" s="579"/>
      <c r="CY251" s="579"/>
      <c r="CZ251" s="579"/>
      <c r="DA251" s="579"/>
      <c r="DB251" s="579"/>
      <c r="DC251" s="579"/>
      <c r="DD251" s="579"/>
      <c r="DE251" s="579"/>
      <c r="DF251" s="579"/>
      <c r="DG251" s="579"/>
      <c r="DH251" s="579"/>
      <c r="DI251" s="579"/>
      <c r="DJ251" s="579"/>
      <c r="DK251" s="579"/>
      <c r="DL251" s="579"/>
      <c r="DM251" s="579"/>
      <c r="DN251" s="579"/>
      <c r="DO251" s="579"/>
      <c r="DP251" s="579"/>
    </row>
    <row r="252" spans="1:120" hidden="1" outlineLevel="1">
      <c r="A252" s="55">
        <v>1110052010</v>
      </c>
      <c r="B252" s="90"/>
      <c r="C252" s="91" t="s">
        <v>64</v>
      </c>
      <c r="D252" s="1481"/>
      <c r="E252" s="1482"/>
      <c r="F252" s="420"/>
      <c r="G252" s="1256"/>
      <c r="H252" s="421"/>
      <c r="I252" s="422"/>
      <c r="J252" s="1425">
        <v>1</v>
      </c>
      <c r="K252" s="1426">
        <v>1</v>
      </c>
      <c r="L252" s="1043"/>
      <c r="M252" s="1594">
        <f t="shared" si="771"/>
        <v>0</v>
      </c>
      <c r="N252" s="415"/>
      <c r="O252" s="424">
        <f t="shared" si="775"/>
        <v>0</v>
      </c>
      <c r="P252" s="425"/>
      <c r="Q252" s="1340">
        <f t="shared" si="773"/>
        <v>0</v>
      </c>
      <c r="R252" s="426"/>
      <c r="S252" s="426"/>
      <c r="T252" s="427">
        <f t="shared" si="776"/>
        <v>0</v>
      </c>
      <c r="U252" s="418">
        <f t="shared" si="777"/>
        <v>0</v>
      </c>
      <c r="V252" s="517">
        <f t="shared" si="778"/>
        <v>0</v>
      </c>
      <c r="W252" s="428">
        <f t="shared" si="779"/>
        <v>0</v>
      </c>
      <c r="X252" s="429">
        <f t="shared" si="780"/>
        <v>0</v>
      </c>
      <c r="Y252" s="92"/>
      <c r="AA252" s="578"/>
      <c r="AB252" s="578"/>
      <c r="AC252" s="578"/>
      <c r="AD252" s="578"/>
      <c r="AE252" s="578"/>
      <c r="AF252" s="579"/>
      <c r="AG252" s="579"/>
      <c r="AH252" s="579"/>
      <c r="AI252" s="579"/>
      <c r="AJ252" s="579"/>
      <c r="AK252" s="579"/>
      <c r="AL252" s="1563"/>
      <c r="AM252" s="579"/>
      <c r="AN252" s="579"/>
      <c r="AO252" s="579"/>
      <c r="AP252" s="579"/>
      <c r="AQ252" s="579"/>
      <c r="AR252" s="579"/>
      <c r="AS252" s="579"/>
      <c r="AT252" s="579"/>
      <c r="AU252" s="579"/>
      <c r="AV252" s="579"/>
      <c r="AW252" s="579"/>
      <c r="AX252" s="579"/>
      <c r="AY252" s="579"/>
      <c r="AZ252" s="579"/>
      <c r="BA252" s="579"/>
      <c r="BB252" s="594"/>
      <c r="BC252" s="579"/>
      <c r="BD252" s="579"/>
      <c r="BE252" s="579"/>
      <c r="BF252" s="579"/>
      <c r="BG252" s="579"/>
      <c r="BH252" s="579"/>
      <c r="BI252" s="579"/>
      <c r="BJ252" s="579"/>
      <c r="BK252" s="579"/>
      <c r="BL252" s="579"/>
      <c r="BM252" s="579"/>
      <c r="BN252" s="579"/>
      <c r="BO252" s="579"/>
      <c r="BP252" s="579"/>
      <c r="BQ252" s="579"/>
      <c r="BR252" s="594"/>
      <c r="BS252" s="579"/>
      <c r="BT252" s="579"/>
      <c r="BU252" s="579"/>
      <c r="BV252" s="579"/>
      <c r="BW252" s="579"/>
      <c r="BX252" s="579"/>
      <c r="BY252" s="579"/>
      <c r="BZ252" s="579"/>
      <c r="CA252" s="579"/>
      <c r="CB252" s="579"/>
      <c r="CC252" s="579"/>
      <c r="CD252" s="579"/>
      <c r="CE252" s="579"/>
      <c r="CF252" s="579"/>
      <c r="CG252" s="594">
        <f>+Q252</f>
        <v>0</v>
      </c>
      <c r="CH252" s="579"/>
      <c r="CI252" s="579"/>
      <c r="CJ252" s="579"/>
      <c r="CK252" s="579"/>
      <c r="CL252" s="579"/>
      <c r="CM252" s="579"/>
      <c r="CN252" s="579"/>
      <c r="CO252" s="579"/>
      <c r="CP252" s="579"/>
      <c r="CQ252" s="579"/>
      <c r="CR252" s="579"/>
      <c r="CS252" s="579"/>
      <c r="CT252" s="579"/>
      <c r="CU252" s="579"/>
      <c r="CV252" s="579"/>
      <c r="CW252" s="579"/>
      <c r="CX252" s="579"/>
      <c r="CY252" s="579"/>
      <c r="CZ252" s="579"/>
      <c r="DA252" s="579"/>
      <c r="DB252" s="579"/>
      <c r="DC252" s="579"/>
      <c r="DD252" s="579"/>
      <c r="DE252" s="579"/>
      <c r="DF252" s="579"/>
      <c r="DG252" s="579"/>
      <c r="DH252" s="579"/>
      <c r="DI252" s="579"/>
      <c r="DJ252" s="579"/>
      <c r="DK252" s="579"/>
      <c r="DL252" s="579"/>
      <c r="DM252" s="579"/>
      <c r="DN252" s="579"/>
      <c r="DO252" s="579"/>
      <c r="DP252" s="579"/>
    </row>
    <row r="253" spans="1:120" hidden="1" outlineLevel="1">
      <c r="A253" s="55">
        <v>1110052010</v>
      </c>
      <c r="B253" s="90"/>
      <c r="C253" s="91" t="s">
        <v>64</v>
      </c>
      <c r="D253" s="1481"/>
      <c r="E253" s="1482"/>
      <c r="F253" s="420"/>
      <c r="G253" s="1256"/>
      <c r="H253" s="421"/>
      <c r="I253" s="422"/>
      <c r="J253" s="1425">
        <v>1</v>
      </c>
      <c r="K253" s="1426">
        <v>1</v>
      </c>
      <c r="L253" s="1043"/>
      <c r="M253" s="1594">
        <f t="shared" si="771"/>
        <v>0</v>
      </c>
      <c r="N253" s="415"/>
      <c r="O253" s="424">
        <f t="shared" si="775"/>
        <v>0</v>
      </c>
      <c r="P253" s="425"/>
      <c r="Q253" s="1340">
        <f t="shared" si="773"/>
        <v>0</v>
      </c>
      <c r="R253" s="426"/>
      <c r="S253" s="426"/>
      <c r="T253" s="427">
        <f t="shared" si="776"/>
        <v>0</v>
      </c>
      <c r="U253" s="418">
        <f t="shared" si="777"/>
        <v>0</v>
      </c>
      <c r="V253" s="517">
        <f t="shared" si="778"/>
        <v>0</v>
      </c>
      <c r="W253" s="428">
        <f t="shared" si="779"/>
        <v>0</v>
      </c>
      <c r="X253" s="429">
        <f t="shared" si="780"/>
        <v>0</v>
      </c>
      <c r="Y253" s="92"/>
      <c r="AA253" s="578"/>
      <c r="AB253" s="578"/>
      <c r="AC253" s="578"/>
      <c r="AD253" s="578"/>
      <c r="AE253" s="578"/>
      <c r="AF253" s="579"/>
      <c r="AG253" s="579"/>
      <c r="AH253" s="579"/>
      <c r="AI253" s="579"/>
      <c r="AJ253" s="579"/>
      <c r="AK253" s="579"/>
      <c r="AL253" s="1563"/>
      <c r="AM253" s="579"/>
      <c r="AN253" s="579"/>
      <c r="AO253" s="579"/>
      <c r="AP253" s="579"/>
      <c r="AQ253" s="579"/>
      <c r="AR253" s="579"/>
      <c r="AS253" s="579"/>
      <c r="AT253" s="579"/>
      <c r="AU253" s="579"/>
      <c r="AV253" s="579"/>
      <c r="AW253" s="579"/>
      <c r="AX253" s="579"/>
      <c r="AY253" s="579"/>
      <c r="AZ253" s="579"/>
      <c r="BA253" s="579"/>
      <c r="BB253" s="594"/>
      <c r="BC253" s="579"/>
      <c r="BD253" s="579"/>
      <c r="BE253" s="579"/>
      <c r="BF253" s="579"/>
      <c r="BG253" s="579"/>
      <c r="BH253" s="579"/>
      <c r="BI253" s="579"/>
      <c r="BJ253" s="579"/>
      <c r="BK253" s="579"/>
      <c r="BL253" s="579"/>
      <c r="BM253" s="579"/>
      <c r="BN253" s="594"/>
      <c r="BO253" s="579"/>
      <c r="BP253" s="579"/>
      <c r="BQ253" s="579"/>
      <c r="BR253" s="579"/>
      <c r="BS253" s="579"/>
      <c r="BT253" s="579"/>
      <c r="BU253" s="579"/>
      <c r="BV253" s="579"/>
      <c r="BW253" s="579"/>
      <c r="BX253" s="579"/>
      <c r="BY253" s="579"/>
      <c r="BZ253" s="579"/>
      <c r="CA253" s="579"/>
      <c r="CB253" s="579"/>
      <c r="CC253" s="579"/>
      <c r="CD253" s="579"/>
      <c r="CE253" s="579"/>
      <c r="CF253" s="579"/>
      <c r="CG253" s="594">
        <f>+Q253</f>
        <v>0</v>
      </c>
      <c r="CH253" s="579"/>
      <c r="CI253" s="579"/>
      <c r="CJ253" s="579"/>
      <c r="CK253" s="579"/>
      <c r="CL253" s="579"/>
      <c r="CM253" s="579"/>
      <c r="CN253" s="579"/>
      <c r="CO253" s="579"/>
      <c r="CP253" s="579"/>
      <c r="CQ253" s="579"/>
      <c r="CR253" s="579"/>
      <c r="CS253" s="579"/>
      <c r="CT253" s="579"/>
      <c r="CU253" s="579"/>
      <c r="CV253" s="579"/>
      <c r="CW253" s="579"/>
      <c r="CX253" s="579"/>
      <c r="CY253" s="579"/>
      <c r="CZ253" s="579"/>
      <c r="DA253" s="579"/>
      <c r="DB253" s="579"/>
      <c r="DC253" s="579"/>
      <c r="DD253" s="579"/>
      <c r="DE253" s="579"/>
      <c r="DF253" s="579"/>
      <c r="DG253" s="579"/>
      <c r="DH253" s="579"/>
      <c r="DI253" s="579"/>
      <c r="DJ253" s="579"/>
      <c r="DK253" s="579"/>
      <c r="DL253" s="579"/>
      <c r="DM253" s="579"/>
      <c r="DN253" s="579"/>
      <c r="DO253" s="579"/>
      <c r="DP253" s="579"/>
    </row>
    <row r="254" spans="1:120" hidden="1" outlineLevel="1">
      <c r="A254" s="55">
        <v>1110052010</v>
      </c>
      <c r="B254" s="90"/>
      <c r="C254" s="91" t="s">
        <v>64</v>
      </c>
      <c r="D254" s="1481"/>
      <c r="E254" s="1482"/>
      <c r="F254" s="420"/>
      <c r="G254" s="1256"/>
      <c r="H254" s="421"/>
      <c r="I254" s="422"/>
      <c r="J254" s="1425">
        <v>1</v>
      </c>
      <c r="K254" s="1426">
        <v>1</v>
      </c>
      <c r="L254" s="1043"/>
      <c r="M254" s="1594">
        <f t="shared" ref="M254" si="781">+L254*J254</f>
        <v>0</v>
      </c>
      <c r="N254" s="415"/>
      <c r="O254" s="424">
        <f t="shared" ref="O254" si="782">+L254*N254</f>
        <v>0</v>
      </c>
      <c r="P254" s="425"/>
      <c r="Q254" s="1340">
        <f t="shared" ref="Q254" si="783">+P254*K254</f>
        <v>0</v>
      </c>
      <c r="R254" s="426"/>
      <c r="S254" s="426"/>
      <c r="T254" s="427">
        <f t="shared" ref="T254" si="784">+P254*S254</f>
        <v>0</v>
      </c>
      <c r="U254" s="418">
        <f t="shared" ref="U254" si="785">+L254+P254+F254</f>
        <v>0</v>
      </c>
      <c r="V254" s="517">
        <f t="shared" ref="V254" si="786">+P254*R254+L254*N254+F254*H254</f>
        <v>0</v>
      </c>
      <c r="W254" s="428">
        <f t="shared" ref="W254" si="787">(IF(R254&gt;S254,(-P254*R254)-(-P254*S254),0))</f>
        <v>0</v>
      </c>
      <c r="X254" s="429">
        <f t="shared" ref="X254" si="788">(IF(R254&lt;S254,(-P254*R254)-(-P254*S254),0))</f>
        <v>0</v>
      </c>
      <c r="Y254" s="92"/>
      <c r="AA254" s="578"/>
      <c r="AB254" s="2121">
        <f>+Q254</f>
        <v>0</v>
      </c>
      <c r="AC254" s="578"/>
      <c r="AD254" s="578"/>
      <c r="AE254" s="578"/>
      <c r="AF254" s="579"/>
      <c r="AG254" s="579"/>
      <c r="AH254" s="579"/>
      <c r="AI254" s="579"/>
      <c r="AJ254" s="579"/>
      <c r="AK254" s="579"/>
      <c r="AL254" s="1563"/>
      <c r="AM254" s="579"/>
      <c r="AN254" s="579"/>
      <c r="AO254" s="579"/>
      <c r="AP254" s="579"/>
      <c r="AQ254" s="579"/>
      <c r="AR254" s="579"/>
      <c r="AS254" s="579"/>
      <c r="AT254" s="579"/>
      <c r="AU254" s="579"/>
      <c r="AV254" s="579"/>
      <c r="AW254" s="579"/>
      <c r="AX254" s="579"/>
      <c r="AY254" s="579"/>
      <c r="AZ254" s="579"/>
      <c r="BA254" s="579"/>
      <c r="BB254" s="594"/>
      <c r="BC254" s="579"/>
      <c r="BD254" s="579"/>
      <c r="BE254" s="579"/>
      <c r="BF254" s="579"/>
      <c r="BG254" s="579"/>
      <c r="BH254" s="579"/>
      <c r="BI254" s="579"/>
      <c r="BJ254" s="579"/>
      <c r="BK254" s="579"/>
      <c r="BL254" s="579"/>
      <c r="BM254" s="579"/>
      <c r="BN254" s="594"/>
      <c r="BO254" s="579"/>
      <c r="BP254" s="579"/>
      <c r="BQ254" s="579"/>
      <c r="BR254" s="579"/>
      <c r="BS254" s="579"/>
      <c r="BT254" s="579"/>
      <c r="BU254" s="579"/>
      <c r="BV254" s="579"/>
      <c r="BW254" s="579"/>
      <c r="BX254" s="579"/>
      <c r="BY254" s="579"/>
      <c r="BZ254" s="579"/>
      <c r="CA254" s="579"/>
      <c r="CB254" s="579"/>
      <c r="CC254" s="579"/>
      <c r="CD254" s="579"/>
      <c r="CE254" s="579"/>
      <c r="CF254" s="579"/>
      <c r="CG254" s="594"/>
      <c r="CH254" s="579"/>
      <c r="CI254" s="579"/>
      <c r="CJ254" s="579"/>
      <c r="CK254" s="579"/>
      <c r="CL254" s="579"/>
      <c r="CM254" s="579"/>
      <c r="CN254" s="579"/>
      <c r="CO254" s="579"/>
      <c r="CP254" s="579"/>
      <c r="CQ254" s="579"/>
      <c r="CR254" s="579"/>
      <c r="CS254" s="579"/>
      <c r="CT254" s="579"/>
      <c r="CU254" s="579"/>
      <c r="CV254" s="579"/>
      <c r="CW254" s="579"/>
      <c r="CX254" s="579"/>
      <c r="CY254" s="579"/>
      <c r="CZ254" s="579"/>
      <c r="DA254" s="579"/>
      <c r="DB254" s="579"/>
      <c r="DC254" s="579"/>
      <c r="DD254" s="579"/>
      <c r="DE254" s="579"/>
      <c r="DF254" s="579"/>
      <c r="DG254" s="579"/>
      <c r="DH254" s="579"/>
      <c r="DI254" s="579"/>
      <c r="DJ254" s="579"/>
      <c r="DK254" s="579"/>
      <c r="DL254" s="579"/>
      <c r="DM254" s="579"/>
      <c r="DN254" s="579"/>
      <c r="DO254" s="579"/>
      <c r="DP254" s="579"/>
    </row>
    <row r="255" spans="1:120" hidden="1" outlineLevel="1">
      <c r="A255" s="55">
        <v>1110052010</v>
      </c>
      <c r="B255" s="90"/>
      <c r="C255" s="91" t="s">
        <v>64</v>
      </c>
      <c r="D255" s="1481"/>
      <c r="E255" s="1482"/>
      <c r="F255" s="420"/>
      <c r="G255" s="1256"/>
      <c r="H255" s="421"/>
      <c r="I255" s="422"/>
      <c r="J255" s="1425">
        <v>1</v>
      </c>
      <c r="K255" s="1426">
        <v>1</v>
      </c>
      <c r="L255" s="1043"/>
      <c r="M255" s="1594">
        <f t="shared" si="771"/>
        <v>0</v>
      </c>
      <c r="N255" s="415"/>
      <c r="O255" s="424">
        <f t="shared" si="775"/>
        <v>0</v>
      </c>
      <c r="P255" s="425"/>
      <c r="Q255" s="1340">
        <f t="shared" si="773"/>
        <v>0</v>
      </c>
      <c r="R255" s="426"/>
      <c r="S255" s="426"/>
      <c r="T255" s="427">
        <f t="shared" si="776"/>
        <v>0</v>
      </c>
      <c r="U255" s="418">
        <f t="shared" si="777"/>
        <v>0</v>
      </c>
      <c r="V255" s="517">
        <f t="shared" si="778"/>
        <v>0</v>
      </c>
      <c r="W255" s="428">
        <f t="shared" si="779"/>
        <v>0</v>
      </c>
      <c r="X255" s="429">
        <f t="shared" si="780"/>
        <v>0</v>
      </c>
      <c r="Y255" s="92"/>
      <c r="AA255" s="578"/>
      <c r="AB255" s="2121">
        <f t="shared" ref="AB255:AB259" si="789">+Q255</f>
        <v>0</v>
      </c>
      <c r="AC255" s="578"/>
      <c r="AD255" s="578"/>
      <c r="AE255" s="578"/>
      <c r="AF255" s="579"/>
      <c r="AG255" s="579"/>
      <c r="AH255" s="579"/>
      <c r="AI255" s="579"/>
      <c r="AJ255" s="579"/>
      <c r="AK255" s="579"/>
      <c r="AL255" s="1563"/>
      <c r="AM255" s="579"/>
      <c r="AN255" s="579"/>
      <c r="AO255" s="579"/>
      <c r="AP255" s="579"/>
      <c r="AQ255" s="579"/>
      <c r="AR255" s="579"/>
      <c r="AS255" s="579"/>
      <c r="AT255" s="579"/>
      <c r="AU255" s="579"/>
      <c r="AV255" s="579"/>
      <c r="AW255" s="579"/>
      <c r="AX255" s="579"/>
      <c r="AY255" s="579"/>
      <c r="AZ255" s="579"/>
      <c r="BA255" s="579"/>
      <c r="BB255" s="594"/>
      <c r="BC255" s="579"/>
      <c r="BD255" s="579"/>
      <c r="BE255" s="579"/>
      <c r="BF255" s="579"/>
      <c r="BG255" s="579"/>
      <c r="BH255" s="579"/>
      <c r="BI255" s="579"/>
      <c r="BJ255" s="579"/>
      <c r="BK255" s="579"/>
      <c r="BL255" s="579"/>
      <c r="BM255" s="579"/>
      <c r="BN255" s="579"/>
      <c r="BO255" s="579"/>
      <c r="BP255" s="579"/>
      <c r="BQ255" s="579"/>
      <c r="BR255" s="594"/>
      <c r="BS255" s="579"/>
      <c r="BT255" s="579"/>
      <c r="BU255" s="579"/>
      <c r="BV255" s="579"/>
      <c r="BW255" s="579"/>
      <c r="BX255" s="579"/>
      <c r="BY255" s="579"/>
      <c r="BZ255" s="579"/>
      <c r="CA255" s="579"/>
      <c r="CB255" s="579"/>
      <c r="CC255" s="579"/>
      <c r="CD255" s="579"/>
      <c r="CE255" s="579"/>
      <c r="CF255" s="579"/>
      <c r="CG255" s="594"/>
      <c r="CH255" s="579"/>
      <c r="CI255" s="579"/>
      <c r="CJ255" s="579"/>
      <c r="CK255" s="579"/>
      <c r="CL255" s="579"/>
      <c r="CM255" s="579"/>
      <c r="CN255" s="579"/>
      <c r="CO255" s="579"/>
      <c r="CP255" s="579"/>
      <c r="CQ255" s="579"/>
      <c r="CR255" s="579"/>
      <c r="CS255" s="579"/>
      <c r="CT255" s="579"/>
      <c r="CU255" s="579"/>
      <c r="CV255" s="579"/>
      <c r="CW255" s="579"/>
      <c r="CX255" s="579"/>
      <c r="CY255" s="579"/>
      <c r="CZ255" s="579"/>
      <c r="DA255" s="579"/>
      <c r="DB255" s="579"/>
      <c r="DC255" s="579"/>
      <c r="DD255" s="579"/>
      <c r="DE255" s="579"/>
      <c r="DF255" s="579"/>
      <c r="DG255" s="579"/>
      <c r="DH255" s="579"/>
      <c r="DI255" s="579"/>
      <c r="DJ255" s="579"/>
      <c r="DK255" s="579"/>
      <c r="DL255" s="579"/>
      <c r="DM255" s="579"/>
      <c r="DN255" s="579"/>
      <c r="DO255" s="579"/>
      <c r="DP255" s="579"/>
    </row>
    <row r="256" spans="1:120" hidden="1" outlineLevel="1">
      <c r="A256" s="55">
        <v>1110052010</v>
      </c>
      <c r="B256" s="90"/>
      <c r="C256" s="91" t="s">
        <v>64</v>
      </c>
      <c r="D256" s="1481"/>
      <c r="E256" s="1482"/>
      <c r="F256" s="420"/>
      <c r="G256" s="1256"/>
      <c r="H256" s="421"/>
      <c r="I256" s="422"/>
      <c r="J256" s="1425">
        <v>1</v>
      </c>
      <c r="K256" s="1426">
        <v>1</v>
      </c>
      <c r="L256" s="1043"/>
      <c r="M256" s="1594">
        <f t="shared" si="771"/>
        <v>0</v>
      </c>
      <c r="N256" s="415"/>
      <c r="O256" s="424">
        <f t="shared" ref="O256:O264" si="790">+L256*N256</f>
        <v>0</v>
      </c>
      <c r="P256" s="425"/>
      <c r="Q256" s="1340">
        <f t="shared" si="773"/>
        <v>0</v>
      </c>
      <c r="R256" s="426"/>
      <c r="S256" s="426"/>
      <c r="T256" s="427">
        <f t="shared" ref="T256:T264" si="791">+P256*S256</f>
        <v>0</v>
      </c>
      <c r="U256" s="418">
        <f t="shared" ref="U256:U264" si="792">+L256+P256+F256</f>
        <v>0</v>
      </c>
      <c r="V256" s="517">
        <f t="shared" ref="V256:V264" si="793">+P256*R256+L256*N256+F256*H256</f>
        <v>0</v>
      </c>
      <c r="W256" s="428">
        <f t="shared" ref="W256:W264" si="794">(IF(R256&gt;S256,(-P256*R256)-(-P256*S256),0))</f>
        <v>0</v>
      </c>
      <c r="X256" s="429">
        <f t="shared" ref="X256:X264" si="795">(IF(R256&lt;S256,(-P256*R256)-(-P256*S256),0))</f>
        <v>0</v>
      </c>
      <c r="Y256" s="92"/>
      <c r="AA256" s="578"/>
      <c r="AB256" s="2121">
        <f t="shared" si="789"/>
        <v>0</v>
      </c>
      <c r="AC256" s="578"/>
      <c r="AD256" s="578"/>
      <c r="AE256" s="578"/>
      <c r="AF256" s="579"/>
      <c r="AG256" s="579"/>
      <c r="AH256" s="579"/>
      <c r="AI256" s="579"/>
      <c r="AJ256" s="579"/>
      <c r="AK256" s="579"/>
      <c r="AL256" s="1563"/>
      <c r="AM256" s="579"/>
      <c r="AN256" s="579"/>
      <c r="AO256" s="579"/>
      <c r="AP256" s="579"/>
      <c r="AQ256" s="579"/>
      <c r="AR256" s="579"/>
      <c r="AS256" s="579"/>
      <c r="AT256" s="579"/>
      <c r="AU256" s="579"/>
      <c r="AV256" s="579"/>
      <c r="AW256" s="579"/>
      <c r="AX256" s="579"/>
      <c r="AY256" s="579"/>
      <c r="AZ256" s="579"/>
      <c r="BA256" s="579"/>
      <c r="BB256" s="594"/>
      <c r="BC256" s="579"/>
      <c r="BD256" s="579"/>
      <c r="BE256" s="579"/>
      <c r="BF256" s="579"/>
      <c r="BG256" s="579"/>
      <c r="BH256" s="579"/>
      <c r="BI256" s="579"/>
      <c r="BJ256" s="579"/>
      <c r="BK256" s="579"/>
      <c r="BL256" s="579"/>
      <c r="BM256" s="579"/>
      <c r="BN256" s="594"/>
      <c r="BO256" s="579"/>
      <c r="BP256" s="579"/>
      <c r="BQ256" s="579"/>
      <c r="BR256" s="579"/>
      <c r="BS256" s="579"/>
      <c r="BT256" s="579"/>
      <c r="BU256" s="579"/>
      <c r="BV256" s="579"/>
      <c r="BW256" s="579"/>
      <c r="BX256" s="579"/>
      <c r="BY256" s="579"/>
      <c r="BZ256" s="579"/>
      <c r="CA256" s="579"/>
      <c r="CB256" s="579"/>
      <c r="CC256" s="579"/>
      <c r="CD256" s="579"/>
      <c r="CE256" s="579"/>
      <c r="CF256" s="579"/>
      <c r="CG256" s="594"/>
      <c r="CH256" s="579"/>
      <c r="CI256" s="579"/>
      <c r="CJ256" s="579"/>
      <c r="CK256" s="579"/>
      <c r="CL256" s="579"/>
      <c r="CM256" s="579"/>
      <c r="CN256" s="579"/>
      <c r="CO256" s="579"/>
      <c r="CP256" s="579"/>
      <c r="CQ256" s="579"/>
      <c r="CR256" s="579"/>
      <c r="CS256" s="579"/>
      <c r="CT256" s="579"/>
      <c r="CU256" s="579"/>
      <c r="CV256" s="579"/>
      <c r="CW256" s="579"/>
      <c r="CX256" s="579"/>
      <c r="CY256" s="579"/>
      <c r="CZ256" s="579"/>
      <c r="DA256" s="579"/>
      <c r="DB256" s="579"/>
      <c r="DC256" s="579"/>
      <c r="DD256" s="579"/>
      <c r="DE256" s="579"/>
      <c r="DF256" s="579"/>
      <c r="DG256" s="579"/>
      <c r="DH256" s="579"/>
      <c r="DI256" s="579"/>
      <c r="DJ256" s="579"/>
      <c r="DK256" s="579"/>
      <c r="DL256" s="579"/>
      <c r="DM256" s="579"/>
      <c r="DN256" s="579"/>
      <c r="DO256" s="579"/>
      <c r="DP256" s="579"/>
    </row>
    <row r="257" spans="1:120" hidden="1" outlineLevel="1">
      <c r="A257" s="55">
        <v>1110052010</v>
      </c>
      <c r="B257" s="90"/>
      <c r="C257" s="91" t="s">
        <v>64</v>
      </c>
      <c r="D257" s="1481"/>
      <c r="E257" s="1482"/>
      <c r="F257" s="420"/>
      <c r="G257" s="1256"/>
      <c r="H257" s="421"/>
      <c r="I257" s="422"/>
      <c r="J257" s="1425">
        <v>1</v>
      </c>
      <c r="K257" s="1426">
        <v>1</v>
      </c>
      <c r="L257" s="1043"/>
      <c r="M257" s="1594">
        <f t="shared" si="771"/>
        <v>0</v>
      </c>
      <c r="N257" s="415"/>
      <c r="O257" s="424">
        <f t="shared" si="790"/>
        <v>0</v>
      </c>
      <c r="P257" s="425"/>
      <c r="Q257" s="1340">
        <f t="shared" si="773"/>
        <v>0</v>
      </c>
      <c r="R257" s="426"/>
      <c r="S257" s="426"/>
      <c r="T257" s="427">
        <f t="shared" si="791"/>
        <v>0</v>
      </c>
      <c r="U257" s="418">
        <f t="shared" si="792"/>
        <v>0</v>
      </c>
      <c r="V257" s="517">
        <f t="shared" si="793"/>
        <v>0</v>
      </c>
      <c r="W257" s="428">
        <f t="shared" si="794"/>
        <v>0</v>
      </c>
      <c r="X257" s="429">
        <f t="shared" si="795"/>
        <v>0</v>
      </c>
      <c r="Y257" s="92"/>
      <c r="AA257" s="578"/>
      <c r="AB257" s="2121">
        <f t="shared" si="789"/>
        <v>0</v>
      </c>
      <c r="AC257" s="578"/>
      <c r="AD257" s="578"/>
      <c r="AE257" s="578"/>
      <c r="AF257" s="579"/>
      <c r="AG257" s="579"/>
      <c r="AH257" s="579"/>
      <c r="AI257" s="579"/>
      <c r="AJ257" s="579"/>
      <c r="AK257" s="579"/>
      <c r="AL257" s="1563"/>
      <c r="AM257" s="579"/>
      <c r="AN257" s="579"/>
      <c r="AO257" s="579"/>
      <c r="AP257" s="579"/>
      <c r="AQ257" s="579"/>
      <c r="AR257" s="579"/>
      <c r="AS257" s="579"/>
      <c r="AT257" s="579"/>
      <c r="AU257" s="579"/>
      <c r="AV257" s="579"/>
      <c r="AW257" s="579"/>
      <c r="AX257" s="579"/>
      <c r="AY257" s="579"/>
      <c r="AZ257" s="579"/>
      <c r="BA257" s="579"/>
      <c r="BB257" s="594"/>
      <c r="BC257" s="579"/>
      <c r="BD257" s="579"/>
      <c r="BE257" s="579"/>
      <c r="BF257" s="579"/>
      <c r="BG257" s="579"/>
      <c r="BH257" s="579"/>
      <c r="BI257" s="579"/>
      <c r="BJ257" s="579"/>
      <c r="BK257" s="579"/>
      <c r="BL257" s="579"/>
      <c r="BM257" s="579"/>
      <c r="BN257" s="579"/>
      <c r="BO257" s="579"/>
      <c r="BP257" s="579"/>
      <c r="BQ257" s="579"/>
      <c r="BR257" s="594"/>
      <c r="BS257" s="579"/>
      <c r="BT257" s="579"/>
      <c r="BU257" s="579"/>
      <c r="BV257" s="579"/>
      <c r="BW257" s="579"/>
      <c r="BX257" s="579"/>
      <c r="BY257" s="579"/>
      <c r="BZ257" s="579"/>
      <c r="CA257" s="579"/>
      <c r="CB257" s="579"/>
      <c r="CC257" s="579"/>
      <c r="CD257" s="579"/>
      <c r="CE257" s="579"/>
      <c r="CF257" s="579"/>
      <c r="CG257" s="594"/>
      <c r="CH257" s="579"/>
      <c r="CI257" s="579"/>
      <c r="CJ257" s="579"/>
      <c r="CK257" s="579"/>
      <c r="CL257" s="579"/>
      <c r="CM257" s="579"/>
      <c r="CN257" s="579"/>
      <c r="CO257" s="579"/>
      <c r="CP257" s="579"/>
      <c r="CQ257" s="579"/>
      <c r="CR257" s="579"/>
      <c r="CS257" s="579"/>
      <c r="CT257" s="579"/>
      <c r="CU257" s="579"/>
      <c r="CV257" s="579"/>
      <c r="CW257" s="579"/>
      <c r="CX257" s="579"/>
      <c r="CY257" s="579"/>
      <c r="CZ257" s="579"/>
      <c r="DA257" s="579"/>
      <c r="DB257" s="579"/>
      <c r="DC257" s="579"/>
      <c r="DD257" s="579"/>
      <c r="DE257" s="579"/>
      <c r="DF257" s="579"/>
      <c r="DG257" s="579"/>
      <c r="DH257" s="579"/>
      <c r="DI257" s="579"/>
      <c r="DJ257" s="579"/>
      <c r="DK257" s="579"/>
      <c r="DL257" s="579"/>
      <c r="DM257" s="579"/>
      <c r="DN257" s="579"/>
      <c r="DO257" s="579"/>
      <c r="DP257" s="579"/>
    </row>
    <row r="258" spans="1:120" hidden="1" outlineLevel="1">
      <c r="A258" s="55">
        <v>1110052010</v>
      </c>
      <c r="B258" s="90"/>
      <c r="C258" s="91" t="s">
        <v>64</v>
      </c>
      <c r="D258" s="1481"/>
      <c r="E258" s="1482"/>
      <c r="F258" s="420"/>
      <c r="G258" s="1256"/>
      <c r="H258" s="421"/>
      <c r="I258" s="422"/>
      <c r="J258" s="1425">
        <v>1</v>
      </c>
      <c r="K258" s="1426">
        <v>1</v>
      </c>
      <c r="L258" s="1043"/>
      <c r="M258" s="1594">
        <f t="shared" si="771"/>
        <v>0</v>
      </c>
      <c r="N258" s="415"/>
      <c r="O258" s="424">
        <f t="shared" si="790"/>
        <v>0</v>
      </c>
      <c r="P258" s="425"/>
      <c r="Q258" s="1340">
        <f t="shared" si="773"/>
        <v>0</v>
      </c>
      <c r="R258" s="426"/>
      <c r="S258" s="426"/>
      <c r="T258" s="427">
        <f t="shared" si="791"/>
        <v>0</v>
      </c>
      <c r="U258" s="418">
        <f t="shared" si="792"/>
        <v>0</v>
      </c>
      <c r="V258" s="517">
        <f t="shared" si="793"/>
        <v>0</v>
      </c>
      <c r="W258" s="428">
        <f t="shared" si="794"/>
        <v>0</v>
      </c>
      <c r="X258" s="429">
        <f t="shared" si="795"/>
        <v>0</v>
      </c>
      <c r="Y258" s="92"/>
      <c r="AA258" s="578"/>
      <c r="AB258" s="2121">
        <f t="shared" si="789"/>
        <v>0</v>
      </c>
      <c r="AC258" s="578"/>
      <c r="AD258" s="578"/>
      <c r="AE258" s="578"/>
      <c r="AF258" s="579"/>
      <c r="AG258" s="579"/>
      <c r="AH258" s="579"/>
      <c r="AI258" s="579"/>
      <c r="AJ258" s="579"/>
      <c r="AK258" s="579"/>
      <c r="AL258" s="1563"/>
      <c r="AM258" s="579"/>
      <c r="AN258" s="579"/>
      <c r="AO258" s="579"/>
      <c r="AP258" s="579"/>
      <c r="AQ258" s="579"/>
      <c r="AR258" s="579"/>
      <c r="AS258" s="579"/>
      <c r="AT258" s="579"/>
      <c r="AU258" s="579"/>
      <c r="AV258" s="579"/>
      <c r="AW258" s="579"/>
      <c r="AX258" s="579"/>
      <c r="AY258" s="579"/>
      <c r="AZ258" s="579"/>
      <c r="BA258" s="579"/>
      <c r="BB258" s="594"/>
      <c r="BC258" s="579"/>
      <c r="BD258" s="579"/>
      <c r="BE258" s="579"/>
      <c r="BF258" s="579"/>
      <c r="BG258" s="579"/>
      <c r="BH258" s="579"/>
      <c r="BI258" s="579"/>
      <c r="BJ258" s="579"/>
      <c r="BK258" s="579"/>
      <c r="BL258" s="579"/>
      <c r="BM258" s="579"/>
      <c r="BN258" s="594"/>
      <c r="BO258" s="579"/>
      <c r="BP258" s="579"/>
      <c r="BQ258" s="579"/>
      <c r="BR258" s="579"/>
      <c r="BS258" s="579"/>
      <c r="BT258" s="579"/>
      <c r="BU258" s="579"/>
      <c r="BV258" s="579"/>
      <c r="BW258" s="579"/>
      <c r="BX258" s="579"/>
      <c r="BY258" s="579"/>
      <c r="BZ258" s="579"/>
      <c r="CA258" s="579"/>
      <c r="CB258" s="579"/>
      <c r="CC258" s="579"/>
      <c r="CD258" s="579"/>
      <c r="CE258" s="579"/>
      <c r="CF258" s="579"/>
      <c r="CG258" s="594"/>
      <c r="CH258" s="579"/>
      <c r="CI258" s="579"/>
      <c r="CJ258" s="579"/>
      <c r="CK258" s="579"/>
      <c r="CL258" s="579"/>
      <c r="CM258" s="579"/>
      <c r="CN258" s="579"/>
      <c r="CO258" s="579"/>
      <c r="CP258" s="579"/>
      <c r="CQ258" s="579"/>
      <c r="CR258" s="579"/>
      <c r="CS258" s="579"/>
      <c r="CT258" s="579"/>
      <c r="CU258" s="579"/>
      <c r="CV258" s="579"/>
      <c r="CW258" s="579"/>
      <c r="CX258" s="579"/>
      <c r="CY258" s="579"/>
      <c r="CZ258" s="579"/>
      <c r="DA258" s="579"/>
      <c r="DB258" s="579"/>
      <c r="DC258" s="579"/>
      <c r="DD258" s="579"/>
      <c r="DE258" s="579"/>
      <c r="DF258" s="579"/>
      <c r="DG258" s="579"/>
      <c r="DH258" s="579"/>
      <c r="DI258" s="579"/>
      <c r="DJ258" s="579"/>
      <c r="DK258" s="579"/>
      <c r="DL258" s="579"/>
      <c r="DM258" s="579"/>
      <c r="DN258" s="579"/>
      <c r="DO258" s="579"/>
      <c r="DP258" s="579"/>
    </row>
    <row r="259" spans="1:120" hidden="1" outlineLevel="1">
      <c r="A259" s="55">
        <v>1110052010</v>
      </c>
      <c r="B259" s="90"/>
      <c r="C259" s="91" t="s">
        <v>64</v>
      </c>
      <c r="D259" s="1481"/>
      <c r="E259" s="1482"/>
      <c r="F259" s="420"/>
      <c r="G259" s="1256"/>
      <c r="H259" s="421"/>
      <c r="I259" s="422"/>
      <c r="J259" s="1425">
        <v>1</v>
      </c>
      <c r="K259" s="1426">
        <v>1</v>
      </c>
      <c r="L259" s="1043"/>
      <c r="M259" s="1594">
        <f t="shared" si="771"/>
        <v>0</v>
      </c>
      <c r="N259" s="415"/>
      <c r="O259" s="424">
        <f t="shared" si="790"/>
        <v>0</v>
      </c>
      <c r="P259" s="425"/>
      <c r="Q259" s="1340">
        <f t="shared" si="773"/>
        <v>0</v>
      </c>
      <c r="R259" s="426"/>
      <c r="S259" s="426"/>
      <c r="T259" s="427">
        <f t="shared" si="791"/>
        <v>0</v>
      </c>
      <c r="U259" s="418">
        <f t="shared" si="792"/>
        <v>0</v>
      </c>
      <c r="V259" s="517">
        <f t="shared" si="793"/>
        <v>0</v>
      </c>
      <c r="W259" s="428">
        <f t="shared" si="794"/>
        <v>0</v>
      </c>
      <c r="X259" s="429">
        <f t="shared" si="795"/>
        <v>0</v>
      </c>
      <c r="Y259" s="92"/>
      <c r="AA259" s="578"/>
      <c r="AB259" s="2121">
        <f t="shared" si="789"/>
        <v>0</v>
      </c>
      <c r="AC259" s="578"/>
      <c r="AD259" s="578"/>
      <c r="AE259" s="578"/>
      <c r="AF259" s="579"/>
      <c r="AG259" s="579"/>
      <c r="AH259" s="579"/>
      <c r="AI259" s="579"/>
      <c r="AJ259" s="579"/>
      <c r="AK259" s="579"/>
      <c r="AL259" s="1563"/>
      <c r="AM259" s="579"/>
      <c r="AN259" s="579"/>
      <c r="AO259" s="579"/>
      <c r="AP259" s="579"/>
      <c r="AQ259" s="579"/>
      <c r="AR259" s="579"/>
      <c r="AS259" s="579"/>
      <c r="AT259" s="579"/>
      <c r="AU259" s="579"/>
      <c r="AV259" s="579"/>
      <c r="AW259" s="579"/>
      <c r="AX259" s="579"/>
      <c r="AY259" s="579"/>
      <c r="AZ259" s="579"/>
      <c r="BA259" s="579"/>
      <c r="BB259" s="594"/>
      <c r="BC259" s="579"/>
      <c r="BD259" s="579"/>
      <c r="BE259" s="579"/>
      <c r="BF259" s="579"/>
      <c r="BG259" s="579"/>
      <c r="BH259" s="579"/>
      <c r="BI259" s="579"/>
      <c r="BJ259" s="579"/>
      <c r="BK259" s="579"/>
      <c r="BL259" s="579"/>
      <c r="BM259" s="579"/>
      <c r="BN259" s="579"/>
      <c r="BO259" s="579"/>
      <c r="BP259" s="579"/>
      <c r="BQ259" s="579"/>
      <c r="BR259" s="594"/>
      <c r="BS259" s="579"/>
      <c r="BT259" s="579"/>
      <c r="BU259" s="579"/>
      <c r="BV259" s="579"/>
      <c r="BW259" s="579"/>
      <c r="BX259" s="579"/>
      <c r="BY259" s="579"/>
      <c r="BZ259" s="579"/>
      <c r="CA259" s="579"/>
      <c r="CB259" s="579"/>
      <c r="CC259" s="579"/>
      <c r="CD259" s="579"/>
      <c r="CE259" s="579"/>
      <c r="CF259" s="579"/>
      <c r="CG259" s="594"/>
      <c r="CH259" s="579"/>
      <c r="CI259" s="579"/>
      <c r="CJ259" s="579"/>
      <c r="CK259" s="579"/>
      <c r="CL259" s="579"/>
      <c r="CM259" s="579"/>
      <c r="CN259" s="579"/>
      <c r="CO259" s="579"/>
      <c r="CP259" s="579"/>
      <c r="CQ259" s="579"/>
      <c r="CR259" s="579"/>
      <c r="CS259" s="579"/>
      <c r="CT259" s="579"/>
      <c r="CU259" s="579"/>
      <c r="CV259" s="579"/>
      <c r="CW259" s="579"/>
      <c r="CX259" s="579"/>
      <c r="CY259" s="579"/>
      <c r="CZ259" s="579"/>
      <c r="DA259" s="579"/>
      <c r="DB259" s="579"/>
      <c r="DC259" s="579"/>
      <c r="DD259" s="579"/>
      <c r="DE259" s="579"/>
      <c r="DF259" s="579"/>
      <c r="DG259" s="579"/>
      <c r="DH259" s="579"/>
      <c r="DI259" s="579"/>
      <c r="DJ259" s="579"/>
      <c r="DK259" s="579"/>
      <c r="DL259" s="579"/>
      <c r="DM259" s="579"/>
      <c r="DN259" s="579"/>
      <c r="DO259" s="579"/>
      <c r="DP259" s="579"/>
    </row>
    <row r="260" spans="1:120" hidden="1" outlineLevel="1">
      <c r="A260" s="55">
        <v>1110052010</v>
      </c>
      <c r="B260" s="90"/>
      <c r="C260" s="91" t="s">
        <v>64</v>
      </c>
      <c r="D260" s="1481"/>
      <c r="E260" s="1482"/>
      <c r="F260" s="420"/>
      <c r="G260" s="1256"/>
      <c r="H260" s="421"/>
      <c r="I260" s="422"/>
      <c r="J260" s="1425">
        <v>1</v>
      </c>
      <c r="K260" s="1426">
        <v>1</v>
      </c>
      <c r="L260" s="1043"/>
      <c r="M260" s="1594">
        <f t="shared" si="771"/>
        <v>0</v>
      </c>
      <c r="N260" s="415"/>
      <c r="O260" s="424">
        <f t="shared" si="790"/>
        <v>0</v>
      </c>
      <c r="P260" s="425"/>
      <c r="Q260" s="1340">
        <f t="shared" si="773"/>
        <v>0</v>
      </c>
      <c r="R260" s="426"/>
      <c r="S260" s="426"/>
      <c r="T260" s="427">
        <f t="shared" si="791"/>
        <v>0</v>
      </c>
      <c r="U260" s="418">
        <f t="shared" si="792"/>
        <v>0</v>
      </c>
      <c r="V260" s="517">
        <f t="shared" si="793"/>
        <v>0</v>
      </c>
      <c r="W260" s="428">
        <f t="shared" si="794"/>
        <v>0</v>
      </c>
      <c r="X260" s="429">
        <f t="shared" si="795"/>
        <v>0</v>
      </c>
      <c r="Y260" s="92"/>
      <c r="AA260" s="578"/>
      <c r="AB260" s="578"/>
      <c r="AC260" s="578"/>
      <c r="AD260" s="578"/>
      <c r="AE260" s="578"/>
      <c r="AF260" s="579"/>
      <c r="AG260" s="579"/>
      <c r="AH260" s="579"/>
      <c r="AI260" s="579"/>
      <c r="AJ260" s="579"/>
      <c r="AK260" s="579"/>
      <c r="AL260" s="1563"/>
      <c r="AM260" s="579"/>
      <c r="AN260" s="579"/>
      <c r="AO260" s="579"/>
      <c r="AP260" s="579"/>
      <c r="AQ260" s="579"/>
      <c r="AR260" s="579"/>
      <c r="AS260" s="579"/>
      <c r="AT260" s="579"/>
      <c r="AU260" s="579"/>
      <c r="AV260" s="579"/>
      <c r="AW260" s="579"/>
      <c r="AX260" s="579"/>
      <c r="AY260" s="579"/>
      <c r="AZ260" s="579"/>
      <c r="BA260" s="579"/>
      <c r="BB260" s="594"/>
      <c r="BC260" s="579"/>
      <c r="BD260" s="579"/>
      <c r="BE260" s="579"/>
      <c r="BF260" s="579"/>
      <c r="BG260" s="579"/>
      <c r="BH260" s="579"/>
      <c r="BI260" s="579"/>
      <c r="BJ260" s="579"/>
      <c r="BK260" s="579"/>
      <c r="BL260" s="579"/>
      <c r="BM260" s="579"/>
      <c r="BN260" s="594"/>
      <c r="BO260" s="579"/>
      <c r="BP260" s="579"/>
      <c r="BQ260" s="579"/>
      <c r="BR260" s="579"/>
      <c r="BS260" s="579"/>
      <c r="BT260" s="579"/>
      <c r="BU260" s="579"/>
      <c r="BV260" s="579"/>
      <c r="BW260" s="579"/>
      <c r="BX260" s="579"/>
      <c r="BY260" s="579"/>
      <c r="BZ260" s="579"/>
      <c r="CA260" s="579"/>
      <c r="CB260" s="579"/>
      <c r="CC260" s="579"/>
      <c r="CD260" s="579"/>
      <c r="CE260" s="579"/>
      <c r="CF260" s="579"/>
      <c r="CG260" s="579"/>
      <c r="CH260" s="594">
        <f>+M260</f>
        <v>0</v>
      </c>
      <c r="CI260" s="579"/>
      <c r="CJ260" s="579"/>
      <c r="CK260" s="579"/>
      <c r="CL260" s="579"/>
      <c r="CM260" s="579"/>
      <c r="CN260" s="579"/>
      <c r="CO260" s="579"/>
      <c r="CP260" s="579"/>
      <c r="CQ260" s="579"/>
      <c r="CR260" s="579"/>
      <c r="CS260" s="579"/>
      <c r="CT260" s="579"/>
      <c r="CU260" s="579"/>
      <c r="CV260" s="579"/>
      <c r="CW260" s="579"/>
      <c r="CX260" s="579"/>
      <c r="CY260" s="579"/>
      <c r="CZ260" s="579"/>
      <c r="DA260" s="579"/>
      <c r="DB260" s="579"/>
      <c r="DC260" s="579"/>
      <c r="DD260" s="579"/>
      <c r="DE260" s="579"/>
      <c r="DF260" s="579"/>
      <c r="DG260" s="579"/>
      <c r="DH260" s="579"/>
      <c r="DI260" s="579"/>
      <c r="DJ260" s="579"/>
      <c r="DK260" s="579"/>
      <c r="DL260" s="579"/>
      <c r="DM260" s="579"/>
      <c r="DN260" s="579"/>
      <c r="DO260" s="579"/>
      <c r="DP260" s="579"/>
    </row>
    <row r="261" spans="1:120" hidden="1" outlineLevel="1">
      <c r="A261" s="55">
        <v>1110052010</v>
      </c>
      <c r="B261" s="90"/>
      <c r="C261" s="91" t="s">
        <v>64</v>
      </c>
      <c r="D261" s="1481"/>
      <c r="E261" s="1482"/>
      <c r="F261" s="420"/>
      <c r="G261" s="1256"/>
      <c r="H261" s="421"/>
      <c r="I261" s="422"/>
      <c r="J261" s="1425">
        <v>1</v>
      </c>
      <c r="K261" s="1426">
        <v>1</v>
      </c>
      <c r="L261" s="1043"/>
      <c r="M261" s="1594">
        <f t="shared" si="771"/>
        <v>0</v>
      </c>
      <c r="N261" s="415"/>
      <c r="O261" s="424">
        <f t="shared" si="790"/>
        <v>0</v>
      </c>
      <c r="P261" s="425"/>
      <c r="Q261" s="1340">
        <f t="shared" si="773"/>
        <v>0</v>
      </c>
      <c r="R261" s="426"/>
      <c r="S261" s="426"/>
      <c r="T261" s="427">
        <f t="shared" si="791"/>
        <v>0</v>
      </c>
      <c r="U261" s="418">
        <f t="shared" si="792"/>
        <v>0</v>
      </c>
      <c r="V261" s="517">
        <f t="shared" si="793"/>
        <v>0</v>
      </c>
      <c r="W261" s="428">
        <f t="shared" si="794"/>
        <v>0</v>
      </c>
      <c r="X261" s="429">
        <f t="shared" si="795"/>
        <v>0</v>
      </c>
      <c r="Y261" s="92"/>
      <c r="AA261" s="578"/>
      <c r="AB261" s="578"/>
      <c r="AC261" s="578"/>
      <c r="AD261" s="578"/>
      <c r="AE261" s="578"/>
      <c r="AF261" s="579"/>
      <c r="AG261" s="579"/>
      <c r="AH261" s="579"/>
      <c r="AI261" s="579"/>
      <c r="AJ261" s="579"/>
      <c r="AK261" s="579"/>
      <c r="AL261" s="1563"/>
      <c r="AM261" s="579"/>
      <c r="AN261" s="579"/>
      <c r="AO261" s="579"/>
      <c r="AP261" s="579"/>
      <c r="AQ261" s="579"/>
      <c r="AR261" s="579"/>
      <c r="AS261" s="579"/>
      <c r="AT261" s="579"/>
      <c r="AU261" s="579"/>
      <c r="AV261" s="579"/>
      <c r="AW261" s="579"/>
      <c r="AX261" s="579"/>
      <c r="AY261" s="579"/>
      <c r="AZ261" s="579"/>
      <c r="BA261" s="579"/>
      <c r="BB261" s="594"/>
      <c r="BC261" s="579"/>
      <c r="BD261" s="579"/>
      <c r="BE261" s="579"/>
      <c r="BF261" s="579"/>
      <c r="BG261" s="579"/>
      <c r="BH261" s="579"/>
      <c r="BI261" s="579"/>
      <c r="BJ261" s="579"/>
      <c r="BK261" s="579"/>
      <c r="BL261" s="579"/>
      <c r="BM261" s="579"/>
      <c r="BN261" s="579"/>
      <c r="BO261" s="579"/>
      <c r="BP261" s="579"/>
      <c r="BQ261" s="579"/>
      <c r="BR261" s="594"/>
      <c r="BS261" s="579"/>
      <c r="BT261" s="579"/>
      <c r="BU261" s="579"/>
      <c r="BV261" s="579"/>
      <c r="BW261" s="579"/>
      <c r="BX261" s="579"/>
      <c r="BY261" s="579"/>
      <c r="BZ261" s="579"/>
      <c r="CA261" s="579"/>
      <c r="CB261" s="579"/>
      <c r="CC261" s="579"/>
      <c r="CD261" s="579"/>
      <c r="CE261" s="579"/>
      <c r="CF261" s="579"/>
      <c r="CG261" s="579"/>
      <c r="CH261" s="594">
        <f>+Q261</f>
        <v>0</v>
      </c>
      <c r="CI261" s="579"/>
      <c r="CJ261" s="579"/>
      <c r="CK261" s="579"/>
      <c r="CL261" s="579"/>
      <c r="CM261" s="579"/>
      <c r="CN261" s="579"/>
      <c r="CO261" s="579"/>
      <c r="CP261" s="579"/>
      <c r="CQ261" s="579"/>
      <c r="CR261" s="579"/>
      <c r="CS261" s="579"/>
      <c r="CT261" s="579"/>
      <c r="CU261" s="579"/>
      <c r="CV261" s="579"/>
      <c r="CW261" s="579"/>
      <c r="CX261" s="579"/>
      <c r="CY261" s="579"/>
      <c r="CZ261" s="579"/>
      <c r="DA261" s="579"/>
      <c r="DB261" s="579"/>
      <c r="DC261" s="579"/>
      <c r="DD261" s="579"/>
      <c r="DE261" s="579"/>
      <c r="DF261" s="579"/>
      <c r="DG261" s="579"/>
      <c r="DH261" s="579"/>
      <c r="DI261" s="579"/>
      <c r="DJ261" s="579"/>
      <c r="DK261" s="579"/>
      <c r="DL261" s="579"/>
      <c r="DM261" s="579"/>
      <c r="DN261" s="579"/>
      <c r="DO261" s="579"/>
      <c r="DP261" s="579"/>
    </row>
    <row r="262" spans="1:120" hidden="1" outlineLevel="1">
      <c r="A262" s="55">
        <v>1110052010</v>
      </c>
      <c r="B262" s="90"/>
      <c r="C262" s="91" t="s">
        <v>64</v>
      </c>
      <c r="D262" s="1481"/>
      <c r="E262" s="1482"/>
      <c r="F262" s="420"/>
      <c r="G262" s="1256"/>
      <c r="H262" s="421"/>
      <c r="I262" s="422"/>
      <c r="J262" s="1425">
        <v>1</v>
      </c>
      <c r="K262" s="1426">
        <v>1</v>
      </c>
      <c r="L262" s="1043"/>
      <c r="M262" s="1594">
        <f t="shared" ref="M262" si="796">+L262*J262</f>
        <v>0</v>
      </c>
      <c r="N262" s="415"/>
      <c r="O262" s="424">
        <f t="shared" ref="O262" si="797">+L262*N262</f>
        <v>0</v>
      </c>
      <c r="P262" s="425"/>
      <c r="Q262" s="1340">
        <f t="shared" ref="Q262" si="798">+P262*K262</f>
        <v>0</v>
      </c>
      <c r="R262" s="426"/>
      <c r="S262" s="426"/>
      <c r="T262" s="427">
        <f t="shared" ref="T262" si="799">+P262*S262</f>
        <v>0</v>
      </c>
      <c r="U262" s="418">
        <f t="shared" ref="U262" si="800">+L262+P262+F262</f>
        <v>0</v>
      </c>
      <c r="V262" s="517">
        <f t="shared" ref="V262" si="801">+P262*R262+L262*N262+F262*H262</f>
        <v>0</v>
      </c>
      <c r="W262" s="428">
        <f t="shared" ref="W262" si="802">(IF(R262&gt;S262,(-P262*R262)-(-P262*S262),0))</f>
        <v>0</v>
      </c>
      <c r="X262" s="429">
        <f t="shared" ref="X262" si="803">(IF(R262&lt;S262,(-P262*R262)-(-P262*S262),0))</f>
        <v>0</v>
      </c>
      <c r="Y262" s="92"/>
      <c r="AA262" s="578"/>
      <c r="AB262" s="2121">
        <f t="shared" ref="AB262:AB263" si="804">+Q262</f>
        <v>0</v>
      </c>
      <c r="AC262" s="578"/>
      <c r="AD262" s="578"/>
      <c r="AE262" s="578"/>
      <c r="AF262" s="579"/>
      <c r="AG262" s="579"/>
      <c r="AH262" s="579"/>
      <c r="AI262" s="579"/>
      <c r="AJ262" s="579"/>
      <c r="AK262" s="579"/>
      <c r="AL262" s="1563"/>
      <c r="AM262" s="579"/>
      <c r="AN262" s="579"/>
      <c r="AO262" s="579"/>
      <c r="AP262" s="579"/>
      <c r="AQ262" s="579"/>
      <c r="AR262" s="579"/>
      <c r="AS262" s="579"/>
      <c r="AT262" s="579"/>
      <c r="AU262" s="579"/>
      <c r="AV262" s="579"/>
      <c r="AW262" s="579"/>
      <c r="AX262" s="579"/>
      <c r="AY262" s="579"/>
      <c r="AZ262" s="579"/>
      <c r="BA262" s="579"/>
      <c r="BB262" s="594"/>
      <c r="BC262" s="579"/>
      <c r="BD262" s="579"/>
      <c r="BE262" s="579"/>
      <c r="BF262" s="579"/>
      <c r="BG262" s="579"/>
      <c r="BH262" s="579"/>
      <c r="BI262" s="579"/>
      <c r="BJ262" s="579"/>
      <c r="BK262" s="579"/>
      <c r="BL262" s="579"/>
      <c r="BM262" s="579"/>
      <c r="BN262" s="579"/>
      <c r="BO262" s="579"/>
      <c r="BP262" s="579"/>
      <c r="BQ262" s="579"/>
      <c r="BR262" s="594"/>
      <c r="BS262" s="579"/>
      <c r="BT262" s="579"/>
      <c r="BU262" s="579"/>
      <c r="BV262" s="579"/>
      <c r="BW262" s="579"/>
      <c r="BX262" s="579"/>
      <c r="BY262" s="579"/>
      <c r="BZ262" s="579"/>
      <c r="CA262" s="579"/>
      <c r="CB262" s="579"/>
      <c r="CC262" s="579"/>
      <c r="CD262" s="579"/>
      <c r="CE262" s="579"/>
      <c r="CF262" s="579"/>
      <c r="CG262" s="579"/>
      <c r="CH262" s="579"/>
      <c r="CI262" s="579"/>
      <c r="CJ262" s="579"/>
      <c r="CK262" s="579"/>
      <c r="CL262" s="579"/>
      <c r="CM262" s="579"/>
      <c r="CN262" s="579"/>
      <c r="CO262" s="579"/>
      <c r="CP262" s="579"/>
      <c r="CQ262" s="579"/>
      <c r="CR262" s="579"/>
      <c r="CS262" s="579"/>
      <c r="CT262" s="579"/>
      <c r="CU262" s="579"/>
      <c r="CV262" s="579"/>
      <c r="CW262" s="579"/>
      <c r="CX262" s="579"/>
      <c r="CY262" s="579"/>
      <c r="CZ262" s="579"/>
      <c r="DA262" s="579"/>
      <c r="DB262" s="579"/>
      <c r="DC262" s="579"/>
      <c r="DD262" s="579"/>
      <c r="DE262" s="579"/>
      <c r="DF262" s="579"/>
      <c r="DG262" s="579"/>
      <c r="DH262" s="579"/>
      <c r="DI262" s="579"/>
      <c r="DJ262" s="579"/>
      <c r="DK262" s="579"/>
      <c r="DL262" s="579"/>
      <c r="DM262" s="579"/>
      <c r="DN262" s="579"/>
      <c r="DO262" s="579"/>
      <c r="DP262" s="579"/>
    </row>
    <row r="263" spans="1:120" hidden="1" outlineLevel="1">
      <c r="A263" s="55">
        <v>1110052010</v>
      </c>
      <c r="B263" s="90"/>
      <c r="C263" s="91" t="s">
        <v>64</v>
      </c>
      <c r="D263" s="1481"/>
      <c r="E263" s="1482"/>
      <c r="F263" s="420"/>
      <c r="G263" s="1256"/>
      <c r="H263" s="421"/>
      <c r="I263" s="422"/>
      <c r="J263" s="1425">
        <v>1</v>
      </c>
      <c r="K263" s="1426">
        <v>1</v>
      </c>
      <c r="L263" s="1043"/>
      <c r="M263" s="1594">
        <f t="shared" si="771"/>
        <v>0</v>
      </c>
      <c r="N263" s="415"/>
      <c r="O263" s="424">
        <f t="shared" si="790"/>
        <v>0</v>
      </c>
      <c r="P263" s="425"/>
      <c r="Q263" s="1340">
        <f t="shared" si="773"/>
        <v>0</v>
      </c>
      <c r="R263" s="426"/>
      <c r="S263" s="426"/>
      <c r="T263" s="427">
        <f t="shared" si="791"/>
        <v>0</v>
      </c>
      <c r="U263" s="418">
        <f t="shared" si="792"/>
        <v>0</v>
      </c>
      <c r="V263" s="517">
        <f t="shared" si="793"/>
        <v>0</v>
      </c>
      <c r="W263" s="428">
        <f t="shared" si="794"/>
        <v>0</v>
      </c>
      <c r="X263" s="429">
        <f t="shared" si="795"/>
        <v>0</v>
      </c>
      <c r="Y263" s="92"/>
      <c r="AA263" s="578"/>
      <c r="AB263" s="2121">
        <f t="shared" si="804"/>
        <v>0</v>
      </c>
      <c r="AC263" s="578"/>
      <c r="AD263" s="578"/>
      <c r="AE263" s="578"/>
      <c r="AF263" s="579"/>
      <c r="AG263" s="579"/>
      <c r="AH263" s="579"/>
      <c r="AI263" s="579"/>
      <c r="AJ263" s="579"/>
      <c r="AK263" s="579"/>
      <c r="AL263" s="1563"/>
      <c r="AM263" s="579"/>
      <c r="AN263" s="579"/>
      <c r="AO263" s="579"/>
      <c r="AP263" s="579"/>
      <c r="AQ263" s="579"/>
      <c r="AR263" s="579"/>
      <c r="AS263" s="579"/>
      <c r="AT263" s="579"/>
      <c r="AU263" s="579"/>
      <c r="AV263" s="579"/>
      <c r="AW263" s="579"/>
      <c r="AX263" s="579"/>
      <c r="AY263" s="579"/>
      <c r="AZ263" s="579"/>
      <c r="BA263" s="579"/>
      <c r="BB263" s="594"/>
      <c r="BC263" s="579"/>
      <c r="BD263" s="579"/>
      <c r="BE263" s="579"/>
      <c r="BF263" s="579"/>
      <c r="BG263" s="579"/>
      <c r="BH263" s="579"/>
      <c r="BI263" s="579"/>
      <c r="BJ263" s="579"/>
      <c r="BK263" s="579"/>
      <c r="BL263" s="579"/>
      <c r="BM263" s="579"/>
      <c r="BN263" s="594"/>
      <c r="BO263" s="579"/>
      <c r="BP263" s="579"/>
      <c r="BQ263" s="579"/>
      <c r="BR263" s="579"/>
      <c r="BS263" s="579"/>
      <c r="BT263" s="579"/>
      <c r="BU263" s="579"/>
      <c r="BV263" s="579"/>
      <c r="BW263" s="579"/>
      <c r="BX263" s="579"/>
      <c r="BY263" s="579"/>
      <c r="BZ263" s="579"/>
      <c r="CA263" s="579"/>
      <c r="CB263" s="579"/>
      <c r="CC263" s="579"/>
      <c r="CD263" s="579"/>
      <c r="CE263" s="579"/>
      <c r="CF263" s="579"/>
      <c r="CG263" s="579"/>
      <c r="CH263" s="579"/>
      <c r="CI263" s="579"/>
      <c r="CJ263" s="579"/>
      <c r="CK263" s="579"/>
      <c r="CL263" s="579"/>
      <c r="CM263" s="579"/>
      <c r="CN263" s="579"/>
      <c r="CO263" s="579"/>
      <c r="CP263" s="579"/>
      <c r="CQ263" s="579"/>
      <c r="CR263" s="579"/>
      <c r="CS263" s="579"/>
      <c r="CT263" s="579"/>
      <c r="CU263" s="579"/>
      <c r="CV263" s="579"/>
      <c r="CW263" s="579"/>
      <c r="CX263" s="579"/>
      <c r="CY263" s="579"/>
      <c r="CZ263" s="579"/>
      <c r="DA263" s="579"/>
      <c r="DB263" s="579"/>
      <c r="DC263" s="579"/>
      <c r="DD263" s="579"/>
      <c r="DE263" s="579"/>
      <c r="DF263" s="579"/>
      <c r="DG263" s="579"/>
      <c r="DH263" s="579"/>
      <c r="DI263" s="579"/>
      <c r="DJ263" s="579"/>
      <c r="DK263" s="579"/>
      <c r="DL263" s="579"/>
      <c r="DM263" s="579"/>
      <c r="DN263" s="579"/>
      <c r="DO263" s="579"/>
      <c r="DP263" s="579"/>
    </row>
    <row r="264" spans="1:120" hidden="1" outlineLevel="1">
      <c r="A264" s="55">
        <v>1110052010</v>
      </c>
      <c r="B264" s="90"/>
      <c r="C264" s="91" t="s">
        <v>64</v>
      </c>
      <c r="D264" s="1481"/>
      <c r="E264" s="1482"/>
      <c r="F264" s="420"/>
      <c r="G264" s="1256"/>
      <c r="H264" s="421"/>
      <c r="I264" s="422"/>
      <c r="J264" s="1425">
        <v>1</v>
      </c>
      <c r="K264" s="1426">
        <v>1</v>
      </c>
      <c r="L264" s="1043"/>
      <c r="M264" s="1594">
        <f t="shared" si="771"/>
        <v>0</v>
      </c>
      <c r="N264" s="415"/>
      <c r="O264" s="424">
        <f t="shared" si="790"/>
        <v>0</v>
      </c>
      <c r="P264" s="425"/>
      <c r="Q264" s="1340">
        <f t="shared" si="773"/>
        <v>0</v>
      </c>
      <c r="R264" s="426"/>
      <c r="S264" s="426"/>
      <c r="T264" s="427">
        <f t="shared" si="791"/>
        <v>0</v>
      </c>
      <c r="U264" s="418">
        <f t="shared" si="792"/>
        <v>0</v>
      </c>
      <c r="V264" s="517">
        <f t="shared" si="793"/>
        <v>0</v>
      </c>
      <c r="W264" s="428">
        <f t="shared" si="794"/>
        <v>0</v>
      </c>
      <c r="X264" s="429">
        <f t="shared" si="795"/>
        <v>0</v>
      </c>
      <c r="Y264" s="92"/>
      <c r="AA264" s="578"/>
      <c r="AB264" s="578"/>
      <c r="AC264" s="578"/>
      <c r="AD264" s="578"/>
      <c r="AE264" s="578"/>
      <c r="AF264" s="579"/>
      <c r="AG264" s="579"/>
      <c r="AH264" s="579"/>
      <c r="AI264" s="579"/>
      <c r="AJ264" s="579"/>
      <c r="AK264" s="579"/>
      <c r="AL264" s="1563"/>
      <c r="AM264" s="579"/>
      <c r="AN264" s="579"/>
      <c r="AO264" s="579"/>
      <c r="AP264" s="579"/>
      <c r="AQ264" s="579"/>
      <c r="AR264" s="579"/>
      <c r="AS264" s="579"/>
      <c r="AT264" s="579"/>
      <c r="AU264" s="579"/>
      <c r="AV264" s="579"/>
      <c r="AW264" s="579"/>
      <c r="AX264" s="579"/>
      <c r="AY264" s="579"/>
      <c r="AZ264" s="579"/>
      <c r="BA264" s="579"/>
      <c r="BB264" s="594"/>
      <c r="BC264" s="579"/>
      <c r="BD264" s="579"/>
      <c r="BE264" s="579"/>
      <c r="BF264" s="579"/>
      <c r="BG264" s="579"/>
      <c r="BH264" s="579"/>
      <c r="BI264" s="579"/>
      <c r="BJ264" s="579"/>
      <c r="BK264" s="579"/>
      <c r="BL264" s="579"/>
      <c r="BM264" s="579"/>
      <c r="BN264" s="579"/>
      <c r="BO264" s="579"/>
      <c r="BP264" s="579"/>
      <c r="BQ264" s="579"/>
      <c r="BR264" s="594"/>
      <c r="BS264" s="579"/>
      <c r="BT264" s="579"/>
      <c r="BU264" s="579"/>
      <c r="BV264" s="579"/>
      <c r="BW264" s="579"/>
      <c r="BX264" s="579"/>
      <c r="BY264" s="579"/>
      <c r="BZ264" s="579"/>
      <c r="CA264" s="579"/>
      <c r="CB264" s="579"/>
      <c r="CC264" s="579"/>
      <c r="CD264" s="579"/>
      <c r="CE264" s="579"/>
      <c r="CF264" s="579"/>
      <c r="CG264" s="579"/>
      <c r="CH264" s="579"/>
      <c r="CI264" s="594">
        <f>+M264</f>
        <v>0</v>
      </c>
      <c r="CJ264" s="579"/>
      <c r="CK264" s="579"/>
      <c r="CL264" s="579"/>
      <c r="CM264" s="579"/>
      <c r="CN264" s="579"/>
      <c r="CO264" s="579"/>
      <c r="CP264" s="579"/>
      <c r="CQ264" s="579"/>
      <c r="CR264" s="579"/>
      <c r="CS264" s="579"/>
      <c r="CT264" s="579"/>
      <c r="CU264" s="579"/>
      <c r="CV264" s="579"/>
      <c r="CW264" s="579"/>
      <c r="CX264" s="579"/>
      <c r="CY264" s="579"/>
      <c r="CZ264" s="579"/>
      <c r="DA264" s="579"/>
      <c r="DB264" s="579"/>
      <c r="DC264" s="579"/>
      <c r="DD264" s="579"/>
      <c r="DE264" s="579"/>
      <c r="DF264" s="579"/>
      <c r="DG264" s="579"/>
      <c r="DH264" s="579"/>
      <c r="DI264" s="579"/>
      <c r="DJ264" s="579"/>
      <c r="DK264" s="579"/>
      <c r="DL264" s="579"/>
      <c r="DM264" s="579"/>
      <c r="DN264" s="579"/>
      <c r="DO264" s="579"/>
      <c r="DP264" s="579"/>
    </row>
    <row r="265" spans="1:120" hidden="1" outlineLevel="1">
      <c r="A265" s="55">
        <v>1110052010</v>
      </c>
      <c r="B265" s="90"/>
      <c r="C265" s="91" t="s">
        <v>64</v>
      </c>
      <c r="D265" s="1481"/>
      <c r="E265" s="1482"/>
      <c r="F265" s="420"/>
      <c r="G265" s="1256"/>
      <c r="H265" s="421"/>
      <c r="I265" s="422"/>
      <c r="J265" s="1425">
        <v>1</v>
      </c>
      <c r="K265" s="1426">
        <v>1</v>
      </c>
      <c r="L265" s="1043"/>
      <c r="M265" s="1594">
        <f t="shared" si="771"/>
        <v>0</v>
      </c>
      <c r="N265" s="415"/>
      <c r="O265" s="424">
        <f t="shared" ref="O265:O274" si="805">+L265*N265</f>
        <v>0</v>
      </c>
      <c r="P265" s="425"/>
      <c r="Q265" s="1340">
        <f t="shared" si="773"/>
        <v>0</v>
      </c>
      <c r="R265" s="426"/>
      <c r="S265" s="426"/>
      <c r="T265" s="427">
        <f t="shared" ref="T265:T274" si="806">+P265*S265</f>
        <v>0</v>
      </c>
      <c r="U265" s="418">
        <f t="shared" ref="U265:U274" si="807">+L265+P265+F265</f>
        <v>0</v>
      </c>
      <c r="V265" s="517">
        <f t="shared" ref="V265:V274" si="808">+P265*R265+L265*N265+F265*H265</f>
        <v>0</v>
      </c>
      <c r="W265" s="428">
        <f t="shared" ref="W265:W274" si="809">(IF(R265&gt;S265,(-P265*R265)-(-P265*S265),0))</f>
        <v>0</v>
      </c>
      <c r="X265" s="429">
        <f t="shared" ref="X265:X274" si="810">(IF(R265&lt;S265,(-P265*R265)-(-P265*S265),0))</f>
        <v>0</v>
      </c>
      <c r="Y265" s="92"/>
      <c r="AA265" s="578"/>
      <c r="AB265" s="578"/>
      <c r="AC265" s="578"/>
      <c r="AD265" s="578"/>
      <c r="AE265" s="578"/>
      <c r="AF265" s="579"/>
      <c r="AG265" s="579"/>
      <c r="AH265" s="579"/>
      <c r="AI265" s="579"/>
      <c r="AJ265" s="579"/>
      <c r="AK265" s="579"/>
      <c r="AL265" s="1563"/>
      <c r="AM265" s="579"/>
      <c r="AN265" s="579"/>
      <c r="AO265" s="579"/>
      <c r="AP265" s="579"/>
      <c r="AQ265" s="579"/>
      <c r="AR265" s="579"/>
      <c r="AS265" s="579"/>
      <c r="AT265" s="579"/>
      <c r="AU265" s="579"/>
      <c r="AV265" s="579"/>
      <c r="AW265" s="579"/>
      <c r="AX265" s="579"/>
      <c r="AY265" s="579"/>
      <c r="AZ265" s="579"/>
      <c r="BA265" s="579"/>
      <c r="BB265" s="594"/>
      <c r="BC265" s="579"/>
      <c r="BD265" s="579"/>
      <c r="BE265" s="579"/>
      <c r="BF265" s="579"/>
      <c r="BG265" s="579"/>
      <c r="BH265" s="579"/>
      <c r="BI265" s="579"/>
      <c r="BJ265" s="579"/>
      <c r="BK265" s="579"/>
      <c r="BL265" s="579"/>
      <c r="BM265" s="579"/>
      <c r="BN265" s="594"/>
      <c r="BO265" s="579"/>
      <c r="BP265" s="579"/>
      <c r="BQ265" s="579"/>
      <c r="BR265" s="579"/>
      <c r="BS265" s="579"/>
      <c r="BT265" s="579"/>
      <c r="BU265" s="579"/>
      <c r="BV265" s="579"/>
      <c r="BW265" s="579"/>
      <c r="BX265" s="579"/>
      <c r="BY265" s="579"/>
      <c r="BZ265" s="579"/>
      <c r="CA265" s="579"/>
      <c r="CB265" s="579"/>
      <c r="CC265" s="579"/>
      <c r="CD265" s="579"/>
      <c r="CE265" s="579"/>
      <c r="CF265" s="579"/>
      <c r="CG265" s="579"/>
      <c r="CH265" s="579"/>
      <c r="CI265" s="579"/>
      <c r="CJ265" s="594">
        <f>+M265</f>
        <v>0</v>
      </c>
      <c r="CK265" s="579"/>
      <c r="CL265" s="579"/>
      <c r="CM265" s="579"/>
      <c r="CN265" s="579"/>
      <c r="CO265" s="579"/>
      <c r="CP265" s="579"/>
      <c r="CQ265" s="579"/>
      <c r="CR265" s="579"/>
      <c r="CS265" s="579"/>
      <c r="CT265" s="579"/>
      <c r="CU265" s="579"/>
      <c r="CV265" s="579"/>
      <c r="CW265" s="579"/>
      <c r="CX265" s="579"/>
      <c r="CY265" s="579"/>
      <c r="CZ265" s="579"/>
      <c r="DA265" s="579"/>
      <c r="DB265" s="579"/>
      <c r="DC265" s="579"/>
      <c r="DD265" s="579"/>
      <c r="DE265" s="579"/>
      <c r="DF265" s="579"/>
      <c r="DG265" s="579"/>
      <c r="DH265" s="579"/>
      <c r="DI265" s="579"/>
      <c r="DJ265" s="579"/>
      <c r="DK265" s="579"/>
      <c r="DL265" s="579"/>
      <c r="DM265" s="579"/>
      <c r="DN265" s="579"/>
      <c r="DO265" s="579"/>
      <c r="DP265" s="579"/>
    </row>
    <row r="266" spans="1:120" hidden="1" outlineLevel="1">
      <c r="A266" s="55">
        <v>1110052010</v>
      </c>
      <c r="B266" s="90"/>
      <c r="C266" s="91" t="s">
        <v>64</v>
      </c>
      <c r="D266" s="1481"/>
      <c r="E266" s="1482"/>
      <c r="F266" s="420"/>
      <c r="G266" s="1256"/>
      <c r="H266" s="421"/>
      <c r="I266" s="422"/>
      <c r="J266" s="1425">
        <v>1</v>
      </c>
      <c r="K266" s="1426">
        <v>1</v>
      </c>
      <c r="L266" s="1043"/>
      <c r="M266" s="1594">
        <f t="shared" si="771"/>
        <v>0</v>
      </c>
      <c r="N266" s="415"/>
      <c r="O266" s="424">
        <f t="shared" si="805"/>
        <v>0</v>
      </c>
      <c r="P266" s="425"/>
      <c r="Q266" s="1340">
        <f t="shared" si="773"/>
        <v>0</v>
      </c>
      <c r="R266" s="426"/>
      <c r="S266" s="426"/>
      <c r="T266" s="427">
        <f t="shared" si="806"/>
        <v>0</v>
      </c>
      <c r="U266" s="418">
        <f t="shared" si="807"/>
        <v>0</v>
      </c>
      <c r="V266" s="517">
        <f t="shared" si="808"/>
        <v>0</v>
      </c>
      <c r="W266" s="428">
        <f t="shared" si="809"/>
        <v>0</v>
      </c>
      <c r="X266" s="429">
        <f t="shared" si="810"/>
        <v>0</v>
      </c>
      <c r="Y266" s="92"/>
      <c r="AA266" s="578"/>
      <c r="AB266" s="578"/>
      <c r="AC266" s="578"/>
      <c r="AD266" s="578"/>
      <c r="AE266" s="578"/>
      <c r="AF266" s="579"/>
      <c r="AG266" s="579"/>
      <c r="AH266" s="579"/>
      <c r="AI266" s="579"/>
      <c r="AJ266" s="579"/>
      <c r="AK266" s="579"/>
      <c r="AL266" s="1563"/>
      <c r="AM266" s="579"/>
      <c r="AN266" s="579"/>
      <c r="AO266" s="579"/>
      <c r="AP266" s="579"/>
      <c r="AQ266" s="579"/>
      <c r="AR266" s="579"/>
      <c r="AS266" s="579"/>
      <c r="AT266" s="579"/>
      <c r="AU266" s="579"/>
      <c r="AV266" s="579"/>
      <c r="AW266" s="579"/>
      <c r="AX266" s="579"/>
      <c r="AY266" s="579"/>
      <c r="AZ266" s="579"/>
      <c r="BA266" s="579"/>
      <c r="BB266" s="594"/>
      <c r="BC266" s="579"/>
      <c r="BD266" s="579"/>
      <c r="BE266" s="579"/>
      <c r="BF266" s="579"/>
      <c r="BG266" s="579"/>
      <c r="BH266" s="579"/>
      <c r="BI266" s="579"/>
      <c r="BJ266" s="579"/>
      <c r="BK266" s="579"/>
      <c r="BL266" s="579"/>
      <c r="BM266" s="579"/>
      <c r="BN266" s="579"/>
      <c r="BO266" s="579"/>
      <c r="BP266" s="579"/>
      <c r="BQ266" s="579"/>
      <c r="BR266" s="594"/>
      <c r="BS266" s="579"/>
      <c r="BT266" s="579"/>
      <c r="BU266" s="579"/>
      <c r="BV266" s="579"/>
      <c r="BW266" s="579"/>
      <c r="BX266" s="579"/>
      <c r="BY266" s="579"/>
      <c r="BZ266" s="579"/>
      <c r="CA266" s="579"/>
      <c r="CB266" s="579"/>
      <c r="CC266" s="579"/>
      <c r="CD266" s="579"/>
      <c r="CE266" s="579"/>
      <c r="CF266" s="579"/>
      <c r="CG266" s="579"/>
      <c r="CH266" s="579"/>
      <c r="CI266" s="594">
        <f>+Q266</f>
        <v>0</v>
      </c>
      <c r="CJ266" s="579"/>
      <c r="CK266" s="579"/>
      <c r="CL266" s="579"/>
      <c r="CM266" s="579"/>
      <c r="CN266" s="579"/>
      <c r="CO266" s="579"/>
      <c r="CP266" s="579"/>
      <c r="CQ266" s="579"/>
      <c r="CR266" s="579"/>
      <c r="CS266" s="579"/>
      <c r="CT266" s="579"/>
      <c r="CU266" s="579"/>
      <c r="CV266" s="579"/>
      <c r="CW266" s="579"/>
      <c r="CX266" s="579"/>
      <c r="CY266" s="579"/>
      <c r="CZ266" s="579"/>
      <c r="DA266" s="579"/>
      <c r="DB266" s="579"/>
      <c r="DC266" s="579"/>
      <c r="DD266" s="579"/>
      <c r="DE266" s="579"/>
      <c r="DF266" s="579"/>
      <c r="DG266" s="579"/>
      <c r="DH266" s="579"/>
      <c r="DI266" s="579"/>
      <c r="DJ266" s="579"/>
      <c r="DK266" s="579"/>
      <c r="DL266" s="579"/>
      <c r="DM266" s="579"/>
      <c r="DN266" s="579"/>
      <c r="DO266" s="579"/>
      <c r="DP266" s="579"/>
    </row>
    <row r="267" spans="1:120" hidden="1" outlineLevel="1">
      <c r="A267" s="55">
        <v>1110052010</v>
      </c>
      <c r="B267" s="2153"/>
      <c r="C267" s="91" t="s">
        <v>64</v>
      </c>
      <c r="D267" s="1481"/>
      <c r="E267" s="1482"/>
      <c r="F267" s="420"/>
      <c r="G267" s="1256"/>
      <c r="H267" s="421"/>
      <c r="I267" s="422"/>
      <c r="J267" s="1425">
        <v>1</v>
      </c>
      <c r="K267" s="1426">
        <v>1</v>
      </c>
      <c r="L267" s="1043"/>
      <c r="M267" s="1594">
        <f t="shared" si="771"/>
        <v>0</v>
      </c>
      <c r="N267" s="415"/>
      <c r="O267" s="424">
        <f t="shared" si="805"/>
        <v>0</v>
      </c>
      <c r="P267" s="425"/>
      <c r="Q267" s="1340">
        <f t="shared" si="773"/>
        <v>0</v>
      </c>
      <c r="R267" s="426"/>
      <c r="S267" s="426"/>
      <c r="T267" s="427">
        <f t="shared" si="806"/>
        <v>0</v>
      </c>
      <c r="U267" s="418">
        <f t="shared" si="807"/>
        <v>0</v>
      </c>
      <c r="V267" s="517">
        <f t="shared" si="808"/>
        <v>0</v>
      </c>
      <c r="W267" s="428">
        <f t="shared" si="809"/>
        <v>0</v>
      </c>
      <c r="X267" s="429">
        <f t="shared" si="810"/>
        <v>0</v>
      </c>
      <c r="Y267" s="92"/>
      <c r="AA267" s="578"/>
      <c r="AB267" s="578"/>
      <c r="AC267" s="578"/>
      <c r="AD267" s="578"/>
      <c r="AE267" s="578"/>
      <c r="AF267" s="579"/>
      <c r="AG267" s="579"/>
      <c r="AH267" s="579"/>
      <c r="AI267" s="579"/>
      <c r="AJ267" s="579"/>
      <c r="AK267" s="579"/>
      <c r="AL267" s="1563"/>
      <c r="AM267" s="579"/>
      <c r="AN267" s="579"/>
      <c r="AO267" s="579"/>
      <c r="AP267" s="579"/>
      <c r="AQ267" s="579"/>
      <c r="AR267" s="579"/>
      <c r="AS267" s="579"/>
      <c r="AT267" s="579"/>
      <c r="AU267" s="579"/>
      <c r="AV267" s="579"/>
      <c r="AW267" s="579"/>
      <c r="AX267" s="579"/>
      <c r="AY267" s="579"/>
      <c r="AZ267" s="579"/>
      <c r="BA267" s="579"/>
      <c r="BB267" s="594"/>
      <c r="BC267" s="579"/>
      <c r="BD267" s="579"/>
      <c r="BE267" s="579"/>
      <c r="BF267" s="579"/>
      <c r="BG267" s="579"/>
      <c r="BH267" s="579"/>
      <c r="BI267" s="579"/>
      <c r="BJ267" s="579"/>
      <c r="BK267" s="579"/>
      <c r="BL267" s="579"/>
      <c r="BM267" s="579"/>
      <c r="BN267" s="594"/>
      <c r="BO267" s="579"/>
      <c r="BP267" s="579"/>
      <c r="BQ267" s="579"/>
      <c r="BR267" s="579"/>
      <c r="BS267" s="579"/>
      <c r="BT267" s="579"/>
      <c r="BU267" s="579"/>
      <c r="BV267" s="579"/>
      <c r="BW267" s="579"/>
      <c r="BX267" s="579"/>
      <c r="BY267" s="579"/>
      <c r="BZ267" s="579"/>
      <c r="CA267" s="579"/>
      <c r="CB267" s="579"/>
      <c r="CC267" s="579"/>
      <c r="CD267" s="579"/>
      <c r="CE267" s="579"/>
      <c r="CF267" s="579"/>
      <c r="CG267" s="579"/>
      <c r="CH267" s="579"/>
      <c r="CI267" s="579"/>
      <c r="CJ267" s="579"/>
      <c r="CK267" s="594">
        <f>+M267</f>
        <v>0</v>
      </c>
      <c r="CL267" s="579"/>
      <c r="CM267" s="579"/>
      <c r="CN267" s="579"/>
      <c r="CO267" s="579"/>
      <c r="CP267" s="579"/>
      <c r="CQ267" s="579"/>
      <c r="CR267" s="579"/>
      <c r="CS267" s="579"/>
      <c r="CT267" s="579"/>
      <c r="CU267" s="579"/>
      <c r="CV267" s="579"/>
      <c r="CW267" s="579"/>
      <c r="CX267" s="579"/>
      <c r="CY267" s="579"/>
      <c r="CZ267" s="579"/>
      <c r="DA267" s="579"/>
      <c r="DB267" s="579"/>
      <c r="DC267" s="579"/>
      <c r="DD267" s="579"/>
      <c r="DE267" s="579"/>
      <c r="DF267" s="579"/>
      <c r="DG267" s="579"/>
      <c r="DH267" s="579"/>
      <c r="DI267" s="579"/>
      <c r="DJ267" s="579"/>
      <c r="DK267" s="579"/>
      <c r="DL267" s="579"/>
      <c r="DM267" s="579"/>
      <c r="DN267" s="579"/>
      <c r="DO267" s="579"/>
      <c r="DP267" s="579"/>
    </row>
    <row r="268" spans="1:120" hidden="1" outlineLevel="1">
      <c r="A268" s="55">
        <v>1110052010</v>
      </c>
      <c r="B268" s="90"/>
      <c r="C268" s="91" t="s">
        <v>64</v>
      </c>
      <c r="D268" s="1481"/>
      <c r="E268" s="1482"/>
      <c r="F268" s="420"/>
      <c r="G268" s="1256"/>
      <c r="H268" s="421"/>
      <c r="I268" s="422"/>
      <c r="J268" s="1425">
        <v>1</v>
      </c>
      <c r="K268" s="1426">
        <v>1</v>
      </c>
      <c r="L268" s="1043"/>
      <c r="M268" s="1594">
        <f t="shared" si="771"/>
        <v>0</v>
      </c>
      <c r="N268" s="415"/>
      <c r="O268" s="424">
        <f t="shared" si="805"/>
        <v>0</v>
      </c>
      <c r="P268" s="425"/>
      <c r="Q268" s="1340">
        <f t="shared" si="773"/>
        <v>0</v>
      </c>
      <c r="R268" s="426"/>
      <c r="S268" s="426"/>
      <c r="T268" s="427">
        <f t="shared" si="806"/>
        <v>0</v>
      </c>
      <c r="U268" s="418">
        <f t="shared" si="807"/>
        <v>0</v>
      </c>
      <c r="V268" s="517">
        <f t="shared" si="808"/>
        <v>0</v>
      </c>
      <c r="W268" s="428">
        <f t="shared" si="809"/>
        <v>0</v>
      </c>
      <c r="X268" s="429">
        <f t="shared" si="810"/>
        <v>0</v>
      </c>
      <c r="Y268" s="92"/>
      <c r="AA268" s="578"/>
      <c r="AB268" s="578"/>
      <c r="AC268" s="578"/>
      <c r="AD268" s="578"/>
      <c r="AE268" s="578"/>
      <c r="AF268" s="579"/>
      <c r="AG268" s="579"/>
      <c r="AH268" s="579"/>
      <c r="AI268" s="579"/>
      <c r="AJ268" s="579"/>
      <c r="AK268" s="579"/>
      <c r="AL268" s="1563"/>
      <c r="AM268" s="579"/>
      <c r="AN268" s="579"/>
      <c r="AO268" s="579"/>
      <c r="AP268" s="579"/>
      <c r="AQ268" s="579"/>
      <c r="AR268" s="579"/>
      <c r="AS268" s="579"/>
      <c r="AT268" s="579"/>
      <c r="AU268" s="579"/>
      <c r="AV268" s="579"/>
      <c r="AW268" s="579"/>
      <c r="AX268" s="579"/>
      <c r="AY268" s="579"/>
      <c r="AZ268" s="579"/>
      <c r="BA268" s="579"/>
      <c r="BB268" s="594"/>
      <c r="BC268" s="579"/>
      <c r="BD268" s="579"/>
      <c r="BE268" s="579"/>
      <c r="BF268" s="579"/>
      <c r="BG268" s="579"/>
      <c r="BH268" s="579"/>
      <c r="BI268" s="579"/>
      <c r="BJ268" s="579"/>
      <c r="BK268" s="579"/>
      <c r="BL268" s="579"/>
      <c r="BM268" s="579"/>
      <c r="BN268" s="579"/>
      <c r="BO268" s="579"/>
      <c r="BP268" s="579"/>
      <c r="BQ268" s="579"/>
      <c r="BR268" s="594"/>
      <c r="BS268" s="579"/>
      <c r="BT268" s="579"/>
      <c r="BU268" s="579"/>
      <c r="BV268" s="579"/>
      <c r="BW268" s="579"/>
      <c r="BX268" s="579"/>
      <c r="BY268" s="579"/>
      <c r="BZ268" s="579"/>
      <c r="CA268" s="579"/>
      <c r="CB268" s="579"/>
      <c r="CC268" s="579"/>
      <c r="CD268" s="579"/>
      <c r="CE268" s="579"/>
      <c r="CF268" s="579"/>
      <c r="CG268" s="579"/>
      <c r="CH268" s="579"/>
      <c r="CI268" s="594">
        <f>+Q268</f>
        <v>0</v>
      </c>
      <c r="CJ268" s="579"/>
      <c r="CK268" s="579"/>
      <c r="CL268" s="579"/>
      <c r="CM268" s="579"/>
      <c r="CN268" s="579"/>
      <c r="CO268" s="579"/>
      <c r="CP268" s="579"/>
      <c r="CQ268" s="579"/>
      <c r="CR268" s="579"/>
      <c r="CS268" s="579"/>
      <c r="CT268" s="579"/>
      <c r="CU268" s="579"/>
      <c r="CV268" s="579"/>
      <c r="CW268" s="579"/>
      <c r="CX268" s="579"/>
      <c r="CY268" s="579"/>
      <c r="CZ268" s="579"/>
      <c r="DA268" s="579"/>
      <c r="DB268" s="579"/>
      <c r="DC268" s="579"/>
      <c r="DD268" s="579"/>
      <c r="DE268" s="579"/>
      <c r="DF268" s="579"/>
      <c r="DG268" s="579"/>
      <c r="DH268" s="579"/>
      <c r="DI268" s="579"/>
      <c r="DJ268" s="579"/>
      <c r="DK268" s="579"/>
      <c r="DL268" s="579"/>
      <c r="DM268" s="579"/>
      <c r="DN268" s="579"/>
      <c r="DO268" s="579"/>
      <c r="DP268" s="579"/>
    </row>
    <row r="269" spans="1:120" hidden="1" outlineLevel="1">
      <c r="A269" s="55">
        <v>1110052010</v>
      </c>
      <c r="B269" s="90"/>
      <c r="C269" s="91" t="s">
        <v>64</v>
      </c>
      <c r="D269" s="1481"/>
      <c r="E269" s="1482"/>
      <c r="F269" s="420"/>
      <c r="G269" s="1256"/>
      <c r="H269" s="421"/>
      <c r="I269" s="422"/>
      <c r="J269" s="1425">
        <v>1</v>
      </c>
      <c r="K269" s="1426">
        <v>1</v>
      </c>
      <c r="L269" s="1043"/>
      <c r="M269" s="1594">
        <f t="shared" ref="M269" si="811">+L269*J269</f>
        <v>0</v>
      </c>
      <c r="N269" s="415"/>
      <c r="O269" s="424">
        <f t="shared" ref="O269" si="812">+L269*N269</f>
        <v>0</v>
      </c>
      <c r="P269" s="425"/>
      <c r="Q269" s="1340">
        <f t="shared" ref="Q269" si="813">+P269*K269</f>
        <v>0</v>
      </c>
      <c r="R269" s="426"/>
      <c r="S269" s="426"/>
      <c r="T269" s="427">
        <f t="shared" ref="T269" si="814">+P269*S269</f>
        <v>0</v>
      </c>
      <c r="U269" s="418">
        <f t="shared" ref="U269" si="815">+L269+P269+F269</f>
        <v>0</v>
      </c>
      <c r="V269" s="517">
        <f t="shared" ref="V269" si="816">+P269*R269+L269*N269+F269*H269</f>
        <v>0</v>
      </c>
      <c r="W269" s="428">
        <f t="shared" ref="W269" si="817">(IF(R269&gt;S269,(-P269*R269)-(-P269*S269),0))</f>
        <v>0</v>
      </c>
      <c r="X269" s="429">
        <f t="shared" ref="X269" si="818">(IF(R269&lt;S269,(-P269*R269)-(-P269*S269),0))</f>
        <v>0</v>
      </c>
      <c r="Y269" s="92"/>
      <c r="AA269" s="578"/>
      <c r="AB269" s="578"/>
      <c r="AC269" s="578"/>
      <c r="AD269" s="578"/>
      <c r="AE269" s="578"/>
      <c r="AF269" s="579"/>
      <c r="AG269" s="579"/>
      <c r="AH269" s="579"/>
      <c r="AI269" s="579"/>
      <c r="AJ269" s="579"/>
      <c r="AK269" s="579"/>
      <c r="AL269" s="1563"/>
      <c r="AM269" s="579"/>
      <c r="AN269" s="579"/>
      <c r="AO269" s="579"/>
      <c r="AP269" s="579"/>
      <c r="AQ269" s="579"/>
      <c r="AR269" s="579"/>
      <c r="AS269" s="579"/>
      <c r="AT269" s="579"/>
      <c r="AU269" s="579"/>
      <c r="AV269" s="579"/>
      <c r="AW269" s="579"/>
      <c r="AX269" s="579"/>
      <c r="AY269" s="579"/>
      <c r="AZ269" s="579"/>
      <c r="BA269" s="579"/>
      <c r="BB269" s="594"/>
      <c r="BC269" s="579"/>
      <c r="BD269" s="579"/>
      <c r="BE269" s="579"/>
      <c r="BF269" s="579"/>
      <c r="BG269" s="579"/>
      <c r="BH269" s="579"/>
      <c r="BI269" s="579"/>
      <c r="BJ269" s="579"/>
      <c r="BK269" s="579"/>
      <c r="BL269" s="579"/>
      <c r="BM269" s="579"/>
      <c r="BN269" s="579"/>
      <c r="BO269" s="579"/>
      <c r="BP269" s="579"/>
      <c r="BQ269" s="579"/>
      <c r="BR269" s="594"/>
      <c r="BS269" s="579"/>
      <c r="BT269" s="579"/>
      <c r="BU269" s="579"/>
      <c r="BV269" s="579"/>
      <c r="BW269" s="579"/>
      <c r="BX269" s="579"/>
      <c r="BY269" s="579"/>
      <c r="BZ269" s="579"/>
      <c r="CA269" s="579"/>
      <c r="CB269" s="579"/>
      <c r="CC269" s="579"/>
      <c r="CD269" s="579"/>
      <c r="CE269" s="579"/>
      <c r="CF269" s="579"/>
      <c r="CG269" s="579"/>
      <c r="CH269" s="579"/>
      <c r="CI269" s="594"/>
      <c r="CJ269" s="594">
        <f>+Q269</f>
        <v>0</v>
      </c>
      <c r="CK269" s="579"/>
      <c r="CL269" s="579"/>
      <c r="CM269" s="579"/>
      <c r="CN269" s="579"/>
      <c r="CO269" s="579"/>
      <c r="CP269" s="579"/>
      <c r="CQ269" s="579"/>
      <c r="CR269" s="579"/>
      <c r="CS269" s="579"/>
      <c r="CT269" s="579"/>
      <c r="CU269" s="579"/>
      <c r="CV269" s="579"/>
      <c r="CW269" s="579"/>
      <c r="CX269" s="579"/>
      <c r="CY269" s="579"/>
      <c r="CZ269" s="579"/>
      <c r="DA269" s="579"/>
      <c r="DB269" s="579"/>
      <c r="DC269" s="579"/>
      <c r="DD269" s="579"/>
      <c r="DE269" s="579"/>
      <c r="DF269" s="579"/>
      <c r="DG269" s="579"/>
      <c r="DH269" s="579"/>
      <c r="DI269" s="579"/>
      <c r="DJ269" s="579"/>
      <c r="DK269" s="579"/>
      <c r="DL269" s="579"/>
      <c r="DM269" s="579"/>
      <c r="DN269" s="579"/>
      <c r="DO269" s="579"/>
      <c r="DP269" s="579"/>
    </row>
    <row r="270" spans="1:120" hidden="1" outlineLevel="1">
      <c r="A270" s="55">
        <v>1110052010</v>
      </c>
      <c r="B270" s="90"/>
      <c r="C270" s="91" t="s">
        <v>64</v>
      </c>
      <c r="D270" s="1481"/>
      <c r="E270" s="1482"/>
      <c r="F270" s="420"/>
      <c r="G270" s="1256"/>
      <c r="H270" s="421"/>
      <c r="I270" s="422"/>
      <c r="J270" s="1425">
        <v>1</v>
      </c>
      <c r="K270" s="1426">
        <v>1</v>
      </c>
      <c r="L270" s="1043"/>
      <c r="M270" s="1594">
        <f t="shared" si="771"/>
        <v>0</v>
      </c>
      <c r="N270" s="415"/>
      <c r="O270" s="424">
        <f t="shared" si="805"/>
        <v>0</v>
      </c>
      <c r="P270" s="425"/>
      <c r="Q270" s="1340">
        <f t="shared" si="773"/>
        <v>0</v>
      </c>
      <c r="R270" s="426"/>
      <c r="S270" s="426"/>
      <c r="T270" s="427">
        <f t="shared" si="806"/>
        <v>0</v>
      </c>
      <c r="U270" s="418">
        <f t="shared" si="807"/>
        <v>0</v>
      </c>
      <c r="V270" s="517">
        <f t="shared" si="808"/>
        <v>0</v>
      </c>
      <c r="W270" s="428">
        <f t="shared" si="809"/>
        <v>0</v>
      </c>
      <c r="X270" s="429">
        <f t="shared" si="810"/>
        <v>0</v>
      </c>
      <c r="Y270" s="92"/>
      <c r="AA270" s="578"/>
      <c r="AB270" s="578"/>
      <c r="AC270" s="578"/>
      <c r="AD270" s="578"/>
      <c r="AE270" s="578"/>
      <c r="AF270" s="579"/>
      <c r="AG270" s="579"/>
      <c r="AH270" s="579"/>
      <c r="AI270" s="579"/>
      <c r="AJ270" s="579"/>
      <c r="AK270" s="579"/>
      <c r="AL270" s="1563"/>
      <c r="AM270" s="579"/>
      <c r="AN270" s="579"/>
      <c r="AO270" s="579"/>
      <c r="AP270" s="579"/>
      <c r="AQ270" s="579"/>
      <c r="AR270" s="579"/>
      <c r="AS270" s="579"/>
      <c r="AT270" s="579"/>
      <c r="AU270" s="579"/>
      <c r="AV270" s="579"/>
      <c r="AW270" s="579"/>
      <c r="AX270" s="579"/>
      <c r="AY270" s="579"/>
      <c r="AZ270" s="579"/>
      <c r="BA270" s="579"/>
      <c r="BB270" s="594"/>
      <c r="BC270" s="579"/>
      <c r="BD270" s="579"/>
      <c r="BE270" s="579"/>
      <c r="BF270" s="579"/>
      <c r="BG270" s="579"/>
      <c r="BH270" s="579"/>
      <c r="BI270" s="579"/>
      <c r="BJ270" s="579"/>
      <c r="BK270" s="579"/>
      <c r="BL270" s="579"/>
      <c r="BM270" s="579"/>
      <c r="BN270" s="594"/>
      <c r="BO270" s="579"/>
      <c r="BP270" s="579"/>
      <c r="BQ270" s="579"/>
      <c r="BR270" s="579"/>
      <c r="BS270" s="579"/>
      <c r="BT270" s="579"/>
      <c r="BU270" s="579"/>
      <c r="BV270" s="579"/>
      <c r="BW270" s="579"/>
      <c r="BX270" s="579"/>
      <c r="BY270" s="579"/>
      <c r="BZ270" s="579"/>
      <c r="CA270" s="579"/>
      <c r="CB270" s="579"/>
      <c r="CC270" s="579"/>
      <c r="CD270" s="579"/>
      <c r="CE270" s="579"/>
      <c r="CF270" s="579"/>
      <c r="CG270" s="579"/>
      <c r="CH270" s="579"/>
      <c r="CI270" s="579"/>
      <c r="CJ270" s="594">
        <f>+Q270</f>
        <v>0</v>
      </c>
      <c r="CK270" s="579"/>
      <c r="CL270" s="579"/>
      <c r="CM270" s="579"/>
      <c r="CN270" s="579"/>
      <c r="CO270" s="579"/>
      <c r="CP270" s="579"/>
      <c r="CQ270" s="579"/>
      <c r="CR270" s="579"/>
      <c r="CS270" s="579"/>
      <c r="CT270" s="579"/>
      <c r="CU270" s="579"/>
      <c r="CV270" s="579"/>
      <c r="CW270" s="579"/>
      <c r="CX270" s="579"/>
      <c r="CY270" s="579"/>
      <c r="CZ270" s="579"/>
      <c r="DA270" s="579"/>
      <c r="DB270" s="579"/>
      <c r="DC270" s="579"/>
      <c r="DD270" s="579"/>
      <c r="DE270" s="579"/>
      <c r="DF270" s="579"/>
      <c r="DG270" s="579"/>
      <c r="DH270" s="579"/>
      <c r="DI270" s="579"/>
      <c r="DJ270" s="579"/>
      <c r="DK270" s="579"/>
      <c r="DL270" s="579"/>
      <c r="DM270" s="579"/>
      <c r="DN270" s="579"/>
      <c r="DO270" s="579"/>
      <c r="DP270" s="579"/>
    </row>
    <row r="271" spans="1:120" hidden="1" outlineLevel="1">
      <c r="A271" s="55">
        <v>1110052010</v>
      </c>
      <c r="B271" s="90"/>
      <c r="C271" s="91" t="s">
        <v>64</v>
      </c>
      <c r="D271" s="1481"/>
      <c r="E271" s="1482"/>
      <c r="F271" s="420"/>
      <c r="G271" s="1256"/>
      <c r="H271" s="421"/>
      <c r="I271" s="422"/>
      <c r="J271" s="1425">
        <v>1</v>
      </c>
      <c r="K271" s="1426">
        <v>1</v>
      </c>
      <c r="L271" s="1043"/>
      <c r="M271" s="1594">
        <f t="shared" si="771"/>
        <v>0</v>
      </c>
      <c r="N271" s="415"/>
      <c r="O271" s="424">
        <f t="shared" si="805"/>
        <v>0</v>
      </c>
      <c r="P271" s="425"/>
      <c r="Q271" s="1340">
        <f t="shared" si="773"/>
        <v>0</v>
      </c>
      <c r="R271" s="426"/>
      <c r="S271" s="426"/>
      <c r="T271" s="427">
        <f t="shared" si="806"/>
        <v>0</v>
      </c>
      <c r="U271" s="418">
        <f t="shared" si="807"/>
        <v>0</v>
      </c>
      <c r="V271" s="517">
        <f t="shared" si="808"/>
        <v>0</v>
      </c>
      <c r="W271" s="428">
        <f t="shared" si="809"/>
        <v>0</v>
      </c>
      <c r="X271" s="429">
        <f t="shared" si="810"/>
        <v>0</v>
      </c>
      <c r="Y271" s="92"/>
      <c r="AA271" s="578"/>
      <c r="AB271" s="578"/>
      <c r="AC271" s="578"/>
      <c r="AD271" s="578"/>
      <c r="AE271" s="578"/>
      <c r="AF271" s="579"/>
      <c r="AG271" s="579"/>
      <c r="AH271" s="579"/>
      <c r="AI271" s="579"/>
      <c r="AJ271" s="579"/>
      <c r="AK271" s="579"/>
      <c r="AL271" s="1563"/>
      <c r="AM271" s="579"/>
      <c r="AN271" s="579"/>
      <c r="AO271" s="579"/>
      <c r="AP271" s="579"/>
      <c r="AQ271" s="579"/>
      <c r="AR271" s="579"/>
      <c r="AS271" s="579"/>
      <c r="AT271" s="579"/>
      <c r="AU271" s="579"/>
      <c r="AV271" s="579"/>
      <c r="AW271" s="579"/>
      <c r="AX271" s="579"/>
      <c r="AY271" s="579"/>
      <c r="AZ271" s="579"/>
      <c r="BA271" s="579"/>
      <c r="BB271" s="594"/>
      <c r="BC271" s="579"/>
      <c r="BD271" s="579"/>
      <c r="BE271" s="579"/>
      <c r="BF271" s="579"/>
      <c r="BG271" s="579"/>
      <c r="BH271" s="579"/>
      <c r="BI271" s="579"/>
      <c r="BJ271" s="579"/>
      <c r="BK271" s="579"/>
      <c r="BL271" s="579"/>
      <c r="BM271" s="579"/>
      <c r="BN271" s="579"/>
      <c r="BO271" s="579"/>
      <c r="BP271" s="579"/>
      <c r="BQ271" s="579"/>
      <c r="BR271" s="594"/>
      <c r="BS271" s="579"/>
      <c r="BT271" s="579"/>
      <c r="BU271" s="579"/>
      <c r="BV271" s="579"/>
      <c r="BW271" s="579"/>
      <c r="BX271" s="579"/>
      <c r="BY271" s="579"/>
      <c r="BZ271" s="579"/>
      <c r="CA271" s="579"/>
      <c r="CB271" s="579"/>
      <c r="CC271" s="579"/>
      <c r="CD271" s="579"/>
      <c r="CE271" s="579"/>
      <c r="CF271" s="579"/>
      <c r="CG271" s="579"/>
      <c r="CH271" s="579"/>
      <c r="CI271" s="579"/>
      <c r="CJ271" s="594">
        <f>+Q271</f>
        <v>0</v>
      </c>
      <c r="CK271" s="579"/>
      <c r="CL271" s="579"/>
      <c r="CM271" s="579"/>
      <c r="CN271" s="579"/>
      <c r="CO271" s="579"/>
      <c r="CP271" s="579"/>
      <c r="CQ271" s="579"/>
      <c r="CR271" s="579"/>
      <c r="CS271" s="579"/>
      <c r="CT271" s="579"/>
      <c r="CU271" s="579"/>
      <c r="CV271" s="579"/>
      <c r="CW271" s="579"/>
      <c r="CX271" s="579"/>
      <c r="CY271" s="579"/>
      <c r="CZ271" s="579"/>
      <c r="DA271" s="579"/>
      <c r="DB271" s="579"/>
      <c r="DC271" s="579"/>
      <c r="DD271" s="579"/>
      <c r="DE271" s="579"/>
      <c r="DF271" s="579"/>
      <c r="DG271" s="579"/>
      <c r="DH271" s="579"/>
      <c r="DI271" s="579"/>
      <c r="DJ271" s="579"/>
      <c r="DK271" s="579"/>
      <c r="DL271" s="579"/>
      <c r="DM271" s="579"/>
      <c r="DN271" s="579"/>
      <c r="DO271" s="579"/>
      <c r="DP271" s="579"/>
    </row>
    <row r="272" spans="1:120" hidden="1" outlineLevel="1">
      <c r="A272" s="55">
        <v>1110052010</v>
      </c>
      <c r="B272" s="90"/>
      <c r="C272" s="91" t="s">
        <v>64</v>
      </c>
      <c r="D272" s="1481"/>
      <c r="E272" s="1482"/>
      <c r="F272" s="420"/>
      <c r="G272" s="1256"/>
      <c r="H272" s="421"/>
      <c r="I272" s="422"/>
      <c r="J272" s="1425">
        <v>1</v>
      </c>
      <c r="K272" s="1426">
        <v>1</v>
      </c>
      <c r="L272" s="1043"/>
      <c r="M272" s="1594">
        <f t="shared" ref="M272" si="819">+L272*J272</f>
        <v>0</v>
      </c>
      <c r="N272" s="415"/>
      <c r="O272" s="424">
        <f t="shared" ref="O272" si="820">+L272*N272</f>
        <v>0</v>
      </c>
      <c r="P272" s="425"/>
      <c r="Q272" s="1340">
        <f t="shared" ref="Q272" si="821">+P272*K272</f>
        <v>0</v>
      </c>
      <c r="R272" s="426"/>
      <c r="S272" s="426"/>
      <c r="T272" s="427">
        <f t="shared" ref="T272" si="822">+P272*S272</f>
        <v>0</v>
      </c>
      <c r="U272" s="418">
        <f t="shared" ref="U272" si="823">+L272+P272+F272</f>
        <v>0</v>
      </c>
      <c r="V272" s="517">
        <f t="shared" ref="V272" si="824">+P272*R272+L272*N272+F272*H272</f>
        <v>0</v>
      </c>
      <c r="W272" s="428">
        <f t="shared" ref="W272" si="825">(IF(R272&gt;S272,(-P272*R272)-(-P272*S272),0))</f>
        <v>0</v>
      </c>
      <c r="X272" s="429">
        <f t="shared" ref="X272" si="826">(IF(R272&lt;S272,(-P272*R272)-(-P272*S272),0))</f>
        <v>0</v>
      </c>
      <c r="Y272" s="92"/>
      <c r="AA272" s="578"/>
      <c r="AB272" s="2121">
        <f t="shared" ref="AB272:AB274" si="827">+Q272</f>
        <v>0</v>
      </c>
      <c r="AC272" s="578"/>
      <c r="AD272" s="578"/>
      <c r="AE272" s="578"/>
      <c r="AF272" s="579"/>
      <c r="AG272" s="579"/>
      <c r="AH272" s="579"/>
      <c r="AI272" s="579"/>
      <c r="AJ272" s="579"/>
      <c r="AK272" s="579"/>
      <c r="AL272" s="1563"/>
      <c r="AM272" s="579"/>
      <c r="AN272" s="579"/>
      <c r="AO272" s="579"/>
      <c r="AP272" s="579"/>
      <c r="AQ272" s="579"/>
      <c r="AR272" s="579"/>
      <c r="AS272" s="579"/>
      <c r="AT272" s="579"/>
      <c r="AU272" s="579"/>
      <c r="AV272" s="579"/>
      <c r="AW272" s="579"/>
      <c r="AX272" s="579"/>
      <c r="AY272" s="579"/>
      <c r="AZ272" s="579"/>
      <c r="BA272" s="579"/>
      <c r="BB272" s="594"/>
      <c r="BC272" s="579"/>
      <c r="BD272" s="579"/>
      <c r="BE272" s="579"/>
      <c r="BF272" s="579"/>
      <c r="BG272" s="579"/>
      <c r="BH272" s="579"/>
      <c r="BI272" s="579"/>
      <c r="BJ272" s="579"/>
      <c r="BK272" s="579"/>
      <c r="BL272" s="579"/>
      <c r="BM272" s="579"/>
      <c r="BN272" s="579"/>
      <c r="BO272" s="579"/>
      <c r="BP272" s="579"/>
      <c r="BQ272" s="579"/>
      <c r="BR272" s="594"/>
      <c r="BS272" s="579"/>
      <c r="BT272" s="579"/>
      <c r="BU272" s="579"/>
      <c r="BV272" s="579"/>
      <c r="BW272" s="579"/>
      <c r="BX272" s="579"/>
      <c r="BY272" s="579"/>
      <c r="BZ272" s="579"/>
      <c r="CA272" s="579"/>
      <c r="CB272" s="579"/>
      <c r="CC272" s="579"/>
      <c r="CD272" s="579"/>
      <c r="CE272" s="579"/>
      <c r="CF272" s="579"/>
      <c r="CG272" s="579"/>
      <c r="CH272" s="579"/>
      <c r="CI272" s="579"/>
      <c r="CJ272" s="579"/>
      <c r="CK272" s="579"/>
      <c r="CL272" s="579"/>
      <c r="CM272" s="579"/>
      <c r="CN272" s="579"/>
      <c r="CO272" s="579"/>
      <c r="CP272" s="579"/>
      <c r="CQ272" s="579"/>
      <c r="CR272" s="579"/>
      <c r="CS272" s="579"/>
      <c r="CT272" s="579"/>
      <c r="CU272" s="579"/>
      <c r="CV272" s="579"/>
      <c r="CW272" s="579"/>
      <c r="CX272" s="579"/>
      <c r="CY272" s="579"/>
      <c r="CZ272" s="579"/>
      <c r="DA272" s="579"/>
      <c r="DB272" s="579"/>
      <c r="DC272" s="579"/>
      <c r="DD272" s="579"/>
      <c r="DE272" s="579"/>
      <c r="DF272" s="579"/>
      <c r="DG272" s="579"/>
      <c r="DH272" s="579"/>
      <c r="DI272" s="579"/>
      <c r="DJ272" s="579"/>
      <c r="DK272" s="579"/>
      <c r="DL272" s="579"/>
      <c r="DM272" s="579"/>
      <c r="DN272" s="579"/>
      <c r="DO272" s="579"/>
      <c r="DP272" s="579"/>
    </row>
    <row r="273" spans="1:120" hidden="1" outlineLevel="1">
      <c r="A273" s="55">
        <v>1110052010</v>
      </c>
      <c r="B273" s="90"/>
      <c r="C273" s="91" t="s">
        <v>64</v>
      </c>
      <c r="D273" s="1481"/>
      <c r="E273" s="1482"/>
      <c r="F273" s="420"/>
      <c r="G273" s="1256"/>
      <c r="H273" s="421"/>
      <c r="I273" s="422"/>
      <c r="J273" s="1425">
        <v>1</v>
      </c>
      <c r="K273" s="1426">
        <v>1</v>
      </c>
      <c r="L273" s="1043"/>
      <c r="M273" s="1594">
        <f t="shared" si="771"/>
        <v>0</v>
      </c>
      <c r="N273" s="415"/>
      <c r="O273" s="424">
        <f t="shared" si="805"/>
        <v>0</v>
      </c>
      <c r="P273" s="425"/>
      <c r="Q273" s="1340">
        <f t="shared" si="773"/>
        <v>0</v>
      </c>
      <c r="R273" s="426"/>
      <c r="S273" s="426"/>
      <c r="T273" s="427">
        <f t="shared" si="806"/>
        <v>0</v>
      </c>
      <c r="U273" s="418">
        <f t="shared" si="807"/>
        <v>0</v>
      </c>
      <c r="V273" s="517">
        <f t="shared" si="808"/>
        <v>0</v>
      </c>
      <c r="W273" s="428">
        <f t="shared" si="809"/>
        <v>0</v>
      </c>
      <c r="X273" s="429">
        <f t="shared" si="810"/>
        <v>0</v>
      </c>
      <c r="Y273" s="92"/>
      <c r="AA273" s="578"/>
      <c r="AB273" s="2121">
        <f t="shared" si="827"/>
        <v>0</v>
      </c>
      <c r="AC273" s="578"/>
      <c r="AD273" s="578"/>
      <c r="AE273" s="578"/>
      <c r="AF273" s="579"/>
      <c r="AG273" s="579"/>
      <c r="AH273" s="579"/>
      <c r="AI273" s="579"/>
      <c r="AJ273" s="579"/>
      <c r="AK273" s="579"/>
      <c r="AL273" s="1563"/>
      <c r="AM273" s="579"/>
      <c r="AN273" s="579"/>
      <c r="AO273" s="579"/>
      <c r="AP273" s="579"/>
      <c r="AQ273" s="579"/>
      <c r="AR273" s="579"/>
      <c r="AS273" s="579"/>
      <c r="AT273" s="579"/>
      <c r="AU273" s="579"/>
      <c r="AV273" s="579"/>
      <c r="AW273" s="579"/>
      <c r="AX273" s="579"/>
      <c r="AY273" s="579"/>
      <c r="AZ273" s="579"/>
      <c r="BA273" s="579"/>
      <c r="BB273" s="594"/>
      <c r="BC273" s="579"/>
      <c r="BD273" s="579"/>
      <c r="BE273" s="579"/>
      <c r="BF273" s="579"/>
      <c r="BG273" s="579"/>
      <c r="BH273" s="579"/>
      <c r="BI273" s="579"/>
      <c r="BJ273" s="579"/>
      <c r="BK273" s="579"/>
      <c r="BL273" s="579"/>
      <c r="BM273" s="579"/>
      <c r="BN273" s="594"/>
      <c r="BO273" s="579"/>
      <c r="BP273" s="579"/>
      <c r="BQ273" s="579"/>
      <c r="BR273" s="579"/>
      <c r="BS273" s="579"/>
      <c r="BT273" s="579"/>
      <c r="BU273" s="579"/>
      <c r="BV273" s="579"/>
      <c r="BW273" s="579"/>
      <c r="BX273" s="579"/>
      <c r="BY273" s="579"/>
      <c r="BZ273" s="579"/>
      <c r="CA273" s="579"/>
      <c r="CB273" s="579"/>
      <c r="CC273" s="579"/>
      <c r="CD273" s="579"/>
      <c r="CE273" s="579"/>
      <c r="CF273" s="579"/>
      <c r="CG273" s="579"/>
      <c r="CH273" s="579"/>
      <c r="CI273" s="579"/>
      <c r="CJ273" s="579"/>
      <c r="CK273" s="579"/>
      <c r="CL273" s="579"/>
      <c r="CM273" s="579"/>
      <c r="CN273" s="579"/>
      <c r="CO273" s="579"/>
      <c r="CP273" s="579"/>
      <c r="CQ273" s="579"/>
      <c r="CR273" s="579"/>
      <c r="CS273" s="579"/>
      <c r="CT273" s="579"/>
      <c r="CU273" s="579"/>
      <c r="CV273" s="579"/>
      <c r="CW273" s="579"/>
      <c r="CX273" s="579"/>
      <c r="CY273" s="579"/>
      <c r="CZ273" s="579"/>
      <c r="DA273" s="579"/>
      <c r="DB273" s="579"/>
      <c r="DC273" s="579"/>
      <c r="DD273" s="579"/>
      <c r="DE273" s="579"/>
      <c r="DF273" s="579"/>
      <c r="DG273" s="579"/>
      <c r="DH273" s="579"/>
      <c r="DI273" s="579"/>
      <c r="DJ273" s="579"/>
      <c r="DK273" s="579"/>
      <c r="DL273" s="579"/>
      <c r="DM273" s="579"/>
      <c r="DN273" s="579"/>
      <c r="DO273" s="579"/>
      <c r="DP273" s="579"/>
    </row>
    <row r="274" spans="1:120" hidden="1" outlineLevel="1">
      <c r="A274" s="55">
        <v>1110052010</v>
      </c>
      <c r="B274" s="90"/>
      <c r="C274" s="91" t="s">
        <v>64</v>
      </c>
      <c r="D274" s="1481"/>
      <c r="E274" s="1482"/>
      <c r="F274" s="420"/>
      <c r="G274" s="1256"/>
      <c r="H274" s="421"/>
      <c r="I274" s="422"/>
      <c r="J274" s="1425">
        <v>1</v>
      </c>
      <c r="K274" s="1426">
        <v>1</v>
      </c>
      <c r="L274" s="1043"/>
      <c r="M274" s="1594">
        <f t="shared" si="771"/>
        <v>0</v>
      </c>
      <c r="N274" s="415"/>
      <c r="O274" s="424">
        <f t="shared" si="805"/>
        <v>0</v>
      </c>
      <c r="P274" s="425"/>
      <c r="Q274" s="1340">
        <f t="shared" si="773"/>
        <v>0</v>
      </c>
      <c r="R274" s="426"/>
      <c r="S274" s="426"/>
      <c r="T274" s="427">
        <f t="shared" si="806"/>
        <v>0</v>
      </c>
      <c r="U274" s="418">
        <f t="shared" si="807"/>
        <v>0</v>
      </c>
      <c r="V274" s="517">
        <f t="shared" si="808"/>
        <v>0</v>
      </c>
      <c r="W274" s="428">
        <f t="shared" si="809"/>
        <v>0</v>
      </c>
      <c r="X274" s="429">
        <f t="shared" si="810"/>
        <v>0</v>
      </c>
      <c r="Y274" s="92"/>
      <c r="AA274" s="578"/>
      <c r="AB274" s="2121">
        <f t="shared" si="827"/>
        <v>0</v>
      </c>
      <c r="AC274" s="578"/>
      <c r="AD274" s="578"/>
      <c r="AE274" s="578"/>
      <c r="AF274" s="579"/>
      <c r="AG274" s="579"/>
      <c r="AH274" s="579"/>
      <c r="AI274" s="579"/>
      <c r="AJ274" s="579"/>
      <c r="AK274" s="579"/>
      <c r="AL274" s="1563"/>
      <c r="AM274" s="579"/>
      <c r="AN274" s="579"/>
      <c r="AO274" s="579"/>
      <c r="AP274" s="579"/>
      <c r="AQ274" s="579"/>
      <c r="AR274" s="579"/>
      <c r="AS274" s="579"/>
      <c r="AT274" s="579"/>
      <c r="AU274" s="579"/>
      <c r="AV274" s="579"/>
      <c r="AW274" s="579"/>
      <c r="AX274" s="579"/>
      <c r="AY274" s="579"/>
      <c r="AZ274" s="579"/>
      <c r="BA274" s="579"/>
      <c r="BB274" s="594"/>
      <c r="BC274" s="579"/>
      <c r="BD274" s="579"/>
      <c r="BE274" s="579"/>
      <c r="BF274" s="579"/>
      <c r="BG274" s="579"/>
      <c r="BH274" s="579"/>
      <c r="BI274" s="579"/>
      <c r="BJ274" s="579"/>
      <c r="BK274" s="579"/>
      <c r="BL274" s="579"/>
      <c r="BM274" s="579"/>
      <c r="BN274" s="579"/>
      <c r="BO274" s="579"/>
      <c r="BP274" s="579"/>
      <c r="BQ274" s="579"/>
      <c r="BR274" s="594"/>
      <c r="BS274" s="579"/>
      <c r="BT274" s="579"/>
      <c r="BU274" s="579"/>
      <c r="BV274" s="579"/>
      <c r="BW274" s="579"/>
      <c r="BX274" s="579"/>
      <c r="BY274" s="579"/>
      <c r="BZ274" s="579"/>
      <c r="CA274" s="579"/>
      <c r="CB274" s="579"/>
      <c r="CC274" s="579"/>
      <c r="CD274" s="579"/>
      <c r="CE274" s="579"/>
      <c r="CF274" s="579"/>
      <c r="CG274" s="579"/>
      <c r="CH274" s="579"/>
      <c r="CI274" s="579"/>
      <c r="CJ274" s="579"/>
      <c r="CK274" s="579"/>
      <c r="CL274" s="579"/>
      <c r="CM274" s="579"/>
      <c r="CN274" s="579"/>
      <c r="CO274" s="579"/>
      <c r="CP274" s="579"/>
      <c r="CQ274" s="579"/>
      <c r="CR274" s="579"/>
      <c r="CS274" s="579"/>
      <c r="CT274" s="579"/>
      <c r="CU274" s="579"/>
      <c r="CV274" s="579"/>
      <c r="CW274" s="579"/>
      <c r="CX274" s="579"/>
      <c r="CY274" s="579"/>
      <c r="CZ274" s="579"/>
      <c r="DA274" s="579"/>
      <c r="DB274" s="579"/>
      <c r="DC274" s="579"/>
      <c r="DD274" s="579"/>
      <c r="DE274" s="579"/>
      <c r="DF274" s="579"/>
      <c r="DG274" s="579"/>
      <c r="DH274" s="579"/>
      <c r="DI274" s="579"/>
      <c r="DJ274" s="579"/>
      <c r="DK274" s="579"/>
      <c r="DL274" s="579"/>
      <c r="DM274" s="579"/>
      <c r="DN274" s="579"/>
      <c r="DO274" s="579"/>
      <c r="DP274" s="579"/>
    </row>
    <row r="275" spans="1:120" hidden="1" outlineLevel="1">
      <c r="A275" s="55"/>
      <c r="B275" s="509"/>
      <c r="C275" s="510"/>
      <c r="D275" s="1469"/>
      <c r="E275" s="1470"/>
      <c r="F275" s="416"/>
      <c r="G275" s="1251"/>
      <c r="H275" s="511"/>
      <c r="I275" s="512"/>
      <c r="J275" s="1383"/>
      <c r="K275" s="1383"/>
      <c r="L275" s="419"/>
      <c r="M275" s="1600"/>
      <c r="N275" s="504"/>
      <c r="O275" s="513">
        <f t="shared" si="772"/>
        <v>0</v>
      </c>
      <c r="P275" s="431"/>
      <c r="Q275" s="514"/>
      <c r="R275" s="515"/>
      <c r="S275" s="515"/>
      <c r="T275" s="562">
        <f t="shared" si="752"/>
        <v>0</v>
      </c>
      <c r="U275" s="418">
        <f>+L275+P275+F275</f>
        <v>0</v>
      </c>
      <c r="V275" s="517">
        <f>+P275*R275+L275*N275+F275*H275</f>
        <v>0</v>
      </c>
      <c r="W275" s="976">
        <f t="shared" si="754"/>
        <v>0</v>
      </c>
      <c r="X275" s="975">
        <f t="shared" si="755"/>
        <v>0</v>
      </c>
      <c r="Y275" s="519"/>
      <c r="AA275" s="578"/>
      <c r="AB275" s="578"/>
      <c r="AC275" s="578"/>
      <c r="AD275" s="578"/>
      <c r="AE275" s="578"/>
      <c r="AF275" s="579"/>
      <c r="AG275" s="579"/>
      <c r="AH275" s="579"/>
      <c r="AI275" s="579"/>
      <c r="AJ275" s="579"/>
      <c r="AK275" s="579"/>
      <c r="AL275" s="1563"/>
      <c r="AM275" s="579"/>
      <c r="AN275" s="579"/>
      <c r="AO275" s="579"/>
      <c r="AP275" s="579"/>
      <c r="AQ275" s="579"/>
      <c r="AR275" s="579"/>
      <c r="AS275" s="579"/>
      <c r="AT275" s="579"/>
      <c r="AU275" s="579"/>
      <c r="AV275" s="579"/>
      <c r="AW275" s="579"/>
      <c r="AX275" s="579"/>
      <c r="AY275" s="579"/>
      <c r="AZ275" s="579"/>
      <c r="BA275" s="579"/>
      <c r="BB275" s="579"/>
      <c r="BC275" s="579"/>
      <c r="BD275" s="579"/>
      <c r="BE275" s="579"/>
      <c r="BF275" s="579"/>
      <c r="BG275" s="579"/>
      <c r="BH275" s="579"/>
      <c r="BI275" s="579"/>
      <c r="BJ275" s="579"/>
      <c r="BK275" s="579"/>
      <c r="BL275" s="579"/>
      <c r="BM275" s="579"/>
      <c r="BN275" s="579"/>
      <c r="BO275" s="579"/>
      <c r="BP275" s="579"/>
      <c r="BQ275" s="579"/>
      <c r="BR275" s="579"/>
      <c r="BS275" s="579"/>
      <c r="BT275" s="579"/>
      <c r="BU275" s="579"/>
      <c r="BV275" s="579"/>
      <c r="BW275" s="579"/>
      <c r="BX275" s="579"/>
      <c r="BY275" s="579"/>
      <c r="BZ275" s="579"/>
      <c r="CA275" s="579"/>
      <c r="CB275" s="579"/>
      <c r="CC275" s="579"/>
      <c r="CD275" s="579"/>
      <c r="CE275" s="579"/>
      <c r="CF275" s="579"/>
      <c r="CG275" s="579"/>
      <c r="CH275" s="579"/>
      <c r="CI275" s="579"/>
      <c r="CJ275" s="579"/>
      <c r="CK275" s="579"/>
      <c r="CL275" s="579"/>
      <c r="CM275" s="579"/>
      <c r="CN275" s="579"/>
      <c r="CO275" s="579"/>
      <c r="CP275" s="579"/>
      <c r="CQ275" s="579"/>
      <c r="CR275" s="579"/>
      <c r="CS275" s="579"/>
      <c r="CT275" s="579"/>
      <c r="CU275" s="579"/>
      <c r="CV275" s="579"/>
      <c r="CW275" s="579"/>
      <c r="CX275" s="579"/>
      <c r="CY275" s="579"/>
      <c r="CZ275" s="579"/>
      <c r="DA275" s="579"/>
      <c r="DB275" s="579"/>
      <c r="DC275" s="579"/>
      <c r="DD275" s="579"/>
      <c r="DE275" s="579"/>
      <c r="DF275" s="579"/>
      <c r="DG275" s="579"/>
      <c r="DH275" s="579"/>
      <c r="DI275" s="579"/>
      <c r="DJ275" s="579"/>
      <c r="DK275" s="579"/>
      <c r="DL275" s="579"/>
      <c r="DM275" s="579"/>
      <c r="DN275" s="579"/>
      <c r="DO275" s="579"/>
      <c r="DP275" s="579"/>
    </row>
    <row r="276" spans="1:120" ht="16.5" collapsed="1" thickBot="1">
      <c r="A276" s="62" t="s">
        <v>232</v>
      </c>
      <c r="B276" s="63"/>
      <c r="C276" s="64"/>
      <c r="D276" s="1473"/>
      <c r="E276" s="1474"/>
      <c r="F276" s="66">
        <f>SUM(F246:F275)</f>
        <v>0</v>
      </c>
      <c r="G276" s="1253"/>
      <c r="H276" s="67"/>
      <c r="I276" s="68">
        <f>SUM(I246:I275)</f>
        <v>0</v>
      </c>
      <c r="J276" s="1376"/>
      <c r="K276" s="76"/>
      <c r="L276" s="1051">
        <f>SUM(L246:L275)</f>
        <v>0</v>
      </c>
      <c r="M276" s="1598"/>
      <c r="N276" s="70"/>
      <c r="O276" s="71">
        <f>SUM(O246:O275)</f>
        <v>0</v>
      </c>
      <c r="P276" s="72">
        <f>SUM(P246:P275)</f>
        <v>0</v>
      </c>
      <c r="Q276" s="1339"/>
      <c r="R276" s="73"/>
      <c r="S276" s="73"/>
      <c r="T276" s="96">
        <f>SUM(T246:T275)</f>
        <v>0</v>
      </c>
      <c r="U276" s="66">
        <f>SUM(U246:U275)</f>
        <v>0</v>
      </c>
      <c r="V276" s="76">
        <f>SUM(V246:V275)</f>
        <v>0</v>
      </c>
      <c r="W276" s="97">
        <f>SUM(W246:W275)</f>
        <v>0</v>
      </c>
      <c r="X276" s="98">
        <f>SUM(X246:X275)</f>
        <v>0</v>
      </c>
      <c r="Y276" s="43"/>
      <c r="AA276" s="130">
        <f t="shared" ref="AA276:BF276" ca="1" si="828">SUM(AA244:AA275)</f>
        <v>-2.7939677238464355E-9</v>
      </c>
      <c r="AB276" s="130">
        <f t="shared" ca="1" si="828"/>
        <v>0</v>
      </c>
      <c r="AC276" s="130">
        <f t="shared" ca="1" si="828"/>
        <v>0</v>
      </c>
      <c r="AD276" s="130">
        <f t="shared" ca="1" si="828"/>
        <v>0</v>
      </c>
      <c r="AE276" s="130">
        <f t="shared" ca="1" si="828"/>
        <v>0</v>
      </c>
      <c r="AF276" s="130">
        <f t="shared" ca="1" si="828"/>
        <v>0</v>
      </c>
      <c r="AG276" s="130">
        <f t="shared" ca="1" si="828"/>
        <v>0</v>
      </c>
      <c r="AH276" s="130">
        <f t="shared" ca="1" si="828"/>
        <v>0</v>
      </c>
      <c r="AI276" s="130">
        <f t="shared" ca="1" si="828"/>
        <v>0</v>
      </c>
      <c r="AJ276" s="130">
        <f t="shared" ca="1" si="828"/>
        <v>-2.3283064365386963E-10</v>
      </c>
      <c r="AK276" s="130">
        <f t="shared" ca="1" si="828"/>
        <v>-2.3283064365386963E-10</v>
      </c>
      <c r="AL276" s="130">
        <f t="shared" ca="1" si="828"/>
        <v>0</v>
      </c>
      <c r="AM276" s="130">
        <f t="shared" ca="1" si="828"/>
        <v>2.3283064365386963E-10</v>
      </c>
      <c r="AN276" s="130">
        <f t="shared" ca="1" si="828"/>
        <v>0</v>
      </c>
      <c r="AO276" s="130">
        <f t="shared" ca="1" si="828"/>
        <v>0</v>
      </c>
      <c r="AP276" s="130">
        <f t="shared" ca="1" si="828"/>
        <v>0</v>
      </c>
      <c r="AQ276" s="130">
        <f t="shared" ca="1" si="828"/>
        <v>0</v>
      </c>
      <c r="AR276" s="130">
        <f t="shared" ca="1" si="828"/>
        <v>0</v>
      </c>
      <c r="AS276" s="130">
        <f t="shared" ca="1" si="828"/>
        <v>-4.3655745685100555E-11</v>
      </c>
      <c r="AT276" s="130">
        <f t="shared" ca="1" si="828"/>
        <v>0</v>
      </c>
      <c r="AU276" s="130">
        <f t="shared" ca="1" si="828"/>
        <v>0</v>
      </c>
      <c r="AV276" s="130">
        <f t="shared" ca="1" si="828"/>
        <v>-2.3283064365386963E-10</v>
      </c>
      <c r="AW276" s="130">
        <f t="shared" ca="1" si="828"/>
        <v>-2.3283064365386963E-10</v>
      </c>
      <c r="AX276" s="130">
        <f t="shared" ca="1" si="828"/>
        <v>0</v>
      </c>
      <c r="AY276" s="130">
        <f t="shared" ca="1" si="828"/>
        <v>0</v>
      </c>
      <c r="AZ276" s="130">
        <f t="shared" ca="1" si="828"/>
        <v>0</v>
      </c>
      <c r="BA276" s="130">
        <f t="shared" ca="1" si="828"/>
        <v>1375193.1800000004</v>
      </c>
      <c r="BB276" s="130">
        <f t="shared" ca="1" si="828"/>
        <v>0</v>
      </c>
      <c r="BC276" s="130">
        <f t="shared" ca="1" si="828"/>
        <v>0</v>
      </c>
      <c r="BD276" s="130">
        <f t="shared" ca="1" si="828"/>
        <v>0</v>
      </c>
      <c r="BE276" s="130">
        <f t="shared" ca="1" si="828"/>
        <v>0</v>
      </c>
      <c r="BF276" s="130">
        <f t="shared" ca="1" si="828"/>
        <v>0</v>
      </c>
      <c r="BG276" s="130">
        <f t="shared" ref="BG276:CL276" ca="1" si="829">SUM(BG244:BG275)</f>
        <v>0</v>
      </c>
      <c r="BH276" s="130">
        <f t="shared" ca="1" si="829"/>
        <v>0</v>
      </c>
      <c r="BI276" s="130">
        <f t="shared" ca="1" si="829"/>
        <v>0</v>
      </c>
      <c r="BJ276" s="130">
        <f t="shared" ca="1" si="829"/>
        <v>0</v>
      </c>
      <c r="BK276" s="130">
        <f t="shared" ca="1" si="829"/>
        <v>0</v>
      </c>
      <c r="BL276" s="130">
        <f t="shared" ca="1" si="829"/>
        <v>0</v>
      </c>
      <c r="BM276" s="130">
        <f t="shared" ca="1" si="829"/>
        <v>0</v>
      </c>
      <c r="BN276" s="130">
        <f t="shared" ca="1" si="829"/>
        <v>0</v>
      </c>
      <c r="BO276" s="130">
        <f t="shared" ca="1" si="829"/>
        <v>0</v>
      </c>
      <c r="BP276" s="130">
        <f t="shared" ca="1" si="829"/>
        <v>0</v>
      </c>
      <c r="BQ276" s="130">
        <f t="shared" ca="1" si="829"/>
        <v>0</v>
      </c>
      <c r="BR276" s="130">
        <f t="shared" ca="1" si="829"/>
        <v>0</v>
      </c>
      <c r="BS276" s="130">
        <f t="shared" ca="1" si="829"/>
        <v>0</v>
      </c>
      <c r="BT276" s="130">
        <f t="shared" ca="1" si="829"/>
        <v>0</v>
      </c>
      <c r="BU276" s="130">
        <f t="shared" ca="1" si="829"/>
        <v>0</v>
      </c>
      <c r="BV276" s="130">
        <f t="shared" ca="1" si="829"/>
        <v>0</v>
      </c>
      <c r="BW276" s="130">
        <f t="shared" ca="1" si="829"/>
        <v>0</v>
      </c>
      <c r="BX276" s="130">
        <f t="shared" ca="1" si="829"/>
        <v>0</v>
      </c>
      <c r="BY276" s="130">
        <f t="shared" ca="1" si="829"/>
        <v>0</v>
      </c>
      <c r="BZ276" s="130">
        <f t="shared" ca="1" si="829"/>
        <v>0</v>
      </c>
      <c r="CA276" s="130">
        <f t="shared" ca="1" si="829"/>
        <v>0</v>
      </c>
      <c r="CB276" s="130">
        <f t="shared" ca="1" si="829"/>
        <v>0</v>
      </c>
      <c r="CC276" s="130">
        <f t="shared" ca="1" si="829"/>
        <v>4.0972736314870402E-10</v>
      </c>
      <c r="CD276" s="130">
        <f t="shared" ca="1" si="829"/>
        <v>0</v>
      </c>
      <c r="CE276" s="130">
        <f t="shared" ca="1" si="829"/>
        <v>0</v>
      </c>
      <c r="CF276" s="130">
        <f t="shared" ca="1" si="829"/>
        <v>0</v>
      </c>
      <c r="CG276" s="130">
        <f t="shared" ca="1" si="829"/>
        <v>0</v>
      </c>
      <c r="CH276" s="130">
        <f t="shared" ca="1" si="829"/>
        <v>0</v>
      </c>
      <c r="CI276" s="130">
        <f t="shared" ca="1" si="829"/>
        <v>0</v>
      </c>
      <c r="CJ276" s="130">
        <f t="shared" ca="1" si="829"/>
        <v>0</v>
      </c>
      <c r="CK276" s="130">
        <f t="shared" ca="1" si="829"/>
        <v>0</v>
      </c>
      <c r="CL276" s="130">
        <f t="shared" ca="1" si="829"/>
        <v>0</v>
      </c>
      <c r="CM276" s="130">
        <f t="shared" ref="CM276:DM276" ca="1" si="830">SUM(CM244:CM275)</f>
        <v>0</v>
      </c>
      <c r="CN276" s="130">
        <f t="shared" ca="1" si="830"/>
        <v>0</v>
      </c>
      <c r="CO276" s="130">
        <f t="shared" ca="1" si="830"/>
        <v>0</v>
      </c>
      <c r="CP276" s="130">
        <f t="shared" ca="1" si="830"/>
        <v>0</v>
      </c>
      <c r="CQ276" s="130">
        <f t="shared" ca="1" si="830"/>
        <v>0</v>
      </c>
      <c r="CR276" s="130">
        <f t="shared" ca="1" si="830"/>
        <v>0</v>
      </c>
      <c r="CS276" s="130">
        <f t="shared" ca="1" si="830"/>
        <v>0</v>
      </c>
      <c r="CT276" s="130">
        <f t="shared" ca="1" si="830"/>
        <v>0</v>
      </c>
      <c r="CU276" s="130">
        <f t="shared" ca="1" si="830"/>
        <v>0</v>
      </c>
      <c r="CV276" s="130">
        <f t="shared" ca="1" si="830"/>
        <v>0</v>
      </c>
      <c r="CW276" s="130">
        <f t="shared" ca="1" si="830"/>
        <v>0</v>
      </c>
      <c r="CX276" s="130">
        <f t="shared" ca="1" si="830"/>
        <v>0</v>
      </c>
      <c r="CY276" s="130">
        <f t="shared" ca="1" si="830"/>
        <v>0</v>
      </c>
      <c r="CZ276" s="130">
        <f t="shared" ca="1" si="830"/>
        <v>0</v>
      </c>
      <c r="DA276" s="130">
        <f t="shared" ca="1" si="830"/>
        <v>0</v>
      </c>
      <c r="DB276" s="130">
        <f t="shared" ca="1" si="830"/>
        <v>0</v>
      </c>
      <c r="DC276" s="130">
        <f t="shared" ca="1" si="830"/>
        <v>0</v>
      </c>
      <c r="DD276" s="130">
        <f t="shared" ca="1" si="830"/>
        <v>0</v>
      </c>
      <c r="DE276" s="130">
        <f t="shared" ca="1" si="830"/>
        <v>0</v>
      </c>
      <c r="DF276" s="130">
        <f t="shared" ca="1" si="830"/>
        <v>0</v>
      </c>
      <c r="DG276" s="130">
        <f t="shared" ca="1" si="830"/>
        <v>0</v>
      </c>
      <c r="DH276" s="130">
        <f t="shared" ca="1" si="830"/>
        <v>0</v>
      </c>
      <c r="DI276" s="130">
        <f t="shared" ca="1" si="830"/>
        <v>0</v>
      </c>
      <c r="DJ276" s="130">
        <f t="shared" ca="1" si="830"/>
        <v>0</v>
      </c>
      <c r="DK276" s="130">
        <f t="shared" ca="1" si="830"/>
        <v>0</v>
      </c>
      <c r="DL276" s="130">
        <f t="shared" ca="1" si="830"/>
        <v>0</v>
      </c>
      <c r="DM276" s="130">
        <f t="shared" ca="1" si="830"/>
        <v>0</v>
      </c>
      <c r="DN276" s="130">
        <f t="shared" ref="DN276:DO276" ca="1" si="831">SUM(DN244:DN275)</f>
        <v>0</v>
      </c>
      <c r="DO276" s="130">
        <f t="shared" ca="1" si="831"/>
        <v>0</v>
      </c>
      <c r="DP276" s="130">
        <f t="shared" ref="DP276" ca="1" si="832">SUM(DP244:DP275)</f>
        <v>0</v>
      </c>
    </row>
    <row r="277" spans="1:120"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</row>
    <row r="278" spans="1:120" hidden="1" outlineLevel="1">
      <c r="A278" s="532">
        <v>1110052010</v>
      </c>
      <c r="B278" s="573"/>
      <c r="C278" s="534" t="s">
        <v>64</v>
      </c>
      <c r="D278" s="1477"/>
      <c r="E278" s="1478"/>
      <c r="F278" s="535"/>
      <c r="G278" s="1254"/>
      <c r="H278" s="536"/>
      <c r="I278" s="537"/>
      <c r="J278" s="1483">
        <v>1</v>
      </c>
      <c r="K278" s="1484">
        <v>1</v>
      </c>
      <c r="L278" s="1042"/>
      <c r="M278" s="1593">
        <f>+L278*J278</f>
        <v>0</v>
      </c>
      <c r="N278" s="538"/>
      <c r="O278" s="539">
        <f>+L278*N278</f>
        <v>0</v>
      </c>
      <c r="P278" s="540"/>
      <c r="Q278" s="540"/>
      <c r="R278" s="541"/>
      <c r="S278" s="541"/>
      <c r="T278" s="542">
        <f t="shared" ref="T278:T307" si="833">+P278*S278</f>
        <v>0</v>
      </c>
      <c r="U278" s="543">
        <f t="shared" ref="U278:U307" si="834">+L278+P278+F278</f>
        <v>0</v>
      </c>
      <c r="V278" s="544">
        <f>+P278*R278+L278*N278+F278*H278</f>
        <v>0</v>
      </c>
      <c r="W278" s="545">
        <f t="shared" ref="W278:W307" si="835">(IF(R278&gt;S278,(-P278*R278)-(-P278*S278),0))</f>
        <v>0</v>
      </c>
      <c r="X278" s="546">
        <f t="shared" ref="X278:X307" si="836">(IF(R278&lt;S278,(-P278*R278)-(-P278*S278),0))</f>
        <v>0</v>
      </c>
      <c r="Y278" s="547"/>
      <c r="AA278" s="574"/>
      <c r="AB278" s="574"/>
      <c r="AC278" s="574"/>
      <c r="AD278" s="574"/>
      <c r="AE278" s="574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  <c r="AV278" s="575"/>
      <c r="AW278" s="575"/>
      <c r="AX278" s="575"/>
      <c r="AY278" s="575"/>
      <c r="AZ278" s="575"/>
      <c r="BA278" s="575"/>
      <c r="BB278" s="575"/>
      <c r="BC278" s="575"/>
      <c r="BD278" s="575"/>
      <c r="BE278" s="576"/>
      <c r="BF278" s="575"/>
      <c r="BG278" s="575"/>
      <c r="BH278" s="575"/>
      <c r="BI278" s="575"/>
      <c r="BJ278" s="575"/>
      <c r="BK278" s="575"/>
      <c r="BL278" s="575"/>
      <c r="BM278" s="575"/>
      <c r="BN278" s="575"/>
      <c r="BO278" s="575"/>
      <c r="BP278" s="575"/>
      <c r="BQ278" s="575"/>
      <c r="BR278" s="576"/>
      <c r="BS278" s="576"/>
      <c r="BT278" s="575"/>
      <c r="BU278" s="575"/>
      <c r="BV278" s="575"/>
      <c r="BW278" s="575"/>
      <c r="BX278" s="575"/>
      <c r="BY278" s="575"/>
      <c r="BZ278" s="575"/>
      <c r="CA278" s="575"/>
      <c r="CB278" s="575"/>
      <c r="CC278" s="575"/>
      <c r="CD278" s="575"/>
      <c r="CE278" s="575"/>
      <c r="CF278" s="575"/>
      <c r="CG278" s="575"/>
      <c r="CH278" s="575"/>
      <c r="CI278" s="575"/>
      <c r="CJ278" s="575"/>
      <c r="CK278" s="575"/>
      <c r="CL278" s="576">
        <f>+M278</f>
        <v>0</v>
      </c>
      <c r="CM278" s="575"/>
      <c r="CN278" s="575"/>
      <c r="CO278" s="575"/>
      <c r="CP278" s="575"/>
      <c r="CQ278" s="575"/>
      <c r="CR278" s="575"/>
      <c r="CS278" s="575"/>
      <c r="CT278" s="575"/>
      <c r="CU278" s="575"/>
      <c r="CV278" s="575"/>
      <c r="CW278" s="575"/>
      <c r="CX278" s="575"/>
      <c r="CY278" s="575"/>
      <c r="CZ278" s="575"/>
      <c r="DA278" s="575"/>
      <c r="DB278" s="575"/>
      <c r="DC278" s="575"/>
      <c r="DD278" s="575"/>
      <c r="DE278" s="575"/>
      <c r="DF278" s="575"/>
      <c r="DG278" s="575"/>
      <c r="DH278" s="575"/>
      <c r="DI278" s="575"/>
      <c r="DJ278" s="575"/>
      <c r="DK278" s="575"/>
      <c r="DL278" s="575"/>
      <c r="DM278" s="575"/>
      <c r="DN278" s="575"/>
      <c r="DO278" s="575"/>
      <c r="DP278" s="575"/>
    </row>
    <row r="279" spans="1:120" hidden="1" outlineLevel="1">
      <c r="A279" s="89">
        <v>1110052010</v>
      </c>
      <c r="B279" s="90"/>
      <c r="C279" s="91" t="s">
        <v>64</v>
      </c>
      <c r="D279" s="1481"/>
      <c r="E279" s="1482"/>
      <c r="F279" s="420"/>
      <c r="G279" s="1256"/>
      <c r="H279" s="421"/>
      <c r="I279" s="422"/>
      <c r="J279" s="1425">
        <v>1</v>
      </c>
      <c r="K279" s="1426">
        <v>1</v>
      </c>
      <c r="L279" s="423"/>
      <c r="M279" s="1463"/>
      <c r="N279" s="415"/>
      <c r="O279" s="424">
        <f t="shared" ref="O279:O307" si="837">+L279*N279</f>
        <v>0</v>
      </c>
      <c r="P279" s="425"/>
      <c r="Q279" s="1340">
        <f t="shared" ref="Q279" si="838">+P279*K279</f>
        <v>0</v>
      </c>
      <c r="R279" s="426"/>
      <c r="S279" s="426"/>
      <c r="T279" s="427">
        <f t="shared" si="833"/>
        <v>0</v>
      </c>
      <c r="U279" s="418">
        <f t="shared" si="834"/>
        <v>0</v>
      </c>
      <c r="V279" s="517">
        <f t="shared" ref="V279:V289" si="839">+P279*R279+L279*N279+F279*H279</f>
        <v>0</v>
      </c>
      <c r="W279" s="428">
        <f t="shared" si="835"/>
        <v>0</v>
      </c>
      <c r="X279" s="429">
        <f t="shared" si="836"/>
        <v>0</v>
      </c>
      <c r="Y279" s="92"/>
      <c r="AA279" s="578"/>
      <c r="AB279" s="578"/>
      <c r="AC279" s="578"/>
      <c r="AD279" s="578"/>
      <c r="AE279" s="578"/>
      <c r="AF279" s="579"/>
      <c r="AG279" s="579"/>
      <c r="AH279" s="579"/>
      <c r="AI279" s="579"/>
      <c r="AJ279" s="579"/>
      <c r="AK279" s="579"/>
      <c r="AL279" s="1563"/>
      <c r="AM279" s="579"/>
      <c r="AN279" s="579"/>
      <c r="AO279" s="579"/>
      <c r="AP279" s="579"/>
      <c r="AQ279" s="579"/>
      <c r="AR279" s="579"/>
      <c r="AS279" s="579"/>
      <c r="AT279" s="579"/>
      <c r="AU279" s="579"/>
      <c r="AV279" s="579"/>
      <c r="AW279" s="579"/>
      <c r="AX279" s="579"/>
      <c r="AY279" s="579"/>
      <c r="AZ279" s="579"/>
      <c r="BA279" s="579"/>
      <c r="BB279" s="579"/>
      <c r="BC279" s="579"/>
      <c r="BD279" s="579"/>
      <c r="BE279" s="579"/>
      <c r="BF279" s="579"/>
      <c r="BG279" s="595"/>
      <c r="BH279" s="579"/>
      <c r="BI279" s="579"/>
      <c r="BJ279" s="579"/>
      <c r="BK279" s="579"/>
      <c r="BL279" s="579"/>
      <c r="BM279" s="579"/>
      <c r="BN279" s="579"/>
      <c r="BO279" s="579"/>
      <c r="BP279" s="579"/>
      <c r="BQ279" s="579"/>
      <c r="BR279" s="594"/>
      <c r="BS279" s="579"/>
      <c r="BT279" s="579"/>
      <c r="BU279" s="579"/>
      <c r="BV279" s="579"/>
      <c r="BW279" s="579"/>
      <c r="BX279" s="579"/>
      <c r="BY279" s="579"/>
      <c r="BZ279" s="579"/>
      <c r="CA279" s="579"/>
      <c r="CB279" s="579"/>
      <c r="CC279" s="579"/>
      <c r="CD279" s="579"/>
      <c r="CE279" s="579"/>
      <c r="CF279" s="579"/>
      <c r="CG279" s="579"/>
      <c r="CH279" s="595"/>
      <c r="CI279" s="579"/>
      <c r="CJ279" s="579"/>
      <c r="CK279" s="579"/>
      <c r="CL279" s="594">
        <f>+Q279</f>
        <v>0</v>
      </c>
      <c r="CM279" s="579"/>
      <c r="CN279" s="579"/>
      <c r="CO279" s="579"/>
      <c r="CP279" s="579"/>
      <c r="CQ279" s="579"/>
      <c r="CR279" s="579"/>
      <c r="CS279" s="579"/>
      <c r="CT279" s="579"/>
      <c r="CU279" s="579"/>
      <c r="CV279" s="579"/>
      <c r="CW279" s="579"/>
      <c r="CX279" s="579"/>
      <c r="CY279" s="579"/>
      <c r="CZ279" s="579"/>
      <c r="DA279" s="579"/>
      <c r="DB279" s="579"/>
      <c r="DC279" s="579"/>
      <c r="DD279" s="579"/>
      <c r="DE279" s="579"/>
      <c r="DF279" s="579"/>
      <c r="DG279" s="579"/>
      <c r="DH279" s="579"/>
      <c r="DI279" s="579"/>
      <c r="DJ279" s="579"/>
      <c r="DK279" s="579"/>
      <c r="DL279" s="579"/>
      <c r="DM279" s="579"/>
      <c r="DN279" s="579"/>
      <c r="DO279" s="579"/>
      <c r="DP279" s="579"/>
    </row>
    <row r="280" spans="1:120" hidden="1" outlineLevel="1">
      <c r="A280" s="89">
        <v>1110052010</v>
      </c>
      <c r="B280" s="90"/>
      <c r="C280" s="91" t="s">
        <v>64</v>
      </c>
      <c r="D280" s="1481"/>
      <c r="E280" s="1482"/>
      <c r="F280" s="420"/>
      <c r="G280" s="1256"/>
      <c r="H280" s="421"/>
      <c r="I280" s="422"/>
      <c r="J280" s="1425">
        <v>1</v>
      </c>
      <c r="K280" s="1426">
        <v>1</v>
      </c>
      <c r="L280" s="423"/>
      <c r="M280" s="1463"/>
      <c r="N280" s="415"/>
      <c r="O280" s="424">
        <f t="shared" ref="O280" si="840">+L280*N280</f>
        <v>0</v>
      </c>
      <c r="P280" s="425"/>
      <c r="Q280" s="1340">
        <f t="shared" ref="Q280" si="841">+P280*K280</f>
        <v>0</v>
      </c>
      <c r="R280" s="426"/>
      <c r="S280" s="426"/>
      <c r="T280" s="427">
        <f t="shared" ref="T280" si="842">+P280*S280</f>
        <v>0</v>
      </c>
      <c r="U280" s="418">
        <f t="shared" ref="U280" si="843">+L280+P280+F280</f>
        <v>0</v>
      </c>
      <c r="V280" s="517">
        <f t="shared" ref="V280" si="844">+P280*R280+L280*N280+F280*H280</f>
        <v>0</v>
      </c>
      <c r="W280" s="428">
        <f t="shared" ref="W280" si="845">(IF(R280&gt;S280,(-P280*R280)-(-P280*S280),0))</f>
        <v>0</v>
      </c>
      <c r="X280" s="429">
        <f t="shared" ref="X280" si="846">(IF(R280&lt;S280,(-P280*R280)-(-P280*S280),0))</f>
        <v>0</v>
      </c>
      <c r="Y280" s="92"/>
      <c r="AA280" s="578"/>
      <c r="AB280" s="2121">
        <f>+Q280</f>
        <v>0</v>
      </c>
      <c r="AC280" s="578"/>
      <c r="AD280" s="578"/>
      <c r="AE280" s="578"/>
      <c r="AF280" s="579"/>
      <c r="AG280" s="579"/>
      <c r="AH280" s="579"/>
      <c r="AI280" s="579"/>
      <c r="AJ280" s="579"/>
      <c r="AK280" s="579"/>
      <c r="AL280" s="1563"/>
      <c r="AM280" s="579"/>
      <c r="AN280" s="579"/>
      <c r="AO280" s="579"/>
      <c r="AP280" s="579"/>
      <c r="AQ280" s="579"/>
      <c r="AR280" s="579"/>
      <c r="AS280" s="579"/>
      <c r="AT280" s="579"/>
      <c r="AU280" s="579"/>
      <c r="AV280" s="579"/>
      <c r="AW280" s="579"/>
      <c r="AX280" s="579"/>
      <c r="AY280" s="579"/>
      <c r="AZ280" s="579"/>
      <c r="BA280" s="579"/>
      <c r="BB280" s="579"/>
      <c r="BC280" s="579"/>
      <c r="BD280" s="579"/>
      <c r="BE280" s="579"/>
      <c r="BF280" s="579"/>
      <c r="BG280" s="595"/>
      <c r="BH280" s="579"/>
      <c r="BI280" s="579"/>
      <c r="BJ280" s="579"/>
      <c r="BK280" s="579"/>
      <c r="BL280" s="579"/>
      <c r="BM280" s="579"/>
      <c r="BN280" s="579"/>
      <c r="BO280" s="579"/>
      <c r="BP280" s="579"/>
      <c r="BQ280" s="579"/>
      <c r="BR280" s="594"/>
      <c r="BS280" s="579"/>
      <c r="BT280" s="579"/>
      <c r="BU280" s="579"/>
      <c r="BV280" s="579"/>
      <c r="BW280" s="579"/>
      <c r="BX280" s="579"/>
      <c r="BY280" s="579"/>
      <c r="BZ280" s="579"/>
      <c r="CA280" s="579"/>
      <c r="CB280" s="579"/>
      <c r="CC280" s="579"/>
      <c r="CD280" s="579"/>
      <c r="CE280" s="579"/>
      <c r="CF280" s="579"/>
      <c r="CG280" s="579"/>
      <c r="CH280" s="595"/>
      <c r="CI280" s="579"/>
      <c r="CJ280" s="579"/>
      <c r="CK280" s="579"/>
      <c r="CL280" s="579"/>
      <c r="CM280" s="579"/>
      <c r="CN280" s="579"/>
      <c r="CO280" s="579"/>
      <c r="CP280" s="579"/>
      <c r="CQ280" s="579"/>
      <c r="CR280" s="579"/>
      <c r="CS280" s="579"/>
      <c r="CT280" s="579"/>
      <c r="CU280" s="579"/>
      <c r="CV280" s="579"/>
      <c r="CW280" s="579"/>
      <c r="CX280" s="579"/>
      <c r="CY280" s="579"/>
      <c r="CZ280" s="579"/>
      <c r="DA280" s="579"/>
      <c r="DB280" s="579"/>
      <c r="DC280" s="579"/>
      <c r="DD280" s="579"/>
      <c r="DE280" s="579"/>
      <c r="DF280" s="579"/>
      <c r="DG280" s="579"/>
      <c r="DH280" s="579"/>
      <c r="DI280" s="579"/>
      <c r="DJ280" s="579"/>
      <c r="DK280" s="579"/>
      <c r="DL280" s="579"/>
      <c r="DM280" s="579"/>
      <c r="DN280" s="579"/>
      <c r="DO280" s="579"/>
      <c r="DP280" s="579"/>
    </row>
    <row r="281" spans="1:120" hidden="1" outlineLevel="1">
      <c r="A281" s="89">
        <v>1110052010</v>
      </c>
      <c r="B281" s="90"/>
      <c r="C281" s="91" t="s">
        <v>64</v>
      </c>
      <c r="D281" s="1481"/>
      <c r="E281" s="1482"/>
      <c r="F281" s="420"/>
      <c r="G281" s="1256"/>
      <c r="H281" s="421"/>
      <c r="I281" s="422"/>
      <c r="J281" s="1425">
        <v>1</v>
      </c>
      <c r="K281" s="1426">
        <v>1</v>
      </c>
      <c r="L281" s="423"/>
      <c r="M281" s="1594">
        <f t="shared" ref="M281" si="847">+L281*J281</f>
        <v>0</v>
      </c>
      <c r="N281" s="415"/>
      <c r="O281" s="424">
        <f t="shared" si="837"/>
        <v>0</v>
      </c>
      <c r="P281" s="425"/>
      <c r="Q281" s="1340">
        <f t="shared" ref="Q281:Q289" si="848">+P281*K281</f>
        <v>0</v>
      </c>
      <c r="R281" s="426"/>
      <c r="S281" s="426"/>
      <c r="T281" s="427">
        <f t="shared" si="833"/>
        <v>0</v>
      </c>
      <c r="U281" s="418">
        <f t="shared" si="834"/>
        <v>0</v>
      </c>
      <c r="V281" s="517">
        <f t="shared" si="839"/>
        <v>0</v>
      </c>
      <c r="W281" s="428">
        <f t="shared" si="835"/>
        <v>0</v>
      </c>
      <c r="X281" s="429">
        <f t="shared" si="836"/>
        <v>0</v>
      </c>
      <c r="Y281" s="92"/>
      <c r="AA281" s="578"/>
      <c r="AB281" s="2121">
        <f>+Q281</f>
        <v>0</v>
      </c>
      <c r="AC281" s="578"/>
      <c r="AD281" s="578"/>
      <c r="AE281" s="578"/>
      <c r="AF281" s="579"/>
      <c r="AG281" s="579"/>
      <c r="AH281" s="579"/>
      <c r="AI281" s="579"/>
      <c r="AJ281" s="579"/>
      <c r="AK281" s="579"/>
      <c r="AL281" s="1563"/>
      <c r="AM281" s="579"/>
      <c r="AN281" s="579"/>
      <c r="AO281" s="579"/>
      <c r="AP281" s="579"/>
      <c r="AQ281" s="579"/>
      <c r="AR281" s="579"/>
      <c r="AS281" s="579"/>
      <c r="AT281" s="579"/>
      <c r="AU281" s="579"/>
      <c r="AV281" s="579"/>
      <c r="AW281" s="579"/>
      <c r="AX281" s="579"/>
      <c r="AY281" s="579"/>
      <c r="AZ281" s="579"/>
      <c r="BA281" s="579"/>
      <c r="BB281" s="579"/>
      <c r="BC281" s="579"/>
      <c r="BD281" s="579"/>
      <c r="BE281" s="579"/>
      <c r="BF281" s="579"/>
      <c r="BG281" s="595"/>
      <c r="BH281" s="579"/>
      <c r="BI281" s="579"/>
      <c r="BJ281" s="579"/>
      <c r="BK281" s="579"/>
      <c r="BL281" s="579"/>
      <c r="BM281" s="579"/>
      <c r="BN281" s="579"/>
      <c r="BO281" s="579"/>
      <c r="BP281" s="579"/>
      <c r="BQ281" s="579"/>
      <c r="BR281" s="579"/>
      <c r="BS281" s="579"/>
      <c r="BT281" s="595"/>
      <c r="BU281" s="579"/>
      <c r="BV281" s="594"/>
      <c r="BW281" s="579"/>
      <c r="BX281" s="579"/>
      <c r="BY281" s="579"/>
      <c r="BZ281" s="594"/>
      <c r="CA281" s="579"/>
      <c r="CB281" s="579"/>
      <c r="CC281" s="579"/>
      <c r="CD281" s="594"/>
      <c r="CE281" s="579"/>
      <c r="CF281" s="579"/>
      <c r="CG281" s="579"/>
      <c r="CH281" s="579"/>
      <c r="CI281" s="579"/>
      <c r="CJ281" s="579"/>
      <c r="CK281" s="579"/>
      <c r="CL281" s="579"/>
      <c r="CM281" s="579"/>
      <c r="CN281" s="579"/>
      <c r="CO281" s="579"/>
      <c r="CP281" s="579"/>
      <c r="CQ281" s="579"/>
      <c r="CR281" s="579"/>
      <c r="CS281" s="579"/>
      <c r="CT281" s="579"/>
      <c r="CU281" s="579"/>
      <c r="CV281" s="579"/>
      <c r="CW281" s="579"/>
      <c r="CX281" s="579"/>
      <c r="CY281" s="579"/>
      <c r="CZ281" s="579"/>
      <c r="DA281" s="579"/>
      <c r="DB281" s="579"/>
      <c r="DC281" s="579"/>
      <c r="DD281" s="579"/>
      <c r="DE281" s="579"/>
      <c r="DF281" s="579"/>
      <c r="DG281" s="579"/>
      <c r="DH281" s="579"/>
      <c r="DI281" s="579"/>
      <c r="DJ281" s="579"/>
      <c r="DK281" s="579"/>
      <c r="DL281" s="579"/>
      <c r="DM281" s="579"/>
      <c r="DN281" s="579"/>
      <c r="DO281" s="579"/>
      <c r="DP281" s="579"/>
    </row>
    <row r="282" spans="1:120" hidden="1" outlineLevel="1">
      <c r="A282" s="89">
        <v>1110052010</v>
      </c>
      <c r="B282" s="90"/>
      <c r="C282" s="91" t="s">
        <v>64</v>
      </c>
      <c r="D282" s="1481"/>
      <c r="E282" s="1482"/>
      <c r="F282" s="420"/>
      <c r="G282" s="1256"/>
      <c r="H282" s="421"/>
      <c r="I282" s="422"/>
      <c r="J282" s="1425">
        <v>1</v>
      </c>
      <c r="K282" s="1426">
        <v>1</v>
      </c>
      <c r="L282" s="423"/>
      <c r="M282" s="1594">
        <f t="shared" ref="M282:M289" si="849">+L282*J282</f>
        <v>0</v>
      </c>
      <c r="N282" s="415"/>
      <c r="O282" s="424">
        <f t="shared" si="837"/>
        <v>0</v>
      </c>
      <c r="P282" s="425"/>
      <c r="Q282" s="1340">
        <f t="shared" si="848"/>
        <v>0</v>
      </c>
      <c r="R282" s="426"/>
      <c r="S282" s="426"/>
      <c r="T282" s="427">
        <f t="shared" si="833"/>
        <v>0</v>
      </c>
      <c r="U282" s="418">
        <f t="shared" si="834"/>
        <v>0</v>
      </c>
      <c r="V282" s="517">
        <f t="shared" si="839"/>
        <v>0</v>
      </c>
      <c r="W282" s="428">
        <f t="shared" si="835"/>
        <v>0</v>
      </c>
      <c r="X282" s="429">
        <f t="shared" si="836"/>
        <v>0</v>
      </c>
      <c r="Y282" s="92"/>
      <c r="AA282" s="578"/>
      <c r="AB282" s="2121">
        <f>+Q282</f>
        <v>0</v>
      </c>
      <c r="AC282" s="578"/>
      <c r="AD282" s="578"/>
      <c r="AE282" s="578"/>
      <c r="AF282" s="579"/>
      <c r="AG282" s="579"/>
      <c r="AH282" s="579"/>
      <c r="AI282" s="579"/>
      <c r="AJ282" s="579"/>
      <c r="AK282" s="579"/>
      <c r="AL282" s="1563"/>
      <c r="AM282" s="579"/>
      <c r="AN282" s="579"/>
      <c r="AO282" s="579"/>
      <c r="AP282" s="579"/>
      <c r="AQ282" s="579"/>
      <c r="AR282" s="579"/>
      <c r="AS282" s="579"/>
      <c r="AT282" s="579"/>
      <c r="AU282" s="579"/>
      <c r="AV282" s="579"/>
      <c r="AW282" s="579"/>
      <c r="AX282" s="579"/>
      <c r="AY282" s="579"/>
      <c r="AZ282" s="579"/>
      <c r="BA282" s="579"/>
      <c r="BB282" s="579"/>
      <c r="BC282" s="579"/>
      <c r="BD282" s="579"/>
      <c r="BE282" s="579"/>
      <c r="BF282" s="579"/>
      <c r="BG282" s="595"/>
      <c r="BH282" s="579"/>
      <c r="BI282" s="579"/>
      <c r="BJ282" s="579"/>
      <c r="BK282" s="579"/>
      <c r="BL282" s="579"/>
      <c r="BM282" s="579"/>
      <c r="BN282" s="579"/>
      <c r="BO282" s="579"/>
      <c r="BP282" s="579"/>
      <c r="BQ282" s="579"/>
      <c r="BR282" s="579"/>
      <c r="BS282" s="579"/>
      <c r="BT282" s="595"/>
      <c r="BU282" s="579"/>
      <c r="BV282" s="594"/>
      <c r="BW282" s="579"/>
      <c r="BX282" s="579"/>
      <c r="BY282" s="579"/>
      <c r="BZ282" s="594"/>
      <c r="CA282" s="579"/>
      <c r="CB282" s="579"/>
      <c r="CC282" s="579"/>
      <c r="CD282" s="594"/>
      <c r="CE282" s="579"/>
      <c r="CF282" s="579"/>
      <c r="CG282" s="579"/>
      <c r="CH282" s="579"/>
      <c r="CI282" s="579"/>
      <c r="CJ282" s="579"/>
      <c r="CK282" s="579"/>
      <c r="CL282" s="579"/>
      <c r="CM282" s="579"/>
      <c r="CN282" s="579"/>
      <c r="CO282" s="579"/>
      <c r="CP282" s="579"/>
      <c r="CQ282" s="579"/>
      <c r="CR282" s="579"/>
      <c r="CS282" s="579"/>
      <c r="CT282" s="579"/>
      <c r="CU282" s="579"/>
      <c r="CV282" s="579"/>
      <c r="CW282" s="579"/>
      <c r="CX282" s="579"/>
      <c r="CY282" s="579"/>
      <c r="CZ282" s="579"/>
      <c r="DA282" s="579"/>
      <c r="DB282" s="579"/>
      <c r="DC282" s="579"/>
      <c r="DD282" s="579"/>
      <c r="DE282" s="579"/>
      <c r="DF282" s="579"/>
      <c r="DG282" s="579"/>
      <c r="DH282" s="579"/>
      <c r="DI282" s="579"/>
      <c r="DJ282" s="579"/>
      <c r="DK282" s="579"/>
      <c r="DL282" s="579"/>
      <c r="DM282" s="579"/>
      <c r="DN282" s="579"/>
      <c r="DO282" s="579"/>
      <c r="DP282" s="579"/>
    </row>
    <row r="283" spans="1:120" s="116" customFormat="1" ht="15.75" hidden="1" customHeight="1" outlineLevel="1">
      <c r="A283" s="100">
        <v>1110052010</v>
      </c>
      <c r="B283" s="1216"/>
      <c r="C283" s="101" t="s">
        <v>64</v>
      </c>
      <c r="D283" s="1629"/>
      <c r="E283" s="1630"/>
      <c r="F283" s="102"/>
      <c r="G283" s="1258"/>
      <c r="H283" s="103"/>
      <c r="I283" s="104"/>
      <c r="J283" s="1604">
        <v>1</v>
      </c>
      <c r="K283" s="1605">
        <v>1</v>
      </c>
      <c r="L283" s="105"/>
      <c r="M283" s="1697">
        <f t="shared" si="849"/>
        <v>0</v>
      </c>
      <c r="N283" s="106"/>
      <c r="O283" s="107">
        <f t="shared" si="837"/>
        <v>0</v>
      </c>
      <c r="P283" s="108"/>
      <c r="Q283" s="1342">
        <f t="shared" si="848"/>
        <v>0</v>
      </c>
      <c r="R283" s="109"/>
      <c r="S283" s="109"/>
      <c r="T283" s="110">
        <f t="shared" si="833"/>
        <v>0</v>
      </c>
      <c r="U283" s="111">
        <f t="shared" si="834"/>
        <v>0</v>
      </c>
      <c r="V283" s="566">
        <f t="shared" si="839"/>
        <v>0</v>
      </c>
      <c r="W283" s="112">
        <f t="shared" si="835"/>
        <v>0</v>
      </c>
      <c r="X283" s="113">
        <f t="shared" si="836"/>
        <v>0</v>
      </c>
      <c r="Y283" s="114"/>
      <c r="Z283" s="115"/>
      <c r="AA283" s="1217"/>
      <c r="AB283" s="2158">
        <f>+Q283</f>
        <v>0</v>
      </c>
      <c r="AC283" s="1217"/>
      <c r="AD283" s="1217"/>
      <c r="AE283" s="1217"/>
      <c r="AF283" s="1218"/>
      <c r="AG283" s="1218"/>
      <c r="AH283" s="1218"/>
      <c r="AI283" s="1218"/>
      <c r="AJ283" s="1218"/>
      <c r="AK283" s="1218"/>
      <c r="AL283" s="1566"/>
      <c r="AM283" s="1218"/>
      <c r="AN283" s="1218"/>
      <c r="AO283" s="1218"/>
      <c r="AP283" s="1218"/>
      <c r="AQ283" s="1218"/>
      <c r="AR283" s="1218"/>
      <c r="AS283" s="1218"/>
      <c r="AT283" s="1218"/>
      <c r="AU283" s="1218"/>
      <c r="AV283" s="1218"/>
      <c r="AW283" s="1218"/>
      <c r="AX283" s="1218"/>
      <c r="AY283" s="1218"/>
      <c r="AZ283" s="1218"/>
      <c r="BA283" s="1218"/>
      <c r="BB283" s="1218"/>
      <c r="BC283" s="1218"/>
      <c r="BD283" s="1218"/>
      <c r="BE283" s="1218"/>
      <c r="BF283" s="1218"/>
      <c r="BG283" s="1219"/>
      <c r="BH283" s="1218"/>
      <c r="BI283" s="1218"/>
      <c r="BJ283" s="1218"/>
      <c r="BK283" s="1218"/>
      <c r="BL283" s="1218"/>
      <c r="BM283" s="1218"/>
      <c r="BN283" s="1218"/>
      <c r="BO283" s="1218"/>
      <c r="BP283" s="1218"/>
      <c r="BQ283" s="1218"/>
      <c r="BR283" s="1218"/>
      <c r="BS283" s="1218"/>
      <c r="BT283" s="1218"/>
      <c r="BU283" s="1219"/>
      <c r="BV283" s="1220"/>
      <c r="BW283" s="1218"/>
      <c r="BX283" s="1218"/>
      <c r="BY283" s="1218"/>
      <c r="BZ283" s="1220"/>
      <c r="CA283" s="1218"/>
      <c r="CB283" s="1218"/>
      <c r="CC283" s="1218"/>
      <c r="CD283" s="1220"/>
      <c r="CE283" s="1218"/>
      <c r="CF283" s="1218"/>
      <c r="CG283" s="1218"/>
      <c r="CH283" s="1218"/>
      <c r="CI283" s="1218"/>
      <c r="CJ283" s="1218"/>
      <c r="CK283" s="1218"/>
      <c r="CL283" s="1218"/>
      <c r="CM283" s="1218"/>
      <c r="CN283" s="1218"/>
      <c r="CO283" s="1218"/>
      <c r="CP283" s="1218"/>
      <c r="CQ283" s="1218"/>
      <c r="CR283" s="1218"/>
      <c r="CS283" s="1218"/>
      <c r="CT283" s="1218"/>
      <c r="CU283" s="1218"/>
      <c r="CV283" s="1218"/>
      <c r="CW283" s="1218"/>
      <c r="CX283" s="1218"/>
      <c r="CY283" s="1218"/>
      <c r="CZ283" s="1218"/>
      <c r="DA283" s="1218"/>
      <c r="DB283" s="1218"/>
      <c r="DC283" s="1218"/>
      <c r="DD283" s="1218"/>
      <c r="DE283" s="1218"/>
      <c r="DF283" s="1218"/>
      <c r="DG283" s="1218"/>
      <c r="DH283" s="1218"/>
      <c r="DI283" s="1218"/>
      <c r="DJ283" s="1218"/>
      <c r="DK283" s="1218"/>
      <c r="DL283" s="1218"/>
      <c r="DM283" s="1218"/>
      <c r="DN283" s="1218"/>
      <c r="DO283" s="1218"/>
      <c r="DP283" s="1218"/>
    </row>
    <row r="284" spans="1:120" s="116" customFormat="1" ht="15.75" hidden="1" customHeight="1" outlineLevel="1">
      <c r="A284" s="100">
        <v>1110052010</v>
      </c>
      <c r="B284" s="1216"/>
      <c r="C284" s="101" t="s">
        <v>64</v>
      </c>
      <c r="D284" s="1629"/>
      <c r="E284" s="1630"/>
      <c r="F284" s="102"/>
      <c r="G284" s="1258"/>
      <c r="H284" s="103"/>
      <c r="I284" s="104"/>
      <c r="J284" s="1604">
        <v>1</v>
      </c>
      <c r="K284" s="1605">
        <v>1</v>
      </c>
      <c r="L284" s="105"/>
      <c r="M284" s="1697">
        <f t="shared" ref="M284" si="850">+L284*J284</f>
        <v>0</v>
      </c>
      <c r="N284" s="106"/>
      <c r="O284" s="107">
        <f t="shared" ref="O284" si="851">+L284*N284</f>
        <v>0</v>
      </c>
      <c r="P284" s="108"/>
      <c r="Q284" s="1342">
        <f t="shared" ref="Q284" si="852">+P284*K284</f>
        <v>0</v>
      </c>
      <c r="R284" s="109"/>
      <c r="S284" s="109"/>
      <c r="T284" s="110">
        <f t="shared" ref="T284" si="853">+P284*S284</f>
        <v>0</v>
      </c>
      <c r="U284" s="111">
        <f t="shared" ref="U284" si="854">+L284+P284+F284</f>
        <v>0</v>
      </c>
      <c r="V284" s="566">
        <f t="shared" ref="V284" si="855">+P284*R284+L284*N284+F284*H284</f>
        <v>0</v>
      </c>
      <c r="W284" s="112">
        <f t="shared" ref="W284" si="856">(IF(R284&gt;S284,(-P284*R284)-(-P284*S284),0))</f>
        <v>0</v>
      </c>
      <c r="X284" s="113">
        <f t="shared" ref="X284" si="857">(IF(R284&lt;S284,(-P284*R284)-(-P284*S284),0))</f>
        <v>0</v>
      </c>
      <c r="Y284" s="114"/>
      <c r="Z284" s="115"/>
      <c r="AA284" s="1217"/>
      <c r="AB284" s="1217"/>
      <c r="AC284" s="1217"/>
      <c r="AD284" s="1217"/>
      <c r="AE284" s="1217"/>
      <c r="AF284" s="1218"/>
      <c r="AG284" s="1218"/>
      <c r="AH284" s="1218"/>
      <c r="AI284" s="1218"/>
      <c r="AJ284" s="1218"/>
      <c r="AK284" s="1218"/>
      <c r="AL284" s="2157">
        <f>+Q284</f>
        <v>0</v>
      </c>
      <c r="AM284" s="1218"/>
      <c r="AN284" s="1218"/>
      <c r="AO284" s="1218"/>
      <c r="AP284" s="1218"/>
      <c r="AQ284" s="1218"/>
      <c r="AR284" s="1218"/>
      <c r="AS284" s="1218"/>
      <c r="AT284" s="1218"/>
      <c r="AU284" s="1218"/>
      <c r="AV284" s="1218"/>
      <c r="AW284" s="1218"/>
      <c r="AX284" s="1218"/>
      <c r="AY284" s="1218"/>
      <c r="AZ284" s="1218"/>
      <c r="BA284" s="1218"/>
      <c r="BB284" s="1218"/>
      <c r="BC284" s="1218"/>
      <c r="BD284" s="1218"/>
      <c r="BE284" s="1218"/>
      <c r="BF284" s="1218"/>
      <c r="BG284" s="1219"/>
      <c r="BH284" s="1218"/>
      <c r="BI284" s="1218"/>
      <c r="BJ284" s="1218"/>
      <c r="BK284" s="1218"/>
      <c r="BL284" s="1218"/>
      <c r="BM284" s="1218"/>
      <c r="BN284" s="1218"/>
      <c r="BO284" s="1218"/>
      <c r="BP284" s="1218"/>
      <c r="BQ284" s="1218"/>
      <c r="BR284" s="1218"/>
      <c r="BS284" s="1218"/>
      <c r="BT284" s="1218"/>
      <c r="BU284" s="1219"/>
      <c r="BV284" s="1220"/>
      <c r="BW284" s="1218"/>
      <c r="BX284" s="1218"/>
      <c r="BY284" s="1218"/>
      <c r="BZ284" s="1220"/>
      <c r="CA284" s="1218"/>
      <c r="CB284" s="1218"/>
      <c r="CC284" s="1218"/>
      <c r="CD284" s="1220"/>
      <c r="CE284" s="1218"/>
      <c r="CF284" s="1218"/>
      <c r="CG284" s="1218"/>
      <c r="CH284" s="1218"/>
      <c r="CI284" s="1218"/>
      <c r="CJ284" s="1218"/>
      <c r="CK284" s="1218"/>
      <c r="CL284" s="1218"/>
      <c r="CM284" s="1218"/>
      <c r="CN284" s="1218"/>
      <c r="CO284" s="1218"/>
      <c r="CP284" s="1218"/>
      <c r="CQ284" s="1218"/>
      <c r="CR284" s="1218"/>
      <c r="CS284" s="1218"/>
      <c r="CT284" s="1218"/>
      <c r="CU284" s="1218"/>
      <c r="CV284" s="1218"/>
      <c r="CW284" s="1218"/>
      <c r="CX284" s="1218"/>
      <c r="CY284" s="1218"/>
      <c r="CZ284" s="1218"/>
      <c r="DA284" s="1218"/>
      <c r="DB284" s="1218"/>
      <c r="DC284" s="1218"/>
      <c r="DD284" s="1218"/>
      <c r="DE284" s="1218"/>
      <c r="DF284" s="1218"/>
      <c r="DG284" s="1218"/>
      <c r="DH284" s="1218"/>
      <c r="DI284" s="1218"/>
      <c r="DJ284" s="1218"/>
      <c r="DK284" s="1218"/>
      <c r="DL284" s="1218"/>
      <c r="DM284" s="1218"/>
      <c r="DN284" s="1218"/>
      <c r="DO284" s="1218"/>
      <c r="DP284" s="1218"/>
    </row>
    <row r="285" spans="1:120" hidden="1" outlineLevel="1">
      <c r="A285" s="89">
        <v>1110052010</v>
      </c>
      <c r="B285" s="90"/>
      <c r="C285" s="91" t="s">
        <v>64</v>
      </c>
      <c r="D285" s="1481"/>
      <c r="E285" s="1482"/>
      <c r="F285" s="420"/>
      <c r="G285" s="1256"/>
      <c r="H285" s="421"/>
      <c r="I285" s="422"/>
      <c r="J285" s="1425">
        <v>1</v>
      </c>
      <c r="K285" s="1426">
        <v>1</v>
      </c>
      <c r="L285" s="423"/>
      <c r="M285" s="1594">
        <f t="shared" si="849"/>
        <v>0</v>
      </c>
      <c r="N285" s="415"/>
      <c r="O285" s="424">
        <f t="shared" si="837"/>
        <v>0</v>
      </c>
      <c r="P285" s="425"/>
      <c r="Q285" s="1340">
        <f t="shared" si="848"/>
        <v>0</v>
      </c>
      <c r="R285" s="426"/>
      <c r="S285" s="426"/>
      <c r="T285" s="427">
        <f t="shared" si="833"/>
        <v>0</v>
      </c>
      <c r="U285" s="418">
        <f t="shared" si="834"/>
        <v>0</v>
      </c>
      <c r="V285" s="517">
        <f t="shared" si="839"/>
        <v>0</v>
      </c>
      <c r="W285" s="428">
        <f t="shared" si="835"/>
        <v>0</v>
      </c>
      <c r="X285" s="429">
        <f t="shared" si="836"/>
        <v>0</v>
      </c>
      <c r="Y285" s="92"/>
      <c r="AA285" s="578"/>
      <c r="AB285" s="578"/>
      <c r="AC285" s="578"/>
      <c r="AD285" s="578"/>
      <c r="AE285" s="578"/>
      <c r="AF285" s="579"/>
      <c r="AG285" s="579"/>
      <c r="AH285" s="579"/>
      <c r="AI285" s="579"/>
      <c r="AJ285" s="579"/>
      <c r="AK285" s="579"/>
      <c r="AL285" s="2156">
        <f>+Q285</f>
        <v>0</v>
      </c>
      <c r="AM285" s="579"/>
      <c r="AN285" s="579"/>
      <c r="AO285" s="579"/>
      <c r="AP285" s="579"/>
      <c r="AQ285" s="579"/>
      <c r="AR285" s="579"/>
      <c r="AS285" s="579"/>
      <c r="AT285" s="579"/>
      <c r="AU285" s="579"/>
      <c r="AV285" s="579"/>
      <c r="AW285" s="579"/>
      <c r="AX285" s="579"/>
      <c r="AY285" s="579"/>
      <c r="AZ285" s="579"/>
      <c r="BA285" s="579"/>
      <c r="BB285" s="579"/>
      <c r="BC285" s="579"/>
      <c r="BD285" s="579"/>
      <c r="BE285" s="579"/>
      <c r="BF285" s="579"/>
      <c r="BG285" s="579"/>
      <c r="BH285" s="595"/>
      <c r="BI285" s="579"/>
      <c r="BJ285" s="579"/>
      <c r="BK285" s="579"/>
      <c r="BL285" s="579"/>
      <c r="BM285" s="579"/>
      <c r="BN285" s="579"/>
      <c r="BO285" s="579"/>
      <c r="BP285" s="579"/>
      <c r="BQ285" s="579"/>
      <c r="BR285" s="579"/>
      <c r="BS285" s="579"/>
      <c r="BT285" s="579"/>
      <c r="BU285" s="579"/>
      <c r="BV285" s="594"/>
      <c r="BW285" s="579"/>
      <c r="BX285" s="579"/>
      <c r="BY285" s="579"/>
      <c r="BZ285" s="594"/>
      <c r="CA285" s="579"/>
      <c r="CB285" s="579"/>
      <c r="CC285" s="579"/>
      <c r="CD285" s="594"/>
      <c r="CE285" s="579"/>
      <c r="CF285" s="579"/>
      <c r="CG285" s="579"/>
      <c r="CH285" s="579"/>
      <c r="CI285" s="579"/>
      <c r="CJ285" s="579"/>
      <c r="CK285" s="579"/>
      <c r="CL285" s="579"/>
      <c r="CM285" s="579"/>
      <c r="CN285" s="579"/>
      <c r="CO285" s="579"/>
      <c r="CP285" s="579"/>
      <c r="CQ285" s="579"/>
      <c r="CR285" s="579"/>
      <c r="CS285" s="579"/>
      <c r="CT285" s="579"/>
      <c r="CU285" s="579"/>
      <c r="CV285" s="579"/>
      <c r="CW285" s="579"/>
      <c r="CX285" s="579"/>
      <c r="CY285" s="579"/>
      <c r="CZ285" s="579"/>
      <c r="DA285" s="579"/>
      <c r="DB285" s="579"/>
      <c r="DC285" s="579"/>
      <c r="DD285" s="579"/>
      <c r="DE285" s="579"/>
      <c r="DF285" s="579"/>
      <c r="DG285" s="579"/>
      <c r="DH285" s="579"/>
      <c r="DI285" s="579"/>
      <c r="DJ285" s="579"/>
      <c r="DK285" s="579"/>
      <c r="DL285" s="579"/>
      <c r="DM285" s="579"/>
      <c r="DN285" s="579"/>
      <c r="DO285" s="579"/>
      <c r="DP285" s="579"/>
    </row>
    <row r="286" spans="1:120" hidden="1" outlineLevel="1">
      <c r="A286" s="89">
        <v>1110052015</v>
      </c>
      <c r="B286" s="90"/>
      <c r="C286" s="91" t="s">
        <v>64</v>
      </c>
      <c r="D286" s="1481"/>
      <c r="E286" s="1482"/>
      <c r="F286" s="420"/>
      <c r="G286" s="1256"/>
      <c r="H286" s="421"/>
      <c r="I286" s="422"/>
      <c r="J286" s="1425">
        <v>1</v>
      </c>
      <c r="K286" s="1426">
        <v>1</v>
      </c>
      <c r="L286" s="423"/>
      <c r="M286" s="1594">
        <f t="shared" si="849"/>
        <v>0</v>
      </c>
      <c r="N286" s="415"/>
      <c r="O286" s="424">
        <f t="shared" si="837"/>
        <v>0</v>
      </c>
      <c r="P286" s="425"/>
      <c r="Q286" s="1340">
        <f t="shared" si="848"/>
        <v>0</v>
      </c>
      <c r="R286" s="426"/>
      <c r="S286" s="426"/>
      <c r="T286" s="427">
        <f t="shared" si="833"/>
        <v>0</v>
      </c>
      <c r="U286" s="418">
        <f t="shared" si="834"/>
        <v>0</v>
      </c>
      <c r="V286" s="517">
        <f t="shared" si="839"/>
        <v>0</v>
      </c>
      <c r="W286" s="428">
        <f t="shared" si="835"/>
        <v>0</v>
      </c>
      <c r="X286" s="429">
        <f t="shared" si="836"/>
        <v>0</v>
      </c>
      <c r="Y286" s="92"/>
      <c r="AA286" s="578"/>
      <c r="AB286" s="578"/>
      <c r="AC286" s="578"/>
      <c r="AD286" s="578"/>
      <c r="AE286" s="578"/>
      <c r="AF286" s="579"/>
      <c r="AG286" s="579"/>
      <c r="AH286" s="579"/>
      <c r="AI286" s="579"/>
      <c r="AJ286" s="579"/>
      <c r="AK286" s="579"/>
      <c r="AL286" s="2156">
        <f t="shared" ref="AL286:AL289" si="858">+Q286</f>
        <v>0</v>
      </c>
      <c r="AM286" s="579"/>
      <c r="AN286" s="579"/>
      <c r="AO286" s="579"/>
      <c r="AP286" s="579"/>
      <c r="AQ286" s="579"/>
      <c r="AR286" s="579"/>
      <c r="AS286" s="579"/>
      <c r="AT286" s="579"/>
      <c r="AU286" s="579"/>
      <c r="AV286" s="579"/>
      <c r="AW286" s="579"/>
      <c r="AX286" s="579"/>
      <c r="AY286" s="579"/>
      <c r="AZ286" s="579"/>
      <c r="BA286" s="579"/>
      <c r="BB286" s="579"/>
      <c r="BC286" s="579"/>
      <c r="BD286" s="579"/>
      <c r="BE286" s="579"/>
      <c r="BF286" s="579"/>
      <c r="BG286" s="579"/>
      <c r="BH286" s="595"/>
      <c r="BI286" s="579"/>
      <c r="BJ286" s="579"/>
      <c r="BK286" s="579"/>
      <c r="BL286" s="579"/>
      <c r="BM286" s="579"/>
      <c r="BN286" s="579"/>
      <c r="BO286" s="579"/>
      <c r="BP286" s="579"/>
      <c r="BQ286" s="579"/>
      <c r="BR286" s="579"/>
      <c r="BS286" s="579"/>
      <c r="BT286" s="579"/>
      <c r="BU286" s="579"/>
      <c r="BV286" s="594"/>
      <c r="BW286" s="579"/>
      <c r="BX286" s="579"/>
      <c r="BY286" s="579"/>
      <c r="BZ286" s="594"/>
      <c r="CA286" s="579"/>
      <c r="CB286" s="579"/>
      <c r="CC286" s="579"/>
      <c r="CD286" s="594"/>
      <c r="CE286" s="579"/>
      <c r="CF286" s="579"/>
      <c r="CG286" s="579"/>
      <c r="CH286" s="579"/>
      <c r="CI286" s="579"/>
      <c r="CJ286" s="579"/>
      <c r="CK286" s="579"/>
      <c r="CL286" s="579"/>
      <c r="CM286" s="579"/>
      <c r="CN286" s="579"/>
      <c r="CO286" s="579"/>
      <c r="CP286" s="579"/>
      <c r="CQ286" s="579"/>
      <c r="CR286" s="579"/>
      <c r="CS286" s="579"/>
      <c r="CT286" s="579"/>
      <c r="CU286" s="579"/>
      <c r="CV286" s="579"/>
      <c r="CW286" s="579"/>
      <c r="CX286" s="579"/>
      <c r="CY286" s="579"/>
      <c r="CZ286" s="579"/>
      <c r="DA286" s="579"/>
      <c r="DB286" s="579"/>
      <c r="DC286" s="579"/>
      <c r="DD286" s="579"/>
      <c r="DE286" s="579"/>
      <c r="DF286" s="579"/>
      <c r="DG286" s="579"/>
      <c r="DH286" s="579"/>
      <c r="DI286" s="579"/>
      <c r="DJ286" s="579"/>
      <c r="DK286" s="579"/>
      <c r="DL286" s="579"/>
      <c r="DM286" s="579"/>
      <c r="DN286" s="579"/>
      <c r="DO286" s="579"/>
      <c r="DP286" s="579"/>
    </row>
    <row r="287" spans="1:120" hidden="1" outlineLevel="1">
      <c r="A287" s="89">
        <v>1110052015</v>
      </c>
      <c r="B287" s="90"/>
      <c r="C287" s="91" t="s">
        <v>64</v>
      </c>
      <c r="D287" s="1481"/>
      <c r="E287" s="1482"/>
      <c r="F287" s="420"/>
      <c r="G287" s="1256"/>
      <c r="H287" s="421"/>
      <c r="I287" s="422"/>
      <c r="J287" s="1425">
        <v>1</v>
      </c>
      <c r="K287" s="1426">
        <v>1</v>
      </c>
      <c r="L287" s="423"/>
      <c r="M287" s="1594">
        <f t="shared" si="849"/>
        <v>0</v>
      </c>
      <c r="N287" s="415"/>
      <c r="O287" s="424">
        <f t="shared" si="837"/>
        <v>0</v>
      </c>
      <c r="P287" s="425"/>
      <c r="Q287" s="1340">
        <f t="shared" si="848"/>
        <v>0</v>
      </c>
      <c r="R287" s="426"/>
      <c r="S287" s="426"/>
      <c r="T287" s="427">
        <f t="shared" si="833"/>
        <v>0</v>
      </c>
      <c r="U287" s="418">
        <f t="shared" si="834"/>
        <v>0</v>
      </c>
      <c r="V287" s="517">
        <f t="shared" si="839"/>
        <v>0</v>
      </c>
      <c r="W287" s="428">
        <f t="shared" si="835"/>
        <v>0</v>
      </c>
      <c r="X287" s="429">
        <f t="shared" si="836"/>
        <v>0</v>
      </c>
      <c r="Y287" s="92"/>
      <c r="AA287" s="578"/>
      <c r="AB287" s="578"/>
      <c r="AC287" s="578"/>
      <c r="AD287" s="578"/>
      <c r="AE287" s="578"/>
      <c r="AF287" s="579"/>
      <c r="AG287" s="579"/>
      <c r="AH287" s="579"/>
      <c r="AI287" s="579"/>
      <c r="AJ287" s="579"/>
      <c r="AK287" s="579"/>
      <c r="AL287" s="2156">
        <f t="shared" si="858"/>
        <v>0</v>
      </c>
      <c r="AM287" s="579"/>
      <c r="AN287" s="579"/>
      <c r="AO287" s="579"/>
      <c r="AP287" s="579"/>
      <c r="AQ287" s="579"/>
      <c r="AR287" s="579"/>
      <c r="AS287" s="579"/>
      <c r="AT287" s="579"/>
      <c r="AU287" s="579"/>
      <c r="AV287" s="579"/>
      <c r="AW287" s="579"/>
      <c r="AX287" s="579"/>
      <c r="AY287" s="579"/>
      <c r="AZ287" s="579"/>
      <c r="BA287" s="579"/>
      <c r="BB287" s="579"/>
      <c r="BC287" s="579"/>
      <c r="BD287" s="579"/>
      <c r="BE287" s="579"/>
      <c r="BF287" s="579"/>
      <c r="BG287" s="579"/>
      <c r="BH287" s="595"/>
      <c r="BI287" s="579"/>
      <c r="BJ287" s="579"/>
      <c r="BK287" s="579"/>
      <c r="BL287" s="579"/>
      <c r="BM287" s="579"/>
      <c r="BN287" s="579"/>
      <c r="BO287" s="579"/>
      <c r="BP287" s="579"/>
      <c r="BQ287" s="579"/>
      <c r="BR287" s="579"/>
      <c r="BS287" s="579"/>
      <c r="BT287" s="579"/>
      <c r="BU287" s="579"/>
      <c r="BV287" s="579"/>
      <c r="BW287" s="594"/>
      <c r="BX287" s="579"/>
      <c r="BY287" s="579"/>
      <c r="BZ287" s="579"/>
      <c r="CA287" s="594"/>
      <c r="CB287" s="579"/>
      <c r="CC287" s="579"/>
      <c r="CD287" s="594"/>
      <c r="CE287" s="579"/>
      <c r="CF287" s="579"/>
      <c r="CG287" s="579"/>
      <c r="CH287" s="579"/>
      <c r="CI287" s="579"/>
      <c r="CJ287" s="579"/>
      <c r="CK287" s="579"/>
      <c r="CL287" s="579"/>
      <c r="CM287" s="579"/>
      <c r="CN287" s="579"/>
      <c r="CO287" s="579"/>
      <c r="CP287" s="579"/>
      <c r="CQ287" s="579"/>
      <c r="CR287" s="579"/>
      <c r="CS287" s="579"/>
      <c r="CT287" s="579"/>
      <c r="CU287" s="579"/>
      <c r="CV287" s="579"/>
      <c r="CW287" s="579"/>
      <c r="CX287" s="579"/>
      <c r="CY287" s="579"/>
      <c r="CZ287" s="579"/>
      <c r="DA287" s="579"/>
      <c r="DB287" s="579"/>
      <c r="DC287" s="579"/>
      <c r="DD287" s="579"/>
      <c r="DE287" s="579"/>
      <c r="DF287" s="579"/>
      <c r="DG287" s="579"/>
      <c r="DH287" s="579"/>
      <c r="DI287" s="579"/>
      <c r="DJ287" s="579"/>
      <c r="DK287" s="579"/>
      <c r="DL287" s="579"/>
      <c r="DM287" s="579"/>
      <c r="DN287" s="579"/>
      <c r="DO287" s="579"/>
      <c r="DP287" s="579"/>
    </row>
    <row r="288" spans="1:120" hidden="1" outlineLevel="1">
      <c r="A288" s="89">
        <v>1110052015</v>
      </c>
      <c r="B288" s="90"/>
      <c r="C288" s="91" t="s">
        <v>64</v>
      </c>
      <c r="D288" s="1481"/>
      <c r="E288" s="1482"/>
      <c r="F288" s="420"/>
      <c r="G288" s="1256"/>
      <c r="H288" s="421"/>
      <c r="I288" s="422"/>
      <c r="J288" s="1425">
        <v>1</v>
      </c>
      <c r="K288" s="1426">
        <v>1</v>
      </c>
      <c r="L288" s="423"/>
      <c r="M288" s="1594">
        <f t="shared" si="849"/>
        <v>0</v>
      </c>
      <c r="N288" s="415"/>
      <c r="O288" s="424">
        <f t="shared" si="837"/>
        <v>0</v>
      </c>
      <c r="P288" s="425"/>
      <c r="Q288" s="1340">
        <f t="shared" si="848"/>
        <v>0</v>
      </c>
      <c r="R288" s="426"/>
      <c r="S288" s="426"/>
      <c r="T288" s="427">
        <f t="shared" si="833"/>
        <v>0</v>
      </c>
      <c r="U288" s="418">
        <f t="shared" si="834"/>
        <v>0</v>
      </c>
      <c r="V288" s="517">
        <f t="shared" si="839"/>
        <v>0</v>
      </c>
      <c r="W288" s="428">
        <f t="shared" si="835"/>
        <v>0</v>
      </c>
      <c r="X288" s="429">
        <f t="shared" si="836"/>
        <v>0</v>
      </c>
      <c r="Y288" s="92"/>
      <c r="AA288" s="578"/>
      <c r="AB288" s="578"/>
      <c r="AC288" s="578"/>
      <c r="AD288" s="578"/>
      <c r="AE288" s="578"/>
      <c r="AF288" s="579"/>
      <c r="AG288" s="579"/>
      <c r="AH288" s="579"/>
      <c r="AI288" s="579"/>
      <c r="AJ288" s="579"/>
      <c r="AK288" s="579"/>
      <c r="AL288" s="2156">
        <f t="shared" si="858"/>
        <v>0</v>
      </c>
      <c r="AM288" s="579"/>
      <c r="AN288" s="579"/>
      <c r="AO288" s="579"/>
      <c r="AP288" s="579"/>
      <c r="AQ288" s="579"/>
      <c r="AR288" s="579"/>
      <c r="AS288" s="579"/>
      <c r="AT288" s="579"/>
      <c r="AU288" s="579"/>
      <c r="AV288" s="579"/>
      <c r="AW288" s="579"/>
      <c r="AX288" s="579"/>
      <c r="AY288" s="579"/>
      <c r="AZ288" s="579"/>
      <c r="BA288" s="579"/>
      <c r="BB288" s="579"/>
      <c r="BC288" s="579"/>
      <c r="BD288" s="579"/>
      <c r="BE288" s="579"/>
      <c r="BF288" s="579"/>
      <c r="BG288" s="579"/>
      <c r="BH288" s="595"/>
      <c r="BI288" s="579"/>
      <c r="BJ288" s="579"/>
      <c r="BK288" s="579"/>
      <c r="BL288" s="579"/>
      <c r="BM288" s="579"/>
      <c r="BN288" s="579"/>
      <c r="BO288" s="579"/>
      <c r="BP288" s="579"/>
      <c r="BQ288" s="579"/>
      <c r="BR288" s="579"/>
      <c r="BS288" s="579"/>
      <c r="BT288" s="579"/>
      <c r="BU288" s="579"/>
      <c r="BV288" s="579"/>
      <c r="BW288" s="594"/>
      <c r="BX288" s="579"/>
      <c r="BY288" s="579"/>
      <c r="BZ288" s="579"/>
      <c r="CA288" s="594"/>
      <c r="CB288" s="579"/>
      <c r="CC288" s="579"/>
      <c r="CD288" s="594"/>
      <c r="CE288" s="579"/>
      <c r="CF288" s="579"/>
      <c r="CG288" s="579"/>
      <c r="CH288" s="579"/>
      <c r="CI288" s="579"/>
      <c r="CJ288" s="579"/>
      <c r="CK288" s="579"/>
      <c r="CL288" s="579"/>
      <c r="CM288" s="579"/>
      <c r="CN288" s="579"/>
      <c r="CO288" s="579"/>
      <c r="CP288" s="579"/>
      <c r="CQ288" s="579"/>
      <c r="CR288" s="579"/>
      <c r="CS288" s="579"/>
      <c r="CT288" s="579"/>
      <c r="CU288" s="579"/>
      <c r="CV288" s="579"/>
      <c r="CW288" s="579"/>
      <c r="CX288" s="579"/>
      <c r="CY288" s="579"/>
      <c r="CZ288" s="579"/>
      <c r="DA288" s="579"/>
      <c r="DB288" s="579"/>
      <c r="DC288" s="579"/>
      <c r="DD288" s="579"/>
      <c r="DE288" s="579"/>
      <c r="DF288" s="579"/>
      <c r="DG288" s="579"/>
      <c r="DH288" s="579"/>
      <c r="DI288" s="579"/>
      <c r="DJ288" s="579"/>
      <c r="DK288" s="579"/>
      <c r="DL288" s="579"/>
      <c r="DM288" s="579"/>
      <c r="DN288" s="579"/>
      <c r="DO288" s="579"/>
      <c r="DP288" s="579"/>
    </row>
    <row r="289" spans="1:120" hidden="1" outlineLevel="1">
      <c r="A289" s="89">
        <v>1110052015</v>
      </c>
      <c r="B289" s="90"/>
      <c r="C289" s="91" t="s">
        <v>64</v>
      </c>
      <c r="D289" s="1481"/>
      <c r="E289" s="1482"/>
      <c r="F289" s="420"/>
      <c r="G289" s="1256"/>
      <c r="H289" s="421"/>
      <c r="I289" s="422"/>
      <c r="J289" s="1425">
        <v>1</v>
      </c>
      <c r="K289" s="1426">
        <v>1</v>
      </c>
      <c r="L289" s="423"/>
      <c r="M289" s="1594">
        <f t="shared" si="849"/>
        <v>0</v>
      </c>
      <c r="N289" s="415"/>
      <c r="O289" s="424">
        <f t="shared" si="837"/>
        <v>0</v>
      </c>
      <c r="P289" s="425"/>
      <c r="Q289" s="1340">
        <f t="shared" si="848"/>
        <v>0</v>
      </c>
      <c r="R289" s="426"/>
      <c r="S289" s="426"/>
      <c r="T289" s="427">
        <f t="shared" si="833"/>
        <v>0</v>
      </c>
      <c r="U289" s="418">
        <f t="shared" si="834"/>
        <v>0</v>
      </c>
      <c r="V289" s="517">
        <f t="shared" si="839"/>
        <v>0</v>
      </c>
      <c r="W289" s="428">
        <f t="shared" si="835"/>
        <v>0</v>
      </c>
      <c r="X289" s="429">
        <f t="shared" si="836"/>
        <v>0</v>
      </c>
      <c r="Y289" s="92"/>
      <c r="AA289" s="578"/>
      <c r="AB289" s="578"/>
      <c r="AC289" s="578"/>
      <c r="AD289" s="578"/>
      <c r="AE289" s="578"/>
      <c r="AF289" s="579"/>
      <c r="AG289" s="579"/>
      <c r="AH289" s="579"/>
      <c r="AI289" s="579"/>
      <c r="AJ289" s="579"/>
      <c r="AK289" s="579"/>
      <c r="AL289" s="2156">
        <f t="shared" si="858"/>
        <v>0</v>
      </c>
      <c r="AM289" s="579"/>
      <c r="AN289" s="579"/>
      <c r="AO289" s="579"/>
      <c r="AP289" s="579"/>
      <c r="AQ289" s="579"/>
      <c r="AR289" s="579"/>
      <c r="AS289" s="579"/>
      <c r="AT289" s="579"/>
      <c r="AU289" s="579"/>
      <c r="AV289" s="579"/>
      <c r="AW289" s="579"/>
      <c r="AX289" s="579"/>
      <c r="AY289" s="579"/>
      <c r="AZ289" s="579"/>
      <c r="BA289" s="579"/>
      <c r="BB289" s="579"/>
      <c r="BC289" s="579"/>
      <c r="BD289" s="579"/>
      <c r="BE289" s="579"/>
      <c r="BF289" s="579"/>
      <c r="BG289" s="579"/>
      <c r="BH289" s="595"/>
      <c r="BI289" s="579"/>
      <c r="BJ289" s="579"/>
      <c r="BK289" s="579"/>
      <c r="BL289" s="579"/>
      <c r="BM289" s="579"/>
      <c r="BN289" s="579"/>
      <c r="BO289" s="579"/>
      <c r="BP289" s="579"/>
      <c r="BQ289" s="579"/>
      <c r="BR289" s="579"/>
      <c r="BS289" s="579"/>
      <c r="BT289" s="579"/>
      <c r="BU289" s="579"/>
      <c r="BV289" s="579"/>
      <c r="BW289" s="594"/>
      <c r="BX289" s="579"/>
      <c r="BY289" s="579"/>
      <c r="BZ289" s="579"/>
      <c r="CA289" s="594"/>
      <c r="CB289" s="579"/>
      <c r="CC289" s="579"/>
      <c r="CD289" s="594"/>
      <c r="CE289" s="579"/>
      <c r="CF289" s="579"/>
      <c r="CG289" s="579"/>
      <c r="CH289" s="579"/>
      <c r="CI289" s="579"/>
      <c r="CJ289" s="579"/>
      <c r="CK289" s="579"/>
      <c r="CL289" s="579"/>
      <c r="CM289" s="579"/>
      <c r="CN289" s="579"/>
      <c r="CO289" s="579"/>
      <c r="CP289" s="579"/>
      <c r="CQ289" s="579"/>
      <c r="CR289" s="579"/>
      <c r="CS289" s="579"/>
      <c r="CT289" s="579"/>
      <c r="CU289" s="579"/>
      <c r="CV289" s="579"/>
      <c r="CW289" s="579"/>
      <c r="CX289" s="579"/>
      <c r="CY289" s="579"/>
      <c r="CZ289" s="579"/>
      <c r="DA289" s="579"/>
      <c r="DB289" s="579"/>
      <c r="DC289" s="579"/>
      <c r="DD289" s="579"/>
      <c r="DE289" s="579"/>
      <c r="DF289" s="579"/>
      <c r="DG289" s="579"/>
      <c r="DH289" s="579"/>
      <c r="DI289" s="579"/>
      <c r="DJ289" s="579"/>
      <c r="DK289" s="579"/>
      <c r="DL289" s="579"/>
      <c r="DM289" s="579"/>
      <c r="DN289" s="579"/>
      <c r="DO289" s="579"/>
      <c r="DP289" s="579"/>
    </row>
    <row r="290" spans="1:120" hidden="1" outlineLevel="1">
      <c r="A290" s="89">
        <v>1110052010</v>
      </c>
      <c r="B290" s="90"/>
      <c r="C290" s="91" t="s">
        <v>64</v>
      </c>
      <c r="D290" s="1481"/>
      <c r="E290" s="1482"/>
      <c r="F290" s="420"/>
      <c r="G290" s="1256"/>
      <c r="H290" s="421"/>
      <c r="I290" s="422"/>
      <c r="J290" s="1425">
        <v>1</v>
      </c>
      <c r="K290" s="1426">
        <v>1</v>
      </c>
      <c r="L290" s="423"/>
      <c r="M290" s="1594">
        <f t="shared" ref="M290:M299" si="859">+L290*J290</f>
        <v>0</v>
      </c>
      <c r="N290" s="415"/>
      <c r="O290" s="424">
        <f t="shared" ref="O290:O299" si="860">+L290*N290</f>
        <v>0</v>
      </c>
      <c r="P290" s="425"/>
      <c r="Q290" s="1340"/>
      <c r="R290" s="426"/>
      <c r="S290" s="426"/>
      <c r="T290" s="427">
        <f t="shared" ref="T290:T299" si="861">+P290*S290</f>
        <v>0</v>
      </c>
      <c r="U290" s="418">
        <f t="shared" ref="U290:U299" si="862">+L290+P290+F290</f>
        <v>0</v>
      </c>
      <c r="V290" s="517">
        <f t="shared" ref="V290:V299" si="863">+P290*R290+L290*N290+F290*H290</f>
        <v>0</v>
      </c>
      <c r="W290" s="428">
        <f t="shared" ref="W290:W299" si="864">(IF(R290&gt;S290,(-P290*R290)-(-P290*S290),0))</f>
        <v>0</v>
      </c>
      <c r="X290" s="429">
        <f t="shared" ref="X290:X299" si="865">(IF(R290&lt;S290,(-P290*R290)-(-P290*S290),0))</f>
        <v>0</v>
      </c>
      <c r="Y290" s="92"/>
      <c r="AA290" s="578"/>
      <c r="AB290" s="578"/>
      <c r="AC290" s="578"/>
      <c r="AD290" s="578"/>
      <c r="AE290" s="578"/>
      <c r="AF290" s="579"/>
      <c r="AG290" s="579"/>
      <c r="AH290" s="579"/>
      <c r="AI290" s="579"/>
      <c r="AJ290" s="579"/>
      <c r="AK290" s="579"/>
      <c r="AL290" s="1563"/>
      <c r="AM290" s="579"/>
      <c r="AN290" s="579"/>
      <c r="AO290" s="579"/>
      <c r="AP290" s="579"/>
      <c r="AQ290" s="579"/>
      <c r="AR290" s="579"/>
      <c r="AS290" s="579"/>
      <c r="AT290" s="579"/>
      <c r="AU290" s="579"/>
      <c r="AV290" s="579"/>
      <c r="AW290" s="579"/>
      <c r="AX290" s="579"/>
      <c r="AY290" s="579"/>
      <c r="AZ290" s="579"/>
      <c r="BA290" s="579"/>
      <c r="BB290" s="579"/>
      <c r="BC290" s="579"/>
      <c r="BD290" s="579"/>
      <c r="BE290" s="579"/>
      <c r="BF290" s="579"/>
      <c r="BG290" s="595"/>
      <c r="BH290" s="579"/>
      <c r="BI290" s="579"/>
      <c r="BJ290" s="579"/>
      <c r="BK290" s="579"/>
      <c r="BL290" s="579"/>
      <c r="BM290" s="579"/>
      <c r="BN290" s="579"/>
      <c r="BO290" s="579"/>
      <c r="BP290" s="579"/>
      <c r="BQ290" s="579"/>
      <c r="BR290" s="579"/>
      <c r="BS290" s="579"/>
      <c r="BT290" s="595"/>
      <c r="BU290" s="579"/>
      <c r="BV290" s="594"/>
      <c r="BW290" s="579"/>
      <c r="BX290" s="579"/>
      <c r="BY290" s="579"/>
      <c r="BZ290" s="594"/>
      <c r="CA290" s="579"/>
      <c r="CB290" s="579"/>
      <c r="CC290" s="579"/>
      <c r="CD290" s="594"/>
      <c r="CE290" s="579"/>
      <c r="CF290" s="579"/>
      <c r="CG290" s="579"/>
      <c r="CH290" s="579"/>
      <c r="CI290" s="579"/>
      <c r="CJ290" s="579"/>
      <c r="CK290" s="579"/>
      <c r="CL290" s="579"/>
      <c r="CM290" s="579"/>
      <c r="CN290" s="579"/>
      <c r="CO290" s="594">
        <f>+M290</f>
        <v>0</v>
      </c>
      <c r="CP290" s="579"/>
      <c r="CQ290" s="579"/>
      <c r="CR290" s="579"/>
      <c r="CS290" s="579"/>
      <c r="CT290" s="579"/>
      <c r="CU290" s="579"/>
      <c r="CV290" s="579"/>
      <c r="CW290" s="579"/>
      <c r="CX290" s="579"/>
      <c r="CY290" s="579"/>
      <c r="CZ290" s="579"/>
      <c r="DA290" s="579"/>
      <c r="DB290" s="579"/>
      <c r="DC290" s="579"/>
      <c r="DD290" s="579"/>
      <c r="DE290" s="579"/>
      <c r="DF290" s="579"/>
      <c r="DG290" s="579"/>
      <c r="DH290" s="579"/>
      <c r="DI290" s="579"/>
      <c r="DJ290" s="579"/>
      <c r="DK290" s="579"/>
      <c r="DL290" s="579"/>
      <c r="DM290" s="579"/>
      <c r="DN290" s="579"/>
      <c r="DO290" s="579"/>
      <c r="DP290" s="579"/>
    </row>
    <row r="291" spans="1:120" ht="15.75" hidden="1" customHeight="1" outlineLevel="1">
      <c r="A291" s="89">
        <v>1110052010</v>
      </c>
      <c r="B291" s="90"/>
      <c r="C291" s="91" t="s">
        <v>64</v>
      </c>
      <c r="D291" s="1481"/>
      <c r="E291" s="1482"/>
      <c r="F291" s="420"/>
      <c r="G291" s="1256"/>
      <c r="H291" s="421"/>
      <c r="I291" s="422"/>
      <c r="J291" s="1425">
        <v>1</v>
      </c>
      <c r="K291" s="1426">
        <v>1</v>
      </c>
      <c r="L291" s="423"/>
      <c r="M291" s="1594">
        <f t="shared" si="859"/>
        <v>0</v>
      </c>
      <c r="N291" s="415"/>
      <c r="O291" s="424">
        <f t="shared" si="860"/>
        <v>0</v>
      </c>
      <c r="P291" s="425"/>
      <c r="Q291" s="1340"/>
      <c r="R291" s="426"/>
      <c r="S291" s="426"/>
      <c r="T291" s="427">
        <f t="shared" si="861"/>
        <v>0</v>
      </c>
      <c r="U291" s="418">
        <f t="shared" si="862"/>
        <v>0</v>
      </c>
      <c r="V291" s="517">
        <f t="shared" si="863"/>
        <v>0</v>
      </c>
      <c r="W291" s="428">
        <f t="shared" si="864"/>
        <v>0</v>
      </c>
      <c r="X291" s="429">
        <f t="shared" si="865"/>
        <v>0</v>
      </c>
      <c r="Y291" s="92"/>
      <c r="AA291" s="578"/>
      <c r="AB291" s="578"/>
      <c r="AC291" s="578"/>
      <c r="AD291" s="578"/>
      <c r="AE291" s="578"/>
      <c r="AF291" s="579"/>
      <c r="AG291" s="579"/>
      <c r="AH291" s="579"/>
      <c r="AI291" s="579"/>
      <c r="AJ291" s="579"/>
      <c r="AK291" s="579"/>
      <c r="AL291" s="1563"/>
      <c r="AM291" s="579"/>
      <c r="AN291" s="579"/>
      <c r="AO291" s="579"/>
      <c r="AP291" s="579"/>
      <c r="AQ291" s="579"/>
      <c r="AR291" s="579"/>
      <c r="AS291" s="579"/>
      <c r="AT291" s="579"/>
      <c r="AU291" s="579"/>
      <c r="AV291" s="579"/>
      <c r="AW291" s="579"/>
      <c r="AX291" s="579"/>
      <c r="AY291" s="579"/>
      <c r="AZ291" s="579"/>
      <c r="BA291" s="579"/>
      <c r="BB291" s="579"/>
      <c r="BC291" s="579"/>
      <c r="BD291" s="579"/>
      <c r="BE291" s="579"/>
      <c r="BF291" s="579"/>
      <c r="BG291" s="595"/>
      <c r="BH291" s="579"/>
      <c r="BI291" s="579"/>
      <c r="BJ291" s="579"/>
      <c r="BK291" s="579"/>
      <c r="BL291" s="579"/>
      <c r="BM291" s="579"/>
      <c r="BN291" s="579"/>
      <c r="BO291" s="579"/>
      <c r="BP291" s="579"/>
      <c r="BQ291" s="579"/>
      <c r="BR291" s="579"/>
      <c r="BS291" s="579"/>
      <c r="BT291" s="579"/>
      <c r="BU291" s="595"/>
      <c r="BV291" s="594"/>
      <c r="BW291" s="579"/>
      <c r="BX291" s="579"/>
      <c r="BY291" s="579"/>
      <c r="BZ291" s="594"/>
      <c r="CA291" s="579"/>
      <c r="CB291" s="579"/>
      <c r="CC291" s="579"/>
      <c r="CD291" s="594"/>
      <c r="CE291" s="579"/>
      <c r="CF291" s="579"/>
      <c r="CG291" s="579"/>
      <c r="CH291" s="579"/>
      <c r="CI291" s="579"/>
      <c r="CJ291" s="579"/>
      <c r="CK291" s="579"/>
      <c r="CL291" s="579"/>
      <c r="CM291" s="579"/>
      <c r="CN291" s="579"/>
      <c r="CO291" s="594">
        <f>+M291</f>
        <v>0</v>
      </c>
      <c r="CP291" s="579"/>
      <c r="CQ291" s="579"/>
      <c r="CR291" s="579"/>
      <c r="CS291" s="579"/>
      <c r="CT291" s="579"/>
      <c r="CU291" s="579"/>
      <c r="CV291" s="579"/>
      <c r="CW291" s="579"/>
      <c r="CX291" s="579"/>
      <c r="CY291" s="579"/>
      <c r="CZ291" s="579"/>
      <c r="DA291" s="579"/>
      <c r="DB291" s="579"/>
      <c r="DC291" s="579"/>
      <c r="DD291" s="579"/>
      <c r="DE291" s="579"/>
      <c r="DF291" s="579"/>
      <c r="DG291" s="579"/>
      <c r="DH291" s="579"/>
      <c r="DI291" s="579"/>
      <c r="DJ291" s="579"/>
      <c r="DK291" s="579"/>
      <c r="DL291" s="579"/>
      <c r="DM291" s="579"/>
      <c r="DN291" s="579"/>
      <c r="DO291" s="579"/>
      <c r="DP291" s="579"/>
    </row>
    <row r="292" spans="1:120" hidden="1" outlineLevel="1">
      <c r="A292" s="89">
        <v>1110052010</v>
      </c>
      <c r="B292" s="90"/>
      <c r="C292" s="91" t="s">
        <v>64</v>
      </c>
      <c r="D292" s="1481"/>
      <c r="E292" s="1482"/>
      <c r="F292" s="420"/>
      <c r="G292" s="1256"/>
      <c r="H292" s="421"/>
      <c r="I292" s="422"/>
      <c r="J292" s="1425">
        <v>1</v>
      </c>
      <c r="K292" s="1426">
        <v>1</v>
      </c>
      <c r="L292" s="423"/>
      <c r="M292" s="1594">
        <f t="shared" si="859"/>
        <v>0</v>
      </c>
      <c r="N292" s="415"/>
      <c r="O292" s="424">
        <f t="shared" si="860"/>
        <v>0</v>
      </c>
      <c r="P292" s="425"/>
      <c r="Q292" s="1340">
        <f t="shared" ref="Q292:Q294" si="866">+P292*K292</f>
        <v>0</v>
      </c>
      <c r="R292" s="426"/>
      <c r="S292" s="426"/>
      <c r="T292" s="427">
        <f t="shared" si="861"/>
        <v>0</v>
      </c>
      <c r="U292" s="418">
        <f t="shared" si="862"/>
        <v>0</v>
      </c>
      <c r="V292" s="517">
        <f t="shared" si="863"/>
        <v>0</v>
      </c>
      <c r="W292" s="428">
        <f t="shared" si="864"/>
        <v>0</v>
      </c>
      <c r="X292" s="429">
        <f t="shared" si="865"/>
        <v>0</v>
      </c>
      <c r="Y292" s="92"/>
      <c r="AA292" s="578"/>
      <c r="AB292" s="578"/>
      <c r="AC292" s="578"/>
      <c r="AD292" s="578"/>
      <c r="AE292" s="578"/>
      <c r="AF292" s="579"/>
      <c r="AG292" s="579"/>
      <c r="AH292" s="579"/>
      <c r="AI292" s="579"/>
      <c r="AJ292" s="579"/>
      <c r="AK292" s="579"/>
      <c r="AL292" s="1563"/>
      <c r="AM292" s="579"/>
      <c r="AN292" s="579"/>
      <c r="AO292" s="579"/>
      <c r="AP292" s="579"/>
      <c r="AQ292" s="579"/>
      <c r="AR292" s="579"/>
      <c r="AS292" s="579"/>
      <c r="AT292" s="579"/>
      <c r="AU292" s="579"/>
      <c r="AV292" s="579"/>
      <c r="AW292" s="579"/>
      <c r="AX292" s="579"/>
      <c r="AY292" s="579"/>
      <c r="AZ292" s="579"/>
      <c r="BA292" s="579"/>
      <c r="BB292" s="579"/>
      <c r="BC292" s="579"/>
      <c r="BD292" s="579"/>
      <c r="BE292" s="579"/>
      <c r="BF292" s="579"/>
      <c r="BG292" s="579"/>
      <c r="BH292" s="595"/>
      <c r="BI292" s="579"/>
      <c r="BJ292" s="579"/>
      <c r="BK292" s="579"/>
      <c r="BL292" s="579"/>
      <c r="BM292" s="579"/>
      <c r="BN292" s="579"/>
      <c r="BO292" s="579"/>
      <c r="BP292" s="579"/>
      <c r="BQ292" s="579"/>
      <c r="BR292" s="579"/>
      <c r="BS292" s="579"/>
      <c r="BT292" s="579"/>
      <c r="BU292" s="579"/>
      <c r="BV292" s="594"/>
      <c r="BW292" s="579"/>
      <c r="BX292" s="579"/>
      <c r="BY292" s="579"/>
      <c r="BZ292" s="594"/>
      <c r="CA292" s="579"/>
      <c r="CB292" s="579"/>
      <c r="CC292" s="579"/>
      <c r="CD292" s="594"/>
      <c r="CE292" s="579"/>
      <c r="CF292" s="579"/>
      <c r="CG292" s="579"/>
      <c r="CH292" s="579"/>
      <c r="CI292" s="579"/>
      <c r="CJ292" s="579"/>
      <c r="CK292" s="579"/>
      <c r="CL292" s="579"/>
      <c r="CM292" s="579"/>
      <c r="CN292" s="579"/>
      <c r="CO292" s="594">
        <f>+Q292</f>
        <v>0</v>
      </c>
      <c r="CP292" s="579"/>
      <c r="CQ292" s="579"/>
      <c r="CR292" s="579"/>
      <c r="CS292" s="579"/>
      <c r="CT292" s="579"/>
      <c r="CU292" s="579"/>
      <c r="CV292" s="579"/>
      <c r="CW292" s="579"/>
      <c r="CX292" s="579"/>
      <c r="CY292" s="579"/>
      <c r="CZ292" s="579"/>
      <c r="DA292" s="579"/>
      <c r="DB292" s="579"/>
      <c r="DC292" s="579"/>
      <c r="DD292" s="579"/>
      <c r="DE292" s="579"/>
      <c r="DF292" s="579"/>
      <c r="DG292" s="579"/>
      <c r="DH292" s="579"/>
      <c r="DI292" s="579"/>
      <c r="DJ292" s="579"/>
      <c r="DK292" s="579"/>
      <c r="DL292" s="579"/>
      <c r="DM292" s="579"/>
      <c r="DN292" s="579"/>
      <c r="DO292" s="579"/>
      <c r="DP292" s="579"/>
    </row>
    <row r="293" spans="1:120" hidden="1" outlineLevel="1">
      <c r="A293" s="89">
        <v>1110052015</v>
      </c>
      <c r="B293" s="90"/>
      <c r="C293" s="91" t="s">
        <v>64</v>
      </c>
      <c r="D293" s="1481"/>
      <c r="E293" s="1482"/>
      <c r="F293" s="420"/>
      <c r="G293" s="1256"/>
      <c r="H293" s="421"/>
      <c r="I293" s="422"/>
      <c r="J293" s="1425">
        <v>1</v>
      </c>
      <c r="K293" s="1426">
        <v>1</v>
      </c>
      <c r="L293" s="423"/>
      <c r="M293" s="1594">
        <f t="shared" si="859"/>
        <v>0</v>
      </c>
      <c r="N293" s="415"/>
      <c r="O293" s="424">
        <f t="shared" si="860"/>
        <v>0</v>
      </c>
      <c r="P293" s="425"/>
      <c r="Q293" s="1340">
        <f t="shared" si="866"/>
        <v>0</v>
      </c>
      <c r="R293" s="426"/>
      <c r="S293" s="426"/>
      <c r="T293" s="427">
        <f t="shared" si="861"/>
        <v>0</v>
      </c>
      <c r="U293" s="418">
        <f t="shared" si="862"/>
        <v>0</v>
      </c>
      <c r="V293" s="517">
        <f t="shared" si="863"/>
        <v>0</v>
      </c>
      <c r="W293" s="428">
        <f t="shared" si="864"/>
        <v>0</v>
      </c>
      <c r="X293" s="429">
        <f t="shared" si="865"/>
        <v>0</v>
      </c>
      <c r="Y293" s="92"/>
      <c r="AA293" s="578"/>
      <c r="AB293" s="578"/>
      <c r="AC293" s="578"/>
      <c r="AD293" s="578"/>
      <c r="AE293" s="578"/>
      <c r="AF293" s="579"/>
      <c r="AG293" s="579"/>
      <c r="AH293" s="579"/>
      <c r="AI293" s="579"/>
      <c r="AJ293" s="579"/>
      <c r="AK293" s="579"/>
      <c r="AL293" s="1563"/>
      <c r="AM293" s="579"/>
      <c r="AN293" s="579"/>
      <c r="AO293" s="579"/>
      <c r="AP293" s="579"/>
      <c r="AQ293" s="579"/>
      <c r="AR293" s="579"/>
      <c r="AS293" s="579"/>
      <c r="AT293" s="579"/>
      <c r="AU293" s="579"/>
      <c r="AV293" s="579"/>
      <c r="AW293" s="579"/>
      <c r="AX293" s="579"/>
      <c r="AY293" s="579"/>
      <c r="AZ293" s="579"/>
      <c r="BA293" s="579"/>
      <c r="BB293" s="579"/>
      <c r="BC293" s="579"/>
      <c r="BD293" s="579"/>
      <c r="BE293" s="579"/>
      <c r="BF293" s="579"/>
      <c r="BG293" s="579"/>
      <c r="BH293" s="595"/>
      <c r="BI293" s="579"/>
      <c r="BJ293" s="579"/>
      <c r="BK293" s="579"/>
      <c r="BL293" s="579"/>
      <c r="BM293" s="579"/>
      <c r="BN293" s="579"/>
      <c r="BO293" s="579"/>
      <c r="BP293" s="579"/>
      <c r="BQ293" s="579"/>
      <c r="BR293" s="579"/>
      <c r="BS293" s="579"/>
      <c r="BT293" s="579"/>
      <c r="BU293" s="579"/>
      <c r="BV293" s="594"/>
      <c r="BW293" s="579"/>
      <c r="BX293" s="579"/>
      <c r="BY293" s="579"/>
      <c r="BZ293" s="594"/>
      <c r="CA293" s="579"/>
      <c r="CB293" s="579"/>
      <c r="CC293" s="579"/>
      <c r="CD293" s="594"/>
      <c r="CE293" s="579"/>
      <c r="CF293" s="579"/>
      <c r="CG293" s="579"/>
      <c r="CH293" s="579"/>
      <c r="CI293" s="579"/>
      <c r="CJ293" s="579"/>
      <c r="CK293" s="579"/>
      <c r="CL293" s="579"/>
      <c r="CM293" s="579"/>
      <c r="CN293" s="579"/>
      <c r="CO293" s="594">
        <f>+Q293</f>
        <v>0</v>
      </c>
      <c r="CP293" s="579"/>
      <c r="CQ293" s="579"/>
      <c r="CR293" s="579"/>
      <c r="CS293" s="579"/>
      <c r="CT293" s="579"/>
      <c r="CU293" s="579"/>
      <c r="CV293" s="579"/>
      <c r="CW293" s="579"/>
      <c r="CX293" s="579"/>
      <c r="CY293" s="579"/>
      <c r="CZ293" s="579"/>
      <c r="DA293" s="579"/>
      <c r="DB293" s="579"/>
      <c r="DC293" s="579"/>
      <c r="DD293" s="579"/>
      <c r="DE293" s="579"/>
      <c r="DF293" s="579"/>
      <c r="DG293" s="579"/>
      <c r="DH293" s="579"/>
      <c r="DI293" s="579"/>
      <c r="DJ293" s="579"/>
      <c r="DK293" s="579"/>
      <c r="DL293" s="579"/>
      <c r="DM293" s="579"/>
      <c r="DN293" s="579"/>
      <c r="DO293" s="579"/>
      <c r="DP293" s="579"/>
    </row>
    <row r="294" spans="1:120" hidden="1" outlineLevel="1">
      <c r="A294" s="89">
        <v>1110052015</v>
      </c>
      <c r="B294" s="90"/>
      <c r="C294" s="91" t="s">
        <v>64</v>
      </c>
      <c r="D294" s="1481"/>
      <c r="E294" s="1482"/>
      <c r="F294" s="420"/>
      <c r="G294" s="1256"/>
      <c r="H294" s="421"/>
      <c r="I294" s="422"/>
      <c r="J294" s="1425">
        <v>1</v>
      </c>
      <c r="K294" s="1426">
        <v>1</v>
      </c>
      <c r="L294" s="423"/>
      <c r="M294" s="1594">
        <f t="shared" si="859"/>
        <v>0</v>
      </c>
      <c r="N294" s="415"/>
      <c r="O294" s="424">
        <f t="shared" si="860"/>
        <v>0</v>
      </c>
      <c r="P294" s="425"/>
      <c r="Q294" s="1340">
        <f t="shared" si="866"/>
        <v>0</v>
      </c>
      <c r="R294" s="426"/>
      <c r="S294" s="426"/>
      <c r="T294" s="427">
        <f t="shared" si="861"/>
        <v>0</v>
      </c>
      <c r="U294" s="418">
        <f t="shared" si="862"/>
        <v>0</v>
      </c>
      <c r="V294" s="517">
        <f t="shared" si="863"/>
        <v>0</v>
      </c>
      <c r="W294" s="428">
        <f t="shared" si="864"/>
        <v>0</v>
      </c>
      <c r="X294" s="429">
        <f t="shared" si="865"/>
        <v>0</v>
      </c>
      <c r="Y294" s="92"/>
      <c r="AA294" s="578"/>
      <c r="AB294" s="578"/>
      <c r="AC294" s="578"/>
      <c r="AD294" s="578"/>
      <c r="AE294" s="578"/>
      <c r="AF294" s="579"/>
      <c r="AG294" s="579"/>
      <c r="AH294" s="579"/>
      <c r="AI294" s="579"/>
      <c r="AJ294" s="579"/>
      <c r="AK294" s="579"/>
      <c r="AL294" s="1563"/>
      <c r="AM294" s="579"/>
      <c r="AN294" s="579"/>
      <c r="AO294" s="579"/>
      <c r="AP294" s="579"/>
      <c r="AQ294" s="579"/>
      <c r="AR294" s="579"/>
      <c r="AS294" s="579"/>
      <c r="AT294" s="579"/>
      <c r="AU294" s="579"/>
      <c r="AV294" s="579"/>
      <c r="AW294" s="579"/>
      <c r="AX294" s="579"/>
      <c r="AY294" s="579"/>
      <c r="AZ294" s="579"/>
      <c r="BA294" s="579"/>
      <c r="BB294" s="579"/>
      <c r="BC294" s="579"/>
      <c r="BD294" s="579"/>
      <c r="BE294" s="579"/>
      <c r="BF294" s="579"/>
      <c r="BG294" s="579"/>
      <c r="BH294" s="595"/>
      <c r="BI294" s="579"/>
      <c r="BJ294" s="579"/>
      <c r="BK294" s="579"/>
      <c r="BL294" s="579"/>
      <c r="BM294" s="579"/>
      <c r="BN294" s="579"/>
      <c r="BO294" s="579"/>
      <c r="BP294" s="579"/>
      <c r="BQ294" s="579"/>
      <c r="BR294" s="579"/>
      <c r="BS294" s="579"/>
      <c r="BT294" s="579"/>
      <c r="BU294" s="579"/>
      <c r="BV294" s="579"/>
      <c r="BW294" s="594"/>
      <c r="BX294" s="579"/>
      <c r="BY294" s="579"/>
      <c r="BZ294" s="579"/>
      <c r="CA294" s="594"/>
      <c r="CB294" s="579"/>
      <c r="CC294" s="579"/>
      <c r="CD294" s="594"/>
      <c r="CE294" s="579"/>
      <c r="CF294" s="579"/>
      <c r="CG294" s="579"/>
      <c r="CH294" s="579"/>
      <c r="CI294" s="579"/>
      <c r="CJ294" s="579"/>
      <c r="CK294" s="579"/>
      <c r="CL294" s="579"/>
      <c r="CM294" s="579"/>
      <c r="CN294" s="579"/>
      <c r="CO294" s="594">
        <f>+Q294</f>
        <v>0</v>
      </c>
      <c r="CP294" s="579"/>
      <c r="CQ294" s="579"/>
      <c r="CR294" s="579"/>
      <c r="CS294" s="579"/>
      <c r="CT294" s="579"/>
      <c r="CU294" s="579"/>
      <c r="CV294" s="579"/>
      <c r="CW294" s="579"/>
      <c r="CX294" s="579"/>
      <c r="CY294" s="579"/>
      <c r="CZ294" s="579"/>
      <c r="DA294" s="579"/>
      <c r="DB294" s="579"/>
      <c r="DC294" s="579"/>
      <c r="DD294" s="579"/>
      <c r="DE294" s="579"/>
      <c r="DF294" s="579"/>
      <c r="DG294" s="579"/>
      <c r="DH294" s="579"/>
      <c r="DI294" s="579"/>
      <c r="DJ294" s="579"/>
      <c r="DK294" s="579"/>
      <c r="DL294" s="579"/>
      <c r="DM294" s="579"/>
      <c r="DN294" s="579"/>
      <c r="DO294" s="579"/>
      <c r="DP294" s="579"/>
    </row>
    <row r="295" spans="1:120" s="116" customFormat="1" hidden="1" outlineLevel="1">
      <c r="A295" s="100">
        <v>1110052015</v>
      </c>
      <c r="B295" s="1216"/>
      <c r="C295" s="101" t="s">
        <v>64</v>
      </c>
      <c r="D295" s="1629"/>
      <c r="E295" s="1630"/>
      <c r="F295" s="102"/>
      <c r="G295" s="1258"/>
      <c r="H295" s="103"/>
      <c r="I295" s="104"/>
      <c r="J295" s="1604">
        <v>1</v>
      </c>
      <c r="K295" s="1605">
        <v>1</v>
      </c>
      <c r="L295" s="105"/>
      <c r="M295" s="1697">
        <f t="shared" si="859"/>
        <v>0</v>
      </c>
      <c r="N295" s="106"/>
      <c r="O295" s="107">
        <f t="shared" si="860"/>
        <v>0</v>
      </c>
      <c r="P295" s="108"/>
      <c r="Q295" s="1342"/>
      <c r="R295" s="109"/>
      <c r="S295" s="109"/>
      <c r="T295" s="110">
        <f t="shared" si="861"/>
        <v>0</v>
      </c>
      <c r="U295" s="111">
        <f t="shared" si="862"/>
        <v>0</v>
      </c>
      <c r="V295" s="566">
        <f t="shared" si="863"/>
        <v>0</v>
      </c>
      <c r="W295" s="112">
        <f t="shared" si="864"/>
        <v>0</v>
      </c>
      <c r="X295" s="113">
        <f t="shared" si="865"/>
        <v>0</v>
      </c>
      <c r="Y295" s="114"/>
      <c r="Z295" s="115"/>
      <c r="AA295" s="1217"/>
      <c r="AB295" s="2162">
        <f>+M295</f>
        <v>0</v>
      </c>
      <c r="AC295" s="1217"/>
      <c r="AD295" s="1217"/>
      <c r="AE295" s="1217"/>
      <c r="AF295" s="1218"/>
      <c r="AG295" s="1218"/>
      <c r="AH295" s="1218"/>
      <c r="AI295" s="1218"/>
      <c r="AJ295" s="1218"/>
      <c r="AK295" s="1218"/>
      <c r="AL295" s="1566"/>
      <c r="AM295" s="1218"/>
      <c r="AN295" s="1218"/>
      <c r="AO295" s="1218"/>
      <c r="AP295" s="1218"/>
      <c r="AQ295" s="1218"/>
      <c r="AR295" s="1218"/>
      <c r="AS295" s="1218"/>
      <c r="AT295" s="1218"/>
      <c r="AU295" s="1218"/>
      <c r="AV295" s="1218"/>
      <c r="AW295" s="1218"/>
      <c r="AX295" s="1218"/>
      <c r="AY295" s="1218"/>
      <c r="AZ295" s="1218"/>
      <c r="BA295" s="1218"/>
      <c r="BB295" s="1218"/>
      <c r="BC295" s="1218"/>
      <c r="BD295" s="1218"/>
      <c r="BE295" s="1218"/>
      <c r="BF295" s="1218"/>
      <c r="BG295" s="1218"/>
      <c r="BH295" s="1219"/>
      <c r="BI295" s="1218"/>
      <c r="BJ295" s="1218"/>
      <c r="BK295" s="1218"/>
      <c r="BL295" s="1218"/>
      <c r="BM295" s="1218"/>
      <c r="BN295" s="1218"/>
      <c r="BO295" s="1218"/>
      <c r="BP295" s="1218"/>
      <c r="BQ295" s="1218"/>
      <c r="BR295" s="1218"/>
      <c r="BS295" s="1218"/>
      <c r="BT295" s="1218"/>
      <c r="BU295" s="1218"/>
      <c r="BV295" s="1218"/>
      <c r="BW295" s="1220"/>
      <c r="BX295" s="1218"/>
      <c r="BY295" s="1218"/>
      <c r="BZ295" s="1218"/>
      <c r="CA295" s="1220"/>
      <c r="CB295" s="1218"/>
      <c r="CC295" s="1218"/>
      <c r="CD295" s="1220"/>
      <c r="CE295" s="1218"/>
      <c r="CF295" s="1218"/>
      <c r="CG295" s="1218"/>
      <c r="CH295" s="1218"/>
      <c r="CI295" s="1218"/>
      <c r="CJ295" s="1218"/>
      <c r="CK295" s="1218"/>
      <c r="CL295" s="1218"/>
      <c r="CM295" s="1220" t="s">
        <v>294</v>
      </c>
      <c r="CN295" s="1218"/>
      <c r="CO295" s="1218"/>
      <c r="CP295" s="1218"/>
      <c r="CQ295" s="1218"/>
      <c r="CR295" s="1218"/>
      <c r="CS295" s="1218"/>
      <c r="CT295" s="1218"/>
      <c r="CU295" s="1218"/>
      <c r="CV295" s="1218"/>
      <c r="CW295" s="1218"/>
      <c r="CX295" s="1218"/>
      <c r="CY295" s="1218"/>
      <c r="CZ295" s="1218"/>
      <c r="DA295" s="1218"/>
      <c r="DB295" s="1218"/>
      <c r="DC295" s="1218"/>
      <c r="DD295" s="1218"/>
      <c r="DE295" s="1218"/>
      <c r="DF295" s="1218"/>
      <c r="DG295" s="1218"/>
      <c r="DH295" s="1218"/>
      <c r="DI295" s="1218"/>
      <c r="DJ295" s="1218"/>
      <c r="DK295" s="1218"/>
      <c r="DL295" s="1218"/>
      <c r="DM295" s="1218"/>
      <c r="DN295" s="1218"/>
      <c r="DO295" s="1218"/>
      <c r="DP295" s="1218"/>
    </row>
    <row r="296" spans="1:120" s="116" customFormat="1" hidden="1" outlineLevel="1">
      <c r="A296" s="100">
        <v>1110052015</v>
      </c>
      <c r="B296" s="1216"/>
      <c r="C296" s="101" t="s">
        <v>64</v>
      </c>
      <c r="D296" s="1629"/>
      <c r="E296" s="1630"/>
      <c r="F296" s="102"/>
      <c r="G296" s="1258"/>
      <c r="H296" s="103"/>
      <c r="I296" s="104"/>
      <c r="J296" s="1604">
        <v>1</v>
      </c>
      <c r="K296" s="1605">
        <v>1</v>
      </c>
      <c r="L296" s="105"/>
      <c r="M296" s="1697">
        <f t="shared" ref="M296" si="867">+L296*J296</f>
        <v>0</v>
      </c>
      <c r="N296" s="106"/>
      <c r="O296" s="107">
        <f t="shared" ref="O296" si="868">+L296*N296</f>
        <v>0</v>
      </c>
      <c r="P296" s="108"/>
      <c r="Q296" s="1342"/>
      <c r="R296" s="109"/>
      <c r="S296" s="109"/>
      <c r="T296" s="110">
        <f t="shared" ref="T296" si="869">+P296*S296</f>
        <v>0</v>
      </c>
      <c r="U296" s="111">
        <f t="shared" ref="U296" si="870">+L296+P296+F296</f>
        <v>0</v>
      </c>
      <c r="V296" s="566">
        <f t="shared" ref="V296" si="871">+P296*R296+L296*N296+F296*H296</f>
        <v>0</v>
      </c>
      <c r="W296" s="112">
        <f t="shared" ref="W296" si="872">(IF(R296&gt;S296,(-P296*R296)-(-P296*S296),0))</f>
        <v>0</v>
      </c>
      <c r="X296" s="113">
        <f t="shared" ref="X296" si="873">(IF(R296&lt;S296,(-P296*R296)-(-P296*S296),0))</f>
        <v>0</v>
      </c>
      <c r="Y296" s="114"/>
      <c r="Z296" s="115"/>
      <c r="AA296" s="1217"/>
      <c r="AB296" s="1217"/>
      <c r="AC296" s="1217"/>
      <c r="AD296" s="1217"/>
      <c r="AE296" s="1217"/>
      <c r="AF296" s="1218"/>
      <c r="AG296" s="1218"/>
      <c r="AH296" s="1218"/>
      <c r="AI296" s="1218"/>
      <c r="AJ296" s="1220"/>
      <c r="AK296" s="1218"/>
      <c r="AL296" s="2157">
        <f>+M296</f>
        <v>0</v>
      </c>
      <c r="AM296" s="1218"/>
      <c r="AN296" s="1218"/>
      <c r="AO296" s="1218"/>
      <c r="AP296" s="1218"/>
      <c r="AQ296" s="1218"/>
      <c r="AR296" s="1218"/>
      <c r="AS296" s="1218"/>
      <c r="AT296" s="1218"/>
      <c r="AU296" s="1218"/>
      <c r="AV296" s="1218"/>
      <c r="AW296" s="1218"/>
      <c r="AX296" s="1218"/>
      <c r="AY296" s="1218"/>
      <c r="AZ296" s="1218"/>
      <c r="BA296" s="1218"/>
      <c r="BB296" s="1218"/>
      <c r="BC296" s="1218"/>
      <c r="BD296" s="1218"/>
      <c r="BE296" s="1218"/>
      <c r="BF296" s="1218"/>
      <c r="BG296" s="1218"/>
      <c r="BH296" s="1219"/>
      <c r="BI296" s="1218"/>
      <c r="BJ296" s="1218"/>
      <c r="BK296" s="1218"/>
      <c r="BL296" s="1218"/>
      <c r="BM296" s="1218"/>
      <c r="BN296" s="1218"/>
      <c r="BO296" s="1218"/>
      <c r="BP296" s="1218"/>
      <c r="BQ296" s="1218"/>
      <c r="BR296" s="1218"/>
      <c r="BS296" s="1218"/>
      <c r="BT296" s="1218"/>
      <c r="BU296" s="1218"/>
      <c r="BV296" s="1218"/>
      <c r="BW296" s="1220"/>
      <c r="BX296" s="1218"/>
      <c r="BY296" s="1218"/>
      <c r="BZ296" s="1218"/>
      <c r="CA296" s="1220"/>
      <c r="CB296" s="1218"/>
      <c r="CC296" s="1218"/>
      <c r="CD296" s="1220"/>
      <c r="CE296" s="1218"/>
      <c r="CF296" s="1218"/>
      <c r="CG296" s="1218"/>
      <c r="CH296" s="1218"/>
      <c r="CI296" s="1218"/>
      <c r="CJ296" s="1218"/>
      <c r="CK296" s="1218"/>
      <c r="CL296" s="1218"/>
      <c r="CM296" s="1218"/>
      <c r="CN296" s="1220" t="s">
        <v>294</v>
      </c>
      <c r="CO296" s="1218"/>
      <c r="CP296" s="1218"/>
      <c r="CQ296" s="1218"/>
      <c r="CR296" s="1218"/>
      <c r="CS296" s="1218"/>
      <c r="CT296" s="1218"/>
      <c r="CU296" s="1218"/>
      <c r="CV296" s="1218"/>
      <c r="CW296" s="1218"/>
      <c r="CX296" s="1218"/>
      <c r="CY296" s="1218"/>
      <c r="CZ296" s="1218"/>
      <c r="DA296" s="1218"/>
      <c r="DB296" s="1218"/>
      <c r="DC296" s="1218"/>
      <c r="DD296" s="1218"/>
      <c r="DE296" s="1218"/>
      <c r="DF296" s="1218"/>
      <c r="DG296" s="1218"/>
      <c r="DH296" s="1218"/>
      <c r="DI296" s="1218"/>
      <c r="DJ296" s="1218"/>
      <c r="DK296" s="1218"/>
      <c r="DL296" s="1218"/>
      <c r="DM296" s="1218"/>
      <c r="DN296" s="1218"/>
      <c r="DO296" s="1218"/>
      <c r="DP296" s="1218"/>
    </row>
    <row r="297" spans="1:120" s="116" customFormat="1" hidden="1" outlineLevel="1">
      <c r="A297" s="100">
        <v>1110052015</v>
      </c>
      <c r="B297" s="1216"/>
      <c r="C297" s="101" t="s">
        <v>64</v>
      </c>
      <c r="D297" s="1629"/>
      <c r="E297" s="1630"/>
      <c r="F297" s="102"/>
      <c r="G297" s="1258"/>
      <c r="H297" s="103"/>
      <c r="I297" s="104"/>
      <c r="J297" s="1604">
        <v>1</v>
      </c>
      <c r="K297" s="1605">
        <v>1</v>
      </c>
      <c r="L297" s="105"/>
      <c r="M297" s="1697">
        <f t="shared" ref="M297" si="874">+L297*J297</f>
        <v>0</v>
      </c>
      <c r="N297" s="106"/>
      <c r="O297" s="107">
        <f t="shared" ref="O297" si="875">+L297*N297</f>
        <v>0</v>
      </c>
      <c r="P297" s="108"/>
      <c r="Q297" s="1342"/>
      <c r="R297" s="109"/>
      <c r="S297" s="109"/>
      <c r="T297" s="110">
        <f t="shared" ref="T297" si="876">+P297*S297</f>
        <v>0</v>
      </c>
      <c r="U297" s="111">
        <f t="shared" ref="U297" si="877">+L297+P297+F297</f>
        <v>0</v>
      </c>
      <c r="V297" s="566">
        <f t="shared" ref="V297" si="878">+P297*R297+L297*N297+F297*H297</f>
        <v>0</v>
      </c>
      <c r="W297" s="112">
        <f t="shared" ref="W297" si="879">(IF(R297&gt;S297,(-P297*R297)-(-P297*S297),0))</f>
        <v>0</v>
      </c>
      <c r="X297" s="113">
        <f t="shared" ref="X297" si="880">(IF(R297&lt;S297,(-P297*R297)-(-P297*S297),0))</f>
        <v>0</v>
      </c>
      <c r="Y297" s="114"/>
      <c r="Z297" s="115"/>
      <c r="AA297" s="1217"/>
      <c r="AB297" s="1217"/>
      <c r="AC297" s="1217"/>
      <c r="AD297" s="1217"/>
      <c r="AE297" s="1217"/>
      <c r="AF297" s="1218"/>
      <c r="AG297" s="1218"/>
      <c r="AH297" s="1218"/>
      <c r="AI297" s="1218"/>
      <c r="AJ297" s="1218"/>
      <c r="AK297" s="1218"/>
      <c r="AL297" s="1566"/>
      <c r="AM297" s="1218"/>
      <c r="AN297" s="1218"/>
      <c r="AO297" s="1218"/>
      <c r="AP297" s="1218"/>
      <c r="AQ297" s="1218"/>
      <c r="AR297" s="1218"/>
      <c r="AS297" s="1218"/>
      <c r="AT297" s="1218"/>
      <c r="AU297" s="1218"/>
      <c r="AV297" s="1218"/>
      <c r="AW297" s="1218"/>
      <c r="AX297" s="1218"/>
      <c r="AY297" s="1218"/>
      <c r="AZ297" s="1218"/>
      <c r="BA297" s="1218"/>
      <c r="BB297" s="1218"/>
      <c r="BC297" s="1218"/>
      <c r="BD297" s="1218"/>
      <c r="BE297" s="1218"/>
      <c r="BF297" s="1218"/>
      <c r="BG297" s="1218"/>
      <c r="BH297" s="1219"/>
      <c r="BI297" s="1218"/>
      <c r="BJ297" s="1218"/>
      <c r="BK297" s="1218"/>
      <c r="BL297" s="1218"/>
      <c r="BM297" s="1218"/>
      <c r="BN297" s="1218"/>
      <c r="BO297" s="1218"/>
      <c r="BP297" s="1218"/>
      <c r="BQ297" s="1218"/>
      <c r="BR297" s="1218"/>
      <c r="BS297" s="1218"/>
      <c r="BT297" s="1218"/>
      <c r="BU297" s="1218"/>
      <c r="BV297" s="1218"/>
      <c r="BW297" s="1220"/>
      <c r="BX297" s="1218"/>
      <c r="BY297" s="1218"/>
      <c r="BZ297" s="1218"/>
      <c r="CA297" s="1220"/>
      <c r="CB297" s="1218"/>
      <c r="CC297" s="1218"/>
      <c r="CD297" s="1220"/>
      <c r="CE297" s="1218"/>
      <c r="CF297" s="1218"/>
      <c r="CG297" s="1218"/>
      <c r="CH297" s="1218"/>
      <c r="CI297" s="1218"/>
      <c r="CJ297" s="1218"/>
      <c r="CK297" s="1218"/>
      <c r="CL297" s="1218"/>
      <c r="CM297" s="1218"/>
      <c r="CN297" s="1220">
        <f>+M297</f>
        <v>0</v>
      </c>
      <c r="CO297" s="1218"/>
      <c r="CP297" s="1220" t="s">
        <v>294</v>
      </c>
      <c r="CQ297" s="1218"/>
      <c r="CR297" s="1218"/>
      <c r="CS297" s="1218"/>
      <c r="CT297" s="1218"/>
      <c r="CU297" s="1218"/>
      <c r="CV297" s="1218"/>
      <c r="CW297" s="1218"/>
      <c r="CX297" s="1218"/>
      <c r="CY297" s="1218"/>
      <c r="CZ297" s="1218"/>
      <c r="DA297" s="1218"/>
      <c r="DB297" s="1218"/>
      <c r="DC297" s="1218"/>
      <c r="DD297" s="1218"/>
      <c r="DE297" s="1218"/>
      <c r="DF297" s="1218"/>
      <c r="DG297" s="1218"/>
      <c r="DH297" s="1218"/>
      <c r="DI297" s="1218"/>
      <c r="DJ297" s="1218"/>
      <c r="DK297" s="1218"/>
      <c r="DL297" s="1218"/>
      <c r="DM297" s="1218"/>
      <c r="DN297" s="1218"/>
      <c r="DO297" s="1218"/>
      <c r="DP297" s="1218"/>
    </row>
    <row r="298" spans="1:120" s="116" customFormat="1" hidden="1" outlineLevel="1">
      <c r="A298" s="100">
        <v>1110052015</v>
      </c>
      <c r="B298" s="1216"/>
      <c r="C298" s="101" t="s">
        <v>64</v>
      </c>
      <c r="D298" s="1629"/>
      <c r="E298" s="1630"/>
      <c r="F298" s="102"/>
      <c r="G298" s="1258"/>
      <c r="H298" s="103"/>
      <c r="I298" s="104"/>
      <c r="J298" s="1604">
        <v>1</v>
      </c>
      <c r="K298" s="1605">
        <v>1</v>
      </c>
      <c r="L298" s="105"/>
      <c r="M298" s="1697">
        <f t="shared" ref="M298" si="881">+L298*J298</f>
        <v>0</v>
      </c>
      <c r="N298" s="106"/>
      <c r="O298" s="107">
        <f t="shared" ref="O298" si="882">+L298*N298</f>
        <v>0</v>
      </c>
      <c r="P298" s="108"/>
      <c r="Q298" s="1342"/>
      <c r="R298" s="109"/>
      <c r="S298" s="109"/>
      <c r="T298" s="110">
        <f t="shared" ref="T298" si="883">+P298*S298</f>
        <v>0</v>
      </c>
      <c r="U298" s="111">
        <f t="shared" ref="U298" si="884">+L298+P298+F298</f>
        <v>0</v>
      </c>
      <c r="V298" s="566">
        <f t="shared" ref="V298" si="885">+P298*R298+L298*N298+F298*H298</f>
        <v>0</v>
      </c>
      <c r="W298" s="112">
        <f t="shared" ref="W298" si="886">(IF(R298&gt;S298,(-P298*R298)-(-P298*S298),0))</f>
        <v>0</v>
      </c>
      <c r="X298" s="113">
        <f t="shared" ref="X298" si="887">(IF(R298&lt;S298,(-P298*R298)-(-P298*S298),0))</f>
        <v>0</v>
      </c>
      <c r="Y298" s="114"/>
      <c r="Z298" s="115"/>
      <c r="AA298" s="1217"/>
      <c r="AB298" s="1217"/>
      <c r="AC298" s="1217"/>
      <c r="AD298" s="1217"/>
      <c r="AE298" s="1217"/>
      <c r="AF298" s="1218"/>
      <c r="AG298" s="1218"/>
      <c r="AH298" s="1218"/>
      <c r="AI298" s="1218"/>
      <c r="AJ298" s="1218"/>
      <c r="AK298" s="1218"/>
      <c r="AL298" s="1566"/>
      <c r="AM298" s="1218"/>
      <c r="AN298" s="1218"/>
      <c r="AO298" s="1218"/>
      <c r="AP298" s="1218"/>
      <c r="AQ298" s="1218"/>
      <c r="AR298" s="1218"/>
      <c r="AS298" s="1218"/>
      <c r="AT298" s="1218"/>
      <c r="AU298" s="1218"/>
      <c r="AV298" s="1218"/>
      <c r="AW298" s="1218"/>
      <c r="AX298" s="1218"/>
      <c r="AY298" s="1218"/>
      <c r="AZ298" s="1218"/>
      <c r="BA298" s="1218"/>
      <c r="BB298" s="1218"/>
      <c r="BC298" s="1218"/>
      <c r="BD298" s="1218"/>
      <c r="BE298" s="1218"/>
      <c r="BF298" s="1218"/>
      <c r="BG298" s="1218"/>
      <c r="BH298" s="1219"/>
      <c r="BI298" s="1218"/>
      <c r="BJ298" s="1218"/>
      <c r="BK298" s="1218"/>
      <c r="BL298" s="1218"/>
      <c r="BM298" s="1218"/>
      <c r="BN298" s="1218"/>
      <c r="BO298" s="1218"/>
      <c r="BP298" s="1218"/>
      <c r="BQ298" s="1218"/>
      <c r="BR298" s="1218"/>
      <c r="BS298" s="1218"/>
      <c r="BT298" s="1218"/>
      <c r="BU298" s="1218"/>
      <c r="BV298" s="1218"/>
      <c r="BW298" s="1220"/>
      <c r="BX298" s="1218"/>
      <c r="BY298" s="1218"/>
      <c r="BZ298" s="1218"/>
      <c r="CA298" s="1220"/>
      <c r="CB298" s="1218"/>
      <c r="CC298" s="1218"/>
      <c r="CD298" s="1220"/>
      <c r="CE298" s="1218"/>
      <c r="CF298" s="1218"/>
      <c r="CG298" s="1218"/>
      <c r="CH298" s="1218"/>
      <c r="CI298" s="1218"/>
      <c r="CJ298" s="1218"/>
      <c r="CK298" s="1218"/>
      <c r="CL298" s="1218"/>
      <c r="CM298" s="1218"/>
      <c r="CN298" s="1218"/>
      <c r="CO298" s="1218"/>
      <c r="CP298" s="1220">
        <f>+M298</f>
        <v>0</v>
      </c>
      <c r="CQ298" s="1218"/>
      <c r="CR298" s="1218"/>
      <c r="CS298" s="1218"/>
      <c r="CT298" s="1218"/>
      <c r="CU298" s="1218"/>
      <c r="CV298" s="1218"/>
      <c r="CW298" s="1218"/>
      <c r="CX298" s="1218"/>
      <c r="CY298" s="1218"/>
      <c r="CZ298" s="1218"/>
      <c r="DA298" s="1218"/>
      <c r="DB298" s="1218"/>
      <c r="DC298" s="1218"/>
      <c r="DD298" s="1218"/>
      <c r="DE298" s="1218"/>
      <c r="DF298" s="1218"/>
      <c r="DG298" s="1218"/>
      <c r="DH298" s="1218"/>
      <c r="DI298" s="1218"/>
      <c r="DJ298" s="1218"/>
      <c r="DK298" s="1218"/>
      <c r="DL298" s="1218"/>
      <c r="DM298" s="1218"/>
      <c r="DN298" s="1218"/>
      <c r="DO298" s="1218"/>
      <c r="DP298" s="1218"/>
    </row>
    <row r="299" spans="1:120" hidden="1" outlineLevel="1">
      <c r="A299" s="89">
        <v>1110052015</v>
      </c>
      <c r="B299" s="90"/>
      <c r="C299" s="91" t="s">
        <v>64</v>
      </c>
      <c r="D299" s="1481"/>
      <c r="E299" s="1482"/>
      <c r="F299" s="420"/>
      <c r="G299" s="1256"/>
      <c r="H299" s="421"/>
      <c r="I299" s="422"/>
      <c r="J299" s="1425">
        <v>1</v>
      </c>
      <c r="K299" s="1426">
        <v>1</v>
      </c>
      <c r="L299" s="423"/>
      <c r="M299" s="1594">
        <f t="shared" si="859"/>
        <v>0</v>
      </c>
      <c r="N299" s="415"/>
      <c r="O299" s="424">
        <f t="shared" si="860"/>
        <v>0</v>
      </c>
      <c r="P299" s="425"/>
      <c r="Q299" s="1340">
        <f t="shared" ref="Q299:Q303" si="888">+P299*K299</f>
        <v>0</v>
      </c>
      <c r="R299" s="426"/>
      <c r="S299" s="426"/>
      <c r="T299" s="427">
        <f t="shared" si="861"/>
        <v>0</v>
      </c>
      <c r="U299" s="418">
        <f t="shared" si="862"/>
        <v>0</v>
      </c>
      <c r="V299" s="517">
        <f t="shared" si="863"/>
        <v>0</v>
      </c>
      <c r="W299" s="428">
        <f t="shared" si="864"/>
        <v>0</v>
      </c>
      <c r="X299" s="429">
        <f t="shared" si="865"/>
        <v>0</v>
      </c>
      <c r="Y299" s="92"/>
      <c r="AA299" s="578"/>
      <c r="AB299" s="578"/>
      <c r="AC299" s="578"/>
      <c r="AD299" s="578"/>
      <c r="AE299" s="578"/>
      <c r="AF299" s="579"/>
      <c r="AG299" s="579"/>
      <c r="AH299" s="579"/>
      <c r="AI299" s="579"/>
      <c r="AJ299" s="579"/>
      <c r="AK299" s="579"/>
      <c r="AL299" s="1563"/>
      <c r="AM299" s="579"/>
      <c r="AN299" s="579"/>
      <c r="AO299" s="579"/>
      <c r="AP299" s="579"/>
      <c r="AQ299" s="579"/>
      <c r="AR299" s="579"/>
      <c r="AS299" s="579"/>
      <c r="AT299" s="579"/>
      <c r="AU299" s="579"/>
      <c r="AV299" s="579"/>
      <c r="AW299" s="579"/>
      <c r="AX299" s="579"/>
      <c r="AY299" s="579"/>
      <c r="AZ299" s="579"/>
      <c r="BA299" s="579"/>
      <c r="BB299" s="579"/>
      <c r="BC299" s="579"/>
      <c r="BD299" s="579"/>
      <c r="BE299" s="579"/>
      <c r="BF299" s="579"/>
      <c r="BG299" s="579"/>
      <c r="BH299" s="595"/>
      <c r="BI299" s="579"/>
      <c r="BJ299" s="579"/>
      <c r="BK299" s="579"/>
      <c r="BL299" s="579"/>
      <c r="BM299" s="579"/>
      <c r="BN299" s="579"/>
      <c r="BO299" s="579"/>
      <c r="BP299" s="579"/>
      <c r="BQ299" s="579"/>
      <c r="BR299" s="579"/>
      <c r="BS299" s="579"/>
      <c r="BT299" s="579"/>
      <c r="BU299" s="579"/>
      <c r="BV299" s="579"/>
      <c r="BW299" s="594"/>
      <c r="BX299" s="579"/>
      <c r="BY299" s="579"/>
      <c r="BZ299" s="579"/>
      <c r="CA299" s="594"/>
      <c r="CB299" s="579"/>
      <c r="CC299" s="579"/>
      <c r="CD299" s="594"/>
      <c r="CE299" s="579"/>
      <c r="CF299" s="579"/>
      <c r="CG299" s="579"/>
      <c r="CH299" s="579"/>
      <c r="CI299" s="579"/>
      <c r="CJ299" s="579"/>
      <c r="CK299" s="579"/>
      <c r="CL299" s="579"/>
      <c r="CM299" s="594" t="s">
        <v>294</v>
      </c>
      <c r="CN299" s="594">
        <f>+Q299</f>
        <v>0</v>
      </c>
      <c r="CO299" s="579"/>
      <c r="CP299" s="579"/>
      <c r="CQ299" s="579"/>
      <c r="CR299" s="579"/>
      <c r="CS299" s="579"/>
      <c r="CT299" s="579"/>
      <c r="CU299" s="579"/>
      <c r="CV299" s="579"/>
      <c r="CW299" s="579"/>
      <c r="CX299" s="579"/>
      <c r="CY299" s="579"/>
      <c r="CZ299" s="579"/>
      <c r="DA299" s="579"/>
      <c r="DB299" s="579"/>
      <c r="DC299" s="579"/>
      <c r="DD299" s="579"/>
      <c r="DE299" s="579"/>
      <c r="DF299" s="579"/>
      <c r="DG299" s="579"/>
      <c r="DH299" s="579"/>
      <c r="DI299" s="579"/>
      <c r="DJ299" s="579"/>
      <c r="DK299" s="579"/>
      <c r="DL299" s="579"/>
      <c r="DM299" s="579"/>
      <c r="DN299" s="579"/>
      <c r="DO299" s="579"/>
      <c r="DP299" s="579"/>
    </row>
    <row r="300" spans="1:120" hidden="1" outlineLevel="1">
      <c r="A300" s="89">
        <v>1110052015</v>
      </c>
      <c r="B300" s="90"/>
      <c r="C300" s="91" t="s">
        <v>64</v>
      </c>
      <c r="D300" s="1481"/>
      <c r="E300" s="1482"/>
      <c r="F300" s="420"/>
      <c r="G300" s="1256"/>
      <c r="H300" s="421"/>
      <c r="I300" s="422"/>
      <c r="J300" s="1425">
        <v>1</v>
      </c>
      <c r="K300" s="1426">
        <v>1</v>
      </c>
      <c r="L300" s="423"/>
      <c r="M300" s="1594">
        <f t="shared" ref="M300:M301" si="889">+L300*J300</f>
        <v>0</v>
      </c>
      <c r="N300" s="415"/>
      <c r="O300" s="424">
        <f t="shared" ref="O300:O301" si="890">+L300*N300</f>
        <v>0</v>
      </c>
      <c r="P300" s="425"/>
      <c r="Q300" s="1340">
        <f t="shared" ref="Q300:Q301" si="891">+P300*K300</f>
        <v>0</v>
      </c>
      <c r="R300" s="426"/>
      <c r="S300" s="426"/>
      <c r="T300" s="427">
        <f t="shared" ref="T300:T301" si="892">+P300*S300</f>
        <v>0</v>
      </c>
      <c r="U300" s="418">
        <f t="shared" ref="U300:U301" si="893">+L300+P300+F300</f>
        <v>0</v>
      </c>
      <c r="V300" s="517">
        <f t="shared" ref="V300:V301" si="894">+P300*R300+L300*N300+F300*H300</f>
        <v>0</v>
      </c>
      <c r="W300" s="428">
        <f t="shared" ref="W300:W301" si="895">(IF(R300&gt;S300,(-P300*R300)-(-P300*S300),0))</f>
        <v>0</v>
      </c>
      <c r="X300" s="429">
        <f t="shared" ref="X300:X301" si="896">(IF(R300&lt;S300,(-P300*R300)-(-P300*S300),0))</f>
        <v>0</v>
      </c>
      <c r="Y300" s="92"/>
      <c r="AA300" s="578"/>
      <c r="AB300" s="578"/>
      <c r="AC300" s="578"/>
      <c r="AD300" s="578"/>
      <c r="AE300" s="578"/>
      <c r="AF300" s="579"/>
      <c r="AG300" s="579"/>
      <c r="AH300" s="579"/>
      <c r="AI300" s="579"/>
      <c r="AJ300" s="579"/>
      <c r="AK300" s="579"/>
      <c r="AL300" s="1563"/>
      <c r="AM300" s="579"/>
      <c r="AN300" s="579"/>
      <c r="AO300" s="579"/>
      <c r="AP300" s="579"/>
      <c r="AQ300" s="579"/>
      <c r="AR300" s="579"/>
      <c r="AS300" s="579"/>
      <c r="AT300" s="579"/>
      <c r="AU300" s="579"/>
      <c r="AV300" s="579"/>
      <c r="AW300" s="579"/>
      <c r="AX300" s="579"/>
      <c r="AY300" s="579"/>
      <c r="AZ300" s="579"/>
      <c r="BA300" s="579"/>
      <c r="BB300" s="579"/>
      <c r="BC300" s="579"/>
      <c r="BD300" s="579"/>
      <c r="BE300" s="579"/>
      <c r="BF300" s="579"/>
      <c r="BG300" s="579"/>
      <c r="BH300" s="595"/>
      <c r="BI300" s="579"/>
      <c r="BJ300" s="579"/>
      <c r="BK300" s="579"/>
      <c r="BL300" s="579"/>
      <c r="BM300" s="579"/>
      <c r="BN300" s="579"/>
      <c r="BO300" s="579"/>
      <c r="BP300" s="579"/>
      <c r="BQ300" s="579"/>
      <c r="BR300" s="579"/>
      <c r="BS300" s="579"/>
      <c r="BT300" s="579"/>
      <c r="BU300" s="579"/>
      <c r="BV300" s="579"/>
      <c r="BW300" s="594"/>
      <c r="BX300" s="579"/>
      <c r="BY300" s="579"/>
      <c r="BZ300" s="579"/>
      <c r="CA300" s="594"/>
      <c r="CB300" s="579"/>
      <c r="CC300" s="579"/>
      <c r="CD300" s="594"/>
      <c r="CE300" s="579"/>
      <c r="CF300" s="579"/>
      <c r="CG300" s="579"/>
      <c r="CH300" s="579"/>
      <c r="CI300" s="579"/>
      <c r="CJ300" s="579"/>
      <c r="CK300" s="579"/>
      <c r="CL300" s="579"/>
      <c r="CM300" s="579"/>
      <c r="CN300" s="594" t="s">
        <v>294</v>
      </c>
      <c r="CO300" s="594">
        <f>+Q300</f>
        <v>0</v>
      </c>
      <c r="CP300" s="579"/>
      <c r="CQ300" s="579"/>
      <c r="CR300" s="579"/>
      <c r="CS300" s="579"/>
      <c r="CT300" s="579"/>
      <c r="CU300" s="579"/>
      <c r="CV300" s="579"/>
      <c r="CW300" s="579"/>
      <c r="CX300" s="579"/>
      <c r="CY300" s="579"/>
      <c r="CZ300" s="579"/>
      <c r="DA300" s="579"/>
      <c r="DB300" s="579"/>
      <c r="DC300" s="579"/>
      <c r="DD300" s="579"/>
      <c r="DE300" s="579"/>
      <c r="DF300" s="579"/>
      <c r="DG300" s="579"/>
      <c r="DH300" s="579"/>
      <c r="DI300" s="579"/>
      <c r="DJ300" s="579"/>
      <c r="DK300" s="579"/>
      <c r="DL300" s="579"/>
      <c r="DM300" s="579"/>
      <c r="DN300" s="579"/>
      <c r="DO300" s="579"/>
      <c r="DP300" s="579"/>
    </row>
    <row r="301" spans="1:120" hidden="1" outlineLevel="1">
      <c r="A301" s="89">
        <v>1110052015</v>
      </c>
      <c r="B301" s="90"/>
      <c r="C301" s="91" t="s">
        <v>64</v>
      </c>
      <c r="D301" s="1481"/>
      <c r="E301" s="1482"/>
      <c r="F301" s="420"/>
      <c r="G301" s="1256"/>
      <c r="H301" s="421"/>
      <c r="I301" s="422"/>
      <c r="J301" s="1425">
        <v>1</v>
      </c>
      <c r="K301" s="1426">
        <v>1</v>
      </c>
      <c r="L301" s="423"/>
      <c r="M301" s="1594">
        <f t="shared" si="889"/>
        <v>0</v>
      </c>
      <c r="N301" s="415"/>
      <c r="O301" s="424">
        <f t="shared" si="890"/>
        <v>0</v>
      </c>
      <c r="P301" s="425"/>
      <c r="Q301" s="1340">
        <f t="shared" si="891"/>
        <v>0</v>
      </c>
      <c r="R301" s="426"/>
      <c r="S301" s="426"/>
      <c r="T301" s="427">
        <f t="shared" si="892"/>
        <v>0</v>
      </c>
      <c r="U301" s="418">
        <f t="shared" si="893"/>
        <v>0</v>
      </c>
      <c r="V301" s="517">
        <f t="shared" si="894"/>
        <v>0</v>
      </c>
      <c r="W301" s="428">
        <f t="shared" si="895"/>
        <v>0</v>
      </c>
      <c r="X301" s="429">
        <f t="shared" si="896"/>
        <v>0</v>
      </c>
      <c r="Y301" s="92"/>
      <c r="AA301" s="578"/>
      <c r="AB301" s="578"/>
      <c r="AC301" s="578"/>
      <c r="AD301" s="578"/>
      <c r="AE301" s="578"/>
      <c r="AF301" s="579"/>
      <c r="AG301" s="579"/>
      <c r="AH301" s="579"/>
      <c r="AI301" s="579"/>
      <c r="AJ301" s="579"/>
      <c r="AK301" s="579"/>
      <c r="AL301" s="1563"/>
      <c r="AM301" s="579"/>
      <c r="AN301" s="579"/>
      <c r="AO301" s="579"/>
      <c r="AP301" s="579"/>
      <c r="AQ301" s="579"/>
      <c r="AR301" s="579"/>
      <c r="AS301" s="579"/>
      <c r="AT301" s="579"/>
      <c r="AU301" s="579"/>
      <c r="AV301" s="579"/>
      <c r="AW301" s="579"/>
      <c r="AX301" s="579"/>
      <c r="AY301" s="579"/>
      <c r="AZ301" s="579"/>
      <c r="BA301" s="579"/>
      <c r="BB301" s="579"/>
      <c r="BC301" s="579"/>
      <c r="BD301" s="579"/>
      <c r="BE301" s="579"/>
      <c r="BF301" s="579"/>
      <c r="BG301" s="579"/>
      <c r="BH301" s="595"/>
      <c r="BI301" s="579"/>
      <c r="BJ301" s="579"/>
      <c r="BK301" s="579"/>
      <c r="BL301" s="579"/>
      <c r="BM301" s="579"/>
      <c r="BN301" s="579"/>
      <c r="BO301" s="579"/>
      <c r="BP301" s="579"/>
      <c r="BQ301" s="579"/>
      <c r="BR301" s="579"/>
      <c r="BS301" s="579"/>
      <c r="BT301" s="579"/>
      <c r="BU301" s="579"/>
      <c r="BV301" s="579"/>
      <c r="BW301" s="594"/>
      <c r="BX301" s="579"/>
      <c r="BY301" s="579"/>
      <c r="BZ301" s="579"/>
      <c r="CA301" s="594"/>
      <c r="CB301" s="579"/>
      <c r="CC301" s="579"/>
      <c r="CD301" s="594"/>
      <c r="CE301" s="579"/>
      <c r="CF301" s="579"/>
      <c r="CG301" s="579"/>
      <c r="CH301" s="579"/>
      <c r="CI301" s="579"/>
      <c r="CJ301" s="579"/>
      <c r="CK301" s="579"/>
      <c r="CL301" s="579"/>
      <c r="CM301" s="579"/>
      <c r="CN301" s="579"/>
      <c r="CO301" s="594" t="s">
        <v>294</v>
      </c>
      <c r="CP301" s="594">
        <f>+Q301</f>
        <v>0</v>
      </c>
      <c r="CQ301" s="579"/>
      <c r="CR301" s="579"/>
      <c r="CS301" s="579"/>
      <c r="CT301" s="579"/>
      <c r="CU301" s="579"/>
      <c r="CV301" s="579"/>
      <c r="CW301" s="579"/>
      <c r="CX301" s="579"/>
      <c r="CY301" s="579"/>
      <c r="CZ301" s="579"/>
      <c r="DA301" s="579"/>
      <c r="DB301" s="579"/>
      <c r="DC301" s="579"/>
      <c r="DD301" s="579"/>
      <c r="DE301" s="579"/>
      <c r="DF301" s="579"/>
      <c r="DG301" s="579"/>
      <c r="DH301" s="579"/>
      <c r="DI301" s="579"/>
      <c r="DJ301" s="579"/>
      <c r="DK301" s="579"/>
      <c r="DL301" s="579"/>
      <c r="DM301" s="579"/>
      <c r="DN301" s="579"/>
      <c r="DO301" s="579"/>
      <c r="DP301" s="579"/>
    </row>
    <row r="302" spans="1:120" hidden="1" outlineLevel="1">
      <c r="A302" s="89">
        <v>1110052015</v>
      </c>
      <c r="B302" s="90"/>
      <c r="C302" s="91" t="s">
        <v>64</v>
      </c>
      <c r="D302" s="1481"/>
      <c r="E302" s="1482"/>
      <c r="F302" s="420"/>
      <c r="G302" s="1256"/>
      <c r="H302" s="421"/>
      <c r="I302" s="422"/>
      <c r="J302" s="1425">
        <v>1</v>
      </c>
      <c r="K302" s="1426">
        <v>1</v>
      </c>
      <c r="L302" s="423"/>
      <c r="M302" s="1594">
        <f t="shared" ref="M302" si="897">+L302*J302</f>
        <v>0</v>
      </c>
      <c r="N302" s="415"/>
      <c r="O302" s="424">
        <f t="shared" ref="O302" si="898">+L302*N302</f>
        <v>0</v>
      </c>
      <c r="P302" s="425"/>
      <c r="Q302" s="1340">
        <f t="shared" ref="Q302" si="899">+P302*K302</f>
        <v>0</v>
      </c>
      <c r="R302" s="426"/>
      <c r="S302" s="426"/>
      <c r="T302" s="427">
        <f t="shared" ref="T302" si="900">+P302*S302</f>
        <v>0</v>
      </c>
      <c r="U302" s="418">
        <f t="shared" ref="U302" si="901">+L302+P302+F302</f>
        <v>0</v>
      </c>
      <c r="V302" s="517">
        <f t="shared" ref="V302" si="902">+P302*R302+L302*N302+F302*H302</f>
        <v>0</v>
      </c>
      <c r="W302" s="428">
        <f t="shared" ref="W302" si="903">(IF(R302&gt;S302,(-P302*R302)-(-P302*S302),0))</f>
        <v>0</v>
      </c>
      <c r="X302" s="429">
        <f t="shared" ref="X302" si="904">(IF(R302&lt;S302,(-P302*R302)-(-P302*S302),0))</f>
        <v>0</v>
      </c>
      <c r="Y302" s="92"/>
      <c r="AA302" s="578"/>
      <c r="AB302" s="578"/>
      <c r="AC302" s="578"/>
      <c r="AD302" s="578"/>
      <c r="AE302" s="578"/>
      <c r="AF302" s="579"/>
      <c r="AG302" s="579"/>
      <c r="AH302" s="579"/>
      <c r="AI302" s="579"/>
      <c r="AJ302" s="579"/>
      <c r="AK302" s="579"/>
      <c r="AL302" s="1563"/>
      <c r="AM302" s="579"/>
      <c r="AN302" s="579"/>
      <c r="AO302" s="579"/>
      <c r="AP302" s="579"/>
      <c r="AQ302" s="579"/>
      <c r="AR302" s="579"/>
      <c r="AS302" s="579"/>
      <c r="AT302" s="579"/>
      <c r="AU302" s="579"/>
      <c r="AV302" s="579"/>
      <c r="AW302" s="579"/>
      <c r="AX302" s="579"/>
      <c r="AY302" s="579"/>
      <c r="AZ302" s="579"/>
      <c r="BA302" s="579"/>
      <c r="BB302" s="579"/>
      <c r="BC302" s="579"/>
      <c r="BD302" s="579"/>
      <c r="BE302" s="579"/>
      <c r="BF302" s="579"/>
      <c r="BG302" s="579"/>
      <c r="BH302" s="595"/>
      <c r="BI302" s="579"/>
      <c r="BJ302" s="579"/>
      <c r="BK302" s="579"/>
      <c r="BL302" s="579"/>
      <c r="BM302" s="579"/>
      <c r="BN302" s="579"/>
      <c r="BO302" s="579"/>
      <c r="BP302" s="579"/>
      <c r="BQ302" s="579"/>
      <c r="BR302" s="579"/>
      <c r="BS302" s="579"/>
      <c r="BT302" s="579"/>
      <c r="BU302" s="579"/>
      <c r="BV302" s="579"/>
      <c r="BW302" s="594"/>
      <c r="BX302" s="579"/>
      <c r="BY302" s="579"/>
      <c r="BZ302" s="579"/>
      <c r="CA302" s="594"/>
      <c r="CB302" s="579"/>
      <c r="CC302" s="579"/>
      <c r="CD302" s="594"/>
      <c r="CE302" s="579"/>
      <c r="CF302" s="579"/>
      <c r="CG302" s="579"/>
      <c r="CH302" s="579"/>
      <c r="CI302" s="579"/>
      <c r="CJ302" s="579"/>
      <c r="CK302" s="579"/>
      <c r="CL302" s="579"/>
      <c r="CM302" s="579"/>
      <c r="CN302" s="579"/>
      <c r="CO302" s="579"/>
      <c r="CP302" s="594">
        <f>+Q302</f>
        <v>0</v>
      </c>
      <c r="CQ302" s="579"/>
      <c r="CR302" s="579"/>
      <c r="CS302" s="579"/>
      <c r="CT302" s="579"/>
      <c r="CU302" s="579"/>
      <c r="CV302" s="579"/>
      <c r="CW302" s="579"/>
      <c r="CX302" s="579"/>
      <c r="CY302" s="579"/>
      <c r="CZ302" s="579"/>
      <c r="DA302" s="579"/>
      <c r="DB302" s="579"/>
      <c r="DC302" s="579"/>
      <c r="DD302" s="579"/>
      <c r="DE302" s="579"/>
      <c r="DF302" s="579"/>
      <c r="DG302" s="579"/>
      <c r="DH302" s="579"/>
      <c r="DI302" s="579"/>
      <c r="DJ302" s="579"/>
      <c r="DK302" s="579"/>
      <c r="DL302" s="579"/>
      <c r="DM302" s="579"/>
      <c r="DN302" s="579"/>
      <c r="DO302" s="579"/>
      <c r="DP302" s="579"/>
    </row>
    <row r="303" spans="1:120" hidden="1" outlineLevel="1">
      <c r="A303" s="89">
        <v>1110052015</v>
      </c>
      <c r="B303" s="90"/>
      <c r="C303" s="91" t="s">
        <v>64</v>
      </c>
      <c r="D303" s="1481"/>
      <c r="E303" s="1482"/>
      <c r="F303" s="420"/>
      <c r="G303" s="1256"/>
      <c r="H303" s="421"/>
      <c r="I303" s="422"/>
      <c r="J303" s="1425">
        <v>1</v>
      </c>
      <c r="K303" s="1426">
        <v>1</v>
      </c>
      <c r="L303" s="423"/>
      <c r="M303" s="1594">
        <f t="shared" ref="M303:M305" si="905">+L303*J303</f>
        <v>0</v>
      </c>
      <c r="N303" s="415"/>
      <c r="O303" s="424">
        <f t="shared" ref="O303:O305" si="906">+L303*N303</f>
        <v>0</v>
      </c>
      <c r="P303" s="425"/>
      <c r="Q303" s="1340">
        <f t="shared" si="888"/>
        <v>0</v>
      </c>
      <c r="R303" s="426"/>
      <c r="S303" s="426"/>
      <c r="T303" s="427">
        <f t="shared" ref="T303:T305" si="907">+P303*S303</f>
        <v>0</v>
      </c>
      <c r="U303" s="418">
        <f t="shared" ref="U303:U305" si="908">+L303+P303+F303</f>
        <v>0</v>
      </c>
      <c r="V303" s="517">
        <f t="shared" ref="V303:V305" si="909">+P303*R303+L303*N303+F303*H303</f>
        <v>0</v>
      </c>
      <c r="W303" s="428">
        <f t="shared" ref="W303:W305" si="910">(IF(R303&gt;S303,(-P303*R303)-(-P303*S303),0))</f>
        <v>0</v>
      </c>
      <c r="X303" s="429">
        <f t="shared" ref="X303:X305" si="911">(IF(R303&lt;S303,(-P303*R303)-(-P303*S303),0))</f>
        <v>0</v>
      </c>
      <c r="Y303" s="92"/>
      <c r="AA303" s="578"/>
      <c r="AB303" s="578"/>
      <c r="AC303" s="578"/>
      <c r="AD303" s="578"/>
      <c r="AE303" s="578"/>
      <c r="AF303" s="579"/>
      <c r="AG303" s="579"/>
      <c r="AH303" s="579"/>
      <c r="AI303" s="579"/>
      <c r="AJ303" s="579"/>
      <c r="AK303" s="579"/>
      <c r="AL303" s="1563"/>
      <c r="AM303" s="579"/>
      <c r="AN303" s="579"/>
      <c r="AO303" s="579"/>
      <c r="AP303" s="579"/>
      <c r="AQ303" s="579"/>
      <c r="AR303" s="579"/>
      <c r="AS303" s="579"/>
      <c r="AT303" s="579"/>
      <c r="AU303" s="579"/>
      <c r="AV303" s="579"/>
      <c r="AW303" s="579"/>
      <c r="AX303" s="579"/>
      <c r="AY303" s="579"/>
      <c r="AZ303" s="579"/>
      <c r="BA303" s="579"/>
      <c r="BB303" s="579"/>
      <c r="BC303" s="579"/>
      <c r="BD303" s="579"/>
      <c r="BE303" s="579"/>
      <c r="BF303" s="579"/>
      <c r="BG303" s="579"/>
      <c r="BH303" s="595"/>
      <c r="BI303" s="579"/>
      <c r="BJ303" s="579"/>
      <c r="BK303" s="579"/>
      <c r="BL303" s="579"/>
      <c r="BM303" s="579"/>
      <c r="BN303" s="579"/>
      <c r="BO303" s="579"/>
      <c r="BP303" s="579"/>
      <c r="BQ303" s="579"/>
      <c r="BR303" s="579"/>
      <c r="BS303" s="579"/>
      <c r="BT303" s="579"/>
      <c r="BU303" s="579"/>
      <c r="BV303" s="579"/>
      <c r="BW303" s="594"/>
      <c r="BX303" s="579"/>
      <c r="BY303" s="579"/>
      <c r="BZ303" s="579"/>
      <c r="CA303" s="594"/>
      <c r="CB303" s="579"/>
      <c r="CC303" s="579"/>
      <c r="CD303" s="594"/>
      <c r="CE303" s="579"/>
      <c r="CF303" s="579"/>
      <c r="CG303" s="579"/>
      <c r="CH303" s="579"/>
      <c r="CI303" s="579"/>
      <c r="CJ303" s="579"/>
      <c r="CK303" s="579"/>
      <c r="CL303" s="579"/>
      <c r="CM303" s="579"/>
      <c r="CN303" s="579"/>
      <c r="CO303" s="579"/>
      <c r="CP303" s="594">
        <f>+Q303</f>
        <v>0</v>
      </c>
      <c r="CQ303" s="579"/>
      <c r="CR303" s="579"/>
      <c r="CS303" s="579"/>
      <c r="CT303" s="579"/>
      <c r="CU303" s="579"/>
      <c r="CV303" s="579"/>
      <c r="CW303" s="579"/>
      <c r="CX303" s="579"/>
      <c r="CY303" s="579"/>
      <c r="CZ303" s="579"/>
      <c r="DA303" s="579"/>
      <c r="DB303" s="579"/>
      <c r="DC303" s="579"/>
      <c r="DD303" s="579"/>
      <c r="DE303" s="579"/>
      <c r="DF303" s="579"/>
      <c r="DG303" s="579"/>
      <c r="DH303" s="579"/>
      <c r="DI303" s="579"/>
      <c r="DJ303" s="579"/>
      <c r="DK303" s="579"/>
      <c r="DL303" s="579"/>
      <c r="DM303" s="579"/>
      <c r="DN303" s="579"/>
      <c r="DO303" s="579"/>
      <c r="DP303" s="579"/>
    </row>
    <row r="304" spans="1:120" hidden="1" outlineLevel="1">
      <c r="A304" s="89">
        <v>1110052015</v>
      </c>
      <c r="B304" s="90"/>
      <c r="C304" s="91" t="s">
        <v>64</v>
      </c>
      <c r="D304" s="1481"/>
      <c r="E304" s="1482"/>
      <c r="F304" s="420"/>
      <c r="G304" s="1256"/>
      <c r="H304" s="421"/>
      <c r="I304" s="422"/>
      <c r="J304" s="1425">
        <v>1</v>
      </c>
      <c r="K304" s="1426">
        <v>1</v>
      </c>
      <c r="L304" s="423"/>
      <c r="M304" s="1594">
        <f t="shared" ref="M304" si="912">+L304*J304</f>
        <v>0</v>
      </c>
      <c r="N304" s="415"/>
      <c r="O304" s="424">
        <f t="shared" ref="O304" si="913">+L304*N304</f>
        <v>0</v>
      </c>
      <c r="P304" s="425"/>
      <c r="Q304" s="1340">
        <f t="shared" ref="Q304" si="914">+P304*K304</f>
        <v>0</v>
      </c>
      <c r="R304" s="426"/>
      <c r="S304" s="426"/>
      <c r="T304" s="427">
        <f t="shared" ref="T304" si="915">+P304*S304</f>
        <v>0</v>
      </c>
      <c r="U304" s="418">
        <f t="shared" ref="U304" si="916">+L304+P304+F304</f>
        <v>0</v>
      </c>
      <c r="V304" s="517">
        <f t="shared" ref="V304" si="917">+P304*R304+L304*N304+F304*H304</f>
        <v>0</v>
      </c>
      <c r="W304" s="428">
        <f t="shared" ref="W304" si="918">(IF(R304&gt;S304,(-P304*R304)-(-P304*S304),0))</f>
        <v>0</v>
      </c>
      <c r="X304" s="429">
        <f t="shared" ref="X304" si="919">(IF(R304&lt;S304,(-P304*R304)-(-P304*S304),0))</f>
        <v>0</v>
      </c>
      <c r="Y304" s="92"/>
      <c r="AA304" s="578"/>
      <c r="AB304" s="578"/>
      <c r="AC304" s="578"/>
      <c r="AD304" s="578"/>
      <c r="AE304" s="578"/>
      <c r="AF304" s="579"/>
      <c r="AG304" s="579"/>
      <c r="AH304" s="579"/>
      <c r="AI304" s="579"/>
      <c r="AJ304" s="579"/>
      <c r="AK304" s="579"/>
      <c r="AL304" s="1563"/>
      <c r="AM304" s="579"/>
      <c r="AN304" s="579"/>
      <c r="AO304" s="579"/>
      <c r="AP304" s="579"/>
      <c r="AQ304" s="579"/>
      <c r="AR304" s="579"/>
      <c r="AS304" s="579"/>
      <c r="AT304" s="579"/>
      <c r="AU304" s="579"/>
      <c r="AV304" s="579"/>
      <c r="AW304" s="579"/>
      <c r="AX304" s="579"/>
      <c r="AY304" s="579"/>
      <c r="AZ304" s="579"/>
      <c r="BA304" s="579"/>
      <c r="BB304" s="579"/>
      <c r="BC304" s="579"/>
      <c r="BD304" s="579"/>
      <c r="BE304" s="579"/>
      <c r="BF304" s="579"/>
      <c r="BG304" s="579"/>
      <c r="BH304" s="595"/>
      <c r="BI304" s="579"/>
      <c r="BJ304" s="579"/>
      <c r="BK304" s="579"/>
      <c r="BL304" s="579"/>
      <c r="BM304" s="579"/>
      <c r="BN304" s="579"/>
      <c r="BO304" s="579"/>
      <c r="BP304" s="579"/>
      <c r="BQ304" s="579"/>
      <c r="BR304" s="579"/>
      <c r="BS304" s="579"/>
      <c r="BT304" s="579"/>
      <c r="BU304" s="579"/>
      <c r="BV304" s="579"/>
      <c r="BW304" s="594"/>
      <c r="BX304" s="579"/>
      <c r="BY304" s="579"/>
      <c r="BZ304" s="579"/>
      <c r="CA304" s="594"/>
      <c r="CB304" s="579"/>
      <c r="CC304" s="579"/>
      <c r="CD304" s="594"/>
      <c r="CE304" s="579"/>
      <c r="CF304" s="579"/>
      <c r="CG304" s="579"/>
      <c r="CH304" s="579"/>
      <c r="CI304" s="579"/>
      <c r="CJ304" s="579"/>
      <c r="CK304" s="579"/>
      <c r="CL304" s="579"/>
      <c r="CM304" s="579"/>
      <c r="CN304" s="579"/>
      <c r="CO304" s="579"/>
      <c r="CP304" s="594" t="s">
        <v>294</v>
      </c>
      <c r="CQ304" s="594">
        <f>+Q304</f>
        <v>0</v>
      </c>
      <c r="CR304" s="579"/>
      <c r="CS304" s="579"/>
      <c r="CT304" s="579"/>
      <c r="CU304" s="579"/>
      <c r="CV304" s="579"/>
      <c r="CW304" s="579"/>
      <c r="CX304" s="579"/>
      <c r="CY304" s="579"/>
      <c r="CZ304" s="579"/>
      <c r="DA304" s="579"/>
      <c r="DB304" s="579"/>
      <c r="DC304" s="579"/>
      <c r="DD304" s="579"/>
      <c r="DE304" s="579"/>
      <c r="DF304" s="579"/>
      <c r="DG304" s="579"/>
      <c r="DH304" s="579"/>
      <c r="DI304" s="579"/>
      <c r="DJ304" s="579"/>
      <c r="DK304" s="579"/>
      <c r="DL304" s="579"/>
      <c r="DM304" s="579"/>
      <c r="DN304" s="579"/>
      <c r="DO304" s="579"/>
      <c r="DP304" s="579"/>
    </row>
    <row r="305" spans="1:120" hidden="1" outlineLevel="1">
      <c r="A305" s="89">
        <v>1110052015</v>
      </c>
      <c r="B305" s="90"/>
      <c r="C305" s="91" t="s">
        <v>64</v>
      </c>
      <c r="D305" s="1481"/>
      <c r="E305" s="1482"/>
      <c r="F305" s="420"/>
      <c r="G305" s="1256"/>
      <c r="H305" s="421"/>
      <c r="I305" s="422"/>
      <c r="J305" s="1425">
        <v>1</v>
      </c>
      <c r="K305" s="1426">
        <v>1</v>
      </c>
      <c r="L305" s="423"/>
      <c r="M305" s="1594">
        <f t="shared" si="905"/>
        <v>0</v>
      </c>
      <c r="N305" s="415"/>
      <c r="O305" s="424">
        <f t="shared" si="906"/>
        <v>0</v>
      </c>
      <c r="P305" s="425"/>
      <c r="Q305" s="1340"/>
      <c r="R305" s="426"/>
      <c r="S305" s="426"/>
      <c r="T305" s="427">
        <f t="shared" si="907"/>
        <v>0</v>
      </c>
      <c r="U305" s="418">
        <f t="shared" si="908"/>
        <v>0</v>
      </c>
      <c r="V305" s="517">
        <f t="shared" si="909"/>
        <v>0</v>
      </c>
      <c r="W305" s="428">
        <f t="shared" si="910"/>
        <v>0</v>
      </c>
      <c r="X305" s="429">
        <f t="shared" si="911"/>
        <v>0</v>
      </c>
      <c r="Y305" s="92"/>
      <c r="AA305" s="578"/>
      <c r="AB305" s="578"/>
      <c r="AC305" s="578"/>
      <c r="AD305" s="578"/>
      <c r="AE305" s="578"/>
      <c r="AF305" s="579"/>
      <c r="AG305" s="579"/>
      <c r="AH305" s="579"/>
      <c r="AI305" s="579"/>
      <c r="AJ305" s="579"/>
      <c r="AK305" s="579"/>
      <c r="AL305" s="1563"/>
      <c r="AM305" s="579"/>
      <c r="AN305" s="579"/>
      <c r="AO305" s="579"/>
      <c r="AP305" s="579"/>
      <c r="AQ305" s="579"/>
      <c r="AR305" s="579"/>
      <c r="AS305" s="579"/>
      <c r="AT305" s="579"/>
      <c r="AU305" s="579"/>
      <c r="AV305" s="579"/>
      <c r="AW305" s="579"/>
      <c r="AX305" s="579"/>
      <c r="AY305" s="579"/>
      <c r="AZ305" s="579"/>
      <c r="BA305" s="579"/>
      <c r="BB305" s="579"/>
      <c r="BC305" s="579"/>
      <c r="BD305" s="579"/>
      <c r="BE305" s="579"/>
      <c r="BF305" s="579"/>
      <c r="BG305" s="579"/>
      <c r="BH305" s="595"/>
      <c r="BI305" s="579"/>
      <c r="BJ305" s="579"/>
      <c r="BK305" s="579"/>
      <c r="BL305" s="579"/>
      <c r="BM305" s="579"/>
      <c r="BN305" s="579"/>
      <c r="BO305" s="579"/>
      <c r="BP305" s="579"/>
      <c r="BQ305" s="579"/>
      <c r="BR305" s="579"/>
      <c r="BS305" s="579"/>
      <c r="BT305" s="579"/>
      <c r="BU305" s="579"/>
      <c r="BV305" s="579"/>
      <c r="BW305" s="594"/>
      <c r="BX305" s="579"/>
      <c r="BY305" s="579"/>
      <c r="BZ305" s="579"/>
      <c r="CA305" s="594"/>
      <c r="CB305" s="579"/>
      <c r="CC305" s="579"/>
      <c r="CD305" s="594"/>
      <c r="CE305" s="579"/>
      <c r="CF305" s="579"/>
      <c r="CG305" s="579"/>
      <c r="CH305" s="579"/>
      <c r="CI305" s="579"/>
      <c r="CJ305" s="579"/>
      <c r="CK305" s="579"/>
      <c r="CL305" s="579"/>
      <c r="CM305" s="579"/>
      <c r="CN305" s="579"/>
      <c r="CO305" s="579"/>
      <c r="CP305" s="579"/>
      <c r="CQ305" s="594">
        <f>+M305</f>
        <v>0</v>
      </c>
      <c r="CR305" s="579"/>
      <c r="CS305" s="579"/>
      <c r="CT305" s="579"/>
      <c r="CU305" s="579"/>
      <c r="CV305" s="579"/>
      <c r="CW305" s="579"/>
      <c r="CX305" s="579"/>
      <c r="CY305" s="579"/>
      <c r="CZ305" s="579"/>
      <c r="DA305" s="579"/>
      <c r="DB305" s="579"/>
      <c r="DC305" s="579"/>
      <c r="DD305" s="579"/>
      <c r="DE305" s="579"/>
      <c r="DF305" s="579"/>
      <c r="DG305" s="579"/>
      <c r="DH305" s="579"/>
      <c r="DI305" s="579"/>
      <c r="DJ305" s="579"/>
      <c r="DK305" s="579"/>
      <c r="DL305" s="579"/>
      <c r="DM305" s="579"/>
      <c r="DN305" s="579"/>
      <c r="DO305" s="579"/>
      <c r="DP305" s="579"/>
    </row>
    <row r="306" spans="1:120" hidden="1" outlineLevel="1">
      <c r="A306" s="89"/>
      <c r="B306" s="90"/>
      <c r="C306" s="91"/>
      <c r="D306" s="1481"/>
      <c r="E306" s="1482"/>
      <c r="F306" s="420"/>
      <c r="G306" s="1256"/>
      <c r="H306" s="421"/>
      <c r="I306" s="422"/>
      <c r="J306" s="1425">
        <v>1</v>
      </c>
      <c r="K306" s="1426">
        <v>1</v>
      </c>
      <c r="L306" s="423"/>
      <c r="M306" s="1463"/>
      <c r="N306" s="415"/>
      <c r="O306" s="424">
        <f t="shared" ref="O306" si="920">+L306*N306</f>
        <v>0</v>
      </c>
      <c r="P306" s="425"/>
      <c r="Q306" s="1340"/>
      <c r="R306" s="426"/>
      <c r="S306" s="426"/>
      <c r="T306" s="427">
        <f t="shared" ref="T306" si="921">+P306*S306</f>
        <v>0</v>
      </c>
      <c r="U306" s="418">
        <f t="shared" ref="U306" si="922">+L306+P306+F306</f>
        <v>0</v>
      </c>
      <c r="V306" s="517">
        <f t="shared" ref="V306" si="923">+P306*R306+L306*N306+F306*H306</f>
        <v>0</v>
      </c>
      <c r="W306" s="428">
        <f t="shared" ref="W306" si="924">(IF(R306&gt;S306,(-P306*R306)-(-P306*S306),0))</f>
        <v>0</v>
      </c>
      <c r="X306" s="429">
        <f t="shared" ref="X306" si="925">(IF(R306&lt;S306,(-P306*R306)-(-P306*S306),0))</f>
        <v>0</v>
      </c>
      <c r="Y306" s="92"/>
      <c r="AA306" s="578"/>
      <c r="AB306" s="578"/>
      <c r="AC306" s="578"/>
      <c r="AD306" s="578"/>
      <c r="AE306" s="578"/>
      <c r="AF306" s="579"/>
      <c r="AG306" s="579"/>
      <c r="AH306" s="579"/>
      <c r="AI306" s="579"/>
      <c r="AJ306" s="579"/>
      <c r="AK306" s="579"/>
      <c r="AL306" s="1563"/>
      <c r="AM306" s="579"/>
      <c r="AN306" s="579"/>
      <c r="AO306" s="579"/>
      <c r="AP306" s="579"/>
      <c r="AQ306" s="579"/>
      <c r="AR306" s="579"/>
      <c r="AS306" s="579"/>
      <c r="AT306" s="579"/>
      <c r="AU306" s="579"/>
      <c r="AV306" s="579"/>
      <c r="AW306" s="579"/>
      <c r="AX306" s="579"/>
      <c r="AY306" s="579"/>
      <c r="AZ306" s="579"/>
      <c r="BA306" s="579"/>
      <c r="BB306" s="579"/>
      <c r="BC306" s="579"/>
      <c r="BD306" s="579"/>
      <c r="BE306" s="579"/>
      <c r="BF306" s="579"/>
      <c r="BG306" s="579"/>
      <c r="BH306" s="579"/>
      <c r="BI306" s="579"/>
      <c r="BJ306" s="594"/>
      <c r="BK306" s="579"/>
      <c r="BL306" s="579"/>
      <c r="BM306" s="579"/>
      <c r="BN306" s="579"/>
      <c r="BO306" s="579"/>
      <c r="BP306" s="579"/>
      <c r="BQ306" s="579"/>
      <c r="BR306" s="579"/>
      <c r="BS306" s="579"/>
      <c r="BT306" s="579"/>
      <c r="BU306" s="579"/>
      <c r="BV306" s="579"/>
      <c r="BW306" s="579"/>
      <c r="BX306" s="579"/>
      <c r="BY306" s="579"/>
      <c r="BZ306" s="579"/>
      <c r="CA306" s="579"/>
      <c r="CB306" s="579"/>
      <c r="CC306" s="579"/>
      <c r="CD306" s="594"/>
      <c r="CE306" s="579"/>
      <c r="CF306" s="579"/>
      <c r="CG306" s="579"/>
      <c r="CH306" s="579"/>
      <c r="CI306" s="579"/>
      <c r="CJ306" s="579"/>
      <c r="CK306" s="579"/>
      <c r="CL306" s="579"/>
      <c r="CM306" s="579"/>
      <c r="CN306" s="579"/>
      <c r="CO306" s="579"/>
      <c r="CP306" s="579"/>
      <c r="CQ306" s="579"/>
      <c r="CR306" s="579"/>
      <c r="CS306" s="579"/>
      <c r="CT306" s="579"/>
      <c r="CU306" s="579"/>
      <c r="CV306" s="579"/>
      <c r="CW306" s="579"/>
      <c r="CX306" s="579"/>
      <c r="CY306" s="579"/>
      <c r="CZ306" s="579"/>
      <c r="DA306" s="579"/>
      <c r="DB306" s="579"/>
      <c r="DC306" s="579"/>
      <c r="DD306" s="579"/>
      <c r="DE306" s="579"/>
      <c r="DF306" s="579"/>
      <c r="DG306" s="579"/>
      <c r="DH306" s="579"/>
      <c r="DI306" s="579"/>
      <c r="DJ306" s="579"/>
      <c r="DK306" s="579"/>
      <c r="DL306" s="579"/>
      <c r="DM306" s="579"/>
      <c r="DN306" s="579"/>
      <c r="DO306" s="579"/>
      <c r="DP306" s="579"/>
    </row>
    <row r="307" spans="1:120" hidden="1" outlineLevel="1">
      <c r="A307" s="55"/>
      <c r="B307" s="509"/>
      <c r="C307" s="510"/>
      <c r="D307" s="1469"/>
      <c r="E307" s="1470"/>
      <c r="F307" s="416"/>
      <c r="G307" s="1251"/>
      <c r="H307" s="511"/>
      <c r="I307" s="512"/>
      <c r="J307" s="1383"/>
      <c r="K307" s="1383"/>
      <c r="L307" s="417"/>
      <c r="M307" s="1336"/>
      <c r="N307" s="504"/>
      <c r="O307" s="513">
        <f t="shared" si="837"/>
        <v>0</v>
      </c>
      <c r="P307" s="431"/>
      <c r="Q307" s="514"/>
      <c r="R307" s="515"/>
      <c r="S307" s="515"/>
      <c r="T307" s="562">
        <f t="shared" si="833"/>
        <v>0</v>
      </c>
      <c r="U307" s="418">
        <f t="shared" si="834"/>
        <v>0</v>
      </c>
      <c r="V307" s="517">
        <f>+P307*R307+L307*N307+F307*H307</f>
        <v>0</v>
      </c>
      <c r="W307" s="976">
        <f t="shared" si="835"/>
        <v>0</v>
      </c>
      <c r="X307" s="975">
        <f t="shared" si="836"/>
        <v>0</v>
      </c>
      <c r="Y307" s="519"/>
      <c r="AA307" s="578"/>
      <c r="AB307" s="578"/>
      <c r="AC307" s="578"/>
      <c r="AD307" s="578"/>
      <c r="AE307" s="578"/>
      <c r="AF307" s="579"/>
      <c r="AG307" s="579"/>
      <c r="AH307" s="579"/>
      <c r="AI307" s="579"/>
      <c r="AJ307" s="579"/>
      <c r="AK307" s="579"/>
      <c r="AL307" s="1563"/>
      <c r="AM307" s="579"/>
      <c r="AN307" s="579"/>
      <c r="AO307" s="579"/>
      <c r="AP307" s="579"/>
      <c r="AQ307" s="579"/>
      <c r="AR307" s="579"/>
      <c r="AS307" s="579"/>
      <c r="AT307" s="579"/>
      <c r="AU307" s="579"/>
      <c r="AV307" s="579"/>
      <c r="AW307" s="579"/>
      <c r="AX307" s="579"/>
      <c r="AY307" s="579"/>
      <c r="AZ307" s="579"/>
      <c r="BA307" s="579"/>
      <c r="BB307" s="579"/>
      <c r="BC307" s="579"/>
      <c r="BD307" s="579"/>
      <c r="BE307" s="579"/>
      <c r="BF307" s="579"/>
      <c r="BG307" s="579"/>
      <c r="BH307" s="579"/>
      <c r="BI307" s="579"/>
      <c r="BJ307" s="579"/>
      <c r="BK307" s="579"/>
      <c r="BL307" s="579"/>
      <c r="BM307" s="579"/>
      <c r="BN307" s="579"/>
      <c r="BO307" s="579"/>
      <c r="BP307" s="579"/>
      <c r="BQ307" s="579"/>
      <c r="BR307" s="579"/>
      <c r="BS307" s="579"/>
      <c r="BT307" s="579"/>
      <c r="BU307" s="579"/>
      <c r="BV307" s="579"/>
      <c r="BW307" s="579"/>
      <c r="BX307" s="579"/>
      <c r="BY307" s="579"/>
      <c r="BZ307" s="579"/>
      <c r="CA307" s="579"/>
      <c r="CB307" s="579"/>
      <c r="CC307" s="579"/>
      <c r="CD307" s="579"/>
      <c r="CE307" s="579"/>
      <c r="CF307" s="579"/>
      <c r="CG307" s="579"/>
      <c r="CH307" s="579"/>
      <c r="CI307" s="579"/>
      <c r="CJ307" s="579"/>
      <c r="CK307" s="579"/>
      <c r="CL307" s="579"/>
      <c r="CM307" s="579"/>
      <c r="CN307" s="579"/>
      <c r="CO307" s="579"/>
      <c r="CP307" s="579"/>
      <c r="CQ307" s="579"/>
      <c r="CR307" s="579"/>
      <c r="CS307" s="579"/>
      <c r="CT307" s="579"/>
      <c r="CU307" s="579"/>
      <c r="CV307" s="579"/>
      <c r="CW307" s="579"/>
      <c r="CX307" s="579"/>
      <c r="CY307" s="579"/>
      <c r="CZ307" s="579"/>
      <c r="DA307" s="579"/>
      <c r="DB307" s="579"/>
      <c r="DC307" s="579"/>
      <c r="DD307" s="579"/>
      <c r="DE307" s="579"/>
      <c r="DF307" s="579"/>
      <c r="DG307" s="579"/>
      <c r="DH307" s="579"/>
      <c r="DI307" s="579"/>
      <c r="DJ307" s="579"/>
      <c r="DK307" s="579"/>
      <c r="DL307" s="579"/>
      <c r="DM307" s="579"/>
      <c r="DN307" s="579"/>
      <c r="DO307" s="579"/>
      <c r="DP307" s="579"/>
    </row>
    <row r="308" spans="1:120" ht="16.5" collapsed="1" thickBot="1">
      <c r="A308" s="62" t="s">
        <v>233</v>
      </c>
      <c r="B308" s="63"/>
      <c r="C308" s="64"/>
      <c r="D308" s="1473"/>
      <c r="E308" s="1474"/>
      <c r="F308" s="66">
        <f>SUM(F278:F307)</f>
        <v>0</v>
      </c>
      <c r="G308" s="1253"/>
      <c r="H308" s="67"/>
      <c r="I308" s="68">
        <f>SUM(I278:I307)</f>
        <v>0</v>
      </c>
      <c r="J308" s="1376"/>
      <c r="K308" s="76"/>
      <c r="L308" s="69">
        <f>SUM(L278:L307)</f>
        <v>0</v>
      </c>
      <c r="M308" s="168"/>
      <c r="N308" s="70"/>
      <c r="O308" s="71">
        <f>SUM(O278:O307)</f>
        <v>0</v>
      </c>
      <c r="P308" s="72">
        <f>SUM(P278:P307)</f>
        <v>0</v>
      </c>
      <c r="Q308" s="1339"/>
      <c r="R308" s="73"/>
      <c r="S308" s="73"/>
      <c r="T308" s="96">
        <f>SUM(T278:T307)</f>
        <v>0</v>
      </c>
      <c r="U308" s="66">
        <f>SUM(U278:U307)</f>
        <v>0</v>
      </c>
      <c r="V308" s="76">
        <f>SUM(V278:V307)</f>
        <v>0</v>
      </c>
      <c r="W308" s="97">
        <f>SUM(W278:W307)</f>
        <v>0</v>
      </c>
      <c r="X308" s="98">
        <f>SUM(X278:X307)</f>
        <v>0</v>
      </c>
      <c r="Y308" s="43"/>
      <c r="AA308" s="130">
        <f t="shared" ref="AA308:BF308" ca="1" si="926">SUM(AA276:AA307)</f>
        <v>-2.7939677238464355E-9</v>
      </c>
      <c r="AB308" s="130">
        <f t="shared" ca="1" si="926"/>
        <v>0</v>
      </c>
      <c r="AC308" s="130">
        <f t="shared" ca="1" si="926"/>
        <v>0</v>
      </c>
      <c r="AD308" s="130">
        <f t="shared" ca="1" si="926"/>
        <v>0</v>
      </c>
      <c r="AE308" s="130">
        <f t="shared" ca="1" si="926"/>
        <v>0</v>
      </c>
      <c r="AF308" s="130">
        <f t="shared" ca="1" si="926"/>
        <v>0</v>
      </c>
      <c r="AG308" s="130">
        <f t="shared" ca="1" si="926"/>
        <v>0</v>
      </c>
      <c r="AH308" s="130">
        <f t="shared" ca="1" si="926"/>
        <v>0</v>
      </c>
      <c r="AI308" s="130">
        <f t="shared" ca="1" si="926"/>
        <v>0</v>
      </c>
      <c r="AJ308" s="130">
        <f t="shared" ca="1" si="926"/>
        <v>-2.3283064365386963E-10</v>
      </c>
      <c r="AK308" s="130">
        <f t="shared" ca="1" si="926"/>
        <v>-2.3283064365386963E-10</v>
      </c>
      <c r="AL308" s="130">
        <f t="shared" ca="1" si="926"/>
        <v>0</v>
      </c>
      <c r="AM308" s="130">
        <f t="shared" ca="1" si="926"/>
        <v>2.3283064365386963E-10</v>
      </c>
      <c r="AN308" s="130">
        <f t="shared" ca="1" si="926"/>
        <v>0</v>
      </c>
      <c r="AO308" s="130">
        <f t="shared" ca="1" si="926"/>
        <v>0</v>
      </c>
      <c r="AP308" s="130">
        <f t="shared" ca="1" si="926"/>
        <v>0</v>
      </c>
      <c r="AQ308" s="130">
        <f t="shared" ca="1" si="926"/>
        <v>0</v>
      </c>
      <c r="AR308" s="130">
        <f t="shared" ca="1" si="926"/>
        <v>0</v>
      </c>
      <c r="AS308" s="130">
        <f t="shared" ca="1" si="926"/>
        <v>-4.3655745685100555E-11</v>
      </c>
      <c r="AT308" s="130">
        <f t="shared" ca="1" si="926"/>
        <v>0</v>
      </c>
      <c r="AU308" s="130">
        <f t="shared" ca="1" si="926"/>
        <v>0</v>
      </c>
      <c r="AV308" s="130">
        <f t="shared" ca="1" si="926"/>
        <v>-2.3283064365386963E-10</v>
      </c>
      <c r="AW308" s="130">
        <f t="shared" ca="1" si="926"/>
        <v>-2.3283064365386963E-10</v>
      </c>
      <c r="AX308" s="130">
        <f t="shared" ca="1" si="926"/>
        <v>0</v>
      </c>
      <c r="AY308" s="130">
        <f t="shared" ca="1" si="926"/>
        <v>0</v>
      </c>
      <c r="AZ308" s="130">
        <f t="shared" ca="1" si="926"/>
        <v>0</v>
      </c>
      <c r="BA308" s="130">
        <f t="shared" ca="1" si="926"/>
        <v>1375193.1800000004</v>
      </c>
      <c r="BB308" s="130">
        <f t="shared" ca="1" si="926"/>
        <v>0</v>
      </c>
      <c r="BC308" s="130">
        <f t="shared" ca="1" si="926"/>
        <v>0</v>
      </c>
      <c r="BD308" s="130">
        <f t="shared" ca="1" si="926"/>
        <v>0</v>
      </c>
      <c r="BE308" s="130">
        <f t="shared" ca="1" si="926"/>
        <v>0</v>
      </c>
      <c r="BF308" s="130">
        <f t="shared" ca="1" si="926"/>
        <v>0</v>
      </c>
      <c r="BG308" s="130">
        <f t="shared" ref="BG308:CL308" ca="1" si="927">SUM(BG276:BG307)</f>
        <v>0</v>
      </c>
      <c r="BH308" s="130">
        <f t="shared" ca="1" si="927"/>
        <v>0</v>
      </c>
      <c r="BI308" s="130">
        <f t="shared" ca="1" si="927"/>
        <v>0</v>
      </c>
      <c r="BJ308" s="130">
        <f t="shared" ca="1" si="927"/>
        <v>0</v>
      </c>
      <c r="BK308" s="130">
        <f t="shared" ca="1" si="927"/>
        <v>0</v>
      </c>
      <c r="BL308" s="130">
        <f t="shared" ca="1" si="927"/>
        <v>0</v>
      </c>
      <c r="BM308" s="130">
        <f t="shared" ca="1" si="927"/>
        <v>0</v>
      </c>
      <c r="BN308" s="130">
        <f t="shared" ca="1" si="927"/>
        <v>0</v>
      </c>
      <c r="BO308" s="130">
        <f t="shared" ca="1" si="927"/>
        <v>0</v>
      </c>
      <c r="BP308" s="130">
        <f t="shared" ca="1" si="927"/>
        <v>0</v>
      </c>
      <c r="BQ308" s="130">
        <f t="shared" ca="1" si="927"/>
        <v>0</v>
      </c>
      <c r="BR308" s="130">
        <f t="shared" ca="1" si="927"/>
        <v>0</v>
      </c>
      <c r="BS308" s="130">
        <f t="shared" ca="1" si="927"/>
        <v>0</v>
      </c>
      <c r="BT308" s="130">
        <f t="shared" ca="1" si="927"/>
        <v>0</v>
      </c>
      <c r="BU308" s="130">
        <f t="shared" ca="1" si="927"/>
        <v>0</v>
      </c>
      <c r="BV308" s="130">
        <f t="shared" ca="1" si="927"/>
        <v>0</v>
      </c>
      <c r="BW308" s="130">
        <f t="shared" ca="1" si="927"/>
        <v>0</v>
      </c>
      <c r="BX308" s="130">
        <f t="shared" ca="1" si="927"/>
        <v>0</v>
      </c>
      <c r="BY308" s="130">
        <f t="shared" ca="1" si="927"/>
        <v>0</v>
      </c>
      <c r="BZ308" s="130">
        <f t="shared" ca="1" si="927"/>
        <v>0</v>
      </c>
      <c r="CA308" s="130">
        <f t="shared" ca="1" si="927"/>
        <v>0</v>
      </c>
      <c r="CB308" s="130">
        <f t="shared" ca="1" si="927"/>
        <v>0</v>
      </c>
      <c r="CC308" s="130">
        <f t="shared" ca="1" si="927"/>
        <v>4.0972736314870402E-10</v>
      </c>
      <c r="CD308" s="130">
        <f t="shared" ca="1" si="927"/>
        <v>0</v>
      </c>
      <c r="CE308" s="130">
        <f t="shared" ca="1" si="927"/>
        <v>0</v>
      </c>
      <c r="CF308" s="130">
        <f t="shared" ca="1" si="927"/>
        <v>0</v>
      </c>
      <c r="CG308" s="130">
        <f t="shared" ca="1" si="927"/>
        <v>0</v>
      </c>
      <c r="CH308" s="130">
        <f t="shared" ca="1" si="927"/>
        <v>0</v>
      </c>
      <c r="CI308" s="130">
        <f t="shared" ca="1" si="927"/>
        <v>0</v>
      </c>
      <c r="CJ308" s="130">
        <f t="shared" ca="1" si="927"/>
        <v>0</v>
      </c>
      <c r="CK308" s="130">
        <f t="shared" ca="1" si="927"/>
        <v>0</v>
      </c>
      <c r="CL308" s="130">
        <f t="shared" ca="1" si="927"/>
        <v>0</v>
      </c>
      <c r="CM308" s="130">
        <f t="shared" ref="CM308:DM308" ca="1" si="928">SUM(CM276:CM307)</f>
        <v>0</v>
      </c>
      <c r="CN308" s="130">
        <f t="shared" ca="1" si="928"/>
        <v>0</v>
      </c>
      <c r="CO308" s="130">
        <f t="shared" ca="1" si="928"/>
        <v>0</v>
      </c>
      <c r="CP308" s="130">
        <f t="shared" ca="1" si="928"/>
        <v>0</v>
      </c>
      <c r="CQ308" s="130">
        <f t="shared" ca="1" si="928"/>
        <v>0</v>
      </c>
      <c r="CR308" s="130">
        <f t="shared" ca="1" si="928"/>
        <v>0</v>
      </c>
      <c r="CS308" s="130">
        <f t="shared" ca="1" si="928"/>
        <v>0</v>
      </c>
      <c r="CT308" s="130">
        <f t="shared" ca="1" si="928"/>
        <v>0</v>
      </c>
      <c r="CU308" s="130">
        <f t="shared" ca="1" si="928"/>
        <v>0</v>
      </c>
      <c r="CV308" s="130">
        <f t="shared" ca="1" si="928"/>
        <v>0</v>
      </c>
      <c r="CW308" s="130">
        <f t="shared" ca="1" si="928"/>
        <v>0</v>
      </c>
      <c r="CX308" s="130">
        <f t="shared" ca="1" si="928"/>
        <v>0</v>
      </c>
      <c r="CY308" s="130">
        <f t="shared" ca="1" si="928"/>
        <v>0</v>
      </c>
      <c r="CZ308" s="130">
        <f t="shared" ca="1" si="928"/>
        <v>0</v>
      </c>
      <c r="DA308" s="130">
        <f t="shared" ca="1" si="928"/>
        <v>0</v>
      </c>
      <c r="DB308" s="130">
        <f t="shared" ca="1" si="928"/>
        <v>0</v>
      </c>
      <c r="DC308" s="130">
        <f t="shared" ca="1" si="928"/>
        <v>0</v>
      </c>
      <c r="DD308" s="130">
        <f t="shared" ca="1" si="928"/>
        <v>0</v>
      </c>
      <c r="DE308" s="130">
        <f t="shared" ca="1" si="928"/>
        <v>0</v>
      </c>
      <c r="DF308" s="130">
        <f t="shared" ca="1" si="928"/>
        <v>0</v>
      </c>
      <c r="DG308" s="130">
        <f t="shared" ca="1" si="928"/>
        <v>0</v>
      </c>
      <c r="DH308" s="130">
        <f t="shared" ca="1" si="928"/>
        <v>0</v>
      </c>
      <c r="DI308" s="130">
        <f t="shared" ca="1" si="928"/>
        <v>0</v>
      </c>
      <c r="DJ308" s="130">
        <f t="shared" ca="1" si="928"/>
        <v>0</v>
      </c>
      <c r="DK308" s="130">
        <f t="shared" ca="1" si="928"/>
        <v>0</v>
      </c>
      <c r="DL308" s="130">
        <f t="shared" ca="1" si="928"/>
        <v>0</v>
      </c>
      <c r="DM308" s="130">
        <f t="shared" ca="1" si="928"/>
        <v>0</v>
      </c>
      <c r="DN308" s="130">
        <f t="shared" ref="DN308:DO308" ca="1" si="929">SUM(DN276:DN307)</f>
        <v>0</v>
      </c>
      <c r="DO308" s="130">
        <f t="shared" ca="1" si="929"/>
        <v>0</v>
      </c>
      <c r="DP308" s="130">
        <f t="shared" ref="DP308" ca="1" si="930">SUM(DP276:DP307)</f>
        <v>0</v>
      </c>
    </row>
    <row r="309" spans="1:120"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</row>
    <row r="310" spans="1:120" hidden="1" outlineLevel="1">
      <c r="A310" s="532">
        <v>1110052010</v>
      </c>
      <c r="B310" s="573"/>
      <c r="C310" s="534" t="s">
        <v>64</v>
      </c>
      <c r="D310" s="1477"/>
      <c r="E310" s="1478"/>
      <c r="F310" s="535"/>
      <c r="G310" s="1254"/>
      <c r="H310" s="536"/>
      <c r="I310" s="537"/>
      <c r="J310" s="1483">
        <v>1</v>
      </c>
      <c r="K310" s="1484">
        <v>1</v>
      </c>
      <c r="L310" s="1042"/>
      <c r="M310" s="1593">
        <f>+L310*J310</f>
        <v>0</v>
      </c>
      <c r="N310" s="538"/>
      <c r="O310" s="539">
        <f t="shared" ref="O310:O328" si="931">+L310*N310</f>
        <v>0</v>
      </c>
      <c r="P310" s="540"/>
      <c r="Q310" s="540"/>
      <c r="R310" s="541"/>
      <c r="S310" s="541"/>
      <c r="T310" s="542">
        <f t="shared" ref="T310:T328" si="932">+P310*S310</f>
        <v>0</v>
      </c>
      <c r="U310" s="543">
        <f t="shared" ref="U310:U328" si="933">+L310+P310+F310</f>
        <v>0</v>
      </c>
      <c r="V310" s="544">
        <f t="shared" ref="V310:V327" si="934">+P310*R310+L310*N310+F310*H310</f>
        <v>0</v>
      </c>
      <c r="W310" s="545">
        <f t="shared" ref="W310:W328" si="935">(IF(R310&gt;S310,(-P310*R310)-(-P310*S310),0))</f>
        <v>0</v>
      </c>
      <c r="X310" s="546">
        <f t="shared" ref="X310:X328" si="936">(IF(R310&lt;S310,(-P310*R310)-(-P310*S310),0))</f>
        <v>0</v>
      </c>
      <c r="Y310" s="547"/>
      <c r="AA310" s="574"/>
      <c r="AB310" s="574"/>
      <c r="AC310" s="574"/>
      <c r="AD310" s="574"/>
      <c r="AE310" s="574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  <c r="AV310" s="575"/>
      <c r="AW310" s="575"/>
      <c r="AX310" s="575"/>
      <c r="AY310" s="575"/>
      <c r="AZ310" s="575"/>
      <c r="BA310" s="575"/>
      <c r="BB310" s="575"/>
      <c r="BC310" s="575"/>
      <c r="BD310" s="575"/>
      <c r="BE310" s="576"/>
      <c r="BF310" s="575"/>
      <c r="BG310" s="575"/>
      <c r="BH310" s="575"/>
      <c r="BI310" s="575"/>
      <c r="BJ310" s="575"/>
      <c r="BK310" s="575"/>
      <c r="BL310" s="575"/>
      <c r="BM310" s="575"/>
      <c r="BN310" s="575"/>
      <c r="BO310" s="575"/>
      <c r="BP310" s="575"/>
      <c r="BQ310" s="575"/>
      <c r="BR310" s="576"/>
      <c r="BS310" s="576"/>
      <c r="BT310" s="575"/>
      <c r="BU310" s="575"/>
      <c r="BV310" s="575"/>
      <c r="BW310" s="575"/>
      <c r="BX310" s="575"/>
      <c r="BY310" s="575"/>
      <c r="BZ310" s="576"/>
      <c r="CA310" s="575"/>
      <c r="CB310" s="575"/>
      <c r="CC310" s="575"/>
      <c r="CD310" s="575"/>
      <c r="CE310" s="575"/>
      <c r="CF310" s="575"/>
      <c r="CG310" s="575"/>
      <c r="CH310" s="575"/>
      <c r="CI310" s="575"/>
      <c r="CJ310" s="575"/>
      <c r="CK310" s="575"/>
      <c r="CL310" s="575"/>
      <c r="CM310" s="575"/>
      <c r="CN310" s="575"/>
      <c r="CO310" s="575"/>
      <c r="CP310" s="575"/>
      <c r="CQ310" s="575"/>
      <c r="CR310" s="576">
        <f>+M310</f>
        <v>0</v>
      </c>
      <c r="CS310" s="575"/>
      <c r="CT310" s="575"/>
      <c r="CU310" s="575"/>
      <c r="CV310" s="575"/>
      <c r="CW310" s="575"/>
      <c r="CX310" s="575"/>
      <c r="CY310" s="575"/>
      <c r="CZ310" s="575"/>
      <c r="DA310" s="575"/>
      <c r="DB310" s="575"/>
      <c r="DC310" s="575"/>
      <c r="DD310" s="575"/>
      <c r="DE310" s="575"/>
      <c r="DF310" s="575"/>
      <c r="DG310" s="575"/>
      <c r="DH310" s="575"/>
      <c r="DI310" s="575"/>
      <c r="DJ310" s="575"/>
      <c r="DK310" s="575"/>
      <c r="DL310" s="575"/>
      <c r="DM310" s="575"/>
      <c r="DN310" s="575"/>
      <c r="DO310" s="575"/>
      <c r="DP310" s="575"/>
    </row>
    <row r="311" spans="1:120" hidden="1" outlineLevel="1">
      <c r="A311" s="89">
        <v>1110052010</v>
      </c>
      <c r="B311" s="509"/>
      <c r="C311" s="1512" t="s">
        <v>64</v>
      </c>
      <c r="D311" s="1538"/>
      <c r="E311" s="1539"/>
      <c r="F311" s="416"/>
      <c r="G311" s="1251"/>
      <c r="H311" s="511"/>
      <c r="I311" s="512"/>
      <c r="J311" s="1425">
        <v>1</v>
      </c>
      <c r="K311" s="1426">
        <v>1</v>
      </c>
      <c r="L311" s="419"/>
      <c r="M311" s="1600"/>
      <c r="N311" s="504"/>
      <c r="O311" s="513">
        <f t="shared" ref="O311" si="937">+L311*N311</f>
        <v>0</v>
      </c>
      <c r="P311" s="514"/>
      <c r="Q311" s="1340">
        <f t="shared" ref="Q311" si="938">+P311*K311</f>
        <v>0</v>
      </c>
      <c r="R311" s="426"/>
      <c r="S311" s="426"/>
      <c r="T311" s="427">
        <f t="shared" ref="T311" si="939">+P311*S311</f>
        <v>0</v>
      </c>
      <c r="U311" s="418">
        <f t="shared" ref="U311" si="940">+L311+P311+F311</f>
        <v>0</v>
      </c>
      <c r="V311" s="517">
        <f t="shared" ref="V311" si="941">+P311*R311+L311*N311+F311*H311</f>
        <v>0</v>
      </c>
      <c r="W311" s="428">
        <f t="shared" ref="W311" si="942">(IF(R311&gt;S311,(-P311*R311)-(-P311*S311),0))</f>
        <v>0</v>
      </c>
      <c r="X311" s="429">
        <f t="shared" ref="X311" si="943">(IF(R311&lt;S311,(-P311*R311)-(-P311*S311),0))</f>
        <v>0</v>
      </c>
      <c r="Y311" s="92"/>
      <c r="AA311" s="578"/>
      <c r="AB311" s="2121"/>
      <c r="AC311" s="578"/>
      <c r="AD311" s="578"/>
      <c r="AE311" s="578"/>
      <c r="AF311" s="579"/>
      <c r="AG311" s="579"/>
      <c r="AH311" s="579"/>
      <c r="AI311" s="579"/>
      <c r="AJ311" s="579"/>
      <c r="AK311" s="579"/>
      <c r="AL311" s="1563"/>
      <c r="AM311" s="579"/>
      <c r="AN311" s="579"/>
      <c r="AO311" s="579"/>
      <c r="AP311" s="579"/>
      <c r="AQ311" s="579"/>
      <c r="AR311" s="579"/>
      <c r="AS311" s="579"/>
      <c r="AT311" s="579"/>
      <c r="AU311" s="579"/>
      <c r="AV311" s="579"/>
      <c r="AW311" s="579"/>
      <c r="AX311" s="579"/>
      <c r="AY311" s="579"/>
      <c r="AZ311" s="579"/>
      <c r="BA311" s="579"/>
      <c r="BB311" s="579"/>
      <c r="BC311" s="579"/>
      <c r="BD311" s="579"/>
      <c r="BE311" s="579"/>
      <c r="BF311" s="579"/>
      <c r="BG311" s="579"/>
      <c r="BH311" s="579"/>
      <c r="BI311" s="579"/>
      <c r="BJ311" s="579"/>
      <c r="BK311" s="579"/>
      <c r="BL311" s="579"/>
      <c r="BM311" s="579"/>
      <c r="BN311" s="595"/>
      <c r="BO311" s="579"/>
      <c r="BP311" s="579"/>
      <c r="BQ311" s="579"/>
      <c r="BR311" s="579"/>
      <c r="BS311" s="579"/>
      <c r="BT311" s="595"/>
      <c r="BU311" s="595"/>
      <c r="BV311" s="595"/>
      <c r="BW311" s="595"/>
      <c r="BX311" s="595"/>
      <c r="BY311" s="595"/>
      <c r="BZ311" s="595"/>
      <c r="CA311" s="595"/>
      <c r="CB311" s="595"/>
      <c r="CC311" s="595"/>
      <c r="CD311" s="595"/>
      <c r="CE311" s="595"/>
      <c r="CF311" s="595"/>
      <c r="CG311" s="595"/>
      <c r="CH311" s="595"/>
      <c r="CI311" s="595"/>
      <c r="CJ311" s="595"/>
      <c r="CK311" s="595"/>
      <c r="CL311" s="595"/>
      <c r="CM311" s="579"/>
      <c r="CN311" s="595"/>
      <c r="CO311" s="579"/>
      <c r="CP311" s="579"/>
      <c r="CQ311" s="594">
        <f>+Q311</f>
        <v>0</v>
      </c>
      <c r="CR311" s="594"/>
      <c r="CS311" s="579"/>
      <c r="CT311" s="579"/>
      <c r="CU311" s="579"/>
      <c r="CV311" s="579"/>
      <c r="CW311" s="579"/>
      <c r="CX311" s="579"/>
      <c r="CY311" s="579"/>
      <c r="CZ311" s="579"/>
      <c r="DA311" s="579"/>
      <c r="DB311" s="579"/>
      <c r="DC311" s="579"/>
      <c r="DD311" s="579"/>
      <c r="DE311" s="579"/>
      <c r="DF311" s="579"/>
      <c r="DG311" s="579"/>
      <c r="DH311" s="579"/>
      <c r="DI311" s="579"/>
      <c r="DJ311" s="579"/>
      <c r="DK311" s="579"/>
      <c r="DL311" s="579"/>
      <c r="DM311" s="579"/>
      <c r="DN311" s="579"/>
      <c r="DO311" s="579"/>
      <c r="DP311" s="579"/>
    </row>
    <row r="312" spans="1:120" hidden="1" outlineLevel="1">
      <c r="A312" s="89">
        <v>1110052010</v>
      </c>
      <c r="B312" s="509"/>
      <c r="C312" s="1512" t="s">
        <v>64</v>
      </c>
      <c r="D312" s="1538"/>
      <c r="E312" s="1539"/>
      <c r="F312" s="416"/>
      <c r="G312" s="1251"/>
      <c r="H312" s="511"/>
      <c r="I312" s="512"/>
      <c r="J312" s="1425">
        <v>1</v>
      </c>
      <c r="K312" s="1426">
        <v>1</v>
      </c>
      <c r="L312" s="419"/>
      <c r="M312" s="1600"/>
      <c r="N312" s="504"/>
      <c r="O312" s="513">
        <f t="shared" ref="O312" si="944">+L312*N312</f>
        <v>0</v>
      </c>
      <c r="P312" s="514"/>
      <c r="Q312" s="1340">
        <f t="shared" ref="Q312" si="945">+P312*K312</f>
        <v>0</v>
      </c>
      <c r="R312" s="426"/>
      <c r="S312" s="426"/>
      <c r="T312" s="427">
        <f t="shared" ref="T312" si="946">+P312*S312</f>
        <v>0</v>
      </c>
      <c r="U312" s="418">
        <f t="shared" ref="U312" si="947">+L312+P312+F312</f>
        <v>0</v>
      </c>
      <c r="V312" s="517">
        <f t="shared" ref="V312" si="948">+P312*R312+L312*N312+F312*H312</f>
        <v>0</v>
      </c>
      <c r="W312" s="428">
        <f t="shared" ref="W312" si="949">(IF(R312&gt;S312,(-P312*R312)-(-P312*S312),0))</f>
        <v>0</v>
      </c>
      <c r="X312" s="429">
        <f t="shared" ref="X312" si="950">(IF(R312&lt;S312,(-P312*R312)-(-P312*S312),0))</f>
        <v>0</v>
      </c>
      <c r="Y312" s="92"/>
      <c r="AA312" s="578"/>
      <c r="AB312" s="2121"/>
      <c r="AC312" s="578"/>
      <c r="AD312" s="578"/>
      <c r="AE312" s="578"/>
      <c r="AF312" s="579"/>
      <c r="AG312" s="579"/>
      <c r="AH312" s="579"/>
      <c r="AI312" s="579"/>
      <c r="AJ312" s="579"/>
      <c r="AK312" s="579"/>
      <c r="AL312" s="1563"/>
      <c r="AM312" s="579"/>
      <c r="AN312" s="579"/>
      <c r="AO312" s="579"/>
      <c r="AP312" s="579"/>
      <c r="AQ312" s="579"/>
      <c r="AR312" s="579"/>
      <c r="AS312" s="579"/>
      <c r="AT312" s="579"/>
      <c r="AU312" s="579"/>
      <c r="AV312" s="579"/>
      <c r="AW312" s="579"/>
      <c r="AX312" s="579"/>
      <c r="AY312" s="579"/>
      <c r="AZ312" s="579"/>
      <c r="BA312" s="579"/>
      <c r="BB312" s="579"/>
      <c r="BC312" s="579"/>
      <c r="BD312" s="579"/>
      <c r="BE312" s="579"/>
      <c r="BF312" s="579"/>
      <c r="BG312" s="579"/>
      <c r="BH312" s="579"/>
      <c r="BI312" s="579"/>
      <c r="BJ312" s="579"/>
      <c r="BK312" s="579"/>
      <c r="BL312" s="579"/>
      <c r="BM312" s="579"/>
      <c r="BN312" s="595"/>
      <c r="BO312" s="579"/>
      <c r="BP312" s="579"/>
      <c r="BQ312" s="579"/>
      <c r="BR312" s="579"/>
      <c r="BS312" s="579"/>
      <c r="BT312" s="595"/>
      <c r="BU312" s="595"/>
      <c r="BV312" s="595"/>
      <c r="BW312" s="595"/>
      <c r="BX312" s="595"/>
      <c r="BY312" s="595"/>
      <c r="BZ312" s="595"/>
      <c r="CA312" s="595"/>
      <c r="CB312" s="595"/>
      <c r="CC312" s="595"/>
      <c r="CD312" s="595"/>
      <c r="CE312" s="595"/>
      <c r="CF312" s="595"/>
      <c r="CG312" s="595"/>
      <c r="CH312" s="595"/>
      <c r="CI312" s="595"/>
      <c r="CJ312" s="595"/>
      <c r="CK312" s="595"/>
      <c r="CL312" s="595"/>
      <c r="CM312" s="579"/>
      <c r="CN312" s="595"/>
      <c r="CO312" s="579"/>
      <c r="CP312" s="579"/>
      <c r="CQ312" s="579"/>
      <c r="CR312" s="594">
        <f>+Q312</f>
        <v>0</v>
      </c>
      <c r="CS312" s="579"/>
      <c r="CT312" s="579"/>
      <c r="CU312" s="579"/>
      <c r="CV312" s="579"/>
      <c r="CW312" s="579"/>
      <c r="CX312" s="579"/>
      <c r="CY312" s="579"/>
      <c r="CZ312" s="579"/>
      <c r="DA312" s="579"/>
      <c r="DB312" s="579"/>
      <c r="DC312" s="579"/>
      <c r="DD312" s="579"/>
      <c r="DE312" s="579"/>
      <c r="DF312" s="579"/>
      <c r="DG312" s="579"/>
      <c r="DH312" s="579"/>
      <c r="DI312" s="579"/>
      <c r="DJ312" s="579"/>
      <c r="DK312" s="579"/>
      <c r="DL312" s="579"/>
      <c r="DM312" s="579"/>
      <c r="DN312" s="579"/>
      <c r="DO312" s="579"/>
      <c r="DP312" s="579"/>
    </row>
    <row r="313" spans="1:120" hidden="1" outlineLevel="1">
      <c r="A313" s="89">
        <v>1110052010</v>
      </c>
      <c r="B313" s="509"/>
      <c r="C313" s="1512" t="s">
        <v>64</v>
      </c>
      <c r="D313" s="1538"/>
      <c r="E313" s="1539"/>
      <c r="F313" s="416"/>
      <c r="G313" s="1251"/>
      <c r="H313" s="511"/>
      <c r="I313" s="512"/>
      <c r="J313" s="1425">
        <v>1</v>
      </c>
      <c r="K313" s="1426">
        <v>1</v>
      </c>
      <c r="L313" s="419"/>
      <c r="M313" s="1600"/>
      <c r="N313" s="504"/>
      <c r="O313" s="513">
        <f t="shared" si="931"/>
        <v>0</v>
      </c>
      <c r="P313" s="514"/>
      <c r="Q313" s="1340">
        <f t="shared" ref="Q313:Q326" si="951">+P313*K313</f>
        <v>0</v>
      </c>
      <c r="R313" s="426"/>
      <c r="S313" s="426"/>
      <c r="T313" s="427">
        <f t="shared" si="932"/>
        <v>0</v>
      </c>
      <c r="U313" s="418">
        <f t="shared" si="933"/>
        <v>0</v>
      </c>
      <c r="V313" s="517">
        <f t="shared" si="934"/>
        <v>0</v>
      </c>
      <c r="W313" s="428">
        <f t="shared" si="935"/>
        <v>0</v>
      </c>
      <c r="X313" s="429">
        <f t="shared" si="936"/>
        <v>0</v>
      </c>
      <c r="Y313" s="92"/>
      <c r="AA313" s="578"/>
      <c r="AB313" s="2121">
        <f>+Q313</f>
        <v>0</v>
      </c>
      <c r="AC313" s="578"/>
      <c r="AD313" s="578"/>
      <c r="AE313" s="578"/>
      <c r="AF313" s="579"/>
      <c r="AG313" s="579"/>
      <c r="AH313" s="579"/>
      <c r="AI313" s="579"/>
      <c r="AJ313" s="579"/>
      <c r="AK313" s="579"/>
      <c r="AL313" s="1563"/>
      <c r="AM313" s="579"/>
      <c r="AN313" s="579"/>
      <c r="AO313" s="579"/>
      <c r="AP313" s="579"/>
      <c r="AQ313" s="579"/>
      <c r="AR313" s="579"/>
      <c r="AS313" s="579"/>
      <c r="AT313" s="579"/>
      <c r="AU313" s="579"/>
      <c r="AV313" s="579"/>
      <c r="AW313" s="579"/>
      <c r="AX313" s="579"/>
      <c r="AY313" s="579"/>
      <c r="AZ313" s="579"/>
      <c r="BA313" s="579"/>
      <c r="BB313" s="579"/>
      <c r="BC313" s="579"/>
      <c r="BD313" s="579"/>
      <c r="BE313" s="579"/>
      <c r="BF313" s="579"/>
      <c r="BG313" s="579"/>
      <c r="BH313" s="579"/>
      <c r="BI313" s="579"/>
      <c r="BJ313" s="579"/>
      <c r="BK313" s="579"/>
      <c r="BL313" s="579"/>
      <c r="BM313" s="579"/>
      <c r="BN313" s="595"/>
      <c r="BO313" s="579"/>
      <c r="BP313" s="579"/>
      <c r="BQ313" s="579"/>
      <c r="BR313" s="579"/>
      <c r="BS313" s="579"/>
      <c r="BT313" s="595"/>
      <c r="BU313" s="595"/>
      <c r="BV313" s="595"/>
      <c r="BW313" s="595"/>
      <c r="BX313" s="595"/>
      <c r="BY313" s="595"/>
      <c r="BZ313" s="595"/>
      <c r="CA313" s="595"/>
      <c r="CB313" s="595"/>
      <c r="CC313" s="595"/>
      <c r="CD313" s="595"/>
      <c r="CE313" s="595"/>
      <c r="CF313" s="595"/>
      <c r="CG313" s="595"/>
      <c r="CH313" s="595"/>
      <c r="CI313" s="595"/>
      <c r="CJ313" s="595"/>
      <c r="CK313" s="595"/>
      <c r="CL313" s="595"/>
      <c r="CM313" s="579"/>
      <c r="CN313" s="595"/>
      <c r="CO313" s="579"/>
      <c r="CP313" s="579"/>
      <c r="CQ313" s="579"/>
      <c r="CR313" s="579"/>
      <c r="CS313" s="579"/>
      <c r="CT313" s="579"/>
      <c r="CU313" s="579"/>
      <c r="CV313" s="579"/>
      <c r="CW313" s="579"/>
      <c r="CX313" s="579"/>
      <c r="CY313" s="579"/>
      <c r="CZ313" s="579"/>
      <c r="DA313" s="579"/>
      <c r="DB313" s="579"/>
      <c r="DC313" s="579"/>
      <c r="DD313" s="579"/>
      <c r="DE313" s="579"/>
      <c r="DF313" s="579"/>
      <c r="DG313" s="579"/>
      <c r="DH313" s="579"/>
      <c r="DI313" s="579"/>
      <c r="DJ313" s="579"/>
      <c r="DK313" s="579"/>
      <c r="DL313" s="579"/>
      <c r="DM313" s="579"/>
      <c r="DN313" s="579"/>
      <c r="DO313" s="579"/>
      <c r="DP313" s="579"/>
    </row>
    <row r="314" spans="1:120" hidden="1" outlineLevel="1">
      <c r="A314" s="89">
        <v>1110052010</v>
      </c>
      <c r="B314" s="509"/>
      <c r="C314" s="1512" t="s">
        <v>64</v>
      </c>
      <c r="D314" s="1538"/>
      <c r="E314" s="1539"/>
      <c r="F314" s="416"/>
      <c r="G314" s="1251"/>
      <c r="H314" s="511"/>
      <c r="I314" s="512"/>
      <c r="J314" s="1425">
        <v>1</v>
      </c>
      <c r="K314" s="1426">
        <v>1</v>
      </c>
      <c r="L314" s="419"/>
      <c r="M314" s="1600"/>
      <c r="N314" s="504"/>
      <c r="O314" s="513">
        <f t="shared" ref="O314" si="952">+L314*N314</f>
        <v>0</v>
      </c>
      <c r="P314" s="514"/>
      <c r="Q314" s="1340">
        <f t="shared" ref="Q314" si="953">+P314*K314</f>
        <v>0</v>
      </c>
      <c r="R314" s="426"/>
      <c r="S314" s="426"/>
      <c r="T314" s="427">
        <f t="shared" ref="T314" si="954">+P314*S314</f>
        <v>0</v>
      </c>
      <c r="U314" s="418">
        <f t="shared" ref="U314" si="955">+L314+P314+F314</f>
        <v>0</v>
      </c>
      <c r="V314" s="517">
        <f t="shared" ref="V314" si="956">+P314*R314+L314*N314+F314*H314</f>
        <v>0</v>
      </c>
      <c r="W314" s="428">
        <f t="shared" ref="W314" si="957">(IF(R314&gt;S314,(-P314*R314)-(-P314*S314),0))</f>
        <v>0</v>
      </c>
      <c r="X314" s="429">
        <f t="shared" ref="X314" si="958">(IF(R314&lt;S314,(-P314*R314)-(-P314*S314),0))</f>
        <v>0</v>
      </c>
      <c r="Y314" s="92"/>
      <c r="AA314" s="578"/>
      <c r="AB314" s="578"/>
      <c r="AC314" s="578"/>
      <c r="AD314" s="578"/>
      <c r="AE314" s="578"/>
      <c r="AF314" s="579"/>
      <c r="AG314" s="579"/>
      <c r="AH314" s="579"/>
      <c r="AI314" s="579"/>
      <c r="AJ314" s="579"/>
      <c r="AK314" s="579"/>
      <c r="AL314" s="2156">
        <f>+Q314</f>
        <v>0</v>
      </c>
      <c r="AM314" s="579"/>
      <c r="AN314" s="579"/>
      <c r="AO314" s="579"/>
      <c r="AP314" s="579"/>
      <c r="AQ314" s="579"/>
      <c r="AR314" s="579"/>
      <c r="AS314" s="579"/>
      <c r="AT314" s="579"/>
      <c r="AU314" s="579"/>
      <c r="AV314" s="579"/>
      <c r="AW314" s="579"/>
      <c r="AX314" s="579"/>
      <c r="AY314" s="579"/>
      <c r="AZ314" s="579"/>
      <c r="BA314" s="579"/>
      <c r="BB314" s="579"/>
      <c r="BC314" s="579"/>
      <c r="BD314" s="579"/>
      <c r="BE314" s="579"/>
      <c r="BF314" s="579"/>
      <c r="BG314" s="579"/>
      <c r="BH314" s="579"/>
      <c r="BI314" s="579"/>
      <c r="BJ314" s="579"/>
      <c r="BK314" s="579"/>
      <c r="BL314" s="579"/>
      <c r="BM314" s="579"/>
      <c r="BN314" s="595"/>
      <c r="BO314" s="579"/>
      <c r="BP314" s="579"/>
      <c r="BQ314" s="579"/>
      <c r="BR314" s="579"/>
      <c r="BS314" s="579"/>
      <c r="BT314" s="595"/>
      <c r="BU314" s="595"/>
      <c r="BV314" s="595"/>
      <c r="BW314" s="595"/>
      <c r="BX314" s="595"/>
      <c r="BY314" s="595"/>
      <c r="BZ314" s="595"/>
      <c r="CA314" s="595"/>
      <c r="CB314" s="595"/>
      <c r="CC314" s="595"/>
      <c r="CD314" s="595"/>
      <c r="CE314" s="595"/>
      <c r="CF314" s="595"/>
      <c r="CG314" s="595"/>
      <c r="CH314" s="595"/>
      <c r="CI314" s="595"/>
      <c r="CJ314" s="595"/>
      <c r="CK314" s="595"/>
      <c r="CL314" s="595"/>
      <c r="CM314" s="579"/>
      <c r="CN314" s="595"/>
      <c r="CO314" s="579"/>
      <c r="CP314" s="579"/>
      <c r="CQ314" s="579"/>
      <c r="CR314" s="579"/>
      <c r="CS314" s="579"/>
      <c r="CT314" s="579"/>
      <c r="CU314" s="579"/>
      <c r="CV314" s="579"/>
      <c r="CW314" s="579"/>
      <c r="CX314" s="579"/>
      <c r="CY314" s="579"/>
      <c r="CZ314" s="579"/>
      <c r="DA314" s="579"/>
      <c r="DB314" s="579"/>
      <c r="DC314" s="579"/>
      <c r="DD314" s="579"/>
      <c r="DE314" s="579"/>
      <c r="DF314" s="579"/>
      <c r="DG314" s="579"/>
      <c r="DH314" s="579"/>
      <c r="DI314" s="579"/>
      <c r="DJ314" s="579"/>
      <c r="DK314" s="579"/>
      <c r="DL314" s="579"/>
      <c r="DM314" s="579"/>
      <c r="DN314" s="579"/>
      <c r="DO314" s="579"/>
      <c r="DP314" s="579"/>
    </row>
    <row r="315" spans="1:120" hidden="1" outlineLevel="1">
      <c r="A315" s="89">
        <v>1110052010</v>
      </c>
      <c r="B315" s="509"/>
      <c r="C315" s="1512" t="s">
        <v>64</v>
      </c>
      <c r="D315" s="1538"/>
      <c r="E315" s="1539"/>
      <c r="F315" s="416"/>
      <c r="G315" s="1251"/>
      <c r="H315" s="511"/>
      <c r="I315" s="512"/>
      <c r="J315" s="1425">
        <v>1</v>
      </c>
      <c r="K315" s="1426">
        <v>1</v>
      </c>
      <c r="L315" s="419"/>
      <c r="M315" s="1594">
        <f t="shared" ref="M315:M321" si="959">+L315*J315</f>
        <v>0</v>
      </c>
      <c r="N315" s="415"/>
      <c r="O315" s="513">
        <f t="shared" si="931"/>
        <v>0</v>
      </c>
      <c r="P315" s="514"/>
      <c r="Q315" s="1340">
        <f t="shared" si="951"/>
        <v>0</v>
      </c>
      <c r="R315" s="426"/>
      <c r="S315" s="426"/>
      <c r="T315" s="427">
        <f t="shared" si="932"/>
        <v>0</v>
      </c>
      <c r="U315" s="418">
        <f t="shared" si="933"/>
        <v>0</v>
      </c>
      <c r="V315" s="517">
        <f t="shared" si="934"/>
        <v>0</v>
      </c>
      <c r="W315" s="428">
        <f t="shared" si="935"/>
        <v>0</v>
      </c>
      <c r="X315" s="429">
        <f t="shared" si="936"/>
        <v>0</v>
      </c>
      <c r="Y315" s="92"/>
      <c r="AA315" s="578"/>
      <c r="AB315" s="578"/>
      <c r="AC315" s="578"/>
      <c r="AD315" s="578"/>
      <c r="AE315" s="578"/>
      <c r="AF315" s="579"/>
      <c r="AG315" s="579"/>
      <c r="AH315" s="579"/>
      <c r="AI315" s="579"/>
      <c r="AJ315" s="579"/>
      <c r="AK315" s="579"/>
      <c r="AL315" s="2156">
        <f>+Q315</f>
        <v>0</v>
      </c>
      <c r="AM315" s="579"/>
      <c r="AN315" s="579"/>
      <c r="AO315" s="579"/>
      <c r="AP315" s="579"/>
      <c r="AQ315" s="579"/>
      <c r="AR315" s="579"/>
      <c r="AS315" s="579"/>
      <c r="AT315" s="579"/>
      <c r="AU315" s="579"/>
      <c r="AV315" s="579"/>
      <c r="AW315" s="579"/>
      <c r="AX315" s="579"/>
      <c r="AY315" s="579"/>
      <c r="AZ315" s="579"/>
      <c r="BA315" s="579"/>
      <c r="BB315" s="579"/>
      <c r="BC315" s="579"/>
      <c r="BD315" s="579"/>
      <c r="BE315" s="579"/>
      <c r="BF315" s="579"/>
      <c r="BG315" s="594"/>
      <c r="BH315" s="579"/>
      <c r="BI315" s="579"/>
      <c r="BJ315" s="579"/>
      <c r="BK315" s="579"/>
      <c r="BL315" s="579"/>
      <c r="BM315" s="579"/>
      <c r="BN315" s="579"/>
      <c r="BO315" s="579"/>
      <c r="BP315" s="579"/>
      <c r="BQ315" s="579"/>
      <c r="BR315" s="579"/>
      <c r="BS315" s="579"/>
      <c r="BT315" s="595"/>
      <c r="BU315" s="595"/>
      <c r="BV315" s="595"/>
      <c r="BW315" s="595"/>
      <c r="BX315" s="595"/>
      <c r="BY315" s="595"/>
      <c r="BZ315" s="595"/>
      <c r="CA315" s="595"/>
      <c r="CB315" s="595"/>
      <c r="CC315" s="595"/>
      <c r="CD315" s="595"/>
      <c r="CE315" s="595"/>
      <c r="CF315" s="595"/>
      <c r="CG315" s="595"/>
      <c r="CH315" s="595"/>
      <c r="CI315" s="595"/>
      <c r="CJ315" s="595"/>
      <c r="CK315" s="595"/>
      <c r="CL315" s="595"/>
      <c r="CM315" s="579"/>
      <c r="CN315" s="595"/>
      <c r="CO315" s="595"/>
      <c r="CP315" s="579"/>
      <c r="CQ315" s="579"/>
      <c r="CR315" s="579"/>
      <c r="CS315" s="579"/>
      <c r="CT315" s="579"/>
      <c r="CU315" s="579"/>
      <c r="CV315" s="579"/>
      <c r="CW315" s="579"/>
      <c r="CX315" s="579"/>
      <c r="CY315" s="579"/>
      <c r="CZ315" s="579"/>
      <c r="DA315" s="579"/>
      <c r="DB315" s="579"/>
      <c r="DC315" s="579"/>
      <c r="DD315" s="579"/>
      <c r="DE315" s="579"/>
      <c r="DF315" s="579"/>
      <c r="DG315" s="579"/>
      <c r="DH315" s="579"/>
      <c r="DI315" s="579"/>
      <c r="DJ315" s="579"/>
      <c r="DK315" s="579"/>
      <c r="DL315" s="579"/>
      <c r="DM315" s="579"/>
      <c r="DN315" s="579"/>
      <c r="DO315" s="579"/>
      <c r="DP315" s="579"/>
    </row>
    <row r="316" spans="1:120" s="13" customFormat="1" hidden="1" outlineLevel="1">
      <c r="A316" s="89">
        <v>1110052010</v>
      </c>
      <c r="B316" s="509"/>
      <c r="C316" s="1512" t="s">
        <v>64</v>
      </c>
      <c r="D316" s="1538"/>
      <c r="E316" s="1539"/>
      <c r="F316" s="416"/>
      <c r="G316" s="1251"/>
      <c r="H316" s="511"/>
      <c r="I316" s="512"/>
      <c r="J316" s="1425">
        <v>1</v>
      </c>
      <c r="K316" s="1426">
        <v>1</v>
      </c>
      <c r="L316" s="419"/>
      <c r="M316" s="1594">
        <f t="shared" si="959"/>
        <v>0</v>
      </c>
      <c r="N316" s="415"/>
      <c r="O316" s="513">
        <f t="shared" si="931"/>
        <v>0</v>
      </c>
      <c r="P316" s="514"/>
      <c r="Q316" s="1340">
        <f t="shared" si="951"/>
        <v>0</v>
      </c>
      <c r="R316" s="426"/>
      <c r="S316" s="426"/>
      <c r="T316" s="142">
        <f t="shared" si="932"/>
        <v>0</v>
      </c>
      <c r="U316" s="143">
        <f t="shared" si="933"/>
        <v>0</v>
      </c>
      <c r="V316" s="599">
        <f t="shared" si="934"/>
        <v>0</v>
      </c>
      <c r="W316" s="144">
        <f t="shared" si="935"/>
        <v>0</v>
      </c>
      <c r="X316" s="145">
        <f t="shared" si="936"/>
        <v>0</v>
      </c>
      <c r="Y316" s="146"/>
      <c r="Z316" s="1058"/>
      <c r="AA316" s="600"/>
      <c r="AB316" s="600"/>
      <c r="AC316" s="600"/>
      <c r="AD316" s="600"/>
      <c r="AE316" s="600"/>
      <c r="AF316" s="601"/>
      <c r="AG316" s="601"/>
      <c r="AH316" s="601"/>
      <c r="AI316" s="601"/>
      <c r="AJ316" s="601"/>
      <c r="AK316" s="601"/>
      <c r="AL316" s="2156">
        <f t="shared" ref="AL316:AL318" si="960">+Q316</f>
        <v>0</v>
      </c>
      <c r="AM316" s="601"/>
      <c r="AN316" s="601"/>
      <c r="AO316" s="601"/>
      <c r="AP316" s="601"/>
      <c r="AQ316" s="601"/>
      <c r="AR316" s="601"/>
      <c r="AS316" s="601"/>
      <c r="AT316" s="601"/>
      <c r="AU316" s="601"/>
      <c r="AV316" s="601"/>
      <c r="AW316" s="601"/>
      <c r="AX316" s="601"/>
      <c r="AY316" s="601"/>
      <c r="AZ316" s="601"/>
      <c r="BA316" s="601"/>
      <c r="BB316" s="601"/>
      <c r="BC316" s="601"/>
      <c r="BD316" s="601"/>
      <c r="BE316" s="601"/>
      <c r="BF316" s="601"/>
      <c r="BG316" s="601"/>
      <c r="BH316" s="1100"/>
      <c r="BI316" s="601"/>
      <c r="BJ316" s="601"/>
      <c r="BK316" s="601"/>
      <c r="BL316" s="601"/>
      <c r="BM316" s="601"/>
      <c r="BN316" s="601"/>
      <c r="BO316" s="601"/>
      <c r="BP316" s="601"/>
      <c r="BQ316" s="601"/>
      <c r="BR316" s="601"/>
      <c r="BS316" s="601"/>
      <c r="BT316" s="602"/>
      <c r="BU316" s="602"/>
      <c r="BV316" s="602"/>
      <c r="BW316" s="602"/>
      <c r="BX316" s="595"/>
      <c r="BY316" s="595"/>
      <c r="BZ316" s="595"/>
      <c r="CA316" s="595"/>
      <c r="CB316" s="595"/>
      <c r="CC316" s="595"/>
      <c r="CD316" s="595"/>
      <c r="CE316" s="595"/>
      <c r="CF316" s="602"/>
      <c r="CG316" s="602"/>
      <c r="CH316" s="602"/>
      <c r="CI316" s="602"/>
      <c r="CJ316" s="602"/>
      <c r="CK316" s="602"/>
      <c r="CL316" s="602"/>
      <c r="CM316" s="601"/>
      <c r="CN316" s="601"/>
      <c r="CO316" s="601"/>
      <c r="CP316" s="601"/>
      <c r="CQ316" s="601"/>
      <c r="CR316" s="601"/>
      <c r="CS316" s="601"/>
      <c r="CT316" s="601"/>
      <c r="CU316" s="601"/>
      <c r="CV316" s="601"/>
      <c r="CW316" s="601"/>
      <c r="CX316" s="601"/>
      <c r="CY316" s="601"/>
      <c r="CZ316" s="601"/>
      <c r="DA316" s="601"/>
      <c r="DB316" s="601"/>
      <c r="DC316" s="601"/>
      <c r="DD316" s="601"/>
      <c r="DE316" s="601"/>
      <c r="DF316" s="601"/>
      <c r="DG316" s="601"/>
      <c r="DH316" s="601"/>
      <c r="DI316" s="601"/>
      <c r="DJ316" s="601"/>
      <c r="DK316" s="601"/>
      <c r="DL316" s="601"/>
      <c r="DM316" s="601"/>
      <c r="DN316" s="601"/>
      <c r="DO316" s="601"/>
      <c r="DP316" s="601"/>
    </row>
    <row r="317" spans="1:120" s="13" customFormat="1" hidden="1" outlineLevel="1">
      <c r="A317" s="89">
        <v>1110052010</v>
      </c>
      <c r="B317" s="509"/>
      <c r="C317" s="1512" t="s">
        <v>64</v>
      </c>
      <c r="D317" s="1538"/>
      <c r="E317" s="1539"/>
      <c r="F317" s="416"/>
      <c r="G317" s="1251"/>
      <c r="H317" s="511"/>
      <c r="I317" s="512"/>
      <c r="J317" s="1425">
        <v>1</v>
      </c>
      <c r="K317" s="1426">
        <v>1</v>
      </c>
      <c r="L317" s="419"/>
      <c r="M317" s="1594">
        <f t="shared" si="959"/>
        <v>0</v>
      </c>
      <c r="N317" s="415"/>
      <c r="O317" s="513">
        <f t="shared" si="931"/>
        <v>0</v>
      </c>
      <c r="P317" s="514"/>
      <c r="Q317" s="1340">
        <f t="shared" si="951"/>
        <v>0</v>
      </c>
      <c r="R317" s="426"/>
      <c r="S317" s="426"/>
      <c r="T317" s="142">
        <f t="shared" si="932"/>
        <v>0</v>
      </c>
      <c r="U317" s="143">
        <f t="shared" si="933"/>
        <v>0</v>
      </c>
      <c r="V317" s="599">
        <f t="shared" si="934"/>
        <v>0</v>
      </c>
      <c r="W317" s="144">
        <f t="shared" si="935"/>
        <v>0</v>
      </c>
      <c r="X317" s="145">
        <f t="shared" si="936"/>
        <v>0</v>
      </c>
      <c r="Y317" s="146"/>
      <c r="Z317" s="1058"/>
      <c r="AA317" s="600"/>
      <c r="AB317" s="600"/>
      <c r="AC317" s="600"/>
      <c r="AD317" s="600"/>
      <c r="AE317" s="600"/>
      <c r="AF317" s="601"/>
      <c r="AG317" s="601"/>
      <c r="AH317" s="601"/>
      <c r="AI317" s="601"/>
      <c r="AJ317" s="601"/>
      <c r="AK317" s="601"/>
      <c r="AL317" s="2156">
        <f t="shared" si="960"/>
        <v>0</v>
      </c>
      <c r="AM317" s="601"/>
      <c r="AN317" s="601"/>
      <c r="AO317" s="601"/>
      <c r="AP317" s="601"/>
      <c r="AQ317" s="601"/>
      <c r="AR317" s="601"/>
      <c r="AS317" s="601"/>
      <c r="AT317" s="601"/>
      <c r="AU317" s="601"/>
      <c r="AV317" s="601"/>
      <c r="AW317" s="601"/>
      <c r="AX317" s="601"/>
      <c r="AY317" s="601"/>
      <c r="AZ317" s="601"/>
      <c r="BA317" s="601"/>
      <c r="BB317" s="601"/>
      <c r="BC317" s="601"/>
      <c r="BD317" s="601"/>
      <c r="BE317" s="601"/>
      <c r="BF317" s="601"/>
      <c r="BG317" s="601"/>
      <c r="BH317" s="1100"/>
      <c r="BI317" s="601"/>
      <c r="BJ317" s="601"/>
      <c r="BK317" s="601"/>
      <c r="BL317" s="601"/>
      <c r="BM317" s="601"/>
      <c r="BN317" s="601"/>
      <c r="BO317" s="601"/>
      <c r="BP317" s="601"/>
      <c r="BQ317" s="601"/>
      <c r="BR317" s="601"/>
      <c r="BS317" s="601"/>
      <c r="BT317" s="602"/>
      <c r="BU317" s="602"/>
      <c r="BV317" s="602"/>
      <c r="BW317" s="602"/>
      <c r="BX317" s="594"/>
      <c r="BY317" s="595"/>
      <c r="BZ317" s="595"/>
      <c r="CA317" s="595"/>
      <c r="CB317" s="595"/>
      <c r="CC317" s="595"/>
      <c r="CD317" s="595"/>
      <c r="CE317" s="595"/>
      <c r="CF317" s="602"/>
      <c r="CG317" s="602"/>
      <c r="CH317" s="602"/>
      <c r="CI317" s="602"/>
      <c r="CJ317" s="602"/>
      <c r="CK317" s="602"/>
      <c r="CL317" s="602"/>
      <c r="CM317" s="601"/>
      <c r="CN317" s="601"/>
      <c r="CO317" s="601"/>
      <c r="CP317" s="601"/>
      <c r="CQ317" s="601"/>
      <c r="CR317" s="601"/>
      <c r="CS317" s="601"/>
      <c r="CT317" s="601"/>
      <c r="CU317" s="601"/>
      <c r="CV317" s="601"/>
      <c r="CW317" s="601"/>
      <c r="CX317" s="601"/>
      <c r="CY317" s="601"/>
      <c r="CZ317" s="601"/>
      <c r="DA317" s="601"/>
      <c r="DB317" s="601"/>
      <c r="DC317" s="601"/>
      <c r="DD317" s="601"/>
      <c r="DE317" s="601"/>
      <c r="DF317" s="601"/>
      <c r="DG317" s="601"/>
      <c r="DH317" s="601"/>
      <c r="DI317" s="601"/>
      <c r="DJ317" s="601"/>
      <c r="DK317" s="601"/>
      <c r="DL317" s="601"/>
      <c r="DM317" s="601"/>
      <c r="DN317" s="601"/>
      <c r="DO317" s="601"/>
      <c r="DP317" s="601"/>
    </row>
    <row r="318" spans="1:120" s="13" customFormat="1" hidden="1" outlineLevel="1">
      <c r="A318" s="89">
        <v>1110052010</v>
      </c>
      <c r="B318" s="509"/>
      <c r="C318" s="1512" t="s">
        <v>64</v>
      </c>
      <c r="D318" s="1538"/>
      <c r="E318" s="1539"/>
      <c r="F318" s="416"/>
      <c r="G318" s="1251"/>
      <c r="H318" s="511"/>
      <c r="I318" s="512"/>
      <c r="J318" s="1425">
        <v>1</v>
      </c>
      <c r="K318" s="1426">
        <v>1</v>
      </c>
      <c r="L318" s="419"/>
      <c r="M318" s="1594">
        <f t="shared" si="959"/>
        <v>0</v>
      </c>
      <c r="N318" s="415"/>
      <c r="O318" s="513">
        <f t="shared" si="931"/>
        <v>0</v>
      </c>
      <c r="P318" s="514"/>
      <c r="Q318" s="1340">
        <f t="shared" si="951"/>
        <v>0</v>
      </c>
      <c r="R318" s="426"/>
      <c r="S318" s="426"/>
      <c r="T318" s="142">
        <f t="shared" si="932"/>
        <v>0</v>
      </c>
      <c r="U318" s="143">
        <f t="shared" si="933"/>
        <v>0</v>
      </c>
      <c r="V318" s="599">
        <f t="shared" si="934"/>
        <v>0</v>
      </c>
      <c r="W318" s="144">
        <f t="shared" si="935"/>
        <v>0</v>
      </c>
      <c r="X318" s="145">
        <f t="shared" si="936"/>
        <v>0</v>
      </c>
      <c r="Y318" s="146"/>
      <c r="Z318" s="1058"/>
      <c r="AA318" s="600"/>
      <c r="AB318" s="600"/>
      <c r="AC318" s="600"/>
      <c r="AD318" s="600"/>
      <c r="AE318" s="600"/>
      <c r="AF318" s="601"/>
      <c r="AG318" s="601"/>
      <c r="AH318" s="601"/>
      <c r="AI318" s="601"/>
      <c r="AJ318" s="601"/>
      <c r="AK318" s="601"/>
      <c r="AL318" s="2156">
        <f t="shared" si="960"/>
        <v>0</v>
      </c>
      <c r="AM318" s="601"/>
      <c r="AN318" s="601"/>
      <c r="AO318" s="601"/>
      <c r="AP318" s="601"/>
      <c r="AQ318" s="601"/>
      <c r="AR318" s="601"/>
      <c r="AS318" s="601"/>
      <c r="AT318" s="601"/>
      <c r="AU318" s="601"/>
      <c r="AV318" s="601"/>
      <c r="AW318" s="601"/>
      <c r="AX318" s="601"/>
      <c r="AY318" s="601"/>
      <c r="AZ318" s="601"/>
      <c r="BA318" s="601"/>
      <c r="BB318" s="601"/>
      <c r="BC318" s="601"/>
      <c r="BD318" s="601"/>
      <c r="BE318" s="601"/>
      <c r="BF318" s="601"/>
      <c r="BG318" s="601"/>
      <c r="BH318" s="601"/>
      <c r="BI318" s="601"/>
      <c r="BJ318" s="601"/>
      <c r="BK318" s="1100"/>
      <c r="BL318" s="601"/>
      <c r="BM318" s="601"/>
      <c r="BN318" s="601"/>
      <c r="BO318" s="601"/>
      <c r="BP318" s="601"/>
      <c r="BQ318" s="601"/>
      <c r="BR318" s="601"/>
      <c r="BS318" s="601"/>
      <c r="BT318" s="602"/>
      <c r="BU318" s="602"/>
      <c r="BV318" s="602"/>
      <c r="BW318" s="602"/>
      <c r="BX318" s="595"/>
      <c r="BY318" s="595"/>
      <c r="BZ318" s="595"/>
      <c r="CA318" s="595"/>
      <c r="CB318" s="595"/>
      <c r="CC318" s="595"/>
      <c r="CD318" s="595"/>
      <c r="CE318" s="595"/>
      <c r="CF318" s="602"/>
      <c r="CG318" s="602"/>
      <c r="CH318" s="602"/>
      <c r="CI318" s="602"/>
      <c r="CJ318" s="602"/>
      <c r="CK318" s="602"/>
      <c r="CL318" s="602"/>
      <c r="CM318" s="601"/>
      <c r="CN318" s="601"/>
      <c r="CO318" s="601"/>
      <c r="CP318" s="601"/>
      <c r="CQ318" s="601"/>
      <c r="CR318" s="601"/>
      <c r="CS318" s="601"/>
      <c r="CT318" s="601"/>
      <c r="CU318" s="601"/>
      <c r="CV318" s="601"/>
      <c r="CW318" s="601"/>
      <c r="CX318" s="601"/>
      <c r="CY318" s="601"/>
      <c r="CZ318" s="601"/>
      <c r="DA318" s="601"/>
      <c r="DB318" s="601"/>
      <c r="DC318" s="601"/>
      <c r="DD318" s="601"/>
      <c r="DE318" s="601"/>
      <c r="DF318" s="601"/>
      <c r="DG318" s="601"/>
      <c r="DH318" s="601"/>
      <c r="DI318" s="601"/>
      <c r="DJ318" s="601"/>
      <c r="DK318" s="601"/>
      <c r="DL318" s="601"/>
      <c r="DM318" s="601"/>
      <c r="DN318" s="601"/>
      <c r="DO318" s="601"/>
      <c r="DP318" s="601"/>
    </row>
    <row r="319" spans="1:120" s="13" customFormat="1" hidden="1" outlineLevel="1">
      <c r="A319" s="89">
        <v>1110052010</v>
      </c>
      <c r="B319" s="509"/>
      <c r="C319" s="1512" t="s">
        <v>64</v>
      </c>
      <c r="D319" s="1638"/>
      <c r="E319" s="1636"/>
      <c r="F319" s="135"/>
      <c r="G319" s="1263"/>
      <c r="H319" s="136"/>
      <c r="I319" s="137"/>
      <c r="J319" s="1425">
        <v>1</v>
      </c>
      <c r="K319" s="1426">
        <v>1</v>
      </c>
      <c r="L319" s="1215"/>
      <c r="M319" s="1594">
        <f t="shared" si="959"/>
        <v>0</v>
      </c>
      <c r="N319" s="415"/>
      <c r="O319" s="139">
        <f t="shared" si="931"/>
        <v>0</v>
      </c>
      <c r="P319" s="140"/>
      <c r="Q319" s="1340">
        <f t="shared" si="951"/>
        <v>0</v>
      </c>
      <c r="R319" s="141"/>
      <c r="S319" s="426"/>
      <c r="T319" s="142">
        <f t="shared" si="932"/>
        <v>0</v>
      </c>
      <c r="U319" s="143">
        <f t="shared" si="933"/>
        <v>0</v>
      </c>
      <c r="V319" s="599">
        <f t="shared" si="934"/>
        <v>0</v>
      </c>
      <c r="W319" s="144">
        <f t="shared" si="935"/>
        <v>0</v>
      </c>
      <c r="X319" s="145">
        <f t="shared" si="936"/>
        <v>0</v>
      </c>
      <c r="Y319" s="146"/>
      <c r="Z319" s="1058"/>
      <c r="AA319" s="600"/>
      <c r="AB319" s="600"/>
      <c r="AC319" s="600"/>
      <c r="AD319" s="600"/>
      <c r="AE319" s="600"/>
      <c r="AF319" s="601"/>
      <c r="AG319" s="601"/>
      <c r="AH319" s="601"/>
      <c r="AI319" s="601"/>
      <c r="AJ319" s="601"/>
      <c r="AK319" s="601"/>
      <c r="AL319" s="1567"/>
      <c r="AM319" s="601"/>
      <c r="AN319" s="601"/>
      <c r="AO319" s="601"/>
      <c r="AP319" s="601"/>
      <c r="AQ319" s="601"/>
      <c r="AR319" s="601"/>
      <c r="AS319" s="601"/>
      <c r="AT319" s="601"/>
      <c r="AU319" s="601"/>
      <c r="AV319" s="601"/>
      <c r="AW319" s="601"/>
      <c r="AX319" s="601"/>
      <c r="AY319" s="601"/>
      <c r="AZ319" s="601"/>
      <c r="BA319" s="601"/>
      <c r="BB319" s="601"/>
      <c r="BC319" s="601"/>
      <c r="BD319" s="601"/>
      <c r="BE319" s="601"/>
      <c r="BF319" s="601"/>
      <c r="BG319" s="601"/>
      <c r="BH319" s="601"/>
      <c r="BI319" s="601"/>
      <c r="BJ319" s="601"/>
      <c r="BK319" s="1100"/>
      <c r="BL319" s="601"/>
      <c r="BM319" s="601"/>
      <c r="BN319" s="601"/>
      <c r="BO319" s="601"/>
      <c r="BP319" s="601"/>
      <c r="BQ319" s="601"/>
      <c r="BR319" s="601"/>
      <c r="BS319" s="601"/>
      <c r="BT319" s="602"/>
      <c r="BU319" s="602"/>
      <c r="BV319" s="602"/>
      <c r="BW319" s="602"/>
      <c r="BX319" s="595"/>
      <c r="BY319" s="595"/>
      <c r="BZ319" s="595"/>
      <c r="CA319" s="595"/>
      <c r="CB319" s="595"/>
      <c r="CC319" s="595"/>
      <c r="CD319" s="595"/>
      <c r="CE319" s="595"/>
      <c r="CF319" s="602"/>
      <c r="CG319" s="602"/>
      <c r="CH319" s="602"/>
      <c r="CI319" s="602"/>
      <c r="CJ319" s="602"/>
      <c r="CK319" s="602"/>
      <c r="CL319" s="602"/>
      <c r="CM319" s="601"/>
      <c r="CN319" s="601"/>
      <c r="CO319" s="601"/>
      <c r="CP319" s="601"/>
      <c r="CQ319" s="601"/>
      <c r="CR319" s="601"/>
      <c r="CS319" s="601"/>
      <c r="CT319" s="601"/>
      <c r="CU319" s="1100">
        <f>+M319</f>
        <v>0</v>
      </c>
      <c r="CV319" s="601"/>
      <c r="CW319" s="601"/>
      <c r="CX319" s="601"/>
      <c r="CY319" s="601"/>
      <c r="CZ319" s="601"/>
      <c r="DA319" s="601"/>
      <c r="DB319" s="601"/>
      <c r="DC319" s="601"/>
      <c r="DD319" s="601"/>
      <c r="DE319" s="601"/>
      <c r="DF319" s="601"/>
      <c r="DG319" s="601"/>
      <c r="DH319" s="601"/>
      <c r="DI319" s="601"/>
      <c r="DJ319" s="601"/>
      <c r="DK319" s="601"/>
      <c r="DL319" s="601"/>
      <c r="DM319" s="601"/>
      <c r="DN319" s="601"/>
      <c r="DO319" s="601"/>
      <c r="DP319" s="601"/>
    </row>
    <row r="320" spans="1:120" s="13" customFormat="1" hidden="1" outlineLevel="1">
      <c r="A320" s="89">
        <v>1110052010</v>
      </c>
      <c r="B320" s="509"/>
      <c r="C320" s="1512" t="s">
        <v>64</v>
      </c>
      <c r="D320" s="1638"/>
      <c r="E320" s="1636"/>
      <c r="F320" s="135"/>
      <c r="G320" s="1263"/>
      <c r="H320" s="136"/>
      <c r="I320" s="137"/>
      <c r="J320" s="1425">
        <v>1</v>
      </c>
      <c r="K320" s="1426">
        <v>1</v>
      </c>
      <c r="L320" s="1215"/>
      <c r="M320" s="1594">
        <f t="shared" si="959"/>
        <v>0</v>
      </c>
      <c r="N320" s="415"/>
      <c r="O320" s="139">
        <f t="shared" si="931"/>
        <v>0</v>
      </c>
      <c r="P320" s="140"/>
      <c r="Q320" s="1340">
        <f t="shared" si="951"/>
        <v>0</v>
      </c>
      <c r="R320" s="141"/>
      <c r="S320" s="426"/>
      <c r="T320" s="142">
        <f t="shared" si="932"/>
        <v>0</v>
      </c>
      <c r="U320" s="143">
        <f t="shared" si="933"/>
        <v>0</v>
      </c>
      <c r="V320" s="599">
        <f t="shared" si="934"/>
        <v>0</v>
      </c>
      <c r="W320" s="144">
        <f t="shared" si="935"/>
        <v>0</v>
      </c>
      <c r="X320" s="145">
        <f t="shared" si="936"/>
        <v>0</v>
      </c>
      <c r="Y320" s="146"/>
      <c r="Z320" s="1058"/>
      <c r="AA320" s="600"/>
      <c r="AB320" s="600"/>
      <c r="AC320" s="600"/>
      <c r="AD320" s="600"/>
      <c r="AE320" s="600"/>
      <c r="AF320" s="601"/>
      <c r="AG320" s="601"/>
      <c r="AH320" s="601"/>
      <c r="AI320" s="601"/>
      <c r="AJ320" s="601"/>
      <c r="AK320" s="601"/>
      <c r="AL320" s="1567"/>
      <c r="AM320" s="601"/>
      <c r="AN320" s="601"/>
      <c r="AO320" s="601"/>
      <c r="AP320" s="601"/>
      <c r="AQ320" s="601"/>
      <c r="AR320" s="601"/>
      <c r="AS320" s="601"/>
      <c r="AT320" s="601"/>
      <c r="AU320" s="601"/>
      <c r="AV320" s="601"/>
      <c r="AW320" s="601"/>
      <c r="AX320" s="601"/>
      <c r="AY320" s="601"/>
      <c r="AZ320" s="601"/>
      <c r="BA320" s="601"/>
      <c r="BB320" s="601"/>
      <c r="BC320" s="601"/>
      <c r="BD320" s="601"/>
      <c r="BE320" s="601"/>
      <c r="BF320" s="601"/>
      <c r="BG320" s="601"/>
      <c r="BH320" s="601"/>
      <c r="BI320" s="601"/>
      <c r="BJ320" s="601"/>
      <c r="BK320" s="1100"/>
      <c r="BL320" s="601"/>
      <c r="BM320" s="601"/>
      <c r="BN320" s="601"/>
      <c r="BO320" s="601"/>
      <c r="BP320" s="601"/>
      <c r="BQ320" s="601"/>
      <c r="BR320" s="601"/>
      <c r="BS320" s="601"/>
      <c r="BT320" s="602"/>
      <c r="BU320" s="602"/>
      <c r="BV320" s="602"/>
      <c r="BW320" s="602"/>
      <c r="BX320" s="595"/>
      <c r="BY320" s="595"/>
      <c r="BZ320" s="595"/>
      <c r="CA320" s="595"/>
      <c r="CB320" s="595"/>
      <c r="CC320" s="595"/>
      <c r="CD320" s="595"/>
      <c r="CE320" s="595"/>
      <c r="CF320" s="602"/>
      <c r="CG320" s="602"/>
      <c r="CH320" s="602"/>
      <c r="CI320" s="602"/>
      <c r="CJ320" s="602"/>
      <c r="CK320" s="602"/>
      <c r="CL320" s="602"/>
      <c r="CM320" s="601"/>
      <c r="CN320" s="601"/>
      <c r="CO320" s="601"/>
      <c r="CP320" s="601"/>
      <c r="CQ320" s="601"/>
      <c r="CR320" s="601"/>
      <c r="CS320" s="601"/>
      <c r="CT320" s="601"/>
      <c r="CU320" s="601"/>
      <c r="CV320" s="1100">
        <f>+M320</f>
        <v>0</v>
      </c>
      <c r="CW320" s="601"/>
      <c r="CX320" s="601"/>
      <c r="CY320" s="601"/>
      <c r="CZ320" s="601"/>
      <c r="DA320" s="601"/>
      <c r="DB320" s="601"/>
      <c r="DC320" s="601"/>
      <c r="DD320" s="601"/>
      <c r="DE320" s="601"/>
      <c r="DF320" s="601"/>
      <c r="DG320" s="601"/>
      <c r="DH320" s="601"/>
      <c r="DI320" s="601"/>
      <c r="DJ320" s="601"/>
      <c r="DK320" s="601"/>
      <c r="DL320" s="601"/>
      <c r="DM320" s="601"/>
      <c r="DN320" s="601"/>
      <c r="DO320" s="601"/>
      <c r="DP320" s="601"/>
    </row>
    <row r="321" spans="1:120" s="13" customFormat="1" hidden="1" outlineLevel="1">
      <c r="A321" s="89">
        <v>1110052010</v>
      </c>
      <c r="B321" s="509"/>
      <c r="C321" s="1512" t="s">
        <v>64</v>
      </c>
      <c r="D321" s="1638"/>
      <c r="E321" s="1636"/>
      <c r="F321" s="135"/>
      <c r="G321" s="1263"/>
      <c r="H321" s="136"/>
      <c r="I321" s="137"/>
      <c r="J321" s="1425">
        <v>1</v>
      </c>
      <c r="K321" s="1426">
        <v>1</v>
      </c>
      <c r="L321" s="1215"/>
      <c r="M321" s="1594">
        <f t="shared" si="959"/>
        <v>0</v>
      </c>
      <c r="N321" s="415"/>
      <c r="O321" s="139">
        <f t="shared" ref="O321" si="961">+L321*N321</f>
        <v>0</v>
      </c>
      <c r="P321" s="140"/>
      <c r="Q321" s="1340">
        <f t="shared" si="951"/>
        <v>0</v>
      </c>
      <c r="R321" s="141"/>
      <c r="S321" s="426"/>
      <c r="T321" s="142">
        <f t="shared" ref="T321" si="962">+P321*S321</f>
        <v>0</v>
      </c>
      <c r="U321" s="143">
        <f t="shared" ref="U321" si="963">+L321+P321+F321</f>
        <v>0</v>
      </c>
      <c r="V321" s="599">
        <f t="shared" ref="V321" si="964">+P321*R321+L321*N321+F321*H321</f>
        <v>0</v>
      </c>
      <c r="W321" s="144">
        <f t="shared" ref="W321" si="965">(IF(R321&gt;S321,(-P321*R321)-(-P321*S321),0))</f>
        <v>0</v>
      </c>
      <c r="X321" s="145">
        <f t="shared" ref="X321" si="966">(IF(R321&lt;S321,(-P321*R321)-(-P321*S321),0))</f>
        <v>0</v>
      </c>
      <c r="Y321" s="146"/>
      <c r="Z321" s="1058"/>
      <c r="AA321" s="600"/>
      <c r="AB321" s="600"/>
      <c r="AC321" s="600"/>
      <c r="AD321" s="600"/>
      <c r="AE321" s="600"/>
      <c r="AF321" s="601"/>
      <c r="AG321" s="601"/>
      <c r="AH321" s="601"/>
      <c r="AI321" s="601"/>
      <c r="AJ321" s="601"/>
      <c r="AK321" s="601"/>
      <c r="AL321" s="1567"/>
      <c r="AM321" s="601"/>
      <c r="AN321" s="601"/>
      <c r="AO321" s="601"/>
      <c r="AP321" s="601"/>
      <c r="AQ321" s="601"/>
      <c r="AR321" s="601"/>
      <c r="AS321" s="601"/>
      <c r="AT321" s="601"/>
      <c r="AU321" s="601"/>
      <c r="AV321" s="601"/>
      <c r="AW321" s="601"/>
      <c r="AX321" s="601"/>
      <c r="AY321" s="601"/>
      <c r="AZ321" s="601"/>
      <c r="BA321" s="601"/>
      <c r="BB321" s="601"/>
      <c r="BC321" s="601"/>
      <c r="BD321" s="601"/>
      <c r="BE321" s="601"/>
      <c r="BF321" s="601"/>
      <c r="BG321" s="601"/>
      <c r="BH321" s="601"/>
      <c r="BI321" s="601"/>
      <c r="BJ321" s="601"/>
      <c r="BK321" s="1100"/>
      <c r="BL321" s="601"/>
      <c r="BM321" s="601"/>
      <c r="BN321" s="601"/>
      <c r="BO321" s="601"/>
      <c r="BP321" s="601"/>
      <c r="BQ321" s="601"/>
      <c r="BR321" s="601"/>
      <c r="BS321" s="601"/>
      <c r="BT321" s="602"/>
      <c r="BU321" s="602"/>
      <c r="BV321" s="602"/>
      <c r="BW321" s="602"/>
      <c r="BX321" s="595"/>
      <c r="BY321" s="595"/>
      <c r="BZ321" s="595"/>
      <c r="CA321" s="595"/>
      <c r="CB321" s="595"/>
      <c r="CC321" s="595"/>
      <c r="CD321" s="595"/>
      <c r="CE321" s="595"/>
      <c r="CF321" s="602"/>
      <c r="CG321" s="602"/>
      <c r="CH321" s="602"/>
      <c r="CI321" s="602"/>
      <c r="CJ321" s="602"/>
      <c r="CK321" s="602"/>
      <c r="CL321" s="602"/>
      <c r="CM321" s="601"/>
      <c r="CN321" s="601"/>
      <c r="CO321" s="601"/>
      <c r="CP321" s="601"/>
      <c r="CQ321" s="601"/>
      <c r="CR321" s="601"/>
      <c r="CS321" s="601"/>
      <c r="CT321" s="601"/>
      <c r="CU321" s="601"/>
      <c r="CV321" s="1100">
        <f>+M321</f>
        <v>0</v>
      </c>
      <c r="CW321" s="601"/>
      <c r="CX321" s="601"/>
      <c r="CY321" s="601"/>
      <c r="CZ321" s="601"/>
      <c r="DA321" s="601"/>
      <c r="DB321" s="601"/>
      <c r="DC321" s="601"/>
      <c r="DD321" s="601"/>
      <c r="DE321" s="601"/>
      <c r="DF321" s="601"/>
      <c r="DG321" s="601"/>
      <c r="DH321" s="601"/>
      <c r="DI321" s="601"/>
      <c r="DJ321" s="601"/>
      <c r="DK321" s="601"/>
      <c r="DL321" s="601"/>
      <c r="DM321" s="601"/>
      <c r="DN321" s="601"/>
      <c r="DO321" s="601"/>
      <c r="DP321" s="601"/>
    </row>
    <row r="322" spans="1:120" s="13" customFormat="1" hidden="1" outlineLevel="1">
      <c r="A322" s="89">
        <v>1110052010</v>
      </c>
      <c r="B322" s="509"/>
      <c r="C322" s="1512" t="s">
        <v>64</v>
      </c>
      <c r="D322" s="1638"/>
      <c r="E322" s="1636"/>
      <c r="F322" s="135"/>
      <c r="G322" s="1263"/>
      <c r="H322" s="136"/>
      <c r="I322" s="137"/>
      <c r="J322" s="1425">
        <v>1</v>
      </c>
      <c r="K322" s="1426">
        <v>1</v>
      </c>
      <c r="L322" s="1215"/>
      <c r="M322" s="1640"/>
      <c r="N322" s="138"/>
      <c r="O322" s="139">
        <f t="shared" ref="O322" si="967">+L322*N322</f>
        <v>0</v>
      </c>
      <c r="P322" s="140"/>
      <c r="Q322" s="1340">
        <f t="shared" si="951"/>
        <v>0</v>
      </c>
      <c r="R322" s="141"/>
      <c r="S322" s="426"/>
      <c r="T322" s="142">
        <f t="shared" ref="T322" si="968">+P322*S322</f>
        <v>0</v>
      </c>
      <c r="U322" s="143">
        <f t="shared" ref="U322" si="969">+L322+P322+F322</f>
        <v>0</v>
      </c>
      <c r="V322" s="599">
        <f t="shared" ref="V322" si="970">+P322*R322+L322*N322+F322*H322</f>
        <v>0</v>
      </c>
      <c r="W322" s="144">
        <f t="shared" ref="W322" si="971">(IF(R322&gt;S322,(-P322*R322)-(-P322*S322),0))</f>
        <v>0</v>
      </c>
      <c r="X322" s="145">
        <f t="shared" ref="X322" si="972">(IF(R322&lt;S322,(-P322*R322)-(-P322*S322),0))</f>
        <v>0</v>
      </c>
      <c r="Y322" s="146"/>
      <c r="Z322" s="1058"/>
      <c r="AA322" s="600"/>
      <c r="AB322" s="600"/>
      <c r="AC322" s="600"/>
      <c r="AD322" s="600"/>
      <c r="AE322" s="600"/>
      <c r="AF322" s="601"/>
      <c r="AG322" s="601"/>
      <c r="AH322" s="601"/>
      <c r="AI322" s="601"/>
      <c r="AJ322" s="601"/>
      <c r="AK322" s="601"/>
      <c r="AL322" s="1567"/>
      <c r="AM322" s="601"/>
      <c r="AN322" s="601"/>
      <c r="AO322" s="601"/>
      <c r="AP322" s="601"/>
      <c r="AQ322" s="601"/>
      <c r="AR322" s="601"/>
      <c r="AS322" s="601"/>
      <c r="AT322" s="601"/>
      <c r="AU322" s="601"/>
      <c r="AV322" s="601"/>
      <c r="AW322" s="601"/>
      <c r="AX322" s="601"/>
      <c r="AY322" s="601"/>
      <c r="AZ322" s="601"/>
      <c r="BA322" s="601"/>
      <c r="BB322" s="601"/>
      <c r="BC322" s="601"/>
      <c r="BD322" s="601"/>
      <c r="BE322" s="601"/>
      <c r="BF322" s="601"/>
      <c r="BG322" s="601"/>
      <c r="BH322" s="601"/>
      <c r="BI322" s="601"/>
      <c r="BJ322" s="601"/>
      <c r="BK322" s="1100"/>
      <c r="BL322" s="601"/>
      <c r="BM322" s="601"/>
      <c r="BN322" s="601"/>
      <c r="BO322" s="601"/>
      <c r="BP322" s="601"/>
      <c r="BQ322" s="601"/>
      <c r="BR322" s="601"/>
      <c r="BS322" s="601"/>
      <c r="BT322" s="602"/>
      <c r="BU322" s="602"/>
      <c r="BV322" s="602"/>
      <c r="BW322" s="602"/>
      <c r="BX322" s="595"/>
      <c r="BY322" s="595"/>
      <c r="BZ322" s="595"/>
      <c r="CA322" s="595"/>
      <c r="CB322" s="595"/>
      <c r="CC322" s="595"/>
      <c r="CD322" s="595"/>
      <c r="CE322" s="595"/>
      <c r="CF322" s="602"/>
      <c r="CG322" s="602"/>
      <c r="CH322" s="602"/>
      <c r="CI322" s="602"/>
      <c r="CJ322" s="602"/>
      <c r="CK322" s="602"/>
      <c r="CL322" s="602"/>
      <c r="CM322" s="601"/>
      <c r="CN322" s="601"/>
      <c r="CO322" s="601"/>
      <c r="CP322" s="601"/>
      <c r="CQ322" s="601"/>
      <c r="CR322" s="601"/>
      <c r="CS322" s="601"/>
      <c r="CT322" s="601"/>
      <c r="CU322" s="1100">
        <f>+Q322</f>
        <v>0</v>
      </c>
      <c r="CV322" s="601"/>
      <c r="CW322" s="601"/>
      <c r="CX322" s="601"/>
      <c r="CY322" s="601"/>
      <c r="CZ322" s="601"/>
      <c r="DA322" s="601"/>
      <c r="DB322" s="601"/>
      <c r="DC322" s="601"/>
      <c r="DD322" s="601"/>
      <c r="DE322" s="601"/>
      <c r="DF322" s="601"/>
      <c r="DG322" s="601"/>
      <c r="DH322" s="601"/>
      <c r="DI322" s="601"/>
      <c r="DJ322" s="601"/>
      <c r="DK322" s="601"/>
      <c r="DL322" s="601"/>
      <c r="DM322" s="601"/>
      <c r="DN322" s="601"/>
      <c r="DO322" s="601"/>
      <c r="DP322" s="601"/>
    </row>
    <row r="323" spans="1:120" s="13" customFormat="1" hidden="1" outlineLevel="1">
      <c r="A323" s="89">
        <v>1110052010</v>
      </c>
      <c r="B323" s="509"/>
      <c r="C323" s="1512" t="s">
        <v>64</v>
      </c>
      <c r="D323" s="1638"/>
      <c r="E323" s="1636"/>
      <c r="F323" s="135"/>
      <c r="G323" s="1263"/>
      <c r="H323" s="136"/>
      <c r="I323" s="137"/>
      <c r="J323" s="1425">
        <v>1</v>
      </c>
      <c r="K323" s="1426">
        <v>1</v>
      </c>
      <c r="L323" s="1215"/>
      <c r="M323" s="1640"/>
      <c r="N323" s="138"/>
      <c r="O323" s="139">
        <f t="shared" ref="O323" si="973">+L323*N323</f>
        <v>0</v>
      </c>
      <c r="P323" s="140"/>
      <c r="Q323" s="1340">
        <f t="shared" ref="Q323" si="974">+P323*K323</f>
        <v>0</v>
      </c>
      <c r="R323" s="141"/>
      <c r="S323" s="426"/>
      <c r="T323" s="142">
        <f t="shared" ref="T323" si="975">+P323*S323</f>
        <v>0</v>
      </c>
      <c r="U323" s="143">
        <f t="shared" ref="U323" si="976">+L323+P323+F323</f>
        <v>0</v>
      </c>
      <c r="V323" s="599">
        <f t="shared" ref="V323" si="977">+P323*R323+L323*N323+F323*H323</f>
        <v>0</v>
      </c>
      <c r="W323" s="144">
        <f t="shared" ref="W323" si="978">(IF(R323&gt;S323,(-P323*R323)-(-P323*S323),0))</f>
        <v>0</v>
      </c>
      <c r="X323" s="145">
        <f t="shared" ref="X323" si="979">(IF(R323&lt;S323,(-P323*R323)-(-P323*S323),0))</f>
        <v>0</v>
      </c>
      <c r="Y323" s="146"/>
      <c r="Z323" s="1058"/>
      <c r="AA323" s="600"/>
      <c r="AB323" s="600"/>
      <c r="AC323" s="600"/>
      <c r="AD323" s="600"/>
      <c r="AE323" s="600"/>
      <c r="AF323" s="601"/>
      <c r="AG323" s="601"/>
      <c r="AH323" s="601"/>
      <c r="AI323" s="601"/>
      <c r="AJ323" s="601"/>
      <c r="AK323" s="601"/>
      <c r="AL323" s="1567"/>
      <c r="AM323" s="601"/>
      <c r="AN323" s="601"/>
      <c r="AO323" s="601"/>
      <c r="AP323" s="601"/>
      <c r="AQ323" s="601"/>
      <c r="AR323" s="601"/>
      <c r="AS323" s="601"/>
      <c r="AT323" s="601"/>
      <c r="AU323" s="601"/>
      <c r="AV323" s="601"/>
      <c r="AW323" s="601"/>
      <c r="AX323" s="601"/>
      <c r="AY323" s="601"/>
      <c r="AZ323" s="601"/>
      <c r="BA323" s="601"/>
      <c r="BB323" s="601"/>
      <c r="BC323" s="601"/>
      <c r="BD323" s="601"/>
      <c r="BE323" s="601"/>
      <c r="BF323" s="601"/>
      <c r="BG323" s="601"/>
      <c r="BH323" s="601"/>
      <c r="BI323" s="601"/>
      <c r="BJ323" s="601"/>
      <c r="BK323" s="1100"/>
      <c r="BL323" s="601"/>
      <c r="BM323" s="601"/>
      <c r="BN323" s="601"/>
      <c r="BO323" s="601"/>
      <c r="BP323" s="601"/>
      <c r="BQ323" s="601"/>
      <c r="BR323" s="601"/>
      <c r="BS323" s="601"/>
      <c r="BT323" s="602"/>
      <c r="BU323" s="602"/>
      <c r="BV323" s="602"/>
      <c r="BW323" s="602"/>
      <c r="BX323" s="595"/>
      <c r="BY323" s="595"/>
      <c r="BZ323" s="595"/>
      <c r="CA323" s="595"/>
      <c r="CB323" s="595"/>
      <c r="CC323" s="595"/>
      <c r="CD323" s="595"/>
      <c r="CE323" s="595"/>
      <c r="CF323" s="602"/>
      <c r="CG323" s="602"/>
      <c r="CH323" s="602"/>
      <c r="CI323" s="602"/>
      <c r="CJ323" s="602"/>
      <c r="CK323" s="602"/>
      <c r="CL323" s="602"/>
      <c r="CM323" s="601"/>
      <c r="CN323" s="601"/>
      <c r="CO323" s="601"/>
      <c r="CP323" s="601"/>
      <c r="CQ323" s="601"/>
      <c r="CR323" s="601"/>
      <c r="CS323" s="601"/>
      <c r="CT323" s="601"/>
      <c r="CU323" s="601"/>
      <c r="CV323" s="1100">
        <f>+Q323</f>
        <v>0</v>
      </c>
      <c r="CW323" s="601"/>
      <c r="CX323" s="601"/>
      <c r="CY323" s="601"/>
      <c r="CZ323" s="601"/>
      <c r="DA323" s="601"/>
      <c r="DB323" s="601"/>
      <c r="DC323" s="601"/>
      <c r="DD323" s="601"/>
      <c r="DE323" s="601"/>
      <c r="DF323" s="601"/>
      <c r="DG323" s="601"/>
      <c r="DH323" s="601"/>
      <c r="DI323" s="601"/>
      <c r="DJ323" s="601"/>
      <c r="DK323" s="601"/>
      <c r="DL323" s="601"/>
      <c r="DM323" s="601"/>
      <c r="DN323" s="601"/>
      <c r="DO323" s="601"/>
      <c r="DP323" s="601"/>
    </row>
    <row r="324" spans="1:120" s="13" customFormat="1" hidden="1" outlineLevel="1">
      <c r="A324" s="89">
        <v>1110052010</v>
      </c>
      <c r="B324" s="509"/>
      <c r="C324" s="1512" t="s">
        <v>64</v>
      </c>
      <c r="D324" s="1638"/>
      <c r="E324" s="1636"/>
      <c r="F324" s="135"/>
      <c r="G324" s="1263"/>
      <c r="H324" s="136"/>
      <c r="I324" s="137"/>
      <c r="J324" s="1425">
        <v>1</v>
      </c>
      <c r="K324" s="1426">
        <v>1</v>
      </c>
      <c r="L324" s="1215"/>
      <c r="M324" s="1640"/>
      <c r="N324" s="138"/>
      <c r="O324" s="139">
        <f t="shared" si="931"/>
        <v>0</v>
      </c>
      <c r="P324" s="140"/>
      <c r="Q324" s="1340">
        <f t="shared" si="951"/>
        <v>0</v>
      </c>
      <c r="R324" s="141"/>
      <c r="S324" s="426"/>
      <c r="T324" s="142">
        <f t="shared" si="932"/>
        <v>0</v>
      </c>
      <c r="U324" s="143">
        <f t="shared" si="933"/>
        <v>0</v>
      </c>
      <c r="V324" s="599">
        <f t="shared" si="934"/>
        <v>0</v>
      </c>
      <c r="W324" s="144">
        <f t="shared" si="935"/>
        <v>0</v>
      </c>
      <c r="X324" s="145">
        <f t="shared" si="936"/>
        <v>0</v>
      </c>
      <c r="Y324" s="146"/>
      <c r="Z324" s="1058"/>
      <c r="AA324" s="600"/>
      <c r="AB324" s="600"/>
      <c r="AC324" s="600"/>
      <c r="AD324" s="600"/>
      <c r="AE324" s="600"/>
      <c r="AF324" s="601"/>
      <c r="AG324" s="601"/>
      <c r="AH324" s="601"/>
      <c r="AI324" s="601"/>
      <c r="AJ324" s="601"/>
      <c r="AK324" s="601"/>
      <c r="AL324" s="1567"/>
      <c r="AM324" s="601"/>
      <c r="AN324" s="601"/>
      <c r="AO324" s="601"/>
      <c r="AP324" s="601"/>
      <c r="AQ324" s="601"/>
      <c r="AR324" s="601"/>
      <c r="AS324" s="601"/>
      <c r="AT324" s="601"/>
      <c r="AU324" s="601"/>
      <c r="AV324" s="601"/>
      <c r="AW324" s="601"/>
      <c r="AX324" s="601"/>
      <c r="AY324" s="601"/>
      <c r="AZ324" s="601"/>
      <c r="BA324" s="601"/>
      <c r="BB324" s="601"/>
      <c r="BC324" s="601"/>
      <c r="BD324" s="601"/>
      <c r="BE324" s="601"/>
      <c r="BF324" s="601"/>
      <c r="BG324" s="601"/>
      <c r="BH324" s="601"/>
      <c r="BI324" s="601"/>
      <c r="BJ324" s="601"/>
      <c r="BK324" s="1100"/>
      <c r="BL324" s="601"/>
      <c r="BM324" s="601"/>
      <c r="BN324" s="601"/>
      <c r="BO324" s="601"/>
      <c r="BP324" s="601"/>
      <c r="BQ324" s="601"/>
      <c r="BR324" s="601"/>
      <c r="BS324" s="601"/>
      <c r="BT324" s="602"/>
      <c r="BU324" s="602"/>
      <c r="BV324" s="602"/>
      <c r="BW324" s="602"/>
      <c r="BX324" s="595"/>
      <c r="BY324" s="595"/>
      <c r="BZ324" s="595"/>
      <c r="CA324" s="595"/>
      <c r="CB324" s="595"/>
      <c r="CC324" s="595"/>
      <c r="CD324" s="595"/>
      <c r="CE324" s="595"/>
      <c r="CF324" s="602"/>
      <c r="CG324" s="602"/>
      <c r="CH324" s="602"/>
      <c r="CI324" s="602"/>
      <c r="CJ324" s="602"/>
      <c r="CK324" s="602"/>
      <c r="CL324" s="602"/>
      <c r="CM324" s="601"/>
      <c r="CN324" s="601"/>
      <c r="CO324" s="601"/>
      <c r="CP324" s="601"/>
      <c r="CQ324" s="601"/>
      <c r="CR324" s="601"/>
      <c r="CS324" s="601"/>
      <c r="CT324" s="601"/>
      <c r="CU324" s="601"/>
      <c r="CV324" s="1100">
        <f>+Q324</f>
        <v>0</v>
      </c>
      <c r="CW324" s="601"/>
      <c r="CX324" s="601"/>
      <c r="CY324" s="601"/>
      <c r="CZ324" s="601"/>
      <c r="DA324" s="601"/>
      <c r="DB324" s="601"/>
      <c r="DC324" s="601"/>
      <c r="DD324" s="601"/>
      <c r="DE324" s="601"/>
      <c r="DF324" s="601"/>
      <c r="DG324" s="601"/>
      <c r="DH324" s="601"/>
      <c r="DI324" s="601"/>
      <c r="DJ324" s="601"/>
      <c r="DK324" s="601"/>
      <c r="DL324" s="601"/>
      <c r="DM324" s="601"/>
      <c r="DN324" s="601"/>
      <c r="DO324" s="601"/>
      <c r="DP324" s="601"/>
    </row>
    <row r="325" spans="1:120" s="13" customFormat="1" hidden="1" outlineLevel="1">
      <c r="A325" s="89">
        <v>1110052010</v>
      </c>
      <c r="B325" s="509"/>
      <c r="C325" s="1512" t="s">
        <v>64</v>
      </c>
      <c r="D325" s="1638"/>
      <c r="E325" s="1636"/>
      <c r="F325" s="135"/>
      <c r="G325" s="1263"/>
      <c r="H325" s="136"/>
      <c r="I325" s="137"/>
      <c r="J325" s="1425">
        <v>1</v>
      </c>
      <c r="K325" s="1426">
        <v>1</v>
      </c>
      <c r="L325" s="1215"/>
      <c r="M325" s="1640"/>
      <c r="N325" s="138"/>
      <c r="O325" s="139">
        <f t="shared" ref="O325" si="980">+L325*N325</f>
        <v>0</v>
      </c>
      <c r="P325" s="140"/>
      <c r="Q325" s="1340">
        <f t="shared" ref="Q325" si="981">+P325*K325</f>
        <v>0</v>
      </c>
      <c r="R325" s="426"/>
      <c r="S325" s="426"/>
      <c r="T325" s="142">
        <f t="shared" ref="T325" si="982">+P325*S325</f>
        <v>0</v>
      </c>
      <c r="U325" s="143">
        <f t="shared" ref="U325" si="983">+L325+P325+F325</f>
        <v>0</v>
      </c>
      <c r="V325" s="599">
        <f t="shared" ref="V325" si="984">+P325*R325+L325*N325+F325*H325</f>
        <v>0</v>
      </c>
      <c r="W325" s="144">
        <f t="shared" ref="W325" si="985">(IF(R325&gt;S325,(-P325*R325)-(-P325*S325),0))</f>
        <v>0</v>
      </c>
      <c r="X325" s="145">
        <f t="shared" ref="X325" si="986">(IF(R325&lt;S325,(-P325*R325)-(-P325*S325),0))</f>
        <v>0</v>
      </c>
      <c r="Y325" s="146"/>
      <c r="Z325" s="1058"/>
      <c r="AA325" s="600"/>
      <c r="AB325" s="600"/>
      <c r="AC325" s="600"/>
      <c r="AD325" s="600"/>
      <c r="AE325" s="600"/>
      <c r="AF325" s="601"/>
      <c r="AG325" s="601"/>
      <c r="AH325" s="601"/>
      <c r="AI325" s="601"/>
      <c r="AJ325" s="601"/>
      <c r="AK325" s="601"/>
      <c r="AL325" s="2156">
        <f t="shared" ref="AL325:AL326" si="987">+Q325</f>
        <v>0</v>
      </c>
      <c r="AM325" s="601"/>
      <c r="AN325" s="601"/>
      <c r="AO325" s="601"/>
      <c r="AP325" s="601"/>
      <c r="AQ325" s="601"/>
      <c r="AR325" s="601"/>
      <c r="AS325" s="601"/>
      <c r="AT325" s="601"/>
      <c r="AU325" s="601"/>
      <c r="AV325" s="601"/>
      <c r="AW325" s="601"/>
      <c r="AX325" s="601"/>
      <c r="AY325" s="601"/>
      <c r="AZ325" s="601"/>
      <c r="BA325" s="601"/>
      <c r="BB325" s="601"/>
      <c r="BC325" s="601"/>
      <c r="BD325" s="601"/>
      <c r="BE325" s="601"/>
      <c r="BF325" s="601"/>
      <c r="BG325" s="601"/>
      <c r="BH325" s="601"/>
      <c r="BI325" s="601"/>
      <c r="BJ325" s="601"/>
      <c r="BK325" s="1100"/>
      <c r="BL325" s="601"/>
      <c r="BM325" s="601"/>
      <c r="BN325" s="601"/>
      <c r="BO325" s="601"/>
      <c r="BP325" s="601"/>
      <c r="BQ325" s="601"/>
      <c r="BR325" s="601"/>
      <c r="BS325" s="601"/>
      <c r="BT325" s="602"/>
      <c r="BU325" s="602"/>
      <c r="BV325" s="602"/>
      <c r="BW325" s="602"/>
      <c r="BX325" s="595"/>
      <c r="BY325" s="595"/>
      <c r="BZ325" s="595"/>
      <c r="CA325" s="595"/>
      <c r="CB325" s="595"/>
      <c r="CC325" s="595"/>
      <c r="CD325" s="595"/>
      <c r="CE325" s="595"/>
      <c r="CF325" s="602"/>
      <c r="CG325" s="602"/>
      <c r="CH325" s="602"/>
      <c r="CI325" s="602"/>
      <c r="CJ325" s="602"/>
      <c r="CK325" s="602"/>
      <c r="CL325" s="602"/>
      <c r="CM325" s="601"/>
      <c r="CN325" s="601"/>
      <c r="CO325" s="601"/>
      <c r="CP325" s="601"/>
      <c r="CQ325" s="601"/>
      <c r="CR325" s="601"/>
      <c r="CS325" s="601"/>
      <c r="CT325" s="601"/>
      <c r="CU325" s="601"/>
      <c r="CV325" s="601"/>
      <c r="CW325" s="601"/>
      <c r="CX325" s="601"/>
      <c r="CY325" s="601"/>
      <c r="CZ325" s="601"/>
      <c r="DA325" s="601"/>
      <c r="DB325" s="601"/>
      <c r="DC325" s="601"/>
      <c r="DD325" s="601"/>
      <c r="DE325" s="601"/>
      <c r="DF325" s="601"/>
      <c r="DG325" s="601"/>
      <c r="DH325" s="601"/>
      <c r="DI325" s="601"/>
      <c r="DJ325" s="601"/>
      <c r="DK325" s="601"/>
      <c r="DL325" s="601"/>
      <c r="DM325" s="601"/>
      <c r="DN325" s="601"/>
      <c r="DO325" s="601"/>
      <c r="DP325" s="601"/>
    </row>
    <row r="326" spans="1:120" s="13" customFormat="1" hidden="1" outlineLevel="1">
      <c r="A326" s="89">
        <v>1110052010</v>
      </c>
      <c r="B326" s="509"/>
      <c r="C326" s="1512" t="s">
        <v>64</v>
      </c>
      <c r="D326" s="1638"/>
      <c r="E326" s="1636"/>
      <c r="F326" s="135"/>
      <c r="G326" s="1263"/>
      <c r="H326" s="136"/>
      <c r="I326" s="137"/>
      <c r="J326" s="1425">
        <v>1</v>
      </c>
      <c r="K326" s="1426">
        <v>1</v>
      </c>
      <c r="L326" s="1215"/>
      <c r="M326" s="1640"/>
      <c r="N326" s="138"/>
      <c r="O326" s="139">
        <f t="shared" ref="O326" si="988">+L326*N326</f>
        <v>0</v>
      </c>
      <c r="P326" s="140"/>
      <c r="Q326" s="1340">
        <f t="shared" si="951"/>
        <v>0</v>
      </c>
      <c r="R326" s="426"/>
      <c r="S326" s="426"/>
      <c r="T326" s="142">
        <f t="shared" ref="T326" si="989">+P326*S326</f>
        <v>0</v>
      </c>
      <c r="U326" s="143">
        <f t="shared" ref="U326" si="990">+L326+P326+F326</f>
        <v>0</v>
      </c>
      <c r="V326" s="599">
        <f t="shared" ref="V326" si="991">+P326*R326+L326*N326+F326*H326</f>
        <v>0</v>
      </c>
      <c r="W326" s="144">
        <f t="shared" ref="W326" si="992">(IF(R326&gt;S326,(-P326*R326)-(-P326*S326),0))</f>
        <v>0</v>
      </c>
      <c r="X326" s="145">
        <f t="shared" ref="X326" si="993">(IF(R326&lt;S326,(-P326*R326)-(-P326*S326),0))</f>
        <v>0</v>
      </c>
      <c r="Y326" s="146"/>
      <c r="Z326" s="1058"/>
      <c r="AA326" s="600"/>
      <c r="AB326" s="600"/>
      <c r="AC326" s="600"/>
      <c r="AD326" s="600"/>
      <c r="AE326" s="600"/>
      <c r="AF326" s="601"/>
      <c r="AG326" s="601"/>
      <c r="AH326" s="601"/>
      <c r="AI326" s="601"/>
      <c r="AJ326" s="601"/>
      <c r="AK326" s="601"/>
      <c r="AL326" s="2156">
        <f t="shared" si="987"/>
        <v>0</v>
      </c>
      <c r="AM326" s="601"/>
      <c r="AN326" s="601"/>
      <c r="AO326" s="601"/>
      <c r="AP326" s="601"/>
      <c r="AQ326" s="601"/>
      <c r="AR326" s="601"/>
      <c r="AS326" s="601"/>
      <c r="AT326" s="601"/>
      <c r="AU326" s="601"/>
      <c r="AV326" s="601"/>
      <c r="AW326" s="601"/>
      <c r="AX326" s="601"/>
      <c r="AY326" s="601"/>
      <c r="AZ326" s="601"/>
      <c r="BA326" s="601"/>
      <c r="BB326" s="601"/>
      <c r="BC326" s="601"/>
      <c r="BD326" s="601"/>
      <c r="BE326" s="601"/>
      <c r="BF326" s="601"/>
      <c r="BG326" s="601"/>
      <c r="BH326" s="601"/>
      <c r="BI326" s="601"/>
      <c r="BJ326" s="601"/>
      <c r="BK326" s="1100"/>
      <c r="BL326" s="601"/>
      <c r="BM326" s="601"/>
      <c r="BN326" s="601"/>
      <c r="BO326" s="601"/>
      <c r="BP326" s="601"/>
      <c r="BQ326" s="601"/>
      <c r="BR326" s="601"/>
      <c r="BS326" s="601"/>
      <c r="BT326" s="602"/>
      <c r="BU326" s="602"/>
      <c r="BV326" s="602"/>
      <c r="BW326" s="602"/>
      <c r="BX326" s="595"/>
      <c r="BY326" s="595"/>
      <c r="BZ326" s="595"/>
      <c r="CA326" s="595"/>
      <c r="CB326" s="595"/>
      <c r="CC326" s="595"/>
      <c r="CD326" s="595"/>
      <c r="CE326" s="595"/>
      <c r="CF326" s="602"/>
      <c r="CG326" s="602"/>
      <c r="CH326" s="602"/>
      <c r="CI326" s="602"/>
      <c r="CJ326" s="602"/>
      <c r="CK326" s="602"/>
      <c r="CL326" s="602"/>
      <c r="CM326" s="601"/>
      <c r="CN326" s="601"/>
      <c r="CO326" s="601"/>
      <c r="CP326" s="601"/>
      <c r="CQ326" s="601"/>
      <c r="CR326" s="601"/>
      <c r="CS326" s="601"/>
      <c r="CT326" s="601"/>
      <c r="CU326" s="601"/>
      <c r="CV326" s="601"/>
      <c r="CW326" s="601"/>
      <c r="CX326" s="601"/>
      <c r="CY326" s="601"/>
      <c r="CZ326" s="601"/>
      <c r="DA326" s="601"/>
      <c r="DB326" s="601"/>
      <c r="DC326" s="601"/>
      <c r="DD326" s="601"/>
      <c r="DE326" s="601"/>
      <c r="DF326" s="601"/>
      <c r="DG326" s="601"/>
      <c r="DH326" s="601"/>
      <c r="DI326" s="601"/>
      <c r="DJ326" s="601"/>
      <c r="DK326" s="601"/>
      <c r="DL326" s="601"/>
      <c r="DM326" s="601"/>
      <c r="DN326" s="601"/>
      <c r="DO326" s="601"/>
      <c r="DP326" s="601"/>
    </row>
    <row r="327" spans="1:120" s="1098" customFormat="1" hidden="1" outlineLevel="1">
      <c r="A327" s="1079"/>
      <c r="B327" s="1080"/>
      <c r="C327" s="1635"/>
      <c r="D327" s="1639"/>
      <c r="E327" s="1637"/>
      <c r="F327" s="1081"/>
      <c r="G327" s="1257"/>
      <c r="H327" s="1082"/>
      <c r="I327" s="1083"/>
      <c r="J327" s="1425">
        <v>1</v>
      </c>
      <c r="K327" s="1426">
        <v>1</v>
      </c>
      <c r="L327" s="1104"/>
      <c r="M327" s="1641"/>
      <c r="N327" s="1084"/>
      <c r="O327" s="1085">
        <f t="shared" si="931"/>
        <v>0</v>
      </c>
      <c r="P327" s="1086"/>
      <c r="Q327" s="1341"/>
      <c r="R327" s="1087"/>
      <c r="S327" s="1087"/>
      <c r="T327" s="1088">
        <f t="shared" si="932"/>
        <v>0</v>
      </c>
      <c r="U327" s="1089">
        <f t="shared" si="933"/>
        <v>0</v>
      </c>
      <c r="V327" s="1090">
        <f t="shared" si="934"/>
        <v>0</v>
      </c>
      <c r="W327" s="1091">
        <f t="shared" si="935"/>
        <v>0</v>
      </c>
      <c r="X327" s="1092">
        <f t="shared" si="936"/>
        <v>0</v>
      </c>
      <c r="Y327" s="1093"/>
      <c r="Z327" s="1094"/>
      <c r="AA327" s="1095"/>
      <c r="AB327" s="1095"/>
      <c r="AC327" s="1095"/>
      <c r="AD327" s="1095"/>
      <c r="AE327" s="1095"/>
      <c r="AF327" s="1096"/>
      <c r="AG327" s="1096"/>
      <c r="AH327" s="1096"/>
      <c r="AI327" s="1096"/>
      <c r="AJ327" s="1096"/>
      <c r="AK327" s="1096"/>
      <c r="AL327" s="1568"/>
      <c r="AM327" s="1096"/>
      <c r="AN327" s="1096"/>
      <c r="AO327" s="1096"/>
      <c r="AP327" s="1096"/>
      <c r="AQ327" s="1096"/>
      <c r="AR327" s="1096"/>
      <c r="AS327" s="1096"/>
      <c r="AT327" s="1096"/>
      <c r="AU327" s="1096"/>
      <c r="AV327" s="1096"/>
      <c r="AW327" s="1096"/>
      <c r="AX327" s="1096"/>
      <c r="AY327" s="1096"/>
      <c r="AZ327" s="1096"/>
      <c r="BA327" s="1096"/>
      <c r="BB327" s="1096"/>
      <c r="BC327" s="1096"/>
      <c r="BD327" s="1096"/>
      <c r="BE327" s="1096"/>
      <c r="BF327" s="1096"/>
      <c r="BG327" s="1099"/>
      <c r="BH327" s="1099"/>
      <c r="BI327" s="1096"/>
      <c r="BJ327" s="1096"/>
      <c r="BK327" s="1096"/>
      <c r="BL327" s="1096"/>
      <c r="BM327" s="1096"/>
      <c r="BN327" s="1096"/>
      <c r="BO327" s="1096"/>
      <c r="BP327" s="1096"/>
      <c r="BQ327" s="1096"/>
      <c r="BR327" s="1096"/>
      <c r="BS327" s="1096"/>
      <c r="BT327" s="1097"/>
      <c r="BU327" s="1097"/>
      <c r="BV327" s="1097"/>
      <c r="BW327" s="1097"/>
      <c r="BX327" s="1097"/>
      <c r="BY327" s="1097"/>
      <c r="BZ327" s="1097"/>
      <c r="CA327" s="1097"/>
      <c r="CB327" s="1097"/>
      <c r="CC327" s="1097"/>
      <c r="CD327" s="1097"/>
      <c r="CE327" s="1097"/>
      <c r="CF327" s="1097"/>
      <c r="CG327" s="1097"/>
      <c r="CH327" s="1097"/>
      <c r="CI327" s="1097"/>
      <c r="CJ327" s="1097"/>
      <c r="CK327" s="1097"/>
      <c r="CL327" s="1097"/>
      <c r="CM327" s="1096"/>
      <c r="CN327" s="1096"/>
      <c r="CO327" s="1096"/>
      <c r="CP327" s="1096"/>
      <c r="CQ327" s="1096"/>
      <c r="CR327" s="1096"/>
      <c r="CS327" s="1096"/>
      <c r="CT327" s="1096"/>
      <c r="CU327" s="1096"/>
      <c r="CV327" s="1096"/>
      <c r="CW327" s="1096"/>
      <c r="CX327" s="1096"/>
      <c r="CY327" s="1096"/>
      <c r="CZ327" s="1096"/>
      <c r="DA327" s="1096"/>
      <c r="DB327" s="1096"/>
      <c r="DC327" s="1096"/>
      <c r="DD327" s="1096"/>
      <c r="DE327" s="1096"/>
      <c r="DF327" s="1096"/>
      <c r="DG327" s="1096"/>
      <c r="DH327" s="1096"/>
      <c r="DI327" s="1096"/>
      <c r="DJ327" s="1096"/>
      <c r="DK327" s="1096"/>
      <c r="DL327" s="1096"/>
      <c r="DM327" s="1096"/>
      <c r="DN327" s="1096"/>
      <c r="DO327" s="1096"/>
      <c r="DP327" s="1096"/>
    </row>
    <row r="328" spans="1:120" hidden="1" outlineLevel="1">
      <c r="A328" s="55"/>
      <c r="B328" s="509"/>
      <c r="C328" s="1512"/>
      <c r="D328" s="1538"/>
      <c r="E328" s="1539"/>
      <c r="F328" s="416"/>
      <c r="G328" s="1251"/>
      <c r="H328" s="511"/>
      <c r="I328" s="512"/>
      <c r="J328" s="1383"/>
      <c r="K328" s="1383"/>
      <c r="L328" s="419"/>
      <c r="M328" s="1600"/>
      <c r="N328" s="504"/>
      <c r="O328" s="513">
        <f t="shared" si="931"/>
        <v>0</v>
      </c>
      <c r="P328" s="431"/>
      <c r="Q328" s="514"/>
      <c r="R328" s="515"/>
      <c r="S328" s="515"/>
      <c r="T328" s="562">
        <f t="shared" si="932"/>
        <v>0</v>
      </c>
      <c r="U328" s="418">
        <f t="shared" si="933"/>
        <v>0</v>
      </c>
      <c r="V328" s="517">
        <f>+P328*R328+L328*N328+F328*H328</f>
        <v>0</v>
      </c>
      <c r="W328" s="976">
        <f t="shared" si="935"/>
        <v>0</v>
      </c>
      <c r="X328" s="975">
        <f t="shared" si="936"/>
        <v>0</v>
      </c>
      <c r="Y328" s="519"/>
      <c r="AA328" s="578"/>
      <c r="AB328" s="578"/>
      <c r="AC328" s="578"/>
      <c r="AD328" s="578"/>
      <c r="AE328" s="578"/>
      <c r="AF328" s="579"/>
      <c r="AG328" s="579"/>
      <c r="AH328" s="579"/>
      <c r="AI328" s="579"/>
      <c r="AJ328" s="579"/>
      <c r="AK328" s="579"/>
      <c r="AL328" s="1563"/>
      <c r="AM328" s="579"/>
      <c r="AN328" s="579"/>
      <c r="AO328" s="579"/>
      <c r="AP328" s="579"/>
      <c r="AQ328" s="579"/>
      <c r="AR328" s="579"/>
      <c r="AS328" s="579"/>
      <c r="AT328" s="579"/>
      <c r="AU328" s="579"/>
      <c r="AV328" s="579"/>
      <c r="AW328" s="579"/>
      <c r="AX328" s="579"/>
      <c r="AY328" s="579"/>
      <c r="AZ328" s="579"/>
      <c r="BA328" s="579"/>
      <c r="BB328" s="579"/>
      <c r="BC328" s="579"/>
      <c r="BD328" s="579"/>
      <c r="BE328" s="579"/>
      <c r="BF328" s="579"/>
      <c r="BG328" s="579"/>
      <c r="BH328" s="579"/>
      <c r="BI328" s="579"/>
      <c r="BJ328" s="579"/>
      <c r="BK328" s="579"/>
      <c r="BL328" s="579"/>
      <c r="BM328" s="579"/>
      <c r="BN328" s="579"/>
      <c r="BO328" s="579"/>
      <c r="BP328" s="579"/>
      <c r="BQ328" s="579"/>
      <c r="BR328" s="579"/>
      <c r="BS328" s="579"/>
      <c r="BT328" s="579"/>
      <c r="BU328" s="579"/>
      <c r="BV328" s="579"/>
      <c r="BW328" s="579"/>
      <c r="BX328" s="579"/>
      <c r="BY328" s="579"/>
      <c r="BZ328" s="579"/>
      <c r="CA328" s="579"/>
      <c r="CB328" s="579"/>
      <c r="CC328" s="579"/>
      <c r="CD328" s="579"/>
      <c r="CE328" s="579"/>
      <c r="CF328" s="579"/>
      <c r="CG328" s="579"/>
      <c r="CH328" s="579"/>
      <c r="CI328" s="579"/>
      <c r="CJ328" s="579"/>
      <c r="CK328" s="579"/>
      <c r="CL328" s="579"/>
      <c r="CM328" s="579"/>
      <c r="CN328" s="579"/>
      <c r="CO328" s="579"/>
      <c r="CP328" s="579"/>
      <c r="CQ328" s="579"/>
      <c r="CR328" s="579"/>
      <c r="CS328" s="579"/>
      <c r="CT328" s="579"/>
      <c r="CU328" s="579"/>
      <c r="CV328" s="579"/>
      <c r="CW328" s="579"/>
      <c r="CX328" s="579"/>
      <c r="CY328" s="579"/>
      <c r="CZ328" s="579"/>
      <c r="DA328" s="579"/>
      <c r="DB328" s="579"/>
      <c r="DC328" s="579"/>
      <c r="DD328" s="579"/>
      <c r="DE328" s="579"/>
      <c r="DF328" s="579"/>
      <c r="DG328" s="579"/>
      <c r="DH328" s="579"/>
      <c r="DI328" s="579"/>
      <c r="DJ328" s="579"/>
      <c r="DK328" s="579"/>
      <c r="DL328" s="579"/>
      <c r="DM328" s="579"/>
      <c r="DN328" s="579"/>
      <c r="DO328" s="579"/>
      <c r="DP328" s="579"/>
    </row>
    <row r="329" spans="1:120" ht="16.5" collapsed="1" thickBot="1">
      <c r="A329" s="62" t="s">
        <v>234</v>
      </c>
      <c r="B329" s="63"/>
      <c r="C329" s="184"/>
      <c r="D329" s="1473"/>
      <c r="E329" s="1474"/>
      <c r="F329" s="66">
        <f>SUM(F310:F328)</f>
        <v>0</v>
      </c>
      <c r="G329" s="1253"/>
      <c r="H329" s="67"/>
      <c r="I329" s="68">
        <f>SUM(I310:I328)</f>
        <v>0</v>
      </c>
      <c r="J329" s="1376"/>
      <c r="K329" s="76"/>
      <c r="L329" s="1051">
        <f>SUM(L310:L328)</f>
        <v>0</v>
      </c>
      <c r="M329" s="1598"/>
      <c r="N329" s="70"/>
      <c r="O329" s="71">
        <f>SUM(O310:O328)</f>
        <v>0</v>
      </c>
      <c r="P329" s="72">
        <f>SUM(P310:P328)</f>
        <v>0</v>
      </c>
      <c r="Q329" s="1339"/>
      <c r="R329" s="73"/>
      <c r="S329" s="73"/>
      <c r="T329" s="96">
        <f>SUM(T310:T328)</f>
        <v>0</v>
      </c>
      <c r="U329" s="66">
        <f>SUM(U310:U328)</f>
        <v>0</v>
      </c>
      <c r="V329" s="76">
        <f>SUM(V310:V328)</f>
        <v>0</v>
      </c>
      <c r="W329" s="97">
        <f>SUM(W310:W328)</f>
        <v>0</v>
      </c>
      <c r="X329" s="98">
        <f>SUM(X310:X328)</f>
        <v>0</v>
      </c>
      <c r="Y329" s="43"/>
      <c r="AA329" s="130">
        <f t="shared" ref="AA329:AL329" ca="1" si="994">SUM(AA308:AA328)</f>
        <v>-2.7939677238464355E-9</v>
      </c>
      <c r="AB329" s="130">
        <f t="shared" ca="1" si="994"/>
        <v>0</v>
      </c>
      <c r="AC329" s="130">
        <f t="shared" ca="1" si="994"/>
        <v>0</v>
      </c>
      <c r="AD329" s="130">
        <f t="shared" ca="1" si="994"/>
        <v>0</v>
      </c>
      <c r="AE329" s="130">
        <f t="shared" ca="1" si="994"/>
        <v>0</v>
      </c>
      <c r="AF329" s="130">
        <f t="shared" ca="1" si="994"/>
        <v>0</v>
      </c>
      <c r="AG329" s="130">
        <f t="shared" ca="1" si="994"/>
        <v>0</v>
      </c>
      <c r="AH329" s="130">
        <f t="shared" ca="1" si="994"/>
        <v>0</v>
      </c>
      <c r="AI329" s="130">
        <f t="shared" ca="1" si="994"/>
        <v>0</v>
      </c>
      <c r="AJ329" s="130">
        <f t="shared" ca="1" si="994"/>
        <v>-2.3283064365386963E-10</v>
      </c>
      <c r="AK329" s="130">
        <f t="shared" ca="1" si="994"/>
        <v>-2.3283064365386963E-10</v>
      </c>
      <c r="AL329" s="130">
        <f t="shared" ca="1" si="994"/>
        <v>0</v>
      </c>
      <c r="AM329" s="130">
        <f t="shared" ref="AM329:BN329" ca="1" si="995">SUM(AM308:AM328)</f>
        <v>2.3283064365386963E-10</v>
      </c>
      <c r="AN329" s="130">
        <f t="shared" ca="1" si="995"/>
        <v>0</v>
      </c>
      <c r="AO329" s="130">
        <f t="shared" ca="1" si="995"/>
        <v>0</v>
      </c>
      <c r="AP329" s="130">
        <f t="shared" ca="1" si="995"/>
        <v>0</v>
      </c>
      <c r="AQ329" s="130">
        <f t="shared" ca="1" si="995"/>
        <v>0</v>
      </c>
      <c r="AR329" s="130">
        <f t="shared" ca="1" si="995"/>
        <v>0</v>
      </c>
      <c r="AS329" s="130">
        <f t="shared" ca="1" si="995"/>
        <v>-4.3655745685100555E-11</v>
      </c>
      <c r="AT329" s="130">
        <f t="shared" ca="1" si="995"/>
        <v>0</v>
      </c>
      <c r="AU329" s="130">
        <f t="shared" ca="1" si="995"/>
        <v>0</v>
      </c>
      <c r="AV329" s="130">
        <f t="shared" ca="1" si="995"/>
        <v>-2.3283064365386963E-10</v>
      </c>
      <c r="AW329" s="130">
        <f t="shared" ca="1" si="995"/>
        <v>-2.3283064365386963E-10</v>
      </c>
      <c r="AX329" s="130">
        <f t="shared" ca="1" si="995"/>
        <v>0</v>
      </c>
      <c r="AY329" s="130">
        <f t="shared" ca="1" si="995"/>
        <v>0</v>
      </c>
      <c r="AZ329" s="130">
        <f t="shared" ca="1" si="995"/>
        <v>0</v>
      </c>
      <c r="BA329" s="130">
        <f t="shared" ca="1" si="995"/>
        <v>1375193.1800000004</v>
      </c>
      <c r="BB329" s="130">
        <f t="shared" ca="1" si="995"/>
        <v>0</v>
      </c>
      <c r="BC329" s="130">
        <f t="shared" ca="1" si="995"/>
        <v>0</v>
      </c>
      <c r="BD329" s="130">
        <f t="shared" ca="1" si="995"/>
        <v>0</v>
      </c>
      <c r="BE329" s="130">
        <f t="shared" ca="1" si="995"/>
        <v>0</v>
      </c>
      <c r="BF329" s="130">
        <f t="shared" ca="1" si="995"/>
        <v>0</v>
      </c>
      <c r="BG329" s="130">
        <f t="shared" ca="1" si="995"/>
        <v>0</v>
      </c>
      <c r="BH329" s="130">
        <f t="shared" ca="1" si="995"/>
        <v>0</v>
      </c>
      <c r="BI329" s="130">
        <f t="shared" ca="1" si="995"/>
        <v>0</v>
      </c>
      <c r="BJ329" s="130">
        <f t="shared" ca="1" si="995"/>
        <v>0</v>
      </c>
      <c r="BK329" s="130">
        <f t="shared" ca="1" si="995"/>
        <v>0</v>
      </c>
      <c r="BL329" s="130">
        <f t="shared" ca="1" si="995"/>
        <v>0</v>
      </c>
      <c r="BM329" s="130">
        <f t="shared" ca="1" si="995"/>
        <v>0</v>
      </c>
      <c r="BN329" s="130">
        <f t="shared" ca="1" si="995"/>
        <v>0</v>
      </c>
      <c r="BO329" s="130">
        <f t="shared" ref="BO329:CT329" ca="1" si="996">SUM(BO308:BO328)</f>
        <v>0</v>
      </c>
      <c r="BP329" s="130">
        <f t="shared" ca="1" si="996"/>
        <v>0</v>
      </c>
      <c r="BQ329" s="130">
        <f t="shared" ca="1" si="996"/>
        <v>0</v>
      </c>
      <c r="BR329" s="130">
        <f t="shared" ca="1" si="996"/>
        <v>0</v>
      </c>
      <c r="BS329" s="130">
        <f t="shared" ca="1" si="996"/>
        <v>0</v>
      </c>
      <c r="BT329" s="130">
        <f t="shared" ca="1" si="996"/>
        <v>0</v>
      </c>
      <c r="BU329" s="130">
        <f t="shared" ca="1" si="996"/>
        <v>0</v>
      </c>
      <c r="BV329" s="130">
        <f t="shared" ca="1" si="996"/>
        <v>0</v>
      </c>
      <c r="BW329" s="130">
        <f t="shared" ca="1" si="996"/>
        <v>0</v>
      </c>
      <c r="BX329" s="130">
        <f t="shared" ca="1" si="996"/>
        <v>0</v>
      </c>
      <c r="BY329" s="130">
        <f t="shared" ca="1" si="996"/>
        <v>0</v>
      </c>
      <c r="BZ329" s="130">
        <f t="shared" ca="1" si="996"/>
        <v>0</v>
      </c>
      <c r="CA329" s="130">
        <f t="shared" ca="1" si="996"/>
        <v>0</v>
      </c>
      <c r="CB329" s="130">
        <f t="shared" ca="1" si="996"/>
        <v>0</v>
      </c>
      <c r="CC329" s="130">
        <f t="shared" ca="1" si="996"/>
        <v>4.0972736314870402E-10</v>
      </c>
      <c r="CD329" s="130">
        <f t="shared" ca="1" si="996"/>
        <v>0</v>
      </c>
      <c r="CE329" s="130">
        <f t="shared" ca="1" si="996"/>
        <v>0</v>
      </c>
      <c r="CF329" s="130">
        <f t="shared" ca="1" si="996"/>
        <v>0</v>
      </c>
      <c r="CG329" s="130">
        <f t="shared" ca="1" si="996"/>
        <v>0</v>
      </c>
      <c r="CH329" s="130">
        <f t="shared" ca="1" si="996"/>
        <v>0</v>
      </c>
      <c r="CI329" s="130">
        <f t="shared" ca="1" si="996"/>
        <v>0</v>
      </c>
      <c r="CJ329" s="130">
        <f t="shared" ca="1" si="996"/>
        <v>0</v>
      </c>
      <c r="CK329" s="130">
        <f t="shared" ca="1" si="996"/>
        <v>0</v>
      </c>
      <c r="CL329" s="130">
        <f t="shared" ca="1" si="996"/>
        <v>0</v>
      </c>
      <c r="CM329" s="130">
        <f t="shared" ca="1" si="996"/>
        <v>0</v>
      </c>
      <c r="CN329" s="130">
        <f t="shared" ca="1" si="996"/>
        <v>0</v>
      </c>
      <c r="CO329" s="130">
        <f t="shared" ca="1" si="996"/>
        <v>0</v>
      </c>
      <c r="CP329" s="130">
        <f t="shared" ca="1" si="996"/>
        <v>0</v>
      </c>
      <c r="CQ329" s="130">
        <f t="shared" ca="1" si="996"/>
        <v>0</v>
      </c>
      <c r="CR329" s="130">
        <f t="shared" ca="1" si="996"/>
        <v>0</v>
      </c>
      <c r="CS329" s="130">
        <f t="shared" ca="1" si="996"/>
        <v>0</v>
      </c>
      <c r="CT329" s="130">
        <f t="shared" ca="1" si="996"/>
        <v>0</v>
      </c>
      <c r="CU329" s="130">
        <f t="shared" ref="CU329:DM329" ca="1" si="997">SUM(CU308:CU328)</f>
        <v>0</v>
      </c>
      <c r="CV329" s="130">
        <f t="shared" ca="1" si="997"/>
        <v>0</v>
      </c>
      <c r="CW329" s="130">
        <f t="shared" ca="1" si="997"/>
        <v>0</v>
      </c>
      <c r="CX329" s="130">
        <f t="shared" ca="1" si="997"/>
        <v>0</v>
      </c>
      <c r="CY329" s="130">
        <f t="shared" ca="1" si="997"/>
        <v>0</v>
      </c>
      <c r="CZ329" s="130">
        <f t="shared" ca="1" si="997"/>
        <v>0</v>
      </c>
      <c r="DA329" s="130">
        <f t="shared" ca="1" si="997"/>
        <v>0</v>
      </c>
      <c r="DB329" s="130">
        <f t="shared" ca="1" si="997"/>
        <v>0</v>
      </c>
      <c r="DC329" s="130">
        <f t="shared" ca="1" si="997"/>
        <v>0</v>
      </c>
      <c r="DD329" s="130">
        <f t="shared" ca="1" si="997"/>
        <v>0</v>
      </c>
      <c r="DE329" s="130">
        <f t="shared" ca="1" si="997"/>
        <v>0</v>
      </c>
      <c r="DF329" s="130">
        <f t="shared" ca="1" si="997"/>
        <v>0</v>
      </c>
      <c r="DG329" s="130">
        <f t="shared" ca="1" si="997"/>
        <v>0</v>
      </c>
      <c r="DH329" s="130">
        <f t="shared" ca="1" si="997"/>
        <v>0</v>
      </c>
      <c r="DI329" s="130">
        <f t="shared" ca="1" si="997"/>
        <v>0</v>
      </c>
      <c r="DJ329" s="130">
        <f t="shared" ca="1" si="997"/>
        <v>0</v>
      </c>
      <c r="DK329" s="130">
        <f t="shared" ca="1" si="997"/>
        <v>0</v>
      </c>
      <c r="DL329" s="130">
        <f t="shared" ca="1" si="997"/>
        <v>0</v>
      </c>
      <c r="DM329" s="130">
        <f t="shared" ca="1" si="997"/>
        <v>0</v>
      </c>
      <c r="DN329" s="130">
        <f t="shared" ref="DN329:DO329" ca="1" si="998">SUM(DN308:DN328)</f>
        <v>0</v>
      </c>
      <c r="DO329" s="130">
        <f t="shared" ca="1" si="998"/>
        <v>0</v>
      </c>
      <c r="DP329" s="130">
        <f t="shared" ref="DP329" ca="1" si="999">SUM(DP308:DP328)</f>
        <v>0</v>
      </c>
    </row>
    <row r="330" spans="1:120">
      <c r="L330" s="410"/>
      <c r="M330" s="410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</row>
    <row r="331" spans="1:120" hidden="1" outlineLevel="1">
      <c r="A331" s="532">
        <v>1110052010</v>
      </c>
      <c r="B331" s="573"/>
      <c r="C331" s="678" t="s">
        <v>64</v>
      </c>
      <c r="D331" s="1477"/>
      <c r="E331" s="1478"/>
      <c r="F331" s="535"/>
      <c r="G331" s="1254"/>
      <c r="H331" s="536"/>
      <c r="I331" s="537"/>
      <c r="J331" s="1483">
        <v>1</v>
      </c>
      <c r="K331" s="1484">
        <v>1</v>
      </c>
      <c r="L331" s="1042"/>
      <c r="M331" s="1593">
        <f t="shared" ref="M331" si="1000">+L331*J331</f>
        <v>0</v>
      </c>
      <c r="N331" s="538"/>
      <c r="O331" s="539">
        <f t="shared" ref="O331:O357" si="1001">+L331*N331</f>
        <v>0</v>
      </c>
      <c r="P331" s="540"/>
      <c r="Q331" s="540"/>
      <c r="R331" s="541"/>
      <c r="S331" s="541"/>
      <c r="T331" s="542">
        <f t="shared" ref="T331:T357" si="1002">+P331*S331</f>
        <v>0</v>
      </c>
      <c r="U331" s="543">
        <f t="shared" ref="U331:U357" si="1003">+L331+P331+F331</f>
        <v>0</v>
      </c>
      <c r="V331" s="544">
        <f t="shared" ref="V331:V357" si="1004">+P331*R331+L331*N331+F331*H331</f>
        <v>0</v>
      </c>
      <c r="W331" s="545">
        <f t="shared" ref="W331:W357" si="1005">(IF(R331&gt;S331,(-P331*R331)-(-P331*S331),0))</f>
        <v>0</v>
      </c>
      <c r="X331" s="546">
        <f t="shared" ref="X331:X357" si="1006">(IF(R331&lt;S331,(-P331*R331)-(-P331*S331),0))</f>
        <v>0</v>
      </c>
      <c r="Y331" s="547"/>
      <c r="AA331" s="548"/>
      <c r="AB331" s="574"/>
      <c r="AC331" s="574"/>
      <c r="AD331" s="574"/>
      <c r="AE331" s="574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  <c r="AV331" s="575"/>
      <c r="AW331" s="575"/>
      <c r="AX331" s="575"/>
      <c r="AY331" s="575"/>
      <c r="AZ331" s="575"/>
      <c r="BA331" s="575"/>
      <c r="BB331" s="575"/>
      <c r="BC331" s="575"/>
      <c r="BD331" s="575"/>
      <c r="BE331" s="575"/>
      <c r="BF331" s="575"/>
      <c r="BG331" s="575"/>
      <c r="BH331" s="575"/>
      <c r="BI331" s="575"/>
      <c r="BJ331" s="575"/>
      <c r="BK331" s="575"/>
      <c r="BL331" s="575"/>
      <c r="BM331" s="575"/>
      <c r="BN331" s="575"/>
      <c r="BO331" s="576"/>
      <c r="BP331" s="575"/>
      <c r="BQ331" s="575"/>
      <c r="BR331" s="575"/>
      <c r="BS331" s="575"/>
      <c r="BT331" s="575"/>
      <c r="BU331" s="575"/>
      <c r="BV331" s="575"/>
      <c r="BW331" s="575"/>
      <c r="BX331" s="575"/>
      <c r="BY331" s="575"/>
      <c r="BZ331" s="575"/>
      <c r="CA331" s="575"/>
      <c r="CB331" s="576"/>
      <c r="CC331" s="575"/>
      <c r="CD331" s="575"/>
      <c r="CE331" s="575"/>
      <c r="CF331" s="576"/>
      <c r="CG331" s="575"/>
      <c r="CH331" s="575"/>
      <c r="CI331" s="575"/>
      <c r="CJ331" s="575"/>
      <c r="CK331" s="575"/>
      <c r="CL331" s="575"/>
      <c r="CM331" s="575"/>
      <c r="CN331" s="575"/>
      <c r="CO331" s="575"/>
      <c r="CP331" s="593"/>
      <c r="CQ331" s="593"/>
      <c r="CR331" s="575"/>
      <c r="CS331" s="575"/>
      <c r="CT331" s="575"/>
      <c r="CU331" s="575"/>
      <c r="CV331" s="575"/>
      <c r="CW331" s="575"/>
      <c r="CX331" s="576">
        <f>+M331</f>
        <v>0</v>
      </c>
      <c r="CY331" s="575"/>
      <c r="CZ331" s="575"/>
      <c r="DA331" s="575"/>
      <c r="DB331" s="575"/>
      <c r="DC331" s="575"/>
      <c r="DD331" s="575"/>
      <c r="DE331" s="575"/>
      <c r="DF331" s="575"/>
      <c r="DG331" s="575"/>
      <c r="DH331" s="575"/>
      <c r="DI331" s="575"/>
      <c r="DJ331" s="575"/>
      <c r="DK331" s="575"/>
      <c r="DL331" s="575"/>
      <c r="DM331" s="575"/>
      <c r="DN331" s="575"/>
      <c r="DO331" s="575"/>
      <c r="DP331" s="575"/>
    </row>
    <row r="332" spans="1:120" hidden="1" outlineLevel="1">
      <c r="A332" s="89">
        <v>1110052010</v>
      </c>
      <c r="B332" s="90"/>
      <c r="C332" s="1476" t="s">
        <v>64</v>
      </c>
      <c r="D332" s="1469"/>
      <c r="E332" s="1470"/>
      <c r="F332" s="420"/>
      <c r="G332" s="1256"/>
      <c r="H332" s="421"/>
      <c r="I332" s="422"/>
      <c r="J332" s="1425">
        <v>1</v>
      </c>
      <c r="K332" s="1426">
        <v>1</v>
      </c>
      <c r="L332" s="1043"/>
      <c r="M332" s="1594"/>
      <c r="N332" s="415"/>
      <c r="O332" s="424">
        <f t="shared" si="1001"/>
        <v>0</v>
      </c>
      <c r="P332" s="425"/>
      <c r="Q332" s="1340">
        <f t="shared" ref="Q332" si="1007">+P332*K332</f>
        <v>0</v>
      </c>
      <c r="R332" s="426"/>
      <c r="S332" s="426"/>
      <c r="T332" s="427">
        <f t="shared" si="1002"/>
        <v>0</v>
      </c>
      <c r="U332" s="418">
        <f t="shared" si="1003"/>
        <v>0</v>
      </c>
      <c r="V332" s="517">
        <f t="shared" si="1004"/>
        <v>0</v>
      </c>
      <c r="W332" s="428">
        <f t="shared" si="1005"/>
        <v>0</v>
      </c>
      <c r="X332" s="429">
        <f t="shared" si="1006"/>
        <v>0</v>
      </c>
      <c r="Y332" s="92"/>
      <c r="AA332" s="53"/>
      <c r="AB332" s="578"/>
      <c r="AC332" s="578"/>
      <c r="AD332" s="578"/>
      <c r="AE332" s="578"/>
      <c r="AF332" s="579"/>
      <c r="AG332" s="579"/>
      <c r="AH332" s="579"/>
      <c r="AI332" s="579"/>
      <c r="AJ332" s="579"/>
      <c r="AK332" s="579"/>
      <c r="AL332" s="1563"/>
      <c r="AM332" s="579"/>
      <c r="AN332" s="579"/>
      <c r="AO332" s="579"/>
      <c r="AP332" s="579"/>
      <c r="AQ332" s="579"/>
      <c r="AR332" s="579"/>
      <c r="AS332" s="579"/>
      <c r="AT332" s="579"/>
      <c r="AU332" s="579"/>
      <c r="AV332" s="579"/>
      <c r="AW332" s="579"/>
      <c r="AX332" s="579"/>
      <c r="AY332" s="579"/>
      <c r="AZ332" s="579"/>
      <c r="BA332" s="579"/>
      <c r="BB332" s="579"/>
      <c r="BC332" s="579"/>
      <c r="BD332" s="579"/>
      <c r="BE332" s="579"/>
      <c r="BF332" s="579"/>
      <c r="BG332" s="579"/>
      <c r="BH332" s="579"/>
      <c r="BI332" s="579"/>
      <c r="BJ332" s="579"/>
      <c r="BK332" s="579"/>
      <c r="BL332" s="579"/>
      <c r="BM332" s="579"/>
      <c r="BN332" s="579"/>
      <c r="BO332" s="579"/>
      <c r="BP332" s="579"/>
      <c r="BQ332" s="579"/>
      <c r="BR332" s="579"/>
      <c r="BS332" s="579"/>
      <c r="BT332" s="579"/>
      <c r="BU332" s="579"/>
      <c r="BV332" s="579"/>
      <c r="BW332" s="579"/>
      <c r="BX332" s="579"/>
      <c r="BY332" s="579"/>
      <c r="BZ332" s="579"/>
      <c r="CA332" s="579"/>
      <c r="CB332" s="579"/>
      <c r="CC332" s="579"/>
      <c r="CD332" s="594"/>
      <c r="CE332" s="594"/>
      <c r="CF332" s="579"/>
      <c r="CG332" s="579"/>
      <c r="CH332" s="579"/>
      <c r="CI332" s="579"/>
      <c r="CJ332" s="579"/>
      <c r="CK332" s="579"/>
      <c r="CL332" s="579"/>
      <c r="CM332" s="579"/>
      <c r="CN332" s="579"/>
      <c r="CO332" s="579"/>
      <c r="CP332" s="579"/>
      <c r="CQ332" s="579"/>
      <c r="CR332" s="579"/>
      <c r="CS332" s="595"/>
      <c r="CT332" s="579"/>
      <c r="CU332" s="579"/>
      <c r="CV332" s="579"/>
      <c r="CW332" s="579"/>
      <c r="CX332" s="594">
        <f>+Q332</f>
        <v>0</v>
      </c>
      <c r="CY332" s="579"/>
      <c r="CZ332" s="579"/>
      <c r="DA332" s="579"/>
      <c r="DB332" s="579"/>
      <c r="DC332" s="579"/>
      <c r="DD332" s="579"/>
      <c r="DE332" s="579"/>
      <c r="DF332" s="579"/>
      <c r="DG332" s="579"/>
      <c r="DH332" s="579"/>
      <c r="DI332" s="579"/>
      <c r="DJ332" s="579"/>
      <c r="DK332" s="579"/>
      <c r="DL332" s="579"/>
      <c r="DM332" s="579"/>
      <c r="DN332" s="579"/>
      <c r="DO332" s="579"/>
      <c r="DP332" s="579"/>
    </row>
    <row r="333" spans="1:120" hidden="1" outlineLevel="1">
      <c r="A333" s="89">
        <v>1110052010</v>
      </c>
      <c r="B333" s="90"/>
      <c r="C333" s="1476" t="s">
        <v>64</v>
      </c>
      <c r="D333" s="1469"/>
      <c r="E333" s="1470"/>
      <c r="F333" s="420"/>
      <c r="G333" s="1256"/>
      <c r="H333" s="421"/>
      <c r="I333" s="422"/>
      <c r="J333" s="1425">
        <v>1</v>
      </c>
      <c r="K333" s="1426">
        <v>1</v>
      </c>
      <c r="L333" s="1043"/>
      <c r="M333" s="1594">
        <f t="shared" ref="M333" si="1008">+L333*J333</f>
        <v>0</v>
      </c>
      <c r="N333" s="415"/>
      <c r="O333" s="424">
        <f t="shared" si="1001"/>
        <v>0</v>
      </c>
      <c r="P333" s="425"/>
      <c r="Q333" s="1340"/>
      <c r="R333" s="426"/>
      <c r="S333" s="426"/>
      <c r="T333" s="427">
        <f t="shared" si="1002"/>
        <v>0</v>
      </c>
      <c r="U333" s="418">
        <f t="shared" si="1003"/>
        <v>0</v>
      </c>
      <c r="V333" s="517">
        <f t="shared" si="1004"/>
        <v>0</v>
      </c>
      <c r="W333" s="428">
        <f t="shared" si="1005"/>
        <v>0</v>
      </c>
      <c r="X333" s="429">
        <f t="shared" si="1006"/>
        <v>0</v>
      </c>
      <c r="Y333" s="92"/>
      <c r="AA333" s="53"/>
      <c r="AB333" s="578"/>
      <c r="AC333" s="578"/>
      <c r="AD333" s="578"/>
      <c r="AE333" s="578"/>
      <c r="AF333" s="579"/>
      <c r="AG333" s="579"/>
      <c r="AH333" s="579"/>
      <c r="AI333" s="579"/>
      <c r="AJ333" s="579"/>
      <c r="AK333" s="579"/>
      <c r="AL333" s="1563"/>
      <c r="AM333" s="579"/>
      <c r="AN333" s="579"/>
      <c r="AO333" s="579"/>
      <c r="AP333" s="579"/>
      <c r="AQ333" s="579"/>
      <c r="AR333" s="579"/>
      <c r="AS333" s="579"/>
      <c r="AT333" s="579"/>
      <c r="AU333" s="579"/>
      <c r="AV333" s="579"/>
      <c r="AW333" s="579"/>
      <c r="AX333" s="579"/>
      <c r="AY333" s="579"/>
      <c r="AZ333" s="579"/>
      <c r="BA333" s="579"/>
      <c r="BB333" s="579"/>
      <c r="BC333" s="579"/>
      <c r="BD333" s="579"/>
      <c r="BE333" s="579"/>
      <c r="BF333" s="579"/>
      <c r="BG333" s="579"/>
      <c r="BH333" s="579"/>
      <c r="BI333" s="579"/>
      <c r="BJ333" s="579"/>
      <c r="BK333" s="594"/>
      <c r="BL333" s="579"/>
      <c r="BM333" s="579"/>
      <c r="BN333" s="579"/>
      <c r="BO333" s="579"/>
      <c r="BP333" s="579"/>
      <c r="BQ333" s="579"/>
      <c r="BR333" s="579"/>
      <c r="BS333" s="579"/>
      <c r="BT333" s="579"/>
      <c r="BU333" s="579"/>
      <c r="BV333" s="579"/>
      <c r="BW333" s="579"/>
      <c r="BX333" s="579"/>
      <c r="BY333" s="579"/>
      <c r="BZ333" s="579"/>
      <c r="CA333" s="594"/>
      <c r="CB333" s="579"/>
      <c r="CC333" s="579"/>
      <c r="CD333" s="579"/>
      <c r="CE333" s="579"/>
      <c r="CF333" s="579"/>
      <c r="CG333" s="579"/>
      <c r="CH333" s="579"/>
      <c r="CI333" s="579"/>
      <c r="CJ333" s="579"/>
      <c r="CK333" s="579"/>
      <c r="CL333" s="579"/>
      <c r="CM333" s="579"/>
      <c r="CN333" s="579"/>
      <c r="CO333" s="579"/>
      <c r="CP333" s="579"/>
      <c r="CQ333" s="579"/>
      <c r="CR333" s="579"/>
      <c r="CS333" s="595"/>
      <c r="CT333" s="579"/>
      <c r="CU333" s="579"/>
      <c r="CV333" s="579"/>
      <c r="CW333" s="579"/>
      <c r="CX333" s="579"/>
      <c r="CY333" s="594">
        <f>+M333</f>
        <v>0</v>
      </c>
      <c r="CZ333" s="579"/>
      <c r="DA333" s="579"/>
      <c r="DB333" s="579"/>
      <c r="DC333" s="579"/>
      <c r="DD333" s="579"/>
      <c r="DE333" s="579"/>
      <c r="DF333" s="579"/>
      <c r="DG333" s="579"/>
      <c r="DH333" s="579"/>
      <c r="DI333" s="579"/>
      <c r="DJ333" s="579"/>
      <c r="DK333" s="579"/>
      <c r="DL333" s="579"/>
      <c r="DM333" s="579"/>
      <c r="DN333" s="579"/>
      <c r="DO333" s="579"/>
      <c r="DP333" s="579"/>
    </row>
    <row r="334" spans="1:120" hidden="1" outlineLevel="1">
      <c r="A334" s="89">
        <v>1110052010</v>
      </c>
      <c r="B334" s="90"/>
      <c r="C334" s="1476" t="s">
        <v>64</v>
      </c>
      <c r="D334" s="1469"/>
      <c r="E334" s="1470"/>
      <c r="F334" s="420"/>
      <c r="G334" s="1256"/>
      <c r="H334" s="421"/>
      <c r="I334" s="422"/>
      <c r="J334" s="1425">
        <v>1</v>
      </c>
      <c r="K334" s="1426">
        <v>1</v>
      </c>
      <c r="L334" s="1043"/>
      <c r="M334" s="1594"/>
      <c r="N334" s="415"/>
      <c r="O334" s="424">
        <f t="shared" si="1001"/>
        <v>0</v>
      </c>
      <c r="P334" s="425"/>
      <c r="Q334" s="1340">
        <f t="shared" ref="Q334:Q337" si="1009">+P334*K334</f>
        <v>0</v>
      </c>
      <c r="R334" s="426"/>
      <c r="S334" s="426"/>
      <c r="T334" s="427">
        <f t="shared" si="1002"/>
        <v>0</v>
      </c>
      <c r="U334" s="418">
        <f t="shared" si="1003"/>
        <v>0</v>
      </c>
      <c r="V334" s="517">
        <f t="shared" si="1004"/>
        <v>0</v>
      </c>
      <c r="W334" s="428">
        <f t="shared" si="1005"/>
        <v>0</v>
      </c>
      <c r="X334" s="429">
        <f t="shared" si="1006"/>
        <v>0</v>
      </c>
      <c r="Y334" s="92"/>
      <c r="AA334" s="53"/>
      <c r="AB334" s="578"/>
      <c r="AC334" s="578"/>
      <c r="AD334" s="578"/>
      <c r="AE334" s="578"/>
      <c r="AF334" s="579"/>
      <c r="AG334" s="579"/>
      <c r="AH334" s="579"/>
      <c r="AI334" s="579"/>
      <c r="AJ334" s="579"/>
      <c r="AK334" s="579"/>
      <c r="AL334" s="1563"/>
      <c r="AM334" s="579"/>
      <c r="AN334" s="579"/>
      <c r="AO334" s="579"/>
      <c r="AP334" s="579"/>
      <c r="AQ334" s="579"/>
      <c r="AR334" s="579"/>
      <c r="AS334" s="579"/>
      <c r="AT334" s="579"/>
      <c r="AU334" s="579"/>
      <c r="AV334" s="579"/>
      <c r="AW334" s="579"/>
      <c r="AX334" s="579"/>
      <c r="AY334" s="579"/>
      <c r="AZ334" s="579"/>
      <c r="BA334" s="579"/>
      <c r="BB334" s="579"/>
      <c r="BC334" s="579"/>
      <c r="BD334" s="579"/>
      <c r="BE334" s="579"/>
      <c r="BF334" s="579"/>
      <c r="BG334" s="579"/>
      <c r="BH334" s="579"/>
      <c r="BI334" s="579"/>
      <c r="BJ334" s="579"/>
      <c r="BK334" s="594"/>
      <c r="BL334" s="579"/>
      <c r="BM334" s="579"/>
      <c r="BN334" s="579"/>
      <c r="BO334" s="579"/>
      <c r="BP334" s="579"/>
      <c r="BQ334" s="579"/>
      <c r="BR334" s="579"/>
      <c r="BS334" s="579"/>
      <c r="BT334" s="579"/>
      <c r="BU334" s="579"/>
      <c r="BV334" s="579"/>
      <c r="BW334" s="579"/>
      <c r="BX334" s="579"/>
      <c r="BY334" s="579"/>
      <c r="BZ334" s="579"/>
      <c r="CA334" s="594"/>
      <c r="CB334" s="579"/>
      <c r="CC334" s="579"/>
      <c r="CD334" s="579"/>
      <c r="CE334" s="579"/>
      <c r="CF334" s="579"/>
      <c r="CG334" s="579"/>
      <c r="CH334" s="579"/>
      <c r="CI334" s="579"/>
      <c r="CJ334" s="579"/>
      <c r="CK334" s="579"/>
      <c r="CL334" s="579"/>
      <c r="CM334" s="579"/>
      <c r="CN334" s="579"/>
      <c r="CO334" s="579"/>
      <c r="CP334" s="579"/>
      <c r="CQ334" s="579"/>
      <c r="CR334" s="579"/>
      <c r="CS334" s="595"/>
      <c r="CT334" s="579"/>
      <c r="CU334" s="579"/>
      <c r="CV334" s="579"/>
      <c r="CW334" s="579"/>
      <c r="CX334" s="594">
        <f>+Q334</f>
        <v>0</v>
      </c>
      <c r="CY334" s="594"/>
      <c r="CZ334" s="579"/>
      <c r="DA334" s="579"/>
      <c r="DB334" s="579"/>
      <c r="DC334" s="579"/>
      <c r="DD334" s="579"/>
      <c r="DE334" s="579"/>
      <c r="DF334" s="579"/>
      <c r="DG334" s="579"/>
      <c r="DH334" s="579"/>
      <c r="DI334" s="579"/>
      <c r="DJ334" s="579"/>
      <c r="DK334" s="579"/>
      <c r="DL334" s="579"/>
      <c r="DM334" s="579"/>
      <c r="DN334" s="579"/>
      <c r="DO334" s="579"/>
      <c r="DP334" s="579"/>
    </row>
    <row r="335" spans="1:120" hidden="1" outlineLevel="1">
      <c r="A335" s="89">
        <v>1110052010</v>
      </c>
      <c r="B335" s="90"/>
      <c r="C335" s="1476" t="s">
        <v>64</v>
      </c>
      <c r="D335" s="1469"/>
      <c r="E335" s="1470"/>
      <c r="F335" s="420"/>
      <c r="G335" s="1256"/>
      <c r="H335" s="421"/>
      <c r="I335" s="422"/>
      <c r="J335" s="1425">
        <v>1</v>
      </c>
      <c r="K335" s="1426">
        <v>1</v>
      </c>
      <c r="L335" s="1043"/>
      <c r="M335" s="1594"/>
      <c r="N335" s="415"/>
      <c r="O335" s="424">
        <f t="shared" ref="O335" si="1010">+L335*N335</f>
        <v>0</v>
      </c>
      <c r="P335" s="425"/>
      <c r="Q335" s="1340">
        <f t="shared" ref="Q335" si="1011">+P335*K335</f>
        <v>0</v>
      </c>
      <c r="R335" s="426"/>
      <c r="S335" s="426"/>
      <c r="T335" s="427">
        <f t="shared" ref="T335" si="1012">+P335*S335</f>
        <v>0</v>
      </c>
      <c r="U335" s="418">
        <f t="shared" ref="U335" si="1013">+L335+P335+F335</f>
        <v>0</v>
      </c>
      <c r="V335" s="517">
        <f t="shared" ref="V335" si="1014">+P335*R335+L335*N335+F335*H335</f>
        <v>0</v>
      </c>
      <c r="W335" s="428">
        <f t="shared" ref="W335" si="1015">(IF(R335&gt;S335,(-P335*R335)-(-P335*S335),0))</f>
        <v>0</v>
      </c>
      <c r="X335" s="429">
        <f t="shared" ref="X335" si="1016">(IF(R335&lt;S335,(-P335*R335)-(-P335*S335),0))</f>
        <v>0</v>
      </c>
      <c r="Y335" s="92"/>
      <c r="AA335" s="53"/>
      <c r="AB335" s="578"/>
      <c r="AC335" s="578"/>
      <c r="AD335" s="578"/>
      <c r="AE335" s="578"/>
      <c r="AF335" s="579"/>
      <c r="AG335" s="579"/>
      <c r="AH335" s="579"/>
      <c r="AI335" s="579"/>
      <c r="AJ335" s="579"/>
      <c r="AK335" s="579"/>
      <c r="AL335" s="1563"/>
      <c r="AM335" s="579"/>
      <c r="AN335" s="579"/>
      <c r="AO335" s="579"/>
      <c r="AP335" s="579"/>
      <c r="AQ335" s="579"/>
      <c r="AR335" s="579"/>
      <c r="AS335" s="579"/>
      <c r="AT335" s="579"/>
      <c r="AU335" s="579"/>
      <c r="AV335" s="579"/>
      <c r="AW335" s="579"/>
      <c r="AX335" s="579"/>
      <c r="AY335" s="579"/>
      <c r="AZ335" s="579"/>
      <c r="BA335" s="579"/>
      <c r="BB335" s="579"/>
      <c r="BC335" s="579"/>
      <c r="BD335" s="579"/>
      <c r="BE335" s="579"/>
      <c r="BF335" s="579"/>
      <c r="BG335" s="579"/>
      <c r="BH335" s="579"/>
      <c r="BI335" s="579"/>
      <c r="BJ335" s="579"/>
      <c r="BK335" s="594"/>
      <c r="BL335" s="579"/>
      <c r="BM335" s="579"/>
      <c r="BN335" s="579"/>
      <c r="BO335" s="579"/>
      <c r="BP335" s="579"/>
      <c r="BQ335" s="579"/>
      <c r="BR335" s="579"/>
      <c r="BS335" s="579"/>
      <c r="BT335" s="579"/>
      <c r="BU335" s="579"/>
      <c r="BV335" s="579"/>
      <c r="BW335" s="579"/>
      <c r="BX335" s="579"/>
      <c r="BY335" s="579"/>
      <c r="BZ335" s="579"/>
      <c r="CA335" s="594"/>
      <c r="CB335" s="579"/>
      <c r="CC335" s="579"/>
      <c r="CD335" s="579"/>
      <c r="CE335" s="579"/>
      <c r="CF335" s="579"/>
      <c r="CG335" s="579"/>
      <c r="CH335" s="579"/>
      <c r="CI335" s="579"/>
      <c r="CJ335" s="579"/>
      <c r="CK335" s="579"/>
      <c r="CL335" s="579"/>
      <c r="CM335" s="579"/>
      <c r="CN335" s="579"/>
      <c r="CO335" s="579"/>
      <c r="CP335" s="579"/>
      <c r="CQ335" s="579"/>
      <c r="CR335" s="579"/>
      <c r="CS335" s="595"/>
      <c r="CT335" s="579"/>
      <c r="CU335" s="579"/>
      <c r="CV335" s="579"/>
      <c r="CW335" s="579"/>
      <c r="CX335" s="579"/>
      <c r="CY335" s="594">
        <f>+Q335</f>
        <v>0</v>
      </c>
      <c r="CZ335" s="579"/>
      <c r="DA335" s="579"/>
      <c r="DB335" s="579"/>
      <c r="DC335" s="579"/>
      <c r="DD335" s="579"/>
      <c r="DE335" s="579"/>
      <c r="DF335" s="579"/>
      <c r="DG335" s="579"/>
      <c r="DH335" s="579"/>
      <c r="DI335" s="579"/>
      <c r="DJ335" s="579"/>
      <c r="DK335" s="579"/>
      <c r="DL335" s="579"/>
      <c r="DM335" s="579"/>
      <c r="DN335" s="579"/>
      <c r="DO335" s="579"/>
      <c r="DP335" s="579"/>
    </row>
    <row r="336" spans="1:120" hidden="1" outlineLevel="1">
      <c r="A336" s="89">
        <v>1110052010</v>
      </c>
      <c r="B336" s="90"/>
      <c r="C336" s="1476" t="s">
        <v>64</v>
      </c>
      <c r="D336" s="1469"/>
      <c r="E336" s="1470"/>
      <c r="F336" s="420"/>
      <c r="G336" s="1256"/>
      <c r="H336" s="421"/>
      <c r="I336" s="422"/>
      <c r="J336" s="1425">
        <v>1</v>
      </c>
      <c r="K336" s="1426">
        <v>1</v>
      </c>
      <c r="L336" s="1043"/>
      <c r="M336" s="1594"/>
      <c r="N336" s="415"/>
      <c r="O336" s="424">
        <f t="shared" si="1001"/>
        <v>0</v>
      </c>
      <c r="P336" s="425"/>
      <c r="Q336" s="1340">
        <f t="shared" si="1009"/>
        <v>0</v>
      </c>
      <c r="R336" s="426"/>
      <c r="S336" s="426"/>
      <c r="T336" s="427">
        <f t="shared" si="1002"/>
        <v>0</v>
      </c>
      <c r="U336" s="418">
        <f t="shared" si="1003"/>
        <v>0</v>
      </c>
      <c r="V336" s="517">
        <f t="shared" si="1004"/>
        <v>0</v>
      </c>
      <c r="W336" s="428">
        <f t="shared" si="1005"/>
        <v>0</v>
      </c>
      <c r="X336" s="429">
        <f t="shared" si="1006"/>
        <v>0</v>
      </c>
      <c r="Y336" s="92"/>
      <c r="AA336" s="53"/>
      <c r="AB336" s="578"/>
      <c r="AC336" s="578"/>
      <c r="AD336" s="578"/>
      <c r="AE336" s="578"/>
      <c r="AF336" s="579"/>
      <c r="AG336" s="579"/>
      <c r="AH336" s="579"/>
      <c r="AI336" s="579"/>
      <c r="AJ336" s="579"/>
      <c r="AK336" s="579"/>
      <c r="AL336" s="1563"/>
      <c r="AM336" s="579"/>
      <c r="AN336" s="579"/>
      <c r="AO336" s="579"/>
      <c r="AP336" s="579"/>
      <c r="AQ336" s="579"/>
      <c r="AR336" s="579"/>
      <c r="AS336" s="579"/>
      <c r="AT336" s="579"/>
      <c r="AU336" s="579"/>
      <c r="AV336" s="579"/>
      <c r="AW336" s="579"/>
      <c r="AX336" s="579"/>
      <c r="AY336" s="579"/>
      <c r="AZ336" s="579"/>
      <c r="BA336" s="579"/>
      <c r="BB336" s="579"/>
      <c r="BC336" s="579"/>
      <c r="BD336" s="579"/>
      <c r="BE336" s="579"/>
      <c r="BF336" s="579"/>
      <c r="BG336" s="579"/>
      <c r="BH336" s="579"/>
      <c r="BI336" s="579"/>
      <c r="BJ336" s="579"/>
      <c r="BK336" s="594"/>
      <c r="BL336" s="579"/>
      <c r="BM336" s="579"/>
      <c r="BN336" s="579"/>
      <c r="BO336" s="579"/>
      <c r="BP336" s="579"/>
      <c r="BQ336" s="579"/>
      <c r="BR336" s="579"/>
      <c r="BS336" s="579"/>
      <c r="BT336" s="579"/>
      <c r="BU336" s="579"/>
      <c r="BV336" s="579"/>
      <c r="BW336" s="579"/>
      <c r="BX336" s="579"/>
      <c r="BY336" s="579"/>
      <c r="BZ336" s="579"/>
      <c r="CA336" s="594"/>
      <c r="CB336" s="579"/>
      <c r="CC336" s="579"/>
      <c r="CD336" s="579"/>
      <c r="CE336" s="579"/>
      <c r="CF336" s="579"/>
      <c r="CG336" s="579"/>
      <c r="CH336" s="579"/>
      <c r="CI336" s="579"/>
      <c r="CJ336" s="579"/>
      <c r="CK336" s="579"/>
      <c r="CL336" s="579"/>
      <c r="CM336" s="579"/>
      <c r="CN336" s="579"/>
      <c r="CO336" s="579"/>
      <c r="CP336" s="579"/>
      <c r="CQ336" s="579"/>
      <c r="CR336" s="579"/>
      <c r="CS336" s="595"/>
      <c r="CT336" s="579"/>
      <c r="CU336" s="579"/>
      <c r="CV336" s="579"/>
      <c r="CW336" s="579"/>
      <c r="CX336" s="579"/>
      <c r="CY336" s="594">
        <f>+Q336</f>
        <v>0</v>
      </c>
      <c r="CZ336" s="579"/>
      <c r="DA336" s="579"/>
      <c r="DB336" s="579"/>
      <c r="DC336" s="579"/>
      <c r="DD336" s="579"/>
      <c r="DE336" s="579"/>
      <c r="DF336" s="579"/>
      <c r="DG336" s="579"/>
      <c r="DH336" s="579"/>
      <c r="DI336" s="579"/>
      <c r="DJ336" s="579"/>
      <c r="DK336" s="579"/>
      <c r="DL336" s="579"/>
      <c r="DM336" s="579"/>
      <c r="DN336" s="579"/>
      <c r="DO336" s="579"/>
      <c r="DP336" s="579"/>
    </row>
    <row r="337" spans="1:120" hidden="1" outlineLevel="1">
      <c r="A337" s="89">
        <v>1110052010</v>
      </c>
      <c r="B337" s="90"/>
      <c r="C337" s="1476" t="s">
        <v>64</v>
      </c>
      <c r="D337" s="1469"/>
      <c r="E337" s="1470"/>
      <c r="F337" s="420"/>
      <c r="G337" s="1256"/>
      <c r="H337" s="421"/>
      <c r="I337" s="422"/>
      <c r="J337" s="1425">
        <v>1</v>
      </c>
      <c r="K337" s="1426">
        <v>1</v>
      </c>
      <c r="L337" s="1043"/>
      <c r="M337" s="1594"/>
      <c r="N337" s="415"/>
      <c r="O337" s="424">
        <f t="shared" si="1001"/>
        <v>0</v>
      </c>
      <c r="P337" s="425"/>
      <c r="Q337" s="1340">
        <f t="shared" si="1009"/>
        <v>0</v>
      </c>
      <c r="R337" s="426"/>
      <c r="S337" s="426"/>
      <c r="T337" s="427">
        <f t="shared" si="1002"/>
        <v>0</v>
      </c>
      <c r="U337" s="418">
        <f t="shared" si="1003"/>
        <v>0</v>
      </c>
      <c r="V337" s="517">
        <f t="shared" si="1004"/>
        <v>0</v>
      </c>
      <c r="W337" s="428">
        <f t="shared" si="1005"/>
        <v>0</v>
      </c>
      <c r="X337" s="429">
        <f t="shared" si="1006"/>
        <v>0</v>
      </c>
      <c r="Y337" s="92"/>
      <c r="AA337" s="53"/>
      <c r="AB337" s="578"/>
      <c r="AC337" s="578"/>
      <c r="AD337" s="578"/>
      <c r="AE337" s="578"/>
      <c r="AF337" s="579"/>
      <c r="AG337" s="579"/>
      <c r="AH337" s="579"/>
      <c r="AI337" s="579"/>
      <c r="AJ337" s="579"/>
      <c r="AK337" s="579"/>
      <c r="AL337" s="1563"/>
      <c r="AM337" s="579"/>
      <c r="AN337" s="579"/>
      <c r="AO337" s="579"/>
      <c r="AP337" s="579"/>
      <c r="AQ337" s="579"/>
      <c r="AR337" s="579"/>
      <c r="AS337" s="579"/>
      <c r="AT337" s="579"/>
      <c r="AU337" s="579"/>
      <c r="AV337" s="579"/>
      <c r="AW337" s="579"/>
      <c r="AX337" s="579"/>
      <c r="AY337" s="579"/>
      <c r="AZ337" s="579"/>
      <c r="BA337" s="579"/>
      <c r="BB337" s="579"/>
      <c r="BC337" s="579"/>
      <c r="BD337" s="579"/>
      <c r="BE337" s="579"/>
      <c r="BF337" s="579"/>
      <c r="BG337" s="579"/>
      <c r="BH337" s="579"/>
      <c r="BI337" s="579"/>
      <c r="BJ337" s="579"/>
      <c r="BK337" s="594"/>
      <c r="BL337" s="579"/>
      <c r="BM337" s="579"/>
      <c r="BN337" s="579"/>
      <c r="BO337" s="579"/>
      <c r="BP337" s="579"/>
      <c r="BQ337" s="579"/>
      <c r="BR337" s="579"/>
      <c r="BS337" s="579"/>
      <c r="BT337" s="579"/>
      <c r="BU337" s="579"/>
      <c r="BV337" s="579"/>
      <c r="BW337" s="579"/>
      <c r="BX337" s="579"/>
      <c r="BY337" s="579"/>
      <c r="BZ337" s="579"/>
      <c r="CA337" s="594"/>
      <c r="CB337" s="579"/>
      <c r="CC337" s="579"/>
      <c r="CD337" s="579"/>
      <c r="CE337" s="579"/>
      <c r="CF337" s="579"/>
      <c r="CG337" s="579"/>
      <c r="CH337" s="579"/>
      <c r="CI337" s="579"/>
      <c r="CJ337" s="579"/>
      <c r="CK337" s="579"/>
      <c r="CL337" s="579"/>
      <c r="CM337" s="579"/>
      <c r="CN337" s="579"/>
      <c r="CO337" s="579"/>
      <c r="CP337" s="579"/>
      <c r="CQ337" s="579"/>
      <c r="CR337" s="579"/>
      <c r="CS337" s="595"/>
      <c r="CT337" s="579"/>
      <c r="CU337" s="579"/>
      <c r="CV337" s="579"/>
      <c r="CW337" s="579"/>
      <c r="CX337" s="579"/>
      <c r="CY337" s="594">
        <f>+Q337</f>
        <v>0</v>
      </c>
      <c r="CZ337" s="579"/>
      <c r="DA337" s="579"/>
      <c r="DB337" s="579"/>
      <c r="DC337" s="579"/>
      <c r="DD337" s="579"/>
      <c r="DE337" s="579"/>
      <c r="DF337" s="579"/>
      <c r="DG337" s="579"/>
      <c r="DH337" s="579"/>
      <c r="DI337" s="579"/>
      <c r="DJ337" s="579"/>
      <c r="DK337" s="579"/>
      <c r="DL337" s="579"/>
      <c r="DM337" s="579"/>
      <c r="DN337" s="579"/>
      <c r="DO337" s="579"/>
      <c r="DP337" s="579"/>
    </row>
    <row r="338" spans="1:120" hidden="1" outlineLevel="1">
      <c r="A338" s="89">
        <v>1110052010</v>
      </c>
      <c r="B338" s="90"/>
      <c r="C338" s="1476" t="s">
        <v>64</v>
      </c>
      <c r="D338" s="1469"/>
      <c r="E338" s="1470"/>
      <c r="F338" s="420"/>
      <c r="G338" s="1256"/>
      <c r="H338" s="421"/>
      <c r="I338" s="422"/>
      <c r="J338" s="1425">
        <v>1</v>
      </c>
      <c r="K338" s="1426">
        <v>1</v>
      </c>
      <c r="L338" s="1043"/>
      <c r="M338" s="1594"/>
      <c r="N338" s="415"/>
      <c r="O338" s="424">
        <f t="shared" ref="O338:O352" si="1017">+L338*N338</f>
        <v>0</v>
      </c>
      <c r="P338" s="425"/>
      <c r="Q338" s="1340">
        <f t="shared" ref="Q338:Q339" si="1018">+P338*K338</f>
        <v>0</v>
      </c>
      <c r="R338" s="426"/>
      <c r="S338" s="426"/>
      <c r="T338" s="427">
        <f t="shared" ref="T338:T352" si="1019">+P338*S338</f>
        <v>0</v>
      </c>
      <c r="U338" s="418">
        <f t="shared" ref="U338:U352" si="1020">+L338+P338+F338</f>
        <v>0</v>
      </c>
      <c r="V338" s="517">
        <f t="shared" ref="V338:V352" si="1021">+P338*R338+L338*N338+F338*H338</f>
        <v>0</v>
      </c>
      <c r="W338" s="428">
        <f t="shared" ref="W338:W352" si="1022">(IF(R338&gt;S338,(-P338*R338)-(-P338*S338),0))</f>
        <v>0</v>
      </c>
      <c r="X338" s="429">
        <f t="shared" ref="X338:X352" si="1023">(IF(R338&lt;S338,(-P338*R338)-(-P338*S338),0))</f>
        <v>0</v>
      </c>
      <c r="Y338" s="92"/>
      <c r="AA338" s="53"/>
      <c r="AB338" s="578"/>
      <c r="AC338" s="578"/>
      <c r="AD338" s="578"/>
      <c r="AE338" s="578"/>
      <c r="AF338" s="579"/>
      <c r="AG338" s="579"/>
      <c r="AH338" s="579"/>
      <c r="AI338" s="579"/>
      <c r="AJ338" s="579"/>
      <c r="AK338" s="579"/>
      <c r="AL338" s="1563"/>
      <c r="AM338" s="579"/>
      <c r="AN338" s="579"/>
      <c r="AO338" s="579"/>
      <c r="AP338" s="579"/>
      <c r="AQ338" s="579"/>
      <c r="AR338" s="579"/>
      <c r="AS338" s="579"/>
      <c r="AT338" s="579"/>
      <c r="AU338" s="579"/>
      <c r="AV338" s="579"/>
      <c r="AW338" s="579"/>
      <c r="AX338" s="579"/>
      <c r="AY338" s="579"/>
      <c r="AZ338" s="579"/>
      <c r="BA338" s="579"/>
      <c r="BB338" s="579"/>
      <c r="BC338" s="579"/>
      <c r="BD338" s="579"/>
      <c r="BE338" s="579"/>
      <c r="BF338" s="579"/>
      <c r="BG338" s="579"/>
      <c r="BH338" s="579"/>
      <c r="BI338" s="579"/>
      <c r="BJ338" s="579"/>
      <c r="BK338" s="594"/>
      <c r="BL338" s="579"/>
      <c r="BM338" s="579"/>
      <c r="BN338" s="579"/>
      <c r="BO338" s="579"/>
      <c r="BP338" s="579"/>
      <c r="BQ338" s="579"/>
      <c r="BR338" s="579"/>
      <c r="BS338" s="579"/>
      <c r="BT338" s="579"/>
      <c r="BU338" s="579"/>
      <c r="BV338" s="579"/>
      <c r="BW338" s="579"/>
      <c r="BX338" s="579"/>
      <c r="BY338" s="579"/>
      <c r="BZ338" s="579"/>
      <c r="CA338" s="594"/>
      <c r="CB338" s="579"/>
      <c r="CC338" s="579"/>
      <c r="CD338" s="579"/>
      <c r="CE338" s="579"/>
      <c r="CF338" s="579"/>
      <c r="CG338" s="579"/>
      <c r="CH338" s="579"/>
      <c r="CI338" s="579"/>
      <c r="CJ338" s="579"/>
      <c r="CK338" s="579"/>
      <c r="CL338" s="579"/>
      <c r="CM338" s="579"/>
      <c r="CN338" s="579"/>
      <c r="CO338" s="579"/>
      <c r="CP338" s="579"/>
      <c r="CQ338" s="579"/>
      <c r="CR338" s="579"/>
      <c r="CS338" s="595"/>
      <c r="CT338" s="579"/>
      <c r="CU338" s="579"/>
      <c r="CV338" s="579"/>
      <c r="CW338" s="579"/>
      <c r="CX338" s="579"/>
      <c r="CY338" s="594">
        <f>+Q338</f>
        <v>0</v>
      </c>
      <c r="CZ338" s="579"/>
      <c r="DA338" s="579"/>
      <c r="DB338" s="579"/>
      <c r="DC338" s="579"/>
      <c r="DD338" s="579"/>
      <c r="DE338" s="579"/>
      <c r="DF338" s="579"/>
      <c r="DG338" s="579"/>
      <c r="DH338" s="579"/>
      <c r="DI338" s="579"/>
      <c r="DJ338" s="579"/>
      <c r="DK338" s="579"/>
      <c r="DL338" s="579"/>
      <c r="DM338" s="579"/>
      <c r="DN338" s="579"/>
      <c r="DO338" s="579"/>
      <c r="DP338" s="579"/>
    </row>
    <row r="339" spans="1:120" hidden="1" outlineLevel="1">
      <c r="A339" s="89">
        <v>1110052010</v>
      </c>
      <c r="B339" s="90"/>
      <c r="C339" s="1476" t="s">
        <v>64</v>
      </c>
      <c r="D339" s="1469"/>
      <c r="E339" s="1470"/>
      <c r="F339" s="420"/>
      <c r="G339" s="1256"/>
      <c r="H339" s="421"/>
      <c r="I339" s="422"/>
      <c r="J339" s="1425">
        <v>1</v>
      </c>
      <c r="K339" s="1426">
        <v>1</v>
      </c>
      <c r="L339" s="1043"/>
      <c r="M339" s="1594"/>
      <c r="N339" s="415"/>
      <c r="O339" s="424">
        <f t="shared" si="1017"/>
        <v>0</v>
      </c>
      <c r="P339" s="425"/>
      <c r="Q339" s="1340">
        <f t="shared" si="1018"/>
        <v>0</v>
      </c>
      <c r="R339" s="426"/>
      <c r="S339" s="426"/>
      <c r="T339" s="427">
        <f t="shared" si="1019"/>
        <v>0</v>
      </c>
      <c r="U339" s="418">
        <f t="shared" si="1020"/>
        <v>0</v>
      </c>
      <c r="V339" s="517">
        <f t="shared" si="1021"/>
        <v>0</v>
      </c>
      <c r="W339" s="428">
        <f t="shared" si="1022"/>
        <v>0</v>
      </c>
      <c r="X339" s="429">
        <f t="shared" si="1023"/>
        <v>0</v>
      </c>
      <c r="Y339" s="92"/>
      <c r="AA339" s="53"/>
      <c r="AB339" s="578"/>
      <c r="AC339" s="578"/>
      <c r="AD339" s="578"/>
      <c r="AE339" s="578"/>
      <c r="AF339" s="579"/>
      <c r="AG339" s="579"/>
      <c r="AH339" s="579"/>
      <c r="AI339" s="579"/>
      <c r="AJ339" s="579"/>
      <c r="AK339" s="579"/>
      <c r="AL339" s="1563"/>
      <c r="AM339" s="579"/>
      <c r="AN339" s="579"/>
      <c r="AO339" s="579"/>
      <c r="AP339" s="579"/>
      <c r="AQ339" s="579"/>
      <c r="AR339" s="579"/>
      <c r="AS339" s="579"/>
      <c r="AT339" s="579"/>
      <c r="AU339" s="579"/>
      <c r="AV339" s="579"/>
      <c r="AW339" s="579"/>
      <c r="AX339" s="579"/>
      <c r="AY339" s="579"/>
      <c r="AZ339" s="579"/>
      <c r="BA339" s="579"/>
      <c r="BB339" s="579"/>
      <c r="BC339" s="579"/>
      <c r="BD339" s="579"/>
      <c r="BE339" s="579"/>
      <c r="BF339" s="579"/>
      <c r="BG339" s="579"/>
      <c r="BH339" s="579"/>
      <c r="BI339" s="579"/>
      <c r="BJ339" s="579"/>
      <c r="BK339" s="594"/>
      <c r="BL339" s="579"/>
      <c r="BM339" s="579"/>
      <c r="BN339" s="579"/>
      <c r="BO339" s="579"/>
      <c r="BP339" s="579"/>
      <c r="BQ339" s="579"/>
      <c r="BR339" s="579"/>
      <c r="BS339" s="579"/>
      <c r="BT339" s="579"/>
      <c r="BU339" s="579"/>
      <c r="BV339" s="579"/>
      <c r="BW339" s="579"/>
      <c r="BX339" s="579"/>
      <c r="BY339" s="579"/>
      <c r="BZ339" s="579"/>
      <c r="CA339" s="594"/>
      <c r="CB339" s="579"/>
      <c r="CC339" s="579"/>
      <c r="CD339" s="579"/>
      <c r="CE339" s="579"/>
      <c r="CF339" s="579"/>
      <c r="CG339" s="579"/>
      <c r="CH339" s="579"/>
      <c r="CI339" s="579"/>
      <c r="CJ339" s="579"/>
      <c r="CK339" s="579"/>
      <c r="CL339" s="579"/>
      <c r="CM339" s="579"/>
      <c r="CN339" s="579"/>
      <c r="CO339" s="579"/>
      <c r="CP339" s="579"/>
      <c r="CQ339" s="579"/>
      <c r="CR339" s="579"/>
      <c r="CS339" s="595"/>
      <c r="CT339" s="579"/>
      <c r="CU339" s="579"/>
      <c r="CV339" s="579"/>
      <c r="CW339" s="579"/>
      <c r="CX339" s="579"/>
      <c r="CY339" s="594">
        <f>+Q339</f>
        <v>0</v>
      </c>
      <c r="CZ339" s="579"/>
      <c r="DA339" s="579"/>
      <c r="DB339" s="579"/>
      <c r="DC339" s="579"/>
      <c r="DD339" s="579"/>
      <c r="DE339" s="579"/>
      <c r="DF339" s="579"/>
      <c r="DG339" s="579"/>
      <c r="DH339" s="579"/>
      <c r="DI339" s="579"/>
      <c r="DJ339" s="579"/>
      <c r="DK339" s="579"/>
      <c r="DL339" s="579"/>
      <c r="DM339" s="579"/>
      <c r="DN339" s="579"/>
      <c r="DO339" s="579"/>
      <c r="DP339" s="579"/>
    </row>
    <row r="340" spans="1:120" hidden="1" outlineLevel="1">
      <c r="A340" s="89">
        <v>1110052010</v>
      </c>
      <c r="B340" s="90"/>
      <c r="C340" s="1476" t="s">
        <v>64</v>
      </c>
      <c r="D340" s="1469"/>
      <c r="E340" s="1470"/>
      <c r="F340" s="420"/>
      <c r="G340" s="1256"/>
      <c r="H340" s="421"/>
      <c r="I340" s="422"/>
      <c r="J340" s="1425">
        <v>1</v>
      </c>
      <c r="K340" s="1426">
        <v>1</v>
      </c>
      <c r="L340" s="1043"/>
      <c r="M340" s="1594">
        <f t="shared" ref="M340" si="1024">+L340*J340</f>
        <v>0</v>
      </c>
      <c r="N340" s="415"/>
      <c r="O340" s="424">
        <f t="shared" si="1017"/>
        <v>0</v>
      </c>
      <c r="P340" s="425"/>
      <c r="Q340" s="1340"/>
      <c r="R340" s="426"/>
      <c r="S340" s="426"/>
      <c r="T340" s="427">
        <f t="shared" si="1019"/>
        <v>0</v>
      </c>
      <c r="U340" s="418">
        <f t="shared" si="1020"/>
        <v>0</v>
      </c>
      <c r="V340" s="517">
        <f t="shared" si="1021"/>
        <v>0</v>
      </c>
      <c r="W340" s="428">
        <f t="shared" si="1022"/>
        <v>0</v>
      </c>
      <c r="X340" s="429">
        <f t="shared" si="1023"/>
        <v>0</v>
      </c>
      <c r="Y340" s="92"/>
      <c r="AA340" s="53"/>
      <c r="AB340" s="578"/>
      <c r="AC340" s="578"/>
      <c r="AD340" s="578"/>
      <c r="AE340" s="578"/>
      <c r="AF340" s="579"/>
      <c r="AG340" s="579"/>
      <c r="AH340" s="579"/>
      <c r="AI340" s="579"/>
      <c r="AJ340" s="579"/>
      <c r="AK340" s="579"/>
      <c r="AL340" s="1563"/>
      <c r="AM340" s="579"/>
      <c r="AN340" s="579"/>
      <c r="AO340" s="579"/>
      <c r="AP340" s="579"/>
      <c r="AQ340" s="579"/>
      <c r="AR340" s="579"/>
      <c r="AS340" s="579"/>
      <c r="AT340" s="579"/>
      <c r="AU340" s="579"/>
      <c r="AV340" s="579"/>
      <c r="AW340" s="579"/>
      <c r="AX340" s="579"/>
      <c r="AY340" s="579"/>
      <c r="AZ340" s="579"/>
      <c r="BA340" s="579"/>
      <c r="BB340" s="579"/>
      <c r="BC340" s="579"/>
      <c r="BD340" s="579"/>
      <c r="BE340" s="579"/>
      <c r="BF340" s="579"/>
      <c r="BG340" s="579"/>
      <c r="BH340" s="579"/>
      <c r="BI340" s="579"/>
      <c r="BJ340" s="579"/>
      <c r="BK340" s="579"/>
      <c r="BL340" s="579"/>
      <c r="BM340" s="579"/>
      <c r="BN340" s="579"/>
      <c r="BO340" s="579"/>
      <c r="BP340" s="579"/>
      <c r="BQ340" s="579"/>
      <c r="BR340" s="579"/>
      <c r="BS340" s="579"/>
      <c r="BT340" s="579"/>
      <c r="BU340" s="579"/>
      <c r="BV340" s="579"/>
      <c r="BW340" s="579"/>
      <c r="BX340" s="579"/>
      <c r="BY340" s="579"/>
      <c r="BZ340" s="579"/>
      <c r="CA340" s="579"/>
      <c r="CB340" s="579"/>
      <c r="CC340" s="579"/>
      <c r="CD340" s="594"/>
      <c r="CE340" s="594"/>
      <c r="CF340" s="579"/>
      <c r="CG340" s="579"/>
      <c r="CH340" s="579"/>
      <c r="CI340" s="579"/>
      <c r="CJ340" s="579"/>
      <c r="CK340" s="579"/>
      <c r="CL340" s="579"/>
      <c r="CM340" s="579"/>
      <c r="CN340" s="579"/>
      <c r="CO340" s="579"/>
      <c r="CP340" s="579"/>
      <c r="CQ340" s="579"/>
      <c r="CR340" s="579"/>
      <c r="CS340" s="595"/>
      <c r="CT340" s="579"/>
      <c r="CU340" s="579"/>
      <c r="CV340" s="579"/>
      <c r="CW340" s="579"/>
      <c r="CX340" s="579"/>
      <c r="CY340" s="579"/>
      <c r="CZ340" s="579"/>
      <c r="DA340" s="594">
        <f>+M340</f>
        <v>0</v>
      </c>
      <c r="DB340" s="579"/>
      <c r="DC340" s="579"/>
      <c r="DD340" s="579"/>
      <c r="DE340" s="579"/>
      <c r="DF340" s="579"/>
      <c r="DG340" s="579"/>
      <c r="DH340" s="579"/>
      <c r="DI340" s="579"/>
      <c r="DJ340" s="579"/>
      <c r="DK340" s="579"/>
      <c r="DL340" s="579"/>
      <c r="DM340" s="579"/>
      <c r="DN340" s="579"/>
      <c r="DO340" s="579"/>
      <c r="DP340" s="579"/>
    </row>
    <row r="341" spans="1:120" hidden="1" outlineLevel="1">
      <c r="A341" s="89">
        <v>1110052010</v>
      </c>
      <c r="B341" s="90"/>
      <c r="C341" s="1476" t="s">
        <v>64</v>
      </c>
      <c r="D341" s="1469"/>
      <c r="E341" s="1470"/>
      <c r="F341" s="420"/>
      <c r="G341" s="1256"/>
      <c r="H341" s="421"/>
      <c r="I341" s="422"/>
      <c r="J341" s="1425">
        <v>1</v>
      </c>
      <c r="K341" s="1426">
        <v>1</v>
      </c>
      <c r="L341" s="1043"/>
      <c r="M341" s="1594"/>
      <c r="N341" s="415"/>
      <c r="O341" s="424">
        <f t="shared" si="1017"/>
        <v>0</v>
      </c>
      <c r="P341" s="425"/>
      <c r="Q341" s="1340">
        <f t="shared" ref="Q341" si="1025">+P341*K341</f>
        <v>0</v>
      </c>
      <c r="R341" s="426"/>
      <c r="S341" s="426"/>
      <c r="T341" s="427">
        <f t="shared" si="1019"/>
        <v>0</v>
      </c>
      <c r="U341" s="418">
        <f t="shared" si="1020"/>
        <v>0</v>
      </c>
      <c r="V341" s="517">
        <f t="shared" si="1021"/>
        <v>0</v>
      </c>
      <c r="W341" s="428">
        <f t="shared" si="1022"/>
        <v>0</v>
      </c>
      <c r="X341" s="429">
        <f t="shared" si="1023"/>
        <v>0</v>
      </c>
      <c r="Y341" s="92"/>
      <c r="AA341" s="53"/>
      <c r="AB341" s="578"/>
      <c r="AC341" s="578"/>
      <c r="AD341" s="578"/>
      <c r="AE341" s="578"/>
      <c r="AF341" s="579"/>
      <c r="AG341" s="579"/>
      <c r="AH341" s="579"/>
      <c r="AI341" s="579"/>
      <c r="AJ341" s="579"/>
      <c r="AK341" s="579"/>
      <c r="AL341" s="1563"/>
      <c r="AM341" s="579"/>
      <c r="AN341" s="579"/>
      <c r="AO341" s="579"/>
      <c r="AP341" s="579"/>
      <c r="AQ341" s="579"/>
      <c r="AR341" s="579"/>
      <c r="AS341" s="579"/>
      <c r="AT341" s="579"/>
      <c r="AU341" s="579"/>
      <c r="AV341" s="579"/>
      <c r="AW341" s="579"/>
      <c r="AX341" s="579"/>
      <c r="AY341" s="579"/>
      <c r="AZ341" s="579"/>
      <c r="BA341" s="579"/>
      <c r="BB341" s="579"/>
      <c r="BC341" s="579"/>
      <c r="BD341" s="579"/>
      <c r="BE341" s="579"/>
      <c r="BF341" s="579"/>
      <c r="BG341" s="579"/>
      <c r="BH341" s="579"/>
      <c r="BI341" s="579"/>
      <c r="BJ341" s="579"/>
      <c r="BK341" s="594"/>
      <c r="BL341" s="579"/>
      <c r="BM341" s="579"/>
      <c r="BN341" s="579"/>
      <c r="BO341" s="579"/>
      <c r="BP341" s="579"/>
      <c r="BQ341" s="579"/>
      <c r="BR341" s="579"/>
      <c r="BS341" s="579"/>
      <c r="BT341" s="579"/>
      <c r="BU341" s="579"/>
      <c r="BV341" s="579"/>
      <c r="BW341" s="579"/>
      <c r="BX341" s="579"/>
      <c r="BY341" s="579"/>
      <c r="BZ341" s="579"/>
      <c r="CA341" s="594"/>
      <c r="CB341" s="579"/>
      <c r="CC341" s="579"/>
      <c r="CD341" s="579"/>
      <c r="CE341" s="579"/>
      <c r="CF341" s="579"/>
      <c r="CG341" s="579"/>
      <c r="CH341" s="579"/>
      <c r="CI341" s="579"/>
      <c r="CJ341" s="579"/>
      <c r="CK341" s="579"/>
      <c r="CL341" s="579"/>
      <c r="CM341" s="579"/>
      <c r="CN341" s="579"/>
      <c r="CO341" s="579"/>
      <c r="CP341" s="579"/>
      <c r="CQ341" s="579"/>
      <c r="CR341" s="579"/>
      <c r="CS341" s="595"/>
      <c r="CT341" s="579"/>
      <c r="CU341" s="579"/>
      <c r="CV341" s="579"/>
      <c r="CW341" s="579"/>
      <c r="CX341" s="579"/>
      <c r="CY341" s="594">
        <f>+Q341</f>
        <v>0</v>
      </c>
      <c r="CZ341" s="579"/>
      <c r="DA341" s="579"/>
      <c r="DB341" s="579"/>
      <c r="DC341" s="579"/>
      <c r="DD341" s="579"/>
      <c r="DE341" s="579"/>
      <c r="DF341" s="579"/>
      <c r="DG341" s="579"/>
      <c r="DH341" s="579"/>
      <c r="DI341" s="579"/>
      <c r="DJ341" s="579"/>
      <c r="DK341" s="579"/>
      <c r="DL341" s="579"/>
      <c r="DM341" s="579"/>
      <c r="DN341" s="579"/>
      <c r="DO341" s="579"/>
      <c r="DP341" s="579"/>
    </row>
    <row r="342" spans="1:120" hidden="1" outlineLevel="1">
      <c r="A342" s="89">
        <v>1110052010</v>
      </c>
      <c r="B342" s="90"/>
      <c r="C342" s="1476" t="s">
        <v>64</v>
      </c>
      <c r="D342" s="1469"/>
      <c r="E342" s="1470"/>
      <c r="F342" s="420"/>
      <c r="G342" s="1256"/>
      <c r="H342" s="421"/>
      <c r="I342" s="422"/>
      <c r="J342" s="1425">
        <v>1</v>
      </c>
      <c r="K342" s="1426">
        <v>1</v>
      </c>
      <c r="L342" s="1043"/>
      <c r="M342" s="1594">
        <f t="shared" ref="M342" si="1026">+L342*J342</f>
        <v>0</v>
      </c>
      <c r="N342" s="415"/>
      <c r="O342" s="424">
        <f t="shared" si="1017"/>
        <v>0</v>
      </c>
      <c r="P342" s="425"/>
      <c r="Q342" s="1340"/>
      <c r="R342" s="426"/>
      <c r="S342" s="426"/>
      <c r="T342" s="427">
        <f t="shared" si="1019"/>
        <v>0</v>
      </c>
      <c r="U342" s="418">
        <f t="shared" si="1020"/>
        <v>0</v>
      </c>
      <c r="V342" s="517">
        <f t="shared" si="1021"/>
        <v>0</v>
      </c>
      <c r="W342" s="428">
        <f t="shared" si="1022"/>
        <v>0</v>
      </c>
      <c r="X342" s="429">
        <f t="shared" si="1023"/>
        <v>0</v>
      </c>
      <c r="Y342" s="92"/>
      <c r="AA342" s="53"/>
      <c r="AB342" s="578"/>
      <c r="AC342" s="578"/>
      <c r="AD342" s="578"/>
      <c r="AE342" s="578"/>
      <c r="AF342" s="579"/>
      <c r="AG342" s="579"/>
      <c r="AH342" s="579"/>
      <c r="AI342" s="579"/>
      <c r="AJ342" s="579"/>
      <c r="AK342" s="579"/>
      <c r="AL342" s="1563"/>
      <c r="AM342" s="579"/>
      <c r="AN342" s="579"/>
      <c r="AO342" s="579"/>
      <c r="AP342" s="579"/>
      <c r="AQ342" s="579"/>
      <c r="AR342" s="579"/>
      <c r="AS342" s="579"/>
      <c r="AT342" s="579"/>
      <c r="AU342" s="579"/>
      <c r="AV342" s="579"/>
      <c r="AW342" s="579"/>
      <c r="AX342" s="579"/>
      <c r="AY342" s="579"/>
      <c r="AZ342" s="579"/>
      <c r="BA342" s="579"/>
      <c r="BB342" s="579"/>
      <c r="BC342" s="579"/>
      <c r="BD342" s="579"/>
      <c r="BE342" s="579"/>
      <c r="BF342" s="579"/>
      <c r="BG342" s="579"/>
      <c r="BH342" s="579"/>
      <c r="BI342" s="579"/>
      <c r="BJ342" s="579"/>
      <c r="BK342" s="594"/>
      <c r="BL342" s="579"/>
      <c r="BM342" s="579"/>
      <c r="BN342" s="579"/>
      <c r="BO342" s="579"/>
      <c r="BP342" s="579"/>
      <c r="BQ342" s="579"/>
      <c r="BR342" s="579"/>
      <c r="BS342" s="579"/>
      <c r="BT342" s="579"/>
      <c r="BU342" s="579"/>
      <c r="BV342" s="579"/>
      <c r="BW342" s="579"/>
      <c r="BX342" s="579"/>
      <c r="BY342" s="579"/>
      <c r="BZ342" s="579"/>
      <c r="CA342" s="594"/>
      <c r="CB342" s="579"/>
      <c r="CC342" s="579"/>
      <c r="CD342" s="579"/>
      <c r="CE342" s="579"/>
      <c r="CF342" s="579"/>
      <c r="CG342" s="579"/>
      <c r="CH342" s="579"/>
      <c r="CI342" s="579"/>
      <c r="CJ342" s="579"/>
      <c r="CK342" s="579"/>
      <c r="CL342" s="579"/>
      <c r="CM342" s="579"/>
      <c r="CN342" s="579"/>
      <c r="CO342" s="579"/>
      <c r="CP342" s="579"/>
      <c r="CQ342" s="579"/>
      <c r="CR342" s="579"/>
      <c r="CS342" s="595"/>
      <c r="CT342" s="579"/>
      <c r="CU342" s="579"/>
      <c r="CV342" s="579"/>
      <c r="CW342" s="579"/>
      <c r="CX342" s="579"/>
      <c r="CY342" s="594"/>
      <c r="CZ342" s="579"/>
      <c r="DA342" s="579"/>
      <c r="DB342" s="594">
        <f>+M342</f>
        <v>0</v>
      </c>
      <c r="DC342" s="579"/>
      <c r="DD342" s="579"/>
      <c r="DE342" s="579"/>
      <c r="DF342" s="579"/>
      <c r="DG342" s="579"/>
      <c r="DH342" s="579"/>
      <c r="DI342" s="579"/>
      <c r="DJ342" s="579"/>
      <c r="DK342" s="579"/>
      <c r="DL342" s="579"/>
      <c r="DM342" s="579"/>
      <c r="DN342" s="579"/>
      <c r="DO342" s="579"/>
      <c r="DP342" s="579"/>
    </row>
    <row r="343" spans="1:120" hidden="1" outlineLevel="1">
      <c r="A343" s="89">
        <v>1110052010</v>
      </c>
      <c r="B343" s="90"/>
      <c r="C343" s="1476" t="s">
        <v>64</v>
      </c>
      <c r="D343" s="1469"/>
      <c r="E343" s="1470"/>
      <c r="F343" s="420"/>
      <c r="G343" s="1256"/>
      <c r="H343" s="421"/>
      <c r="I343" s="422"/>
      <c r="J343" s="1425">
        <v>1</v>
      </c>
      <c r="K343" s="1426">
        <v>1</v>
      </c>
      <c r="L343" s="1043"/>
      <c r="M343" s="1594"/>
      <c r="N343" s="415"/>
      <c r="O343" s="424">
        <f t="shared" si="1017"/>
        <v>0</v>
      </c>
      <c r="P343" s="425"/>
      <c r="Q343" s="1340">
        <f t="shared" ref="Q343:Q354" si="1027">+P343*K343</f>
        <v>0</v>
      </c>
      <c r="R343" s="426"/>
      <c r="S343" s="426"/>
      <c r="T343" s="427">
        <f t="shared" si="1019"/>
        <v>0</v>
      </c>
      <c r="U343" s="418">
        <f t="shared" si="1020"/>
        <v>0</v>
      </c>
      <c r="V343" s="517">
        <f t="shared" si="1021"/>
        <v>0</v>
      </c>
      <c r="W343" s="428">
        <f t="shared" si="1022"/>
        <v>0</v>
      </c>
      <c r="X343" s="429">
        <f t="shared" si="1023"/>
        <v>0</v>
      </c>
      <c r="Y343" s="92"/>
      <c r="AA343" s="53"/>
      <c r="AB343" s="578"/>
      <c r="AC343" s="578"/>
      <c r="AD343" s="578"/>
      <c r="AE343" s="578"/>
      <c r="AF343" s="579"/>
      <c r="AG343" s="579"/>
      <c r="AH343" s="579"/>
      <c r="AI343" s="579"/>
      <c r="AJ343" s="579"/>
      <c r="AK343" s="579"/>
      <c r="AL343" s="1563"/>
      <c r="AM343" s="579"/>
      <c r="AN343" s="579"/>
      <c r="AO343" s="579"/>
      <c r="AP343" s="579"/>
      <c r="AQ343" s="579"/>
      <c r="AR343" s="579"/>
      <c r="AS343" s="579"/>
      <c r="AT343" s="579"/>
      <c r="AU343" s="579"/>
      <c r="AV343" s="579"/>
      <c r="AW343" s="579"/>
      <c r="AX343" s="579"/>
      <c r="AY343" s="579"/>
      <c r="AZ343" s="579"/>
      <c r="BA343" s="579"/>
      <c r="BB343" s="579"/>
      <c r="BC343" s="579"/>
      <c r="BD343" s="579"/>
      <c r="BE343" s="579"/>
      <c r="BF343" s="579"/>
      <c r="BG343" s="579"/>
      <c r="BH343" s="579"/>
      <c r="BI343" s="579"/>
      <c r="BJ343" s="579"/>
      <c r="BK343" s="594"/>
      <c r="BL343" s="579"/>
      <c r="BM343" s="579"/>
      <c r="BN343" s="579"/>
      <c r="BO343" s="579"/>
      <c r="BP343" s="579"/>
      <c r="BQ343" s="579"/>
      <c r="BR343" s="579"/>
      <c r="BS343" s="579"/>
      <c r="BT343" s="579"/>
      <c r="BU343" s="579"/>
      <c r="BV343" s="579"/>
      <c r="BW343" s="579"/>
      <c r="BX343" s="579"/>
      <c r="BY343" s="579"/>
      <c r="BZ343" s="579"/>
      <c r="CA343" s="594"/>
      <c r="CB343" s="579"/>
      <c r="CC343" s="579"/>
      <c r="CD343" s="579"/>
      <c r="CE343" s="579"/>
      <c r="CF343" s="579"/>
      <c r="CG343" s="579"/>
      <c r="CH343" s="579"/>
      <c r="CI343" s="579"/>
      <c r="CJ343" s="579"/>
      <c r="CK343" s="579"/>
      <c r="CL343" s="579"/>
      <c r="CM343" s="579"/>
      <c r="CN343" s="579"/>
      <c r="CO343" s="579"/>
      <c r="CP343" s="579"/>
      <c r="CQ343" s="579"/>
      <c r="CR343" s="579"/>
      <c r="CS343" s="595"/>
      <c r="CT343" s="579"/>
      <c r="CU343" s="579"/>
      <c r="CV343" s="579"/>
      <c r="CW343" s="579"/>
      <c r="CX343" s="579"/>
      <c r="CY343" s="594">
        <f>+Q343</f>
        <v>0</v>
      </c>
      <c r="CZ343" s="579"/>
      <c r="DA343" s="579"/>
      <c r="DB343" s="579"/>
      <c r="DC343" s="579"/>
      <c r="DD343" s="579"/>
      <c r="DE343" s="579"/>
      <c r="DF343" s="579"/>
      <c r="DG343" s="579"/>
      <c r="DH343" s="579"/>
      <c r="DI343" s="579"/>
      <c r="DJ343" s="579"/>
      <c r="DK343" s="579"/>
      <c r="DL343" s="579"/>
      <c r="DM343" s="579"/>
      <c r="DN343" s="579"/>
      <c r="DO343" s="579"/>
      <c r="DP343" s="579"/>
    </row>
    <row r="344" spans="1:120" hidden="1" outlineLevel="1">
      <c r="A344" s="89">
        <v>1110052010</v>
      </c>
      <c r="B344" s="90"/>
      <c r="C344" s="1476" t="s">
        <v>64</v>
      </c>
      <c r="D344" s="1469"/>
      <c r="E344" s="1470"/>
      <c r="F344" s="420"/>
      <c r="G344" s="1256"/>
      <c r="H344" s="421"/>
      <c r="I344" s="422"/>
      <c r="J344" s="1425">
        <v>1</v>
      </c>
      <c r="K344" s="1426">
        <v>1</v>
      </c>
      <c r="L344" s="1043"/>
      <c r="M344" s="1594"/>
      <c r="N344" s="415"/>
      <c r="O344" s="424">
        <f t="shared" ref="O344:O345" si="1028">+L344*N344</f>
        <v>0</v>
      </c>
      <c r="P344" s="425"/>
      <c r="Q344" s="1340">
        <f t="shared" ref="Q344:Q345" si="1029">+P344*K344</f>
        <v>0</v>
      </c>
      <c r="R344" s="426"/>
      <c r="S344" s="426"/>
      <c r="T344" s="427">
        <f t="shared" ref="T344:T345" si="1030">+P344*S344</f>
        <v>0</v>
      </c>
      <c r="U344" s="418">
        <f t="shared" ref="U344:U345" si="1031">+L344+P344+F344</f>
        <v>0</v>
      </c>
      <c r="V344" s="517">
        <f t="shared" ref="V344:V345" si="1032">+P344*R344+L344*N344+F344*H344</f>
        <v>0</v>
      </c>
      <c r="W344" s="428">
        <f t="shared" ref="W344:W345" si="1033">(IF(R344&gt;S344,(-P344*R344)-(-P344*S344),0))</f>
        <v>0</v>
      </c>
      <c r="X344" s="429">
        <f t="shared" ref="X344:X345" si="1034">(IF(R344&lt;S344,(-P344*R344)-(-P344*S344),0))</f>
        <v>0</v>
      </c>
      <c r="Y344" s="92"/>
      <c r="AA344" s="53"/>
      <c r="AB344" s="578"/>
      <c r="AC344" s="578"/>
      <c r="AD344" s="578"/>
      <c r="AE344" s="578"/>
      <c r="AF344" s="579"/>
      <c r="AG344" s="579"/>
      <c r="AH344" s="579"/>
      <c r="AI344" s="579"/>
      <c r="AJ344" s="579"/>
      <c r="AK344" s="579"/>
      <c r="AL344" s="1563"/>
      <c r="AM344" s="579"/>
      <c r="AN344" s="579"/>
      <c r="AO344" s="579"/>
      <c r="AP344" s="579"/>
      <c r="AQ344" s="579"/>
      <c r="AR344" s="579"/>
      <c r="AS344" s="579"/>
      <c r="AT344" s="579"/>
      <c r="AU344" s="579"/>
      <c r="AV344" s="579"/>
      <c r="AW344" s="579"/>
      <c r="AX344" s="579"/>
      <c r="AY344" s="579"/>
      <c r="AZ344" s="579"/>
      <c r="BA344" s="579"/>
      <c r="BB344" s="579"/>
      <c r="BC344" s="579"/>
      <c r="BD344" s="579"/>
      <c r="BE344" s="579"/>
      <c r="BF344" s="579"/>
      <c r="BG344" s="579"/>
      <c r="BH344" s="579"/>
      <c r="BI344" s="579"/>
      <c r="BJ344" s="579"/>
      <c r="BK344" s="594"/>
      <c r="BL344" s="579"/>
      <c r="BM344" s="579"/>
      <c r="BN344" s="579"/>
      <c r="BO344" s="579"/>
      <c r="BP344" s="579"/>
      <c r="BQ344" s="579"/>
      <c r="BR344" s="579"/>
      <c r="BS344" s="579"/>
      <c r="BT344" s="579"/>
      <c r="BU344" s="579"/>
      <c r="BV344" s="579"/>
      <c r="BW344" s="579"/>
      <c r="BX344" s="579"/>
      <c r="BY344" s="579"/>
      <c r="BZ344" s="579"/>
      <c r="CA344" s="594"/>
      <c r="CB344" s="579"/>
      <c r="CC344" s="579"/>
      <c r="CD344" s="579"/>
      <c r="CE344" s="579"/>
      <c r="CF344" s="579"/>
      <c r="CG344" s="579"/>
      <c r="CH344" s="579"/>
      <c r="CI344" s="579"/>
      <c r="CJ344" s="579"/>
      <c r="CK344" s="579"/>
      <c r="CL344" s="579"/>
      <c r="CM344" s="579"/>
      <c r="CN344" s="579"/>
      <c r="CO344" s="579"/>
      <c r="CP344" s="579"/>
      <c r="CQ344" s="579"/>
      <c r="CR344" s="579"/>
      <c r="CS344" s="595"/>
      <c r="CT344" s="579"/>
      <c r="CU344" s="579"/>
      <c r="CV344" s="579"/>
      <c r="CW344" s="579"/>
      <c r="CX344" s="579"/>
      <c r="CY344" s="594"/>
      <c r="CZ344" s="579"/>
      <c r="DA344" s="594">
        <f>+Q344</f>
        <v>0</v>
      </c>
      <c r="DB344" s="579"/>
      <c r="DC344" s="579"/>
      <c r="DD344" s="579"/>
      <c r="DE344" s="579"/>
      <c r="DF344" s="579"/>
      <c r="DG344" s="579"/>
      <c r="DH344" s="579"/>
      <c r="DI344" s="579"/>
      <c r="DJ344" s="579"/>
      <c r="DK344" s="579"/>
      <c r="DL344" s="579"/>
      <c r="DM344" s="579"/>
      <c r="DN344" s="579"/>
      <c r="DO344" s="579"/>
      <c r="DP344" s="579"/>
    </row>
    <row r="345" spans="1:120" hidden="1" outlineLevel="1">
      <c r="A345" s="89">
        <v>1110052010</v>
      </c>
      <c r="B345" s="90"/>
      <c r="C345" s="1476" t="s">
        <v>64</v>
      </c>
      <c r="D345" s="1469"/>
      <c r="E345" s="1470"/>
      <c r="F345" s="420"/>
      <c r="G345" s="1256"/>
      <c r="H345" s="421"/>
      <c r="I345" s="422"/>
      <c r="J345" s="1425">
        <v>1</v>
      </c>
      <c r="K345" s="1426">
        <v>1</v>
      </c>
      <c r="L345" s="1043"/>
      <c r="M345" s="1594"/>
      <c r="N345" s="415"/>
      <c r="O345" s="424">
        <f t="shared" si="1028"/>
        <v>0</v>
      </c>
      <c r="P345" s="425"/>
      <c r="Q345" s="1340">
        <f t="shared" si="1029"/>
        <v>0</v>
      </c>
      <c r="R345" s="426"/>
      <c r="S345" s="426"/>
      <c r="T345" s="427">
        <f t="shared" si="1030"/>
        <v>0</v>
      </c>
      <c r="U345" s="418">
        <f t="shared" si="1031"/>
        <v>0</v>
      </c>
      <c r="V345" s="517">
        <f t="shared" si="1032"/>
        <v>0</v>
      </c>
      <c r="W345" s="428">
        <f t="shared" si="1033"/>
        <v>0</v>
      </c>
      <c r="X345" s="429">
        <f t="shared" si="1034"/>
        <v>0</v>
      </c>
      <c r="Y345" s="92"/>
      <c r="AA345" s="53"/>
      <c r="AB345" s="578"/>
      <c r="AC345" s="578"/>
      <c r="AD345" s="578"/>
      <c r="AE345" s="578"/>
      <c r="AF345" s="579"/>
      <c r="AG345" s="579"/>
      <c r="AH345" s="579"/>
      <c r="AI345" s="579"/>
      <c r="AJ345" s="579"/>
      <c r="AK345" s="579"/>
      <c r="AL345" s="1563"/>
      <c r="AM345" s="579"/>
      <c r="AN345" s="579"/>
      <c r="AO345" s="579"/>
      <c r="AP345" s="579"/>
      <c r="AQ345" s="579"/>
      <c r="AR345" s="579"/>
      <c r="AS345" s="579"/>
      <c r="AT345" s="579"/>
      <c r="AU345" s="579"/>
      <c r="AV345" s="579"/>
      <c r="AW345" s="579"/>
      <c r="AX345" s="579"/>
      <c r="AY345" s="579"/>
      <c r="AZ345" s="579"/>
      <c r="BA345" s="579"/>
      <c r="BB345" s="579"/>
      <c r="BC345" s="579"/>
      <c r="BD345" s="579"/>
      <c r="BE345" s="579"/>
      <c r="BF345" s="579"/>
      <c r="BG345" s="579"/>
      <c r="BH345" s="579"/>
      <c r="BI345" s="579"/>
      <c r="BJ345" s="579"/>
      <c r="BK345" s="594"/>
      <c r="BL345" s="579"/>
      <c r="BM345" s="579"/>
      <c r="BN345" s="579"/>
      <c r="BO345" s="579"/>
      <c r="BP345" s="579"/>
      <c r="BQ345" s="579"/>
      <c r="BR345" s="579"/>
      <c r="BS345" s="579"/>
      <c r="BT345" s="579"/>
      <c r="BU345" s="579"/>
      <c r="BV345" s="579"/>
      <c r="BW345" s="579"/>
      <c r="BX345" s="579"/>
      <c r="BY345" s="579"/>
      <c r="BZ345" s="579"/>
      <c r="CA345" s="594"/>
      <c r="CB345" s="579"/>
      <c r="CC345" s="579"/>
      <c r="CD345" s="579"/>
      <c r="CE345" s="579"/>
      <c r="CF345" s="579"/>
      <c r="CG345" s="579"/>
      <c r="CH345" s="579"/>
      <c r="CI345" s="579"/>
      <c r="CJ345" s="579"/>
      <c r="CK345" s="579"/>
      <c r="CL345" s="579"/>
      <c r="CM345" s="579"/>
      <c r="CN345" s="579"/>
      <c r="CO345" s="579"/>
      <c r="CP345" s="579"/>
      <c r="CQ345" s="579"/>
      <c r="CR345" s="579"/>
      <c r="CS345" s="595"/>
      <c r="CT345" s="579"/>
      <c r="CU345" s="579"/>
      <c r="CV345" s="579"/>
      <c r="CW345" s="579"/>
      <c r="CX345" s="579"/>
      <c r="CY345" s="594"/>
      <c r="CZ345" s="579"/>
      <c r="DA345" s="579"/>
      <c r="DB345" s="594">
        <f>+Q345</f>
        <v>0</v>
      </c>
      <c r="DC345" s="579"/>
      <c r="DD345" s="579"/>
      <c r="DE345" s="579"/>
      <c r="DF345" s="579"/>
      <c r="DG345" s="579"/>
      <c r="DH345" s="579"/>
      <c r="DI345" s="579"/>
      <c r="DJ345" s="579"/>
      <c r="DK345" s="579"/>
      <c r="DL345" s="579"/>
      <c r="DM345" s="579"/>
      <c r="DN345" s="579"/>
      <c r="DO345" s="579"/>
      <c r="DP345" s="579"/>
    </row>
    <row r="346" spans="1:120" hidden="1" outlineLevel="1">
      <c r="A346" s="89">
        <v>1110052010</v>
      </c>
      <c r="B346" s="90"/>
      <c r="C346" s="1476" t="s">
        <v>64</v>
      </c>
      <c r="D346" s="1469"/>
      <c r="E346" s="1470"/>
      <c r="F346" s="420"/>
      <c r="G346" s="1256"/>
      <c r="H346" s="421"/>
      <c r="I346" s="422"/>
      <c r="J346" s="1425">
        <v>1</v>
      </c>
      <c r="K346" s="1426">
        <v>1</v>
      </c>
      <c r="L346" s="1043"/>
      <c r="M346" s="1594"/>
      <c r="N346" s="415"/>
      <c r="O346" s="424">
        <f t="shared" ref="O346:O349" si="1035">+L346*N346</f>
        <v>0</v>
      </c>
      <c r="P346" s="425"/>
      <c r="Q346" s="1340">
        <f t="shared" ref="Q346:Q349" si="1036">+P346*K346</f>
        <v>0</v>
      </c>
      <c r="R346" s="426"/>
      <c r="S346" s="426"/>
      <c r="T346" s="427">
        <f t="shared" ref="T346:T349" si="1037">+P346*S346</f>
        <v>0</v>
      </c>
      <c r="U346" s="418">
        <f t="shared" ref="U346:U349" si="1038">+L346+P346+F346</f>
        <v>0</v>
      </c>
      <c r="V346" s="517">
        <f t="shared" ref="V346:V349" si="1039">+P346*R346+L346*N346+F346*H346</f>
        <v>0</v>
      </c>
      <c r="W346" s="428">
        <f t="shared" ref="W346:W349" si="1040">(IF(R346&gt;S346,(-P346*R346)-(-P346*S346),0))</f>
        <v>0</v>
      </c>
      <c r="X346" s="429">
        <f t="shared" ref="X346:X349" si="1041">(IF(R346&lt;S346,(-P346*R346)-(-P346*S346),0))</f>
        <v>0</v>
      </c>
      <c r="Y346" s="92"/>
      <c r="AA346" s="53"/>
      <c r="AB346" s="578"/>
      <c r="AC346" s="578"/>
      <c r="AD346" s="578"/>
      <c r="AE346" s="578"/>
      <c r="AF346" s="579"/>
      <c r="AG346" s="579"/>
      <c r="AH346" s="579"/>
      <c r="AI346" s="579"/>
      <c r="AJ346" s="579"/>
      <c r="AK346" s="579"/>
      <c r="AL346" s="2156">
        <f>+Q346</f>
        <v>0</v>
      </c>
      <c r="AM346" s="579"/>
      <c r="AN346" s="579"/>
      <c r="AO346" s="579"/>
      <c r="AP346" s="579"/>
      <c r="AQ346" s="579"/>
      <c r="AR346" s="579"/>
      <c r="AS346" s="579"/>
      <c r="AT346" s="579"/>
      <c r="AU346" s="579"/>
      <c r="AV346" s="579"/>
      <c r="AW346" s="579"/>
      <c r="AX346" s="579"/>
      <c r="AY346" s="579"/>
      <c r="AZ346" s="579"/>
      <c r="BA346" s="579"/>
      <c r="BB346" s="579"/>
      <c r="BC346" s="579"/>
      <c r="BD346" s="579"/>
      <c r="BE346" s="579"/>
      <c r="BF346" s="579"/>
      <c r="BG346" s="579"/>
      <c r="BH346" s="579"/>
      <c r="BI346" s="579"/>
      <c r="BJ346" s="579"/>
      <c r="BK346" s="594"/>
      <c r="BL346" s="579"/>
      <c r="BM346" s="579"/>
      <c r="BN346" s="579"/>
      <c r="BO346" s="579"/>
      <c r="BP346" s="579"/>
      <c r="BQ346" s="579"/>
      <c r="BR346" s="579"/>
      <c r="BS346" s="579"/>
      <c r="BT346" s="579"/>
      <c r="BU346" s="579"/>
      <c r="BV346" s="579"/>
      <c r="BW346" s="579"/>
      <c r="BX346" s="579"/>
      <c r="BY346" s="579"/>
      <c r="BZ346" s="579"/>
      <c r="CA346" s="594"/>
      <c r="CB346" s="579"/>
      <c r="CC346" s="579"/>
      <c r="CD346" s="579"/>
      <c r="CE346" s="579"/>
      <c r="CF346" s="579"/>
      <c r="CG346" s="579"/>
      <c r="CH346" s="579"/>
      <c r="CI346" s="579"/>
      <c r="CJ346" s="579"/>
      <c r="CK346" s="579"/>
      <c r="CL346" s="579"/>
      <c r="CM346" s="579"/>
      <c r="CN346" s="579"/>
      <c r="CO346" s="579"/>
      <c r="CP346" s="579"/>
      <c r="CQ346" s="579"/>
      <c r="CR346" s="579"/>
      <c r="CS346" s="595"/>
      <c r="CT346" s="579"/>
      <c r="CU346" s="579"/>
      <c r="CV346" s="579"/>
      <c r="CW346" s="579"/>
      <c r="CX346" s="579"/>
      <c r="CY346" s="594"/>
      <c r="CZ346" s="579"/>
      <c r="DA346" s="579"/>
      <c r="DB346" s="579"/>
      <c r="DC346" s="579"/>
      <c r="DD346" s="579"/>
      <c r="DE346" s="579"/>
      <c r="DF346" s="579"/>
      <c r="DG346" s="579"/>
      <c r="DH346" s="579"/>
      <c r="DI346" s="579"/>
      <c r="DJ346" s="579"/>
      <c r="DK346" s="579"/>
      <c r="DL346" s="579"/>
      <c r="DM346" s="579"/>
      <c r="DN346" s="579"/>
      <c r="DO346" s="579"/>
      <c r="DP346" s="579"/>
    </row>
    <row r="347" spans="1:120" hidden="1" outlineLevel="1">
      <c r="A347" s="89">
        <v>1110052010</v>
      </c>
      <c r="B347" s="90"/>
      <c r="C347" s="1476" t="s">
        <v>64</v>
      </c>
      <c r="D347" s="1469"/>
      <c r="E347" s="1470"/>
      <c r="F347" s="420"/>
      <c r="G347" s="1256"/>
      <c r="H347" s="421"/>
      <c r="I347" s="422"/>
      <c r="J347" s="1425">
        <v>1</v>
      </c>
      <c r="K347" s="1426">
        <v>1</v>
      </c>
      <c r="L347" s="1043"/>
      <c r="M347" s="1594"/>
      <c r="N347" s="415"/>
      <c r="O347" s="424">
        <f t="shared" si="1035"/>
        <v>0</v>
      </c>
      <c r="P347" s="425"/>
      <c r="Q347" s="1340">
        <f t="shared" si="1036"/>
        <v>0</v>
      </c>
      <c r="R347" s="426"/>
      <c r="S347" s="426"/>
      <c r="T347" s="427">
        <f t="shared" si="1037"/>
        <v>0</v>
      </c>
      <c r="U347" s="418">
        <f t="shared" si="1038"/>
        <v>0</v>
      </c>
      <c r="V347" s="517">
        <f t="shared" si="1039"/>
        <v>0</v>
      </c>
      <c r="W347" s="428">
        <f t="shared" si="1040"/>
        <v>0</v>
      </c>
      <c r="X347" s="429">
        <f t="shared" si="1041"/>
        <v>0</v>
      </c>
      <c r="Y347" s="92"/>
      <c r="AA347" s="53"/>
      <c r="AB347" s="578"/>
      <c r="AC347" s="578"/>
      <c r="AD347" s="578"/>
      <c r="AE347" s="578"/>
      <c r="AF347" s="579"/>
      <c r="AG347" s="579"/>
      <c r="AH347" s="579"/>
      <c r="AI347" s="579"/>
      <c r="AJ347" s="579"/>
      <c r="AK347" s="579"/>
      <c r="AL347" s="1563"/>
      <c r="AM347" s="579"/>
      <c r="AN347" s="579"/>
      <c r="AO347" s="579"/>
      <c r="AP347" s="579"/>
      <c r="AQ347" s="579"/>
      <c r="AR347" s="579"/>
      <c r="AS347" s="579"/>
      <c r="AT347" s="579"/>
      <c r="AU347" s="579"/>
      <c r="AV347" s="579"/>
      <c r="AW347" s="579"/>
      <c r="AX347" s="579"/>
      <c r="AY347" s="594">
        <f>+Q347</f>
        <v>0</v>
      </c>
      <c r="AZ347" s="579"/>
      <c r="BA347" s="579"/>
      <c r="BB347" s="579"/>
      <c r="BC347" s="579"/>
      <c r="BD347" s="579"/>
      <c r="BE347" s="579"/>
      <c r="BF347" s="579"/>
      <c r="BG347" s="579"/>
      <c r="BH347" s="579"/>
      <c r="BI347" s="579"/>
      <c r="BJ347" s="579"/>
      <c r="BK347" s="594"/>
      <c r="BL347" s="579"/>
      <c r="BM347" s="579"/>
      <c r="BN347" s="579"/>
      <c r="BO347" s="579"/>
      <c r="BP347" s="579"/>
      <c r="BQ347" s="579"/>
      <c r="BR347" s="579"/>
      <c r="BS347" s="579"/>
      <c r="BT347" s="579"/>
      <c r="BU347" s="579"/>
      <c r="BV347" s="579"/>
      <c r="BW347" s="579"/>
      <c r="BX347" s="579"/>
      <c r="BY347" s="579"/>
      <c r="BZ347" s="579"/>
      <c r="CA347" s="594"/>
      <c r="CB347" s="579"/>
      <c r="CC347" s="579"/>
      <c r="CD347" s="579"/>
      <c r="CE347" s="579"/>
      <c r="CF347" s="579"/>
      <c r="CG347" s="579"/>
      <c r="CH347" s="579"/>
      <c r="CI347" s="579"/>
      <c r="CJ347" s="579"/>
      <c r="CK347" s="579"/>
      <c r="CL347" s="579"/>
      <c r="CM347" s="579"/>
      <c r="CN347" s="579"/>
      <c r="CO347" s="579"/>
      <c r="CP347" s="579"/>
      <c r="CQ347" s="579"/>
      <c r="CR347" s="579"/>
      <c r="CS347" s="595"/>
      <c r="CT347" s="579"/>
      <c r="CU347" s="579"/>
      <c r="CV347" s="579"/>
      <c r="CW347" s="579"/>
      <c r="CX347" s="579"/>
      <c r="CY347" s="594"/>
      <c r="CZ347" s="579"/>
      <c r="DA347" s="579"/>
      <c r="DB347" s="579"/>
      <c r="DC347" s="579"/>
      <c r="DD347" s="579"/>
      <c r="DE347" s="579"/>
      <c r="DF347" s="579"/>
      <c r="DG347" s="579"/>
      <c r="DH347" s="579"/>
      <c r="DI347" s="579"/>
      <c r="DJ347" s="579"/>
      <c r="DK347" s="579"/>
      <c r="DL347" s="579"/>
      <c r="DM347" s="579"/>
      <c r="DN347" s="579"/>
      <c r="DO347" s="579"/>
      <c r="DP347" s="579"/>
    </row>
    <row r="348" spans="1:120" hidden="1" outlineLevel="1">
      <c r="A348" s="89">
        <v>1110052010</v>
      </c>
      <c r="B348" s="90"/>
      <c r="C348" s="1476" t="s">
        <v>64</v>
      </c>
      <c r="D348" s="1469"/>
      <c r="E348" s="1470"/>
      <c r="F348" s="420"/>
      <c r="G348" s="1256"/>
      <c r="H348" s="421"/>
      <c r="I348" s="422"/>
      <c r="J348" s="1425">
        <v>1</v>
      </c>
      <c r="K348" s="1426">
        <v>1</v>
      </c>
      <c r="L348" s="1043"/>
      <c r="M348" s="1594"/>
      <c r="N348" s="415"/>
      <c r="O348" s="424">
        <f t="shared" si="1035"/>
        <v>0</v>
      </c>
      <c r="P348" s="425"/>
      <c r="Q348" s="1340">
        <f t="shared" si="1036"/>
        <v>0</v>
      </c>
      <c r="R348" s="426"/>
      <c r="S348" s="426"/>
      <c r="T348" s="427">
        <f t="shared" si="1037"/>
        <v>0</v>
      </c>
      <c r="U348" s="418">
        <f t="shared" si="1038"/>
        <v>0</v>
      </c>
      <c r="V348" s="517">
        <f t="shared" si="1039"/>
        <v>0</v>
      </c>
      <c r="W348" s="428">
        <f t="shared" si="1040"/>
        <v>0</v>
      </c>
      <c r="X348" s="429">
        <f t="shared" si="1041"/>
        <v>0</v>
      </c>
      <c r="Y348" s="92"/>
      <c r="AA348" s="53"/>
      <c r="AB348" s="578"/>
      <c r="AC348" s="578"/>
      <c r="AD348" s="578"/>
      <c r="AE348" s="578"/>
      <c r="AF348" s="579"/>
      <c r="AG348" s="579"/>
      <c r="AH348" s="579"/>
      <c r="AI348" s="579"/>
      <c r="AJ348" s="579"/>
      <c r="AK348" s="579"/>
      <c r="AL348" s="1563"/>
      <c r="AM348" s="579"/>
      <c r="AN348" s="579"/>
      <c r="AO348" s="579"/>
      <c r="AP348" s="579"/>
      <c r="AQ348" s="579"/>
      <c r="AR348" s="579"/>
      <c r="AS348" s="579"/>
      <c r="AT348" s="579"/>
      <c r="AU348" s="579"/>
      <c r="AV348" s="579"/>
      <c r="AW348" s="579"/>
      <c r="AX348" s="579"/>
      <c r="AY348" s="579"/>
      <c r="AZ348" s="579"/>
      <c r="BA348" s="579"/>
      <c r="BB348" s="579"/>
      <c r="BC348" s="594">
        <f>+Q348</f>
        <v>0</v>
      </c>
      <c r="BD348" s="579"/>
      <c r="BE348" s="579"/>
      <c r="BF348" s="579"/>
      <c r="BG348" s="579"/>
      <c r="BH348" s="579"/>
      <c r="BI348" s="579"/>
      <c r="BJ348" s="579"/>
      <c r="BK348" s="594"/>
      <c r="BL348" s="579"/>
      <c r="BM348" s="579"/>
      <c r="BN348" s="579"/>
      <c r="BO348" s="579"/>
      <c r="BP348" s="579"/>
      <c r="BQ348" s="579"/>
      <c r="BR348" s="579"/>
      <c r="BS348" s="579"/>
      <c r="BT348" s="579"/>
      <c r="BU348" s="579"/>
      <c r="BV348" s="579"/>
      <c r="BW348" s="579"/>
      <c r="BX348" s="579"/>
      <c r="BY348" s="579"/>
      <c r="BZ348" s="579"/>
      <c r="CA348" s="594"/>
      <c r="CB348" s="579"/>
      <c r="CC348" s="579"/>
      <c r="CD348" s="579"/>
      <c r="CE348" s="579"/>
      <c r="CF348" s="579"/>
      <c r="CG348" s="579"/>
      <c r="CH348" s="579"/>
      <c r="CI348" s="579"/>
      <c r="CJ348" s="579"/>
      <c r="CK348" s="579"/>
      <c r="CL348" s="579"/>
      <c r="CM348" s="579"/>
      <c r="CN348" s="579"/>
      <c r="CO348" s="579"/>
      <c r="CP348" s="579"/>
      <c r="CQ348" s="579"/>
      <c r="CR348" s="579"/>
      <c r="CS348" s="595"/>
      <c r="CT348" s="579"/>
      <c r="CU348" s="579"/>
      <c r="CV348" s="579"/>
      <c r="CW348" s="579"/>
      <c r="CX348" s="579"/>
      <c r="CY348" s="594"/>
      <c r="CZ348" s="579"/>
      <c r="DA348" s="579"/>
      <c r="DB348" s="579"/>
      <c r="DC348" s="579"/>
      <c r="DD348" s="579"/>
      <c r="DE348" s="579"/>
      <c r="DF348" s="579"/>
      <c r="DG348" s="579"/>
      <c r="DH348" s="579"/>
      <c r="DI348" s="579"/>
      <c r="DJ348" s="579"/>
      <c r="DK348" s="579"/>
      <c r="DL348" s="579"/>
      <c r="DM348" s="579"/>
      <c r="DN348" s="579"/>
      <c r="DO348" s="579"/>
      <c r="DP348" s="579"/>
    </row>
    <row r="349" spans="1:120" hidden="1" outlineLevel="1">
      <c r="A349" s="89">
        <v>1110052010</v>
      </c>
      <c r="B349" s="90"/>
      <c r="C349" s="1476" t="s">
        <v>64</v>
      </c>
      <c r="D349" s="1469"/>
      <c r="E349" s="1470"/>
      <c r="F349" s="420"/>
      <c r="G349" s="1256"/>
      <c r="H349" s="421"/>
      <c r="I349" s="422"/>
      <c r="J349" s="1425">
        <v>1</v>
      </c>
      <c r="K349" s="1426">
        <v>1</v>
      </c>
      <c r="L349" s="1043"/>
      <c r="M349" s="1594"/>
      <c r="N349" s="415"/>
      <c r="O349" s="424">
        <f t="shared" si="1035"/>
        <v>0</v>
      </c>
      <c r="P349" s="425"/>
      <c r="Q349" s="1340">
        <f t="shared" si="1036"/>
        <v>0</v>
      </c>
      <c r="R349" s="426"/>
      <c r="S349" s="426"/>
      <c r="T349" s="427">
        <f t="shared" si="1037"/>
        <v>0</v>
      </c>
      <c r="U349" s="418">
        <f t="shared" si="1038"/>
        <v>0</v>
      </c>
      <c r="V349" s="517">
        <f t="shared" si="1039"/>
        <v>0</v>
      </c>
      <c r="W349" s="428">
        <f t="shared" si="1040"/>
        <v>0</v>
      </c>
      <c r="X349" s="429">
        <f t="shared" si="1041"/>
        <v>0</v>
      </c>
      <c r="Y349" s="92"/>
      <c r="AA349" s="53"/>
      <c r="AB349" s="578"/>
      <c r="AC349" s="578"/>
      <c r="AD349" s="578"/>
      <c r="AE349" s="578"/>
      <c r="AF349" s="579"/>
      <c r="AG349" s="579"/>
      <c r="AH349" s="579"/>
      <c r="AI349" s="579"/>
      <c r="AJ349" s="579"/>
      <c r="AK349" s="579"/>
      <c r="AL349" s="1563"/>
      <c r="AM349" s="579"/>
      <c r="AN349" s="579"/>
      <c r="AO349" s="579"/>
      <c r="AP349" s="579"/>
      <c r="AQ349" s="579"/>
      <c r="AR349" s="579"/>
      <c r="AS349" s="579"/>
      <c r="AT349" s="579"/>
      <c r="AU349" s="579"/>
      <c r="AV349" s="579"/>
      <c r="AW349" s="579"/>
      <c r="AX349" s="579"/>
      <c r="AY349" s="579"/>
      <c r="AZ349" s="579"/>
      <c r="BA349" s="579"/>
      <c r="BB349" s="579"/>
      <c r="BC349" s="579"/>
      <c r="BD349" s="594">
        <f>+Q349</f>
        <v>0</v>
      </c>
      <c r="BE349" s="579"/>
      <c r="BF349" s="579"/>
      <c r="BG349" s="579"/>
      <c r="BH349" s="579"/>
      <c r="BI349" s="579"/>
      <c r="BJ349" s="579"/>
      <c r="BK349" s="594"/>
      <c r="BL349" s="579"/>
      <c r="BM349" s="579"/>
      <c r="BN349" s="579"/>
      <c r="BO349" s="579"/>
      <c r="BP349" s="579"/>
      <c r="BQ349" s="579"/>
      <c r="BR349" s="579"/>
      <c r="BS349" s="579"/>
      <c r="BT349" s="579"/>
      <c r="BU349" s="579"/>
      <c r="BV349" s="579"/>
      <c r="BW349" s="579"/>
      <c r="BX349" s="579"/>
      <c r="BY349" s="579"/>
      <c r="BZ349" s="579"/>
      <c r="CA349" s="594"/>
      <c r="CB349" s="579"/>
      <c r="CC349" s="579"/>
      <c r="CD349" s="579"/>
      <c r="CE349" s="579"/>
      <c r="CF349" s="579"/>
      <c r="CG349" s="579"/>
      <c r="CH349" s="579"/>
      <c r="CI349" s="579"/>
      <c r="CJ349" s="579"/>
      <c r="CK349" s="579"/>
      <c r="CL349" s="579"/>
      <c r="CM349" s="579"/>
      <c r="CN349" s="579"/>
      <c r="CO349" s="579"/>
      <c r="CP349" s="579"/>
      <c r="CQ349" s="579"/>
      <c r="CR349" s="579"/>
      <c r="CS349" s="595"/>
      <c r="CT349" s="579"/>
      <c r="CU349" s="579"/>
      <c r="CV349" s="579"/>
      <c r="CW349" s="579"/>
      <c r="CX349" s="579"/>
      <c r="CY349" s="594"/>
      <c r="CZ349" s="579"/>
      <c r="DA349" s="579"/>
      <c r="DB349" s="579"/>
      <c r="DC349" s="579"/>
      <c r="DD349" s="579"/>
      <c r="DE349" s="579"/>
      <c r="DF349" s="579"/>
      <c r="DG349" s="579"/>
      <c r="DH349" s="579"/>
      <c r="DI349" s="579"/>
      <c r="DJ349" s="579"/>
      <c r="DK349" s="579"/>
      <c r="DL349" s="579"/>
      <c r="DM349" s="579"/>
      <c r="DN349" s="579"/>
      <c r="DO349" s="579"/>
      <c r="DP349" s="579"/>
    </row>
    <row r="350" spans="1:120" hidden="1" outlineLevel="1">
      <c r="A350" s="89">
        <v>1110052010</v>
      </c>
      <c r="B350" s="90"/>
      <c r="C350" s="1476" t="s">
        <v>64</v>
      </c>
      <c r="D350" s="1469"/>
      <c r="E350" s="1470"/>
      <c r="F350" s="420"/>
      <c r="G350" s="1256"/>
      <c r="H350" s="421"/>
      <c r="I350" s="422"/>
      <c r="J350" s="1425">
        <v>1</v>
      </c>
      <c r="K350" s="1426">
        <v>1</v>
      </c>
      <c r="L350" s="1043"/>
      <c r="M350" s="1594"/>
      <c r="N350" s="415"/>
      <c r="O350" s="424">
        <f t="shared" ref="O350:O351" si="1042">+L350*N350</f>
        <v>0</v>
      </c>
      <c r="P350" s="425"/>
      <c r="Q350" s="1340">
        <f t="shared" ref="Q350:Q351" si="1043">+P350*K350</f>
        <v>0</v>
      </c>
      <c r="R350" s="426"/>
      <c r="S350" s="426"/>
      <c r="T350" s="427">
        <f t="shared" ref="T350:T351" si="1044">+P350*S350</f>
        <v>0</v>
      </c>
      <c r="U350" s="418">
        <f t="shared" ref="U350:U351" si="1045">+L350+P350+F350</f>
        <v>0</v>
      </c>
      <c r="V350" s="517">
        <f t="shared" ref="V350:V351" si="1046">+P350*R350+L350*N350+F350*H350</f>
        <v>0</v>
      </c>
      <c r="W350" s="428">
        <f t="shared" ref="W350:W351" si="1047">(IF(R350&gt;S350,(-P350*R350)-(-P350*S350),0))</f>
        <v>0</v>
      </c>
      <c r="X350" s="429">
        <f t="shared" ref="X350:X351" si="1048">(IF(R350&lt;S350,(-P350*R350)-(-P350*S350),0))</f>
        <v>0</v>
      </c>
      <c r="Y350" s="92"/>
      <c r="AA350" s="53"/>
      <c r="AB350" s="578"/>
      <c r="AC350" s="578"/>
      <c r="AD350" s="578"/>
      <c r="AE350" s="578"/>
      <c r="AF350" s="579"/>
      <c r="AG350" s="579"/>
      <c r="AH350" s="579"/>
      <c r="AI350" s="579"/>
      <c r="AJ350" s="579"/>
      <c r="AK350" s="579"/>
      <c r="AL350" s="1563"/>
      <c r="AM350" s="579"/>
      <c r="AN350" s="579"/>
      <c r="AO350" s="579"/>
      <c r="AP350" s="579"/>
      <c r="AQ350" s="579"/>
      <c r="AR350" s="579"/>
      <c r="AS350" s="579"/>
      <c r="AT350" s="579"/>
      <c r="AU350" s="579"/>
      <c r="AV350" s="579"/>
      <c r="AW350" s="579"/>
      <c r="AX350" s="579"/>
      <c r="AY350" s="579"/>
      <c r="AZ350" s="579"/>
      <c r="BA350" s="579"/>
      <c r="BB350" s="579"/>
      <c r="BC350" s="579"/>
      <c r="BD350" s="579"/>
      <c r="BE350" s="579"/>
      <c r="BF350" s="579"/>
      <c r="BG350" s="579"/>
      <c r="BH350" s="579"/>
      <c r="BI350" s="594">
        <f>+Q350</f>
        <v>0</v>
      </c>
      <c r="BJ350" s="579"/>
      <c r="BK350" s="594"/>
      <c r="BL350" s="579"/>
      <c r="BM350" s="579"/>
      <c r="BN350" s="579"/>
      <c r="BO350" s="579"/>
      <c r="BP350" s="579"/>
      <c r="BQ350" s="579"/>
      <c r="BR350" s="579"/>
      <c r="BS350" s="579"/>
      <c r="BT350" s="579"/>
      <c r="BU350" s="579"/>
      <c r="BV350" s="579"/>
      <c r="BW350" s="579"/>
      <c r="BX350" s="579"/>
      <c r="BY350" s="579"/>
      <c r="BZ350" s="579"/>
      <c r="CA350" s="594"/>
      <c r="CB350" s="579"/>
      <c r="CC350" s="579"/>
      <c r="CD350" s="579"/>
      <c r="CE350" s="579"/>
      <c r="CF350" s="579"/>
      <c r="CG350" s="579"/>
      <c r="CH350" s="579"/>
      <c r="CI350" s="579"/>
      <c r="CJ350" s="579"/>
      <c r="CK350" s="579"/>
      <c r="CL350" s="579"/>
      <c r="CM350" s="579"/>
      <c r="CN350" s="579"/>
      <c r="CO350" s="579"/>
      <c r="CP350" s="579"/>
      <c r="CQ350" s="579"/>
      <c r="CR350" s="579"/>
      <c r="CS350" s="595"/>
      <c r="CT350" s="579"/>
      <c r="CU350" s="579"/>
      <c r="CV350" s="579"/>
      <c r="CW350" s="579"/>
      <c r="CX350" s="579"/>
      <c r="CY350" s="594"/>
      <c r="CZ350" s="579"/>
      <c r="DA350" s="579"/>
      <c r="DB350" s="579"/>
      <c r="DC350" s="579"/>
      <c r="DD350" s="579"/>
      <c r="DE350" s="579"/>
      <c r="DF350" s="579"/>
      <c r="DG350" s="579"/>
      <c r="DH350" s="579"/>
      <c r="DI350" s="579"/>
      <c r="DJ350" s="579"/>
      <c r="DK350" s="579"/>
      <c r="DL350" s="579"/>
      <c r="DM350" s="579"/>
      <c r="DN350" s="579"/>
      <c r="DO350" s="579"/>
      <c r="DP350" s="579"/>
    </row>
    <row r="351" spans="1:120" hidden="1" outlineLevel="1">
      <c r="A351" s="89">
        <v>1110052010</v>
      </c>
      <c r="B351" s="90"/>
      <c r="C351" s="1476" t="s">
        <v>64</v>
      </c>
      <c r="D351" s="1469"/>
      <c r="E351" s="1470"/>
      <c r="F351" s="420"/>
      <c r="G351" s="1256"/>
      <c r="H351" s="421"/>
      <c r="I351" s="422"/>
      <c r="J351" s="1425">
        <v>1</v>
      </c>
      <c r="K351" s="1426">
        <v>1</v>
      </c>
      <c r="L351" s="1043"/>
      <c r="M351" s="1594"/>
      <c r="N351" s="415"/>
      <c r="O351" s="424">
        <f t="shared" si="1042"/>
        <v>0</v>
      </c>
      <c r="P351" s="425"/>
      <c r="Q351" s="1340">
        <f t="shared" si="1043"/>
        <v>0</v>
      </c>
      <c r="R351" s="426"/>
      <c r="S351" s="426"/>
      <c r="T351" s="427">
        <f t="shared" si="1044"/>
        <v>0</v>
      </c>
      <c r="U351" s="418">
        <f t="shared" si="1045"/>
        <v>0</v>
      </c>
      <c r="V351" s="517">
        <f t="shared" si="1046"/>
        <v>0</v>
      </c>
      <c r="W351" s="428">
        <f t="shared" si="1047"/>
        <v>0</v>
      </c>
      <c r="X351" s="429">
        <f t="shared" si="1048"/>
        <v>0</v>
      </c>
      <c r="Y351" s="92"/>
      <c r="AA351" s="53"/>
      <c r="AB351" s="578"/>
      <c r="AC351" s="578"/>
      <c r="AD351" s="578"/>
      <c r="AE351" s="578"/>
      <c r="AF351" s="579"/>
      <c r="AG351" s="579"/>
      <c r="AH351" s="579"/>
      <c r="AI351" s="579"/>
      <c r="AJ351" s="579"/>
      <c r="AK351" s="579"/>
      <c r="AL351" s="1563"/>
      <c r="AM351" s="579"/>
      <c r="AN351" s="579"/>
      <c r="AO351" s="579"/>
      <c r="AP351" s="579"/>
      <c r="AQ351" s="579"/>
      <c r="AR351" s="579"/>
      <c r="AS351" s="579"/>
      <c r="AT351" s="579"/>
      <c r="AU351" s="579"/>
      <c r="AV351" s="579"/>
      <c r="AW351" s="579"/>
      <c r="AX351" s="579"/>
      <c r="AY351" s="579"/>
      <c r="AZ351" s="579"/>
      <c r="BA351" s="579"/>
      <c r="BB351" s="579"/>
      <c r="BC351" s="579"/>
      <c r="BD351" s="579"/>
      <c r="BE351" s="579"/>
      <c r="BF351" s="579"/>
      <c r="BG351" s="579"/>
      <c r="BH351" s="579"/>
      <c r="BI351" s="579"/>
      <c r="BJ351" s="579"/>
      <c r="BK351" s="594">
        <f>+Q351</f>
        <v>0</v>
      </c>
      <c r="BL351" s="579"/>
      <c r="BM351" s="579"/>
      <c r="BN351" s="579"/>
      <c r="BO351" s="579"/>
      <c r="BP351" s="579"/>
      <c r="BQ351" s="579"/>
      <c r="BR351" s="579"/>
      <c r="BS351" s="579"/>
      <c r="BT351" s="579"/>
      <c r="BU351" s="579"/>
      <c r="BV351" s="579"/>
      <c r="BW351" s="579"/>
      <c r="BX351" s="579"/>
      <c r="BY351" s="579"/>
      <c r="BZ351" s="579"/>
      <c r="CA351" s="594"/>
      <c r="CB351" s="579"/>
      <c r="CC351" s="579"/>
      <c r="CD351" s="579"/>
      <c r="CE351" s="579"/>
      <c r="CF351" s="579"/>
      <c r="CG351" s="579"/>
      <c r="CH351" s="579"/>
      <c r="CI351" s="579"/>
      <c r="CJ351" s="579"/>
      <c r="CK351" s="579"/>
      <c r="CL351" s="579"/>
      <c r="CM351" s="579"/>
      <c r="CN351" s="579"/>
      <c r="CO351" s="579"/>
      <c r="CP351" s="579"/>
      <c r="CQ351" s="579"/>
      <c r="CR351" s="579"/>
      <c r="CS351" s="595"/>
      <c r="CT351" s="579"/>
      <c r="CU351" s="579"/>
      <c r="CV351" s="579"/>
      <c r="CW351" s="579"/>
      <c r="CX351" s="579"/>
      <c r="CY351" s="594"/>
      <c r="CZ351" s="579"/>
      <c r="DA351" s="579"/>
      <c r="DB351" s="579"/>
      <c r="DC351" s="579"/>
      <c r="DD351" s="579"/>
      <c r="DE351" s="579"/>
      <c r="DF351" s="579"/>
      <c r="DG351" s="579"/>
      <c r="DH351" s="579"/>
      <c r="DI351" s="579"/>
      <c r="DJ351" s="579"/>
      <c r="DK351" s="579"/>
      <c r="DL351" s="579"/>
      <c r="DM351" s="579"/>
      <c r="DN351" s="579"/>
      <c r="DO351" s="579"/>
      <c r="DP351" s="579"/>
    </row>
    <row r="352" spans="1:120" hidden="1" outlineLevel="1">
      <c r="A352" s="89">
        <v>1110052010</v>
      </c>
      <c r="B352" s="90"/>
      <c r="C352" s="1476" t="s">
        <v>64</v>
      </c>
      <c r="D352" s="1469"/>
      <c r="E352" s="1470"/>
      <c r="F352" s="420"/>
      <c r="G352" s="1256"/>
      <c r="H352" s="421"/>
      <c r="I352" s="422"/>
      <c r="J352" s="1425">
        <v>1</v>
      </c>
      <c r="K352" s="1426">
        <v>1</v>
      </c>
      <c r="L352" s="1043"/>
      <c r="M352" s="1594"/>
      <c r="N352" s="415"/>
      <c r="O352" s="424">
        <f t="shared" si="1017"/>
        <v>0</v>
      </c>
      <c r="P352" s="425"/>
      <c r="Q352" s="1340">
        <f t="shared" si="1027"/>
        <v>0</v>
      </c>
      <c r="R352" s="426"/>
      <c r="S352" s="426"/>
      <c r="T352" s="427">
        <f t="shared" si="1019"/>
        <v>0</v>
      </c>
      <c r="U352" s="418">
        <f t="shared" si="1020"/>
        <v>0</v>
      </c>
      <c r="V352" s="517">
        <f t="shared" si="1021"/>
        <v>0</v>
      </c>
      <c r="W352" s="428">
        <f t="shared" si="1022"/>
        <v>0</v>
      </c>
      <c r="X352" s="429">
        <f t="shared" si="1023"/>
        <v>0</v>
      </c>
      <c r="Y352" s="92"/>
      <c r="AA352" s="53"/>
      <c r="AB352" s="578"/>
      <c r="AC352" s="578"/>
      <c r="AD352" s="578"/>
      <c r="AE352" s="578"/>
      <c r="AF352" s="579"/>
      <c r="AG352" s="579"/>
      <c r="AH352" s="579"/>
      <c r="AI352" s="579"/>
      <c r="AJ352" s="579"/>
      <c r="AK352" s="579"/>
      <c r="AL352" s="1563"/>
      <c r="AM352" s="579"/>
      <c r="AN352" s="579"/>
      <c r="AO352" s="579"/>
      <c r="AP352" s="579"/>
      <c r="AQ352" s="579"/>
      <c r="AR352" s="579"/>
      <c r="AS352" s="579"/>
      <c r="AT352" s="579"/>
      <c r="AU352" s="579"/>
      <c r="AV352" s="579"/>
      <c r="AW352" s="579"/>
      <c r="AX352" s="579"/>
      <c r="AY352" s="579"/>
      <c r="AZ352" s="579"/>
      <c r="BA352" s="579"/>
      <c r="BB352" s="579"/>
      <c r="BC352" s="579"/>
      <c r="BD352" s="579"/>
      <c r="BE352" s="579"/>
      <c r="BF352" s="579"/>
      <c r="BG352" s="579"/>
      <c r="BH352" s="579"/>
      <c r="BI352" s="579"/>
      <c r="BJ352" s="579"/>
      <c r="BK352" s="594">
        <f>+Q352</f>
        <v>0</v>
      </c>
      <c r="BL352" s="579"/>
      <c r="BM352" s="579"/>
      <c r="BN352" s="579"/>
      <c r="BO352" s="579"/>
      <c r="BP352" s="579"/>
      <c r="BQ352" s="579"/>
      <c r="BR352" s="579"/>
      <c r="BS352" s="579"/>
      <c r="BT352" s="579"/>
      <c r="BU352" s="579"/>
      <c r="BV352" s="579"/>
      <c r="BW352" s="579"/>
      <c r="BX352" s="579"/>
      <c r="BY352" s="579"/>
      <c r="BZ352" s="579"/>
      <c r="CA352" s="594"/>
      <c r="CB352" s="579"/>
      <c r="CC352" s="579"/>
      <c r="CD352" s="579"/>
      <c r="CE352" s="579"/>
      <c r="CF352" s="579"/>
      <c r="CG352" s="579"/>
      <c r="CH352" s="579"/>
      <c r="CI352" s="579"/>
      <c r="CJ352" s="579"/>
      <c r="CK352" s="579"/>
      <c r="CL352" s="579"/>
      <c r="CM352" s="579"/>
      <c r="CN352" s="579"/>
      <c r="CO352" s="579"/>
      <c r="CP352" s="579"/>
      <c r="CQ352" s="579"/>
      <c r="CR352" s="579"/>
      <c r="CS352" s="595"/>
      <c r="CT352" s="579"/>
      <c r="CU352" s="579"/>
      <c r="CV352" s="579"/>
      <c r="CW352" s="579"/>
      <c r="CX352" s="579"/>
      <c r="CY352" s="594"/>
      <c r="CZ352" s="579"/>
      <c r="DA352" s="579"/>
      <c r="DB352" s="579"/>
      <c r="DC352" s="579"/>
      <c r="DD352" s="579"/>
      <c r="DE352" s="579"/>
      <c r="DF352" s="579"/>
      <c r="DG352" s="579"/>
      <c r="DH352" s="579"/>
      <c r="DI352" s="579"/>
      <c r="DJ352" s="579"/>
      <c r="DK352" s="579"/>
      <c r="DL352" s="579"/>
      <c r="DM352" s="579"/>
      <c r="DN352" s="579"/>
      <c r="DO352" s="579"/>
      <c r="DP352" s="579"/>
    </row>
    <row r="353" spans="1:120" hidden="1" outlineLevel="1">
      <c r="A353" s="89">
        <v>1110052010</v>
      </c>
      <c r="B353" s="90"/>
      <c r="C353" s="1476" t="s">
        <v>64</v>
      </c>
      <c r="D353" s="1469"/>
      <c r="E353" s="1470"/>
      <c r="F353" s="420"/>
      <c r="G353" s="1256"/>
      <c r="H353" s="421"/>
      <c r="I353" s="422"/>
      <c r="J353" s="1425">
        <v>1</v>
      </c>
      <c r="K353" s="1426">
        <v>1</v>
      </c>
      <c r="L353" s="1043"/>
      <c r="M353" s="1594"/>
      <c r="N353" s="415"/>
      <c r="O353" s="424">
        <f t="shared" ref="O353" si="1049">+L353*N353</f>
        <v>0</v>
      </c>
      <c r="P353" s="425"/>
      <c r="Q353" s="1340">
        <f t="shared" ref="Q353" si="1050">+P353*K353</f>
        <v>0</v>
      </c>
      <c r="R353" s="426"/>
      <c r="S353" s="426"/>
      <c r="T353" s="427">
        <f t="shared" ref="T353" si="1051">+P353*S353</f>
        <v>0</v>
      </c>
      <c r="U353" s="418">
        <f t="shared" ref="U353" si="1052">+L353+P353+F353</f>
        <v>0</v>
      </c>
      <c r="V353" s="517">
        <f t="shared" ref="V353" si="1053">+P353*R353+L353*N353+F353*H353</f>
        <v>0</v>
      </c>
      <c r="W353" s="428">
        <f t="shared" ref="W353" si="1054">(IF(R353&gt;S353,(-P353*R353)-(-P353*S353),0))</f>
        <v>0</v>
      </c>
      <c r="X353" s="429">
        <f t="shared" ref="X353" si="1055">(IF(R353&lt;S353,(-P353*R353)-(-P353*S353),0))</f>
        <v>0</v>
      </c>
      <c r="Y353" s="92"/>
      <c r="AA353" s="53"/>
      <c r="AB353" s="578"/>
      <c r="AC353" s="578"/>
      <c r="AD353" s="578"/>
      <c r="AE353" s="578"/>
      <c r="AF353" s="579"/>
      <c r="AG353" s="579"/>
      <c r="AH353" s="579"/>
      <c r="AI353" s="579"/>
      <c r="AJ353" s="579"/>
      <c r="AK353" s="579"/>
      <c r="AL353" s="1563"/>
      <c r="AM353" s="579"/>
      <c r="AN353" s="579"/>
      <c r="AO353" s="579"/>
      <c r="AP353" s="579"/>
      <c r="AQ353" s="579"/>
      <c r="AR353" s="579"/>
      <c r="AS353" s="579"/>
      <c r="AT353" s="579"/>
      <c r="AU353" s="579"/>
      <c r="AV353" s="579"/>
      <c r="AW353" s="579"/>
      <c r="AX353" s="579"/>
      <c r="AY353" s="579"/>
      <c r="AZ353" s="579"/>
      <c r="BA353" s="579"/>
      <c r="BB353" s="579"/>
      <c r="BC353" s="579"/>
      <c r="BD353" s="579"/>
      <c r="BE353" s="579"/>
      <c r="BF353" s="579"/>
      <c r="BG353" s="579"/>
      <c r="BH353" s="579"/>
      <c r="BI353" s="579"/>
      <c r="BJ353" s="579"/>
      <c r="BK353" s="594"/>
      <c r="BL353" s="579"/>
      <c r="BM353" s="579"/>
      <c r="BN353" s="579"/>
      <c r="BO353" s="594">
        <f>+Q353</f>
        <v>0</v>
      </c>
      <c r="BP353" s="579"/>
      <c r="BQ353" s="579"/>
      <c r="BR353" s="579"/>
      <c r="BS353" s="579"/>
      <c r="BT353" s="579"/>
      <c r="BU353" s="579"/>
      <c r="BV353" s="579"/>
      <c r="BW353" s="579"/>
      <c r="BX353" s="579"/>
      <c r="BY353" s="579"/>
      <c r="BZ353" s="579"/>
      <c r="CA353" s="594"/>
      <c r="CB353" s="579"/>
      <c r="CC353" s="579"/>
      <c r="CD353" s="579"/>
      <c r="CE353" s="579"/>
      <c r="CF353" s="579"/>
      <c r="CG353" s="579"/>
      <c r="CH353" s="579"/>
      <c r="CI353" s="579"/>
      <c r="CJ353" s="579"/>
      <c r="CK353" s="579"/>
      <c r="CL353" s="579"/>
      <c r="CM353" s="579"/>
      <c r="CN353" s="579"/>
      <c r="CO353" s="579"/>
      <c r="CP353" s="579"/>
      <c r="CQ353" s="579"/>
      <c r="CR353" s="579"/>
      <c r="CS353" s="595"/>
      <c r="CT353" s="579"/>
      <c r="CU353" s="579"/>
      <c r="CV353" s="579"/>
      <c r="CW353" s="579"/>
      <c r="CX353" s="579"/>
      <c r="CY353" s="594"/>
      <c r="CZ353" s="579"/>
      <c r="DA353" s="579"/>
      <c r="DB353" s="579"/>
      <c r="DC353" s="579"/>
      <c r="DD353" s="579"/>
      <c r="DE353" s="579"/>
      <c r="DF353" s="579"/>
      <c r="DG353" s="579"/>
      <c r="DH353" s="579"/>
      <c r="DI353" s="579"/>
      <c r="DJ353" s="579"/>
      <c r="DK353" s="579"/>
      <c r="DL353" s="579"/>
      <c r="DM353" s="579"/>
      <c r="DN353" s="579"/>
      <c r="DO353" s="579"/>
      <c r="DP353" s="579"/>
    </row>
    <row r="354" spans="1:120" hidden="1" outlineLevel="1">
      <c r="A354" s="89">
        <v>1110052010</v>
      </c>
      <c r="B354" s="90"/>
      <c r="C354" s="1476" t="s">
        <v>64</v>
      </c>
      <c r="D354" s="1469"/>
      <c r="E354" s="1470"/>
      <c r="F354" s="420"/>
      <c r="G354" s="1256"/>
      <c r="H354" s="421"/>
      <c r="I354" s="422"/>
      <c r="J354" s="1425">
        <v>1</v>
      </c>
      <c r="K354" s="1426">
        <v>1</v>
      </c>
      <c r="L354" s="1043"/>
      <c r="M354" s="1594"/>
      <c r="N354" s="415"/>
      <c r="O354" s="424">
        <f t="shared" ref="O354" si="1056">+L354*N354</f>
        <v>0</v>
      </c>
      <c r="P354" s="425"/>
      <c r="Q354" s="1340">
        <f t="shared" si="1027"/>
        <v>0</v>
      </c>
      <c r="R354" s="426"/>
      <c r="S354" s="426"/>
      <c r="T354" s="427">
        <f t="shared" ref="T354" si="1057">+P354*S354</f>
        <v>0</v>
      </c>
      <c r="U354" s="418">
        <f t="shared" ref="U354" si="1058">+L354+P354+F354</f>
        <v>0</v>
      </c>
      <c r="V354" s="517">
        <f t="shared" ref="V354" si="1059">+P354*R354+L354*N354+F354*H354</f>
        <v>0</v>
      </c>
      <c r="W354" s="428">
        <f t="shared" ref="W354" si="1060">(IF(R354&gt;S354,(-P354*R354)-(-P354*S354),0))</f>
        <v>0</v>
      </c>
      <c r="X354" s="429">
        <f t="shared" ref="X354" si="1061">(IF(R354&lt;S354,(-P354*R354)-(-P354*S354),0))</f>
        <v>0</v>
      </c>
      <c r="Y354" s="92"/>
      <c r="AA354" s="53"/>
      <c r="AB354" s="578"/>
      <c r="AC354" s="578"/>
      <c r="AD354" s="578"/>
      <c r="AE354" s="578"/>
      <c r="AF354" s="579"/>
      <c r="AG354" s="579"/>
      <c r="AH354" s="579"/>
      <c r="AI354" s="579"/>
      <c r="AJ354" s="579"/>
      <c r="AK354" s="579"/>
      <c r="AL354" s="1563"/>
      <c r="AM354" s="579"/>
      <c r="AN354" s="579"/>
      <c r="AO354" s="579"/>
      <c r="AP354" s="579"/>
      <c r="AQ354" s="579"/>
      <c r="AR354" s="579"/>
      <c r="AS354" s="579"/>
      <c r="AT354" s="579"/>
      <c r="AU354" s="579"/>
      <c r="AV354" s="579"/>
      <c r="AW354" s="579"/>
      <c r="AX354" s="579"/>
      <c r="AY354" s="579"/>
      <c r="AZ354" s="579"/>
      <c r="BA354" s="579"/>
      <c r="BB354" s="579"/>
      <c r="BC354" s="579"/>
      <c r="BD354" s="579"/>
      <c r="BE354" s="579"/>
      <c r="BF354" s="579"/>
      <c r="BG354" s="579"/>
      <c r="BH354" s="579"/>
      <c r="BI354" s="579"/>
      <c r="BJ354" s="579"/>
      <c r="BK354" s="594"/>
      <c r="BL354" s="579"/>
      <c r="BM354" s="579"/>
      <c r="BN354" s="579"/>
      <c r="BO354" s="594">
        <f>+Q354</f>
        <v>0</v>
      </c>
      <c r="BP354" s="579"/>
      <c r="BQ354" s="579"/>
      <c r="BR354" s="579"/>
      <c r="BS354" s="579"/>
      <c r="BT354" s="579"/>
      <c r="BU354" s="579"/>
      <c r="BV354" s="579"/>
      <c r="BW354" s="579"/>
      <c r="BX354" s="579"/>
      <c r="BY354" s="579"/>
      <c r="BZ354" s="579"/>
      <c r="CA354" s="594"/>
      <c r="CB354" s="579"/>
      <c r="CC354" s="579"/>
      <c r="CD354" s="579"/>
      <c r="CE354" s="579"/>
      <c r="CF354" s="579"/>
      <c r="CG354" s="579"/>
      <c r="CH354" s="579"/>
      <c r="CI354" s="579"/>
      <c r="CJ354" s="579"/>
      <c r="CK354" s="579"/>
      <c r="CL354" s="579"/>
      <c r="CM354" s="579"/>
      <c r="CN354" s="579"/>
      <c r="CO354" s="579"/>
      <c r="CP354" s="579"/>
      <c r="CQ354" s="579"/>
      <c r="CR354" s="579"/>
      <c r="CS354" s="595"/>
      <c r="CT354" s="579"/>
      <c r="CU354" s="579"/>
      <c r="CV354" s="579"/>
      <c r="CW354" s="579"/>
      <c r="CX354" s="579"/>
      <c r="CY354" s="594"/>
      <c r="CZ354" s="579"/>
      <c r="DA354" s="579"/>
      <c r="DB354" s="579"/>
      <c r="DC354" s="579"/>
      <c r="DD354" s="579"/>
      <c r="DE354" s="579"/>
      <c r="DF354" s="579"/>
      <c r="DG354" s="579"/>
      <c r="DH354" s="579"/>
      <c r="DI354" s="579"/>
      <c r="DJ354" s="579"/>
      <c r="DK354" s="579"/>
      <c r="DL354" s="579"/>
      <c r="DM354" s="579"/>
      <c r="DN354" s="579"/>
      <c r="DO354" s="579"/>
      <c r="DP354" s="579"/>
    </row>
    <row r="355" spans="1:120" s="4" customFormat="1" hidden="1" outlineLevel="1">
      <c r="A355" s="432">
        <v>1110052010</v>
      </c>
      <c r="B355" s="2194"/>
      <c r="C355" s="2195" t="s">
        <v>64</v>
      </c>
      <c r="D355" s="2196"/>
      <c r="E355" s="2197"/>
      <c r="F355" s="2198"/>
      <c r="G355" s="2199"/>
      <c r="H355" s="2200"/>
      <c r="I355" s="2201"/>
      <c r="J355" s="2184">
        <v>1</v>
      </c>
      <c r="K355" s="2185">
        <v>1</v>
      </c>
      <c r="L355" s="2202"/>
      <c r="M355" s="2203">
        <f t="shared" ref="M355" si="1062">+L355*J355</f>
        <v>0</v>
      </c>
      <c r="N355" s="2204"/>
      <c r="O355" s="2205">
        <f t="shared" ref="O355" si="1063">+L355*N355</f>
        <v>0</v>
      </c>
      <c r="P355" s="433"/>
      <c r="Q355" s="1343">
        <f t="shared" ref="Q355" si="1064">+P355*K355</f>
        <v>0</v>
      </c>
      <c r="R355" s="434"/>
      <c r="S355" s="434"/>
      <c r="T355" s="2206">
        <f t="shared" ref="T355" si="1065">+P355*S355</f>
        <v>0</v>
      </c>
      <c r="U355" s="435">
        <f t="shared" ref="U355" si="1066">+L355+P355+F355</f>
        <v>0</v>
      </c>
      <c r="V355" s="587">
        <f t="shared" ref="V355" si="1067">+P355*R355+L355*N355+F355*H355</f>
        <v>0</v>
      </c>
      <c r="W355" s="2207">
        <f t="shared" ref="W355" si="1068">(IF(R355&gt;S355,(-P355*R355)-(-P355*S355),0))</f>
        <v>0</v>
      </c>
      <c r="X355" s="2208">
        <f t="shared" ref="X355" si="1069">(IF(R355&lt;S355,(-P355*R355)-(-P355*S355),0))</f>
        <v>0</v>
      </c>
      <c r="Y355" s="2209"/>
      <c r="Z355" s="14"/>
      <c r="AA355" s="2210"/>
      <c r="AB355" s="590"/>
      <c r="AC355" s="590"/>
      <c r="AD355" s="590"/>
      <c r="AE355" s="590"/>
      <c r="AF355" s="592"/>
      <c r="AG355" s="592"/>
      <c r="AH355" s="592"/>
      <c r="AI355" s="592"/>
      <c r="AJ355" s="592"/>
      <c r="AK355" s="592"/>
      <c r="AL355" s="1564"/>
      <c r="AM355" s="592"/>
      <c r="AN355" s="592"/>
      <c r="AO355" s="592"/>
      <c r="AP355" s="592"/>
      <c r="AQ355" s="592"/>
      <c r="AR355" s="592"/>
      <c r="AS355" s="592"/>
      <c r="AT355" s="592"/>
      <c r="AU355" s="592"/>
      <c r="AV355" s="592"/>
      <c r="AW355" s="592"/>
      <c r="AX355" s="592"/>
      <c r="AY355" s="592"/>
      <c r="AZ355" s="592"/>
      <c r="BA355" s="592"/>
      <c r="BB355" s="592"/>
      <c r="BC355" s="592"/>
      <c r="BD355" s="592"/>
      <c r="BE355" s="592"/>
      <c r="BF355" s="592"/>
      <c r="BG355" s="592"/>
      <c r="BH355" s="592"/>
      <c r="BI355" s="592"/>
      <c r="BJ355" s="592"/>
      <c r="BK355" s="2211"/>
      <c r="BL355" s="592"/>
      <c r="BM355" s="592"/>
      <c r="BN355" s="592"/>
      <c r="BO355" s="2211"/>
      <c r="BP355" s="592"/>
      <c r="BQ355" s="592"/>
      <c r="BR355" s="592"/>
      <c r="BS355" s="592"/>
      <c r="BT355" s="592"/>
      <c r="BU355" s="592"/>
      <c r="BV355" s="592"/>
      <c r="BW355" s="592"/>
      <c r="BX355" s="592"/>
      <c r="BY355" s="592"/>
      <c r="BZ355" s="592"/>
      <c r="CA355" s="2211"/>
      <c r="CB355" s="592"/>
      <c r="CC355" s="592"/>
      <c r="CD355" s="592"/>
      <c r="CE355" s="592"/>
      <c r="CF355" s="592"/>
      <c r="CG355" s="592"/>
      <c r="CH355" s="592"/>
      <c r="CI355" s="592"/>
      <c r="CJ355" s="592"/>
      <c r="CK355" s="592"/>
      <c r="CL355" s="592"/>
      <c r="CM355" s="592"/>
      <c r="CN355" s="592"/>
      <c r="CO355" s="592"/>
      <c r="CP355" s="592"/>
      <c r="CQ355" s="592"/>
      <c r="CR355" s="592"/>
      <c r="CS355" s="2212"/>
      <c r="CT355" s="592"/>
      <c r="CU355" s="592"/>
      <c r="CV355" s="592"/>
      <c r="CW355" s="592"/>
      <c r="CX355" s="2211">
        <f>+M355</f>
        <v>0</v>
      </c>
      <c r="CY355" s="2211"/>
      <c r="CZ355" s="592"/>
      <c r="DA355" s="592"/>
      <c r="DB355" s="592"/>
      <c r="DC355" s="592"/>
      <c r="DD355" s="592"/>
      <c r="DE355" s="592"/>
      <c r="DF355" s="592"/>
      <c r="DG355" s="592"/>
      <c r="DH355" s="592"/>
      <c r="DI355" s="592"/>
      <c r="DJ355" s="592"/>
      <c r="DK355" s="592"/>
      <c r="DL355" s="592"/>
      <c r="DM355" s="592"/>
      <c r="DN355" s="592"/>
      <c r="DO355" s="592"/>
      <c r="DP355" s="592"/>
    </row>
    <row r="356" spans="1:120" hidden="1" outlineLevel="1">
      <c r="A356" s="89"/>
      <c r="B356" s="90"/>
      <c r="C356" s="1476"/>
      <c r="D356" s="1469"/>
      <c r="E356" s="1470"/>
      <c r="F356" s="420"/>
      <c r="G356" s="1256"/>
      <c r="H356" s="421"/>
      <c r="I356" s="422"/>
      <c r="J356" s="1425">
        <v>1</v>
      </c>
      <c r="K356" s="1426">
        <v>1</v>
      </c>
      <c r="L356" s="1043"/>
      <c r="M356" s="1594"/>
      <c r="N356" s="415"/>
      <c r="O356" s="424">
        <f t="shared" si="1001"/>
        <v>0</v>
      </c>
      <c r="P356" s="425"/>
      <c r="Q356" s="1340"/>
      <c r="R356" s="426"/>
      <c r="S356" s="426"/>
      <c r="T356" s="427">
        <f t="shared" si="1002"/>
        <v>0</v>
      </c>
      <c r="U356" s="418">
        <f t="shared" si="1003"/>
        <v>0</v>
      </c>
      <c r="V356" s="517">
        <f t="shared" si="1004"/>
        <v>0</v>
      </c>
      <c r="W356" s="428">
        <f t="shared" si="1005"/>
        <v>0</v>
      </c>
      <c r="X356" s="429">
        <f t="shared" si="1006"/>
        <v>0</v>
      </c>
      <c r="Y356" s="92"/>
      <c r="AA356" s="53"/>
      <c r="AB356" s="578"/>
      <c r="AC356" s="578"/>
      <c r="AD356" s="578"/>
      <c r="AE356" s="578"/>
      <c r="AF356" s="579"/>
      <c r="AG356" s="579"/>
      <c r="AH356" s="579"/>
      <c r="AI356" s="579"/>
      <c r="AJ356" s="579"/>
      <c r="AK356" s="579"/>
      <c r="AL356" s="1563"/>
      <c r="AM356" s="579"/>
      <c r="AN356" s="579"/>
      <c r="AO356" s="579"/>
      <c r="AP356" s="579"/>
      <c r="AQ356" s="579"/>
      <c r="AR356" s="579"/>
      <c r="AS356" s="579"/>
      <c r="AT356" s="579"/>
      <c r="AU356" s="579"/>
      <c r="AV356" s="579"/>
      <c r="AW356" s="579"/>
      <c r="AX356" s="579"/>
      <c r="AY356" s="579"/>
      <c r="AZ356" s="579"/>
      <c r="BA356" s="579"/>
      <c r="BB356" s="579"/>
      <c r="BC356" s="579"/>
      <c r="BD356" s="579"/>
      <c r="BE356" s="579"/>
      <c r="BF356" s="579"/>
      <c r="BG356" s="579"/>
      <c r="BH356" s="579"/>
      <c r="BI356" s="579"/>
      <c r="BJ356" s="579"/>
      <c r="BK356" s="594"/>
      <c r="BL356" s="579"/>
      <c r="BM356" s="579"/>
      <c r="BN356" s="579"/>
      <c r="BO356" s="579"/>
      <c r="BP356" s="579"/>
      <c r="BQ356" s="579"/>
      <c r="BR356" s="579"/>
      <c r="BS356" s="579"/>
      <c r="BT356" s="579"/>
      <c r="BU356" s="579"/>
      <c r="BV356" s="579"/>
      <c r="BW356" s="579"/>
      <c r="BX356" s="579"/>
      <c r="BY356" s="579"/>
      <c r="BZ356" s="579"/>
      <c r="CA356" s="594"/>
      <c r="CB356" s="579"/>
      <c r="CC356" s="579"/>
      <c r="CD356" s="579"/>
      <c r="CE356" s="579"/>
      <c r="CF356" s="579"/>
      <c r="CG356" s="579"/>
      <c r="CH356" s="579"/>
      <c r="CI356" s="579"/>
      <c r="CJ356" s="579"/>
      <c r="CK356" s="579"/>
      <c r="CL356" s="579"/>
      <c r="CM356" s="579"/>
      <c r="CN356" s="579"/>
      <c r="CO356" s="579"/>
      <c r="CP356" s="579"/>
      <c r="CQ356" s="579"/>
      <c r="CR356" s="579"/>
      <c r="CS356" s="595"/>
      <c r="CT356" s="579"/>
      <c r="CU356" s="579"/>
      <c r="CV356" s="579"/>
      <c r="CW356" s="579"/>
      <c r="CX356" s="579"/>
      <c r="CY356" s="579"/>
      <c r="CZ356" s="579"/>
      <c r="DA356" s="579"/>
      <c r="DB356" s="579"/>
      <c r="DC356" s="579"/>
      <c r="DD356" s="579"/>
      <c r="DE356" s="579"/>
      <c r="DF356" s="579"/>
      <c r="DG356" s="579"/>
      <c r="DH356" s="579"/>
      <c r="DI356" s="579"/>
      <c r="DJ356" s="579"/>
      <c r="DK356" s="579"/>
      <c r="DL356" s="579"/>
      <c r="DM356" s="579"/>
      <c r="DN356" s="579"/>
      <c r="DO356" s="579"/>
      <c r="DP356" s="579"/>
    </row>
    <row r="357" spans="1:120" hidden="1" outlineLevel="1">
      <c r="A357" s="55"/>
      <c r="B357" s="509"/>
      <c r="C357" s="1512"/>
      <c r="D357" s="1469"/>
      <c r="E357" s="1470"/>
      <c r="F357" s="416"/>
      <c r="G357" s="1251"/>
      <c r="H357" s="511"/>
      <c r="I357" s="512"/>
      <c r="J357" s="1383"/>
      <c r="K357" s="1383"/>
      <c r="L357" s="419"/>
      <c r="M357" s="1337"/>
      <c r="N357" s="504"/>
      <c r="O357" s="513">
        <f t="shared" si="1001"/>
        <v>0</v>
      </c>
      <c r="P357" s="431"/>
      <c r="Q357" s="514"/>
      <c r="R357" s="515"/>
      <c r="S357" s="515"/>
      <c r="T357" s="562">
        <f t="shared" si="1002"/>
        <v>0</v>
      </c>
      <c r="U357" s="418">
        <f t="shared" si="1003"/>
        <v>0</v>
      </c>
      <c r="V357" s="517">
        <f t="shared" si="1004"/>
        <v>0</v>
      </c>
      <c r="W357" s="976">
        <f t="shared" si="1005"/>
        <v>0</v>
      </c>
      <c r="X357" s="975">
        <f t="shared" si="1006"/>
        <v>0</v>
      </c>
      <c r="Y357" s="519"/>
      <c r="AA357" s="1107"/>
      <c r="AB357" s="1106"/>
      <c r="AC357" s="1106"/>
      <c r="AD357" s="1106"/>
      <c r="AE357" s="1106"/>
      <c r="AF357" s="1099"/>
      <c r="AG357" s="1099"/>
      <c r="AH357" s="1099"/>
      <c r="AI357" s="1099"/>
      <c r="AJ357" s="1099"/>
      <c r="AK357" s="1099"/>
      <c r="AL357" s="1569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  <c r="BX357" s="1099"/>
      <c r="BY357" s="1099"/>
      <c r="BZ357" s="1099"/>
      <c r="CA357" s="1099"/>
      <c r="CB357" s="1099"/>
      <c r="CC357" s="1099"/>
      <c r="CD357" s="1099"/>
      <c r="CE357" s="1099"/>
      <c r="CF357" s="1099"/>
      <c r="CG357" s="1099"/>
      <c r="CH357" s="1099"/>
      <c r="CI357" s="1099"/>
      <c r="CJ357" s="1099"/>
      <c r="CK357" s="1099"/>
      <c r="CL357" s="1099"/>
      <c r="CM357" s="1099"/>
      <c r="CN357" s="1099"/>
      <c r="CO357" s="1099"/>
      <c r="CP357" s="1099"/>
      <c r="CQ357" s="1099"/>
      <c r="CR357" s="1099"/>
      <c r="CS357" s="1099"/>
      <c r="CT357" s="1099"/>
      <c r="CU357" s="1099"/>
      <c r="CV357" s="1099"/>
      <c r="CW357" s="1099"/>
      <c r="CX357" s="1099"/>
      <c r="CY357" s="1099"/>
      <c r="CZ357" s="1099"/>
      <c r="DA357" s="1099"/>
      <c r="DB357" s="1099"/>
      <c r="DC357" s="1099"/>
      <c r="DD357" s="1099"/>
      <c r="DE357" s="1099"/>
      <c r="DF357" s="1099"/>
      <c r="DG357" s="1099"/>
      <c r="DH357" s="1099"/>
      <c r="DI357" s="1099"/>
      <c r="DJ357" s="1099"/>
      <c r="DK357" s="1099"/>
      <c r="DL357" s="1099"/>
      <c r="DM357" s="1099"/>
      <c r="DN357" s="1099"/>
      <c r="DO357" s="1099"/>
      <c r="DP357" s="1099"/>
    </row>
    <row r="358" spans="1:120" ht="16.5" collapsed="1" thickBot="1">
      <c r="A358" s="62" t="s">
        <v>235</v>
      </c>
      <c r="B358" s="63"/>
      <c r="C358" s="184"/>
      <c r="D358" s="1473"/>
      <c r="E358" s="1474"/>
      <c r="F358" s="66">
        <f>SUM(F331:F357)</f>
        <v>0</v>
      </c>
      <c r="G358" s="1253"/>
      <c r="H358" s="67"/>
      <c r="I358" s="68">
        <f>SUM(I331:I357)</f>
        <v>0</v>
      </c>
      <c r="J358" s="1376"/>
      <c r="K358" s="76"/>
      <c r="L358" s="1051">
        <f>SUM(L331:L357)</f>
        <v>0</v>
      </c>
      <c r="M358" s="1598"/>
      <c r="N358" s="70"/>
      <c r="O358" s="71">
        <f>SUM(O331:O357)</f>
        <v>0</v>
      </c>
      <c r="P358" s="72">
        <f>SUM(P331:P357)</f>
        <v>0</v>
      </c>
      <c r="Q358" s="1339"/>
      <c r="R358" s="73"/>
      <c r="S358" s="73"/>
      <c r="T358" s="96">
        <f>SUM(T331:T357)</f>
        <v>0</v>
      </c>
      <c r="U358" s="66">
        <f>SUM(U331:U357)</f>
        <v>0</v>
      </c>
      <c r="V358" s="76">
        <f>SUM(V331:V357)</f>
        <v>0</v>
      </c>
      <c r="W358" s="97">
        <f>SUM(W331:W357)</f>
        <v>0</v>
      </c>
      <c r="X358" s="98">
        <f>SUM(X331:X357)</f>
        <v>0</v>
      </c>
      <c r="Y358" s="43"/>
      <c r="AA358" s="79">
        <f t="shared" ref="AA358:BF358" ca="1" si="1070">SUM(AA329:AA357)</f>
        <v>-2.7939677238464355E-9</v>
      </c>
      <c r="AB358" s="130">
        <f t="shared" ca="1" si="1070"/>
        <v>0</v>
      </c>
      <c r="AC358" s="130">
        <f t="shared" ca="1" si="1070"/>
        <v>0</v>
      </c>
      <c r="AD358" s="130">
        <f t="shared" ca="1" si="1070"/>
        <v>0</v>
      </c>
      <c r="AE358" s="130">
        <f t="shared" ca="1" si="1070"/>
        <v>0</v>
      </c>
      <c r="AF358" s="130">
        <f t="shared" ca="1" si="1070"/>
        <v>0</v>
      </c>
      <c r="AG358" s="130">
        <f t="shared" ca="1" si="1070"/>
        <v>0</v>
      </c>
      <c r="AH358" s="130">
        <f t="shared" ca="1" si="1070"/>
        <v>0</v>
      </c>
      <c r="AI358" s="130">
        <f t="shared" ca="1" si="1070"/>
        <v>0</v>
      </c>
      <c r="AJ358" s="130">
        <f t="shared" ca="1" si="1070"/>
        <v>-2.3283064365386963E-10</v>
      </c>
      <c r="AK358" s="130">
        <f t="shared" ca="1" si="1070"/>
        <v>-2.3283064365386963E-10</v>
      </c>
      <c r="AL358" s="130">
        <f t="shared" ca="1" si="1070"/>
        <v>0</v>
      </c>
      <c r="AM358" s="130">
        <f t="shared" ca="1" si="1070"/>
        <v>2.3283064365386963E-10</v>
      </c>
      <c r="AN358" s="130">
        <f t="shared" ca="1" si="1070"/>
        <v>0</v>
      </c>
      <c r="AO358" s="130">
        <f t="shared" ca="1" si="1070"/>
        <v>0</v>
      </c>
      <c r="AP358" s="130">
        <f t="shared" ca="1" si="1070"/>
        <v>0</v>
      </c>
      <c r="AQ358" s="130">
        <f t="shared" ca="1" si="1070"/>
        <v>0</v>
      </c>
      <c r="AR358" s="130">
        <f t="shared" ca="1" si="1070"/>
        <v>0</v>
      </c>
      <c r="AS358" s="130">
        <f t="shared" ca="1" si="1070"/>
        <v>-4.3655745685100555E-11</v>
      </c>
      <c r="AT358" s="130">
        <f t="shared" ca="1" si="1070"/>
        <v>0</v>
      </c>
      <c r="AU358" s="130">
        <f t="shared" ca="1" si="1070"/>
        <v>0</v>
      </c>
      <c r="AV358" s="130">
        <f t="shared" ca="1" si="1070"/>
        <v>-2.3283064365386963E-10</v>
      </c>
      <c r="AW358" s="130">
        <f t="shared" ca="1" si="1070"/>
        <v>-2.3283064365386963E-10</v>
      </c>
      <c r="AX358" s="130">
        <f t="shared" ca="1" si="1070"/>
        <v>0</v>
      </c>
      <c r="AY358" s="130">
        <f t="shared" ca="1" si="1070"/>
        <v>0</v>
      </c>
      <c r="AZ358" s="130">
        <f t="shared" ca="1" si="1070"/>
        <v>0</v>
      </c>
      <c r="BA358" s="130">
        <f t="shared" ca="1" si="1070"/>
        <v>1375193.1800000004</v>
      </c>
      <c r="BB358" s="130">
        <f t="shared" ca="1" si="1070"/>
        <v>0</v>
      </c>
      <c r="BC358" s="130">
        <f t="shared" ca="1" si="1070"/>
        <v>0</v>
      </c>
      <c r="BD358" s="130">
        <f t="shared" ca="1" si="1070"/>
        <v>0</v>
      </c>
      <c r="BE358" s="130">
        <f t="shared" ca="1" si="1070"/>
        <v>0</v>
      </c>
      <c r="BF358" s="130">
        <f t="shared" ca="1" si="1070"/>
        <v>0</v>
      </c>
      <c r="BG358" s="130">
        <f t="shared" ref="BG358:CL358" ca="1" si="1071">SUM(BG329:BG357)</f>
        <v>0</v>
      </c>
      <c r="BH358" s="130">
        <f t="shared" ca="1" si="1071"/>
        <v>0</v>
      </c>
      <c r="BI358" s="130">
        <f t="shared" ca="1" si="1071"/>
        <v>0</v>
      </c>
      <c r="BJ358" s="130">
        <f t="shared" ca="1" si="1071"/>
        <v>0</v>
      </c>
      <c r="BK358" s="130">
        <f t="shared" ca="1" si="1071"/>
        <v>0</v>
      </c>
      <c r="BL358" s="130">
        <f t="shared" ca="1" si="1071"/>
        <v>0</v>
      </c>
      <c r="BM358" s="130">
        <f t="shared" ca="1" si="1071"/>
        <v>0</v>
      </c>
      <c r="BN358" s="130">
        <f t="shared" ca="1" si="1071"/>
        <v>0</v>
      </c>
      <c r="BO358" s="130">
        <f t="shared" ca="1" si="1071"/>
        <v>0</v>
      </c>
      <c r="BP358" s="130">
        <f t="shared" ca="1" si="1071"/>
        <v>0</v>
      </c>
      <c r="BQ358" s="130">
        <f t="shared" ca="1" si="1071"/>
        <v>0</v>
      </c>
      <c r="BR358" s="130">
        <f t="shared" ca="1" si="1071"/>
        <v>0</v>
      </c>
      <c r="BS358" s="130">
        <f t="shared" ca="1" si="1071"/>
        <v>0</v>
      </c>
      <c r="BT358" s="130">
        <f t="shared" ca="1" si="1071"/>
        <v>0</v>
      </c>
      <c r="BU358" s="130">
        <f t="shared" ca="1" si="1071"/>
        <v>0</v>
      </c>
      <c r="BV358" s="130">
        <f t="shared" ca="1" si="1071"/>
        <v>0</v>
      </c>
      <c r="BW358" s="130">
        <f t="shared" ca="1" si="1071"/>
        <v>0</v>
      </c>
      <c r="BX358" s="130">
        <f t="shared" ca="1" si="1071"/>
        <v>0</v>
      </c>
      <c r="BY358" s="130">
        <f t="shared" ca="1" si="1071"/>
        <v>0</v>
      </c>
      <c r="BZ358" s="130">
        <f t="shared" ca="1" si="1071"/>
        <v>0</v>
      </c>
      <c r="CA358" s="130">
        <f t="shared" ca="1" si="1071"/>
        <v>0</v>
      </c>
      <c r="CB358" s="130">
        <f t="shared" ca="1" si="1071"/>
        <v>0</v>
      </c>
      <c r="CC358" s="130">
        <f t="shared" ca="1" si="1071"/>
        <v>4.0972736314870402E-10</v>
      </c>
      <c r="CD358" s="130">
        <f t="shared" ca="1" si="1071"/>
        <v>0</v>
      </c>
      <c r="CE358" s="130">
        <f t="shared" ca="1" si="1071"/>
        <v>0</v>
      </c>
      <c r="CF358" s="130">
        <f t="shared" ca="1" si="1071"/>
        <v>0</v>
      </c>
      <c r="CG358" s="130">
        <f t="shared" ca="1" si="1071"/>
        <v>0</v>
      </c>
      <c r="CH358" s="130">
        <f t="shared" ca="1" si="1071"/>
        <v>0</v>
      </c>
      <c r="CI358" s="130">
        <f t="shared" ca="1" si="1071"/>
        <v>0</v>
      </c>
      <c r="CJ358" s="130">
        <f t="shared" ca="1" si="1071"/>
        <v>0</v>
      </c>
      <c r="CK358" s="130">
        <f t="shared" ca="1" si="1071"/>
        <v>0</v>
      </c>
      <c r="CL358" s="130">
        <f t="shared" ca="1" si="1071"/>
        <v>0</v>
      </c>
      <c r="CM358" s="130">
        <f t="shared" ref="CM358:DM358" ca="1" si="1072">SUM(CM329:CM357)</f>
        <v>0</v>
      </c>
      <c r="CN358" s="130">
        <f t="shared" ca="1" si="1072"/>
        <v>0</v>
      </c>
      <c r="CO358" s="130">
        <f t="shared" ca="1" si="1072"/>
        <v>0</v>
      </c>
      <c r="CP358" s="130">
        <f t="shared" ca="1" si="1072"/>
        <v>0</v>
      </c>
      <c r="CQ358" s="130">
        <f t="shared" ca="1" si="1072"/>
        <v>0</v>
      </c>
      <c r="CR358" s="130">
        <f t="shared" ca="1" si="1072"/>
        <v>0</v>
      </c>
      <c r="CS358" s="130">
        <f t="shared" ca="1" si="1072"/>
        <v>0</v>
      </c>
      <c r="CT358" s="130">
        <f t="shared" ca="1" si="1072"/>
        <v>0</v>
      </c>
      <c r="CU358" s="130">
        <f t="shared" ca="1" si="1072"/>
        <v>0</v>
      </c>
      <c r="CV358" s="130">
        <f t="shared" ca="1" si="1072"/>
        <v>0</v>
      </c>
      <c r="CW358" s="130">
        <f t="shared" ca="1" si="1072"/>
        <v>0</v>
      </c>
      <c r="CX358" s="130">
        <f t="shared" ca="1" si="1072"/>
        <v>0</v>
      </c>
      <c r="CY358" s="130">
        <f t="shared" ca="1" si="1072"/>
        <v>0</v>
      </c>
      <c r="CZ358" s="130">
        <f t="shared" ca="1" si="1072"/>
        <v>0</v>
      </c>
      <c r="DA358" s="130">
        <f t="shared" ca="1" si="1072"/>
        <v>0</v>
      </c>
      <c r="DB358" s="130">
        <f t="shared" ca="1" si="1072"/>
        <v>0</v>
      </c>
      <c r="DC358" s="130">
        <f t="shared" ca="1" si="1072"/>
        <v>0</v>
      </c>
      <c r="DD358" s="130">
        <f t="shared" ca="1" si="1072"/>
        <v>0</v>
      </c>
      <c r="DE358" s="130">
        <f t="shared" ca="1" si="1072"/>
        <v>0</v>
      </c>
      <c r="DF358" s="130">
        <f t="shared" ca="1" si="1072"/>
        <v>0</v>
      </c>
      <c r="DG358" s="130">
        <f t="shared" ca="1" si="1072"/>
        <v>0</v>
      </c>
      <c r="DH358" s="130">
        <f t="shared" ca="1" si="1072"/>
        <v>0</v>
      </c>
      <c r="DI358" s="130">
        <f t="shared" ca="1" si="1072"/>
        <v>0</v>
      </c>
      <c r="DJ358" s="130">
        <f t="shared" ca="1" si="1072"/>
        <v>0</v>
      </c>
      <c r="DK358" s="130">
        <f t="shared" ca="1" si="1072"/>
        <v>0</v>
      </c>
      <c r="DL358" s="130">
        <f t="shared" ca="1" si="1072"/>
        <v>0</v>
      </c>
      <c r="DM358" s="130">
        <f t="shared" ca="1" si="1072"/>
        <v>0</v>
      </c>
      <c r="DN358" s="130">
        <f t="shared" ref="DN358:DO358" ca="1" si="1073">SUM(DN329:DN357)</f>
        <v>0</v>
      </c>
      <c r="DO358" s="130">
        <f t="shared" ca="1" si="1073"/>
        <v>0</v>
      </c>
      <c r="DP358" s="130">
        <f t="shared" ref="DP358" ca="1" si="1074">SUM(DP329:DP357)</f>
        <v>0</v>
      </c>
    </row>
    <row r="359" spans="1:120">
      <c r="L359" s="410"/>
      <c r="M359" s="410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</row>
    <row r="360" spans="1:120" hidden="1" outlineLevel="1">
      <c r="A360" s="532">
        <v>1110052010</v>
      </c>
      <c r="B360" s="573"/>
      <c r="C360" s="678" t="s">
        <v>64</v>
      </c>
      <c r="D360" s="1477"/>
      <c r="E360" s="1478"/>
      <c r="F360" s="535"/>
      <c r="G360" s="1254"/>
      <c r="H360" s="536"/>
      <c r="I360" s="537"/>
      <c r="J360" s="1483">
        <v>1</v>
      </c>
      <c r="K360" s="1484">
        <v>1</v>
      </c>
      <c r="L360" s="1042"/>
      <c r="M360" s="1593">
        <f t="shared" ref="M360" si="1075">+L360*J360</f>
        <v>0</v>
      </c>
      <c r="N360" s="538"/>
      <c r="O360" s="539">
        <f t="shared" ref="O360:O406" si="1076">+L360*N360</f>
        <v>0</v>
      </c>
      <c r="P360" s="540"/>
      <c r="Q360" s="540"/>
      <c r="R360" s="541"/>
      <c r="S360" s="541"/>
      <c r="T360" s="542">
        <f t="shared" ref="T360:T406" si="1077">+P360*S360</f>
        <v>0</v>
      </c>
      <c r="U360" s="543">
        <f t="shared" ref="U360:U405" si="1078">+L360+P360+F360</f>
        <v>0</v>
      </c>
      <c r="V360" s="544">
        <f t="shared" ref="V360:V406" si="1079">+P360*R360+L360*N360+F360*H360</f>
        <v>0</v>
      </c>
      <c r="W360" s="545">
        <f t="shared" ref="W360:W406" si="1080">(IF(R360&gt;S360,(-P360*R360)-(-P360*S360),0))</f>
        <v>0</v>
      </c>
      <c r="X360" s="546">
        <f t="shared" ref="X360:X406" si="1081">(IF(R360&lt;S360,(-P360*R360)-(-P360*S360),0))</f>
        <v>0</v>
      </c>
      <c r="Y360" s="547"/>
      <c r="AA360" s="548"/>
      <c r="AB360" s="574"/>
      <c r="AC360" s="574"/>
      <c r="AD360" s="574"/>
      <c r="AE360" s="574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  <c r="AV360" s="575"/>
      <c r="AW360" s="575"/>
      <c r="AX360" s="575"/>
      <c r="AY360" s="575"/>
      <c r="AZ360" s="575"/>
      <c r="BA360" s="575"/>
      <c r="BB360" s="575"/>
      <c r="BC360" s="575"/>
      <c r="BD360" s="575"/>
      <c r="BE360" s="575"/>
      <c r="BF360" s="575"/>
      <c r="BG360" s="575"/>
      <c r="BH360" s="575"/>
      <c r="BI360" s="575"/>
      <c r="BJ360" s="575"/>
      <c r="BK360" s="575"/>
      <c r="BL360" s="575"/>
      <c r="BM360" s="575"/>
      <c r="BN360" s="575"/>
      <c r="BO360" s="576"/>
      <c r="BP360" s="575"/>
      <c r="BQ360" s="575"/>
      <c r="BR360" s="575"/>
      <c r="BS360" s="575"/>
      <c r="BT360" s="575"/>
      <c r="BU360" s="575"/>
      <c r="BV360" s="575"/>
      <c r="BW360" s="575"/>
      <c r="BX360" s="575"/>
      <c r="BY360" s="575"/>
      <c r="BZ360" s="575"/>
      <c r="CA360" s="575"/>
      <c r="CB360" s="575"/>
      <c r="CC360" s="575"/>
      <c r="CD360" s="575"/>
      <c r="CE360" s="575"/>
      <c r="CF360" s="576"/>
      <c r="CG360" s="575"/>
      <c r="CH360" s="575"/>
      <c r="CI360" s="575"/>
      <c r="CJ360" s="575"/>
      <c r="CK360" s="576"/>
      <c r="CL360" s="575"/>
      <c r="CM360" s="575"/>
      <c r="CN360" s="575"/>
      <c r="CO360" s="575"/>
      <c r="CP360" s="593"/>
      <c r="CQ360" s="593"/>
      <c r="CR360" s="575"/>
      <c r="CS360" s="575"/>
      <c r="CT360" s="575"/>
      <c r="CU360" s="575"/>
      <c r="CV360" s="575"/>
      <c r="CW360" s="575"/>
      <c r="CX360" s="575"/>
      <c r="CY360" s="575"/>
      <c r="CZ360" s="575"/>
      <c r="DA360" s="575"/>
      <c r="DB360" s="575"/>
      <c r="DC360" s="575"/>
      <c r="DD360" s="576">
        <f>+M360</f>
        <v>0</v>
      </c>
      <c r="DE360" s="575"/>
      <c r="DF360" s="575"/>
      <c r="DG360" s="575"/>
      <c r="DH360" s="575"/>
      <c r="DI360" s="575"/>
      <c r="DJ360" s="575"/>
      <c r="DK360" s="575"/>
      <c r="DL360" s="575"/>
      <c r="DM360" s="575"/>
      <c r="DN360" s="575"/>
      <c r="DO360" s="575"/>
      <c r="DP360" s="575"/>
    </row>
    <row r="361" spans="1:120" hidden="1" outlineLevel="1">
      <c r="A361" s="89">
        <v>1110052010</v>
      </c>
      <c r="B361" s="90"/>
      <c r="C361" s="1476" t="s">
        <v>64</v>
      </c>
      <c r="D361" s="1469"/>
      <c r="E361" s="1470"/>
      <c r="F361" s="420"/>
      <c r="G361" s="1256"/>
      <c r="H361" s="421"/>
      <c r="I361" s="422"/>
      <c r="J361" s="1425">
        <v>1</v>
      </c>
      <c r="K361" s="1426">
        <v>1</v>
      </c>
      <c r="L361" s="1043"/>
      <c r="M361" s="1594">
        <f>+L361*J361</f>
        <v>0</v>
      </c>
      <c r="N361" s="415"/>
      <c r="O361" s="424">
        <f t="shared" si="1076"/>
        <v>0</v>
      </c>
      <c r="P361" s="1048"/>
      <c r="Q361" s="1239"/>
      <c r="R361" s="426"/>
      <c r="S361" s="426"/>
      <c r="T361" s="427">
        <f t="shared" si="1077"/>
        <v>0</v>
      </c>
      <c r="U361" s="418">
        <f t="shared" si="1078"/>
        <v>0</v>
      </c>
      <c r="V361" s="517">
        <f t="shared" si="1079"/>
        <v>0</v>
      </c>
      <c r="W361" s="428">
        <f t="shared" si="1080"/>
        <v>0</v>
      </c>
      <c r="X361" s="429">
        <f t="shared" si="1081"/>
        <v>0</v>
      </c>
      <c r="Y361" s="92"/>
      <c r="AA361" s="53"/>
      <c r="AB361" s="578"/>
      <c r="AC361" s="578"/>
      <c r="AD361" s="578"/>
      <c r="AE361" s="578"/>
      <c r="AF361" s="579"/>
      <c r="AG361" s="579"/>
      <c r="AH361" s="579"/>
      <c r="AI361" s="579"/>
      <c r="AJ361" s="579"/>
      <c r="AK361" s="579"/>
      <c r="AL361" s="1563"/>
      <c r="AM361" s="579"/>
      <c r="AN361" s="579"/>
      <c r="AO361" s="579"/>
      <c r="AP361" s="579"/>
      <c r="AQ361" s="579"/>
      <c r="AR361" s="579"/>
      <c r="AS361" s="579"/>
      <c r="AT361" s="579"/>
      <c r="AU361" s="579"/>
      <c r="AV361" s="579"/>
      <c r="AW361" s="579"/>
      <c r="AX361" s="579"/>
      <c r="AY361" s="579"/>
      <c r="AZ361" s="579"/>
      <c r="BA361" s="579"/>
      <c r="BB361" s="579"/>
      <c r="BC361" s="579"/>
      <c r="BD361" s="579"/>
      <c r="BE361" s="579"/>
      <c r="BF361" s="579"/>
      <c r="BG361" s="579"/>
      <c r="BH361" s="579"/>
      <c r="BI361" s="579"/>
      <c r="BJ361" s="579"/>
      <c r="BK361" s="594"/>
      <c r="BL361" s="579"/>
      <c r="BM361" s="579"/>
      <c r="BN361" s="579"/>
      <c r="BO361" s="579"/>
      <c r="BP361" s="579"/>
      <c r="BQ361" s="579"/>
      <c r="BR361" s="579"/>
      <c r="BS361" s="579"/>
      <c r="BT361" s="579"/>
      <c r="BU361" s="579"/>
      <c r="BV361" s="579"/>
      <c r="BW361" s="579"/>
      <c r="BX361" s="579"/>
      <c r="BY361" s="579"/>
      <c r="BZ361" s="579"/>
      <c r="CA361" s="579"/>
      <c r="CB361" s="579"/>
      <c r="CC361" s="579"/>
      <c r="CD361" s="579"/>
      <c r="CE361" s="579"/>
      <c r="CF361" s="579"/>
      <c r="CG361" s="579"/>
      <c r="CH361" s="579"/>
      <c r="CI361" s="579"/>
      <c r="CJ361" s="579"/>
      <c r="CK361" s="579"/>
      <c r="CL361" s="579"/>
      <c r="CM361" s="579"/>
      <c r="CN361" s="579"/>
      <c r="CO361" s="579"/>
      <c r="CP361" s="579"/>
      <c r="CQ361" s="579"/>
      <c r="CR361" s="579"/>
      <c r="CS361" s="595"/>
      <c r="CT361" s="579"/>
      <c r="CU361" s="579"/>
      <c r="CV361" s="579"/>
      <c r="CW361" s="579"/>
      <c r="CX361" s="579"/>
      <c r="CY361" s="579"/>
      <c r="CZ361" s="579"/>
      <c r="DA361" s="579"/>
      <c r="DB361" s="579"/>
      <c r="DC361" s="579"/>
      <c r="DD361" s="594">
        <f>+M361</f>
        <v>0</v>
      </c>
      <c r="DE361" s="579"/>
      <c r="DF361" s="579"/>
      <c r="DG361" s="579"/>
      <c r="DH361" s="579"/>
      <c r="DI361" s="579"/>
      <c r="DJ361" s="579"/>
      <c r="DK361" s="579"/>
      <c r="DL361" s="579"/>
      <c r="DM361" s="579"/>
      <c r="DN361" s="579"/>
      <c r="DO361" s="579"/>
      <c r="DP361" s="579"/>
    </row>
    <row r="362" spans="1:120" hidden="1" outlineLevel="1">
      <c r="A362" s="89">
        <v>1110052010</v>
      </c>
      <c r="B362" s="90"/>
      <c r="C362" s="1476" t="s">
        <v>64</v>
      </c>
      <c r="D362" s="1469"/>
      <c r="E362" s="1470"/>
      <c r="F362" s="420"/>
      <c r="G362" s="1256"/>
      <c r="H362" s="421"/>
      <c r="I362" s="422"/>
      <c r="J362" s="1425">
        <v>1</v>
      </c>
      <c r="K362" s="1426">
        <v>1</v>
      </c>
      <c r="L362" s="1043"/>
      <c r="M362" s="1594"/>
      <c r="N362" s="415"/>
      <c r="O362" s="424">
        <f>+L362*N362</f>
        <v>0</v>
      </c>
      <c r="P362" s="425"/>
      <c r="Q362" s="1340">
        <f t="shared" ref="Q362" si="1082">+P362*K362</f>
        <v>0</v>
      </c>
      <c r="R362" s="426"/>
      <c r="S362" s="426"/>
      <c r="T362" s="427">
        <f>+P362*S362</f>
        <v>0</v>
      </c>
      <c r="U362" s="418">
        <f>+L362+P362+F362</f>
        <v>0</v>
      </c>
      <c r="V362" s="517">
        <f>+P362*R362+L362*N362+F362*H362</f>
        <v>0</v>
      </c>
      <c r="W362" s="428">
        <f>(IF(R362&gt;S362,(-P362*R362)-(-P362*S362),0))</f>
        <v>0</v>
      </c>
      <c r="X362" s="429">
        <f>(IF(R362&lt;S362,(-P362*R362)-(-P362*S362),0))</f>
        <v>0</v>
      </c>
      <c r="Y362" s="92"/>
      <c r="AA362" s="53"/>
      <c r="AB362" s="578"/>
      <c r="AC362" s="578"/>
      <c r="AD362" s="578"/>
      <c r="AE362" s="578"/>
      <c r="AF362" s="579"/>
      <c r="AG362" s="579"/>
      <c r="AH362" s="579"/>
      <c r="AI362" s="579"/>
      <c r="AJ362" s="579"/>
      <c r="AK362" s="579"/>
      <c r="AL362" s="1563"/>
      <c r="AM362" s="579"/>
      <c r="AN362" s="579"/>
      <c r="AO362" s="579"/>
      <c r="AP362" s="579"/>
      <c r="AQ362" s="579"/>
      <c r="AR362" s="579"/>
      <c r="AS362" s="579"/>
      <c r="AT362" s="579"/>
      <c r="AU362" s="579"/>
      <c r="AV362" s="579"/>
      <c r="AW362" s="579"/>
      <c r="AX362" s="579"/>
      <c r="AY362" s="579"/>
      <c r="AZ362" s="579"/>
      <c r="BA362" s="579"/>
      <c r="BB362" s="579"/>
      <c r="BC362" s="579"/>
      <c r="BD362" s="579"/>
      <c r="BE362" s="579"/>
      <c r="BF362" s="579"/>
      <c r="BG362" s="579"/>
      <c r="BH362" s="579"/>
      <c r="BI362" s="579"/>
      <c r="BJ362" s="579"/>
      <c r="BK362" s="594"/>
      <c r="BL362" s="579"/>
      <c r="BM362" s="579"/>
      <c r="BN362" s="579"/>
      <c r="BO362" s="594">
        <f>+Q362</f>
        <v>0</v>
      </c>
      <c r="BP362" s="579"/>
      <c r="BQ362" s="579"/>
      <c r="BR362" s="579"/>
      <c r="BS362" s="579"/>
      <c r="BT362" s="579"/>
      <c r="BU362" s="579"/>
      <c r="BV362" s="579"/>
      <c r="BW362" s="579"/>
      <c r="BX362" s="579"/>
      <c r="BY362" s="579"/>
      <c r="BZ362" s="579"/>
      <c r="CA362" s="579"/>
      <c r="CB362" s="579"/>
      <c r="CC362" s="579"/>
      <c r="CD362" s="594"/>
      <c r="CE362" s="579"/>
      <c r="CF362" s="579"/>
      <c r="CG362" s="579"/>
      <c r="CH362" s="579"/>
      <c r="CI362" s="579"/>
      <c r="CJ362" s="594"/>
      <c r="CK362" s="579"/>
      <c r="CL362" s="579"/>
      <c r="CM362" s="579"/>
      <c r="CN362" s="579"/>
      <c r="CO362" s="579"/>
      <c r="CP362" s="579"/>
      <c r="CQ362" s="579"/>
      <c r="CR362" s="579"/>
      <c r="CS362" s="595"/>
      <c r="CT362" s="579"/>
      <c r="CU362" s="579"/>
      <c r="CV362" s="579"/>
      <c r="CW362" s="579"/>
      <c r="CX362" s="579"/>
      <c r="CY362" s="579"/>
      <c r="CZ362" s="579"/>
      <c r="DA362" s="579"/>
      <c r="DB362" s="579"/>
      <c r="DC362" s="579"/>
      <c r="DD362" s="579"/>
      <c r="DE362" s="579"/>
      <c r="DF362" s="579"/>
      <c r="DG362" s="579"/>
      <c r="DH362" s="579"/>
      <c r="DI362" s="579"/>
      <c r="DJ362" s="579"/>
      <c r="DK362" s="579"/>
      <c r="DL362" s="579"/>
      <c r="DM362" s="579"/>
      <c r="DN362" s="579"/>
      <c r="DO362" s="579"/>
      <c r="DP362" s="579"/>
    </row>
    <row r="363" spans="1:120" hidden="1" outlineLevel="1">
      <c r="A363" s="89">
        <v>1110052010</v>
      </c>
      <c r="B363" s="90"/>
      <c r="C363" s="1476" t="s">
        <v>64</v>
      </c>
      <c r="D363" s="1469"/>
      <c r="E363" s="1470"/>
      <c r="F363" s="420"/>
      <c r="G363" s="1256"/>
      <c r="H363" s="421"/>
      <c r="I363" s="422"/>
      <c r="J363" s="1425">
        <v>1</v>
      </c>
      <c r="K363" s="1426">
        <v>1</v>
      </c>
      <c r="L363" s="1043"/>
      <c r="M363" s="1594"/>
      <c r="N363" s="415"/>
      <c r="O363" s="424">
        <f t="shared" si="1076"/>
        <v>0</v>
      </c>
      <c r="P363" s="425"/>
      <c r="Q363" s="1340">
        <f t="shared" ref="Q363:Q364" si="1083">+P363*K363</f>
        <v>0</v>
      </c>
      <c r="R363" s="426"/>
      <c r="S363" s="426"/>
      <c r="T363" s="427">
        <f t="shared" si="1077"/>
        <v>0</v>
      </c>
      <c r="U363" s="418">
        <f t="shared" si="1078"/>
        <v>0</v>
      </c>
      <c r="V363" s="517">
        <f t="shared" si="1079"/>
        <v>0</v>
      </c>
      <c r="W363" s="428">
        <f t="shared" si="1080"/>
        <v>0</v>
      </c>
      <c r="X363" s="429">
        <f t="shared" si="1081"/>
        <v>0</v>
      </c>
      <c r="Y363" s="92"/>
      <c r="AA363" s="53"/>
      <c r="AB363" s="578"/>
      <c r="AC363" s="578"/>
      <c r="AD363" s="578"/>
      <c r="AE363" s="578"/>
      <c r="AF363" s="579"/>
      <c r="AG363" s="579"/>
      <c r="AH363" s="579"/>
      <c r="AI363" s="579"/>
      <c r="AJ363" s="579"/>
      <c r="AK363" s="579"/>
      <c r="AL363" s="1563"/>
      <c r="AM363" s="579"/>
      <c r="AN363" s="579"/>
      <c r="AO363" s="579"/>
      <c r="AP363" s="579"/>
      <c r="AQ363" s="579"/>
      <c r="AR363" s="579"/>
      <c r="AS363" s="579"/>
      <c r="AT363" s="579"/>
      <c r="AU363" s="579"/>
      <c r="AV363" s="579"/>
      <c r="AW363" s="579"/>
      <c r="AX363" s="579"/>
      <c r="AY363" s="579"/>
      <c r="AZ363" s="579"/>
      <c r="BA363" s="579"/>
      <c r="BB363" s="579"/>
      <c r="BC363" s="579"/>
      <c r="BD363" s="579"/>
      <c r="BE363" s="579"/>
      <c r="BF363" s="579"/>
      <c r="BG363" s="579"/>
      <c r="BH363" s="579"/>
      <c r="BI363" s="579"/>
      <c r="BJ363" s="579"/>
      <c r="BK363" s="594"/>
      <c r="BL363" s="579"/>
      <c r="BM363" s="579"/>
      <c r="BN363" s="579"/>
      <c r="BO363" s="594">
        <f>+Q363</f>
        <v>0</v>
      </c>
      <c r="BP363" s="579"/>
      <c r="BQ363" s="579"/>
      <c r="BR363" s="579"/>
      <c r="BS363" s="579"/>
      <c r="BT363" s="579"/>
      <c r="BU363" s="579"/>
      <c r="BV363" s="579"/>
      <c r="BW363" s="579"/>
      <c r="BX363" s="579"/>
      <c r="BY363" s="579"/>
      <c r="BZ363" s="579"/>
      <c r="CA363" s="579"/>
      <c r="CB363" s="579"/>
      <c r="CC363" s="579"/>
      <c r="CD363" s="594"/>
      <c r="CE363" s="579"/>
      <c r="CF363" s="579"/>
      <c r="CG363" s="579"/>
      <c r="CH363" s="579"/>
      <c r="CI363" s="579"/>
      <c r="CJ363" s="594"/>
      <c r="CK363" s="579"/>
      <c r="CL363" s="579"/>
      <c r="CM363" s="579"/>
      <c r="CN363" s="579"/>
      <c r="CO363" s="579"/>
      <c r="CP363" s="579"/>
      <c r="CQ363" s="579"/>
      <c r="CR363" s="579"/>
      <c r="CS363" s="595"/>
      <c r="CT363" s="579"/>
      <c r="CU363" s="579"/>
      <c r="CV363" s="579"/>
      <c r="CW363" s="579"/>
      <c r="CX363" s="579"/>
      <c r="CY363" s="579"/>
      <c r="CZ363" s="579"/>
      <c r="DA363" s="579"/>
      <c r="DB363" s="579"/>
      <c r="DC363" s="579"/>
      <c r="DD363" s="579"/>
      <c r="DE363" s="579"/>
      <c r="DF363" s="579"/>
      <c r="DG363" s="579"/>
      <c r="DH363" s="579"/>
      <c r="DI363" s="579"/>
      <c r="DJ363" s="579"/>
      <c r="DK363" s="579"/>
      <c r="DL363" s="579"/>
      <c r="DM363" s="579"/>
      <c r="DN363" s="579"/>
      <c r="DO363" s="579"/>
      <c r="DP363" s="579"/>
    </row>
    <row r="364" spans="1:120" hidden="1" outlineLevel="1">
      <c r="A364" s="89">
        <v>1110052010</v>
      </c>
      <c r="B364" s="90"/>
      <c r="C364" s="1476" t="s">
        <v>64</v>
      </c>
      <c r="D364" s="1469"/>
      <c r="E364" s="1470"/>
      <c r="F364" s="420"/>
      <c r="G364" s="1256"/>
      <c r="H364" s="421"/>
      <c r="I364" s="422"/>
      <c r="J364" s="1425">
        <v>1</v>
      </c>
      <c r="K364" s="1426">
        <v>1</v>
      </c>
      <c r="L364" s="1043"/>
      <c r="M364" s="1594"/>
      <c r="N364" s="415"/>
      <c r="O364" s="424">
        <f t="shared" si="1076"/>
        <v>0</v>
      </c>
      <c r="P364" s="425"/>
      <c r="Q364" s="1340">
        <f t="shared" si="1083"/>
        <v>0</v>
      </c>
      <c r="R364" s="426"/>
      <c r="S364" s="426"/>
      <c r="T364" s="427">
        <f t="shared" si="1077"/>
        <v>0</v>
      </c>
      <c r="U364" s="418">
        <f t="shared" si="1078"/>
        <v>0</v>
      </c>
      <c r="V364" s="517">
        <f t="shared" si="1079"/>
        <v>0</v>
      </c>
      <c r="W364" s="428">
        <f t="shared" si="1080"/>
        <v>0</v>
      </c>
      <c r="X364" s="429">
        <f t="shared" si="1081"/>
        <v>0</v>
      </c>
      <c r="Y364" s="92"/>
      <c r="AA364" s="53"/>
      <c r="AB364" s="578"/>
      <c r="AC364" s="578"/>
      <c r="AD364" s="578"/>
      <c r="AE364" s="578"/>
      <c r="AF364" s="579"/>
      <c r="AG364" s="579"/>
      <c r="AH364" s="579"/>
      <c r="AI364" s="579"/>
      <c r="AJ364" s="579"/>
      <c r="AK364" s="579"/>
      <c r="AL364" s="1563"/>
      <c r="AM364" s="579"/>
      <c r="AN364" s="579"/>
      <c r="AO364" s="579"/>
      <c r="AP364" s="579"/>
      <c r="AQ364" s="579"/>
      <c r="AR364" s="579"/>
      <c r="AS364" s="579"/>
      <c r="AT364" s="579"/>
      <c r="AU364" s="579"/>
      <c r="AV364" s="579"/>
      <c r="AW364" s="579"/>
      <c r="AX364" s="579"/>
      <c r="AY364" s="579"/>
      <c r="AZ364" s="579"/>
      <c r="BA364" s="579"/>
      <c r="BB364" s="579"/>
      <c r="BC364" s="579"/>
      <c r="BD364" s="579"/>
      <c r="BE364" s="579"/>
      <c r="BF364" s="579"/>
      <c r="BG364" s="579"/>
      <c r="BH364" s="579"/>
      <c r="BI364" s="579"/>
      <c r="BJ364" s="579"/>
      <c r="BK364" s="594"/>
      <c r="BL364" s="579"/>
      <c r="BM364" s="579"/>
      <c r="BN364" s="579"/>
      <c r="BO364" s="594">
        <f>+Q364</f>
        <v>0</v>
      </c>
      <c r="BP364" s="579"/>
      <c r="BQ364" s="579"/>
      <c r="BR364" s="579"/>
      <c r="BS364" s="579"/>
      <c r="BT364" s="579"/>
      <c r="BU364" s="579"/>
      <c r="BV364" s="579"/>
      <c r="BW364" s="579"/>
      <c r="BX364" s="579"/>
      <c r="BY364" s="579"/>
      <c r="BZ364" s="579"/>
      <c r="CA364" s="579"/>
      <c r="CB364" s="579"/>
      <c r="CC364" s="579"/>
      <c r="CD364" s="594"/>
      <c r="CE364" s="579"/>
      <c r="CF364" s="579"/>
      <c r="CG364" s="579"/>
      <c r="CH364" s="579"/>
      <c r="CI364" s="579"/>
      <c r="CJ364" s="594"/>
      <c r="CK364" s="579"/>
      <c r="CL364" s="579"/>
      <c r="CM364" s="579"/>
      <c r="CN364" s="579"/>
      <c r="CO364" s="579"/>
      <c r="CP364" s="579"/>
      <c r="CQ364" s="579"/>
      <c r="CR364" s="579"/>
      <c r="CS364" s="595"/>
      <c r="CT364" s="579"/>
      <c r="CU364" s="579"/>
      <c r="CV364" s="579"/>
      <c r="CW364" s="579"/>
      <c r="CX364" s="579"/>
      <c r="CY364" s="579"/>
      <c r="CZ364" s="579"/>
      <c r="DA364" s="579"/>
      <c r="DB364" s="579"/>
      <c r="DC364" s="579"/>
      <c r="DD364" s="579"/>
      <c r="DE364" s="579"/>
      <c r="DF364" s="579"/>
      <c r="DG364" s="579"/>
      <c r="DH364" s="579"/>
      <c r="DI364" s="579"/>
      <c r="DJ364" s="579"/>
      <c r="DK364" s="579"/>
      <c r="DL364" s="579"/>
      <c r="DM364" s="579"/>
      <c r="DN364" s="579"/>
      <c r="DO364" s="579"/>
      <c r="DP364" s="579"/>
    </row>
    <row r="365" spans="1:120" hidden="1" outlineLevel="1">
      <c r="A365" s="89">
        <v>1110052010</v>
      </c>
      <c r="B365" s="90"/>
      <c r="C365" s="1476" t="s">
        <v>64</v>
      </c>
      <c r="D365" s="1469"/>
      <c r="E365" s="1470"/>
      <c r="F365" s="420"/>
      <c r="G365" s="1256"/>
      <c r="H365" s="421"/>
      <c r="I365" s="422"/>
      <c r="J365" s="1425">
        <v>1</v>
      </c>
      <c r="K365" s="1426">
        <v>1</v>
      </c>
      <c r="L365" s="1043"/>
      <c r="M365" s="1594">
        <f t="shared" ref="M365:M370" si="1084">+L365*J365</f>
        <v>0</v>
      </c>
      <c r="N365" s="415"/>
      <c r="O365" s="424">
        <f t="shared" si="1076"/>
        <v>0</v>
      </c>
      <c r="P365" s="425"/>
      <c r="Q365" s="1340"/>
      <c r="R365" s="426"/>
      <c r="S365" s="426"/>
      <c r="T365" s="427">
        <f t="shared" si="1077"/>
        <v>0</v>
      </c>
      <c r="U365" s="418">
        <f t="shared" si="1078"/>
        <v>0</v>
      </c>
      <c r="V365" s="517">
        <f t="shared" si="1079"/>
        <v>0</v>
      </c>
      <c r="W365" s="428">
        <f t="shared" si="1080"/>
        <v>0</v>
      </c>
      <c r="X365" s="429">
        <f t="shared" si="1081"/>
        <v>0</v>
      </c>
      <c r="Y365" s="92"/>
      <c r="AA365" s="53"/>
      <c r="AB365" s="578"/>
      <c r="AC365" s="578"/>
      <c r="AD365" s="578"/>
      <c r="AE365" s="578"/>
      <c r="AF365" s="579"/>
      <c r="AG365" s="579"/>
      <c r="AH365" s="579"/>
      <c r="AI365" s="579"/>
      <c r="AJ365" s="579"/>
      <c r="AK365" s="579"/>
      <c r="AL365" s="1563"/>
      <c r="AM365" s="579"/>
      <c r="AN365" s="579"/>
      <c r="AO365" s="579"/>
      <c r="AP365" s="579"/>
      <c r="AQ365" s="579"/>
      <c r="AR365" s="579"/>
      <c r="AS365" s="579"/>
      <c r="AT365" s="579"/>
      <c r="AU365" s="579"/>
      <c r="AV365" s="579"/>
      <c r="AW365" s="579"/>
      <c r="AX365" s="579"/>
      <c r="AY365" s="579"/>
      <c r="AZ365" s="579"/>
      <c r="BA365" s="579"/>
      <c r="BB365" s="579"/>
      <c r="BC365" s="579"/>
      <c r="BD365" s="579"/>
      <c r="BE365" s="579"/>
      <c r="BF365" s="579"/>
      <c r="BG365" s="579"/>
      <c r="BH365" s="579"/>
      <c r="BI365" s="579"/>
      <c r="BJ365" s="579"/>
      <c r="BK365" s="594"/>
      <c r="BL365" s="579"/>
      <c r="BM365" s="579"/>
      <c r="BN365" s="579"/>
      <c r="BO365" s="579"/>
      <c r="BP365" s="579"/>
      <c r="BQ365" s="579"/>
      <c r="BR365" s="579"/>
      <c r="BS365" s="579"/>
      <c r="BT365" s="579"/>
      <c r="BU365" s="579"/>
      <c r="BV365" s="579"/>
      <c r="BW365" s="579"/>
      <c r="BX365" s="579"/>
      <c r="BY365" s="579"/>
      <c r="BZ365" s="579"/>
      <c r="CA365" s="579"/>
      <c r="CB365" s="579"/>
      <c r="CC365" s="579"/>
      <c r="CD365" s="594"/>
      <c r="CE365" s="579"/>
      <c r="CF365" s="579"/>
      <c r="CG365" s="579"/>
      <c r="CH365" s="579"/>
      <c r="CI365" s="579"/>
      <c r="CJ365" s="594"/>
      <c r="CK365" s="579"/>
      <c r="CL365" s="579"/>
      <c r="CM365" s="579"/>
      <c r="CN365" s="579"/>
      <c r="CO365" s="579"/>
      <c r="CP365" s="579"/>
      <c r="CQ365" s="579"/>
      <c r="CR365" s="579"/>
      <c r="CS365" s="595"/>
      <c r="CT365" s="579"/>
      <c r="CU365" s="579"/>
      <c r="CV365" s="579"/>
      <c r="CW365" s="579"/>
      <c r="CX365" s="579"/>
      <c r="CY365" s="579"/>
      <c r="CZ365" s="579"/>
      <c r="DA365" s="579"/>
      <c r="DB365" s="579"/>
      <c r="DC365" s="579"/>
      <c r="DD365" s="579"/>
      <c r="DE365" s="594">
        <f t="shared" ref="DE365:DE370" si="1085">+M365</f>
        <v>0</v>
      </c>
      <c r="DF365" s="579"/>
      <c r="DG365" s="579"/>
      <c r="DH365" s="579"/>
      <c r="DI365" s="579"/>
      <c r="DJ365" s="579"/>
      <c r="DK365" s="579"/>
      <c r="DL365" s="579"/>
      <c r="DM365" s="579"/>
      <c r="DN365" s="579"/>
      <c r="DO365" s="579"/>
      <c r="DP365" s="579"/>
    </row>
    <row r="366" spans="1:120" hidden="1" outlineLevel="1">
      <c r="A366" s="89">
        <v>1110052010</v>
      </c>
      <c r="B366" s="90"/>
      <c r="C366" s="1476" t="s">
        <v>64</v>
      </c>
      <c r="D366" s="1469"/>
      <c r="E366" s="1470"/>
      <c r="F366" s="420"/>
      <c r="G366" s="1256"/>
      <c r="H366" s="421"/>
      <c r="I366" s="422"/>
      <c r="J366" s="1425">
        <v>1</v>
      </c>
      <c r="K366" s="1426">
        <v>1</v>
      </c>
      <c r="L366" s="1043"/>
      <c r="M366" s="1594">
        <f t="shared" si="1084"/>
        <v>0</v>
      </c>
      <c r="N366" s="415"/>
      <c r="O366" s="424">
        <f t="shared" si="1076"/>
        <v>0</v>
      </c>
      <c r="P366" s="425"/>
      <c r="Q366" s="1340"/>
      <c r="R366" s="426"/>
      <c r="S366" s="426"/>
      <c r="T366" s="427">
        <f t="shared" si="1077"/>
        <v>0</v>
      </c>
      <c r="U366" s="418">
        <f t="shared" si="1078"/>
        <v>0</v>
      </c>
      <c r="V366" s="517">
        <f t="shared" si="1079"/>
        <v>0</v>
      </c>
      <c r="W366" s="428">
        <f t="shared" si="1080"/>
        <v>0</v>
      </c>
      <c r="X366" s="429">
        <f t="shared" si="1081"/>
        <v>0</v>
      </c>
      <c r="Y366" s="92"/>
      <c r="AA366" s="53"/>
      <c r="AB366" s="578"/>
      <c r="AC366" s="578"/>
      <c r="AD366" s="578"/>
      <c r="AE366" s="578"/>
      <c r="AF366" s="579"/>
      <c r="AG366" s="579"/>
      <c r="AH366" s="579"/>
      <c r="AI366" s="579"/>
      <c r="AJ366" s="579"/>
      <c r="AK366" s="579"/>
      <c r="AL366" s="1563"/>
      <c r="AM366" s="579"/>
      <c r="AN366" s="579"/>
      <c r="AO366" s="579"/>
      <c r="AP366" s="579"/>
      <c r="AQ366" s="579"/>
      <c r="AR366" s="579"/>
      <c r="AS366" s="579"/>
      <c r="AT366" s="579"/>
      <c r="AU366" s="579"/>
      <c r="AV366" s="579"/>
      <c r="AW366" s="579"/>
      <c r="AX366" s="579"/>
      <c r="AY366" s="579"/>
      <c r="AZ366" s="579"/>
      <c r="BA366" s="579"/>
      <c r="BB366" s="579"/>
      <c r="BC366" s="579"/>
      <c r="BD366" s="579"/>
      <c r="BE366" s="579"/>
      <c r="BF366" s="579"/>
      <c r="BG366" s="579"/>
      <c r="BH366" s="579"/>
      <c r="BI366" s="579"/>
      <c r="BJ366" s="579"/>
      <c r="BK366" s="594"/>
      <c r="BL366" s="579"/>
      <c r="BM366" s="579"/>
      <c r="BN366" s="579"/>
      <c r="BO366" s="579"/>
      <c r="BP366" s="579"/>
      <c r="BQ366" s="579"/>
      <c r="BR366" s="579"/>
      <c r="BS366" s="579"/>
      <c r="BT366" s="579"/>
      <c r="BU366" s="579"/>
      <c r="BV366" s="579"/>
      <c r="BW366" s="579"/>
      <c r="BX366" s="579"/>
      <c r="BY366" s="579"/>
      <c r="BZ366" s="579"/>
      <c r="CA366" s="579"/>
      <c r="CB366" s="579"/>
      <c r="CC366" s="579"/>
      <c r="CD366" s="594"/>
      <c r="CE366" s="579"/>
      <c r="CF366" s="579"/>
      <c r="CG366" s="579"/>
      <c r="CH366" s="579"/>
      <c r="CI366" s="579"/>
      <c r="CJ366" s="594"/>
      <c r="CK366" s="579"/>
      <c r="CL366" s="579"/>
      <c r="CM366" s="579"/>
      <c r="CN366" s="579"/>
      <c r="CO366" s="579"/>
      <c r="CP366" s="579"/>
      <c r="CQ366" s="579"/>
      <c r="CR366" s="579"/>
      <c r="CS366" s="595"/>
      <c r="CT366" s="579"/>
      <c r="CU366" s="579"/>
      <c r="CV366" s="579"/>
      <c r="CW366" s="579"/>
      <c r="CX366" s="579"/>
      <c r="CY366" s="579"/>
      <c r="CZ366" s="579"/>
      <c r="DA366" s="579"/>
      <c r="DB366" s="579"/>
      <c r="DC366" s="579"/>
      <c r="DD366" s="579"/>
      <c r="DE366" s="594">
        <f t="shared" si="1085"/>
        <v>0</v>
      </c>
      <c r="DF366" s="579"/>
      <c r="DG366" s="579"/>
      <c r="DH366" s="579"/>
      <c r="DI366" s="579"/>
      <c r="DJ366" s="579"/>
      <c r="DK366" s="579"/>
      <c r="DL366" s="579"/>
      <c r="DM366" s="579"/>
      <c r="DN366" s="579"/>
      <c r="DO366" s="579"/>
      <c r="DP366" s="579"/>
    </row>
    <row r="367" spans="1:120" hidden="1" outlineLevel="1">
      <c r="A367" s="89">
        <v>1110052010</v>
      </c>
      <c r="B367" s="90"/>
      <c r="C367" s="1476" t="s">
        <v>64</v>
      </c>
      <c r="D367" s="1469"/>
      <c r="E367" s="1470"/>
      <c r="F367" s="420"/>
      <c r="G367" s="1256"/>
      <c r="H367" s="421"/>
      <c r="I367" s="422"/>
      <c r="J367" s="1425">
        <v>1</v>
      </c>
      <c r="K367" s="1426">
        <v>1</v>
      </c>
      <c r="L367" s="1043"/>
      <c r="M367" s="1594">
        <f t="shared" si="1084"/>
        <v>0</v>
      </c>
      <c r="N367" s="415"/>
      <c r="O367" s="424">
        <f t="shared" si="1076"/>
        <v>0</v>
      </c>
      <c r="P367" s="425"/>
      <c r="Q367" s="1340"/>
      <c r="R367" s="426"/>
      <c r="S367" s="426"/>
      <c r="T367" s="427">
        <f t="shared" si="1077"/>
        <v>0</v>
      </c>
      <c r="U367" s="418">
        <f t="shared" si="1078"/>
        <v>0</v>
      </c>
      <c r="V367" s="517">
        <f t="shared" si="1079"/>
        <v>0</v>
      </c>
      <c r="W367" s="428">
        <f t="shared" si="1080"/>
        <v>0</v>
      </c>
      <c r="X367" s="429">
        <f t="shared" si="1081"/>
        <v>0</v>
      </c>
      <c r="Y367" s="92"/>
      <c r="AA367" s="53"/>
      <c r="AB367" s="578"/>
      <c r="AC367" s="578"/>
      <c r="AD367" s="578"/>
      <c r="AE367" s="578"/>
      <c r="AF367" s="579"/>
      <c r="AG367" s="579"/>
      <c r="AH367" s="579"/>
      <c r="AI367" s="579"/>
      <c r="AJ367" s="579"/>
      <c r="AK367" s="579"/>
      <c r="AL367" s="1563"/>
      <c r="AM367" s="579"/>
      <c r="AN367" s="579"/>
      <c r="AO367" s="579"/>
      <c r="AP367" s="579"/>
      <c r="AQ367" s="579"/>
      <c r="AR367" s="579"/>
      <c r="AS367" s="579"/>
      <c r="AT367" s="579"/>
      <c r="AU367" s="579"/>
      <c r="AV367" s="579"/>
      <c r="AW367" s="579"/>
      <c r="AX367" s="579"/>
      <c r="AY367" s="579"/>
      <c r="AZ367" s="579"/>
      <c r="BA367" s="579"/>
      <c r="BB367" s="579"/>
      <c r="BC367" s="579"/>
      <c r="BD367" s="579"/>
      <c r="BE367" s="579"/>
      <c r="BF367" s="579"/>
      <c r="BG367" s="579"/>
      <c r="BH367" s="579"/>
      <c r="BI367" s="579"/>
      <c r="BJ367" s="579"/>
      <c r="BK367" s="594"/>
      <c r="BL367" s="579"/>
      <c r="BM367" s="579"/>
      <c r="BN367" s="579"/>
      <c r="BO367" s="579"/>
      <c r="BP367" s="579"/>
      <c r="BQ367" s="579"/>
      <c r="BR367" s="579"/>
      <c r="BS367" s="579"/>
      <c r="BT367" s="579"/>
      <c r="BU367" s="579"/>
      <c r="BV367" s="579"/>
      <c r="BW367" s="579"/>
      <c r="BX367" s="579"/>
      <c r="BY367" s="579"/>
      <c r="BZ367" s="579"/>
      <c r="CA367" s="579"/>
      <c r="CB367" s="579"/>
      <c r="CC367" s="579"/>
      <c r="CD367" s="594"/>
      <c r="CE367" s="579"/>
      <c r="CF367" s="579"/>
      <c r="CG367" s="579"/>
      <c r="CH367" s="579"/>
      <c r="CI367" s="579"/>
      <c r="CJ367" s="594"/>
      <c r="CK367" s="579"/>
      <c r="CL367" s="579"/>
      <c r="CM367" s="579"/>
      <c r="CN367" s="579"/>
      <c r="CO367" s="579"/>
      <c r="CP367" s="579"/>
      <c r="CQ367" s="579"/>
      <c r="CR367" s="579"/>
      <c r="CS367" s="595"/>
      <c r="CT367" s="579"/>
      <c r="CU367" s="579"/>
      <c r="CV367" s="579"/>
      <c r="CW367" s="579"/>
      <c r="CX367" s="579"/>
      <c r="CY367" s="579"/>
      <c r="CZ367" s="579"/>
      <c r="DA367" s="579"/>
      <c r="DB367" s="579"/>
      <c r="DC367" s="579"/>
      <c r="DD367" s="579"/>
      <c r="DE367" s="594">
        <f t="shared" si="1085"/>
        <v>0</v>
      </c>
      <c r="DF367" s="579"/>
      <c r="DG367" s="579"/>
      <c r="DH367" s="579"/>
      <c r="DI367" s="579"/>
      <c r="DJ367" s="579"/>
      <c r="DK367" s="579"/>
      <c r="DL367" s="579"/>
      <c r="DM367" s="579"/>
      <c r="DN367" s="579"/>
      <c r="DO367" s="579"/>
      <c r="DP367" s="579"/>
    </row>
    <row r="368" spans="1:120" hidden="1" outlineLevel="1">
      <c r="A368" s="89">
        <v>1110052010</v>
      </c>
      <c r="B368" s="90"/>
      <c r="C368" s="1476" t="s">
        <v>64</v>
      </c>
      <c r="D368" s="1469"/>
      <c r="E368" s="1470"/>
      <c r="F368" s="420"/>
      <c r="G368" s="1256"/>
      <c r="H368" s="421"/>
      <c r="I368" s="422"/>
      <c r="J368" s="1425">
        <v>1</v>
      </c>
      <c r="K368" s="1426">
        <v>1</v>
      </c>
      <c r="L368" s="1043"/>
      <c r="M368" s="1594">
        <f t="shared" si="1084"/>
        <v>0</v>
      </c>
      <c r="N368" s="415"/>
      <c r="O368" s="424">
        <f t="shared" si="1076"/>
        <v>0</v>
      </c>
      <c r="P368" s="425"/>
      <c r="Q368" s="1340"/>
      <c r="R368" s="426"/>
      <c r="S368" s="426"/>
      <c r="T368" s="427">
        <f t="shared" si="1077"/>
        <v>0</v>
      </c>
      <c r="U368" s="418">
        <f t="shared" si="1078"/>
        <v>0</v>
      </c>
      <c r="V368" s="517">
        <f t="shared" si="1079"/>
        <v>0</v>
      </c>
      <c r="W368" s="428">
        <f t="shared" si="1080"/>
        <v>0</v>
      </c>
      <c r="X368" s="429">
        <f t="shared" si="1081"/>
        <v>0</v>
      </c>
      <c r="Y368" s="92"/>
      <c r="AA368" s="53"/>
      <c r="AB368" s="578"/>
      <c r="AC368" s="578"/>
      <c r="AD368" s="578"/>
      <c r="AE368" s="578"/>
      <c r="AF368" s="579"/>
      <c r="AG368" s="579"/>
      <c r="AH368" s="579"/>
      <c r="AI368" s="579"/>
      <c r="AJ368" s="579"/>
      <c r="AK368" s="579"/>
      <c r="AL368" s="1563"/>
      <c r="AM368" s="579"/>
      <c r="AN368" s="579"/>
      <c r="AO368" s="579"/>
      <c r="AP368" s="579"/>
      <c r="AQ368" s="579"/>
      <c r="AR368" s="579"/>
      <c r="AS368" s="579"/>
      <c r="AT368" s="579"/>
      <c r="AU368" s="579"/>
      <c r="AV368" s="579"/>
      <c r="AW368" s="579"/>
      <c r="AX368" s="579"/>
      <c r="AY368" s="579"/>
      <c r="AZ368" s="579"/>
      <c r="BA368" s="579"/>
      <c r="BB368" s="579"/>
      <c r="BC368" s="579"/>
      <c r="BD368" s="579"/>
      <c r="BE368" s="579"/>
      <c r="BF368" s="579"/>
      <c r="BG368" s="579"/>
      <c r="BH368" s="579"/>
      <c r="BI368" s="579"/>
      <c r="BJ368" s="579"/>
      <c r="BK368" s="594"/>
      <c r="BL368" s="579"/>
      <c r="BM368" s="579"/>
      <c r="BN368" s="579"/>
      <c r="BO368" s="579"/>
      <c r="BP368" s="579"/>
      <c r="BQ368" s="579"/>
      <c r="BR368" s="579"/>
      <c r="BS368" s="579"/>
      <c r="BT368" s="579"/>
      <c r="BU368" s="579"/>
      <c r="BV368" s="579"/>
      <c r="BW368" s="579"/>
      <c r="BX368" s="579"/>
      <c r="BY368" s="579"/>
      <c r="BZ368" s="579"/>
      <c r="CA368" s="579"/>
      <c r="CB368" s="579"/>
      <c r="CC368" s="579"/>
      <c r="CD368" s="594"/>
      <c r="CE368" s="579"/>
      <c r="CF368" s="579"/>
      <c r="CG368" s="579"/>
      <c r="CH368" s="579"/>
      <c r="CI368" s="579"/>
      <c r="CJ368" s="594"/>
      <c r="CK368" s="579"/>
      <c r="CL368" s="579"/>
      <c r="CM368" s="579"/>
      <c r="CN368" s="579"/>
      <c r="CO368" s="579"/>
      <c r="CP368" s="579"/>
      <c r="CQ368" s="579"/>
      <c r="CR368" s="579"/>
      <c r="CS368" s="595"/>
      <c r="CT368" s="579"/>
      <c r="CU368" s="579"/>
      <c r="CV368" s="579"/>
      <c r="CW368" s="579"/>
      <c r="CX368" s="579"/>
      <c r="CY368" s="579"/>
      <c r="CZ368" s="579"/>
      <c r="DA368" s="579"/>
      <c r="DB368" s="579"/>
      <c r="DC368" s="579"/>
      <c r="DD368" s="579"/>
      <c r="DE368" s="594">
        <f t="shared" si="1085"/>
        <v>0</v>
      </c>
      <c r="DF368" s="579"/>
      <c r="DG368" s="579"/>
      <c r="DH368" s="579"/>
      <c r="DI368" s="579"/>
      <c r="DJ368" s="579"/>
      <c r="DK368" s="579"/>
      <c r="DL368" s="579"/>
      <c r="DM368" s="579"/>
      <c r="DN368" s="579"/>
      <c r="DO368" s="579"/>
      <c r="DP368" s="579"/>
    </row>
    <row r="369" spans="1:120" hidden="1" outlineLevel="1">
      <c r="A369" s="89">
        <v>1110052010</v>
      </c>
      <c r="B369" s="90"/>
      <c r="C369" s="1476" t="s">
        <v>64</v>
      </c>
      <c r="D369" s="1469"/>
      <c r="E369" s="1470"/>
      <c r="F369" s="420"/>
      <c r="G369" s="1256"/>
      <c r="H369" s="421"/>
      <c r="I369" s="422"/>
      <c r="J369" s="1425">
        <v>1</v>
      </c>
      <c r="K369" s="1426">
        <v>1</v>
      </c>
      <c r="L369" s="1043"/>
      <c r="M369" s="1594">
        <f t="shared" si="1084"/>
        <v>0</v>
      </c>
      <c r="N369" s="415"/>
      <c r="O369" s="424">
        <f t="shared" ref="O369:O381" si="1086">+L369*N369</f>
        <v>0</v>
      </c>
      <c r="P369" s="425"/>
      <c r="Q369" s="1340"/>
      <c r="R369" s="426"/>
      <c r="S369" s="426"/>
      <c r="T369" s="427">
        <f t="shared" ref="T369:T381" si="1087">+P369*S369</f>
        <v>0</v>
      </c>
      <c r="U369" s="418">
        <f t="shared" ref="U369:U381" si="1088">+L369+P369+F369</f>
        <v>0</v>
      </c>
      <c r="V369" s="517">
        <f t="shared" ref="V369:V381" si="1089">+P369*R369+L369*N369+F369*H369</f>
        <v>0</v>
      </c>
      <c r="W369" s="428">
        <f t="shared" ref="W369:W381" si="1090">(IF(R369&gt;S369,(-P369*R369)-(-P369*S369),0))</f>
        <v>0</v>
      </c>
      <c r="X369" s="429">
        <f t="shared" ref="X369:X381" si="1091">(IF(R369&lt;S369,(-P369*R369)-(-P369*S369),0))</f>
        <v>0</v>
      </c>
      <c r="Y369" s="92"/>
      <c r="AA369" s="53"/>
      <c r="AB369" s="578"/>
      <c r="AC369" s="578"/>
      <c r="AD369" s="578"/>
      <c r="AE369" s="578"/>
      <c r="AF369" s="579"/>
      <c r="AG369" s="579"/>
      <c r="AH369" s="579"/>
      <c r="AI369" s="579"/>
      <c r="AJ369" s="579"/>
      <c r="AK369" s="579"/>
      <c r="AL369" s="1563"/>
      <c r="AM369" s="579"/>
      <c r="AN369" s="579"/>
      <c r="AO369" s="579"/>
      <c r="AP369" s="579"/>
      <c r="AQ369" s="579"/>
      <c r="AR369" s="579"/>
      <c r="AS369" s="579"/>
      <c r="AT369" s="579"/>
      <c r="AU369" s="579"/>
      <c r="AV369" s="579"/>
      <c r="AW369" s="579"/>
      <c r="AX369" s="579"/>
      <c r="AY369" s="579"/>
      <c r="AZ369" s="579"/>
      <c r="BA369" s="579"/>
      <c r="BB369" s="579"/>
      <c r="BC369" s="579"/>
      <c r="BD369" s="579"/>
      <c r="BE369" s="579"/>
      <c r="BF369" s="579"/>
      <c r="BG369" s="579"/>
      <c r="BH369" s="579"/>
      <c r="BI369" s="579"/>
      <c r="BJ369" s="579"/>
      <c r="BK369" s="594"/>
      <c r="BL369" s="579"/>
      <c r="BM369" s="579"/>
      <c r="BN369" s="579"/>
      <c r="BO369" s="579"/>
      <c r="BP369" s="579"/>
      <c r="BQ369" s="579"/>
      <c r="BR369" s="579"/>
      <c r="BS369" s="579"/>
      <c r="BT369" s="579"/>
      <c r="BU369" s="579"/>
      <c r="BV369" s="579"/>
      <c r="BW369" s="579"/>
      <c r="BX369" s="579"/>
      <c r="BY369" s="579"/>
      <c r="BZ369" s="579"/>
      <c r="CA369" s="579"/>
      <c r="CB369" s="579"/>
      <c r="CC369" s="579"/>
      <c r="CD369" s="594"/>
      <c r="CE369" s="579"/>
      <c r="CF369" s="579"/>
      <c r="CG369" s="579"/>
      <c r="CH369" s="579"/>
      <c r="CI369" s="579"/>
      <c r="CJ369" s="594"/>
      <c r="CK369" s="579"/>
      <c r="CL369" s="579"/>
      <c r="CM369" s="579"/>
      <c r="CN369" s="579"/>
      <c r="CO369" s="579"/>
      <c r="CP369" s="579"/>
      <c r="CQ369" s="579"/>
      <c r="CR369" s="579"/>
      <c r="CS369" s="595"/>
      <c r="CT369" s="579"/>
      <c r="CU369" s="579"/>
      <c r="CV369" s="579"/>
      <c r="CW369" s="579"/>
      <c r="CX369" s="579"/>
      <c r="CY369" s="579"/>
      <c r="CZ369" s="579"/>
      <c r="DA369" s="579"/>
      <c r="DB369" s="579"/>
      <c r="DC369" s="579"/>
      <c r="DD369" s="579"/>
      <c r="DE369" s="594">
        <f t="shared" si="1085"/>
        <v>0</v>
      </c>
      <c r="DF369" s="579"/>
      <c r="DG369" s="579"/>
      <c r="DH369" s="579"/>
      <c r="DI369" s="579"/>
      <c r="DJ369" s="579"/>
      <c r="DK369" s="579"/>
      <c r="DL369" s="579"/>
      <c r="DM369" s="579"/>
      <c r="DN369" s="579"/>
      <c r="DO369" s="579"/>
      <c r="DP369" s="579"/>
    </row>
    <row r="370" spans="1:120" hidden="1" outlineLevel="1">
      <c r="A370" s="89">
        <v>1110052010</v>
      </c>
      <c r="B370" s="90"/>
      <c r="C370" s="1476" t="s">
        <v>64</v>
      </c>
      <c r="D370" s="1469"/>
      <c r="E370" s="1470"/>
      <c r="F370" s="420"/>
      <c r="G370" s="1256"/>
      <c r="H370" s="421"/>
      <c r="I370" s="422"/>
      <c r="J370" s="1425">
        <v>1</v>
      </c>
      <c r="K370" s="1426">
        <v>1</v>
      </c>
      <c r="L370" s="1043"/>
      <c r="M370" s="1594">
        <f t="shared" si="1084"/>
        <v>0</v>
      </c>
      <c r="N370" s="415"/>
      <c r="O370" s="424">
        <f t="shared" si="1086"/>
        <v>0</v>
      </c>
      <c r="P370" s="425"/>
      <c r="Q370" s="1340"/>
      <c r="R370" s="426"/>
      <c r="S370" s="426"/>
      <c r="T370" s="427">
        <f t="shared" si="1087"/>
        <v>0</v>
      </c>
      <c r="U370" s="418">
        <f t="shared" si="1088"/>
        <v>0</v>
      </c>
      <c r="V370" s="517">
        <f t="shared" si="1089"/>
        <v>0</v>
      </c>
      <c r="W370" s="428">
        <f t="shared" si="1090"/>
        <v>0</v>
      </c>
      <c r="X370" s="429">
        <f t="shared" si="1091"/>
        <v>0</v>
      </c>
      <c r="Y370" s="92"/>
      <c r="AA370" s="53"/>
      <c r="AB370" s="578"/>
      <c r="AC370" s="578"/>
      <c r="AD370" s="578"/>
      <c r="AE370" s="578"/>
      <c r="AF370" s="579"/>
      <c r="AG370" s="579"/>
      <c r="AH370" s="579"/>
      <c r="AI370" s="579"/>
      <c r="AJ370" s="579"/>
      <c r="AK370" s="579"/>
      <c r="AL370" s="1563"/>
      <c r="AM370" s="579"/>
      <c r="AN370" s="579"/>
      <c r="AO370" s="579"/>
      <c r="AP370" s="579"/>
      <c r="AQ370" s="579"/>
      <c r="AR370" s="579"/>
      <c r="AS370" s="579"/>
      <c r="AT370" s="579"/>
      <c r="AU370" s="579"/>
      <c r="AV370" s="579"/>
      <c r="AW370" s="579"/>
      <c r="AX370" s="579"/>
      <c r="AY370" s="579"/>
      <c r="AZ370" s="579"/>
      <c r="BA370" s="579"/>
      <c r="BB370" s="579"/>
      <c r="BC370" s="579"/>
      <c r="BD370" s="579"/>
      <c r="BE370" s="579"/>
      <c r="BF370" s="579"/>
      <c r="BG370" s="579"/>
      <c r="BH370" s="579"/>
      <c r="BI370" s="579"/>
      <c r="BJ370" s="579"/>
      <c r="BK370" s="594"/>
      <c r="BL370" s="579"/>
      <c r="BM370" s="579"/>
      <c r="BN370" s="579"/>
      <c r="BO370" s="579"/>
      <c r="BP370" s="579"/>
      <c r="BQ370" s="579"/>
      <c r="BR370" s="579"/>
      <c r="BS370" s="579"/>
      <c r="BT370" s="579"/>
      <c r="BU370" s="579"/>
      <c r="BV370" s="579"/>
      <c r="BW370" s="579"/>
      <c r="BX370" s="579"/>
      <c r="BY370" s="579"/>
      <c r="BZ370" s="579"/>
      <c r="CA370" s="579"/>
      <c r="CB370" s="579"/>
      <c r="CC370" s="579"/>
      <c r="CD370" s="594"/>
      <c r="CE370" s="579"/>
      <c r="CF370" s="579"/>
      <c r="CG370" s="579"/>
      <c r="CH370" s="579"/>
      <c r="CI370" s="579"/>
      <c r="CJ370" s="594"/>
      <c r="CK370" s="579"/>
      <c r="CL370" s="579"/>
      <c r="CM370" s="579"/>
      <c r="CN370" s="579"/>
      <c r="CO370" s="579"/>
      <c r="CP370" s="579"/>
      <c r="CQ370" s="579"/>
      <c r="CR370" s="579"/>
      <c r="CS370" s="595"/>
      <c r="CT370" s="579"/>
      <c r="CU370" s="579"/>
      <c r="CV370" s="579"/>
      <c r="CW370" s="579"/>
      <c r="CX370" s="579"/>
      <c r="CY370" s="579"/>
      <c r="CZ370" s="579"/>
      <c r="DA370" s="579"/>
      <c r="DB370" s="579"/>
      <c r="DC370" s="579"/>
      <c r="DD370" s="579"/>
      <c r="DE370" s="594">
        <f t="shared" si="1085"/>
        <v>0</v>
      </c>
      <c r="DF370" s="579"/>
      <c r="DG370" s="579"/>
      <c r="DH370" s="579"/>
      <c r="DI370" s="579"/>
      <c r="DJ370" s="579"/>
      <c r="DK370" s="579"/>
      <c r="DL370" s="579"/>
      <c r="DM370" s="579"/>
      <c r="DN370" s="579"/>
      <c r="DO370" s="579"/>
      <c r="DP370" s="579"/>
    </row>
    <row r="371" spans="1:120" hidden="1" outlineLevel="1">
      <c r="A371" s="89">
        <v>1110052010</v>
      </c>
      <c r="B371" s="90"/>
      <c r="C371" s="1476" t="s">
        <v>64</v>
      </c>
      <c r="D371" s="1469"/>
      <c r="E371" s="1470"/>
      <c r="F371" s="420"/>
      <c r="G371" s="1256"/>
      <c r="H371" s="421"/>
      <c r="I371" s="422"/>
      <c r="J371" s="1425">
        <v>1</v>
      </c>
      <c r="K371" s="1426">
        <v>1</v>
      </c>
      <c r="L371" s="1043"/>
      <c r="M371" s="1594"/>
      <c r="N371" s="415"/>
      <c r="O371" s="424">
        <f t="shared" si="1086"/>
        <v>0</v>
      </c>
      <c r="P371" s="425"/>
      <c r="Q371" s="1340">
        <f t="shared" ref="Q371:Q396" si="1092">+P371*K371</f>
        <v>0</v>
      </c>
      <c r="R371" s="426"/>
      <c r="S371" s="426"/>
      <c r="T371" s="427">
        <f t="shared" si="1087"/>
        <v>0</v>
      </c>
      <c r="U371" s="418">
        <f t="shared" si="1088"/>
        <v>0</v>
      </c>
      <c r="V371" s="517">
        <f t="shared" si="1089"/>
        <v>0</v>
      </c>
      <c r="W371" s="428">
        <f t="shared" si="1090"/>
        <v>0</v>
      </c>
      <c r="X371" s="429">
        <f t="shared" si="1091"/>
        <v>0</v>
      </c>
      <c r="Y371" s="92"/>
      <c r="AA371" s="53"/>
      <c r="AB371" s="578"/>
      <c r="AC371" s="578"/>
      <c r="AD371" s="578"/>
      <c r="AE371" s="578"/>
      <c r="AF371" s="579"/>
      <c r="AG371" s="579"/>
      <c r="AH371" s="579"/>
      <c r="AI371" s="579"/>
      <c r="AJ371" s="579"/>
      <c r="AK371" s="579"/>
      <c r="AL371" s="1563"/>
      <c r="AM371" s="579"/>
      <c r="AN371" s="579"/>
      <c r="AO371" s="579"/>
      <c r="AP371" s="579"/>
      <c r="AQ371" s="579"/>
      <c r="AR371" s="579"/>
      <c r="AS371" s="579"/>
      <c r="AT371" s="579"/>
      <c r="AU371" s="579"/>
      <c r="AV371" s="579"/>
      <c r="AW371" s="579"/>
      <c r="AX371" s="579"/>
      <c r="AY371" s="579"/>
      <c r="AZ371" s="579"/>
      <c r="BA371" s="579"/>
      <c r="BB371" s="579"/>
      <c r="BC371" s="579"/>
      <c r="BD371" s="579"/>
      <c r="BE371" s="579"/>
      <c r="BF371" s="579"/>
      <c r="BG371" s="579"/>
      <c r="BH371" s="579"/>
      <c r="BI371" s="579"/>
      <c r="BJ371" s="579"/>
      <c r="BK371" s="594"/>
      <c r="BL371" s="579"/>
      <c r="BM371" s="579"/>
      <c r="BN371" s="579"/>
      <c r="BO371" s="594">
        <f>+Q371</f>
        <v>0</v>
      </c>
      <c r="BP371" s="579"/>
      <c r="BQ371" s="579"/>
      <c r="BR371" s="579"/>
      <c r="BS371" s="579"/>
      <c r="BT371" s="579"/>
      <c r="BU371" s="579"/>
      <c r="BV371" s="579"/>
      <c r="BW371" s="579"/>
      <c r="BX371" s="579"/>
      <c r="BY371" s="579"/>
      <c r="BZ371" s="579"/>
      <c r="CA371" s="579"/>
      <c r="CB371" s="579"/>
      <c r="CC371" s="579"/>
      <c r="CD371" s="594"/>
      <c r="CE371" s="579"/>
      <c r="CF371" s="579"/>
      <c r="CG371" s="579"/>
      <c r="CH371" s="579"/>
      <c r="CI371" s="579"/>
      <c r="CJ371" s="594"/>
      <c r="CK371" s="579"/>
      <c r="CL371" s="579"/>
      <c r="CM371" s="579"/>
      <c r="CN371" s="579"/>
      <c r="CO371" s="579"/>
      <c r="CP371" s="579"/>
      <c r="CQ371" s="579"/>
      <c r="CR371" s="579"/>
      <c r="CS371" s="595"/>
      <c r="CT371" s="579"/>
      <c r="CU371" s="579"/>
      <c r="CV371" s="579"/>
      <c r="CW371" s="579"/>
      <c r="CX371" s="579"/>
      <c r="CY371" s="579"/>
      <c r="CZ371" s="579"/>
      <c r="DA371" s="579"/>
      <c r="DB371" s="579"/>
      <c r="DC371" s="579"/>
      <c r="DD371" s="579"/>
      <c r="DE371" s="579"/>
      <c r="DF371" s="579"/>
      <c r="DG371" s="579"/>
      <c r="DH371" s="579"/>
      <c r="DI371" s="579"/>
      <c r="DJ371" s="579"/>
      <c r="DK371" s="579"/>
      <c r="DL371" s="579"/>
      <c r="DM371" s="579"/>
      <c r="DN371" s="579"/>
      <c r="DO371" s="579"/>
      <c r="DP371" s="579"/>
    </row>
    <row r="372" spans="1:120" hidden="1" outlineLevel="1">
      <c r="A372" s="89">
        <v>1110052010</v>
      </c>
      <c r="B372" s="90"/>
      <c r="C372" s="1476" t="s">
        <v>64</v>
      </c>
      <c r="D372" s="1469"/>
      <c r="E372" s="1470"/>
      <c r="F372" s="420"/>
      <c r="G372" s="1256"/>
      <c r="H372" s="421"/>
      <c r="I372" s="422"/>
      <c r="J372" s="1425">
        <v>1</v>
      </c>
      <c r="K372" s="1426">
        <v>1</v>
      </c>
      <c r="L372" s="1043"/>
      <c r="M372" s="1594"/>
      <c r="N372" s="415"/>
      <c r="O372" s="424">
        <f t="shared" si="1086"/>
        <v>0</v>
      </c>
      <c r="P372" s="425"/>
      <c r="Q372" s="1340">
        <f t="shared" si="1092"/>
        <v>0</v>
      </c>
      <c r="R372" s="426"/>
      <c r="S372" s="426"/>
      <c r="T372" s="427">
        <f t="shared" si="1087"/>
        <v>0</v>
      </c>
      <c r="U372" s="418">
        <f t="shared" si="1088"/>
        <v>0</v>
      </c>
      <c r="V372" s="517">
        <f t="shared" si="1089"/>
        <v>0</v>
      </c>
      <c r="W372" s="428">
        <f t="shared" si="1090"/>
        <v>0</v>
      </c>
      <c r="X372" s="429">
        <f t="shared" si="1091"/>
        <v>0</v>
      </c>
      <c r="Y372" s="92"/>
      <c r="AA372" s="53"/>
      <c r="AB372" s="578"/>
      <c r="AC372" s="578"/>
      <c r="AD372" s="578"/>
      <c r="AE372" s="578"/>
      <c r="AF372" s="579"/>
      <c r="AG372" s="579"/>
      <c r="AH372" s="579"/>
      <c r="AI372" s="579"/>
      <c r="AJ372" s="579"/>
      <c r="AK372" s="579"/>
      <c r="AL372" s="1563"/>
      <c r="AM372" s="579"/>
      <c r="AN372" s="579"/>
      <c r="AO372" s="579"/>
      <c r="AP372" s="579"/>
      <c r="AQ372" s="579"/>
      <c r="AR372" s="579"/>
      <c r="AS372" s="579"/>
      <c r="AT372" s="579"/>
      <c r="AU372" s="579"/>
      <c r="AV372" s="579"/>
      <c r="AW372" s="579"/>
      <c r="AX372" s="579"/>
      <c r="AY372" s="579"/>
      <c r="AZ372" s="579"/>
      <c r="BA372" s="579"/>
      <c r="BB372" s="579"/>
      <c r="BC372" s="579"/>
      <c r="BD372" s="579"/>
      <c r="BE372" s="579"/>
      <c r="BF372" s="579"/>
      <c r="BG372" s="579"/>
      <c r="BH372" s="579"/>
      <c r="BI372" s="579"/>
      <c r="BJ372" s="579"/>
      <c r="BK372" s="594"/>
      <c r="BL372" s="579"/>
      <c r="BM372" s="579"/>
      <c r="BN372" s="579"/>
      <c r="BO372" s="594">
        <f>+Q372</f>
        <v>0</v>
      </c>
      <c r="BP372" s="579"/>
      <c r="BQ372" s="579"/>
      <c r="BR372" s="579"/>
      <c r="BS372" s="579"/>
      <c r="BT372" s="579"/>
      <c r="BU372" s="579"/>
      <c r="BV372" s="579"/>
      <c r="BW372" s="579"/>
      <c r="BX372" s="579"/>
      <c r="BY372" s="579"/>
      <c r="BZ372" s="579"/>
      <c r="CA372" s="579"/>
      <c r="CB372" s="579"/>
      <c r="CC372" s="579"/>
      <c r="CD372" s="594"/>
      <c r="CE372" s="579"/>
      <c r="CF372" s="579"/>
      <c r="CG372" s="579"/>
      <c r="CH372" s="579"/>
      <c r="CI372" s="579"/>
      <c r="CJ372" s="594"/>
      <c r="CK372" s="579"/>
      <c r="CL372" s="579"/>
      <c r="CM372" s="579"/>
      <c r="CN372" s="579"/>
      <c r="CO372" s="579"/>
      <c r="CP372" s="579"/>
      <c r="CQ372" s="579"/>
      <c r="CR372" s="579"/>
      <c r="CS372" s="595"/>
      <c r="CT372" s="579"/>
      <c r="CU372" s="579"/>
      <c r="CV372" s="579"/>
      <c r="CW372" s="579"/>
      <c r="CX372" s="579"/>
      <c r="CY372" s="579"/>
      <c r="CZ372" s="579"/>
      <c r="DA372" s="579"/>
      <c r="DB372" s="579"/>
      <c r="DC372" s="579"/>
      <c r="DD372" s="579"/>
      <c r="DE372" s="579"/>
      <c r="DF372" s="579"/>
      <c r="DG372" s="579"/>
      <c r="DH372" s="579"/>
      <c r="DI372" s="579"/>
      <c r="DJ372" s="579"/>
      <c r="DK372" s="579"/>
      <c r="DL372" s="579"/>
      <c r="DM372" s="579"/>
      <c r="DN372" s="579"/>
      <c r="DO372" s="579"/>
      <c r="DP372" s="579"/>
    </row>
    <row r="373" spans="1:120" hidden="1" outlineLevel="1">
      <c r="A373" s="381">
        <v>1110052010</v>
      </c>
      <c r="B373" s="195"/>
      <c r="C373" s="1634" t="s">
        <v>64</v>
      </c>
      <c r="D373" s="1471"/>
      <c r="E373" s="1472"/>
      <c r="F373" s="382"/>
      <c r="G373" s="1260"/>
      <c r="H373" s="1044"/>
      <c r="I373" s="1045"/>
      <c r="J373" s="1451">
        <v>1</v>
      </c>
      <c r="K373" s="1452">
        <v>1</v>
      </c>
      <c r="L373" s="1046"/>
      <c r="M373" s="1595"/>
      <c r="N373" s="386"/>
      <c r="O373" s="1047">
        <f t="shared" si="1086"/>
        <v>0</v>
      </c>
      <c r="P373" s="1048"/>
      <c r="Q373" s="1239">
        <f t="shared" si="1092"/>
        <v>0</v>
      </c>
      <c r="R373" s="389"/>
      <c r="S373" s="389"/>
      <c r="T373" s="390">
        <f t="shared" si="1087"/>
        <v>0</v>
      </c>
      <c r="U373" s="418">
        <f t="shared" si="1088"/>
        <v>0</v>
      </c>
      <c r="V373" s="517">
        <f t="shared" si="1089"/>
        <v>0</v>
      </c>
      <c r="W373" s="428">
        <f t="shared" si="1090"/>
        <v>0</v>
      </c>
      <c r="X373" s="429">
        <f t="shared" si="1091"/>
        <v>0</v>
      </c>
      <c r="Y373" s="92"/>
      <c r="AA373" s="53"/>
      <c r="AB373" s="578"/>
      <c r="AC373" s="578"/>
      <c r="AD373" s="578"/>
      <c r="AE373" s="578"/>
      <c r="AF373" s="579"/>
      <c r="AG373" s="579"/>
      <c r="AH373" s="579"/>
      <c r="AI373" s="579"/>
      <c r="AJ373" s="579"/>
      <c r="AK373" s="579"/>
      <c r="AL373" s="1563"/>
      <c r="AM373" s="579"/>
      <c r="AN373" s="579"/>
      <c r="AO373" s="579"/>
      <c r="AP373" s="579"/>
      <c r="AQ373" s="579"/>
      <c r="AR373" s="579"/>
      <c r="AS373" s="579"/>
      <c r="AT373" s="579"/>
      <c r="AU373" s="579"/>
      <c r="AV373" s="579"/>
      <c r="AW373" s="579"/>
      <c r="AX373" s="579"/>
      <c r="AY373" s="579"/>
      <c r="AZ373" s="579"/>
      <c r="BA373" s="579"/>
      <c r="BB373" s="579"/>
      <c r="BC373" s="579"/>
      <c r="BD373" s="579"/>
      <c r="BE373" s="579"/>
      <c r="BF373" s="579"/>
      <c r="BG373" s="579"/>
      <c r="BH373" s="579"/>
      <c r="BI373" s="579"/>
      <c r="BJ373" s="579"/>
      <c r="BK373" s="594"/>
      <c r="BL373" s="579"/>
      <c r="BM373" s="579"/>
      <c r="BN373" s="579"/>
      <c r="BO373" s="594">
        <f>+Q373</f>
        <v>0</v>
      </c>
      <c r="BP373" s="579"/>
      <c r="BQ373" s="579"/>
      <c r="BR373" s="579"/>
      <c r="BS373" s="579"/>
      <c r="BT373" s="579"/>
      <c r="BU373" s="579"/>
      <c r="BV373" s="579"/>
      <c r="BW373" s="579"/>
      <c r="BX373" s="579"/>
      <c r="BY373" s="579"/>
      <c r="BZ373" s="579"/>
      <c r="CA373" s="579"/>
      <c r="CB373" s="579"/>
      <c r="CC373" s="579"/>
      <c r="CD373" s="594"/>
      <c r="CE373" s="579"/>
      <c r="CF373" s="579"/>
      <c r="CG373" s="579"/>
      <c r="CH373" s="579"/>
      <c r="CI373" s="579"/>
      <c r="CJ373" s="594"/>
      <c r="CK373" s="579"/>
      <c r="CL373" s="579"/>
      <c r="CM373" s="579"/>
      <c r="CN373" s="579"/>
      <c r="CO373" s="579"/>
      <c r="CP373" s="579"/>
      <c r="CQ373" s="579"/>
      <c r="CR373" s="579"/>
      <c r="CS373" s="595"/>
      <c r="CT373" s="579"/>
      <c r="CU373" s="579"/>
      <c r="CV373" s="579"/>
      <c r="CW373" s="579"/>
      <c r="CX373" s="579"/>
      <c r="CY373" s="579"/>
      <c r="CZ373" s="579"/>
      <c r="DA373" s="579"/>
      <c r="DB373" s="579"/>
      <c r="DC373" s="579"/>
      <c r="DD373" s="579"/>
      <c r="DE373" s="579"/>
      <c r="DF373" s="579"/>
      <c r="DG373" s="579"/>
      <c r="DH373" s="579"/>
      <c r="DI373" s="579"/>
      <c r="DJ373" s="579"/>
      <c r="DK373" s="579"/>
      <c r="DL373" s="579"/>
      <c r="DM373" s="579"/>
      <c r="DN373" s="579"/>
      <c r="DO373" s="579"/>
      <c r="DP373" s="579"/>
    </row>
    <row r="374" spans="1:120" hidden="1" outlineLevel="1">
      <c r="A374" s="381">
        <v>1110052010</v>
      </c>
      <c r="B374" s="195"/>
      <c r="C374" s="1634" t="s">
        <v>64</v>
      </c>
      <c r="D374" s="1471"/>
      <c r="E374" s="1472"/>
      <c r="F374" s="382"/>
      <c r="G374" s="1260"/>
      <c r="H374" s="1044"/>
      <c r="I374" s="1045"/>
      <c r="J374" s="1451">
        <v>1</v>
      </c>
      <c r="K374" s="1452">
        <v>1</v>
      </c>
      <c r="L374" s="1046"/>
      <c r="M374" s="1595"/>
      <c r="N374" s="386"/>
      <c r="O374" s="1047">
        <f t="shared" ref="O374:O377" si="1093">+L374*N374</f>
        <v>0</v>
      </c>
      <c r="P374" s="1048"/>
      <c r="Q374" s="1239">
        <f t="shared" ref="Q374:Q377" si="1094">+P374*K374</f>
        <v>0</v>
      </c>
      <c r="R374" s="389"/>
      <c r="S374" s="389"/>
      <c r="T374" s="390">
        <f t="shared" ref="T374:T377" si="1095">+P374*S374</f>
        <v>0</v>
      </c>
      <c r="U374" s="418">
        <f t="shared" ref="U374:U377" si="1096">+L374+P374+F374</f>
        <v>0</v>
      </c>
      <c r="V374" s="517">
        <f t="shared" ref="V374:V377" si="1097">+P374*R374+L374*N374+F374*H374</f>
        <v>0</v>
      </c>
      <c r="W374" s="428">
        <f t="shared" ref="W374:W377" si="1098">(IF(R374&gt;S374,(-P374*R374)-(-P374*S374),0))</f>
        <v>0</v>
      </c>
      <c r="X374" s="429">
        <f t="shared" ref="X374:X377" si="1099">(IF(R374&lt;S374,(-P374*R374)-(-P374*S374),0))</f>
        <v>0</v>
      </c>
      <c r="Y374" s="92"/>
      <c r="AA374" s="53"/>
      <c r="AB374" s="578"/>
      <c r="AC374" s="578"/>
      <c r="AD374" s="578"/>
      <c r="AE374" s="578"/>
      <c r="AF374" s="579"/>
      <c r="AG374" s="579"/>
      <c r="AH374" s="579"/>
      <c r="AI374" s="579"/>
      <c r="AJ374" s="579"/>
      <c r="AK374" s="579"/>
      <c r="AL374" s="1563"/>
      <c r="AM374" s="579"/>
      <c r="AN374" s="579"/>
      <c r="AO374" s="579"/>
      <c r="AP374" s="579"/>
      <c r="AQ374" s="579"/>
      <c r="AR374" s="579"/>
      <c r="AS374" s="579"/>
      <c r="AT374" s="579"/>
      <c r="AU374" s="579"/>
      <c r="AV374" s="579"/>
      <c r="AW374" s="579"/>
      <c r="AX374" s="579"/>
      <c r="AY374" s="579"/>
      <c r="AZ374" s="579"/>
      <c r="BA374" s="579"/>
      <c r="BB374" s="579"/>
      <c r="BC374" s="579"/>
      <c r="BD374" s="579"/>
      <c r="BE374" s="579"/>
      <c r="BF374" s="579"/>
      <c r="BG374" s="579"/>
      <c r="BH374" s="579"/>
      <c r="BI374" s="579"/>
      <c r="BJ374" s="579"/>
      <c r="BK374" s="594"/>
      <c r="BL374" s="579"/>
      <c r="BM374" s="579"/>
      <c r="BN374" s="579"/>
      <c r="BO374" s="594"/>
      <c r="BP374" s="579"/>
      <c r="BQ374" s="579"/>
      <c r="BR374" s="579"/>
      <c r="BS374" s="594">
        <f>+Q374</f>
        <v>0</v>
      </c>
      <c r="BT374" s="579"/>
      <c r="BU374" s="579"/>
      <c r="BV374" s="579"/>
      <c r="BW374" s="579"/>
      <c r="BX374" s="579"/>
      <c r="BY374" s="579"/>
      <c r="BZ374" s="579"/>
      <c r="CA374" s="579"/>
      <c r="CB374" s="579"/>
      <c r="CC374" s="579"/>
      <c r="CD374" s="594"/>
      <c r="CE374" s="579"/>
      <c r="CF374" s="579"/>
      <c r="CG374" s="579"/>
      <c r="CH374" s="579"/>
      <c r="CI374" s="579"/>
      <c r="CJ374" s="594"/>
      <c r="CK374" s="579"/>
      <c r="CL374" s="579"/>
      <c r="CM374" s="579"/>
      <c r="CN374" s="579"/>
      <c r="CO374" s="579"/>
      <c r="CP374" s="579"/>
      <c r="CQ374" s="579"/>
      <c r="CR374" s="579"/>
      <c r="CS374" s="595"/>
      <c r="CT374" s="579"/>
      <c r="CU374" s="579"/>
      <c r="CV374" s="579"/>
      <c r="CW374" s="579"/>
      <c r="CX374" s="579"/>
      <c r="CY374" s="579"/>
      <c r="CZ374" s="579"/>
      <c r="DA374" s="579"/>
      <c r="DB374" s="579"/>
      <c r="DC374" s="579"/>
      <c r="DD374" s="579"/>
      <c r="DE374" s="579"/>
      <c r="DF374" s="579"/>
      <c r="DG374" s="579"/>
      <c r="DH374" s="579"/>
      <c r="DI374" s="579"/>
      <c r="DJ374" s="579"/>
      <c r="DK374" s="579"/>
      <c r="DL374" s="579"/>
      <c r="DM374" s="579"/>
      <c r="DN374" s="579"/>
      <c r="DO374" s="579"/>
      <c r="DP374" s="579"/>
    </row>
    <row r="375" spans="1:120" hidden="1" outlineLevel="1">
      <c r="A375" s="381">
        <v>1110052010</v>
      </c>
      <c r="B375" s="195"/>
      <c r="C375" s="1634" t="s">
        <v>64</v>
      </c>
      <c r="D375" s="1471"/>
      <c r="E375" s="1472"/>
      <c r="F375" s="382"/>
      <c r="G375" s="1260"/>
      <c r="H375" s="1044"/>
      <c r="I375" s="1045"/>
      <c r="J375" s="1451">
        <v>1</v>
      </c>
      <c r="K375" s="1452">
        <v>1</v>
      </c>
      <c r="L375" s="1046"/>
      <c r="M375" s="1595"/>
      <c r="N375" s="386"/>
      <c r="O375" s="1047">
        <f t="shared" ref="O375:O376" si="1100">+L375*N375</f>
        <v>0</v>
      </c>
      <c r="P375" s="1048"/>
      <c r="Q375" s="1239">
        <f t="shared" ref="Q375:Q376" si="1101">+P375*K375</f>
        <v>0</v>
      </c>
      <c r="R375" s="389"/>
      <c r="S375" s="389"/>
      <c r="T375" s="390">
        <f t="shared" ref="T375:T376" si="1102">+P375*S375</f>
        <v>0</v>
      </c>
      <c r="U375" s="418">
        <f t="shared" ref="U375:U376" si="1103">+L375+P375+F375</f>
        <v>0</v>
      </c>
      <c r="V375" s="517">
        <f t="shared" ref="V375:V376" si="1104">+P375*R375+L375*N375+F375*H375</f>
        <v>0</v>
      </c>
      <c r="W375" s="428">
        <f t="shared" ref="W375:W376" si="1105">(IF(R375&gt;S375,(-P375*R375)-(-P375*S375),0))</f>
        <v>0</v>
      </c>
      <c r="X375" s="429">
        <f t="shared" ref="X375:X376" si="1106">(IF(R375&lt;S375,(-P375*R375)-(-P375*S375),0))</f>
        <v>0</v>
      </c>
      <c r="Y375" s="92"/>
      <c r="AA375" s="53"/>
      <c r="AB375" s="578"/>
      <c r="AC375" s="578"/>
      <c r="AD375" s="578"/>
      <c r="AE375" s="578"/>
      <c r="AF375" s="579"/>
      <c r="AG375" s="579"/>
      <c r="AH375" s="579"/>
      <c r="AI375" s="579"/>
      <c r="AJ375" s="579"/>
      <c r="AK375" s="579"/>
      <c r="AL375" s="1563"/>
      <c r="AM375" s="579"/>
      <c r="AN375" s="579"/>
      <c r="AO375" s="579"/>
      <c r="AP375" s="579"/>
      <c r="AQ375" s="579"/>
      <c r="AR375" s="579"/>
      <c r="AS375" s="579"/>
      <c r="AT375" s="579"/>
      <c r="AU375" s="579"/>
      <c r="AV375" s="579"/>
      <c r="AW375" s="579"/>
      <c r="AX375" s="579"/>
      <c r="AY375" s="579"/>
      <c r="AZ375" s="579"/>
      <c r="BA375" s="579"/>
      <c r="BB375" s="579"/>
      <c r="BC375" s="579"/>
      <c r="BD375" s="579"/>
      <c r="BE375" s="579"/>
      <c r="BF375" s="579"/>
      <c r="BG375" s="579"/>
      <c r="BH375" s="579"/>
      <c r="BI375" s="579"/>
      <c r="BJ375" s="579"/>
      <c r="BK375" s="594"/>
      <c r="BL375" s="579"/>
      <c r="BM375" s="579"/>
      <c r="BN375" s="579"/>
      <c r="BO375" s="594"/>
      <c r="BP375" s="579"/>
      <c r="BQ375" s="579"/>
      <c r="BR375" s="579"/>
      <c r="BS375" s="579"/>
      <c r="BT375" s="579"/>
      <c r="BU375" s="579"/>
      <c r="BV375" s="579"/>
      <c r="BW375" s="579"/>
      <c r="BX375" s="579"/>
      <c r="BY375" s="579"/>
      <c r="BZ375" s="579"/>
      <c r="CA375" s="579"/>
      <c r="CB375" s="594">
        <f>+Q375</f>
        <v>0</v>
      </c>
      <c r="CC375" s="579"/>
      <c r="CD375" s="594"/>
      <c r="CE375" s="579"/>
      <c r="CF375" s="579"/>
      <c r="CG375" s="579"/>
      <c r="CH375" s="579"/>
      <c r="CI375" s="579"/>
      <c r="CJ375" s="594"/>
      <c r="CK375" s="579"/>
      <c r="CL375" s="579"/>
      <c r="CM375" s="579"/>
      <c r="CN375" s="579"/>
      <c r="CO375" s="579"/>
      <c r="CP375" s="579"/>
      <c r="CQ375" s="579"/>
      <c r="CR375" s="579"/>
      <c r="CS375" s="595"/>
      <c r="CT375" s="579"/>
      <c r="CU375" s="579"/>
      <c r="CV375" s="579"/>
      <c r="CW375" s="579"/>
      <c r="CX375" s="579"/>
      <c r="CY375" s="579"/>
      <c r="CZ375" s="579"/>
      <c r="DA375" s="579"/>
      <c r="DB375" s="579"/>
      <c r="DC375" s="579"/>
      <c r="DD375" s="579"/>
      <c r="DE375" s="579"/>
      <c r="DF375" s="579"/>
      <c r="DG375" s="579"/>
      <c r="DH375" s="579"/>
      <c r="DI375" s="579"/>
      <c r="DJ375" s="579"/>
      <c r="DK375" s="579"/>
      <c r="DL375" s="579"/>
      <c r="DM375" s="579"/>
      <c r="DN375" s="579"/>
      <c r="DO375" s="579"/>
      <c r="DP375" s="579"/>
    </row>
    <row r="376" spans="1:120" hidden="1" outlineLevel="1">
      <c r="A376" s="381">
        <v>1110052010</v>
      </c>
      <c r="B376" s="195"/>
      <c r="C376" s="1634" t="s">
        <v>64</v>
      </c>
      <c r="D376" s="1471"/>
      <c r="E376" s="1472"/>
      <c r="F376" s="382"/>
      <c r="G376" s="1260"/>
      <c r="H376" s="1044"/>
      <c r="I376" s="1045"/>
      <c r="J376" s="1451">
        <v>1</v>
      </c>
      <c r="K376" s="1452">
        <v>1</v>
      </c>
      <c r="L376" s="1046"/>
      <c r="M376" s="1595"/>
      <c r="N376" s="386"/>
      <c r="O376" s="1047">
        <f t="shared" si="1100"/>
        <v>0</v>
      </c>
      <c r="P376" s="1048"/>
      <c r="Q376" s="1239">
        <f t="shared" si="1101"/>
        <v>0</v>
      </c>
      <c r="R376" s="389"/>
      <c r="S376" s="389"/>
      <c r="T376" s="390">
        <f t="shared" si="1102"/>
        <v>0</v>
      </c>
      <c r="U376" s="418">
        <f t="shared" si="1103"/>
        <v>0</v>
      </c>
      <c r="V376" s="517">
        <f t="shared" si="1104"/>
        <v>0</v>
      </c>
      <c r="W376" s="428">
        <f t="shared" si="1105"/>
        <v>0</v>
      </c>
      <c r="X376" s="429">
        <f t="shared" si="1106"/>
        <v>0</v>
      </c>
      <c r="Y376" s="92"/>
      <c r="AA376" s="53"/>
      <c r="AB376" s="578"/>
      <c r="AC376" s="578"/>
      <c r="AD376" s="578"/>
      <c r="AE376" s="578"/>
      <c r="AF376" s="579"/>
      <c r="AG376" s="579"/>
      <c r="AH376" s="579"/>
      <c r="AI376" s="579"/>
      <c r="AJ376" s="579"/>
      <c r="AK376" s="579"/>
      <c r="AL376" s="1563"/>
      <c r="AM376" s="579"/>
      <c r="AN376" s="579"/>
      <c r="AO376" s="579"/>
      <c r="AP376" s="579"/>
      <c r="AQ376" s="579"/>
      <c r="AR376" s="579"/>
      <c r="AS376" s="579"/>
      <c r="AT376" s="579"/>
      <c r="AU376" s="579"/>
      <c r="AV376" s="579"/>
      <c r="AW376" s="579"/>
      <c r="AX376" s="579"/>
      <c r="AY376" s="579"/>
      <c r="AZ376" s="579"/>
      <c r="BA376" s="579"/>
      <c r="BB376" s="579"/>
      <c r="BC376" s="579"/>
      <c r="BD376" s="579"/>
      <c r="BE376" s="579"/>
      <c r="BF376" s="579"/>
      <c r="BG376" s="579"/>
      <c r="BH376" s="579"/>
      <c r="BI376" s="579"/>
      <c r="BJ376" s="579"/>
      <c r="BK376" s="594"/>
      <c r="BL376" s="579"/>
      <c r="BM376" s="579"/>
      <c r="BN376" s="579"/>
      <c r="BO376" s="594"/>
      <c r="BP376" s="579"/>
      <c r="BQ376" s="579"/>
      <c r="BR376" s="579"/>
      <c r="BS376" s="579"/>
      <c r="BT376" s="579"/>
      <c r="BU376" s="579"/>
      <c r="BV376" s="579"/>
      <c r="BW376" s="579"/>
      <c r="BX376" s="579"/>
      <c r="BY376" s="579"/>
      <c r="BZ376" s="579"/>
      <c r="CA376" s="579"/>
      <c r="CB376" s="579"/>
      <c r="CC376" s="579"/>
      <c r="CD376" s="594"/>
      <c r="CE376" s="579"/>
      <c r="CF376" s="579"/>
      <c r="CG376" s="579"/>
      <c r="CH376" s="579"/>
      <c r="CI376" s="579"/>
      <c r="CJ376" s="594"/>
      <c r="CK376" s="594">
        <f>+Q376</f>
        <v>0</v>
      </c>
      <c r="CL376" s="579"/>
      <c r="CM376" s="579"/>
      <c r="CN376" s="579"/>
      <c r="CO376" s="579"/>
      <c r="CP376" s="579"/>
      <c r="CQ376" s="579"/>
      <c r="CR376" s="579"/>
      <c r="CS376" s="595"/>
      <c r="CT376" s="579"/>
      <c r="CU376" s="579"/>
      <c r="CV376" s="579"/>
      <c r="CW376" s="579"/>
      <c r="CX376" s="579"/>
      <c r="CY376" s="579"/>
      <c r="CZ376" s="579"/>
      <c r="DA376" s="579"/>
      <c r="DB376" s="579"/>
      <c r="DC376" s="579"/>
      <c r="DD376" s="579"/>
      <c r="DE376" s="579"/>
      <c r="DF376" s="579"/>
      <c r="DG376" s="579"/>
      <c r="DH376" s="579"/>
      <c r="DI376" s="579"/>
      <c r="DJ376" s="579"/>
      <c r="DK376" s="579"/>
      <c r="DL376" s="579"/>
      <c r="DM376" s="579"/>
      <c r="DN376" s="579"/>
      <c r="DO376" s="579"/>
      <c r="DP376" s="579"/>
    </row>
    <row r="377" spans="1:120" hidden="1" outlineLevel="1">
      <c r="A377" s="381">
        <v>1110052010</v>
      </c>
      <c r="B377" s="195"/>
      <c r="C377" s="1634" t="s">
        <v>64</v>
      </c>
      <c r="D377" s="1471"/>
      <c r="E377" s="1472"/>
      <c r="F377" s="382"/>
      <c r="G377" s="1260"/>
      <c r="H377" s="1044"/>
      <c r="I377" s="1045"/>
      <c r="J377" s="1451">
        <v>1</v>
      </c>
      <c r="K377" s="1452">
        <v>1</v>
      </c>
      <c r="L377" s="1046"/>
      <c r="M377" s="1595"/>
      <c r="N377" s="386"/>
      <c r="O377" s="1047">
        <f t="shared" si="1093"/>
        <v>0</v>
      </c>
      <c r="P377" s="1048"/>
      <c r="Q377" s="1239">
        <f t="shared" si="1094"/>
        <v>0</v>
      </c>
      <c r="R377" s="389"/>
      <c r="S377" s="389"/>
      <c r="T377" s="390">
        <f t="shared" si="1095"/>
        <v>0</v>
      </c>
      <c r="U377" s="418">
        <f t="shared" si="1096"/>
        <v>0</v>
      </c>
      <c r="V377" s="517">
        <f t="shared" si="1097"/>
        <v>0</v>
      </c>
      <c r="W377" s="428">
        <f t="shared" si="1098"/>
        <v>0</v>
      </c>
      <c r="X377" s="429">
        <f t="shared" si="1099"/>
        <v>0</v>
      </c>
      <c r="Y377" s="92"/>
      <c r="AA377" s="53"/>
      <c r="AB377" s="578"/>
      <c r="AC377" s="578"/>
      <c r="AD377" s="578"/>
      <c r="AE377" s="578"/>
      <c r="AF377" s="579"/>
      <c r="AG377" s="579"/>
      <c r="AH377" s="579"/>
      <c r="AI377" s="579"/>
      <c r="AJ377" s="579"/>
      <c r="AK377" s="579"/>
      <c r="AL377" s="1563"/>
      <c r="AM377" s="579"/>
      <c r="AN377" s="579"/>
      <c r="AO377" s="579"/>
      <c r="AP377" s="579"/>
      <c r="AQ377" s="579"/>
      <c r="AR377" s="579"/>
      <c r="AS377" s="579"/>
      <c r="AT377" s="579"/>
      <c r="AU377" s="579"/>
      <c r="AV377" s="579"/>
      <c r="AW377" s="579"/>
      <c r="AX377" s="579"/>
      <c r="AY377" s="579"/>
      <c r="AZ377" s="579"/>
      <c r="BA377" s="579"/>
      <c r="BB377" s="579"/>
      <c r="BC377" s="579"/>
      <c r="BD377" s="579"/>
      <c r="BE377" s="579"/>
      <c r="BF377" s="579"/>
      <c r="BG377" s="579"/>
      <c r="BH377" s="579"/>
      <c r="BI377" s="579"/>
      <c r="BJ377" s="579"/>
      <c r="BK377" s="594"/>
      <c r="BL377" s="579"/>
      <c r="BM377" s="579"/>
      <c r="BN377" s="579"/>
      <c r="BO377" s="594"/>
      <c r="BP377" s="579"/>
      <c r="BQ377" s="579"/>
      <c r="BR377" s="579"/>
      <c r="BS377" s="579"/>
      <c r="BT377" s="579"/>
      <c r="BU377" s="579"/>
      <c r="BV377" s="579"/>
      <c r="BW377" s="579"/>
      <c r="BX377" s="579"/>
      <c r="BY377" s="579"/>
      <c r="BZ377" s="579"/>
      <c r="CA377" s="579"/>
      <c r="CB377" s="579"/>
      <c r="CC377" s="579"/>
      <c r="CD377" s="594"/>
      <c r="CE377" s="579"/>
      <c r="CF377" s="579"/>
      <c r="CG377" s="579"/>
      <c r="CH377" s="579"/>
      <c r="CI377" s="579"/>
      <c r="CJ377" s="594"/>
      <c r="CK377" s="579"/>
      <c r="CL377" s="579"/>
      <c r="CM377" s="579"/>
      <c r="CN377" s="579"/>
      <c r="CO377" s="579"/>
      <c r="CP377" s="579"/>
      <c r="CQ377" s="579"/>
      <c r="CR377" s="579"/>
      <c r="CS377" s="595"/>
      <c r="CT377" s="579"/>
      <c r="CU377" s="579"/>
      <c r="CV377" s="579"/>
      <c r="CW377" s="579"/>
      <c r="CX377" s="579"/>
      <c r="CY377" s="579"/>
      <c r="CZ377" s="579"/>
      <c r="DA377" s="579"/>
      <c r="DB377" s="579"/>
      <c r="DC377" s="579"/>
      <c r="DD377" s="594">
        <f>+Q377</f>
        <v>0</v>
      </c>
      <c r="DE377" s="579"/>
      <c r="DF377" s="579"/>
      <c r="DG377" s="579"/>
      <c r="DH377" s="579"/>
      <c r="DI377" s="579"/>
      <c r="DJ377" s="579"/>
      <c r="DK377" s="579"/>
      <c r="DL377" s="579"/>
      <c r="DM377" s="579"/>
      <c r="DN377" s="579"/>
      <c r="DO377" s="579"/>
      <c r="DP377" s="579"/>
    </row>
    <row r="378" spans="1:120" hidden="1" outlineLevel="1">
      <c r="A378" s="381">
        <v>1110052010</v>
      </c>
      <c r="B378" s="195"/>
      <c r="C378" s="1634" t="s">
        <v>64</v>
      </c>
      <c r="D378" s="1471"/>
      <c r="E378" s="1472"/>
      <c r="F378" s="382"/>
      <c r="G378" s="1260"/>
      <c r="H378" s="1044"/>
      <c r="I378" s="1045"/>
      <c r="J378" s="1451">
        <v>1</v>
      </c>
      <c r="K378" s="1452">
        <v>1</v>
      </c>
      <c r="L378" s="1046"/>
      <c r="M378" s="1595"/>
      <c r="N378" s="386"/>
      <c r="O378" s="1047">
        <f t="shared" ref="O378" si="1107">+L378*N378</f>
        <v>0</v>
      </c>
      <c r="P378" s="1048"/>
      <c r="Q378" s="1239">
        <f t="shared" ref="Q378" si="1108">+P378*K378</f>
        <v>0</v>
      </c>
      <c r="R378" s="389"/>
      <c r="S378" s="389"/>
      <c r="T378" s="390">
        <f t="shared" ref="T378" si="1109">+P378*S378</f>
        <v>0</v>
      </c>
      <c r="U378" s="418">
        <f t="shared" ref="U378" si="1110">+L378+P378+F378</f>
        <v>0</v>
      </c>
      <c r="V378" s="517">
        <f t="shared" ref="V378" si="1111">+P378*R378+L378*N378+F378*H378</f>
        <v>0</v>
      </c>
      <c r="W378" s="428">
        <f t="shared" ref="W378" si="1112">(IF(R378&gt;S378,(-P378*R378)-(-P378*S378),0))</f>
        <v>0</v>
      </c>
      <c r="X378" s="429">
        <f t="shared" ref="X378" si="1113">(IF(R378&lt;S378,(-P378*R378)-(-P378*S378),0))</f>
        <v>0</v>
      </c>
      <c r="Y378" s="92"/>
      <c r="AA378" s="53"/>
      <c r="AB378" s="578"/>
      <c r="AC378" s="578"/>
      <c r="AD378" s="578"/>
      <c r="AE378" s="578"/>
      <c r="AF378" s="579"/>
      <c r="AG378" s="579"/>
      <c r="AH378" s="579"/>
      <c r="AI378" s="579"/>
      <c r="AJ378" s="579"/>
      <c r="AK378" s="579"/>
      <c r="AL378" s="1563"/>
      <c r="AM378" s="579"/>
      <c r="AN378" s="579"/>
      <c r="AO378" s="579"/>
      <c r="AP378" s="579"/>
      <c r="AQ378" s="579"/>
      <c r="AR378" s="579"/>
      <c r="AS378" s="579"/>
      <c r="AT378" s="579"/>
      <c r="AU378" s="579"/>
      <c r="AV378" s="579"/>
      <c r="AW378" s="579"/>
      <c r="AX378" s="579"/>
      <c r="AY378" s="579"/>
      <c r="AZ378" s="579"/>
      <c r="BA378" s="579"/>
      <c r="BB378" s="579"/>
      <c r="BC378" s="579"/>
      <c r="BD378" s="579"/>
      <c r="BE378" s="579"/>
      <c r="BF378" s="579"/>
      <c r="BG378" s="579"/>
      <c r="BH378" s="579"/>
      <c r="BI378" s="579"/>
      <c r="BJ378" s="579"/>
      <c r="BK378" s="594"/>
      <c r="BL378" s="579"/>
      <c r="BM378" s="579"/>
      <c r="BN378" s="579"/>
      <c r="BO378" s="594"/>
      <c r="BP378" s="579"/>
      <c r="BQ378" s="579"/>
      <c r="BR378" s="579"/>
      <c r="BS378" s="579"/>
      <c r="BT378" s="579"/>
      <c r="BU378" s="579"/>
      <c r="BV378" s="579"/>
      <c r="BW378" s="579"/>
      <c r="BX378" s="579"/>
      <c r="BY378" s="579"/>
      <c r="BZ378" s="579"/>
      <c r="CA378" s="579"/>
      <c r="CB378" s="579"/>
      <c r="CC378" s="579"/>
      <c r="CD378" s="594"/>
      <c r="CE378" s="579"/>
      <c r="CF378" s="579"/>
      <c r="CG378" s="579"/>
      <c r="CH378" s="579"/>
      <c r="CI378" s="579"/>
      <c r="CJ378" s="594"/>
      <c r="CK378" s="579"/>
      <c r="CL378" s="579"/>
      <c r="CM378" s="579"/>
      <c r="CN378" s="579"/>
      <c r="CO378" s="579"/>
      <c r="CP378" s="579"/>
      <c r="CQ378" s="579"/>
      <c r="CR378" s="579"/>
      <c r="CS378" s="595"/>
      <c r="CT378" s="579"/>
      <c r="CU378" s="579"/>
      <c r="CV378" s="579"/>
      <c r="CW378" s="579"/>
      <c r="CX378" s="579"/>
      <c r="CY378" s="579"/>
      <c r="CZ378" s="579"/>
      <c r="DA378" s="579"/>
      <c r="DB378" s="579"/>
      <c r="DC378" s="579"/>
      <c r="DD378" s="579"/>
      <c r="DE378" s="594">
        <f t="shared" ref="DE378:DE384" si="1114">+Q378</f>
        <v>0</v>
      </c>
      <c r="DF378" s="579"/>
      <c r="DG378" s="579"/>
      <c r="DH378" s="579"/>
      <c r="DI378" s="579"/>
      <c r="DJ378" s="579"/>
      <c r="DK378" s="579"/>
      <c r="DL378" s="579"/>
      <c r="DM378" s="579"/>
      <c r="DN378" s="579"/>
      <c r="DO378" s="579"/>
      <c r="DP378" s="579"/>
    </row>
    <row r="379" spans="1:120" hidden="1" outlineLevel="1">
      <c r="A379" s="89">
        <v>1110052010</v>
      </c>
      <c r="B379" s="90"/>
      <c r="C379" s="1476" t="s">
        <v>64</v>
      </c>
      <c r="D379" s="1469"/>
      <c r="E379" s="1470"/>
      <c r="F379" s="420"/>
      <c r="G379" s="1256"/>
      <c r="H379" s="421"/>
      <c r="I379" s="422"/>
      <c r="J379" s="1425">
        <v>1</v>
      </c>
      <c r="K379" s="1426">
        <v>1</v>
      </c>
      <c r="L379" s="1043"/>
      <c r="M379" s="1594"/>
      <c r="N379" s="415"/>
      <c r="O379" s="424">
        <f t="shared" si="1086"/>
        <v>0</v>
      </c>
      <c r="P379" s="425"/>
      <c r="Q379" s="1340">
        <f t="shared" si="1092"/>
        <v>0</v>
      </c>
      <c r="R379" s="426"/>
      <c r="S379" s="426"/>
      <c r="T379" s="427">
        <f t="shared" si="1087"/>
        <v>0</v>
      </c>
      <c r="U379" s="418">
        <f t="shared" si="1088"/>
        <v>0</v>
      </c>
      <c r="V379" s="517">
        <f t="shared" si="1089"/>
        <v>0</v>
      </c>
      <c r="W379" s="428">
        <f t="shared" si="1090"/>
        <v>0</v>
      </c>
      <c r="X379" s="429">
        <f t="shared" si="1091"/>
        <v>0</v>
      </c>
      <c r="Y379" s="92"/>
      <c r="AA379" s="53"/>
      <c r="AB379" s="578"/>
      <c r="AC379" s="578"/>
      <c r="AD379" s="578"/>
      <c r="AE379" s="578"/>
      <c r="AF379" s="579"/>
      <c r="AG379" s="579"/>
      <c r="AH379" s="579"/>
      <c r="AI379" s="579"/>
      <c r="AJ379" s="579"/>
      <c r="AK379" s="579"/>
      <c r="AL379" s="1563"/>
      <c r="AM379" s="579"/>
      <c r="AN379" s="579"/>
      <c r="AO379" s="579"/>
      <c r="AP379" s="579"/>
      <c r="AQ379" s="579"/>
      <c r="AR379" s="579"/>
      <c r="AS379" s="579"/>
      <c r="AT379" s="579"/>
      <c r="AU379" s="579"/>
      <c r="AV379" s="579"/>
      <c r="AW379" s="579"/>
      <c r="AX379" s="579"/>
      <c r="AY379" s="579"/>
      <c r="AZ379" s="579"/>
      <c r="BA379" s="579"/>
      <c r="BB379" s="579"/>
      <c r="BC379" s="579"/>
      <c r="BD379" s="579"/>
      <c r="BE379" s="579"/>
      <c r="BF379" s="579"/>
      <c r="BG379" s="579"/>
      <c r="BH379" s="579"/>
      <c r="BI379" s="579"/>
      <c r="BJ379" s="579"/>
      <c r="BK379" s="594"/>
      <c r="BL379" s="579"/>
      <c r="BM379" s="579"/>
      <c r="BN379" s="579"/>
      <c r="BO379" s="579"/>
      <c r="BP379" s="579"/>
      <c r="BQ379" s="579"/>
      <c r="BR379" s="579"/>
      <c r="BS379" s="579"/>
      <c r="BT379" s="579"/>
      <c r="BU379" s="579"/>
      <c r="BV379" s="579"/>
      <c r="BW379" s="579"/>
      <c r="BX379" s="579"/>
      <c r="BY379" s="579"/>
      <c r="BZ379" s="579"/>
      <c r="CA379" s="579"/>
      <c r="CB379" s="579"/>
      <c r="CC379" s="579"/>
      <c r="CD379" s="594"/>
      <c r="CE379" s="579"/>
      <c r="CF379" s="579"/>
      <c r="CG379" s="579"/>
      <c r="CH379" s="579"/>
      <c r="CI379" s="579"/>
      <c r="CJ379" s="594"/>
      <c r="CK379" s="579"/>
      <c r="CL379" s="579"/>
      <c r="CM379" s="579"/>
      <c r="CN379" s="579"/>
      <c r="CO379" s="579"/>
      <c r="CP379" s="579"/>
      <c r="CQ379" s="579"/>
      <c r="CR379" s="579"/>
      <c r="CS379" s="595"/>
      <c r="CT379" s="579"/>
      <c r="CU379" s="579"/>
      <c r="CV379" s="579"/>
      <c r="CW379" s="579"/>
      <c r="CX379" s="579"/>
      <c r="CY379" s="579"/>
      <c r="CZ379" s="579"/>
      <c r="DA379" s="579"/>
      <c r="DB379" s="579"/>
      <c r="DC379" s="579"/>
      <c r="DD379" s="579"/>
      <c r="DE379" s="594">
        <f t="shared" si="1114"/>
        <v>0</v>
      </c>
      <c r="DF379" s="579"/>
      <c r="DG379" s="579"/>
      <c r="DH379" s="579"/>
      <c r="DI379" s="579"/>
      <c r="DJ379" s="579"/>
      <c r="DK379" s="579"/>
      <c r="DL379" s="579"/>
      <c r="DM379" s="579"/>
      <c r="DN379" s="579"/>
      <c r="DO379" s="579"/>
      <c r="DP379" s="579"/>
    </row>
    <row r="380" spans="1:120" hidden="1" outlineLevel="1">
      <c r="A380" s="89">
        <v>1110052010</v>
      </c>
      <c r="B380" s="90"/>
      <c r="C380" s="1476" t="s">
        <v>64</v>
      </c>
      <c r="D380" s="1469"/>
      <c r="E380" s="1470"/>
      <c r="F380" s="420"/>
      <c r="G380" s="1256"/>
      <c r="H380" s="421"/>
      <c r="I380" s="422"/>
      <c r="J380" s="1425">
        <v>1</v>
      </c>
      <c r="K380" s="1426">
        <v>1</v>
      </c>
      <c r="L380" s="1043"/>
      <c r="M380" s="1594"/>
      <c r="N380" s="415"/>
      <c r="O380" s="424">
        <f t="shared" si="1086"/>
        <v>0</v>
      </c>
      <c r="P380" s="425"/>
      <c r="Q380" s="1340">
        <f t="shared" si="1092"/>
        <v>0</v>
      </c>
      <c r="R380" s="426"/>
      <c r="S380" s="426"/>
      <c r="T380" s="427">
        <f t="shared" si="1087"/>
        <v>0</v>
      </c>
      <c r="U380" s="418">
        <f t="shared" si="1088"/>
        <v>0</v>
      </c>
      <c r="V380" s="517">
        <f t="shared" si="1089"/>
        <v>0</v>
      </c>
      <c r="W380" s="428">
        <f t="shared" si="1090"/>
        <v>0</v>
      </c>
      <c r="X380" s="429">
        <f t="shared" si="1091"/>
        <v>0</v>
      </c>
      <c r="Y380" s="92"/>
      <c r="AA380" s="53"/>
      <c r="AB380" s="578"/>
      <c r="AC380" s="578"/>
      <c r="AD380" s="578"/>
      <c r="AE380" s="578"/>
      <c r="AF380" s="579"/>
      <c r="AG380" s="579"/>
      <c r="AH380" s="579"/>
      <c r="AI380" s="579"/>
      <c r="AJ380" s="579"/>
      <c r="AK380" s="579"/>
      <c r="AL380" s="1563"/>
      <c r="AM380" s="579"/>
      <c r="AN380" s="579"/>
      <c r="AO380" s="579"/>
      <c r="AP380" s="579"/>
      <c r="AQ380" s="579"/>
      <c r="AR380" s="579"/>
      <c r="AS380" s="579"/>
      <c r="AT380" s="579"/>
      <c r="AU380" s="579"/>
      <c r="AV380" s="579"/>
      <c r="AW380" s="579"/>
      <c r="AX380" s="579"/>
      <c r="AY380" s="579"/>
      <c r="AZ380" s="579"/>
      <c r="BA380" s="579"/>
      <c r="BB380" s="579"/>
      <c r="BC380" s="579"/>
      <c r="BD380" s="579"/>
      <c r="BE380" s="579"/>
      <c r="BF380" s="579"/>
      <c r="BG380" s="579"/>
      <c r="BH380" s="579"/>
      <c r="BI380" s="579"/>
      <c r="BJ380" s="579"/>
      <c r="BK380" s="594"/>
      <c r="BL380" s="579"/>
      <c r="BM380" s="579"/>
      <c r="BN380" s="579"/>
      <c r="BO380" s="579"/>
      <c r="BP380" s="579"/>
      <c r="BQ380" s="579"/>
      <c r="BR380" s="579"/>
      <c r="BS380" s="579"/>
      <c r="BT380" s="579"/>
      <c r="BU380" s="579"/>
      <c r="BV380" s="579"/>
      <c r="BW380" s="579"/>
      <c r="BX380" s="579"/>
      <c r="BY380" s="579"/>
      <c r="BZ380" s="579"/>
      <c r="CA380" s="579"/>
      <c r="CB380" s="579"/>
      <c r="CC380" s="579"/>
      <c r="CD380" s="594"/>
      <c r="CE380" s="579"/>
      <c r="CF380" s="579"/>
      <c r="CG380" s="579"/>
      <c r="CH380" s="579"/>
      <c r="CI380" s="579"/>
      <c r="CJ380" s="594"/>
      <c r="CK380" s="579"/>
      <c r="CL380" s="579"/>
      <c r="CM380" s="579"/>
      <c r="CN380" s="579"/>
      <c r="CO380" s="579"/>
      <c r="CP380" s="579"/>
      <c r="CQ380" s="579"/>
      <c r="CR380" s="579"/>
      <c r="CS380" s="595"/>
      <c r="CT380" s="579"/>
      <c r="CU380" s="579"/>
      <c r="CV380" s="579"/>
      <c r="CW380" s="579"/>
      <c r="CX380" s="579"/>
      <c r="CY380" s="579"/>
      <c r="CZ380" s="579"/>
      <c r="DA380" s="579"/>
      <c r="DB380" s="579"/>
      <c r="DC380" s="579"/>
      <c r="DD380" s="579"/>
      <c r="DE380" s="594">
        <f t="shared" si="1114"/>
        <v>0</v>
      </c>
      <c r="DF380" s="579"/>
      <c r="DG380" s="579"/>
      <c r="DH380" s="579"/>
      <c r="DI380" s="579"/>
      <c r="DJ380" s="579"/>
      <c r="DK380" s="579"/>
      <c r="DL380" s="579"/>
      <c r="DM380" s="579"/>
      <c r="DN380" s="579"/>
      <c r="DO380" s="579"/>
      <c r="DP380" s="579"/>
    </row>
    <row r="381" spans="1:120" hidden="1" outlineLevel="1">
      <c r="A381" s="89">
        <v>1110052010</v>
      </c>
      <c r="B381" s="90"/>
      <c r="C381" s="1476" t="s">
        <v>64</v>
      </c>
      <c r="D381" s="1469"/>
      <c r="E381" s="1470"/>
      <c r="F381" s="420"/>
      <c r="G381" s="1256"/>
      <c r="H381" s="421"/>
      <c r="I381" s="422"/>
      <c r="J381" s="1425">
        <v>1</v>
      </c>
      <c r="K381" s="1426">
        <v>1</v>
      </c>
      <c r="L381" s="1043"/>
      <c r="M381" s="1594"/>
      <c r="N381" s="415"/>
      <c r="O381" s="424">
        <f t="shared" si="1086"/>
        <v>0</v>
      </c>
      <c r="P381" s="425"/>
      <c r="Q381" s="1340">
        <f t="shared" si="1092"/>
        <v>0</v>
      </c>
      <c r="R381" s="426"/>
      <c r="S381" s="426"/>
      <c r="T381" s="427">
        <f t="shared" si="1087"/>
        <v>0</v>
      </c>
      <c r="U381" s="418">
        <f t="shared" si="1088"/>
        <v>0</v>
      </c>
      <c r="V381" s="517">
        <f t="shared" si="1089"/>
        <v>0</v>
      </c>
      <c r="W381" s="428">
        <f t="shared" si="1090"/>
        <v>0</v>
      </c>
      <c r="X381" s="429">
        <f t="shared" si="1091"/>
        <v>0</v>
      </c>
      <c r="Y381" s="92"/>
      <c r="AA381" s="53"/>
      <c r="AB381" s="578"/>
      <c r="AC381" s="578"/>
      <c r="AD381" s="578"/>
      <c r="AE381" s="578"/>
      <c r="AF381" s="579"/>
      <c r="AG381" s="579"/>
      <c r="AH381" s="579"/>
      <c r="AI381" s="579"/>
      <c r="AJ381" s="579"/>
      <c r="AK381" s="579"/>
      <c r="AL381" s="1563"/>
      <c r="AM381" s="579"/>
      <c r="AN381" s="579"/>
      <c r="AO381" s="579"/>
      <c r="AP381" s="579"/>
      <c r="AQ381" s="579"/>
      <c r="AR381" s="579"/>
      <c r="AS381" s="579"/>
      <c r="AT381" s="579"/>
      <c r="AU381" s="579"/>
      <c r="AV381" s="579"/>
      <c r="AW381" s="579"/>
      <c r="AX381" s="579"/>
      <c r="AY381" s="579"/>
      <c r="AZ381" s="579"/>
      <c r="BA381" s="579"/>
      <c r="BB381" s="579"/>
      <c r="BC381" s="579"/>
      <c r="BD381" s="579"/>
      <c r="BE381" s="579"/>
      <c r="BF381" s="579"/>
      <c r="BG381" s="579"/>
      <c r="BH381" s="579"/>
      <c r="BI381" s="579"/>
      <c r="BJ381" s="579"/>
      <c r="BK381" s="594"/>
      <c r="BL381" s="579"/>
      <c r="BM381" s="579"/>
      <c r="BN381" s="579"/>
      <c r="BO381" s="579"/>
      <c r="BP381" s="579"/>
      <c r="BQ381" s="579"/>
      <c r="BR381" s="579"/>
      <c r="BS381" s="579"/>
      <c r="BT381" s="579"/>
      <c r="BU381" s="579"/>
      <c r="BV381" s="579"/>
      <c r="BW381" s="579"/>
      <c r="BX381" s="579"/>
      <c r="BY381" s="579"/>
      <c r="BZ381" s="579"/>
      <c r="CA381" s="579"/>
      <c r="CB381" s="579"/>
      <c r="CC381" s="579"/>
      <c r="CD381" s="594"/>
      <c r="CE381" s="579"/>
      <c r="CF381" s="579"/>
      <c r="CG381" s="579"/>
      <c r="CH381" s="579"/>
      <c r="CI381" s="579"/>
      <c r="CJ381" s="594"/>
      <c r="CK381" s="579"/>
      <c r="CL381" s="579"/>
      <c r="CM381" s="579"/>
      <c r="CN381" s="579"/>
      <c r="CO381" s="579"/>
      <c r="CP381" s="579"/>
      <c r="CQ381" s="579"/>
      <c r="CR381" s="579"/>
      <c r="CS381" s="595"/>
      <c r="CT381" s="579"/>
      <c r="CU381" s="579"/>
      <c r="CV381" s="579"/>
      <c r="CW381" s="579"/>
      <c r="CX381" s="579"/>
      <c r="CY381" s="579"/>
      <c r="CZ381" s="579"/>
      <c r="DA381" s="579"/>
      <c r="DB381" s="579"/>
      <c r="DC381" s="579"/>
      <c r="DD381" s="579"/>
      <c r="DE381" s="594">
        <f t="shared" si="1114"/>
        <v>0</v>
      </c>
      <c r="DF381" s="579"/>
      <c r="DG381" s="579"/>
      <c r="DH381" s="579"/>
      <c r="DI381" s="579"/>
      <c r="DJ381" s="579"/>
      <c r="DK381" s="579"/>
      <c r="DL381" s="579"/>
      <c r="DM381" s="579"/>
      <c r="DN381" s="579"/>
      <c r="DO381" s="579"/>
      <c r="DP381" s="579"/>
    </row>
    <row r="382" spans="1:120" hidden="1" outlineLevel="1">
      <c r="A382" s="89">
        <v>1110052010</v>
      </c>
      <c r="B382" s="90"/>
      <c r="C382" s="1476" t="s">
        <v>64</v>
      </c>
      <c r="D382" s="1469"/>
      <c r="E382" s="1470"/>
      <c r="F382" s="420"/>
      <c r="G382" s="1256"/>
      <c r="H382" s="421"/>
      <c r="I382" s="422"/>
      <c r="J382" s="1425">
        <v>1</v>
      </c>
      <c r="K382" s="1426">
        <v>1</v>
      </c>
      <c r="L382" s="1043"/>
      <c r="M382" s="1594"/>
      <c r="N382" s="415"/>
      <c r="O382" s="424">
        <f t="shared" ref="O382:O396" si="1115">+L382*N382</f>
        <v>0</v>
      </c>
      <c r="P382" s="425"/>
      <c r="Q382" s="1340">
        <f t="shared" si="1092"/>
        <v>0</v>
      </c>
      <c r="R382" s="426"/>
      <c r="S382" s="426"/>
      <c r="T382" s="427">
        <f t="shared" ref="T382:T396" si="1116">+P382*S382</f>
        <v>0</v>
      </c>
      <c r="U382" s="418">
        <f t="shared" ref="U382:U396" si="1117">+L382+P382+F382</f>
        <v>0</v>
      </c>
      <c r="V382" s="517">
        <f t="shared" ref="V382:V396" si="1118">+P382*R382+L382*N382+F382*H382</f>
        <v>0</v>
      </c>
      <c r="W382" s="428">
        <f t="shared" ref="W382:W396" si="1119">(IF(R382&gt;S382,(-P382*R382)-(-P382*S382),0))</f>
        <v>0</v>
      </c>
      <c r="X382" s="429">
        <f t="shared" ref="X382:X396" si="1120">(IF(R382&lt;S382,(-P382*R382)-(-P382*S382),0))</f>
        <v>0</v>
      </c>
      <c r="Y382" s="92"/>
      <c r="AA382" s="53"/>
      <c r="AB382" s="578"/>
      <c r="AC382" s="578"/>
      <c r="AD382" s="578"/>
      <c r="AE382" s="578"/>
      <c r="AF382" s="579"/>
      <c r="AG382" s="579"/>
      <c r="AH382" s="579"/>
      <c r="AI382" s="579"/>
      <c r="AJ382" s="579"/>
      <c r="AK382" s="579"/>
      <c r="AL382" s="1563"/>
      <c r="AM382" s="579"/>
      <c r="AN382" s="579"/>
      <c r="AO382" s="579"/>
      <c r="AP382" s="579"/>
      <c r="AQ382" s="579"/>
      <c r="AR382" s="579"/>
      <c r="AS382" s="579"/>
      <c r="AT382" s="579"/>
      <c r="AU382" s="579"/>
      <c r="AV382" s="579"/>
      <c r="AW382" s="579"/>
      <c r="AX382" s="579"/>
      <c r="AY382" s="579"/>
      <c r="AZ382" s="579"/>
      <c r="BA382" s="579"/>
      <c r="BB382" s="579"/>
      <c r="BC382" s="579"/>
      <c r="BD382" s="579"/>
      <c r="BE382" s="579"/>
      <c r="BF382" s="579"/>
      <c r="BG382" s="579"/>
      <c r="BH382" s="579"/>
      <c r="BI382" s="579"/>
      <c r="BJ382" s="579"/>
      <c r="BK382" s="594"/>
      <c r="BL382" s="579"/>
      <c r="BM382" s="579"/>
      <c r="BN382" s="579"/>
      <c r="BO382" s="579"/>
      <c r="BP382" s="579"/>
      <c r="BQ382" s="579"/>
      <c r="BR382" s="579"/>
      <c r="BS382" s="579"/>
      <c r="BT382" s="579"/>
      <c r="BU382" s="579"/>
      <c r="BV382" s="579"/>
      <c r="BW382" s="579"/>
      <c r="BX382" s="579"/>
      <c r="BY382" s="579"/>
      <c r="BZ382" s="579"/>
      <c r="CA382" s="579"/>
      <c r="CB382" s="579"/>
      <c r="CC382" s="579"/>
      <c r="CD382" s="594"/>
      <c r="CE382" s="579"/>
      <c r="CF382" s="579"/>
      <c r="CG382" s="579"/>
      <c r="CH382" s="579"/>
      <c r="CI382" s="579"/>
      <c r="CJ382" s="594"/>
      <c r="CK382" s="579"/>
      <c r="CL382" s="579"/>
      <c r="CM382" s="579"/>
      <c r="CN382" s="579"/>
      <c r="CO382" s="579"/>
      <c r="CP382" s="579"/>
      <c r="CQ382" s="579"/>
      <c r="CR382" s="579"/>
      <c r="CS382" s="595"/>
      <c r="CT382" s="579"/>
      <c r="CU382" s="579"/>
      <c r="CV382" s="579"/>
      <c r="CW382" s="579"/>
      <c r="CX382" s="579"/>
      <c r="CY382" s="579"/>
      <c r="CZ382" s="579"/>
      <c r="DA382" s="579"/>
      <c r="DB382" s="579"/>
      <c r="DC382" s="579"/>
      <c r="DD382" s="579"/>
      <c r="DE382" s="594">
        <f t="shared" si="1114"/>
        <v>0</v>
      </c>
      <c r="DF382" s="579"/>
      <c r="DG382" s="579"/>
      <c r="DH382" s="579"/>
      <c r="DI382" s="579"/>
      <c r="DJ382" s="579"/>
      <c r="DK382" s="579"/>
      <c r="DL382" s="579"/>
      <c r="DM382" s="579"/>
      <c r="DN382" s="579"/>
      <c r="DO382" s="579"/>
      <c r="DP382" s="579"/>
    </row>
    <row r="383" spans="1:120" hidden="1" outlineLevel="1">
      <c r="A383" s="89">
        <v>1110052010</v>
      </c>
      <c r="B383" s="90"/>
      <c r="C383" s="1476" t="s">
        <v>64</v>
      </c>
      <c r="D383" s="1469"/>
      <c r="E383" s="1470"/>
      <c r="F383" s="420"/>
      <c r="G383" s="1256"/>
      <c r="H383" s="421"/>
      <c r="I383" s="422"/>
      <c r="J383" s="1425">
        <v>1</v>
      </c>
      <c r="K383" s="1426">
        <v>1</v>
      </c>
      <c r="L383" s="1043"/>
      <c r="M383" s="1594"/>
      <c r="N383" s="415"/>
      <c r="O383" s="424">
        <f t="shared" si="1115"/>
        <v>0</v>
      </c>
      <c r="P383" s="425"/>
      <c r="Q383" s="1340">
        <f t="shared" si="1092"/>
        <v>0</v>
      </c>
      <c r="R383" s="426"/>
      <c r="S383" s="426"/>
      <c r="T383" s="427">
        <f t="shared" si="1116"/>
        <v>0</v>
      </c>
      <c r="U383" s="418">
        <f t="shared" si="1117"/>
        <v>0</v>
      </c>
      <c r="V383" s="517">
        <f t="shared" si="1118"/>
        <v>0</v>
      </c>
      <c r="W383" s="428">
        <f t="shared" si="1119"/>
        <v>0</v>
      </c>
      <c r="X383" s="429">
        <f t="shared" si="1120"/>
        <v>0</v>
      </c>
      <c r="Y383" s="92"/>
      <c r="AA383" s="53"/>
      <c r="AB383" s="578"/>
      <c r="AC383" s="578"/>
      <c r="AD383" s="578"/>
      <c r="AE383" s="578"/>
      <c r="AF383" s="579"/>
      <c r="AG383" s="579"/>
      <c r="AH383" s="579"/>
      <c r="AI383" s="579"/>
      <c r="AJ383" s="579"/>
      <c r="AK383" s="579"/>
      <c r="AL383" s="1563"/>
      <c r="AM383" s="579"/>
      <c r="AN383" s="579"/>
      <c r="AO383" s="579"/>
      <c r="AP383" s="579"/>
      <c r="AQ383" s="579"/>
      <c r="AR383" s="579"/>
      <c r="AS383" s="579"/>
      <c r="AT383" s="579"/>
      <c r="AU383" s="579"/>
      <c r="AV383" s="579"/>
      <c r="AW383" s="579"/>
      <c r="AX383" s="579"/>
      <c r="AY383" s="579"/>
      <c r="AZ383" s="579"/>
      <c r="BA383" s="579"/>
      <c r="BB383" s="579"/>
      <c r="BC383" s="579"/>
      <c r="BD383" s="579"/>
      <c r="BE383" s="579"/>
      <c r="BF383" s="579"/>
      <c r="BG383" s="579"/>
      <c r="BH383" s="579"/>
      <c r="BI383" s="579"/>
      <c r="BJ383" s="579"/>
      <c r="BK383" s="594"/>
      <c r="BL383" s="579"/>
      <c r="BM383" s="579"/>
      <c r="BN383" s="579"/>
      <c r="BO383" s="579"/>
      <c r="BP383" s="579"/>
      <c r="BQ383" s="579"/>
      <c r="BR383" s="579"/>
      <c r="BS383" s="579"/>
      <c r="BT383" s="579"/>
      <c r="BU383" s="579"/>
      <c r="BV383" s="579"/>
      <c r="BW383" s="579"/>
      <c r="BX383" s="579"/>
      <c r="BY383" s="579"/>
      <c r="BZ383" s="579"/>
      <c r="CA383" s="579"/>
      <c r="CB383" s="579"/>
      <c r="CC383" s="579"/>
      <c r="CD383" s="594"/>
      <c r="CE383" s="579"/>
      <c r="CF383" s="579"/>
      <c r="CG383" s="579"/>
      <c r="CH383" s="579"/>
      <c r="CI383" s="579"/>
      <c r="CJ383" s="594"/>
      <c r="CK383" s="579"/>
      <c r="CL383" s="579"/>
      <c r="CM383" s="579"/>
      <c r="CN383" s="579"/>
      <c r="CO383" s="579"/>
      <c r="CP383" s="579"/>
      <c r="CQ383" s="579"/>
      <c r="CR383" s="579"/>
      <c r="CS383" s="595"/>
      <c r="CT383" s="579"/>
      <c r="CU383" s="579"/>
      <c r="CV383" s="579"/>
      <c r="CW383" s="579"/>
      <c r="CX383" s="579"/>
      <c r="CY383" s="579"/>
      <c r="CZ383" s="579"/>
      <c r="DA383" s="579"/>
      <c r="DB383" s="579"/>
      <c r="DC383" s="579"/>
      <c r="DD383" s="579"/>
      <c r="DE383" s="594">
        <f t="shared" si="1114"/>
        <v>0</v>
      </c>
      <c r="DF383" s="579"/>
      <c r="DG383" s="579"/>
      <c r="DH383" s="579"/>
      <c r="DI383" s="579"/>
      <c r="DJ383" s="579"/>
      <c r="DK383" s="579"/>
      <c r="DL383" s="579"/>
      <c r="DM383" s="579"/>
      <c r="DN383" s="579"/>
      <c r="DO383" s="579"/>
      <c r="DP383" s="579"/>
    </row>
    <row r="384" spans="1:120" hidden="1" outlineLevel="1">
      <c r="A384" s="89">
        <v>1110052010</v>
      </c>
      <c r="B384" s="90"/>
      <c r="C384" s="1476" t="s">
        <v>64</v>
      </c>
      <c r="D384" s="1469"/>
      <c r="E384" s="1470"/>
      <c r="F384" s="420"/>
      <c r="G384" s="1256"/>
      <c r="H384" s="421"/>
      <c r="I384" s="422"/>
      <c r="J384" s="1425">
        <v>1</v>
      </c>
      <c r="K384" s="1426">
        <v>1</v>
      </c>
      <c r="L384" s="1043"/>
      <c r="M384" s="1594"/>
      <c r="N384" s="415"/>
      <c r="O384" s="424">
        <f t="shared" si="1115"/>
        <v>0</v>
      </c>
      <c r="P384" s="425"/>
      <c r="Q384" s="1340">
        <f t="shared" si="1092"/>
        <v>0</v>
      </c>
      <c r="R384" s="426"/>
      <c r="S384" s="426"/>
      <c r="T384" s="427">
        <f t="shared" si="1116"/>
        <v>0</v>
      </c>
      <c r="U384" s="418">
        <f t="shared" si="1117"/>
        <v>0</v>
      </c>
      <c r="V384" s="517">
        <f t="shared" si="1118"/>
        <v>0</v>
      </c>
      <c r="W384" s="428">
        <f t="shared" si="1119"/>
        <v>0</v>
      </c>
      <c r="X384" s="429">
        <f t="shared" si="1120"/>
        <v>0</v>
      </c>
      <c r="Y384" s="92"/>
      <c r="AA384" s="53"/>
      <c r="AB384" s="578"/>
      <c r="AC384" s="578"/>
      <c r="AD384" s="578"/>
      <c r="AE384" s="578"/>
      <c r="AF384" s="579"/>
      <c r="AG384" s="579"/>
      <c r="AH384" s="579"/>
      <c r="AI384" s="579"/>
      <c r="AJ384" s="579"/>
      <c r="AK384" s="579"/>
      <c r="AL384" s="1563"/>
      <c r="AM384" s="579"/>
      <c r="AN384" s="579"/>
      <c r="AO384" s="579"/>
      <c r="AP384" s="579"/>
      <c r="AQ384" s="579"/>
      <c r="AR384" s="579"/>
      <c r="AS384" s="579"/>
      <c r="AT384" s="579"/>
      <c r="AU384" s="579"/>
      <c r="AV384" s="579"/>
      <c r="AW384" s="579"/>
      <c r="AX384" s="579"/>
      <c r="AY384" s="579"/>
      <c r="AZ384" s="579"/>
      <c r="BA384" s="579"/>
      <c r="BB384" s="579"/>
      <c r="BC384" s="579"/>
      <c r="BD384" s="579"/>
      <c r="BE384" s="579"/>
      <c r="BF384" s="579"/>
      <c r="BG384" s="579"/>
      <c r="BH384" s="579"/>
      <c r="BI384" s="579"/>
      <c r="BJ384" s="579"/>
      <c r="BK384" s="594"/>
      <c r="BL384" s="579"/>
      <c r="BM384" s="579"/>
      <c r="BN384" s="579"/>
      <c r="BO384" s="579"/>
      <c r="BP384" s="579"/>
      <c r="BQ384" s="579"/>
      <c r="BR384" s="579"/>
      <c r="BS384" s="579"/>
      <c r="BT384" s="579"/>
      <c r="BU384" s="579"/>
      <c r="BV384" s="579"/>
      <c r="BW384" s="579"/>
      <c r="BX384" s="579"/>
      <c r="BY384" s="579"/>
      <c r="BZ384" s="579"/>
      <c r="CA384" s="579"/>
      <c r="CB384" s="579"/>
      <c r="CC384" s="579"/>
      <c r="CD384" s="594"/>
      <c r="CE384" s="579"/>
      <c r="CF384" s="579"/>
      <c r="CG384" s="579"/>
      <c r="CH384" s="579"/>
      <c r="CI384" s="579"/>
      <c r="CJ384" s="594"/>
      <c r="CK384" s="579"/>
      <c r="CL384" s="579"/>
      <c r="CM384" s="579"/>
      <c r="CN384" s="579"/>
      <c r="CO384" s="579"/>
      <c r="CP384" s="579"/>
      <c r="CQ384" s="579"/>
      <c r="CR384" s="579"/>
      <c r="CS384" s="595"/>
      <c r="CT384" s="579"/>
      <c r="CU384" s="579"/>
      <c r="CV384" s="579"/>
      <c r="CW384" s="579"/>
      <c r="CX384" s="579"/>
      <c r="CY384" s="579"/>
      <c r="CZ384" s="579"/>
      <c r="DA384" s="579"/>
      <c r="DB384" s="579"/>
      <c r="DC384" s="579"/>
      <c r="DD384" s="579"/>
      <c r="DE384" s="594">
        <f t="shared" si="1114"/>
        <v>0</v>
      </c>
      <c r="DF384" s="579"/>
      <c r="DG384" s="579"/>
      <c r="DH384" s="579"/>
      <c r="DI384" s="579"/>
      <c r="DJ384" s="579"/>
      <c r="DK384" s="579"/>
      <c r="DL384" s="579"/>
      <c r="DM384" s="579"/>
      <c r="DN384" s="579"/>
      <c r="DO384" s="579"/>
      <c r="DP384" s="579"/>
    </row>
    <row r="385" spans="1:120" hidden="1" outlineLevel="1">
      <c r="A385" s="89">
        <v>1110052010</v>
      </c>
      <c r="B385" s="90"/>
      <c r="C385" s="1476" t="s">
        <v>64</v>
      </c>
      <c r="D385" s="1469"/>
      <c r="E385" s="1470"/>
      <c r="F385" s="420"/>
      <c r="G385" s="1256"/>
      <c r="H385" s="421"/>
      <c r="I385" s="422"/>
      <c r="J385" s="1425">
        <v>1</v>
      </c>
      <c r="K385" s="1426">
        <v>1</v>
      </c>
      <c r="L385" s="1043"/>
      <c r="M385" s="1594">
        <f t="shared" ref="M385" si="1121">+L385*J385</f>
        <v>0</v>
      </c>
      <c r="N385" s="415"/>
      <c r="O385" s="424">
        <f t="shared" si="1115"/>
        <v>0</v>
      </c>
      <c r="P385" s="425"/>
      <c r="Q385" s="1340"/>
      <c r="R385" s="426"/>
      <c r="S385" s="426"/>
      <c r="T385" s="427">
        <f t="shared" si="1116"/>
        <v>0</v>
      </c>
      <c r="U385" s="418">
        <f t="shared" si="1117"/>
        <v>0</v>
      </c>
      <c r="V385" s="517">
        <f t="shared" si="1118"/>
        <v>0</v>
      </c>
      <c r="W385" s="428">
        <f t="shared" si="1119"/>
        <v>0</v>
      </c>
      <c r="X385" s="429">
        <f t="shared" si="1120"/>
        <v>0</v>
      </c>
      <c r="Y385" s="92"/>
      <c r="AA385" s="53"/>
      <c r="AB385" s="578"/>
      <c r="AC385" s="578"/>
      <c r="AD385" s="578"/>
      <c r="AE385" s="578"/>
      <c r="AF385" s="579"/>
      <c r="AG385" s="579"/>
      <c r="AH385" s="579"/>
      <c r="AI385" s="579"/>
      <c r="AJ385" s="579"/>
      <c r="AK385" s="579"/>
      <c r="AL385" s="1563"/>
      <c r="AM385" s="579"/>
      <c r="AN385" s="579"/>
      <c r="AO385" s="579"/>
      <c r="AP385" s="579"/>
      <c r="AQ385" s="579"/>
      <c r="AR385" s="579"/>
      <c r="AS385" s="579"/>
      <c r="AT385" s="579"/>
      <c r="AU385" s="579"/>
      <c r="AV385" s="579"/>
      <c r="AW385" s="579"/>
      <c r="AX385" s="579"/>
      <c r="AY385" s="579"/>
      <c r="AZ385" s="579"/>
      <c r="BA385" s="579"/>
      <c r="BB385" s="579"/>
      <c r="BC385" s="579"/>
      <c r="BD385" s="579"/>
      <c r="BE385" s="579"/>
      <c r="BF385" s="579"/>
      <c r="BG385" s="579"/>
      <c r="BH385" s="579"/>
      <c r="BI385" s="579"/>
      <c r="BJ385" s="579"/>
      <c r="BK385" s="594"/>
      <c r="BL385" s="579"/>
      <c r="BM385" s="579"/>
      <c r="BN385" s="579"/>
      <c r="BO385" s="579"/>
      <c r="BP385" s="579"/>
      <c r="BQ385" s="579"/>
      <c r="BR385" s="579"/>
      <c r="BS385" s="579"/>
      <c r="BT385" s="579"/>
      <c r="BU385" s="579"/>
      <c r="BV385" s="579"/>
      <c r="BW385" s="579"/>
      <c r="BX385" s="579"/>
      <c r="BY385" s="579"/>
      <c r="BZ385" s="579"/>
      <c r="CA385" s="579"/>
      <c r="CB385" s="579"/>
      <c r="CC385" s="579"/>
      <c r="CD385" s="594"/>
      <c r="CE385" s="579"/>
      <c r="CF385" s="579"/>
      <c r="CG385" s="579"/>
      <c r="CH385" s="579"/>
      <c r="CI385" s="579"/>
      <c r="CJ385" s="594"/>
      <c r="CK385" s="579"/>
      <c r="CL385" s="579"/>
      <c r="CM385" s="579"/>
      <c r="CN385" s="579"/>
      <c r="CO385" s="579"/>
      <c r="CP385" s="579"/>
      <c r="CQ385" s="579"/>
      <c r="CR385" s="579"/>
      <c r="CS385" s="595"/>
      <c r="CT385" s="579"/>
      <c r="CU385" s="579"/>
      <c r="CV385" s="579"/>
      <c r="CW385" s="579"/>
      <c r="CX385" s="579"/>
      <c r="CY385" s="579"/>
      <c r="CZ385" s="579"/>
      <c r="DA385" s="579"/>
      <c r="DB385" s="579"/>
      <c r="DC385" s="579"/>
      <c r="DD385" s="579"/>
      <c r="DE385" s="579"/>
      <c r="DF385" s="594">
        <f>+M385</f>
        <v>0</v>
      </c>
      <c r="DG385" s="579"/>
      <c r="DH385" s="579"/>
      <c r="DI385" s="579"/>
      <c r="DJ385" s="579"/>
      <c r="DK385" s="579"/>
      <c r="DL385" s="579"/>
      <c r="DM385" s="579"/>
      <c r="DN385" s="579"/>
      <c r="DO385" s="579"/>
      <c r="DP385" s="579"/>
    </row>
    <row r="386" spans="1:120" hidden="1" outlineLevel="1">
      <c r="A386" s="89">
        <v>1110052010</v>
      </c>
      <c r="B386" s="90"/>
      <c r="C386" s="1476" t="s">
        <v>64</v>
      </c>
      <c r="D386" s="1469"/>
      <c r="E386" s="1470"/>
      <c r="F386" s="420"/>
      <c r="G386" s="1256"/>
      <c r="H386" s="421"/>
      <c r="I386" s="422"/>
      <c r="J386" s="1425">
        <v>1</v>
      </c>
      <c r="K386" s="1426">
        <v>1</v>
      </c>
      <c r="L386" s="1043"/>
      <c r="M386" s="1594"/>
      <c r="N386" s="415"/>
      <c r="O386" s="424">
        <f t="shared" si="1115"/>
        <v>0</v>
      </c>
      <c r="P386" s="425"/>
      <c r="Q386" s="1340">
        <f t="shared" si="1092"/>
        <v>0</v>
      </c>
      <c r="R386" s="426"/>
      <c r="S386" s="426"/>
      <c r="T386" s="427">
        <f t="shared" si="1116"/>
        <v>0</v>
      </c>
      <c r="U386" s="418">
        <f t="shared" si="1117"/>
        <v>0</v>
      </c>
      <c r="V386" s="517">
        <f t="shared" si="1118"/>
        <v>0</v>
      </c>
      <c r="W386" s="428">
        <f t="shared" si="1119"/>
        <v>0</v>
      </c>
      <c r="X386" s="429">
        <f t="shared" si="1120"/>
        <v>0</v>
      </c>
      <c r="Y386" s="92"/>
      <c r="AA386" s="53"/>
      <c r="AB386" s="578"/>
      <c r="AC386" s="578"/>
      <c r="AD386" s="578"/>
      <c r="AE386" s="578"/>
      <c r="AF386" s="579"/>
      <c r="AG386" s="579"/>
      <c r="AH386" s="579"/>
      <c r="AI386" s="579"/>
      <c r="AJ386" s="579"/>
      <c r="AK386" s="579"/>
      <c r="AL386" s="1563"/>
      <c r="AM386" s="579"/>
      <c r="AN386" s="579"/>
      <c r="AO386" s="579"/>
      <c r="AP386" s="579"/>
      <c r="AQ386" s="579"/>
      <c r="AR386" s="579"/>
      <c r="AS386" s="579"/>
      <c r="AT386" s="579"/>
      <c r="AU386" s="579"/>
      <c r="AV386" s="579"/>
      <c r="AW386" s="579"/>
      <c r="AX386" s="579"/>
      <c r="AY386" s="579"/>
      <c r="AZ386" s="579"/>
      <c r="BA386" s="579"/>
      <c r="BB386" s="579"/>
      <c r="BC386" s="579"/>
      <c r="BD386" s="579"/>
      <c r="BE386" s="579"/>
      <c r="BF386" s="579"/>
      <c r="BG386" s="579"/>
      <c r="BH386" s="579"/>
      <c r="BI386" s="579"/>
      <c r="BJ386" s="579"/>
      <c r="BK386" s="594"/>
      <c r="BL386" s="579"/>
      <c r="BM386" s="579"/>
      <c r="BN386" s="579"/>
      <c r="BO386" s="579"/>
      <c r="BP386" s="579"/>
      <c r="BQ386" s="579"/>
      <c r="BR386" s="579"/>
      <c r="BS386" s="579"/>
      <c r="BT386" s="579"/>
      <c r="BU386" s="579"/>
      <c r="BV386" s="579"/>
      <c r="BW386" s="579"/>
      <c r="BX386" s="579"/>
      <c r="BY386" s="579"/>
      <c r="BZ386" s="579"/>
      <c r="CA386" s="579"/>
      <c r="CB386" s="579"/>
      <c r="CC386" s="579"/>
      <c r="CD386" s="594"/>
      <c r="CE386" s="579"/>
      <c r="CF386" s="579"/>
      <c r="CG386" s="579"/>
      <c r="CH386" s="579"/>
      <c r="CI386" s="579"/>
      <c r="CJ386" s="594"/>
      <c r="CK386" s="579"/>
      <c r="CL386" s="579"/>
      <c r="CM386" s="579"/>
      <c r="CN386" s="579"/>
      <c r="CO386" s="579"/>
      <c r="CP386" s="579"/>
      <c r="CQ386" s="579"/>
      <c r="CR386" s="579"/>
      <c r="CS386" s="595"/>
      <c r="CT386" s="579"/>
      <c r="CU386" s="579"/>
      <c r="CV386" s="579"/>
      <c r="CW386" s="579"/>
      <c r="CX386" s="579"/>
      <c r="CY386" s="579"/>
      <c r="CZ386" s="579"/>
      <c r="DA386" s="579"/>
      <c r="DB386" s="579"/>
      <c r="DC386" s="579"/>
      <c r="DD386" s="579"/>
      <c r="DE386" s="594">
        <f>+Q386</f>
        <v>0</v>
      </c>
      <c r="DF386" s="579"/>
      <c r="DG386" s="579"/>
      <c r="DH386" s="579"/>
      <c r="DI386" s="579"/>
      <c r="DJ386" s="579"/>
      <c r="DK386" s="579"/>
      <c r="DL386" s="579"/>
      <c r="DM386" s="579"/>
      <c r="DN386" s="579"/>
      <c r="DO386" s="579"/>
      <c r="DP386" s="579"/>
    </row>
    <row r="387" spans="1:120" hidden="1" outlineLevel="1">
      <c r="A387" s="89">
        <v>1110052010</v>
      </c>
      <c r="B387" s="90"/>
      <c r="C387" s="1476" t="s">
        <v>64</v>
      </c>
      <c r="D387" s="1469"/>
      <c r="E387" s="1470"/>
      <c r="F387" s="420"/>
      <c r="G387" s="1256"/>
      <c r="H387" s="421"/>
      <c r="I387" s="422"/>
      <c r="J387" s="1425">
        <v>1</v>
      </c>
      <c r="K387" s="1426">
        <v>1</v>
      </c>
      <c r="L387" s="1043"/>
      <c r="M387" s="1594">
        <f t="shared" ref="M387" si="1122">+L387*J387</f>
        <v>0</v>
      </c>
      <c r="N387" s="415"/>
      <c r="O387" s="424">
        <f t="shared" si="1115"/>
        <v>0</v>
      </c>
      <c r="P387" s="425"/>
      <c r="Q387" s="1340"/>
      <c r="R387" s="426"/>
      <c r="S387" s="426"/>
      <c r="T387" s="427">
        <f t="shared" si="1116"/>
        <v>0</v>
      </c>
      <c r="U387" s="418">
        <f t="shared" si="1117"/>
        <v>0</v>
      </c>
      <c r="V387" s="517">
        <f t="shared" si="1118"/>
        <v>0</v>
      </c>
      <c r="W387" s="428">
        <f t="shared" si="1119"/>
        <v>0</v>
      </c>
      <c r="X387" s="429">
        <f t="shared" si="1120"/>
        <v>0</v>
      </c>
      <c r="Y387" s="92"/>
      <c r="AA387" s="53"/>
      <c r="AB387" s="578"/>
      <c r="AC387" s="578"/>
      <c r="AD387" s="578"/>
      <c r="AE387" s="578"/>
      <c r="AF387" s="579"/>
      <c r="AG387" s="579"/>
      <c r="AH387" s="579"/>
      <c r="AI387" s="579"/>
      <c r="AJ387" s="579"/>
      <c r="AK387" s="579"/>
      <c r="AL387" s="1563"/>
      <c r="AM387" s="579"/>
      <c r="AN387" s="579"/>
      <c r="AO387" s="579"/>
      <c r="AP387" s="579"/>
      <c r="AQ387" s="579"/>
      <c r="AR387" s="579"/>
      <c r="AS387" s="579"/>
      <c r="AT387" s="579"/>
      <c r="AU387" s="579"/>
      <c r="AV387" s="579"/>
      <c r="AW387" s="579"/>
      <c r="AX387" s="579"/>
      <c r="AY387" s="579"/>
      <c r="AZ387" s="579"/>
      <c r="BA387" s="579"/>
      <c r="BB387" s="579"/>
      <c r="BC387" s="579"/>
      <c r="BD387" s="579"/>
      <c r="BE387" s="579"/>
      <c r="BF387" s="579"/>
      <c r="BG387" s="579"/>
      <c r="BH387" s="579"/>
      <c r="BI387" s="579"/>
      <c r="BJ387" s="579"/>
      <c r="BK387" s="594"/>
      <c r="BL387" s="579"/>
      <c r="BM387" s="579"/>
      <c r="BN387" s="579"/>
      <c r="BO387" s="579"/>
      <c r="BP387" s="579"/>
      <c r="BQ387" s="579"/>
      <c r="BR387" s="579"/>
      <c r="BS387" s="579"/>
      <c r="BT387" s="579"/>
      <c r="BU387" s="579"/>
      <c r="BV387" s="579"/>
      <c r="BW387" s="579"/>
      <c r="BX387" s="579"/>
      <c r="BY387" s="579"/>
      <c r="BZ387" s="579"/>
      <c r="CA387" s="579"/>
      <c r="CB387" s="579"/>
      <c r="CC387" s="579"/>
      <c r="CD387" s="594"/>
      <c r="CE387" s="579"/>
      <c r="CF387" s="579"/>
      <c r="CG387" s="579"/>
      <c r="CH387" s="579"/>
      <c r="CI387" s="579"/>
      <c r="CJ387" s="594"/>
      <c r="CK387" s="579"/>
      <c r="CL387" s="579"/>
      <c r="CM387" s="579"/>
      <c r="CN387" s="579"/>
      <c r="CO387" s="579"/>
      <c r="CP387" s="579"/>
      <c r="CQ387" s="579"/>
      <c r="CR387" s="579"/>
      <c r="CS387" s="595"/>
      <c r="CT387" s="579"/>
      <c r="CU387" s="579"/>
      <c r="CV387" s="579"/>
      <c r="CW387" s="579"/>
      <c r="CX387" s="579"/>
      <c r="CY387" s="579"/>
      <c r="CZ387" s="579"/>
      <c r="DA387" s="579"/>
      <c r="DB387" s="579"/>
      <c r="DC387" s="579"/>
      <c r="DD387" s="579"/>
      <c r="DE387" s="594"/>
      <c r="DF387" s="579"/>
      <c r="DG387" s="594">
        <f>+M387</f>
        <v>0</v>
      </c>
      <c r="DH387" s="579"/>
      <c r="DI387" s="579"/>
      <c r="DJ387" s="579"/>
      <c r="DK387" s="579"/>
      <c r="DL387" s="579"/>
      <c r="DM387" s="579"/>
      <c r="DN387" s="579"/>
      <c r="DO387" s="579"/>
      <c r="DP387" s="579"/>
    </row>
    <row r="388" spans="1:120" hidden="1" outlineLevel="1">
      <c r="A388" s="89">
        <v>1110052010</v>
      </c>
      <c r="B388" s="90"/>
      <c r="C388" s="1476" t="s">
        <v>64</v>
      </c>
      <c r="D388" s="1469"/>
      <c r="E388" s="1470"/>
      <c r="F388" s="420"/>
      <c r="G388" s="1256"/>
      <c r="H388" s="421"/>
      <c r="I388" s="422"/>
      <c r="J388" s="1425">
        <v>1</v>
      </c>
      <c r="K388" s="1426">
        <v>1</v>
      </c>
      <c r="L388" s="1043"/>
      <c r="M388" s="1594"/>
      <c r="N388" s="415"/>
      <c r="O388" s="424">
        <f t="shared" si="1115"/>
        <v>0</v>
      </c>
      <c r="P388" s="1048"/>
      <c r="Q388" s="1239"/>
      <c r="R388" s="426"/>
      <c r="S388" s="426"/>
      <c r="T388" s="427">
        <f t="shared" si="1116"/>
        <v>0</v>
      </c>
      <c r="U388" s="418">
        <f t="shared" si="1117"/>
        <v>0</v>
      </c>
      <c r="V388" s="517">
        <f t="shared" si="1118"/>
        <v>0</v>
      </c>
      <c r="W388" s="428">
        <f t="shared" si="1119"/>
        <v>0</v>
      </c>
      <c r="X388" s="429">
        <f t="shared" si="1120"/>
        <v>0</v>
      </c>
      <c r="Y388" s="92"/>
      <c r="AA388" s="53"/>
      <c r="AB388" s="578"/>
      <c r="AC388" s="578"/>
      <c r="AD388" s="578"/>
      <c r="AE388" s="578"/>
      <c r="AF388" s="579"/>
      <c r="AG388" s="579"/>
      <c r="AH388" s="579"/>
      <c r="AI388" s="579"/>
      <c r="AJ388" s="579"/>
      <c r="AK388" s="579"/>
      <c r="AL388" s="1563"/>
      <c r="AM388" s="579"/>
      <c r="AN388" s="579"/>
      <c r="AO388" s="579"/>
      <c r="AP388" s="579"/>
      <c r="AQ388" s="579"/>
      <c r="AR388" s="579"/>
      <c r="AS388" s="579"/>
      <c r="AT388" s="579"/>
      <c r="AU388" s="579"/>
      <c r="AV388" s="579"/>
      <c r="AW388" s="579"/>
      <c r="AX388" s="579"/>
      <c r="AY388" s="579"/>
      <c r="AZ388" s="579"/>
      <c r="BA388" s="579"/>
      <c r="BB388" s="579"/>
      <c r="BC388" s="579"/>
      <c r="BD388" s="579"/>
      <c r="BE388" s="579"/>
      <c r="BF388" s="579"/>
      <c r="BG388" s="579"/>
      <c r="BH388" s="579"/>
      <c r="BI388" s="579"/>
      <c r="BJ388" s="579"/>
      <c r="BK388" s="594"/>
      <c r="BL388" s="579"/>
      <c r="BM388" s="579"/>
      <c r="BN388" s="579"/>
      <c r="BO388" s="579"/>
      <c r="BP388" s="579"/>
      <c r="BQ388" s="579"/>
      <c r="BR388" s="579"/>
      <c r="BS388" s="579"/>
      <c r="BT388" s="579"/>
      <c r="BU388" s="579"/>
      <c r="BV388" s="579"/>
      <c r="BW388" s="579"/>
      <c r="BX388" s="579"/>
      <c r="BY388" s="579"/>
      <c r="BZ388" s="579"/>
      <c r="CA388" s="579"/>
      <c r="CB388" s="579"/>
      <c r="CC388" s="579"/>
      <c r="CD388" s="579"/>
      <c r="CE388" s="579"/>
      <c r="CF388" s="579"/>
      <c r="CG388" s="579"/>
      <c r="CH388" s="579"/>
      <c r="CI388" s="579"/>
      <c r="CJ388" s="579"/>
      <c r="CK388" s="579"/>
      <c r="CL388" s="579"/>
      <c r="CM388" s="579"/>
      <c r="CN388" s="579"/>
      <c r="CO388" s="579"/>
      <c r="CP388" s="579"/>
      <c r="CQ388" s="579"/>
      <c r="CR388" s="579"/>
      <c r="CS388" s="595"/>
      <c r="CT388" s="579"/>
      <c r="CU388" s="579"/>
      <c r="CV388" s="579"/>
      <c r="CW388" s="579"/>
      <c r="CX388" s="579"/>
      <c r="CY388" s="579"/>
      <c r="CZ388" s="579"/>
      <c r="DA388" s="579"/>
      <c r="DB388" s="579"/>
      <c r="DC388" s="579"/>
      <c r="DD388" s="579"/>
      <c r="DE388" s="579"/>
      <c r="DF388" s="579"/>
      <c r="DG388" s="579"/>
      <c r="DH388" s="579"/>
      <c r="DI388" s="579"/>
      <c r="DJ388" s="579"/>
      <c r="DK388" s="579"/>
      <c r="DL388" s="579"/>
      <c r="DM388" s="579"/>
      <c r="DN388" s="579"/>
      <c r="DO388" s="579"/>
      <c r="DP388" s="579"/>
    </row>
    <row r="389" spans="1:120" s="116" customFormat="1" hidden="1" outlineLevel="1">
      <c r="A389" s="100">
        <v>1110052010</v>
      </c>
      <c r="B389" s="1216"/>
      <c r="C389" s="1695" t="s">
        <v>64</v>
      </c>
      <c r="D389" s="1602"/>
      <c r="E389" s="1603"/>
      <c r="F389" s="102"/>
      <c r="G389" s="1258"/>
      <c r="H389" s="103"/>
      <c r="I389" s="104"/>
      <c r="J389" s="1604">
        <v>1</v>
      </c>
      <c r="K389" s="1605">
        <v>1</v>
      </c>
      <c r="L389" s="1696"/>
      <c r="M389" s="1697">
        <f t="shared" ref="M389:M394" si="1123">+L389*J389</f>
        <v>0</v>
      </c>
      <c r="N389" s="106"/>
      <c r="O389" s="107">
        <f t="shared" ref="O389:O394" si="1124">+L389*N389</f>
        <v>0</v>
      </c>
      <c r="P389" s="108"/>
      <c r="Q389" s="1342"/>
      <c r="R389" s="109"/>
      <c r="S389" s="109"/>
      <c r="T389" s="110">
        <f t="shared" ref="T389:T390" si="1125">+P389*S389</f>
        <v>0</v>
      </c>
      <c r="U389" s="111">
        <f t="shared" ref="U389" si="1126">+L389+P389+F389</f>
        <v>0</v>
      </c>
      <c r="V389" s="566">
        <f t="shared" ref="V389" si="1127">+P389*R389+L389*N389+F389*H389</f>
        <v>0</v>
      </c>
      <c r="W389" s="112">
        <f t="shared" ref="W389:W390" si="1128">(IF(R389&gt;S389,(-P389*R389)-(-P389*S389),0))</f>
        <v>0</v>
      </c>
      <c r="X389" s="113">
        <f t="shared" ref="X389:X390" si="1129">(IF(R389&lt;S389,(-P389*R389)-(-P389*S389),0))</f>
        <v>0</v>
      </c>
      <c r="Y389" s="114"/>
      <c r="Z389" s="115"/>
      <c r="AA389" s="1698"/>
      <c r="AB389" s="1217"/>
      <c r="AC389" s="1217"/>
      <c r="AD389" s="1217"/>
      <c r="AE389" s="1217"/>
      <c r="AF389" s="1218"/>
      <c r="AG389" s="1218"/>
      <c r="AH389" s="1218"/>
      <c r="AI389" s="1218"/>
      <c r="AJ389" s="1218"/>
      <c r="AK389" s="1218"/>
      <c r="AL389" s="1566"/>
      <c r="AM389" s="1218"/>
      <c r="AN389" s="1218"/>
      <c r="AO389" s="1218"/>
      <c r="AP389" s="1218"/>
      <c r="AQ389" s="1218"/>
      <c r="AR389" s="1218"/>
      <c r="AS389" s="1218"/>
      <c r="AT389" s="1218"/>
      <c r="AU389" s="1218"/>
      <c r="AV389" s="1218"/>
      <c r="AW389" s="1218"/>
      <c r="AX389" s="1218"/>
      <c r="AY389" s="1218"/>
      <c r="AZ389" s="1218"/>
      <c r="BA389" s="1218"/>
      <c r="BB389" s="1218"/>
      <c r="BC389" s="1218"/>
      <c r="BD389" s="1218"/>
      <c r="BE389" s="1218"/>
      <c r="BF389" s="1218"/>
      <c r="BG389" s="1218"/>
      <c r="BH389" s="1218"/>
      <c r="BI389" s="1218"/>
      <c r="BJ389" s="1218"/>
      <c r="BK389" s="1220"/>
      <c r="BL389" s="1218"/>
      <c r="BM389" s="1218"/>
      <c r="BN389" s="1218"/>
      <c r="BO389" s="1218"/>
      <c r="BP389" s="1218"/>
      <c r="BQ389" s="1218"/>
      <c r="BR389" s="1218"/>
      <c r="BS389" s="1218"/>
      <c r="BT389" s="1218"/>
      <c r="BU389" s="1218"/>
      <c r="BV389" s="1218"/>
      <c r="BW389" s="1218"/>
      <c r="BX389" s="1218"/>
      <c r="BY389" s="1218"/>
      <c r="BZ389" s="1218"/>
      <c r="CA389" s="1218"/>
      <c r="CB389" s="1218"/>
      <c r="CC389" s="1218"/>
      <c r="CD389" s="1220"/>
      <c r="CE389" s="1218"/>
      <c r="CF389" s="1218"/>
      <c r="CG389" s="1218"/>
      <c r="CH389" s="1218"/>
      <c r="CI389" s="1218"/>
      <c r="CJ389" s="1220"/>
      <c r="CK389" s="1218"/>
      <c r="CL389" s="1218"/>
      <c r="CM389" s="1218"/>
      <c r="CN389" s="1218"/>
      <c r="CO389" s="1218"/>
      <c r="CP389" s="1220">
        <f>+M389</f>
        <v>0</v>
      </c>
      <c r="CQ389" s="1218"/>
      <c r="CR389" s="1218"/>
      <c r="CS389" s="1219"/>
      <c r="CT389" s="1218"/>
      <c r="CU389" s="1218"/>
      <c r="CV389" s="1218"/>
      <c r="CW389" s="1218"/>
      <c r="CX389" s="1218"/>
      <c r="CY389" s="1218"/>
      <c r="CZ389" s="1218"/>
      <c r="DA389" s="1218"/>
      <c r="DB389" s="1218"/>
      <c r="DC389" s="1218"/>
      <c r="DD389" s="1218"/>
      <c r="DE389" s="1218"/>
      <c r="DF389" s="1218"/>
      <c r="DG389" s="1218"/>
      <c r="DH389" s="1218"/>
      <c r="DI389" s="1218"/>
      <c r="DJ389" s="1218"/>
      <c r="DK389" s="1218"/>
      <c r="DL389" s="1218"/>
      <c r="DM389" s="1218"/>
      <c r="DN389" s="1218"/>
      <c r="DO389" s="1218"/>
      <c r="DP389" s="1218"/>
    </row>
    <row r="390" spans="1:120" s="116" customFormat="1" hidden="1" outlineLevel="1">
      <c r="A390" s="100">
        <v>1110052010</v>
      </c>
      <c r="B390" s="1216"/>
      <c r="C390" s="1695" t="s">
        <v>64</v>
      </c>
      <c r="D390" s="1602"/>
      <c r="E390" s="1603"/>
      <c r="F390" s="102"/>
      <c r="G390" s="1258"/>
      <c r="H390" s="103"/>
      <c r="I390" s="104"/>
      <c r="J390" s="1604">
        <v>1</v>
      </c>
      <c r="K390" s="1605">
        <v>1</v>
      </c>
      <c r="L390" s="1696"/>
      <c r="M390" s="1697">
        <f t="shared" si="1123"/>
        <v>0</v>
      </c>
      <c r="N390" s="106"/>
      <c r="O390" s="107">
        <f t="shared" si="1124"/>
        <v>0</v>
      </c>
      <c r="P390" s="108"/>
      <c r="Q390" s="1342"/>
      <c r="R390" s="109"/>
      <c r="S390" s="109"/>
      <c r="T390" s="110">
        <f t="shared" si="1125"/>
        <v>0</v>
      </c>
      <c r="U390" s="111">
        <f t="shared" ref="U390:U394" si="1130">+L390+P390+F390</f>
        <v>0</v>
      </c>
      <c r="V390" s="566">
        <f t="shared" ref="V390:V394" si="1131">+P390*R390+L390*N390+F390*H390</f>
        <v>0</v>
      </c>
      <c r="W390" s="112">
        <f t="shared" si="1128"/>
        <v>0</v>
      </c>
      <c r="X390" s="113">
        <f t="shared" si="1129"/>
        <v>0</v>
      </c>
      <c r="Y390" s="114"/>
      <c r="Z390" s="115"/>
      <c r="AA390" s="1698"/>
      <c r="AB390" s="1217"/>
      <c r="AC390" s="1217"/>
      <c r="AD390" s="1217"/>
      <c r="AE390" s="1217"/>
      <c r="AF390" s="1218"/>
      <c r="AG390" s="1218"/>
      <c r="AH390" s="1218"/>
      <c r="AI390" s="1218"/>
      <c r="AJ390" s="1218"/>
      <c r="AK390" s="1218"/>
      <c r="AL390" s="1566"/>
      <c r="AM390" s="1218"/>
      <c r="AN390" s="1218"/>
      <c r="AO390" s="1218"/>
      <c r="AP390" s="1218"/>
      <c r="AQ390" s="1218"/>
      <c r="AR390" s="1218"/>
      <c r="AS390" s="1218"/>
      <c r="AT390" s="1218"/>
      <c r="AU390" s="1218"/>
      <c r="AV390" s="1218"/>
      <c r="AW390" s="1218"/>
      <c r="AX390" s="1218"/>
      <c r="AY390" s="1218"/>
      <c r="AZ390" s="1218"/>
      <c r="BA390" s="1218"/>
      <c r="BB390" s="1218"/>
      <c r="BC390" s="1218"/>
      <c r="BD390" s="1218"/>
      <c r="BE390" s="1218"/>
      <c r="BF390" s="1218"/>
      <c r="BG390" s="1218"/>
      <c r="BH390" s="1218"/>
      <c r="BI390" s="1218"/>
      <c r="BJ390" s="1218"/>
      <c r="BK390" s="1220"/>
      <c r="BL390" s="1218"/>
      <c r="BM390" s="1218"/>
      <c r="BN390" s="1218"/>
      <c r="BO390" s="1218"/>
      <c r="BP390" s="1218"/>
      <c r="BQ390" s="1218"/>
      <c r="BR390" s="1218"/>
      <c r="BS390" s="1218"/>
      <c r="BT390" s="1218"/>
      <c r="BU390" s="1218"/>
      <c r="BV390" s="1218"/>
      <c r="BW390" s="1218"/>
      <c r="BX390" s="1218"/>
      <c r="BY390" s="1218"/>
      <c r="BZ390" s="1218"/>
      <c r="CA390" s="1218"/>
      <c r="CB390" s="1218"/>
      <c r="CC390" s="1218"/>
      <c r="CD390" s="1220"/>
      <c r="CE390" s="1218"/>
      <c r="CF390" s="1218"/>
      <c r="CG390" s="1218"/>
      <c r="CH390" s="1218"/>
      <c r="CI390" s="1218"/>
      <c r="CJ390" s="1220"/>
      <c r="CK390" s="1218"/>
      <c r="CL390" s="1218"/>
      <c r="CM390" s="1218"/>
      <c r="CN390" s="1218"/>
      <c r="CO390" s="1218"/>
      <c r="CP390" s="1218"/>
      <c r="CQ390" s="1218"/>
      <c r="CR390" s="1220">
        <f>+M390</f>
        <v>0</v>
      </c>
      <c r="CS390" s="1219"/>
      <c r="CT390" s="1218"/>
      <c r="CU390" s="1218"/>
      <c r="CV390" s="1218"/>
      <c r="CW390" s="1218"/>
      <c r="CX390" s="1218"/>
      <c r="CY390" s="1218"/>
      <c r="CZ390" s="1218"/>
      <c r="DA390" s="1218"/>
      <c r="DB390" s="1218"/>
      <c r="DC390" s="1218"/>
      <c r="DD390" s="1218"/>
      <c r="DE390" s="1218"/>
      <c r="DF390" s="1218"/>
      <c r="DG390" s="1218"/>
      <c r="DH390" s="1218"/>
      <c r="DI390" s="1218"/>
      <c r="DJ390" s="1218"/>
      <c r="DK390" s="1218"/>
      <c r="DL390" s="1218"/>
      <c r="DM390" s="1218"/>
      <c r="DN390" s="1218"/>
      <c r="DO390" s="1218"/>
      <c r="DP390" s="1218"/>
    </row>
    <row r="391" spans="1:120" s="116" customFormat="1" hidden="1" outlineLevel="1">
      <c r="A391" s="100">
        <v>1110052010</v>
      </c>
      <c r="B391" s="1216"/>
      <c r="C391" s="1695" t="s">
        <v>64</v>
      </c>
      <c r="D391" s="1602"/>
      <c r="E391" s="1603"/>
      <c r="F391" s="102"/>
      <c r="G391" s="1258"/>
      <c r="H391" s="103"/>
      <c r="I391" s="104"/>
      <c r="J391" s="1604">
        <v>1</v>
      </c>
      <c r="K391" s="1605">
        <v>1</v>
      </c>
      <c r="L391" s="1696"/>
      <c r="M391" s="1697">
        <f t="shared" si="1123"/>
        <v>0</v>
      </c>
      <c r="N391" s="106"/>
      <c r="O391" s="107">
        <f t="shared" si="1124"/>
        <v>0</v>
      </c>
      <c r="P391" s="108"/>
      <c r="Q391" s="1342"/>
      <c r="R391" s="109"/>
      <c r="S391" s="109"/>
      <c r="T391" s="110">
        <v>0</v>
      </c>
      <c r="U391" s="111">
        <f t="shared" si="1130"/>
        <v>0</v>
      </c>
      <c r="V391" s="566">
        <f t="shared" si="1131"/>
        <v>0</v>
      </c>
      <c r="W391" s="112">
        <v>0</v>
      </c>
      <c r="X391" s="113">
        <v>0</v>
      </c>
      <c r="Y391" s="114"/>
      <c r="Z391" s="115"/>
      <c r="AA391" s="1698"/>
      <c r="AB391" s="1217"/>
      <c r="AC391" s="1217"/>
      <c r="AD391" s="1217"/>
      <c r="AE391" s="1217"/>
      <c r="AF391" s="1218"/>
      <c r="AG391" s="1218"/>
      <c r="AH391" s="1218"/>
      <c r="AI391" s="1218"/>
      <c r="AJ391" s="1218"/>
      <c r="AK391" s="1218"/>
      <c r="AL391" s="1566"/>
      <c r="AM391" s="1218"/>
      <c r="AN391" s="1218"/>
      <c r="AO391" s="1218"/>
      <c r="AP391" s="1218"/>
      <c r="AQ391" s="1218"/>
      <c r="AR391" s="1218"/>
      <c r="AS391" s="1218"/>
      <c r="AT391" s="1218"/>
      <c r="AU391" s="1218"/>
      <c r="AV391" s="1218"/>
      <c r="AW391" s="1218"/>
      <c r="AX391" s="1218"/>
      <c r="AY391" s="1218"/>
      <c r="AZ391" s="1218"/>
      <c r="BA391" s="1218"/>
      <c r="BB391" s="1218"/>
      <c r="BC391" s="1218"/>
      <c r="BD391" s="1218"/>
      <c r="BE391" s="1218"/>
      <c r="BF391" s="1218"/>
      <c r="BG391" s="1218"/>
      <c r="BH391" s="1218"/>
      <c r="BI391" s="1218"/>
      <c r="BJ391" s="1218"/>
      <c r="BK391" s="1220"/>
      <c r="BL391" s="1218"/>
      <c r="BM391" s="1218"/>
      <c r="BN391" s="1218"/>
      <c r="BO391" s="1218"/>
      <c r="BP391" s="1218"/>
      <c r="BQ391" s="1218"/>
      <c r="BR391" s="1218"/>
      <c r="BS391" s="1218"/>
      <c r="BT391" s="1218"/>
      <c r="BU391" s="1218"/>
      <c r="BV391" s="1218"/>
      <c r="BW391" s="1218"/>
      <c r="BX391" s="1218"/>
      <c r="BY391" s="1218"/>
      <c r="BZ391" s="1218"/>
      <c r="CA391" s="1218"/>
      <c r="CB391" s="1218"/>
      <c r="CC391" s="1218"/>
      <c r="CD391" s="1220"/>
      <c r="CE391" s="1218"/>
      <c r="CF391" s="1218"/>
      <c r="CG391" s="1218"/>
      <c r="CH391" s="1218"/>
      <c r="CI391" s="1218"/>
      <c r="CJ391" s="1220"/>
      <c r="CK391" s="1218"/>
      <c r="CL391" s="1218"/>
      <c r="CM391" s="1218"/>
      <c r="CN391" s="1218"/>
      <c r="CO391" s="1218"/>
      <c r="CP391" s="1218"/>
      <c r="CQ391" s="1218"/>
      <c r="CR391" s="1218"/>
      <c r="CS391" s="1219">
        <f>+M391</f>
        <v>0</v>
      </c>
      <c r="CT391" s="1218"/>
      <c r="CU391" s="1218"/>
      <c r="CV391" s="1218"/>
      <c r="CW391" s="1218"/>
      <c r="CX391" s="1218"/>
      <c r="CY391" s="1218"/>
      <c r="CZ391" s="1218"/>
      <c r="DA391" s="1218"/>
      <c r="DB391" s="1218"/>
      <c r="DC391" s="1218"/>
      <c r="DD391" s="1218"/>
      <c r="DE391" s="1218"/>
      <c r="DF391" s="1218"/>
      <c r="DG391" s="1218"/>
      <c r="DH391" s="1218"/>
      <c r="DI391" s="1218"/>
      <c r="DJ391" s="1218"/>
      <c r="DK391" s="1218"/>
      <c r="DL391" s="1218"/>
      <c r="DM391" s="1218"/>
      <c r="DN391" s="1218"/>
      <c r="DO391" s="1218"/>
      <c r="DP391" s="1218"/>
    </row>
    <row r="392" spans="1:120" s="116" customFormat="1" hidden="1" outlineLevel="1">
      <c r="A392" s="100">
        <v>1110052010</v>
      </c>
      <c r="B392" s="1216"/>
      <c r="C392" s="1695" t="s">
        <v>64</v>
      </c>
      <c r="D392" s="1602"/>
      <c r="E392" s="1603"/>
      <c r="F392" s="102"/>
      <c r="G392" s="1258"/>
      <c r="H392" s="103"/>
      <c r="I392" s="104"/>
      <c r="J392" s="1604">
        <v>1</v>
      </c>
      <c r="K392" s="1605">
        <v>1</v>
      </c>
      <c r="L392" s="1696"/>
      <c r="M392" s="1697">
        <f t="shared" si="1123"/>
        <v>0</v>
      </c>
      <c r="N392" s="106"/>
      <c r="O392" s="107">
        <f t="shared" si="1124"/>
        <v>0</v>
      </c>
      <c r="P392" s="108"/>
      <c r="Q392" s="1342"/>
      <c r="R392" s="109"/>
      <c r="S392" s="109"/>
      <c r="T392" s="110">
        <v>0</v>
      </c>
      <c r="U392" s="111">
        <f t="shared" si="1130"/>
        <v>0</v>
      </c>
      <c r="V392" s="566">
        <f t="shared" si="1131"/>
        <v>0</v>
      </c>
      <c r="W392" s="112">
        <v>0</v>
      </c>
      <c r="X392" s="113">
        <v>0</v>
      </c>
      <c r="Y392" s="114"/>
      <c r="Z392" s="115"/>
      <c r="AA392" s="1698"/>
      <c r="AB392" s="1217"/>
      <c r="AC392" s="1217"/>
      <c r="AD392" s="1217"/>
      <c r="AE392" s="1217"/>
      <c r="AF392" s="1218"/>
      <c r="AG392" s="1218"/>
      <c r="AH392" s="1218"/>
      <c r="AI392" s="1218"/>
      <c r="AJ392" s="1218"/>
      <c r="AK392" s="1218"/>
      <c r="AL392" s="1566"/>
      <c r="AM392" s="1218"/>
      <c r="AN392" s="1218"/>
      <c r="AO392" s="1218"/>
      <c r="AP392" s="1218"/>
      <c r="AQ392" s="1218"/>
      <c r="AR392" s="1218"/>
      <c r="AS392" s="1218"/>
      <c r="AT392" s="1218"/>
      <c r="AU392" s="1218"/>
      <c r="AV392" s="1218"/>
      <c r="AW392" s="1218"/>
      <c r="AX392" s="1218"/>
      <c r="AY392" s="1218"/>
      <c r="AZ392" s="1218"/>
      <c r="BA392" s="1218"/>
      <c r="BB392" s="1218"/>
      <c r="BC392" s="1218"/>
      <c r="BD392" s="1218"/>
      <c r="BE392" s="1218"/>
      <c r="BF392" s="1218"/>
      <c r="BG392" s="1218"/>
      <c r="BH392" s="1218"/>
      <c r="BI392" s="1218"/>
      <c r="BJ392" s="1218"/>
      <c r="BK392" s="1220"/>
      <c r="BL392" s="1218"/>
      <c r="BM392" s="1218"/>
      <c r="BN392" s="1218"/>
      <c r="BO392" s="1218"/>
      <c r="BP392" s="1218"/>
      <c r="BQ392" s="1218"/>
      <c r="BR392" s="1218"/>
      <c r="BS392" s="1218"/>
      <c r="BT392" s="1218"/>
      <c r="BU392" s="1218"/>
      <c r="BV392" s="1218"/>
      <c r="BW392" s="1218"/>
      <c r="BX392" s="1218"/>
      <c r="BY392" s="1218"/>
      <c r="BZ392" s="1218"/>
      <c r="CA392" s="1218"/>
      <c r="CB392" s="1218"/>
      <c r="CC392" s="1218"/>
      <c r="CD392" s="1220"/>
      <c r="CE392" s="1218"/>
      <c r="CF392" s="1218"/>
      <c r="CG392" s="1218"/>
      <c r="CH392" s="1218"/>
      <c r="CI392" s="1218"/>
      <c r="CJ392" s="1220"/>
      <c r="CK392" s="1218"/>
      <c r="CL392" s="1218"/>
      <c r="CM392" s="1218"/>
      <c r="CN392" s="1218"/>
      <c r="CO392" s="1218"/>
      <c r="CP392" s="1218"/>
      <c r="CQ392" s="1218"/>
      <c r="CR392" s="1218"/>
      <c r="CS392" s="1219"/>
      <c r="CT392" s="1220">
        <f>+M392</f>
        <v>0</v>
      </c>
      <c r="CU392" s="1218"/>
      <c r="CV392" s="1218"/>
      <c r="CW392" s="1218"/>
      <c r="CX392" s="1218"/>
      <c r="CY392" s="1218"/>
      <c r="CZ392" s="1218"/>
      <c r="DA392" s="1218"/>
      <c r="DB392" s="1218"/>
      <c r="DC392" s="1218"/>
      <c r="DD392" s="1218"/>
      <c r="DE392" s="1218"/>
      <c r="DF392" s="1218"/>
      <c r="DG392" s="1218"/>
      <c r="DH392" s="1218"/>
      <c r="DI392" s="1218"/>
      <c r="DJ392" s="1218"/>
      <c r="DK392" s="1218"/>
      <c r="DL392" s="1218"/>
      <c r="DM392" s="1218"/>
      <c r="DN392" s="1218"/>
      <c r="DO392" s="1218"/>
      <c r="DP392" s="1218"/>
    </row>
    <row r="393" spans="1:120" s="116" customFormat="1" hidden="1" outlineLevel="1">
      <c r="A393" s="100">
        <v>1110052010</v>
      </c>
      <c r="B393" s="1216"/>
      <c r="C393" s="1695" t="s">
        <v>64</v>
      </c>
      <c r="D393" s="1602"/>
      <c r="E393" s="1603"/>
      <c r="F393" s="102"/>
      <c r="G393" s="1258"/>
      <c r="H393" s="103"/>
      <c r="I393" s="104"/>
      <c r="J393" s="1604">
        <v>1</v>
      </c>
      <c r="K393" s="1605">
        <v>1</v>
      </c>
      <c r="L393" s="1696"/>
      <c r="M393" s="1697">
        <f t="shared" si="1123"/>
        <v>0</v>
      </c>
      <c r="N393" s="106"/>
      <c r="O393" s="107">
        <f t="shared" si="1124"/>
        <v>0</v>
      </c>
      <c r="P393" s="108"/>
      <c r="Q393" s="1342"/>
      <c r="R393" s="109"/>
      <c r="S393" s="109"/>
      <c r="T393" s="110">
        <v>0</v>
      </c>
      <c r="U393" s="111">
        <f t="shared" si="1130"/>
        <v>0</v>
      </c>
      <c r="V393" s="566">
        <f t="shared" si="1131"/>
        <v>0</v>
      </c>
      <c r="W393" s="112">
        <v>0</v>
      </c>
      <c r="X393" s="113">
        <v>0</v>
      </c>
      <c r="Y393" s="114"/>
      <c r="Z393" s="115"/>
      <c r="AA393" s="1698"/>
      <c r="AB393" s="1217"/>
      <c r="AC393" s="1217"/>
      <c r="AD393" s="1217"/>
      <c r="AE393" s="1217"/>
      <c r="AF393" s="1218"/>
      <c r="AG393" s="1218"/>
      <c r="AH393" s="1218"/>
      <c r="AI393" s="1218"/>
      <c r="AJ393" s="1218"/>
      <c r="AK393" s="1218"/>
      <c r="AL393" s="1566"/>
      <c r="AM393" s="1218"/>
      <c r="AN393" s="1218"/>
      <c r="AO393" s="1218"/>
      <c r="AP393" s="1218"/>
      <c r="AQ393" s="1218"/>
      <c r="AR393" s="1218"/>
      <c r="AS393" s="1218"/>
      <c r="AT393" s="1218"/>
      <c r="AU393" s="1218"/>
      <c r="AV393" s="1218"/>
      <c r="AW393" s="1218"/>
      <c r="AX393" s="1218"/>
      <c r="AY393" s="1218"/>
      <c r="AZ393" s="1218"/>
      <c r="BA393" s="1218"/>
      <c r="BB393" s="1218"/>
      <c r="BC393" s="1218"/>
      <c r="BD393" s="1218"/>
      <c r="BE393" s="1218"/>
      <c r="BF393" s="1218"/>
      <c r="BG393" s="1218"/>
      <c r="BH393" s="1218"/>
      <c r="BI393" s="1218"/>
      <c r="BJ393" s="1218"/>
      <c r="BK393" s="1220"/>
      <c r="BL393" s="1218"/>
      <c r="BM393" s="1218"/>
      <c r="BN393" s="1218"/>
      <c r="BO393" s="1218"/>
      <c r="BP393" s="1218"/>
      <c r="BQ393" s="1218"/>
      <c r="BR393" s="1218"/>
      <c r="BS393" s="1218"/>
      <c r="BT393" s="1218"/>
      <c r="BU393" s="1218"/>
      <c r="BV393" s="1218"/>
      <c r="BW393" s="1218"/>
      <c r="BX393" s="1218"/>
      <c r="BY393" s="1218"/>
      <c r="BZ393" s="1218"/>
      <c r="CA393" s="1218"/>
      <c r="CB393" s="1218"/>
      <c r="CC393" s="1218"/>
      <c r="CD393" s="1220"/>
      <c r="CE393" s="1218"/>
      <c r="CF393" s="1218"/>
      <c r="CG393" s="1218"/>
      <c r="CH393" s="1218"/>
      <c r="CI393" s="1218"/>
      <c r="CJ393" s="1220"/>
      <c r="CK393" s="1218"/>
      <c r="CL393" s="1218"/>
      <c r="CM393" s="1218"/>
      <c r="CN393" s="1218"/>
      <c r="CO393" s="1218"/>
      <c r="CP393" s="1218"/>
      <c r="CQ393" s="1218"/>
      <c r="CR393" s="1218"/>
      <c r="CS393" s="1219"/>
      <c r="CT393" s="1218"/>
      <c r="CU393" s="1218"/>
      <c r="CV393" s="1218"/>
      <c r="CW393" s="1218"/>
      <c r="CX393" s="1220">
        <f>+M393</f>
        <v>0</v>
      </c>
      <c r="CY393" s="1218"/>
      <c r="CZ393" s="1218"/>
      <c r="DA393" s="1218"/>
      <c r="DB393" s="1218"/>
      <c r="DC393" s="1218"/>
      <c r="DD393" s="1218"/>
      <c r="DE393" s="1218"/>
      <c r="DF393" s="1218"/>
      <c r="DG393" s="1218"/>
      <c r="DH393" s="1218"/>
      <c r="DI393" s="1218"/>
      <c r="DJ393" s="1218"/>
      <c r="DK393" s="1218"/>
      <c r="DL393" s="1218"/>
      <c r="DM393" s="1218"/>
      <c r="DN393" s="1218"/>
      <c r="DO393" s="1218"/>
      <c r="DP393" s="1218"/>
    </row>
    <row r="394" spans="1:120" s="116" customFormat="1" hidden="1" outlineLevel="1">
      <c r="A394" s="100">
        <v>1110052010</v>
      </c>
      <c r="B394" s="1216"/>
      <c r="C394" s="1695" t="s">
        <v>64</v>
      </c>
      <c r="D394" s="1602"/>
      <c r="E394" s="1603"/>
      <c r="F394" s="102"/>
      <c r="G394" s="1258"/>
      <c r="H394" s="103"/>
      <c r="I394" s="104"/>
      <c r="J394" s="1604">
        <v>1</v>
      </c>
      <c r="K394" s="1605">
        <v>1</v>
      </c>
      <c r="L394" s="1696"/>
      <c r="M394" s="1697">
        <f t="shared" si="1123"/>
        <v>0</v>
      </c>
      <c r="N394" s="106"/>
      <c r="O394" s="107">
        <f t="shared" si="1124"/>
        <v>0</v>
      </c>
      <c r="P394" s="108"/>
      <c r="Q394" s="1342"/>
      <c r="R394" s="109"/>
      <c r="S394" s="109"/>
      <c r="T394" s="110">
        <v>0</v>
      </c>
      <c r="U394" s="111">
        <f t="shared" si="1130"/>
        <v>0</v>
      </c>
      <c r="V394" s="566">
        <f t="shared" si="1131"/>
        <v>0</v>
      </c>
      <c r="W394" s="112">
        <v>0</v>
      </c>
      <c r="X394" s="113">
        <v>0</v>
      </c>
      <c r="Y394" s="114"/>
      <c r="Z394" s="115"/>
      <c r="AA394" s="1698"/>
      <c r="AB394" s="1217"/>
      <c r="AC394" s="1217"/>
      <c r="AD394" s="1217"/>
      <c r="AE394" s="1217"/>
      <c r="AF394" s="1218"/>
      <c r="AG394" s="1218"/>
      <c r="AH394" s="1218"/>
      <c r="AI394" s="1218"/>
      <c r="AJ394" s="1218"/>
      <c r="AK394" s="1218"/>
      <c r="AL394" s="1566"/>
      <c r="AM394" s="1218"/>
      <c r="AN394" s="1218"/>
      <c r="AO394" s="1218"/>
      <c r="AP394" s="1218"/>
      <c r="AQ394" s="1218"/>
      <c r="AR394" s="1218"/>
      <c r="AS394" s="1218"/>
      <c r="AT394" s="1218"/>
      <c r="AU394" s="1218"/>
      <c r="AV394" s="1218"/>
      <c r="AW394" s="1218"/>
      <c r="AX394" s="1218"/>
      <c r="AY394" s="1218"/>
      <c r="AZ394" s="1218"/>
      <c r="BA394" s="1218"/>
      <c r="BB394" s="1218"/>
      <c r="BC394" s="1218"/>
      <c r="BD394" s="1218"/>
      <c r="BE394" s="1218"/>
      <c r="BF394" s="1218"/>
      <c r="BG394" s="1218"/>
      <c r="BH394" s="1218"/>
      <c r="BI394" s="1218"/>
      <c r="BJ394" s="1218"/>
      <c r="BK394" s="1220"/>
      <c r="BL394" s="1218"/>
      <c r="BM394" s="1218"/>
      <c r="BN394" s="1218"/>
      <c r="BO394" s="1218"/>
      <c r="BP394" s="1218"/>
      <c r="BQ394" s="1218"/>
      <c r="BR394" s="1218"/>
      <c r="BS394" s="1218"/>
      <c r="BT394" s="1218"/>
      <c r="BU394" s="1218"/>
      <c r="BV394" s="1218"/>
      <c r="BW394" s="1218"/>
      <c r="BX394" s="1218"/>
      <c r="BY394" s="1218"/>
      <c r="BZ394" s="1218"/>
      <c r="CA394" s="1218"/>
      <c r="CB394" s="1218"/>
      <c r="CC394" s="1218"/>
      <c r="CD394" s="1220"/>
      <c r="CE394" s="1218"/>
      <c r="CF394" s="1218"/>
      <c r="CG394" s="1218"/>
      <c r="CH394" s="1218"/>
      <c r="CI394" s="1218"/>
      <c r="CJ394" s="1220"/>
      <c r="CK394" s="1218"/>
      <c r="CL394" s="1218"/>
      <c r="CM394" s="1218"/>
      <c r="CN394" s="1218"/>
      <c r="CO394" s="1218"/>
      <c r="CP394" s="1218"/>
      <c r="CQ394" s="1218"/>
      <c r="CR394" s="1218"/>
      <c r="CS394" s="1219"/>
      <c r="CT394" s="1218"/>
      <c r="CU394" s="1218"/>
      <c r="CV394" s="1218"/>
      <c r="CW394" s="1218"/>
      <c r="CX394" s="1218"/>
      <c r="CY394" s="1218"/>
      <c r="CZ394" s="1218"/>
      <c r="DA394" s="1218"/>
      <c r="DB394" s="1218"/>
      <c r="DC394" s="1218"/>
      <c r="DD394" s="1220">
        <f>+M394</f>
        <v>0</v>
      </c>
      <c r="DE394" s="1218"/>
      <c r="DF394" s="1218"/>
      <c r="DG394" s="1218"/>
      <c r="DH394" s="1218"/>
      <c r="DI394" s="1218"/>
      <c r="DJ394" s="1218"/>
      <c r="DK394" s="1218"/>
      <c r="DL394" s="1218"/>
      <c r="DM394" s="1218"/>
      <c r="DN394" s="1218"/>
      <c r="DO394" s="1218"/>
      <c r="DP394" s="1218"/>
    </row>
    <row r="395" spans="1:120" hidden="1" outlineLevel="1">
      <c r="A395" s="89">
        <v>1110052010</v>
      </c>
      <c r="B395" s="90"/>
      <c r="C395" s="1476" t="s">
        <v>64</v>
      </c>
      <c r="D395" s="1469"/>
      <c r="E395" s="1470"/>
      <c r="F395" s="420"/>
      <c r="G395" s="1256"/>
      <c r="H395" s="421"/>
      <c r="I395" s="422"/>
      <c r="J395" s="1425">
        <v>1</v>
      </c>
      <c r="K395" s="1426">
        <v>1</v>
      </c>
      <c r="L395" s="1043"/>
      <c r="M395" s="1594"/>
      <c r="N395" s="415"/>
      <c r="O395" s="424">
        <f t="shared" ref="O395" si="1132">+L395*N395</f>
        <v>0</v>
      </c>
      <c r="P395" s="1048"/>
      <c r="Q395" s="1239"/>
      <c r="R395" s="426"/>
      <c r="S395" s="426"/>
      <c r="T395" s="427">
        <f t="shared" ref="T395" si="1133">+P395*S395</f>
        <v>0</v>
      </c>
      <c r="U395" s="418">
        <f t="shared" ref="U395" si="1134">+L395+P395+F395</f>
        <v>0</v>
      </c>
      <c r="V395" s="517">
        <f t="shared" ref="V395" si="1135">+P395*R395+L395*N395+F395*H395</f>
        <v>0</v>
      </c>
      <c r="W395" s="428">
        <f t="shared" ref="W395" si="1136">(IF(R395&gt;S395,(-P395*R395)-(-P395*S395),0))</f>
        <v>0</v>
      </c>
      <c r="X395" s="429">
        <f t="shared" ref="X395" si="1137">(IF(R395&lt;S395,(-P395*R395)-(-P395*S395),0))</f>
        <v>0</v>
      </c>
      <c r="Y395" s="92"/>
      <c r="AA395" s="53"/>
      <c r="AB395" s="578"/>
      <c r="AC395" s="578"/>
      <c r="AD395" s="578"/>
      <c r="AE395" s="578"/>
      <c r="AF395" s="579"/>
      <c r="AG395" s="579"/>
      <c r="AH395" s="579"/>
      <c r="AI395" s="579"/>
      <c r="AJ395" s="579"/>
      <c r="AK395" s="579"/>
      <c r="AL395" s="1563"/>
      <c r="AM395" s="579"/>
      <c r="AN395" s="579"/>
      <c r="AO395" s="579"/>
      <c r="AP395" s="579"/>
      <c r="AQ395" s="579"/>
      <c r="AR395" s="579"/>
      <c r="AS395" s="579"/>
      <c r="AT395" s="579"/>
      <c r="AU395" s="579"/>
      <c r="AV395" s="579"/>
      <c r="AW395" s="579"/>
      <c r="AX395" s="579"/>
      <c r="AY395" s="579"/>
      <c r="AZ395" s="579"/>
      <c r="BA395" s="579"/>
      <c r="BB395" s="579"/>
      <c r="BC395" s="579"/>
      <c r="BD395" s="579"/>
      <c r="BE395" s="579"/>
      <c r="BF395" s="579"/>
      <c r="BG395" s="579"/>
      <c r="BH395" s="579"/>
      <c r="BI395" s="579"/>
      <c r="BJ395" s="579"/>
      <c r="BK395" s="594"/>
      <c r="BL395" s="579"/>
      <c r="BM395" s="579"/>
      <c r="BN395" s="579"/>
      <c r="BO395" s="579"/>
      <c r="BP395" s="579"/>
      <c r="BQ395" s="579"/>
      <c r="BR395" s="579"/>
      <c r="BS395" s="579"/>
      <c r="BT395" s="579"/>
      <c r="BU395" s="579"/>
      <c r="BV395" s="579"/>
      <c r="BW395" s="579"/>
      <c r="BX395" s="579"/>
      <c r="BY395" s="579"/>
      <c r="BZ395" s="579"/>
      <c r="CA395" s="579"/>
      <c r="CB395" s="579"/>
      <c r="CC395" s="579"/>
      <c r="CD395" s="579"/>
      <c r="CE395" s="579"/>
      <c r="CF395" s="579"/>
      <c r="CG395" s="579"/>
      <c r="CH395" s="579"/>
      <c r="CI395" s="579"/>
      <c r="CJ395" s="579"/>
      <c r="CK395" s="579"/>
      <c r="CL395" s="579"/>
      <c r="CM395" s="579"/>
      <c r="CN395" s="579"/>
      <c r="CO395" s="579"/>
      <c r="CP395" s="579"/>
      <c r="CQ395" s="579"/>
      <c r="CR395" s="579"/>
      <c r="CS395" s="595"/>
      <c r="CT395" s="579"/>
      <c r="CU395" s="579"/>
      <c r="CV395" s="579"/>
      <c r="CW395" s="579"/>
      <c r="CX395" s="579"/>
      <c r="CY395" s="579"/>
      <c r="CZ395" s="579"/>
      <c r="DA395" s="579"/>
      <c r="DB395" s="579"/>
      <c r="DC395" s="579"/>
      <c r="DD395" s="579"/>
      <c r="DE395" s="579"/>
      <c r="DF395" s="579"/>
      <c r="DG395" s="579"/>
      <c r="DH395" s="579"/>
      <c r="DI395" s="579"/>
      <c r="DJ395" s="579"/>
      <c r="DK395" s="579"/>
      <c r="DL395" s="579"/>
      <c r="DM395" s="579"/>
      <c r="DN395" s="579"/>
      <c r="DO395" s="579"/>
      <c r="DP395" s="579"/>
    </row>
    <row r="396" spans="1:120" hidden="1" outlineLevel="1">
      <c r="A396" s="89">
        <v>1110052010</v>
      </c>
      <c r="B396" s="90"/>
      <c r="C396" s="1476" t="s">
        <v>64</v>
      </c>
      <c r="D396" s="1469"/>
      <c r="E396" s="1470"/>
      <c r="F396" s="420"/>
      <c r="G396" s="1256"/>
      <c r="H396" s="421"/>
      <c r="I396" s="422"/>
      <c r="J396" s="1425">
        <v>1</v>
      </c>
      <c r="K396" s="1426">
        <v>1</v>
      </c>
      <c r="L396" s="1043"/>
      <c r="M396" s="1594"/>
      <c r="N396" s="415"/>
      <c r="O396" s="424">
        <f t="shared" si="1115"/>
        <v>0</v>
      </c>
      <c r="P396" s="425"/>
      <c r="Q396" s="1340">
        <f t="shared" si="1092"/>
        <v>0</v>
      </c>
      <c r="R396" s="426"/>
      <c r="S396" s="426"/>
      <c r="T396" s="427">
        <f t="shared" si="1116"/>
        <v>0</v>
      </c>
      <c r="U396" s="418">
        <f t="shared" si="1117"/>
        <v>0</v>
      </c>
      <c r="V396" s="517">
        <f t="shared" si="1118"/>
        <v>0</v>
      </c>
      <c r="W396" s="428">
        <f t="shared" si="1119"/>
        <v>0</v>
      </c>
      <c r="X396" s="429">
        <f t="shared" si="1120"/>
        <v>0</v>
      </c>
      <c r="Y396" s="92"/>
      <c r="AA396" s="53"/>
      <c r="AB396" s="578"/>
      <c r="AC396" s="578"/>
      <c r="AD396" s="578"/>
      <c r="AE396" s="578"/>
      <c r="AF396" s="579"/>
      <c r="AG396" s="579"/>
      <c r="AH396" s="579"/>
      <c r="AI396" s="579"/>
      <c r="AJ396" s="579"/>
      <c r="AK396" s="579"/>
      <c r="AL396" s="1563"/>
      <c r="AM396" s="579"/>
      <c r="AN396" s="579"/>
      <c r="AO396" s="579"/>
      <c r="AP396" s="579"/>
      <c r="AQ396" s="579"/>
      <c r="AR396" s="579"/>
      <c r="AS396" s="579"/>
      <c r="AT396" s="579"/>
      <c r="AU396" s="579"/>
      <c r="AV396" s="579"/>
      <c r="AW396" s="579"/>
      <c r="AX396" s="579"/>
      <c r="AY396" s="579"/>
      <c r="AZ396" s="579"/>
      <c r="BA396" s="579"/>
      <c r="BB396" s="579"/>
      <c r="BC396" s="579"/>
      <c r="BD396" s="579"/>
      <c r="BE396" s="579"/>
      <c r="BF396" s="579"/>
      <c r="BG396" s="579"/>
      <c r="BH396" s="579"/>
      <c r="BI396" s="579"/>
      <c r="BJ396" s="579"/>
      <c r="BK396" s="594"/>
      <c r="BL396" s="579"/>
      <c r="BM396" s="579"/>
      <c r="BN396" s="579"/>
      <c r="BO396" s="579"/>
      <c r="BP396" s="579"/>
      <c r="BQ396" s="579"/>
      <c r="BR396" s="579"/>
      <c r="BS396" s="579"/>
      <c r="BT396" s="579"/>
      <c r="BU396" s="579"/>
      <c r="BV396" s="579"/>
      <c r="BW396" s="579"/>
      <c r="BX396" s="579"/>
      <c r="BY396" s="579"/>
      <c r="BZ396" s="579"/>
      <c r="CA396" s="579"/>
      <c r="CB396" s="579"/>
      <c r="CC396" s="579"/>
      <c r="CD396" s="594"/>
      <c r="CE396" s="579"/>
      <c r="CF396" s="579"/>
      <c r="CG396" s="579"/>
      <c r="CH396" s="579"/>
      <c r="CI396" s="579"/>
      <c r="CJ396" s="594"/>
      <c r="CK396" s="579"/>
      <c r="CL396" s="579"/>
      <c r="CM396" s="579"/>
      <c r="CN396" s="579"/>
      <c r="CO396" s="579"/>
      <c r="CP396" s="579"/>
      <c r="CQ396" s="579"/>
      <c r="CR396" s="579"/>
      <c r="CS396" s="595"/>
      <c r="CT396" s="579"/>
      <c r="CU396" s="579"/>
      <c r="CV396" s="579"/>
      <c r="CW396" s="579"/>
      <c r="CX396" s="579"/>
      <c r="CY396" s="579"/>
      <c r="CZ396" s="579"/>
      <c r="DA396" s="579"/>
      <c r="DB396" s="579"/>
      <c r="DC396" s="579"/>
      <c r="DD396" s="579"/>
      <c r="DE396" s="594">
        <f>+Q396</f>
        <v>0</v>
      </c>
      <c r="DF396" s="579"/>
      <c r="DG396" s="579"/>
      <c r="DH396" s="579"/>
      <c r="DI396" s="579"/>
      <c r="DJ396" s="579"/>
      <c r="DK396" s="579"/>
      <c r="DL396" s="579"/>
      <c r="DM396" s="579"/>
      <c r="DN396" s="579"/>
      <c r="DO396" s="579"/>
      <c r="DP396" s="579"/>
    </row>
    <row r="397" spans="1:120" hidden="1" outlineLevel="1">
      <c r="A397" s="89">
        <v>1110052010</v>
      </c>
      <c r="B397" s="90"/>
      <c r="C397" s="1476" t="s">
        <v>64</v>
      </c>
      <c r="D397" s="1469"/>
      <c r="E397" s="1470"/>
      <c r="F397" s="420"/>
      <c r="G397" s="1256"/>
      <c r="H397" s="421"/>
      <c r="I397" s="422"/>
      <c r="J397" s="1425">
        <v>1</v>
      </c>
      <c r="K397" s="1426">
        <v>1</v>
      </c>
      <c r="L397" s="1043"/>
      <c r="M397" s="1594"/>
      <c r="N397" s="415"/>
      <c r="O397" s="424">
        <f t="shared" ref="O397" si="1138">+L397*N397</f>
        <v>0</v>
      </c>
      <c r="P397" s="425"/>
      <c r="Q397" s="1340">
        <f t="shared" ref="Q397" si="1139">+P397*K397</f>
        <v>0</v>
      </c>
      <c r="R397" s="426"/>
      <c r="S397" s="426"/>
      <c r="T397" s="427">
        <f t="shared" ref="T397" si="1140">+P397*S397</f>
        <v>0</v>
      </c>
      <c r="U397" s="418">
        <f t="shared" ref="U397" si="1141">+L397+P397+F397</f>
        <v>0</v>
      </c>
      <c r="V397" s="517">
        <f t="shared" ref="V397" si="1142">+P397*R397+L397*N397+F397*H397</f>
        <v>0</v>
      </c>
      <c r="W397" s="428">
        <f t="shared" ref="W397:W398" si="1143">(IF(R397&gt;S397,(-P397*R397)-(-P397*S397),0))</f>
        <v>0</v>
      </c>
      <c r="X397" s="429">
        <f t="shared" ref="X397" si="1144">(IF(R397&lt;S397,(-P397*R397)-(-P397*S397),0))</f>
        <v>0</v>
      </c>
      <c r="Y397" s="92"/>
      <c r="AA397" s="53"/>
      <c r="AB397" s="578"/>
      <c r="AC397" s="578"/>
      <c r="AD397" s="578"/>
      <c r="AE397" s="578"/>
      <c r="AF397" s="579"/>
      <c r="AG397" s="579"/>
      <c r="AH397" s="579"/>
      <c r="AI397" s="579"/>
      <c r="AJ397" s="579"/>
      <c r="AK397" s="579"/>
      <c r="AL397" s="1563"/>
      <c r="AM397" s="579"/>
      <c r="AN397" s="579"/>
      <c r="AO397" s="579"/>
      <c r="AP397" s="579"/>
      <c r="AQ397" s="579"/>
      <c r="AR397" s="579"/>
      <c r="AS397" s="579"/>
      <c r="AT397" s="579"/>
      <c r="AU397" s="579"/>
      <c r="AV397" s="579"/>
      <c r="AW397" s="579"/>
      <c r="AX397" s="579"/>
      <c r="AY397" s="579"/>
      <c r="AZ397" s="579"/>
      <c r="BA397" s="579"/>
      <c r="BB397" s="579"/>
      <c r="BC397" s="579"/>
      <c r="BD397" s="579"/>
      <c r="BE397" s="579"/>
      <c r="BF397" s="579"/>
      <c r="BG397" s="579"/>
      <c r="BH397" s="579"/>
      <c r="BI397" s="579"/>
      <c r="BJ397" s="579"/>
      <c r="BK397" s="594"/>
      <c r="BL397" s="579"/>
      <c r="BM397" s="579"/>
      <c r="BN397" s="579"/>
      <c r="BO397" s="579"/>
      <c r="BP397" s="579"/>
      <c r="BQ397" s="579"/>
      <c r="BR397" s="579"/>
      <c r="BS397" s="579"/>
      <c r="BT397" s="579"/>
      <c r="BU397" s="579"/>
      <c r="BV397" s="579"/>
      <c r="BW397" s="579"/>
      <c r="BX397" s="579"/>
      <c r="BY397" s="579"/>
      <c r="BZ397" s="579"/>
      <c r="CA397" s="579"/>
      <c r="CB397" s="579"/>
      <c r="CC397" s="579"/>
      <c r="CD397" s="594"/>
      <c r="CE397" s="579"/>
      <c r="CF397" s="579"/>
      <c r="CG397" s="579"/>
      <c r="CH397" s="579"/>
      <c r="CI397" s="579"/>
      <c r="CJ397" s="594"/>
      <c r="CK397" s="579"/>
      <c r="CL397" s="579"/>
      <c r="CM397" s="579"/>
      <c r="CN397" s="579"/>
      <c r="CO397" s="579"/>
      <c r="CP397" s="579"/>
      <c r="CQ397" s="579"/>
      <c r="CR397" s="579"/>
      <c r="CS397" s="595"/>
      <c r="CT397" s="579"/>
      <c r="CU397" s="579"/>
      <c r="CV397" s="579"/>
      <c r="CW397" s="579"/>
      <c r="CX397" s="579"/>
      <c r="CY397" s="579"/>
      <c r="CZ397" s="579"/>
      <c r="DA397" s="579"/>
      <c r="DB397" s="579"/>
      <c r="DC397" s="579"/>
      <c r="DD397" s="579"/>
      <c r="DE397" s="579"/>
      <c r="DF397" s="594">
        <f>+Q397</f>
        <v>0</v>
      </c>
      <c r="DG397" s="579"/>
      <c r="DH397" s="579"/>
      <c r="DI397" s="579"/>
      <c r="DJ397" s="579"/>
      <c r="DK397" s="579"/>
      <c r="DL397" s="579"/>
      <c r="DM397" s="579"/>
      <c r="DN397" s="579"/>
      <c r="DO397" s="579"/>
      <c r="DP397" s="579"/>
    </row>
    <row r="398" spans="1:120" hidden="1" outlineLevel="1">
      <c r="A398" s="89">
        <v>1110052010</v>
      </c>
      <c r="B398" s="90"/>
      <c r="C398" s="1476" t="s">
        <v>64</v>
      </c>
      <c r="D398" s="1469"/>
      <c r="E398" s="1470"/>
      <c r="F398" s="420"/>
      <c r="G398" s="1256"/>
      <c r="H398" s="421"/>
      <c r="I398" s="422"/>
      <c r="J398" s="1425">
        <v>1</v>
      </c>
      <c r="K398" s="1426">
        <v>1</v>
      </c>
      <c r="L398" s="1043"/>
      <c r="M398" s="1594"/>
      <c r="N398" s="415"/>
      <c r="O398" s="424">
        <f t="shared" ref="O398" si="1145">+L398*N398</f>
        <v>0</v>
      </c>
      <c r="P398" s="425"/>
      <c r="Q398" s="1340">
        <f t="shared" ref="Q398" si="1146">+P398*K398</f>
        <v>0</v>
      </c>
      <c r="R398" s="426"/>
      <c r="S398" s="426"/>
      <c r="T398" s="427">
        <f t="shared" ref="T398" si="1147">+P398*S398</f>
        <v>0</v>
      </c>
      <c r="U398" s="418">
        <f t="shared" ref="U398" si="1148">+L398+P398+F398</f>
        <v>0</v>
      </c>
      <c r="V398" s="517">
        <f t="shared" ref="V398" si="1149">+P398*R398+L398*N398+F398*H398</f>
        <v>0</v>
      </c>
      <c r="W398" s="428">
        <f t="shared" si="1143"/>
        <v>0</v>
      </c>
      <c r="X398" s="429">
        <f t="shared" ref="X398" si="1150">(IF(R398&lt;S398,(-P398*R398)-(-P398*S398),0))</f>
        <v>0</v>
      </c>
      <c r="Y398" s="92"/>
      <c r="AA398" s="53"/>
      <c r="AB398" s="578"/>
      <c r="AC398" s="578"/>
      <c r="AD398" s="578"/>
      <c r="AE398" s="578"/>
      <c r="AF398" s="579"/>
      <c r="AG398" s="579"/>
      <c r="AH398" s="579"/>
      <c r="AI398" s="579"/>
      <c r="AJ398" s="579"/>
      <c r="AK398" s="579"/>
      <c r="AL398" s="1563"/>
      <c r="AM398" s="579"/>
      <c r="AN398" s="579"/>
      <c r="AO398" s="579"/>
      <c r="AP398" s="579"/>
      <c r="AQ398" s="579"/>
      <c r="AR398" s="579"/>
      <c r="AS398" s="579"/>
      <c r="AT398" s="579"/>
      <c r="AU398" s="579"/>
      <c r="AV398" s="579"/>
      <c r="AW398" s="579"/>
      <c r="AX398" s="579"/>
      <c r="AY398" s="579"/>
      <c r="AZ398" s="579"/>
      <c r="BA398" s="579"/>
      <c r="BB398" s="579"/>
      <c r="BC398" s="579"/>
      <c r="BD398" s="579"/>
      <c r="BE398" s="579"/>
      <c r="BF398" s="579"/>
      <c r="BG398" s="579"/>
      <c r="BH398" s="579"/>
      <c r="BI398" s="579"/>
      <c r="BJ398" s="579"/>
      <c r="BK398" s="594"/>
      <c r="BL398" s="579"/>
      <c r="BM398" s="579"/>
      <c r="BN398" s="579"/>
      <c r="BO398" s="579"/>
      <c r="BP398" s="579"/>
      <c r="BQ398" s="579"/>
      <c r="BR398" s="579"/>
      <c r="BS398" s="579"/>
      <c r="BT398" s="579"/>
      <c r="BU398" s="579"/>
      <c r="BV398" s="579"/>
      <c r="BW398" s="579"/>
      <c r="BX398" s="579"/>
      <c r="BY398" s="579"/>
      <c r="BZ398" s="579"/>
      <c r="CA398" s="579"/>
      <c r="CB398" s="579"/>
      <c r="CC398" s="579"/>
      <c r="CD398" s="594"/>
      <c r="CE398" s="579"/>
      <c r="CF398" s="579"/>
      <c r="CG398" s="579"/>
      <c r="CH398" s="579"/>
      <c r="CI398" s="579"/>
      <c r="CJ398" s="594"/>
      <c r="CK398" s="579"/>
      <c r="CL398" s="579"/>
      <c r="CM398" s="579"/>
      <c r="CN398" s="579"/>
      <c r="CO398" s="579"/>
      <c r="CP398" s="579"/>
      <c r="CQ398" s="579"/>
      <c r="CR398" s="579"/>
      <c r="CS398" s="595"/>
      <c r="CT398" s="579"/>
      <c r="CU398" s="579"/>
      <c r="CV398" s="579"/>
      <c r="CW398" s="579"/>
      <c r="CX398" s="579"/>
      <c r="CY398" s="579"/>
      <c r="CZ398" s="579"/>
      <c r="DA398" s="579"/>
      <c r="DB398" s="579"/>
      <c r="DC398" s="579"/>
      <c r="DD398" s="579"/>
      <c r="DE398" s="579"/>
      <c r="DF398" s="579"/>
      <c r="DG398" s="594">
        <f>+Q398</f>
        <v>0</v>
      </c>
      <c r="DH398" s="579"/>
      <c r="DI398" s="579"/>
      <c r="DJ398" s="579"/>
      <c r="DK398" s="579"/>
      <c r="DL398" s="579"/>
      <c r="DM398" s="579"/>
      <c r="DN398" s="579"/>
      <c r="DO398" s="579"/>
      <c r="DP398" s="579"/>
    </row>
    <row r="399" spans="1:120" hidden="1" outlineLevel="1">
      <c r="A399" s="89">
        <v>1110052010</v>
      </c>
      <c r="B399" s="90"/>
      <c r="C399" s="1476" t="s">
        <v>64</v>
      </c>
      <c r="D399" s="1469"/>
      <c r="E399" s="1470"/>
      <c r="F399" s="420"/>
      <c r="G399" s="1256"/>
      <c r="H399" s="421"/>
      <c r="I399" s="422"/>
      <c r="J399" s="1425">
        <v>1</v>
      </c>
      <c r="K399" s="1426">
        <v>1</v>
      </c>
      <c r="L399" s="1043"/>
      <c r="M399" s="1594"/>
      <c r="N399" s="415"/>
      <c r="O399" s="424">
        <f t="shared" ref="O399:O402" si="1151">+L399*N399</f>
        <v>0</v>
      </c>
      <c r="P399" s="425"/>
      <c r="Q399" s="1340">
        <f t="shared" ref="Q399:Q402" si="1152">+P399*K399</f>
        <v>0</v>
      </c>
      <c r="R399" s="426"/>
      <c r="S399" s="426"/>
      <c r="T399" s="427">
        <f t="shared" ref="T399:T402" si="1153">+P399*S399</f>
        <v>0</v>
      </c>
      <c r="U399" s="418">
        <f t="shared" ref="U399:U402" si="1154">+L399+P399+F399</f>
        <v>0</v>
      </c>
      <c r="V399" s="517">
        <f t="shared" ref="V399:V402" si="1155">+P399*R399+L399*N399+F399*H399</f>
        <v>0</v>
      </c>
      <c r="W399" s="428">
        <f t="shared" ref="W399:W402" si="1156">(IF(R399&gt;S399,(-P399*R399)-(-P399*S399),0))</f>
        <v>0</v>
      </c>
      <c r="X399" s="429">
        <f t="shared" ref="X399:X402" si="1157">(IF(R399&lt;S399,(-P399*R399)-(-P399*S399),0))</f>
        <v>0</v>
      </c>
      <c r="Y399" s="92"/>
      <c r="AA399" s="53"/>
      <c r="AB399" s="578"/>
      <c r="AC399" s="578"/>
      <c r="AD399" s="578"/>
      <c r="AE399" s="578"/>
      <c r="AF399" s="579"/>
      <c r="AG399" s="579"/>
      <c r="AH399" s="579"/>
      <c r="AI399" s="579"/>
      <c r="AJ399" s="579"/>
      <c r="AK399" s="579"/>
      <c r="AL399" s="1563"/>
      <c r="AM399" s="579"/>
      <c r="AN399" s="579"/>
      <c r="AO399" s="579"/>
      <c r="AP399" s="579"/>
      <c r="AQ399" s="579"/>
      <c r="AR399" s="579"/>
      <c r="AS399" s="579"/>
      <c r="AT399" s="579"/>
      <c r="AU399" s="579"/>
      <c r="AV399" s="579"/>
      <c r="AW399" s="579"/>
      <c r="AX399" s="579"/>
      <c r="AY399" s="579"/>
      <c r="AZ399" s="579"/>
      <c r="BA399" s="579"/>
      <c r="BB399" s="579"/>
      <c r="BC399" s="579"/>
      <c r="BD399" s="579"/>
      <c r="BE399" s="579"/>
      <c r="BF399" s="579"/>
      <c r="BG399" s="579"/>
      <c r="BH399" s="579"/>
      <c r="BI399" s="579"/>
      <c r="BJ399" s="579"/>
      <c r="BK399" s="594"/>
      <c r="BL399" s="579"/>
      <c r="BM399" s="579"/>
      <c r="BN399" s="579"/>
      <c r="BO399" s="579"/>
      <c r="BP399" s="579"/>
      <c r="BQ399" s="579"/>
      <c r="BR399" s="579"/>
      <c r="BS399" s="579"/>
      <c r="BT399" s="579"/>
      <c r="BU399" s="579"/>
      <c r="BV399" s="579"/>
      <c r="BW399" s="579"/>
      <c r="BX399" s="579"/>
      <c r="BY399" s="579"/>
      <c r="BZ399" s="579"/>
      <c r="CA399" s="579"/>
      <c r="CB399" s="579"/>
      <c r="CC399" s="579"/>
      <c r="CD399" s="579"/>
      <c r="CE399" s="579"/>
      <c r="CF399" s="579"/>
      <c r="CG399" s="579"/>
      <c r="CH399" s="579"/>
      <c r="CI399" s="579"/>
      <c r="CJ399" s="579"/>
      <c r="CK399" s="579"/>
      <c r="CL399" s="579"/>
      <c r="CM399" s="579"/>
      <c r="CN399" s="579"/>
      <c r="CO399" s="579"/>
      <c r="CP399" s="594">
        <f>+Q399</f>
        <v>0</v>
      </c>
      <c r="CQ399" s="579"/>
      <c r="CR399" s="579"/>
      <c r="CS399" s="595"/>
      <c r="CT399" s="579"/>
      <c r="CU399" s="579"/>
      <c r="CV399" s="579"/>
      <c r="CW399" s="579"/>
      <c r="CX399" s="579"/>
      <c r="CY399" s="579"/>
      <c r="CZ399" s="579"/>
      <c r="DA399" s="579"/>
      <c r="DB399" s="579"/>
      <c r="DC399" s="579"/>
      <c r="DD399" s="579"/>
      <c r="DE399" s="579"/>
      <c r="DF399" s="579"/>
      <c r="DG399" s="579"/>
      <c r="DH399" s="579"/>
      <c r="DI399" s="579"/>
      <c r="DJ399" s="579"/>
      <c r="DK399" s="579"/>
      <c r="DL399" s="579"/>
      <c r="DM399" s="579"/>
      <c r="DN399" s="579"/>
      <c r="DO399" s="579"/>
      <c r="DP399" s="579"/>
    </row>
    <row r="400" spans="1:120" hidden="1" outlineLevel="1">
      <c r="A400" s="89">
        <v>1110052010</v>
      </c>
      <c r="B400" s="90"/>
      <c r="C400" s="1476" t="s">
        <v>64</v>
      </c>
      <c r="D400" s="1469"/>
      <c r="E400" s="1470"/>
      <c r="F400" s="420"/>
      <c r="G400" s="1256"/>
      <c r="H400" s="421"/>
      <c r="I400" s="422"/>
      <c r="J400" s="1425">
        <v>1</v>
      </c>
      <c r="K400" s="1426">
        <v>1</v>
      </c>
      <c r="L400" s="1043"/>
      <c r="M400" s="1594"/>
      <c r="N400" s="415"/>
      <c r="O400" s="424">
        <f t="shared" si="1151"/>
        <v>0</v>
      </c>
      <c r="P400" s="425"/>
      <c r="Q400" s="1340">
        <f t="shared" si="1152"/>
        <v>0</v>
      </c>
      <c r="R400" s="426"/>
      <c r="S400" s="426"/>
      <c r="T400" s="427">
        <f t="shared" si="1153"/>
        <v>0</v>
      </c>
      <c r="U400" s="418">
        <f t="shared" si="1154"/>
        <v>0</v>
      </c>
      <c r="V400" s="517">
        <f t="shared" si="1155"/>
        <v>0</v>
      </c>
      <c r="W400" s="428">
        <f t="shared" si="1156"/>
        <v>0</v>
      </c>
      <c r="X400" s="429">
        <f t="shared" si="1157"/>
        <v>0</v>
      </c>
      <c r="Y400" s="92"/>
      <c r="AA400" s="53"/>
      <c r="AB400" s="578"/>
      <c r="AC400" s="578"/>
      <c r="AD400" s="578"/>
      <c r="AE400" s="578"/>
      <c r="AF400" s="579"/>
      <c r="AG400" s="579"/>
      <c r="AH400" s="579"/>
      <c r="AI400" s="579"/>
      <c r="AJ400" s="579"/>
      <c r="AK400" s="579"/>
      <c r="AL400" s="1563"/>
      <c r="AM400" s="579"/>
      <c r="AN400" s="579"/>
      <c r="AO400" s="579"/>
      <c r="AP400" s="579"/>
      <c r="AQ400" s="579"/>
      <c r="AR400" s="579"/>
      <c r="AS400" s="579"/>
      <c r="AT400" s="579"/>
      <c r="AU400" s="579"/>
      <c r="AV400" s="579"/>
      <c r="AW400" s="579"/>
      <c r="AX400" s="579"/>
      <c r="AY400" s="579"/>
      <c r="AZ400" s="579"/>
      <c r="BA400" s="579"/>
      <c r="BB400" s="579"/>
      <c r="BC400" s="579"/>
      <c r="BD400" s="579"/>
      <c r="BE400" s="579"/>
      <c r="BF400" s="579"/>
      <c r="BG400" s="579"/>
      <c r="BH400" s="579"/>
      <c r="BI400" s="579"/>
      <c r="BJ400" s="579"/>
      <c r="BK400" s="594"/>
      <c r="BL400" s="579"/>
      <c r="BM400" s="579"/>
      <c r="BN400" s="579"/>
      <c r="BO400" s="579"/>
      <c r="BP400" s="579"/>
      <c r="BQ400" s="579"/>
      <c r="BR400" s="579"/>
      <c r="BS400" s="579"/>
      <c r="BT400" s="579"/>
      <c r="BU400" s="579"/>
      <c r="BV400" s="579"/>
      <c r="BW400" s="579"/>
      <c r="BX400" s="579"/>
      <c r="BY400" s="579"/>
      <c r="BZ400" s="579"/>
      <c r="CA400" s="579"/>
      <c r="CB400" s="579"/>
      <c r="CC400" s="579"/>
      <c r="CD400" s="594"/>
      <c r="CE400" s="579"/>
      <c r="CF400" s="579"/>
      <c r="CG400" s="579"/>
      <c r="CH400" s="579"/>
      <c r="CI400" s="579"/>
      <c r="CJ400" s="594"/>
      <c r="CK400" s="579"/>
      <c r="CL400" s="579"/>
      <c r="CM400" s="579"/>
      <c r="CN400" s="579"/>
      <c r="CO400" s="579"/>
      <c r="CP400" s="579"/>
      <c r="CQ400" s="579"/>
      <c r="CR400" s="579"/>
      <c r="CS400" s="595"/>
      <c r="CT400" s="579"/>
      <c r="CU400" s="579"/>
      <c r="CV400" s="579"/>
      <c r="CW400" s="579"/>
      <c r="CX400" s="579"/>
      <c r="CY400" s="579"/>
      <c r="CZ400" s="579"/>
      <c r="DA400" s="579"/>
      <c r="DB400" s="579"/>
      <c r="DC400" s="579"/>
      <c r="DD400" s="579"/>
      <c r="DE400" s="579"/>
      <c r="DF400" s="579"/>
      <c r="DG400" s="579"/>
      <c r="DH400" s="579"/>
      <c r="DI400" s="579"/>
      <c r="DJ400" s="579"/>
      <c r="DK400" s="579"/>
      <c r="DL400" s="579"/>
      <c r="DM400" s="579"/>
      <c r="DN400" s="579"/>
      <c r="DO400" s="579"/>
      <c r="DP400" s="579"/>
    </row>
    <row r="401" spans="1:120" hidden="1" outlineLevel="1">
      <c r="A401" s="89">
        <v>1110052010</v>
      </c>
      <c r="B401" s="90"/>
      <c r="C401" s="1476" t="s">
        <v>64</v>
      </c>
      <c r="D401" s="1469"/>
      <c r="E401" s="1470"/>
      <c r="F401" s="420"/>
      <c r="G401" s="1256"/>
      <c r="H401" s="421"/>
      <c r="I401" s="422"/>
      <c r="J401" s="1425">
        <v>1</v>
      </c>
      <c r="K401" s="1426">
        <v>1</v>
      </c>
      <c r="L401" s="1043"/>
      <c r="M401" s="1594"/>
      <c r="N401" s="415"/>
      <c r="O401" s="424">
        <f t="shared" si="1151"/>
        <v>0</v>
      </c>
      <c r="P401" s="425"/>
      <c r="Q401" s="1340">
        <f t="shared" si="1152"/>
        <v>0</v>
      </c>
      <c r="R401" s="426"/>
      <c r="S401" s="426"/>
      <c r="T401" s="427">
        <f t="shared" si="1153"/>
        <v>0</v>
      </c>
      <c r="U401" s="418">
        <f t="shared" si="1154"/>
        <v>0</v>
      </c>
      <c r="V401" s="517">
        <f t="shared" si="1155"/>
        <v>0</v>
      </c>
      <c r="W401" s="428">
        <f t="shared" si="1156"/>
        <v>0</v>
      </c>
      <c r="X401" s="429">
        <f t="shared" si="1157"/>
        <v>0</v>
      </c>
      <c r="Y401" s="92"/>
      <c r="AA401" s="53"/>
      <c r="AB401" s="578"/>
      <c r="AC401" s="578"/>
      <c r="AD401" s="578"/>
      <c r="AE401" s="578"/>
      <c r="AF401" s="579"/>
      <c r="AG401" s="579"/>
      <c r="AH401" s="579"/>
      <c r="AI401" s="579"/>
      <c r="AJ401" s="579"/>
      <c r="AK401" s="579"/>
      <c r="AL401" s="1563"/>
      <c r="AM401" s="579"/>
      <c r="AN401" s="579"/>
      <c r="AO401" s="579"/>
      <c r="AP401" s="579"/>
      <c r="AQ401" s="579"/>
      <c r="AR401" s="579"/>
      <c r="AS401" s="579"/>
      <c r="AT401" s="579"/>
      <c r="AU401" s="579"/>
      <c r="AV401" s="579"/>
      <c r="AW401" s="579"/>
      <c r="AX401" s="579"/>
      <c r="AY401" s="579"/>
      <c r="AZ401" s="579"/>
      <c r="BA401" s="579"/>
      <c r="BB401" s="579"/>
      <c r="BC401" s="579"/>
      <c r="BD401" s="579"/>
      <c r="BE401" s="579"/>
      <c r="BF401" s="579"/>
      <c r="BG401" s="579"/>
      <c r="BH401" s="579"/>
      <c r="BI401" s="579"/>
      <c r="BJ401" s="579"/>
      <c r="BK401" s="594"/>
      <c r="BL401" s="579"/>
      <c r="BM401" s="579"/>
      <c r="BN401" s="579"/>
      <c r="BO401" s="579"/>
      <c r="BP401" s="579"/>
      <c r="BQ401" s="579"/>
      <c r="BR401" s="579"/>
      <c r="BS401" s="579"/>
      <c r="BT401" s="579"/>
      <c r="BU401" s="579"/>
      <c r="BV401" s="579"/>
      <c r="BW401" s="579"/>
      <c r="BX401" s="579"/>
      <c r="BY401" s="579"/>
      <c r="BZ401" s="579"/>
      <c r="CA401" s="579"/>
      <c r="CB401" s="579"/>
      <c r="CC401" s="579"/>
      <c r="CD401" s="579"/>
      <c r="CE401" s="579"/>
      <c r="CF401" s="579"/>
      <c r="CG401" s="579"/>
      <c r="CH401" s="579"/>
      <c r="CI401" s="579"/>
      <c r="CJ401" s="579"/>
      <c r="CK401" s="579"/>
      <c r="CL401" s="579"/>
      <c r="CM401" s="579"/>
      <c r="CN401" s="579"/>
      <c r="CO401" s="579"/>
      <c r="CP401" s="579"/>
      <c r="CQ401" s="579"/>
      <c r="CR401" s="579"/>
      <c r="CS401" s="595"/>
      <c r="CT401" s="579"/>
      <c r="CU401" s="579"/>
      <c r="CV401" s="579"/>
      <c r="CW401" s="579"/>
      <c r="CX401" s="579"/>
      <c r="CY401" s="579"/>
      <c r="CZ401" s="579"/>
      <c r="DA401" s="579"/>
      <c r="DB401" s="579"/>
      <c r="DC401" s="579"/>
      <c r="DD401" s="579"/>
      <c r="DE401" s="579"/>
      <c r="DF401" s="579"/>
      <c r="DG401" s="579"/>
      <c r="DH401" s="579"/>
      <c r="DI401" s="579"/>
      <c r="DJ401" s="579"/>
      <c r="DK401" s="579"/>
      <c r="DL401" s="579"/>
      <c r="DM401" s="579"/>
      <c r="DN401" s="579"/>
      <c r="DO401" s="579"/>
      <c r="DP401" s="579"/>
    </row>
    <row r="402" spans="1:120" hidden="1" outlineLevel="1">
      <c r="A402" s="89">
        <v>1110052010</v>
      </c>
      <c r="B402" s="90"/>
      <c r="C402" s="1476" t="s">
        <v>64</v>
      </c>
      <c r="D402" s="1469"/>
      <c r="E402" s="1470"/>
      <c r="F402" s="420"/>
      <c r="G402" s="1256"/>
      <c r="H402" s="421"/>
      <c r="I402" s="422"/>
      <c r="J402" s="1425">
        <v>1</v>
      </c>
      <c r="K402" s="1426">
        <v>1</v>
      </c>
      <c r="L402" s="1043"/>
      <c r="M402" s="1594"/>
      <c r="N402" s="415"/>
      <c r="O402" s="424">
        <f t="shared" si="1151"/>
        <v>0</v>
      </c>
      <c r="P402" s="425"/>
      <c r="Q402" s="1340">
        <f t="shared" si="1152"/>
        <v>0</v>
      </c>
      <c r="R402" s="426"/>
      <c r="S402" s="426"/>
      <c r="T402" s="427">
        <f t="shared" si="1153"/>
        <v>0</v>
      </c>
      <c r="U402" s="418">
        <f t="shared" si="1154"/>
        <v>0</v>
      </c>
      <c r="V402" s="517">
        <f t="shared" si="1155"/>
        <v>0</v>
      </c>
      <c r="W402" s="428">
        <f t="shared" si="1156"/>
        <v>0</v>
      </c>
      <c r="X402" s="429">
        <f t="shared" si="1157"/>
        <v>0</v>
      </c>
      <c r="Y402" s="92"/>
      <c r="AA402" s="53"/>
      <c r="AB402" s="578"/>
      <c r="AC402" s="578"/>
      <c r="AD402" s="578"/>
      <c r="AE402" s="578"/>
      <c r="AF402" s="579"/>
      <c r="AG402" s="579"/>
      <c r="AH402" s="579"/>
      <c r="AI402" s="579"/>
      <c r="AJ402" s="579"/>
      <c r="AK402" s="579"/>
      <c r="AL402" s="1563"/>
      <c r="AM402" s="579"/>
      <c r="AN402" s="579"/>
      <c r="AO402" s="579"/>
      <c r="AP402" s="579"/>
      <c r="AQ402" s="579"/>
      <c r="AR402" s="579"/>
      <c r="AS402" s="579"/>
      <c r="AT402" s="579"/>
      <c r="AU402" s="579"/>
      <c r="AV402" s="579"/>
      <c r="AW402" s="579"/>
      <c r="AX402" s="579"/>
      <c r="AY402" s="579"/>
      <c r="AZ402" s="579"/>
      <c r="BA402" s="579"/>
      <c r="BB402" s="579"/>
      <c r="BC402" s="579"/>
      <c r="BD402" s="579"/>
      <c r="BE402" s="579"/>
      <c r="BF402" s="579"/>
      <c r="BG402" s="579"/>
      <c r="BH402" s="579"/>
      <c r="BI402" s="579"/>
      <c r="BJ402" s="579"/>
      <c r="BK402" s="594"/>
      <c r="BL402" s="579"/>
      <c r="BM402" s="579"/>
      <c r="BN402" s="579"/>
      <c r="BO402" s="579"/>
      <c r="BP402" s="579"/>
      <c r="BQ402" s="579"/>
      <c r="BR402" s="579"/>
      <c r="BS402" s="579"/>
      <c r="BT402" s="579"/>
      <c r="BU402" s="579"/>
      <c r="BV402" s="579"/>
      <c r="BW402" s="579"/>
      <c r="BX402" s="579"/>
      <c r="BY402" s="579"/>
      <c r="BZ402" s="579"/>
      <c r="CA402" s="579"/>
      <c r="CB402" s="579"/>
      <c r="CC402" s="579"/>
      <c r="CD402" s="594"/>
      <c r="CE402" s="579"/>
      <c r="CF402" s="579"/>
      <c r="CG402" s="579"/>
      <c r="CH402" s="579"/>
      <c r="CI402" s="579"/>
      <c r="CJ402" s="594"/>
      <c r="CK402" s="579"/>
      <c r="CL402" s="579"/>
      <c r="CM402" s="579"/>
      <c r="CN402" s="579"/>
      <c r="CO402" s="579"/>
      <c r="CP402" s="579"/>
      <c r="CQ402" s="579"/>
      <c r="CR402" s="579"/>
      <c r="CS402" s="595"/>
      <c r="CT402" s="579"/>
      <c r="CU402" s="579"/>
      <c r="CV402" s="579"/>
      <c r="CW402" s="579"/>
      <c r="CX402" s="579"/>
      <c r="CY402" s="579"/>
      <c r="CZ402" s="579"/>
      <c r="DA402" s="579"/>
      <c r="DB402" s="579"/>
      <c r="DC402" s="579"/>
      <c r="DD402" s="579"/>
      <c r="DE402" s="579"/>
      <c r="DF402" s="579"/>
      <c r="DG402" s="579"/>
      <c r="DH402" s="579"/>
      <c r="DI402" s="579"/>
      <c r="DJ402" s="579"/>
      <c r="DK402" s="579"/>
      <c r="DL402" s="579"/>
      <c r="DM402" s="579"/>
      <c r="DN402" s="579"/>
      <c r="DO402" s="579"/>
      <c r="DP402" s="579"/>
    </row>
    <row r="403" spans="1:120" hidden="1" outlineLevel="1">
      <c r="A403" s="89">
        <v>1110052010</v>
      </c>
      <c r="B403" s="90"/>
      <c r="C403" s="1476" t="s">
        <v>64</v>
      </c>
      <c r="D403" s="1469"/>
      <c r="E403" s="1470"/>
      <c r="F403" s="420"/>
      <c r="G403" s="1256"/>
      <c r="H403" s="421"/>
      <c r="I403" s="422"/>
      <c r="J403" s="1425">
        <v>1</v>
      </c>
      <c r="K403" s="1426">
        <v>1</v>
      </c>
      <c r="L403" s="1043"/>
      <c r="M403" s="1594"/>
      <c r="N403" s="415"/>
      <c r="O403" s="424">
        <f t="shared" ref="O403:O404" si="1158">+L403*N403</f>
        <v>0</v>
      </c>
      <c r="P403" s="1048"/>
      <c r="Q403" s="1239"/>
      <c r="R403" s="426"/>
      <c r="S403" s="426"/>
      <c r="T403" s="427">
        <f t="shared" ref="T403:T404" si="1159">+P403*S403</f>
        <v>0</v>
      </c>
      <c r="U403" s="418">
        <f t="shared" ref="U403:U404" si="1160">+L403+P403+F403</f>
        <v>0</v>
      </c>
      <c r="V403" s="517">
        <f t="shared" ref="V403:V404" si="1161">+P403*R403+L403*N403+F403*H403</f>
        <v>0</v>
      </c>
      <c r="W403" s="428">
        <f t="shared" ref="W403:W404" si="1162">(IF(R403&gt;S403,(-P403*R403)-(-P403*S403),0))</f>
        <v>0</v>
      </c>
      <c r="X403" s="429">
        <f t="shared" ref="X403:X404" si="1163">(IF(R403&lt;S403,(-P403*R403)-(-P403*S403),0))</f>
        <v>0</v>
      </c>
      <c r="Y403" s="92"/>
      <c r="AA403" s="53"/>
      <c r="AB403" s="578"/>
      <c r="AC403" s="578"/>
      <c r="AD403" s="578"/>
      <c r="AE403" s="578"/>
      <c r="AF403" s="579"/>
      <c r="AG403" s="579"/>
      <c r="AH403" s="579"/>
      <c r="AI403" s="579"/>
      <c r="AJ403" s="579"/>
      <c r="AK403" s="579"/>
      <c r="AL403" s="1563"/>
      <c r="AM403" s="579"/>
      <c r="AN403" s="579"/>
      <c r="AO403" s="579"/>
      <c r="AP403" s="579"/>
      <c r="AQ403" s="579"/>
      <c r="AR403" s="579"/>
      <c r="AS403" s="579"/>
      <c r="AT403" s="579"/>
      <c r="AU403" s="579"/>
      <c r="AV403" s="579"/>
      <c r="AW403" s="579"/>
      <c r="AX403" s="579"/>
      <c r="AY403" s="579"/>
      <c r="AZ403" s="579"/>
      <c r="BA403" s="579"/>
      <c r="BB403" s="579"/>
      <c r="BC403" s="579"/>
      <c r="BD403" s="579"/>
      <c r="BE403" s="579"/>
      <c r="BF403" s="579"/>
      <c r="BG403" s="579"/>
      <c r="BH403" s="579"/>
      <c r="BI403" s="579"/>
      <c r="BJ403" s="579"/>
      <c r="BK403" s="594"/>
      <c r="BL403" s="579"/>
      <c r="BM403" s="579"/>
      <c r="BN403" s="579"/>
      <c r="BO403" s="579"/>
      <c r="BP403" s="579"/>
      <c r="BQ403" s="579"/>
      <c r="BR403" s="579"/>
      <c r="BS403" s="579"/>
      <c r="BT403" s="579"/>
      <c r="BU403" s="579"/>
      <c r="BV403" s="579"/>
      <c r="BW403" s="579"/>
      <c r="BX403" s="579"/>
      <c r="BY403" s="579"/>
      <c r="BZ403" s="579"/>
      <c r="CA403" s="579"/>
      <c r="CB403" s="579"/>
      <c r="CC403" s="579"/>
      <c r="CD403" s="579"/>
      <c r="CE403" s="579"/>
      <c r="CF403" s="579"/>
      <c r="CG403" s="579"/>
      <c r="CH403" s="579"/>
      <c r="CI403" s="579"/>
      <c r="CJ403" s="579"/>
      <c r="CK403" s="579"/>
      <c r="CL403" s="579"/>
      <c r="CM403" s="579"/>
      <c r="CN403" s="579"/>
      <c r="CO403" s="579"/>
      <c r="CP403" s="579"/>
      <c r="CQ403" s="579"/>
      <c r="CR403" s="579"/>
      <c r="CS403" s="595"/>
      <c r="CT403" s="579"/>
      <c r="CU403" s="579"/>
      <c r="CV403" s="579"/>
      <c r="CW403" s="579"/>
      <c r="CX403" s="579"/>
      <c r="CY403" s="579"/>
      <c r="CZ403" s="579"/>
      <c r="DA403" s="579"/>
      <c r="DB403" s="579"/>
      <c r="DC403" s="579"/>
      <c r="DD403" s="579"/>
      <c r="DE403" s="579"/>
      <c r="DF403" s="579"/>
      <c r="DG403" s="579"/>
      <c r="DH403" s="579"/>
      <c r="DI403" s="579"/>
      <c r="DJ403" s="579"/>
      <c r="DK403" s="579"/>
      <c r="DL403" s="579"/>
      <c r="DM403" s="579"/>
      <c r="DN403" s="579"/>
      <c r="DO403" s="579"/>
      <c r="DP403" s="579"/>
    </row>
    <row r="404" spans="1:120" s="4" customFormat="1" hidden="1" outlineLevel="1">
      <c r="A404" s="432">
        <v>1110052010</v>
      </c>
      <c r="B404" s="2194"/>
      <c r="C404" s="2195" t="s">
        <v>64</v>
      </c>
      <c r="D404" s="2196"/>
      <c r="E404" s="2197"/>
      <c r="F404" s="2198"/>
      <c r="G404" s="2199"/>
      <c r="H404" s="2200"/>
      <c r="I404" s="2201"/>
      <c r="J404" s="2184">
        <v>1</v>
      </c>
      <c r="K404" s="2185">
        <v>1</v>
      </c>
      <c r="L404" s="2202"/>
      <c r="M404" s="2203"/>
      <c r="N404" s="2204"/>
      <c r="O404" s="2205">
        <f t="shared" si="1158"/>
        <v>0</v>
      </c>
      <c r="P404" s="433"/>
      <c r="Q404" s="1343">
        <f t="shared" ref="Q404" si="1164">+P404*K404</f>
        <v>0</v>
      </c>
      <c r="R404" s="434"/>
      <c r="S404" s="434"/>
      <c r="T404" s="2206">
        <f t="shared" si="1159"/>
        <v>0</v>
      </c>
      <c r="U404" s="435">
        <f t="shared" si="1160"/>
        <v>0</v>
      </c>
      <c r="V404" s="587">
        <f t="shared" si="1161"/>
        <v>0</v>
      </c>
      <c r="W404" s="2207">
        <f t="shared" si="1162"/>
        <v>0</v>
      </c>
      <c r="X404" s="2208">
        <f t="shared" si="1163"/>
        <v>0</v>
      </c>
      <c r="Y404" s="2209"/>
      <c r="Z404" s="14"/>
      <c r="AA404" s="2210"/>
      <c r="AB404" s="590"/>
      <c r="AC404" s="590"/>
      <c r="AD404" s="590"/>
      <c r="AE404" s="590"/>
      <c r="AF404" s="592"/>
      <c r="AG404" s="592"/>
      <c r="AH404" s="592"/>
      <c r="AI404" s="592"/>
      <c r="AJ404" s="592"/>
      <c r="AK404" s="592"/>
      <c r="AL404" s="1564"/>
      <c r="AM404" s="592"/>
      <c r="AN404" s="592"/>
      <c r="AO404" s="592"/>
      <c r="AP404" s="592"/>
      <c r="AQ404" s="592"/>
      <c r="AR404" s="592"/>
      <c r="AS404" s="592"/>
      <c r="AT404" s="592"/>
      <c r="AU404" s="592"/>
      <c r="AV404" s="592"/>
      <c r="AW404" s="592"/>
      <c r="AX404" s="592"/>
      <c r="AY404" s="592"/>
      <c r="AZ404" s="592"/>
      <c r="BA404" s="592"/>
      <c r="BB404" s="592"/>
      <c r="BC404" s="592"/>
      <c r="BD404" s="592"/>
      <c r="BE404" s="592"/>
      <c r="BF404" s="592"/>
      <c r="BG404" s="592"/>
      <c r="BH404" s="592"/>
      <c r="BI404" s="592"/>
      <c r="BJ404" s="592"/>
      <c r="BK404" s="2211"/>
      <c r="BL404" s="592"/>
      <c r="BM404" s="592"/>
      <c r="BN404" s="592"/>
      <c r="BO404" s="2211"/>
      <c r="BP404" s="592"/>
      <c r="BQ404" s="592"/>
      <c r="BR404" s="592"/>
      <c r="BS404" s="592"/>
      <c r="BT404" s="592"/>
      <c r="BU404" s="592"/>
      <c r="BV404" s="592"/>
      <c r="BW404" s="592"/>
      <c r="BX404" s="592"/>
      <c r="BY404" s="592"/>
      <c r="BZ404" s="592"/>
      <c r="CA404" s="2211"/>
      <c r="CB404" s="592"/>
      <c r="CC404" s="592"/>
      <c r="CD404" s="592"/>
      <c r="CE404" s="592"/>
      <c r="CF404" s="592"/>
      <c r="CG404" s="592"/>
      <c r="CH404" s="592"/>
      <c r="CI404" s="592"/>
      <c r="CJ404" s="592"/>
      <c r="CK404" s="592"/>
      <c r="CL404" s="592"/>
      <c r="CM404" s="592"/>
      <c r="CN404" s="592"/>
      <c r="CO404" s="592"/>
      <c r="CP404" s="592"/>
      <c r="CQ404" s="592"/>
      <c r="CR404" s="592"/>
      <c r="CS404" s="2212"/>
      <c r="CT404" s="592"/>
      <c r="CU404" s="592"/>
      <c r="CV404" s="592"/>
      <c r="CW404" s="592"/>
      <c r="CX404" s="2211">
        <f>+Q404</f>
        <v>0</v>
      </c>
      <c r="CY404" s="2211"/>
      <c r="CZ404" s="592"/>
      <c r="DA404" s="592"/>
      <c r="DB404" s="592"/>
      <c r="DC404" s="592"/>
      <c r="DD404" s="592"/>
      <c r="DE404" s="592"/>
      <c r="DF404" s="592"/>
      <c r="DG404" s="592"/>
      <c r="DH404" s="592"/>
      <c r="DI404" s="592"/>
      <c r="DJ404" s="592"/>
      <c r="DK404" s="592"/>
      <c r="DL404" s="592"/>
      <c r="DM404" s="592"/>
      <c r="DN404" s="592"/>
      <c r="DO404" s="592"/>
      <c r="DP404" s="592"/>
    </row>
    <row r="405" spans="1:120" hidden="1" outlineLevel="1">
      <c r="A405" s="89">
        <v>1110052010</v>
      </c>
      <c r="B405" s="90"/>
      <c r="C405" s="1476" t="s">
        <v>64</v>
      </c>
      <c r="D405" s="1469"/>
      <c r="E405" s="1470"/>
      <c r="F405" s="420"/>
      <c r="G405" s="1256"/>
      <c r="H405" s="421"/>
      <c r="I405" s="422"/>
      <c r="J405" s="1425">
        <v>1</v>
      </c>
      <c r="K405" s="1426">
        <v>1</v>
      </c>
      <c r="L405" s="1043"/>
      <c r="M405" s="1594"/>
      <c r="N405" s="415"/>
      <c r="O405" s="424">
        <f t="shared" si="1076"/>
        <v>0</v>
      </c>
      <c r="P405" s="1048"/>
      <c r="Q405" s="1239"/>
      <c r="R405" s="426"/>
      <c r="S405" s="426"/>
      <c r="T405" s="427">
        <f t="shared" si="1077"/>
        <v>0</v>
      </c>
      <c r="U405" s="418">
        <f t="shared" si="1078"/>
        <v>0</v>
      </c>
      <c r="V405" s="517">
        <f t="shared" si="1079"/>
        <v>0</v>
      </c>
      <c r="W405" s="428">
        <f t="shared" si="1080"/>
        <v>0</v>
      </c>
      <c r="X405" s="429">
        <f t="shared" si="1081"/>
        <v>0</v>
      </c>
      <c r="Y405" s="92"/>
      <c r="AA405" s="53"/>
      <c r="AB405" s="578"/>
      <c r="AC405" s="578"/>
      <c r="AD405" s="578"/>
      <c r="AE405" s="578"/>
      <c r="AF405" s="579"/>
      <c r="AG405" s="579"/>
      <c r="AH405" s="579"/>
      <c r="AI405" s="579"/>
      <c r="AJ405" s="579"/>
      <c r="AK405" s="579"/>
      <c r="AL405" s="1563"/>
      <c r="AM405" s="579"/>
      <c r="AN405" s="579"/>
      <c r="AO405" s="579"/>
      <c r="AP405" s="579"/>
      <c r="AQ405" s="579"/>
      <c r="AR405" s="579"/>
      <c r="AS405" s="579"/>
      <c r="AT405" s="579"/>
      <c r="AU405" s="579"/>
      <c r="AV405" s="579"/>
      <c r="AW405" s="579"/>
      <c r="AX405" s="579"/>
      <c r="AY405" s="579"/>
      <c r="AZ405" s="579"/>
      <c r="BA405" s="579"/>
      <c r="BB405" s="579"/>
      <c r="BC405" s="579"/>
      <c r="BD405" s="579"/>
      <c r="BE405" s="579"/>
      <c r="BF405" s="579"/>
      <c r="BG405" s="579"/>
      <c r="BH405" s="579"/>
      <c r="BI405" s="579"/>
      <c r="BJ405" s="579"/>
      <c r="BK405" s="594"/>
      <c r="BL405" s="579"/>
      <c r="BM405" s="579"/>
      <c r="BN405" s="579"/>
      <c r="BO405" s="579"/>
      <c r="BP405" s="579"/>
      <c r="BQ405" s="579"/>
      <c r="BR405" s="579"/>
      <c r="BS405" s="579"/>
      <c r="BT405" s="579"/>
      <c r="BU405" s="579"/>
      <c r="BV405" s="579"/>
      <c r="BW405" s="579"/>
      <c r="BX405" s="579"/>
      <c r="BY405" s="579"/>
      <c r="BZ405" s="579"/>
      <c r="CA405" s="579"/>
      <c r="CB405" s="579"/>
      <c r="CC405" s="579"/>
      <c r="CD405" s="579"/>
      <c r="CE405" s="579"/>
      <c r="CF405" s="579"/>
      <c r="CG405" s="579"/>
      <c r="CH405" s="579"/>
      <c r="CI405" s="579"/>
      <c r="CJ405" s="579"/>
      <c r="CK405" s="579"/>
      <c r="CL405" s="579"/>
      <c r="CM405" s="579"/>
      <c r="CN405" s="579"/>
      <c r="CO405" s="579"/>
      <c r="CP405" s="579"/>
      <c r="CQ405" s="579"/>
      <c r="CR405" s="579"/>
      <c r="CS405" s="595"/>
      <c r="CT405" s="579"/>
      <c r="CU405" s="579"/>
      <c r="CV405" s="579"/>
      <c r="CW405" s="579"/>
      <c r="CX405" s="579"/>
      <c r="CY405" s="579"/>
      <c r="CZ405" s="579"/>
      <c r="DA405" s="579"/>
      <c r="DB405" s="579"/>
      <c r="DC405" s="579"/>
      <c r="DD405" s="579"/>
      <c r="DE405" s="579"/>
      <c r="DF405" s="579"/>
      <c r="DG405" s="579"/>
      <c r="DH405" s="579"/>
      <c r="DI405" s="579"/>
      <c r="DJ405" s="579"/>
      <c r="DK405" s="579"/>
      <c r="DL405" s="579"/>
      <c r="DM405" s="579"/>
      <c r="DN405" s="579"/>
      <c r="DO405" s="579"/>
      <c r="DP405" s="579"/>
    </row>
    <row r="406" spans="1:120" hidden="1" outlineLevel="1">
      <c r="A406" s="55"/>
      <c r="B406" s="509"/>
      <c r="C406" s="1512"/>
      <c r="D406" s="1469"/>
      <c r="E406" s="1470"/>
      <c r="F406" s="416"/>
      <c r="G406" s="1251"/>
      <c r="H406" s="511"/>
      <c r="I406" s="512"/>
      <c r="J406" s="1383"/>
      <c r="K406" s="1383"/>
      <c r="L406" s="419"/>
      <c r="M406" s="1337"/>
      <c r="N406" s="504"/>
      <c r="O406" s="513">
        <f t="shared" si="1076"/>
        <v>0</v>
      </c>
      <c r="P406" s="431"/>
      <c r="Q406" s="514"/>
      <c r="R406" s="515"/>
      <c r="S406" s="515"/>
      <c r="T406" s="562">
        <f t="shared" si="1077"/>
        <v>0</v>
      </c>
      <c r="U406" s="418">
        <f>+L406+P406+F406</f>
        <v>0</v>
      </c>
      <c r="V406" s="517">
        <f t="shared" si="1079"/>
        <v>0</v>
      </c>
      <c r="W406" s="976">
        <f t="shared" si="1080"/>
        <v>0</v>
      </c>
      <c r="X406" s="975">
        <f t="shared" si="1081"/>
        <v>0</v>
      </c>
      <c r="Y406" s="519"/>
      <c r="AA406" s="53"/>
      <c r="AB406" s="578"/>
      <c r="AC406" s="578"/>
      <c r="AD406" s="578"/>
      <c r="AE406" s="578"/>
      <c r="AF406" s="579"/>
      <c r="AG406" s="579"/>
      <c r="AH406" s="579"/>
      <c r="AI406" s="579"/>
      <c r="AJ406" s="579"/>
      <c r="AK406" s="579"/>
      <c r="AL406" s="1563"/>
      <c r="AM406" s="579"/>
      <c r="AN406" s="579"/>
      <c r="AO406" s="579"/>
      <c r="AP406" s="579"/>
      <c r="AQ406" s="579"/>
      <c r="AR406" s="579"/>
      <c r="AS406" s="579"/>
      <c r="AT406" s="579"/>
      <c r="AU406" s="579"/>
      <c r="AV406" s="579"/>
      <c r="AW406" s="579"/>
      <c r="AX406" s="579"/>
      <c r="AY406" s="579"/>
      <c r="AZ406" s="579"/>
      <c r="BA406" s="579"/>
      <c r="BB406" s="579"/>
      <c r="BC406" s="579"/>
      <c r="BD406" s="579"/>
      <c r="BE406" s="579"/>
      <c r="BF406" s="579"/>
      <c r="BG406" s="579"/>
      <c r="BH406" s="579"/>
      <c r="BI406" s="579"/>
      <c r="BJ406" s="579"/>
      <c r="BK406" s="579"/>
      <c r="BL406" s="579"/>
      <c r="BM406" s="579"/>
      <c r="BN406" s="579"/>
      <c r="BO406" s="579"/>
      <c r="BP406" s="579"/>
      <c r="BQ406" s="579"/>
      <c r="BR406" s="579"/>
      <c r="BS406" s="579"/>
      <c r="BT406" s="579"/>
      <c r="BU406" s="579"/>
      <c r="BV406" s="579"/>
      <c r="BW406" s="579"/>
      <c r="BX406" s="579"/>
      <c r="BY406" s="579"/>
      <c r="BZ406" s="579"/>
      <c r="CA406" s="579"/>
      <c r="CB406" s="579"/>
      <c r="CC406" s="579"/>
      <c r="CD406" s="579"/>
      <c r="CE406" s="579"/>
      <c r="CF406" s="579"/>
      <c r="CG406" s="579"/>
      <c r="CH406" s="579"/>
      <c r="CI406" s="579"/>
      <c r="CJ406" s="579"/>
      <c r="CK406" s="579"/>
      <c r="CL406" s="579"/>
      <c r="CM406" s="579"/>
      <c r="CN406" s="579"/>
      <c r="CO406" s="579"/>
      <c r="CP406" s="579"/>
      <c r="CQ406" s="579"/>
      <c r="CR406" s="579"/>
      <c r="CS406" s="579"/>
      <c r="CT406" s="579"/>
      <c r="CU406" s="579"/>
      <c r="CV406" s="579"/>
      <c r="CW406" s="579"/>
      <c r="CX406" s="579"/>
      <c r="CY406" s="579"/>
      <c r="CZ406" s="579"/>
      <c r="DA406" s="579"/>
      <c r="DB406" s="579"/>
      <c r="DC406" s="579"/>
      <c r="DD406" s="579"/>
      <c r="DE406" s="579"/>
      <c r="DF406" s="579"/>
      <c r="DG406" s="579"/>
      <c r="DH406" s="579"/>
      <c r="DI406" s="579"/>
      <c r="DJ406" s="579"/>
      <c r="DK406" s="579"/>
      <c r="DL406" s="579"/>
      <c r="DM406" s="579"/>
      <c r="DN406" s="579"/>
      <c r="DO406" s="579"/>
      <c r="DP406" s="579"/>
    </row>
    <row r="407" spans="1:120" ht="16.5" collapsed="1" thickBot="1">
      <c r="A407" s="62" t="s">
        <v>236</v>
      </c>
      <c r="B407" s="63"/>
      <c r="C407" s="184"/>
      <c r="D407" s="1473"/>
      <c r="E407" s="1474"/>
      <c r="F407" s="66">
        <f>SUM(F360:F406)</f>
        <v>0</v>
      </c>
      <c r="G407" s="1253"/>
      <c r="H407" s="67"/>
      <c r="I407" s="68">
        <f>SUM(I360:I406)</f>
        <v>0</v>
      </c>
      <c r="J407" s="1376"/>
      <c r="K407" s="76"/>
      <c r="L407" s="1051">
        <f>SUM(L360:L406)</f>
        <v>0</v>
      </c>
      <c r="M407" s="1598"/>
      <c r="N407" s="70"/>
      <c r="O407" s="71">
        <f>SUM(O360:O406)</f>
        <v>0</v>
      </c>
      <c r="P407" s="72">
        <f>SUM(P360:P406)</f>
        <v>0</v>
      </c>
      <c r="Q407" s="1339"/>
      <c r="R407" s="73"/>
      <c r="S407" s="73"/>
      <c r="T407" s="96">
        <f>SUM(T360:T406)</f>
        <v>0</v>
      </c>
      <c r="U407" s="66">
        <f>SUM(U360:U406)</f>
        <v>0</v>
      </c>
      <c r="V407" s="76">
        <f>SUM(V360:V406)</f>
        <v>0</v>
      </c>
      <c r="W407" s="97">
        <f>SUM(W360:W406)</f>
        <v>0</v>
      </c>
      <c r="X407" s="98">
        <f>SUM(X360:X406)</f>
        <v>0</v>
      </c>
      <c r="Y407" s="43"/>
      <c r="AA407" s="79">
        <f t="shared" ref="AA407:BF407" ca="1" si="1165">SUM(AA358:AA406)</f>
        <v>-2.7939677238464355E-9</v>
      </c>
      <c r="AB407" s="130">
        <f t="shared" ca="1" si="1165"/>
        <v>0</v>
      </c>
      <c r="AC407" s="130">
        <f t="shared" ca="1" si="1165"/>
        <v>0</v>
      </c>
      <c r="AD407" s="130">
        <f t="shared" ca="1" si="1165"/>
        <v>0</v>
      </c>
      <c r="AE407" s="130">
        <f t="shared" ca="1" si="1165"/>
        <v>0</v>
      </c>
      <c r="AF407" s="130">
        <f t="shared" ca="1" si="1165"/>
        <v>0</v>
      </c>
      <c r="AG407" s="130">
        <f t="shared" ca="1" si="1165"/>
        <v>0</v>
      </c>
      <c r="AH407" s="130">
        <f t="shared" ca="1" si="1165"/>
        <v>0</v>
      </c>
      <c r="AI407" s="130">
        <f t="shared" ca="1" si="1165"/>
        <v>0</v>
      </c>
      <c r="AJ407" s="130">
        <f t="shared" ca="1" si="1165"/>
        <v>-2.3283064365386963E-10</v>
      </c>
      <c r="AK407" s="130">
        <f t="shared" ca="1" si="1165"/>
        <v>-2.3283064365386963E-10</v>
      </c>
      <c r="AL407" s="130">
        <f t="shared" ca="1" si="1165"/>
        <v>0</v>
      </c>
      <c r="AM407" s="130">
        <f t="shared" ca="1" si="1165"/>
        <v>2.3283064365386963E-10</v>
      </c>
      <c r="AN407" s="130">
        <f t="shared" ca="1" si="1165"/>
        <v>0</v>
      </c>
      <c r="AO407" s="130">
        <f t="shared" ca="1" si="1165"/>
        <v>0</v>
      </c>
      <c r="AP407" s="130">
        <f t="shared" ca="1" si="1165"/>
        <v>0</v>
      </c>
      <c r="AQ407" s="130">
        <f t="shared" ca="1" si="1165"/>
        <v>0</v>
      </c>
      <c r="AR407" s="130">
        <f t="shared" ca="1" si="1165"/>
        <v>0</v>
      </c>
      <c r="AS407" s="130">
        <f t="shared" ca="1" si="1165"/>
        <v>-4.3655745685100555E-11</v>
      </c>
      <c r="AT407" s="130">
        <f t="shared" ca="1" si="1165"/>
        <v>0</v>
      </c>
      <c r="AU407" s="130">
        <f t="shared" ca="1" si="1165"/>
        <v>0</v>
      </c>
      <c r="AV407" s="130">
        <f t="shared" ca="1" si="1165"/>
        <v>-2.3283064365386963E-10</v>
      </c>
      <c r="AW407" s="130">
        <f t="shared" ca="1" si="1165"/>
        <v>-2.3283064365386963E-10</v>
      </c>
      <c r="AX407" s="130">
        <f t="shared" ca="1" si="1165"/>
        <v>0</v>
      </c>
      <c r="AY407" s="130">
        <f t="shared" ca="1" si="1165"/>
        <v>0</v>
      </c>
      <c r="AZ407" s="130">
        <f t="shared" ca="1" si="1165"/>
        <v>0</v>
      </c>
      <c r="BA407" s="130">
        <f t="shared" ca="1" si="1165"/>
        <v>1375193.1800000004</v>
      </c>
      <c r="BB407" s="130">
        <f t="shared" ca="1" si="1165"/>
        <v>0</v>
      </c>
      <c r="BC407" s="130">
        <f t="shared" ca="1" si="1165"/>
        <v>0</v>
      </c>
      <c r="BD407" s="130">
        <f t="shared" ca="1" si="1165"/>
        <v>0</v>
      </c>
      <c r="BE407" s="130">
        <f t="shared" ca="1" si="1165"/>
        <v>0</v>
      </c>
      <c r="BF407" s="130">
        <f t="shared" ca="1" si="1165"/>
        <v>0</v>
      </c>
      <c r="BG407" s="130">
        <f t="shared" ref="BG407:CL407" ca="1" si="1166">SUM(BG358:BG406)</f>
        <v>0</v>
      </c>
      <c r="BH407" s="130">
        <f t="shared" ca="1" si="1166"/>
        <v>0</v>
      </c>
      <c r="BI407" s="130">
        <f t="shared" ca="1" si="1166"/>
        <v>0</v>
      </c>
      <c r="BJ407" s="130">
        <f t="shared" ca="1" si="1166"/>
        <v>0</v>
      </c>
      <c r="BK407" s="130">
        <f t="shared" ca="1" si="1166"/>
        <v>0</v>
      </c>
      <c r="BL407" s="130">
        <f t="shared" ca="1" si="1166"/>
        <v>0</v>
      </c>
      <c r="BM407" s="130">
        <f t="shared" ca="1" si="1166"/>
        <v>0</v>
      </c>
      <c r="BN407" s="130">
        <f t="shared" ca="1" si="1166"/>
        <v>0</v>
      </c>
      <c r="BO407" s="130">
        <f t="shared" ca="1" si="1166"/>
        <v>0</v>
      </c>
      <c r="BP407" s="130">
        <f t="shared" ca="1" si="1166"/>
        <v>0</v>
      </c>
      <c r="BQ407" s="130">
        <f t="shared" ca="1" si="1166"/>
        <v>0</v>
      </c>
      <c r="BR407" s="130">
        <f t="shared" ca="1" si="1166"/>
        <v>0</v>
      </c>
      <c r="BS407" s="130">
        <f t="shared" ca="1" si="1166"/>
        <v>0</v>
      </c>
      <c r="BT407" s="130">
        <f t="shared" ca="1" si="1166"/>
        <v>0</v>
      </c>
      <c r="BU407" s="130">
        <f t="shared" ca="1" si="1166"/>
        <v>0</v>
      </c>
      <c r="BV407" s="130">
        <f t="shared" ca="1" si="1166"/>
        <v>0</v>
      </c>
      <c r="BW407" s="130">
        <f t="shared" ca="1" si="1166"/>
        <v>0</v>
      </c>
      <c r="BX407" s="130">
        <f t="shared" ca="1" si="1166"/>
        <v>0</v>
      </c>
      <c r="BY407" s="130">
        <f t="shared" ca="1" si="1166"/>
        <v>0</v>
      </c>
      <c r="BZ407" s="130">
        <f t="shared" ca="1" si="1166"/>
        <v>0</v>
      </c>
      <c r="CA407" s="130">
        <f t="shared" ca="1" si="1166"/>
        <v>0</v>
      </c>
      <c r="CB407" s="130">
        <f t="shared" ca="1" si="1166"/>
        <v>0</v>
      </c>
      <c r="CC407" s="130">
        <f t="shared" ca="1" si="1166"/>
        <v>4.0972736314870402E-10</v>
      </c>
      <c r="CD407" s="130">
        <f t="shared" ca="1" si="1166"/>
        <v>0</v>
      </c>
      <c r="CE407" s="130">
        <f t="shared" ca="1" si="1166"/>
        <v>0</v>
      </c>
      <c r="CF407" s="130">
        <f t="shared" ca="1" si="1166"/>
        <v>0</v>
      </c>
      <c r="CG407" s="130">
        <f t="shared" ca="1" si="1166"/>
        <v>0</v>
      </c>
      <c r="CH407" s="130">
        <f t="shared" ca="1" si="1166"/>
        <v>0</v>
      </c>
      <c r="CI407" s="130">
        <f t="shared" ca="1" si="1166"/>
        <v>0</v>
      </c>
      <c r="CJ407" s="130">
        <f t="shared" ca="1" si="1166"/>
        <v>0</v>
      </c>
      <c r="CK407" s="130">
        <f t="shared" ca="1" si="1166"/>
        <v>0</v>
      </c>
      <c r="CL407" s="130">
        <f t="shared" ca="1" si="1166"/>
        <v>0</v>
      </c>
      <c r="CM407" s="130">
        <f t="shared" ref="CM407:DM407" ca="1" si="1167">SUM(CM358:CM406)</f>
        <v>0</v>
      </c>
      <c r="CN407" s="130">
        <f t="shared" ca="1" si="1167"/>
        <v>0</v>
      </c>
      <c r="CO407" s="130">
        <f t="shared" ca="1" si="1167"/>
        <v>0</v>
      </c>
      <c r="CP407" s="130">
        <f t="shared" ca="1" si="1167"/>
        <v>0</v>
      </c>
      <c r="CQ407" s="130">
        <f t="shared" ca="1" si="1167"/>
        <v>0</v>
      </c>
      <c r="CR407" s="130">
        <f t="shared" ca="1" si="1167"/>
        <v>0</v>
      </c>
      <c r="CS407" s="130">
        <f t="shared" ca="1" si="1167"/>
        <v>0</v>
      </c>
      <c r="CT407" s="130">
        <f t="shared" ca="1" si="1167"/>
        <v>0</v>
      </c>
      <c r="CU407" s="130">
        <f t="shared" ca="1" si="1167"/>
        <v>0</v>
      </c>
      <c r="CV407" s="130">
        <f t="shared" ca="1" si="1167"/>
        <v>0</v>
      </c>
      <c r="CW407" s="130">
        <f t="shared" ca="1" si="1167"/>
        <v>0</v>
      </c>
      <c r="CX407" s="130">
        <f t="shared" ca="1" si="1167"/>
        <v>0</v>
      </c>
      <c r="CY407" s="130">
        <f t="shared" ca="1" si="1167"/>
        <v>0</v>
      </c>
      <c r="CZ407" s="130">
        <f t="shared" ca="1" si="1167"/>
        <v>0</v>
      </c>
      <c r="DA407" s="130">
        <f t="shared" ca="1" si="1167"/>
        <v>0</v>
      </c>
      <c r="DB407" s="130">
        <f t="shared" ca="1" si="1167"/>
        <v>0</v>
      </c>
      <c r="DC407" s="130">
        <f t="shared" ca="1" si="1167"/>
        <v>0</v>
      </c>
      <c r="DD407" s="130">
        <f t="shared" ca="1" si="1167"/>
        <v>0</v>
      </c>
      <c r="DE407" s="130">
        <f t="shared" ca="1" si="1167"/>
        <v>0</v>
      </c>
      <c r="DF407" s="130">
        <f t="shared" ca="1" si="1167"/>
        <v>0</v>
      </c>
      <c r="DG407" s="130">
        <f t="shared" ca="1" si="1167"/>
        <v>0</v>
      </c>
      <c r="DH407" s="130">
        <f t="shared" ca="1" si="1167"/>
        <v>0</v>
      </c>
      <c r="DI407" s="130">
        <f t="shared" ca="1" si="1167"/>
        <v>0</v>
      </c>
      <c r="DJ407" s="130">
        <f t="shared" ca="1" si="1167"/>
        <v>0</v>
      </c>
      <c r="DK407" s="130">
        <f t="shared" ca="1" si="1167"/>
        <v>0</v>
      </c>
      <c r="DL407" s="130">
        <f t="shared" ca="1" si="1167"/>
        <v>0</v>
      </c>
      <c r="DM407" s="130">
        <f t="shared" ca="1" si="1167"/>
        <v>0</v>
      </c>
      <c r="DN407" s="130">
        <f t="shared" ref="DN407:DO407" ca="1" si="1168">SUM(DN358:DN406)</f>
        <v>0</v>
      </c>
      <c r="DO407" s="130">
        <f t="shared" ca="1" si="1168"/>
        <v>0</v>
      </c>
      <c r="DP407" s="130">
        <f t="shared" ref="DP407" ca="1" si="1169">SUM(DP358:DP406)</f>
        <v>0</v>
      </c>
    </row>
    <row r="408" spans="1:120">
      <c r="L408" s="410"/>
      <c r="M408" s="410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</row>
    <row r="409" spans="1:120" hidden="1" outlineLevel="1">
      <c r="A409" s="532">
        <v>1110052010</v>
      </c>
      <c r="B409" s="573"/>
      <c r="C409" s="678" t="s">
        <v>64</v>
      </c>
      <c r="D409" s="1477"/>
      <c r="E409" s="1478"/>
      <c r="F409" s="535"/>
      <c r="G409" s="1254"/>
      <c r="H409" s="536"/>
      <c r="I409" s="537"/>
      <c r="J409" s="1483">
        <v>1</v>
      </c>
      <c r="K409" s="1484">
        <v>1</v>
      </c>
      <c r="L409" s="1042"/>
      <c r="M409" s="1593">
        <f t="shared" ref="M409" si="1170">+L409*J409</f>
        <v>0</v>
      </c>
      <c r="N409" s="538"/>
      <c r="O409" s="539">
        <f t="shared" ref="O409:O456" si="1171">+L409*N409</f>
        <v>0</v>
      </c>
      <c r="P409" s="540"/>
      <c r="Q409" s="540">
        <f t="shared" ref="Q409:Q411" si="1172">+P409*K409</f>
        <v>0</v>
      </c>
      <c r="R409" s="541"/>
      <c r="S409" s="541"/>
      <c r="T409" s="542">
        <f t="shared" ref="T409:T456" si="1173">+P409*S409</f>
        <v>0</v>
      </c>
      <c r="U409" s="543">
        <f t="shared" ref="U409:U460" si="1174">+L409+P409+F409</f>
        <v>0</v>
      </c>
      <c r="V409" s="544">
        <f t="shared" ref="V409:V460" si="1175">+P409*R409+L409*N409+F409*H409</f>
        <v>0</v>
      </c>
      <c r="W409" s="545">
        <f t="shared" ref="W409:W456" si="1176">(IF(R409&gt;S409,(-P409*R409)-(-P409*S409),0))</f>
        <v>0</v>
      </c>
      <c r="X409" s="546">
        <f t="shared" ref="X409:X456" si="1177">(IF(R409&lt;S409,(-P409*R409)-(-P409*S409),0))</f>
        <v>0</v>
      </c>
      <c r="Y409" s="547"/>
      <c r="AA409" s="548"/>
      <c r="AB409" s="574"/>
      <c r="AC409" s="574"/>
      <c r="AD409" s="574"/>
      <c r="AE409" s="574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  <c r="AV409" s="575"/>
      <c r="AW409" s="575"/>
      <c r="AX409" s="575"/>
      <c r="AY409" s="575"/>
      <c r="AZ409" s="575"/>
      <c r="BA409" s="575"/>
      <c r="BB409" s="575"/>
      <c r="BC409" s="575"/>
      <c r="BD409" s="575"/>
      <c r="BE409" s="575"/>
      <c r="BF409" s="575"/>
      <c r="BG409" s="575"/>
      <c r="BH409" s="575"/>
      <c r="BI409" s="575"/>
      <c r="BJ409" s="575"/>
      <c r="BK409" s="575"/>
      <c r="BL409" s="575"/>
      <c r="BM409" s="575"/>
      <c r="BN409" s="575"/>
      <c r="BO409" s="576"/>
      <c r="BP409" s="575"/>
      <c r="BQ409" s="575"/>
      <c r="BR409" s="575"/>
      <c r="BS409" s="575"/>
      <c r="BT409" s="575"/>
      <c r="BU409" s="575"/>
      <c r="BV409" s="575"/>
      <c r="BW409" s="575"/>
      <c r="BX409" s="575"/>
      <c r="BY409" s="575"/>
      <c r="BZ409" s="575"/>
      <c r="CA409" s="575"/>
      <c r="CB409" s="575"/>
      <c r="CC409" s="576"/>
      <c r="CD409" s="575"/>
      <c r="CE409" s="575"/>
      <c r="CF409" s="575"/>
      <c r="CG409" s="575"/>
      <c r="CH409" s="575"/>
      <c r="CI409" s="575"/>
      <c r="CJ409" s="575"/>
      <c r="CK409" s="575"/>
      <c r="CL409" s="575"/>
      <c r="CM409" s="575"/>
      <c r="CN409" s="575"/>
      <c r="CO409" s="576"/>
      <c r="CP409" s="576"/>
      <c r="CQ409" s="593"/>
      <c r="CR409" s="575"/>
      <c r="CS409" s="575"/>
      <c r="CT409" s="575"/>
      <c r="CU409" s="575"/>
      <c r="CV409" s="575"/>
      <c r="CW409" s="575"/>
      <c r="CX409" s="575"/>
      <c r="CY409" s="575"/>
      <c r="CZ409" s="575"/>
      <c r="DA409" s="575"/>
      <c r="DB409" s="575"/>
      <c r="DC409" s="575"/>
      <c r="DD409" s="575"/>
      <c r="DE409" s="575"/>
      <c r="DF409" s="575"/>
      <c r="DG409" s="575"/>
      <c r="DH409" s="575"/>
      <c r="DI409" s="576">
        <f>+M409</f>
        <v>0</v>
      </c>
      <c r="DJ409" s="575"/>
      <c r="DK409" s="575"/>
      <c r="DL409" s="575"/>
      <c r="DM409" s="575"/>
      <c r="DN409" s="575"/>
      <c r="DO409" s="575"/>
      <c r="DP409" s="575"/>
    </row>
    <row r="410" spans="1:120" s="116" customFormat="1" hidden="1" outlineLevel="1">
      <c r="A410" s="100">
        <v>1110052010</v>
      </c>
      <c r="B410" s="1216"/>
      <c r="C410" s="1695" t="s">
        <v>64</v>
      </c>
      <c r="D410" s="1602"/>
      <c r="E410" s="1603"/>
      <c r="F410" s="102"/>
      <c r="G410" s="1258"/>
      <c r="H410" s="103"/>
      <c r="I410" s="104"/>
      <c r="J410" s="1604">
        <v>1</v>
      </c>
      <c r="K410" s="1605">
        <v>1</v>
      </c>
      <c r="L410" s="1696"/>
      <c r="M410" s="1697">
        <f t="shared" ref="M410" si="1178">+L410*J410</f>
        <v>0</v>
      </c>
      <c r="N410" s="106"/>
      <c r="O410" s="107">
        <f t="shared" si="1171"/>
        <v>0</v>
      </c>
      <c r="P410" s="108"/>
      <c r="Q410" s="1342">
        <f t="shared" si="1172"/>
        <v>0</v>
      </c>
      <c r="R410" s="109"/>
      <c r="S410" s="109"/>
      <c r="T410" s="110">
        <f t="shared" si="1173"/>
        <v>0</v>
      </c>
      <c r="U410" s="111">
        <f t="shared" si="1174"/>
        <v>0</v>
      </c>
      <c r="V410" s="566">
        <f t="shared" si="1175"/>
        <v>0</v>
      </c>
      <c r="W410" s="112">
        <f t="shared" si="1176"/>
        <v>0</v>
      </c>
      <c r="X410" s="113">
        <f t="shared" si="1177"/>
        <v>0</v>
      </c>
      <c r="Y410" s="114"/>
      <c r="Z410" s="115"/>
      <c r="AA410" s="1698"/>
      <c r="AB410" s="1217"/>
      <c r="AC410" s="1217"/>
      <c r="AD410" s="1217"/>
      <c r="AE410" s="1217"/>
      <c r="AF410" s="1218"/>
      <c r="AG410" s="1218"/>
      <c r="AH410" s="1218"/>
      <c r="AI410" s="1218"/>
      <c r="AJ410" s="1218"/>
      <c r="AK410" s="1218"/>
      <c r="AL410" s="1566"/>
      <c r="AM410" s="1218"/>
      <c r="AN410" s="1218"/>
      <c r="AO410" s="1218"/>
      <c r="AP410" s="1218"/>
      <c r="AQ410" s="1218"/>
      <c r="AR410" s="1218"/>
      <c r="AS410" s="1218"/>
      <c r="AT410" s="1218"/>
      <c r="AU410" s="1218"/>
      <c r="AV410" s="1218"/>
      <c r="AW410" s="1218"/>
      <c r="AX410" s="1218"/>
      <c r="AY410" s="1218"/>
      <c r="AZ410" s="1218"/>
      <c r="BA410" s="1218"/>
      <c r="BB410" s="1218"/>
      <c r="BC410" s="1218"/>
      <c r="BD410" s="1218"/>
      <c r="BE410" s="1218"/>
      <c r="BF410" s="1218"/>
      <c r="BG410" s="1218"/>
      <c r="BH410" s="1218"/>
      <c r="BI410" s="1218"/>
      <c r="BJ410" s="1218"/>
      <c r="BK410" s="1218"/>
      <c r="BL410" s="1218"/>
      <c r="BM410" s="1218"/>
      <c r="BN410" s="1218"/>
      <c r="BO410" s="1218"/>
      <c r="BP410" s="1218"/>
      <c r="BQ410" s="1218"/>
      <c r="BR410" s="1218"/>
      <c r="BS410" s="1218"/>
      <c r="BT410" s="1218"/>
      <c r="BU410" s="1218"/>
      <c r="BV410" s="1218"/>
      <c r="BW410" s="1218"/>
      <c r="BX410" s="1218"/>
      <c r="BY410" s="1218"/>
      <c r="BZ410" s="1218"/>
      <c r="CA410" s="1218"/>
      <c r="CB410" s="1220"/>
      <c r="CC410" s="1218"/>
      <c r="CD410" s="1218"/>
      <c r="CE410" s="1218"/>
      <c r="CF410" s="1218"/>
      <c r="CG410" s="1218"/>
      <c r="CH410" s="1218"/>
      <c r="CI410" s="1218"/>
      <c r="CJ410" s="1218"/>
      <c r="CK410" s="1218"/>
      <c r="CL410" s="1218"/>
      <c r="CM410" s="1218"/>
      <c r="CN410" s="1218"/>
      <c r="CO410" s="1218"/>
      <c r="CP410" s="1220">
        <f>+Q410</f>
        <v>0</v>
      </c>
      <c r="CQ410" s="1218"/>
      <c r="CR410" s="1218"/>
      <c r="CS410" s="1218"/>
      <c r="CT410" s="1218"/>
      <c r="CU410" s="1218"/>
      <c r="CV410" s="1220"/>
      <c r="CW410" s="1218"/>
      <c r="CX410" s="1218"/>
      <c r="CY410" s="1218"/>
      <c r="CZ410" s="1218"/>
      <c r="DA410" s="1218"/>
      <c r="DB410" s="1218"/>
      <c r="DC410" s="1218"/>
      <c r="DD410" s="1218"/>
      <c r="DE410" s="1219"/>
      <c r="DF410" s="1219"/>
      <c r="DG410" s="1218"/>
      <c r="DH410" s="1218"/>
      <c r="DI410" s="1218"/>
      <c r="DJ410" s="1218"/>
      <c r="DK410" s="1218"/>
      <c r="DL410" s="1218"/>
      <c r="DM410" s="1218"/>
      <c r="DN410" s="1218"/>
      <c r="DO410" s="1218"/>
      <c r="DP410" s="1218"/>
    </row>
    <row r="411" spans="1:120" hidden="1" outlineLevel="1">
      <c r="A411" s="89">
        <v>1110052010</v>
      </c>
      <c r="B411" s="90"/>
      <c r="C411" s="1476" t="s">
        <v>64</v>
      </c>
      <c r="D411" s="1469"/>
      <c r="E411" s="1470"/>
      <c r="F411" s="420"/>
      <c r="G411" s="1256"/>
      <c r="H411" s="421"/>
      <c r="I411" s="422"/>
      <c r="J411" s="1425">
        <v>1</v>
      </c>
      <c r="K411" s="1426">
        <v>1</v>
      </c>
      <c r="L411" s="1043"/>
      <c r="M411" s="1594">
        <f t="shared" ref="M411:M459" si="1179">+L411*J411</f>
        <v>0</v>
      </c>
      <c r="N411" s="415"/>
      <c r="O411" s="424">
        <f t="shared" ref="O411:O421" si="1180">+L411*N411</f>
        <v>0</v>
      </c>
      <c r="P411" s="425"/>
      <c r="Q411" s="1340">
        <f t="shared" si="1172"/>
        <v>0</v>
      </c>
      <c r="R411" s="426"/>
      <c r="S411" s="426"/>
      <c r="T411" s="427">
        <f t="shared" ref="T411:T421" si="1181">+P411*S411</f>
        <v>0</v>
      </c>
      <c r="U411" s="418">
        <f t="shared" ref="U411:U421" si="1182">+L411+P411+F411</f>
        <v>0</v>
      </c>
      <c r="V411" s="517">
        <f t="shared" ref="V411:V421" si="1183">+P411*R411+L411*N411+F411*H411</f>
        <v>0</v>
      </c>
      <c r="W411" s="428">
        <f t="shared" ref="W411:W421" si="1184">(IF(R411&gt;S411,(-P411*R411)-(-P411*S411),0))</f>
        <v>0</v>
      </c>
      <c r="X411" s="429">
        <f t="shared" ref="X411:X421" si="1185">(IF(R411&lt;S411,(-P411*R411)-(-P411*S411),0))</f>
        <v>0</v>
      </c>
      <c r="Y411" s="92"/>
      <c r="AA411" s="53"/>
      <c r="AB411" s="578"/>
      <c r="AC411" s="578"/>
      <c r="AD411" s="578"/>
      <c r="AE411" s="578"/>
      <c r="AF411" s="579"/>
      <c r="AG411" s="579"/>
      <c r="AH411" s="579"/>
      <c r="AI411" s="579"/>
      <c r="AJ411" s="579"/>
      <c r="AK411" s="579"/>
      <c r="AL411" s="1563"/>
      <c r="AM411" s="579"/>
      <c r="AN411" s="579"/>
      <c r="AO411" s="579"/>
      <c r="AP411" s="579"/>
      <c r="AQ411" s="579"/>
      <c r="AR411" s="579"/>
      <c r="AS411" s="579"/>
      <c r="AT411" s="579"/>
      <c r="AU411" s="579"/>
      <c r="AV411" s="579"/>
      <c r="AW411" s="579"/>
      <c r="AX411" s="579"/>
      <c r="AY411" s="579"/>
      <c r="AZ411" s="579"/>
      <c r="BA411" s="579"/>
      <c r="BB411" s="579"/>
      <c r="BC411" s="579"/>
      <c r="BD411" s="579"/>
      <c r="BE411" s="579"/>
      <c r="BF411" s="579"/>
      <c r="BG411" s="579"/>
      <c r="BH411" s="579"/>
      <c r="BI411" s="579"/>
      <c r="BJ411" s="579"/>
      <c r="BK411" s="579"/>
      <c r="BL411" s="579"/>
      <c r="BM411" s="579"/>
      <c r="BN411" s="579"/>
      <c r="BO411" s="579"/>
      <c r="BP411" s="579"/>
      <c r="BQ411" s="579"/>
      <c r="BR411" s="579"/>
      <c r="BS411" s="579"/>
      <c r="BT411" s="579"/>
      <c r="BU411" s="579"/>
      <c r="BV411" s="579"/>
      <c r="BW411" s="579"/>
      <c r="BX411" s="579"/>
      <c r="BY411" s="579"/>
      <c r="BZ411" s="579"/>
      <c r="CA411" s="579"/>
      <c r="CB411" s="579"/>
      <c r="CC411" s="579"/>
      <c r="CD411" s="579"/>
      <c r="CE411" s="595"/>
      <c r="CF411" s="595"/>
      <c r="CG411" s="579"/>
      <c r="CH411" s="579"/>
      <c r="CI411" s="579"/>
      <c r="CJ411" s="579"/>
      <c r="CK411" s="579"/>
      <c r="CL411" s="579"/>
      <c r="CM411" s="579"/>
      <c r="CN411" s="579"/>
      <c r="CO411" s="579"/>
      <c r="CP411" s="579"/>
      <c r="CQ411" s="579"/>
      <c r="CR411" s="579"/>
      <c r="CS411" s="594"/>
      <c r="CT411" s="579"/>
      <c r="CU411" s="579"/>
      <c r="CV411" s="579"/>
      <c r="CW411" s="594"/>
      <c r="CX411" s="579"/>
      <c r="CY411" s="579"/>
      <c r="CZ411" s="579"/>
      <c r="DA411" s="579"/>
      <c r="DB411" s="579"/>
      <c r="DC411" s="579"/>
      <c r="DD411" s="579"/>
      <c r="DE411" s="579"/>
      <c r="DF411" s="579"/>
      <c r="DG411" s="579"/>
      <c r="DH411" s="579"/>
      <c r="DI411" s="594">
        <f>+M411</f>
        <v>0</v>
      </c>
      <c r="DJ411" s="579"/>
      <c r="DK411" s="579"/>
      <c r="DL411" s="579"/>
      <c r="DM411" s="579"/>
      <c r="DN411" s="579"/>
      <c r="DO411" s="579"/>
      <c r="DP411" s="579"/>
    </row>
    <row r="412" spans="1:120" hidden="1" outlineLevel="1">
      <c r="A412" s="89">
        <v>1110052010</v>
      </c>
      <c r="B412" s="2278"/>
      <c r="C412" s="1476" t="s">
        <v>64</v>
      </c>
      <c r="D412" s="1469"/>
      <c r="E412" s="1470"/>
      <c r="F412" s="420"/>
      <c r="G412" s="1256"/>
      <c r="H412" s="421"/>
      <c r="I412" s="422"/>
      <c r="J412" s="1425">
        <v>1</v>
      </c>
      <c r="K412" s="1426">
        <v>1</v>
      </c>
      <c r="L412" s="1043"/>
      <c r="M412" s="1594">
        <f t="shared" si="1179"/>
        <v>0</v>
      </c>
      <c r="N412" s="415"/>
      <c r="O412" s="424">
        <f t="shared" si="1180"/>
        <v>0</v>
      </c>
      <c r="P412" s="425"/>
      <c r="Q412" s="1340">
        <f t="shared" ref="Q412:Q459" si="1186">+P412*K412</f>
        <v>0</v>
      </c>
      <c r="R412" s="426"/>
      <c r="S412" s="426"/>
      <c r="T412" s="427">
        <f t="shared" si="1181"/>
        <v>0</v>
      </c>
      <c r="U412" s="418">
        <f t="shared" si="1182"/>
        <v>0</v>
      </c>
      <c r="V412" s="517">
        <f t="shared" si="1183"/>
        <v>0</v>
      </c>
      <c r="W412" s="428">
        <f t="shared" si="1184"/>
        <v>0</v>
      </c>
      <c r="X412" s="429">
        <f t="shared" si="1185"/>
        <v>0</v>
      </c>
      <c r="Y412" s="92"/>
      <c r="AA412" s="53"/>
      <c r="AB412" s="578"/>
      <c r="AC412" s="578"/>
      <c r="AD412" s="578"/>
      <c r="AE412" s="578"/>
      <c r="AF412" s="579"/>
      <c r="AG412" s="579"/>
      <c r="AH412" s="579"/>
      <c r="AI412" s="579"/>
      <c r="AJ412" s="579"/>
      <c r="AK412" s="579"/>
      <c r="AL412" s="1563"/>
      <c r="AM412" s="579"/>
      <c r="AN412" s="579"/>
      <c r="AO412" s="579"/>
      <c r="AP412" s="579"/>
      <c r="AQ412" s="579"/>
      <c r="AR412" s="579"/>
      <c r="AS412" s="579"/>
      <c r="AT412" s="579"/>
      <c r="AU412" s="579"/>
      <c r="AV412" s="579"/>
      <c r="AW412" s="579"/>
      <c r="AX412" s="579"/>
      <c r="AY412" s="579"/>
      <c r="AZ412" s="579"/>
      <c r="BA412" s="579"/>
      <c r="BB412" s="579"/>
      <c r="BC412" s="579"/>
      <c r="BD412" s="579"/>
      <c r="BE412" s="579"/>
      <c r="BF412" s="579"/>
      <c r="BG412" s="579"/>
      <c r="BH412" s="579"/>
      <c r="BI412" s="579"/>
      <c r="BJ412" s="579"/>
      <c r="BK412" s="579"/>
      <c r="BL412" s="579"/>
      <c r="BM412" s="579"/>
      <c r="BN412" s="579"/>
      <c r="BO412" s="579"/>
      <c r="BP412" s="579"/>
      <c r="BQ412" s="579"/>
      <c r="BR412" s="579"/>
      <c r="BS412" s="579"/>
      <c r="BT412" s="579"/>
      <c r="BU412" s="579"/>
      <c r="BV412" s="579"/>
      <c r="BW412" s="579"/>
      <c r="BX412" s="579"/>
      <c r="BY412" s="579"/>
      <c r="BZ412" s="579"/>
      <c r="CA412" s="579"/>
      <c r="CB412" s="594"/>
      <c r="CC412" s="579"/>
      <c r="CD412" s="594"/>
      <c r="CE412" s="579"/>
      <c r="CF412" s="594"/>
      <c r="CG412" s="579"/>
      <c r="CH412" s="579"/>
      <c r="CI412" s="579"/>
      <c r="CJ412" s="579"/>
      <c r="CK412" s="579"/>
      <c r="CL412" s="579"/>
      <c r="CM412" s="579"/>
      <c r="CN412" s="579"/>
      <c r="CO412" s="579"/>
      <c r="CP412" s="594">
        <f>+Q412</f>
        <v>0</v>
      </c>
      <c r="CQ412" s="579"/>
      <c r="CR412" s="579"/>
      <c r="CS412" s="579"/>
      <c r="CT412" s="579"/>
      <c r="CU412" s="579"/>
      <c r="CV412" s="594"/>
      <c r="CW412" s="579"/>
      <c r="CX412" s="579"/>
      <c r="CY412" s="579"/>
      <c r="CZ412" s="579"/>
      <c r="DA412" s="579"/>
      <c r="DB412" s="579"/>
      <c r="DC412" s="594"/>
      <c r="DD412" s="579"/>
      <c r="DE412" s="579"/>
      <c r="DF412" s="579"/>
      <c r="DG412" s="579"/>
      <c r="DH412" s="579"/>
      <c r="DI412" s="579"/>
      <c r="DJ412" s="579"/>
      <c r="DK412" s="579"/>
      <c r="DL412" s="579"/>
      <c r="DM412" s="579"/>
      <c r="DN412" s="579"/>
      <c r="DO412" s="579"/>
      <c r="DP412" s="579"/>
    </row>
    <row r="413" spans="1:120" hidden="1" outlineLevel="1">
      <c r="A413" s="89">
        <v>1110052010</v>
      </c>
      <c r="B413" s="2278"/>
      <c r="C413" s="1476" t="s">
        <v>64</v>
      </c>
      <c r="D413" s="1469"/>
      <c r="E413" s="1470"/>
      <c r="F413" s="420"/>
      <c r="G413" s="1256"/>
      <c r="H413" s="421"/>
      <c r="I413" s="422"/>
      <c r="J413" s="1425">
        <v>1</v>
      </c>
      <c r="K413" s="1426">
        <v>1</v>
      </c>
      <c r="L413" s="1043"/>
      <c r="M413" s="1594">
        <f t="shared" ref="M413" si="1187">+L413*J413</f>
        <v>0</v>
      </c>
      <c r="N413" s="415"/>
      <c r="O413" s="424">
        <f t="shared" ref="O413" si="1188">+L413*N413</f>
        <v>0</v>
      </c>
      <c r="P413" s="425"/>
      <c r="Q413" s="1340">
        <f t="shared" ref="Q413" si="1189">+P413*K413</f>
        <v>0</v>
      </c>
      <c r="R413" s="426"/>
      <c r="S413" s="426"/>
      <c r="T413" s="427">
        <f t="shared" ref="T413" si="1190">+P413*S413</f>
        <v>0</v>
      </c>
      <c r="U413" s="418">
        <f t="shared" ref="U413" si="1191">+L413+P413+F413</f>
        <v>0</v>
      </c>
      <c r="V413" s="517">
        <f t="shared" ref="V413" si="1192">+P413*R413+L413*N413+F413*H413</f>
        <v>0</v>
      </c>
      <c r="W413" s="428">
        <f t="shared" ref="W413" si="1193">(IF(R413&gt;S413,(-P413*R413)-(-P413*S413),0))</f>
        <v>0</v>
      </c>
      <c r="X413" s="429">
        <f t="shared" ref="X413" si="1194">(IF(R413&lt;S413,(-P413*R413)-(-P413*S413),0))</f>
        <v>0</v>
      </c>
      <c r="Y413" s="92"/>
      <c r="AA413" s="53"/>
      <c r="AB413" s="578"/>
      <c r="AC413" s="578"/>
      <c r="AD413" s="578"/>
      <c r="AE413" s="578"/>
      <c r="AF413" s="579"/>
      <c r="AG413" s="579"/>
      <c r="AH413" s="579"/>
      <c r="AI413" s="579"/>
      <c r="AJ413" s="579"/>
      <c r="AK413" s="579"/>
      <c r="AL413" s="1563"/>
      <c r="AM413" s="579"/>
      <c r="AN413" s="579"/>
      <c r="AO413" s="579"/>
      <c r="AP413" s="579"/>
      <c r="AQ413" s="579"/>
      <c r="AR413" s="579"/>
      <c r="AS413" s="579"/>
      <c r="AT413" s="579"/>
      <c r="AU413" s="579"/>
      <c r="AV413" s="579"/>
      <c r="AW413" s="579"/>
      <c r="AX413" s="579"/>
      <c r="AY413" s="579"/>
      <c r="AZ413" s="579"/>
      <c r="BA413" s="579"/>
      <c r="BB413" s="579"/>
      <c r="BC413" s="579"/>
      <c r="BD413" s="579"/>
      <c r="BE413" s="579"/>
      <c r="BF413" s="579"/>
      <c r="BG413" s="579"/>
      <c r="BH413" s="579"/>
      <c r="BI413" s="579"/>
      <c r="BJ413" s="579"/>
      <c r="BK413" s="579"/>
      <c r="BL413" s="579"/>
      <c r="BM413" s="579"/>
      <c r="BN413" s="579"/>
      <c r="BO413" s="579"/>
      <c r="BP413" s="579"/>
      <c r="BQ413" s="579"/>
      <c r="BR413" s="579"/>
      <c r="BS413" s="579"/>
      <c r="BT413" s="579"/>
      <c r="BU413" s="579"/>
      <c r="BV413" s="579"/>
      <c r="BW413" s="579"/>
      <c r="BX413" s="579"/>
      <c r="BY413" s="579"/>
      <c r="BZ413" s="579"/>
      <c r="CA413" s="579"/>
      <c r="CB413" s="594"/>
      <c r="CC413" s="579"/>
      <c r="CD413" s="594"/>
      <c r="CE413" s="579"/>
      <c r="CF413" s="594"/>
      <c r="CG413" s="579"/>
      <c r="CH413" s="579"/>
      <c r="CI413" s="579"/>
      <c r="CJ413" s="579"/>
      <c r="CK413" s="579"/>
      <c r="CL413" s="579"/>
      <c r="CM413" s="579"/>
      <c r="CN413" s="579"/>
      <c r="CO413" s="579"/>
      <c r="CP413" s="594"/>
      <c r="CQ413" s="579"/>
      <c r="CR413" s="594">
        <f>+Q413</f>
        <v>0</v>
      </c>
      <c r="CS413" s="579"/>
      <c r="CT413" s="579"/>
      <c r="CU413" s="579"/>
      <c r="CV413" s="594"/>
      <c r="CW413" s="579"/>
      <c r="CX413" s="579"/>
      <c r="CY413" s="579"/>
      <c r="CZ413" s="579"/>
      <c r="DA413" s="579"/>
      <c r="DB413" s="579"/>
      <c r="DC413" s="594"/>
      <c r="DD413" s="579"/>
      <c r="DE413" s="579"/>
      <c r="DF413" s="579"/>
      <c r="DG413" s="579"/>
      <c r="DH413" s="579"/>
      <c r="DI413" s="579"/>
      <c r="DJ413" s="579"/>
      <c r="DK413" s="579"/>
      <c r="DL413" s="579"/>
      <c r="DM413" s="579"/>
      <c r="DN413" s="579"/>
      <c r="DO413" s="579"/>
      <c r="DP413" s="579"/>
    </row>
    <row r="414" spans="1:120" hidden="1" outlineLevel="1">
      <c r="A414" s="89">
        <v>1110052010</v>
      </c>
      <c r="B414" s="2278"/>
      <c r="C414" s="1476" t="s">
        <v>64</v>
      </c>
      <c r="D414" s="1469"/>
      <c r="E414" s="1470"/>
      <c r="F414" s="420"/>
      <c r="G414" s="1256"/>
      <c r="H414" s="421"/>
      <c r="I414" s="422"/>
      <c r="J414" s="1425">
        <v>1</v>
      </c>
      <c r="K414" s="1426">
        <v>1</v>
      </c>
      <c r="L414" s="1043"/>
      <c r="M414" s="1594">
        <f t="shared" ref="M414" si="1195">+L414*J414</f>
        <v>0</v>
      </c>
      <c r="N414" s="415"/>
      <c r="O414" s="424">
        <f t="shared" ref="O414" si="1196">+L414*N414</f>
        <v>0</v>
      </c>
      <c r="P414" s="425"/>
      <c r="Q414" s="1340">
        <f t="shared" ref="Q414" si="1197">+P414*K414</f>
        <v>0</v>
      </c>
      <c r="R414" s="426"/>
      <c r="S414" s="426"/>
      <c r="T414" s="427">
        <f t="shared" ref="T414" si="1198">+P414*S414</f>
        <v>0</v>
      </c>
      <c r="U414" s="418">
        <f t="shared" ref="U414" si="1199">+L414+P414+F414</f>
        <v>0</v>
      </c>
      <c r="V414" s="517">
        <f t="shared" ref="V414" si="1200">+P414*R414+L414*N414+F414*H414</f>
        <v>0</v>
      </c>
      <c r="W414" s="428">
        <f t="shared" ref="W414" si="1201">(IF(R414&gt;S414,(-P414*R414)-(-P414*S414),0))</f>
        <v>0</v>
      </c>
      <c r="X414" s="429">
        <f t="shared" ref="X414" si="1202">(IF(R414&lt;S414,(-P414*R414)-(-P414*S414),0))</f>
        <v>0</v>
      </c>
      <c r="Y414" s="92"/>
      <c r="AA414" s="53"/>
      <c r="AB414" s="578"/>
      <c r="AC414" s="578"/>
      <c r="AD414" s="578"/>
      <c r="AE414" s="578"/>
      <c r="AF414" s="579"/>
      <c r="AG414" s="579"/>
      <c r="AH414" s="579"/>
      <c r="AI414" s="579"/>
      <c r="AJ414" s="579"/>
      <c r="AK414" s="579"/>
      <c r="AL414" s="1563"/>
      <c r="AM414" s="579"/>
      <c r="AN414" s="579"/>
      <c r="AO414" s="579"/>
      <c r="AP414" s="579"/>
      <c r="AQ414" s="579"/>
      <c r="AR414" s="579"/>
      <c r="AS414" s="579"/>
      <c r="AT414" s="579"/>
      <c r="AU414" s="579"/>
      <c r="AV414" s="579"/>
      <c r="AW414" s="579"/>
      <c r="AX414" s="579"/>
      <c r="AY414" s="579"/>
      <c r="AZ414" s="579"/>
      <c r="BA414" s="579"/>
      <c r="BB414" s="579"/>
      <c r="BC414" s="579"/>
      <c r="BD414" s="579"/>
      <c r="BE414" s="579"/>
      <c r="BF414" s="579"/>
      <c r="BG414" s="579"/>
      <c r="BH414" s="579"/>
      <c r="BI414" s="579"/>
      <c r="BJ414" s="579"/>
      <c r="BK414" s="579"/>
      <c r="BL414" s="579"/>
      <c r="BM414" s="579"/>
      <c r="BN414" s="579"/>
      <c r="BO414" s="579"/>
      <c r="BP414" s="579"/>
      <c r="BQ414" s="579"/>
      <c r="BR414" s="579"/>
      <c r="BS414" s="579"/>
      <c r="BT414" s="579"/>
      <c r="BU414" s="579"/>
      <c r="BV414" s="579"/>
      <c r="BW414" s="579"/>
      <c r="BX414" s="579"/>
      <c r="BY414" s="579"/>
      <c r="BZ414" s="579"/>
      <c r="CA414" s="579"/>
      <c r="CB414" s="594"/>
      <c r="CC414" s="579"/>
      <c r="CD414" s="594"/>
      <c r="CE414" s="579"/>
      <c r="CF414" s="594"/>
      <c r="CG414" s="579"/>
      <c r="CH414" s="579"/>
      <c r="CI414" s="579"/>
      <c r="CJ414" s="579"/>
      <c r="CK414" s="579"/>
      <c r="CL414" s="579"/>
      <c r="CM414" s="579"/>
      <c r="CN414" s="579"/>
      <c r="CO414" s="579"/>
      <c r="CP414" s="594"/>
      <c r="CQ414" s="579"/>
      <c r="CR414" s="579"/>
      <c r="CS414" s="594">
        <f>+Q414</f>
        <v>0</v>
      </c>
      <c r="CT414" s="579"/>
      <c r="CU414" s="579"/>
      <c r="CV414" s="594"/>
      <c r="CW414" s="579"/>
      <c r="CX414" s="579"/>
      <c r="CY414" s="579"/>
      <c r="CZ414" s="579"/>
      <c r="DA414" s="579"/>
      <c r="DB414" s="579"/>
      <c r="DC414" s="594"/>
      <c r="DD414" s="579"/>
      <c r="DE414" s="579"/>
      <c r="DF414" s="579"/>
      <c r="DG414" s="579"/>
      <c r="DH414" s="579"/>
      <c r="DI414" s="579"/>
      <c r="DJ414" s="579"/>
      <c r="DK414" s="579"/>
      <c r="DL414" s="579"/>
      <c r="DM414" s="579"/>
      <c r="DN414" s="579"/>
      <c r="DO414" s="579"/>
      <c r="DP414" s="579"/>
    </row>
    <row r="415" spans="1:120" hidden="1" outlineLevel="1">
      <c r="A415" s="89">
        <v>1110052010</v>
      </c>
      <c r="B415" s="2278"/>
      <c r="C415" s="1476" t="s">
        <v>64</v>
      </c>
      <c r="D415" s="1469"/>
      <c r="E415" s="1470"/>
      <c r="F415" s="420"/>
      <c r="G415" s="1256"/>
      <c r="H415" s="421"/>
      <c r="I415" s="422"/>
      <c r="J415" s="1425">
        <v>1</v>
      </c>
      <c r="K415" s="1426">
        <v>1</v>
      </c>
      <c r="L415" s="1043"/>
      <c r="M415" s="1594">
        <f t="shared" si="1179"/>
        <v>0</v>
      </c>
      <c r="N415" s="415"/>
      <c r="O415" s="424">
        <f t="shared" si="1180"/>
        <v>0</v>
      </c>
      <c r="P415" s="425"/>
      <c r="Q415" s="1340">
        <f t="shared" si="1186"/>
        <v>0</v>
      </c>
      <c r="R415" s="426"/>
      <c r="S415" s="426"/>
      <c r="T415" s="427">
        <f t="shared" si="1181"/>
        <v>0</v>
      </c>
      <c r="U415" s="418">
        <f t="shared" si="1182"/>
        <v>0</v>
      </c>
      <c r="V415" s="517">
        <f t="shared" si="1183"/>
        <v>0</v>
      </c>
      <c r="W415" s="428">
        <f t="shared" si="1184"/>
        <v>0</v>
      </c>
      <c r="X415" s="429">
        <f t="shared" si="1185"/>
        <v>0</v>
      </c>
      <c r="Y415" s="92"/>
      <c r="AA415" s="53"/>
      <c r="AB415" s="578"/>
      <c r="AC415" s="578"/>
      <c r="AD415" s="578"/>
      <c r="AE415" s="578"/>
      <c r="AF415" s="579"/>
      <c r="AG415" s="579"/>
      <c r="AH415" s="579"/>
      <c r="AI415" s="579"/>
      <c r="AJ415" s="579"/>
      <c r="AK415" s="579"/>
      <c r="AL415" s="1563"/>
      <c r="AM415" s="579"/>
      <c r="AN415" s="579"/>
      <c r="AO415" s="579"/>
      <c r="AP415" s="579"/>
      <c r="AQ415" s="579"/>
      <c r="AR415" s="579"/>
      <c r="AS415" s="579"/>
      <c r="AT415" s="579"/>
      <c r="AU415" s="579"/>
      <c r="AV415" s="579"/>
      <c r="AW415" s="579"/>
      <c r="AX415" s="579"/>
      <c r="AY415" s="579"/>
      <c r="AZ415" s="579"/>
      <c r="BA415" s="579"/>
      <c r="BB415" s="579"/>
      <c r="BC415" s="579"/>
      <c r="BD415" s="579"/>
      <c r="BE415" s="579"/>
      <c r="BF415" s="579"/>
      <c r="BG415" s="579"/>
      <c r="BH415" s="579"/>
      <c r="BI415" s="579"/>
      <c r="BJ415" s="579"/>
      <c r="BK415" s="579"/>
      <c r="BL415" s="579"/>
      <c r="BM415" s="579"/>
      <c r="BN415" s="579"/>
      <c r="BO415" s="579"/>
      <c r="BP415" s="579"/>
      <c r="BQ415" s="579"/>
      <c r="BR415" s="579"/>
      <c r="BS415" s="579"/>
      <c r="BT415" s="579"/>
      <c r="BU415" s="579"/>
      <c r="BV415" s="579"/>
      <c r="BW415" s="579"/>
      <c r="BX415" s="579"/>
      <c r="BY415" s="579"/>
      <c r="BZ415" s="579"/>
      <c r="CA415" s="579"/>
      <c r="CB415" s="594"/>
      <c r="CC415" s="579"/>
      <c r="CD415" s="579"/>
      <c r="CE415" s="579"/>
      <c r="CF415" s="594"/>
      <c r="CG415" s="579"/>
      <c r="CH415" s="594"/>
      <c r="CI415" s="579"/>
      <c r="CJ415" s="579"/>
      <c r="CK415" s="579"/>
      <c r="CL415" s="579"/>
      <c r="CM415" s="579"/>
      <c r="CN415" s="579"/>
      <c r="CO415" s="579"/>
      <c r="CP415" s="579"/>
      <c r="CQ415" s="579"/>
      <c r="CR415" s="579"/>
      <c r="CS415" s="594">
        <f>+Q415</f>
        <v>0</v>
      </c>
      <c r="CT415" s="579"/>
      <c r="CU415" s="579"/>
      <c r="CV415" s="594"/>
      <c r="CW415" s="579"/>
      <c r="CX415" s="579"/>
      <c r="CY415" s="579"/>
      <c r="CZ415" s="579"/>
      <c r="DA415" s="579"/>
      <c r="DB415" s="579"/>
      <c r="DC415" s="594"/>
      <c r="DD415" s="579"/>
      <c r="DE415" s="579"/>
      <c r="DF415" s="579"/>
      <c r="DG415" s="579"/>
      <c r="DH415" s="579"/>
      <c r="DI415" s="579"/>
      <c r="DJ415" s="579"/>
      <c r="DK415" s="579"/>
      <c r="DL415" s="579"/>
      <c r="DM415" s="579"/>
      <c r="DN415" s="579"/>
      <c r="DO415" s="579"/>
      <c r="DP415" s="579"/>
    </row>
    <row r="416" spans="1:120" hidden="1" outlineLevel="1">
      <c r="A416" s="89">
        <v>1110052010</v>
      </c>
      <c r="B416" s="90"/>
      <c r="C416" s="1476" t="s">
        <v>64</v>
      </c>
      <c r="D416" s="1469"/>
      <c r="E416" s="1470"/>
      <c r="F416" s="420"/>
      <c r="G416" s="1256"/>
      <c r="H416" s="421"/>
      <c r="I416" s="422"/>
      <c r="J416" s="1425">
        <v>1</v>
      </c>
      <c r="K416" s="1426">
        <v>1</v>
      </c>
      <c r="L416" s="1043"/>
      <c r="M416" s="1594">
        <f t="shared" si="1179"/>
        <v>0</v>
      </c>
      <c r="N416" s="415"/>
      <c r="O416" s="424">
        <f t="shared" si="1180"/>
        <v>0</v>
      </c>
      <c r="P416" s="425"/>
      <c r="Q416" s="1340">
        <f t="shared" si="1186"/>
        <v>0</v>
      </c>
      <c r="R416" s="426"/>
      <c r="S416" s="426"/>
      <c r="T416" s="427">
        <f t="shared" si="1181"/>
        <v>0</v>
      </c>
      <c r="U416" s="418">
        <f t="shared" si="1182"/>
        <v>0</v>
      </c>
      <c r="V416" s="517">
        <f t="shared" si="1183"/>
        <v>0</v>
      </c>
      <c r="W416" s="428">
        <f t="shared" si="1184"/>
        <v>0</v>
      </c>
      <c r="X416" s="429">
        <f t="shared" si="1185"/>
        <v>0</v>
      </c>
      <c r="Y416" s="92"/>
      <c r="AA416" s="53"/>
      <c r="AB416" s="578"/>
      <c r="AC416" s="578"/>
      <c r="AD416" s="578"/>
      <c r="AE416" s="578"/>
      <c r="AF416" s="579"/>
      <c r="AG416" s="579"/>
      <c r="AH416" s="579"/>
      <c r="AI416" s="579"/>
      <c r="AJ416" s="579"/>
      <c r="AK416" s="579"/>
      <c r="AL416" s="1563"/>
      <c r="AM416" s="579"/>
      <c r="AN416" s="579"/>
      <c r="AO416" s="579"/>
      <c r="AP416" s="579"/>
      <c r="AQ416" s="579"/>
      <c r="AR416" s="579"/>
      <c r="AS416" s="579"/>
      <c r="AT416" s="579"/>
      <c r="AU416" s="579"/>
      <c r="AV416" s="579"/>
      <c r="AW416" s="579"/>
      <c r="AX416" s="579"/>
      <c r="AY416" s="579"/>
      <c r="AZ416" s="579"/>
      <c r="BA416" s="579"/>
      <c r="BB416" s="579"/>
      <c r="BC416" s="579"/>
      <c r="BD416" s="579"/>
      <c r="BE416" s="579"/>
      <c r="BF416" s="579"/>
      <c r="BG416" s="579"/>
      <c r="BH416" s="579"/>
      <c r="BI416" s="579"/>
      <c r="BJ416" s="579"/>
      <c r="BK416" s="579"/>
      <c r="BL416" s="579"/>
      <c r="BM416" s="579"/>
      <c r="BN416" s="579"/>
      <c r="BO416" s="579"/>
      <c r="BP416" s="579"/>
      <c r="BQ416" s="579"/>
      <c r="BR416" s="579"/>
      <c r="BS416" s="579"/>
      <c r="BT416" s="579"/>
      <c r="BU416" s="579"/>
      <c r="BV416" s="579"/>
      <c r="BW416" s="579"/>
      <c r="BX416" s="579"/>
      <c r="BY416" s="579"/>
      <c r="BZ416" s="579"/>
      <c r="CA416" s="579"/>
      <c r="CB416" s="594"/>
      <c r="CC416" s="579"/>
      <c r="CD416" s="579"/>
      <c r="CE416" s="579"/>
      <c r="CF416" s="594"/>
      <c r="CG416" s="579"/>
      <c r="CH416" s="579"/>
      <c r="CI416" s="579"/>
      <c r="CJ416" s="579"/>
      <c r="CK416" s="594"/>
      <c r="CL416" s="579"/>
      <c r="CM416" s="579"/>
      <c r="CN416" s="579"/>
      <c r="CO416" s="579"/>
      <c r="CP416" s="579"/>
      <c r="CQ416" s="579"/>
      <c r="CR416" s="579"/>
      <c r="CS416" s="579"/>
      <c r="CT416" s="579"/>
      <c r="CU416" s="579"/>
      <c r="CV416" s="594"/>
      <c r="CW416" s="579"/>
      <c r="CX416" s="579"/>
      <c r="CY416" s="579"/>
      <c r="CZ416" s="579"/>
      <c r="DA416" s="579"/>
      <c r="DB416" s="579"/>
      <c r="DC416" s="594"/>
      <c r="DD416" s="579"/>
      <c r="DE416" s="579"/>
      <c r="DF416" s="579"/>
      <c r="DG416" s="579"/>
      <c r="DH416" s="579"/>
      <c r="DI416" s="579"/>
      <c r="DJ416" s="594">
        <f>+M416</f>
        <v>0</v>
      </c>
      <c r="DK416" s="579"/>
      <c r="DL416" s="579"/>
      <c r="DM416" s="579"/>
      <c r="DN416" s="579"/>
      <c r="DO416" s="579"/>
      <c r="DP416" s="579"/>
    </row>
    <row r="417" spans="1:120" hidden="1" outlineLevel="1">
      <c r="A417" s="89">
        <v>1110052010</v>
      </c>
      <c r="B417" s="90"/>
      <c r="C417" s="1476" t="s">
        <v>64</v>
      </c>
      <c r="D417" s="1469"/>
      <c r="E417" s="1470"/>
      <c r="F417" s="420"/>
      <c r="G417" s="1256"/>
      <c r="H417" s="421"/>
      <c r="I417" s="422"/>
      <c r="J417" s="1425">
        <v>1</v>
      </c>
      <c r="K417" s="1426">
        <v>1</v>
      </c>
      <c r="L417" s="1043"/>
      <c r="M417" s="1594">
        <f t="shared" si="1179"/>
        <v>0</v>
      </c>
      <c r="N417" s="415"/>
      <c r="O417" s="424">
        <f t="shared" si="1180"/>
        <v>0</v>
      </c>
      <c r="P417" s="425"/>
      <c r="Q417" s="1340">
        <f t="shared" si="1186"/>
        <v>0</v>
      </c>
      <c r="R417" s="426"/>
      <c r="S417" s="426"/>
      <c r="T417" s="427">
        <f t="shared" si="1181"/>
        <v>0</v>
      </c>
      <c r="U417" s="418">
        <f t="shared" si="1182"/>
        <v>0</v>
      </c>
      <c r="V417" s="517">
        <f t="shared" si="1183"/>
        <v>0</v>
      </c>
      <c r="W417" s="428">
        <f t="shared" si="1184"/>
        <v>0</v>
      </c>
      <c r="X417" s="429">
        <f t="shared" si="1185"/>
        <v>0</v>
      </c>
      <c r="Y417" s="92"/>
      <c r="AA417" s="53"/>
      <c r="AB417" s="578"/>
      <c r="AC417" s="578"/>
      <c r="AD417" s="578"/>
      <c r="AE417" s="578"/>
      <c r="AF417" s="579"/>
      <c r="AG417" s="579"/>
      <c r="AH417" s="579"/>
      <c r="AI417" s="579"/>
      <c r="AJ417" s="579"/>
      <c r="AK417" s="579"/>
      <c r="AL417" s="1563"/>
      <c r="AM417" s="579"/>
      <c r="AN417" s="579"/>
      <c r="AO417" s="579"/>
      <c r="AP417" s="579"/>
      <c r="AQ417" s="579"/>
      <c r="AR417" s="579"/>
      <c r="AS417" s="579"/>
      <c r="AT417" s="579"/>
      <c r="AU417" s="579"/>
      <c r="AV417" s="579"/>
      <c r="AW417" s="579"/>
      <c r="AX417" s="579"/>
      <c r="AY417" s="579"/>
      <c r="AZ417" s="579"/>
      <c r="BA417" s="579"/>
      <c r="BB417" s="579"/>
      <c r="BC417" s="579"/>
      <c r="BD417" s="579"/>
      <c r="BE417" s="579"/>
      <c r="BF417" s="579"/>
      <c r="BG417" s="579"/>
      <c r="BH417" s="579"/>
      <c r="BI417" s="579"/>
      <c r="BJ417" s="579"/>
      <c r="BK417" s="579"/>
      <c r="BL417" s="579"/>
      <c r="BM417" s="579"/>
      <c r="BN417" s="579"/>
      <c r="BO417" s="579"/>
      <c r="BP417" s="579"/>
      <c r="BQ417" s="579"/>
      <c r="BR417" s="579"/>
      <c r="BS417" s="579"/>
      <c r="BT417" s="579"/>
      <c r="BU417" s="579"/>
      <c r="BV417" s="579"/>
      <c r="BW417" s="579"/>
      <c r="BX417" s="579"/>
      <c r="BY417" s="579"/>
      <c r="BZ417" s="579"/>
      <c r="CA417" s="579"/>
      <c r="CB417" s="594"/>
      <c r="CC417" s="579"/>
      <c r="CD417" s="579"/>
      <c r="CE417" s="579"/>
      <c r="CF417" s="594"/>
      <c r="CG417" s="579"/>
      <c r="CH417" s="579"/>
      <c r="CI417" s="579"/>
      <c r="CJ417" s="579"/>
      <c r="CK417" s="579"/>
      <c r="CL417" s="579"/>
      <c r="CM417" s="579"/>
      <c r="CN417" s="579"/>
      <c r="CO417" s="579"/>
      <c r="CP417" s="594"/>
      <c r="CQ417" s="579"/>
      <c r="CR417" s="579"/>
      <c r="CS417" s="579"/>
      <c r="CT417" s="579"/>
      <c r="CU417" s="579"/>
      <c r="CV417" s="594"/>
      <c r="CW417" s="579"/>
      <c r="CX417" s="579"/>
      <c r="CY417" s="579"/>
      <c r="CZ417" s="579"/>
      <c r="DA417" s="579"/>
      <c r="DB417" s="579"/>
      <c r="DC417" s="594"/>
      <c r="DD417" s="579"/>
      <c r="DE417" s="579"/>
      <c r="DF417" s="579"/>
      <c r="DG417" s="579"/>
      <c r="DH417" s="579"/>
      <c r="DI417" s="579"/>
      <c r="DJ417" s="594">
        <f>+M417</f>
        <v>0</v>
      </c>
      <c r="DK417" s="579"/>
      <c r="DL417" s="579"/>
      <c r="DM417" s="579"/>
      <c r="DN417" s="579"/>
      <c r="DO417" s="579"/>
      <c r="DP417" s="579"/>
    </row>
    <row r="418" spans="1:120" hidden="1" outlineLevel="1">
      <c r="A418" s="89">
        <v>1110052010</v>
      </c>
      <c r="B418" s="90"/>
      <c r="C418" s="1476" t="s">
        <v>64</v>
      </c>
      <c r="D418" s="1469"/>
      <c r="E418" s="1470"/>
      <c r="F418" s="420"/>
      <c r="G418" s="1256"/>
      <c r="H418" s="421"/>
      <c r="I418" s="422"/>
      <c r="J418" s="1425">
        <v>1</v>
      </c>
      <c r="K418" s="1426">
        <v>1</v>
      </c>
      <c r="L418" s="1043"/>
      <c r="M418" s="1594">
        <f t="shared" si="1179"/>
        <v>0</v>
      </c>
      <c r="N418" s="415"/>
      <c r="O418" s="424">
        <f t="shared" si="1180"/>
        <v>0</v>
      </c>
      <c r="P418" s="425"/>
      <c r="Q418" s="1340">
        <f t="shared" si="1186"/>
        <v>0</v>
      </c>
      <c r="R418" s="426"/>
      <c r="S418" s="426"/>
      <c r="T418" s="427">
        <f t="shared" si="1181"/>
        <v>0</v>
      </c>
      <c r="U418" s="418">
        <f t="shared" si="1182"/>
        <v>0</v>
      </c>
      <c r="V418" s="517">
        <f t="shared" si="1183"/>
        <v>0</v>
      </c>
      <c r="W418" s="428">
        <f t="shared" si="1184"/>
        <v>0</v>
      </c>
      <c r="X418" s="429">
        <f t="shared" si="1185"/>
        <v>0</v>
      </c>
      <c r="Y418" s="92"/>
      <c r="AA418" s="53"/>
      <c r="AB418" s="578"/>
      <c r="AC418" s="578"/>
      <c r="AD418" s="578"/>
      <c r="AE418" s="578"/>
      <c r="AF418" s="579"/>
      <c r="AG418" s="579"/>
      <c r="AH418" s="579"/>
      <c r="AI418" s="579"/>
      <c r="AJ418" s="579"/>
      <c r="AK418" s="579"/>
      <c r="AL418" s="1563"/>
      <c r="AM418" s="579"/>
      <c r="AN418" s="579"/>
      <c r="AO418" s="579"/>
      <c r="AP418" s="579"/>
      <c r="AQ418" s="579"/>
      <c r="AR418" s="579"/>
      <c r="AS418" s="579"/>
      <c r="AT418" s="579"/>
      <c r="AU418" s="579"/>
      <c r="AV418" s="579"/>
      <c r="AW418" s="579"/>
      <c r="AX418" s="579"/>
      <c r="AY418" s="579"/>
      <c r="AZ418" s="579"/>
      <c r="BA418" s="579"/>
      <c r="BB418" s="579"/>
      <c r="BC418" s="579"/>
      <c r="BD418" s="579"/>
      <c r="BE418" s="579"/>
      <c r="BF418" s="579"/>
      <c r="BG418" s="579"/>
      <c r="BH418" s="579"/>
      <c r="BI418" s="579"/>
      <c r="BJ418" s="579"/>
      <c r="BK418" s="579"/>
      <c r="BL418" s="579"/>
      <c r="BM418" s="579"/>
      <c r="BN418" s="579"/>
      <c r="BO418" s="579"/>
      <c r="BP418" s="579"/>
      <c r="BQ418" s="579"/>
      <c r="BR418" s="579"/>
      <c r="BS418" s="579"/>
      <c r="BT418" s="579"/>
      <c r="BU418" s="579"/>
      <c r="BV418" s="579"/>
      <c r="BW418" s="579"/>
      <c r="BX418" s="579"/>
      <c r="BY418" s="579"/>
      <c r="BZ418" s="579"/>
      <c r="CA418" s="579"/>
      <c r="CB418" s="594"/>
      <c r="CC418" s="579"/>
      <c r="CD418" s="579"/>
      <c r="CE418" s="579"/>
      <c r="CF418" s="594"/>
      <c r="CG418" s="579"/>
      <c r="CH418" s="579"/>
      <c r="CI418" s="579"/>
      <c r="CJ418" s="579"/>
      <c r="CK418" s="579"/>
      <c r="CL418" s="579"/>
      <c r="CM418" s="579"/>
      <c r="CN418" s="579"/>
      <c r="CO418" s="579"/>
      <c r="CP418" s="579"/>
      <c r="CQ418" s="579"/>
      <c r="CR418" s="579"/>
      <c r="CS418" s="579"/>
      <c r="CT418" s="579"/>
      <c r="CU418" s="579"/>
      <c r="CV418" s="594"/>
      <c r="CW418" s="579"/>
      <c r="CX418" s="579"/>
      <c r="CY418" s="579"/>
      <c r="CZ418" s="579"/>
      <c r="DA418" s="579"/>
      <c r="DB418" s="579"/>
      <c r="DC418" s="594"/>
      <c r="DD418" s="579"/>
      <c r="DE418" s="579"/>
      <c r="DF418" s="579"/>
      <c r="DG418" s="579"/>
      <c r="DH418" s="579"/>
      <c r="DI418" s="579"/>
      <c r="DJ418" s="579"/>
      <c r="DK418" s="594">
        <f>+M418</f>
        <v>0</v>
      </c>
      <c r="DL418" s="579"/>
      <c r="DM418" s="579"/>
      <c r="DN418" s="579"/>
      <c r="DO418" s="579"/>
      <c r="DP418" s="579"/>
    </row>
    <row r="419" spans="1:120" hidden="1" outlineLevel="1">
      <c r="A419" s="89">
        <v>1110052010</v>
      </c>
      <c r="B419" s="2278"/>
      <c r="C419" s="1476" t="s">
        <v>64</v>
      </c>
      <c r="D419" s="1469"/>
      <c r="E419" s="1470"/>
      <c r="F419" s="420"/>
      <c r="G419" s="1256"/>
      <c r="H419" s="421"/>
      <c r="I419" s="422"/>
      <c r="J419" s="1425">
        <v>1</v>
      </c>
      <c r="K419" s="1426">
        <v>1</v>
      </c>
      <c r="L419" s="1043"/>
      <c r="M419" s="1594">
        <f t="shared" si="1179"/>
        <v>0</v>
      </c>
      <c r="N419" s="415"/>
      <c r="O419" s="424">
        <f t="shared" si="1180"/>
        <v>0</v>
      </c>
      <c r="P419" s="425"/>
      <c r="Q419" s="1340">
        <f t="shared" si="1186"/>
        <v>0</v>
      </c>
      <c r="R419" s="426"/>
      <c r="S419" s="426"/>
      <c r="T419" s="427">
        <f t="shared" si="1181"/>
        <v>0</v>
      </c>
      <c r="U419" s="418">
        <f t="shared" si="1182"/>
        <v>0</v>
      </c>
      <c r="V419" s="517">
        <f t="shared" si="1183"/>
        <v>0</v>
      </c>
      <c r="W419" s="428">
        <f t="shared" si="1184"/>
        <v>0</v>
      </c>
      <c r="X419" s="429">
        <f t="shared" si="1185"/>
        <v>0</v>
      </c>
      <c r="Y419" s="92"/>
      <c r="AA419" s="53"/>
      <c r="AB419" s="578"/>
      <c r="AC419" s="578"/>
      <c r="AD419" s="578"/>
      <c r="AE419" s="578"/>
      <c r="AF419" s="579"/>
      <c r="AG419" s="579"/>
      <c r="AH419" s="579"/>
      <c r="AI419" s="579"/>
      <c r="AJ419" s="579"/>
      <c r="AK419" s="579"/>
      <c r="AL419" s="1563"/>
      <c r="AM419" s="579"/>
      <c r="AN419" s="579"/>
      <c r="AO419" s="579"/>
      <c r="AP419" s="579"/>
      <c r="AQ419" s="579"/>
      <c r="AR419" s="579"/>
      <c r="AS419" s="579"/>
      <c r="AT419" s="579"/>
      <c r="AU419" s="579"/>
      <c r="AV419" s="579"/>
      <c r="AW419" s="579"/>
      <c r="AX419" s="579"/>
      <c r="AY419" s="579"/>
      <c r="AZ419" s="579"/>
      <c r="BA419" s="579"/>
      <c r="BB419" s="579"/>
      <c r="BC419" s="579"/>
      <c r="BD419" s="579"/>
      <c r="BE419" s="579"/>
      <c r="BF419" s="579"/>
      <c r="BG419" s="579"/>
      <c r="BH419" s="579"/>
      <c r="BI419" s="579"/>
      <c r="BJ419" s="579"/>
      <c r="BK419" s="579"/>
      <c r="BL419" s="579"/>
      <c r="BM419" s="579"/>
      <c r="BN419" s="579"/>
      <c r="BO419" s="579"/>
      <c r="BP419" s="579"/>
      <c r="BQ419" s="579"/>
      <c r="BR419" s="579"/>
      <c r="BS419" s="579"/>
      <c r="BT419" s="579"/>
      <c r="BU419" s="579"/>
      <c r="BV419" s="579"/>
      <c r="BW419" s="579"/>
      <c r="BX419" s="579"/>
      <c r="BY419" s="579"/>
      <c r="BZ419" s="579"/>
      <c r="CA419" s="579"/>
      <c r="CB419" s="579"/>
      <c r="CC419" s="579"/>
      <c r="CD419" s="579"/>
      <c r="CE419" s="579"/>
      <c r="CF419" s="579"/>
      <c r="CG419" s="595"/>
      <c r="CH419" s="579"/>
      <c r="CI419" s="579"/>
      <c r="CJ419" s="579"/>
      <c r="CK419" s="579"/>
      <c r="CL419" s="579"/>
      <c r="CM419" s="579"/>
      <c r="CN419" s="579"/>
      <c r="CO419" s="594"/>
      <c r="CP419" s="579"/>
      <c r="CQ419" s="579"/>
      <c r="CR419" s="579"/>
      <c r="CS419" s="594">
        <f>+Q419</f>
        <v>0</v>
      </c>
      <c r="CT419" s="579"/>
      <c r="CU419" s="579"/>
      <c r="CV419" s="594"/>
      <c r="CW419" s="594"/>
      <c r="CX419" s="579"/>
      <c r="CY419" s="579"/>
      <c r="CZ419" s="579"/>
      <c r="DA419" s="579"/>
      <c r="DB419" s="579"/>
      <c r="DC419" s="579"/>
      <c r="DD419" s="579"/>
      <c r="DE419" s="579"/>
      <c r="DF419" s="579"/>
      <c r="DG419" s="579"/>
      <c r="DH419" s="579"/>
      <c r="DI419" s="579"/>
      <c r="DJ419" s="579"/>
      <c r="DK419" s="579"/>
      <c r="DL419" s="579"/>
      <c r="DM419" s="579"/>
      <c r="DN419" s="579"/>
      <c r="DO419" s="579"/>
      <c r="DP419" s="579"/>
    </row>
    <row r="420" spans="1:120" hidden="1" outlineLevel="1">
      <c r="A420" s="89">
        <v>1110052010</v>
      </c>
      <c r="B420" s="2278"/>
      <c r="C420" s="1476" t="s">
        <v>64</v>
      </c>
      <c r="D420" s="1469"/>
      <c r="E420" s="1470"/>
      <c r="F420" s="420"/>
      <c r="G420" s="1256"/>
      <c r="H420" s="421"/>
      <c r="I420" s="422"/>
      <c r="J420" s="1425">
        <v>1</v>
      </c>
      <c r="K420" s="1426">
        <v>1</v>
      </c>
      <c r="L420" s="1043"/>
      <c r="M420" s="1594">
        <f t="shared" si="1179"/>
        <v>0</v>
      </c>
      <c r="N420" s="415"/>
      <c r="O420" s="424">
        <f t="shared" si="1180"/>
        <v>0</v>
      </c>
      <c r="P420" s="425"/>
      <c r="Q420" s="1340">
        <f t="shared" si="1186"/>
        <v>0</v>
      </c>
      <c r="R420" s="426"/>
      <c r="S420" s="426"/>
      <c r="T420" s="427">
        <f t="shared" si="1181"/>
        <v>0</v>
      </c>
      <c r="U420" s="418">
        <f t="shared" si="1182"/>
        <v>0</v>
      </c>
      <c r="V420" s="517">
        <f t="shared" si="1183"/>
        <v>0</v>
      </c>
      <c r="W420" s="428">
        <f t="shared" si="1184"/>
        <v>0</v>
      </c>
      <c r="X420" s="429">
        <f t="shared" si="1185"/>
        <v>0</v>
      </c>
      <c r="Y420" s="92"/>
      <c r="AA420" s="53"/>
      <c r="AB420" s="578"/>
      <c r="AC420" s="578"/>
      <c r="AD420" s="578"/>
      <c r="AE420" s="578"/>
      <c r="AF420" s="579"/>
      <c r="AG420" s="579"/>
      <c r="AH420" s="579"/>
      <c r="AI420" s="579"/>
      <c r="AJ420" s="579"/>
      <c r="AK420" s="579"/>
      <c r="AL420" s="1563"/>
      <c r="AM420" s="579"/>
      <c r="AN420" s="579"/>
      <c r="AO420" s="579"/>
      <c r="AP420" s="579"/>
      <c r="AQ420" s="579"/>
      <c r="AR420" s="579"/>
      <c r="AS420" s="579"/>
      <c r="AT420" s="579"/>
      <c r="AU420" s="579"/>
      <c r="AV420" s="579"/>
      <c r="AW420" s="579"/>
      <c r="AX420" s="579"/>
      <c r="AY420" s="579"/>
      <c r="AZ420" s="579"/>
      <c r="BA420" s="579"/>
      <c r="BB420" s="579"/>
      <c r="BC420" s="579"/>
      <c r="BD420" s="579"/>
      <c r="BE420" s="579"/>
      <c r="BF420" s="579"/>
      <c r="BG420" s="579"/>
      <c r="BH420" s="579"/>
      <c r="BI420" s="579"/>
      <c r="BJ420" s="579"/>
      <c r="BK420" s="579"/>
      <c r="BL420" s="579"/>
      <c r="BM420" s="579"/>
      <c r="BN420" s="579"/>
      <c r="BO420" s="579"/>
      <c r="BP420" s="579"/>
      <c r="BQ420" s="579"/>
      <c r="BR420" s="579"/>
      <c r="BS420" s="579"/>
      <c r="BT420" s="579"/>
      <c r="BU420" s="579"/>
      <c r="BV420" s="579"/>
      <c r="BW420" s="579"/>
      <c r="BX420" s="579"/>
      <c r="BY420" s="579"/>
      <c r="BZ420" s="579"/>
      <c r="CA420" s="579"/>
      <c r="CB420" s="579"/>
      <c r="CC420" s="579"/>
      <c r="CD420" s="579"/>
      <c r="CE420" s="579"/>
      <c r="CF420" s="579"/>
      <c r="CG420" s="595"/>
      <c r="CH420" s="579"/>
      <c r="CI420" s="579"/>
      <c r="CJ420" s="579"/>
      <c r="CK420" s="579"/>
      <c r="CL420" s="579"/>
      <c r="CM420" s="579"/>
      <c r="CN420" s="579"/>
      <c r="CO420" s="594"/>
      <c r="CP420" s="579"/>
      <c r="CQ420" s="579"/>
      <c r="CR420" s="579"/>
      <c r="CS420" s="594">
        <f>+Q420</f>
        <v>0</v>
      </c>
      <c r="CT420" s="579"/>
      <c r="CU420" s="579"/>
      <c r="CV420" s="579"/>
      <c r="CW420" s="594"/>
      <c r="CX420" s="579"/>
      <c r="CY420" s="579"/>
      <c r="CZ420" s="579"/>
      <c r="DA420" s="579"/>
      <c r="DB420" s="579"/>
      <c r="DC420" s="579"/>
      <c r="DD420" s="579"/>
      <c r="DE420" s="579"/>
      <c r="DF420" s="579"/>
      <c r="DG420" s="579"/>
      <c r="DH420" s="579"/>
      <c r="DI420" s="579"/>
      <c r="DJ420" s="579"/>
      <c r="DK420" s="579"/>
      <c r="DL420" s="579"/>
      <c r="DM420" s="579"/>
      <c r="DN420" s="579"/>
      <c r="DO420" s="579"/>
      <c r="DP420" s="579"/>
    </row>
    <row r="421" spans="1:120" hidden="1" outlineLevel="1">
      <c r="A421" s="89">
        <v>1110052010</v>
      </c>
      <c r="B421" s="2278"/>
      <c r="C421" s="1476" t="s">
        <v>64</v>
      </c>
      <c r="D421" s="1469"/>
      <c r="E421" s="1470"/>
      <c r="F421" s="420"/>
      <c r="G421" s="1256"/>
      <c r="H421" s="421"/>
      <c r="I421" s="422"/>
      <c r="J421" s="1425">
        <v>1</v>
      </c>
      <c r="K421" s="1426">
        <v>1</v>
      </c>
      <c r="L421" s="1043"/>
      <c r="M421" s="1594">
        <f t="shared" si="1179"/>
        <v>0</v>
      </c>
      <c r="N421" s="415"/>
      <c r="O421" s="424">
        <f t="shared" si="1180"/>
        <v>0</v>
      </c>
      <c r="P421" s="425"/>
      <c r="Q421" s="1340">
        <f t="shared" si="1186"/>
        <v>0</v>
      </c>
      <c r="R421" s="426"/>
      <c r="S421" s="426"/>
      <c r="T421" s="427">
        <f t="shared" si="1181"/>
        <v>0</v>
      </c>
      <c r="U421" s="418">
        <f t="shared" si="1182"/>
        <v>0</v>
      </c>
      <c r="V421" s="517">
        <f t="shared" si="1183"/>
        <v>0</v>
      </c>
      <c r="W421" s="428">
        <f t="shared" si="1184"/>
        <v>0</v>
      </c>
      <c r="X421" s="429">
        <f t="shared" si="1185"/>
        <v>0</v>
      </c>
      <c r="Y421" s="92"/>
      <c r="AA421" s="53"/>
      <c r="AB421" s="578"/>
      <c r="AC421" s="578"/>
      <c r="AD421" s="578"/>
      <c r="AE421" s="578"/>
      <c r="AF421" s="579"/>
      <c r="AG421" s="579"/>
      <c r="AH421" s="579"/>
      <c r="AI421" s="579"/>
      <c r="AJ421" s="579"/>
      <c r="AK421" s="579"/>
      <c r="AL421" s="1563"/>
      <c r="AM421" s="579"/>
      <c r="AN421" s="579"/>
      <c r="AO421" s="579"/>
      <c r="AP421" s="579"/>
      <c r="AQ421" s="579"/>
      <c r="AR421" s="579"/>
      <c r="AS421" s="579"/>
      <c r="AT421" s="579"/>
      <c r="AU421" s="579"/>
      <c r="AV421" s="579"/>
      <c r="AW421" s="579"/>
      <c r="AX421" s="579"/>
      <c r="AY421" s="579"/>
      <c r="AZ421" s="579"/>
      <c r="BA421" s="579"/>
      <c r="BB421" s="579"/>
      <c r="BC421" s="579"/>
      <c r="BD421" s="579"/>
      <c r="BE421" s="579"/>
      <c r="BF421" s="579"/>
      <c r="BG421" s="579"/>
      <c r="BH421" s="579"/>
      <c r="BI421" s="579"/>
      <c r="BJ421" s="579"/>
      <c r="BK421" s="579"/>
      <c r="BL421" s="579"/>
      <c r="BM421" s="579"/>
      <c r="BN421" s="579"/>
      <c r="BO421" s="579"/>
      <c r="BP421" s="579"/>
      <c r="BQ421" s="579"/>
      <c r="BR421" s="579"/>
      <c r="BS421" s="579"/>
      <c r="BT421" s="579"/>
      <c r="BU421" s="579"/>
      <c r="BV421" s="579"/>
      <c r="BW421" s="579"/>
      <c r="BX421" s="579"/>
      <c r="BY421" s="579"/>
      <c r="BZ421" s="579"/>
      <c r="CA421" s="579"/>
      <c r="CB421" s="579"/>
      <c r="CC421" s="579"/>
      <c r="CD421" s="579"/>
      <c r="CE421" s="579"/>
      <c r="CF421" s="579"/>
      <c r="CG421" s="595"/>
      <c r="CH421" s="579"/>
      <c r="CI421" s="579"/>
      <c r="CJ421" s="579"/>
      <c r="CK421" s="579"/>
      <c r="CL421" s="579"/>
      <c r="CM421" s="579"/>
      <c r="CN421" s="579"/>
      <c r="CO421" s="594"/>
      <c r="CP421" s="579"/>
      <c r="CQ421" s="579"/>
      <c r="CR421" s="579"/>
      <c r="CS421" s="594">
        <f>+Q421</f>
        <v>0</v>
      </c>
      <c r="CT421" s="579"/>
      <c r="CU421" s="579"/>
      <c r="CV421" s="579"/>
      <c r="CW421" s="594"/>
      <c r="CX421" s="579"/>
      <c r="CY421" s="579"/>
      <c r="CZ421" s="579"/>
      <c r="DA421" s="579"/>
      <c r="DB421" s="579"/>
      <c r="DC421" s="579"/>
      <c r="DD421" s="579"/>
      <c r="DE421" s="579"/>
      <c r="DF421" s="579"/>
      <c r="DG421" s="579"/>
      <c r="DH421" s="579"/>
      <c r="DI421" s="579"/>
      <c r="DJ421" s="579"/>
      <c r="DK421" s="579"/>
      <c r="DL421" s="579"/>
      <c r="DM421" s="579"/>
      <c r="DN421" s="579"/>
      <c r="DO421" s="579"/>
      <c r="DP421" s="579"/>
    </row>
    <row r="422" spans="1:120" hidden="1" outlineLevel="1">
      <c r="A422" s="89">
        <v>1110052010</v>
      </c>
      <c r="B422" s="90"/>
      <c r="C422" s="1476" t="s">
        <v>64</v>
      </c>
      <c r="D422" s="1469"/>
      <c r="E422" s="1470"/>
      <c r="F422" s="420"/>
      <c r="G422" s="1256"/>
      <c r="H422" s="421"/>
      <c r="I422" s="422"/>
      <c r="J422" s="1425">
        <v>1</v>
      </c>
      <c r="K422" s="1426">
        <v>1</v>
      </c>
      <c r="L422" s="1043"/>
      <c r="M422" s="1594">
        <f t="shared" si="1179"/>
        <v>0</v>
      </c>
      <c r="N422" s="415"/>
      <c r="O422" s="424">
        <f>+L422*N422</f>
        <v>0</v>
      </c>
      <c r="P422" s="425"/>
      <c r="Q422" s="1340">
        <f t="shared" si="1186"/>
        <v>0</v>
      </c>
      <c r="R422" s="426"/>
      <c r="S422" s="426"/>
      <c r="T422" s="427">
        <f>+P422*S422</f>
        <v>0</v>
      </c>
      <c r="U422" s="418">
        <f>+L422+P422+F422</f>
        <v>0</v>
      </c>
      <c r="V422" s="517">
        <f>+P422*R422+L422*N422+F422*H422</f>
        <v>0</v>
      </c>
      <c r="W422" s="428">
        <f>(IF(R422&gt;S422,(-P422*R422)-(-P422*S422),0))</f>
        <v>0</v>
      </c>
      <c r="X422" s="429">
        <f>(IF(R422&lt;S422,(-P422*R422)-(-P422*S422),0))</f>
        <v>0</v>
      </c>
      <c r="Y422" s="92"/>
      <c r="AA422" s="53"/>
      <c r="AB422" s="578"/>
      <c r="AC422" s="578"/>
      <c r="AD422" s="578"/>
      <c r="AE422" s="578"/>
      <c r="AF422" s="579"/>
      <c r="AG422" s="579"/>
      <c r="AH422" s="579"/>
      <c r="AI422" s="579"/>
      <c r="AJ422" s="579"/>
      <c r="AK422" s="579"/>
      <c r="AL422" s="1563"/>
      <c r="AM422" s="579"/>
      <c r="AN422" s="579"/>
      <c r="AO422" s="579"/>
      <c r="AP422" s="579"/>
      <c r="AQ422" s="579"/>
      <c r="AR422" s="579"/>
      <c r="AS422" s="579"/>
      <c r="AT422" s="579"/>
      <c r="AU422" s="579"/>
      <c r="AV422" s="579"/>
      <c r="AW422" s="579"/>
      <c r="AX422" s="579"/>
      <c r="AY422" s="579"/>
      <c r="AZ422" s="579"/>
      <c r="BA422" s="579"/>
      <c r="BB422" s="579"/>
      <c r="BC422" s="579"/>
      <c r="BD422" s="579"/>
      <c r="BE422" s="579"/>
      <c r="BF422" s="579"/>
      <c r="BG422" s="579"/>
      <c r="BH422" s="579"/>
      <c r="BI422" s="579"/>
      <c r="BJ422" s="579"/>
      <c r="BK422" s="579"/>
      <c r="BL422" s="579"/>
      <c r="BM422" s="579"/>
      <c r="BN422" s="579"/>
      <c r="BO422" s="579"/>
      <c r="BP422" s="579"/>
      <c r="BQ422" s="579"/>
      <c r="BR422" s="579"/>
      <c r="BS422" s="579"/>
      <c r="BT422" s="579"/>
      <c r="BU422" s="579"/>
      <c r="BV422" s="579"/>
      <c r="BW422" s="579"/>
      <c r="BX422" s="579"/>
      <c r="BY422" s="579"/>
      <c r="BZ422" s="579"/>
      <c r="CA422" s="579"/>
      <c r="CB422" s="594"/>
      <c r="CC422" s="579"/>
      <c r="CD422" s="579"/>
      <c r="CE422" s="579"/>
      <c r="CF422" s="579"/>
      <c r="CG422" s="579"/>
      <c r="CH422" s="579"/>
      <c r="CI422" s="579"/>
      <c r="CJ422" s="579"/>
      <c r="CK422" s="579"/>
      <c r="CL422" s="579"/>
      <c r="CM422" s="579"/>
      <c r="CN422" s="579"/>
      <c r="CO422" s="579"/>
      <c r="CP422" s="579"/>
      <c r="CQ422" s="579"/>
      <c r="CR422" s="579"/>
      <c r="CS422" s="594"/>
      <c r="CT422" s="579"/>
      <c r="CU422" s="579"/>
      <c r="CV422" s="579"/>
      <c r="CW422" s="579"/>
      <c r="CX422" s="579"/>
      <c r="CY422" s="579"/>
      <c r="CZ422" s="579"/>
      <c r="DA422" s="579"/>
      <c r="DB422" s="579"/>
      <c r="DC422" s="594"/>
      <c r="DD422" s="579"/>
      <c r="DE422" s="579"/>
      <c r="DF422" s="579"/>
      <c r="DG422" s="579"/>
      <c r="DH422" s="579"/>
      <c r="DI422" s="579"/>
      <c r="DJ422" s="579"/>
      <c r="DK422" s="579"/>
      <c r="DL422" s="594">
        <f>+M422</f>
        <v>0</v>
      </c>
      <c r="DM422" s="579"/>
      <c r="DN422" s="579"/>
      <c r="DO422" s="579"/>
      <c r="DP422" s="579"/>
    </row>
    <row r="423" spans="1:120" hidden="1" outlineLevel="1">
      <c r="A423" s="89">
        <v>1110052010</v>
      </c>
      <c r="B423" s="2278"/>
      <c r="C423" s="1476" t="s">
        <v>64</v>
      </c>
      <c r="D423" s="1469"/>
      <c r="E423" s="1470"/>
      <c r="F423" s="420"/>
      <c r="G423" s="1256"/>
      <c r="H423" s="421"/>
      <c r="I423" s="422"/>
      <c r="J423" s="1425">
        <v>1</v>
      </c>
      <c r="K423" s="1426">
        <v>1</v>
      </c>
      <c r="L423" s="1043"/>
      <c r="M423" s="1594">
        <f t="shared" si="1179"/>
        <v>0</v>
      </c>
      <c r="N423" s="415"/>
      <c r="O423" s="424">
        <f t="shared" si="1171"/>
        <v>0</v>
      </c>
      <c r="P423" s="425"/>
      <c r="Q423" s="1340">
        <f t="shared" si="1186"/>
        <v>0</v>
      </c>
      <c r="R423" s="426"/>
      <c r="S423" s="426"/>
      <c r="T423" s="427">
        <f t="shared" si="1173"/>
        <v>0</v>
      </c>
      <c r="U423" s="418">
        <f t="shared" si="1174"/>
        <v>0</v>
      </c>
      <c r="V423" s="517">
        <f t="shared" si="1175"/>
        <v>0</v>
      </c>
      <c r="W423" s="428">
        <f t="shared" si="1176"/>
        <v>0</v>
      </c>
      <c r="X423" s="429">
        <f t="shared" si="1177"/>
        <v>0</v>
      </c>
      <c r="Y423" s="92"/>
      <c r="AA423" s="53"/>
      <c r="AB423" s="578"/>
      <c r="AC423" s="578"/>
      <c r="AD423" s="578"/>
      <c r="AE423" s="578"/>
      <c r="AF423" s="579"/>
      <c r="AG423" s="579"/>
      <c r="AH423" s="579"/>
      <c r="AI423" s="579"/>
      <c r="AJ423" s="579"/>
      <c r="AK423" s="579"/>
      <c r="AL423" s="1563"/>
      <c r="AM423" s="579"/>
      <c r="AN423" s="579"/>
      <c r="AO423" s="579"/>
      <c r="AP423" s="579"/>
      <c r="AQ423" s="579"/>
      <c r="AR423" s="579"/>
      <c r="AS423" s="579"/>
      <c r="AT423" s="579"/>
      <c r="AU423" s="579"/>
      <c r="AV423" s="579"/>
      <c r="AW423" s="579"/>
      <c r="AX423" s="579"/>
      <c r="AY423" s="579"/>
      <c r="AZ423" s="579"/>
      <c r="BA423" s="579"/>
      <c r="BB423" s="579"/>
      <c r="BC423" s="579"/>
      <c r="BD423" s="579"/>
      <c r="BE423" s="579"/>
      <c r="BF423" s="579"/>
      <c r="BG423" s="579"/>
      <c r="BH423" s="579"/>
      <c r="BI423" s="579"/>
      <c r="BJ423" s="579"/>
      <c r="BK423" s="579"/>
      <c r="BL423" s="579"/>
      <c r="BM423" s="579"/>
      <c r="BN423" s="579"/>
      <c r="BO423" s="579"/>
      <c r="BP423" s="579"/>
      <c r="BQ423" s="579"/>
      <c r="BR423" s="579"/>
      <c r="BS423" s="579"/>
      <c r="BT423" s="579"/>
      <c r="BU423" s="579"/>
      <c r="BV423" s="579"/>
      <c r="BW423" s="579"/>
      <c r="BX423" s="579"/>
      <c r="BY423" s="579"/>
      <c r="BZ423" s="579"/>
      <c r="CA423" s="579"/>
      <c r="CB423" s="579"/>
      <c r="CC423" s="579"/>
      <c r="CD423" s="579"/>
      <c r="CE423" s="595"/>
      <c r="CF423" s="595"/>
      <c r="CG423" s="579"/>
      <c r="CH423" s="579"/>
      <c r="CI423" s="579"/>
      <c r="CJ423" s="579"/>
      <c r="CK423" s="579"/>
      <c r="CL423" s="579"/>
      <c r="CM423" s="579"/>
      <c r="CN423" s="579"/>
      <c r="CO423" s="579"/>
      <c r="CP423" s="579"/>
      <c r="CQ423" s="579"/>
      <c r="CR423" s="579"/>
      <c r="CS423" s="594">
        <f>+Q423</f>
        <v>0</v>
      </c>
      <c r="CT423" s="579"/>
      <c r="CU423" s="579"/>
      <c r="CV423" s="579"/>
      <c r="CW423" s="594"/>
      <c r="CX423" s="579"/>
      <c r="CY423" s="579"/>
      <c r="CZ423" s="579"/>
      <c r="DA423" s="579"/>
      <c r="DB423" s="579"/>
      <c r="DC423" s="579"/>
      <c r="DD423" s="579"/>
      <c r="DE423" s="579"/>
      <c r="DF423" s="579"/>
      <c r="DG423" s="579"/>
      <c r="DH423" s="579"/>
      <c r="DI423" s="579"/>
      <c r="DJ423" s="579"/>
      <c r="DK423" s="579"/>
      <c r="DL423" s="579"/>
      <c r="DM423" s="579"/>
      <c r="DN423" s="579"/>
      <c r="DO423" s="579"/>
      <c r="DP423" s="579"/>
    </row>
    <row r="424" spans="1:120" hidden="1" outlineLevel="1">
      <c r="A424" s="89">
        <v>1110052010</v>
      </c>
      <c r="B424" s="2278"/>
      <c r="C424" s="1476" t="s">
        <v>64</v>
      </c>
      <c r="D424" s="1469"/>
      <c r="E424" s="1470"/>
      <c r="F424" s="420"/>
      <c r="G424" s="1256"/>
      <c r="H424" s="421"/>
      <c r="I424" s="422"/>
      <c r="J424" s="1425">
        <v>1</v>
      </c>
      <c r="K424" s="1426">
        <v>1</v>
      </c>
      <c r="L424" s="1043"/>
      <c r="M424" s="1594">
        <f t="shared" si="1179"/>
        <v>0</v>
      </c>
      <c r="N424" s="415"/>
      <c r="O424" s="424">
        <f t="shared" si="1171"/>
        <v>0</v>
      </c>
      <c r="P424" s="425"/>
      <c r="Q424" s="1340">
        <f t="shared" si="1186"/>
        <v>0</v>
      </c>
      <c r="R424" s="426"/>
      <c r="S424" s="426"/>
      <c r="T424" s="427">
        <f t="shared" si="1173"/>
        <v>0</v>
      </c>
      <c r="U424" s="418">
        <f t="shared" si="1174"/>
        <v>0</v>
      </c>
      <c r="V424" s="517">
        <f t="shared" si="1175"/>
        <v>0</v>
      </c>
      <c r="W424" s="428">
        <f t="shared" si="1176"/>
        <v>0</v>
      </c>
      <c r="X424" s="429">
        <f t="shared" si="1177"/>
        <v>0</v>
      </c>
      <c r="Y424" s="92"/>
      <c r="AA424" s="53"/>
      <c r="AB424" s="578"/>
      <c r="AC424" s="578"/>
      <c r="AD424" s="578"/>
      <c r="AE424" s="578"/>
      <c r="AF424" s="579"/>
      <c r="AG424" s="579"/>
      <c r="AH424" s="579"/>
      <c r="AI424" s="579"/>
      <c r="AJ424" s="579"/>
      <c r="AK424" s="579"/>
      <c r="AL424" s="1563"/>
      <c r="AM424" s="579"/>
      <c r="AN424" s="579"/>
      <c r="AO424" s="579"/>
      <c r="AP424" s="579"/>
      <c r="AQ424" s="579"/>
      <c r="AR424" s="579"/>
      <c r="AS424" s="579"/>
      <c r="AT424" s="579"/>
      <c r="AU424" s="579"/>
      <c r="AV424" s="579"/>
      <c r="AW424" s="579"/>
      <c r="AX424" s="579"/>
      <c r="AY424" s="579"/>
      <c r="AZ424" s="579"/>
      <c r="BA424" s="579"/>
      <c r="BB424" s="579"/>
      <c r="BC424" s="579"/>
      <c r="BD424" s="579"/>
      <c r="BE424" s="579"/>
      <c r="BF424" s="579"/>
      <c r="BG424" s="579"/>
      <c r="BH424" s="579"/>
      <c r="BI424" s="579"/>
      <c r="BJ424" s="579"/>
      <c r="BK424" s="579"/>
      <c r="BL424" s="579"/>
      <c r="BM424" s="579"/>
      <c r="BN424" s="579"/>
      <c r="BO424" s="579"/>
      <c r="BP424" s="579"/>
      <c r="BQ424" s="579"/>
      <c r="BR424" s="579"/>
      <c r="BS424" s="579"/>
      <c r="BT424" s="579"/>
      <c r="BU424" s="579"/>
      <c r="BV424" s="579"/>
      <c r="BW424" s="579"/>
      <c r="BX424" s="579"/>
      <c r="BY424" s="579"/>
      <c r="BZ424" s="579"/>
      <c r="CA424" s="579"/>
      <c r="CB424" s="594"/>
      <c r="CC424" s="579"/>
      <c r="CD424" s="594"/>
      <c r="CE424" s="579"/>
      <c r="CF424" s="594"/>
      <c r="CG424" s="579"/>
      <c r="CH424" s="579"/>
      <c r="CI424" s="579"/>
      <c r="CJ424" s="579"/>
      <c r="CK424" s="579"/>
      <c r="CL424" s="579"/>
      <c r="CM424" s="579"/>
      <c r="CN424" s="579"/>
      <c r="CO424" s="579"/>
      <c r="CP424" s="579"/>
      <c r="CQ424" s="579"/>
      <c r="CR424" s="579"/>
      <c r="CS424" s="594">
        <f>+Q424</f>
        <v>0</v>
      </c>
      <c r="CT424" s="579"/>
      <c r="CU424" s="579"/>
      <c r="CV424" s="594"/>
      <c r="CW424" s="579"/>
      <c r="CX424" s="579"/>
      <c r="CY424" s="579"/>
      <c r="CZ424" s="579"/>
      <c r="DA424" s="579"/>
      <c r="DB424" s="579"/>
      <c r="DC424" s="594"/>
      <c r="DD424" s="579"/>
      <c r="DE424" s="579"/>
      <c r="DF424" s="579"/>
      <c r="DG424" s="579"/>
      <c r="DH424" s="579"/>
      <c r="DI424" s="579"/>
      <c r="DJ424" s="579"/>
      <c r="DK424" s="579"/>
      <c r="DL424" s="579"/>
      <c r="DM424" s="579"/>
      <c r="DN424" s="579"/>
      <c r="DO424" s="579"/>
      <c r="DP424" s="579"/>
    </row>
    <row r="425" spans="1:120" hidden="1" outlineLevel="1">
      <c r="A425" s="89">
        <v>1110052010</v>
      </c>
      <c r="B425" s="2278"/>
      <c r="C425" s="1476" t="s">
        <v>64</v>
      </c>
      <c r="D425" s="1469"/>
      <c r="E425" s="1470"/>
      <c r="F425" s="420"/>
      <c r="G425" s="1256"/>
      <c r="H425" s="421"/>
      <c r="I425" s="422"/>
      <c r="J425" s="1425">
        <v>1</v>
      </c>
      <c r="K425" s="1426">
        <v>1</v>
      </c>
      <c r="L425" s="1043"/>
      <c r="M425" s="1594">
        <f t="shared" si="1179"/>
        <v>0</v>
      </c>
      <c r="N425" s="415"/>
      <c r="O425" s="424">
        <f t="shared" si="1171"/>
        <v>0</v>
      </c>
      <c r="P425" s="425"/>
      <c r="Q425" s="1340">
        <f t="shared" si="1186"/>
        <v>0</v>
      </c>
      <c r="R425" s="426"/>
      <c r="S425" s="426"/>
      <c r="T425" s="427">
        <f t="shared" si="1173"/>
        <v>0</v>
      </c>
      <c r="U425" s="418">
        <f t="shared" si="1174"/>
        <v>0</v>
      </c>
      <c r="V425" s="517">
        <f t="shared" si="1175"/>
        <v>0</v>
      </c>
      <c r="W425" s="428">
        <f t="shared" si="1176"/>
        <v>0</v>
      </c>
      <c r="X425" s="429">
        <f t="shared" si="1177"/>
        <v>0</v>
      </c>
      <c r="Y425" s="92"/>
      <c r="AA425" s="53"/>
      <c r="AB425" s="578"/>
      <c r="AC425" s="578"/>
      <c r="AD425" s="578"/>
      <c r="AE425" s="578"/>
      <c r="AF425" s="579"/>
      <c r="AG425" s="579"/>
      <c r="AH425" s="579"/>
      <c r="AI425" s="579"/>
      <c r="AJ425" s="579"/>
      <c r="AK425" s="579"/>
      <c r="AL425" s="1563"/>
      <c r="AM425" s="579"/>
      <c r="AN425" s="579"/>
      <c r="AO425" s="579"/>
      <c r="AP425" s="579"/>
      <c r="AQ425" s="579"/>
      <c r="AR425" s="579"/>
      <c r="AS425" s="579"/>
      <c r="AT425" s="579"/>
      <c r="AU425" s="579"/>
      <c r="AV425" s="579"/>
      <c r="AW425" s="579"/>
      <c r="AX425" s="579"/>
      <c r="AY425" s="579"/>
      <c r="AZ425" s="579"/>
      <c r="BA425" s="579"/>
      <c r="BB425" s="579"/>
      <c r="BC425" s="579"/>
      <c r="BD425" s="579"/>
      <c r="BE425" s="579"/>
      <c r="BF425" s="579"/>
      <c r="BG425" s="579"/>
      <c r="BH425" s="579"/>
      <c r="BI425" s="579"/>
      <c r="BJ425" s="579"/>
      <c r="BK425" s="579"/>
      <c r="BL425" s="579"/>
      <c r="BM425" s="579"/>
      <c r="BN425" s="579"/>
      <c r="BO425" s="579"/>
      <c r="BP425" s="579"/>
      <c r="BQ425" s="579"/>
      <c r="BR425" s="579"/>
      <c r="BS425" s="579"/>
      <c r="BT425" s="579"/>
      <c r="BU425" s="579"/>
      <c r="BV425" s="579"/>
      <c r="BW425" s="579"/>
      <c r="BX425" s="579"/>
      <c r="BY425" s="579"/>
      <c r="BZ425" s="579"/>
      <c r="CA425" s="579"/>
      <c r="CB425" s="594"/>
      <c r="CC425" s="579"/>
      <c r="CD425" s="579"/>
      <c r="CE425" s="579"/>
      <c r="CF425" s="594"/>
      <c r="CG425" s="579"/>
      <c r="CH425" s="594"/>
      <c r="CI425" s="579"/>
      <c r="CJ425" s="579"/>
      <c r="CK425" s="579"/>
      <c r="CL425" s="579"/>
      <c r="CM425" s="579"/>
      <c r="CN425" s="579"/>
      <c r="CO425" s="579"/>
      <c r="CP425" s="579"/>
      <c r="CQ425" s="579"/>
      <c r="CR425" s="579"/>
      <c r="CS425" s="594">
        <f>+Q425</f>
        <v>0</v>
      </c>
      <c r="CT425" s="579"/>
      <c r="CU425" s="579"/>
      <c r="CV425" s="594"/>
      <c r="CW425" s="579"/>
      <c r="CX425" s="579"/>
      <c r="CY425" s="579"/>
      <c r="CZ425" s="579"/>
      <c r="DA425" s="579"/>
      <c r="DB425" s="579"/>
      <c r="DC425" s="594"/>
      <c r="DD425" s="579"/>
      <c r="DE425" s="579"/>
      <c r="DF425" s="579"/>
      <c r="DG425" s="579"/>
      <c r="DH425" s="579"/>
      <c r="DI425" s="579"/>
      <c r="DJ425" s="579"/>
      <c r="DK425" s="579"/>
      <c r="DL425" s="579"/>
      <c r="DM425" s="579"/>
      <c r="DN425" s="579"/>
      <c r="DO425" s="579"/>
      <c r="DP425" s="579"/>
    </row>
    <row r="426" spans="1:120" hidden="1" outlineLevel="1">
      <c r="A426" s="89">
        <v>1110052010</v>
      </c>
      <c r="B426" s="2278"/>
      <c r="C426" s="1476" t="s">
        <v>64</v>
      </c>
      <c r="D426" s="1469"/>
      <c r="E426" s="1470"/>
      <c r="F426" s="420"/>
      <c r="G426" s="1256"/>
      <c r="H426" s="421"/>
      <c r="I426" s="422"/>
      <c r="J426" s="1425">
        <v>1</v>
      </c>
      <c r="K426" s="1426">
        <v>1</v>
      </c>
      <c r="L426" s="1043"/>
      <c r="M426" s="1594">
        <f t="shared" si="1179"/>
        <v>0</v>
      </c>
      <c r="N426" s="415"/>
      <c r="O426" s="424">
        <f t="shared" si="1171"/>
        <v>0</v>
      </c>
      <c r="P426" s="425"/>
      <c r="Q426" s="1340">
        <f t="shared" si="1186"/>
        <v>0</v>
      </c>
      <c r="R426" s="426"/>
      <c r="S426" s="426"/>
      <c r="T426" s="427">
        <f t="shared" si="1173"/>
        <v>0</v>
      </c>
      <c r="U426" s="418">
        <f t="shared" si="1174"/>
        <v>0</v>
      </c>
      <c r="V426" s="517">
        <f t="shared" si="1175"/>
        <v>0</v>
      </c>
      <c r="W426" s="428">
        <f t="shared" si="1176"/>
        <v>0</v>
      </c>
      <c r="X426" s="429">
        <f t="shared" si="1177"/>
        <v>0</v>
      </c>
      <c r="Y426" s="92"/>
      <c r="AA426" s="53"/>
      <c r="AB426" s="578"/>
      <c r="AC426" s="578"/>
      <c r="AD426" s="578"/>
      <c r="AE426" s="578"/>
      <c r="AF426" s="579"/>
      <c r="AG426" s="579"/>
      <c r="AH426" s="579"/>
      <c r="AI426" s="579"/>
      <c r="AJ426" s="579"/>
      <c r="AK426" s="579"/>
      <c r="AL426" s="1563"/>
      <c r="AM426" s="579"/>
      <c r="AN426" s="579"/>
      <c r="AO426" s="579"/>
      <c r="AP426" s="579"/>
      <c r="AQ426" s="579"/>
      <c r="AR426" s="579"/>
      <c r="AS426" s="579"/>
      <c r="AT426" s="579"/>
      <c r="AU426" s="579"/>
      <c r="AV426" s="579"/>
      <c r="AW426" s="579"/>
      <c r="AX426" s="579"/>
      <c r="AY426" s="579"/>
      <c r="AZ426" s="579"/>
      <c r="BA426" s="579"/>
      <c r="BB426" s="579"/>
      <c r="BC426" s="579"/>
      <c r="BD426" s="579"/>
      <c r="BE426" s="579"/>
      <c r="BF426" s="579"/>
      <c r="BG426" s="579"/>
      <c r="BH426" s="579"/>
      <c r="BI426" s="579"/>
      <c r="BJ426" s="579"/>
      <c r="BK426" s="579"/>
      <c r="BL426" s="579"/>
      <c r="BM426" s="579"/>
      <c r="BN426" s="579"/>
      <c r="BO426" s="579"/>
      <c r="BP426" s="579"/>
      <c r="BQ426" s="579"/>
      <c r="BR426" s="579"/>
      <c r="BS426" s="579"/>
      <c r="BT426" s="579"/>
      <c r="BU426" s="579"/>
      <c r="BV426" s="579"/>
      <c r="BW426" s="579"/>
      <c r="BX426" s="579"/>
      <c r="BY426" s="579"/>
      <c r="BZ426" s="579"/>
      <c r="CA426" s="579"/>
      <c r="CB426" s="594"/>
      <c r="CC426" s="579"/>
      <c r="CD426" s="579"/>
      <c r="CE426" s="579"/>
      <c r="CF426" s="594"/>
      <c r="CG426" s="579"/>
      <c r="CH426" s="579"/>
      <c r="CI426" s="579"/>
      <c r="CJ426" s="579"/>
      <c r="CK426" s="594"/>
      <c r="CL426" s="579"/>
      <c r="CM426" s="579"/>
      <c r="CN426" s="579"/>
      <c r="CO426" s="579"/>
      <c r="CP426" s="579"/>
      <c r="CQ426" s="579"/>
      <c r="CR426" s="579"/>
      <c r="CS426" s="594">
        <f>+Q426</f>
        <v>0</v>
      </c>
      <c r="CT426" s="579"/>
      <c r="CU426" s="579"/>
      <c r="CV426" s="594"/>
      <c r="CW426" s="579"/>
      <c r="CX426" s="579"/>
      <c r="CY426" s="579"/>
      <c r="CZ426" s="579"/>
      <c r="DA426" s="579"/>
      <c r="DB426" s="579"/>
      <c r="DC426" s="594"/>
      <c r="DD426" s="579"/>
      <c r="DE426" s="579"/>
      <c r="DF426" s="579"/>
      <c r="DG426" s="579"/>
      <c r="DH426" s="579"/>
      <c r="DI426" s="579"/>
      <c r="DJ426" s="579"/>
      <c r="DK426" s="579"/>
      <c r="DL426" s="579"/>
      <c r="DM426" s="579"/>
      <c r="DN426" s="579"/>
      <c r="DO426" s="579"/>
      <c r="DP426" s="579"/>
    </row>
    <row r="427" spans="1:120" hidden="1" outlineLevel="1">
      <c r="A427" s="89">
        <v>1110052010</v>
      </c>
      <c r="B427" s="2278"/>
      <c r="C427" s="1476" t="s">
        <v>64</v>
      </c>
      <c r="D427" s="1469"/>
      <c r="E427" s="1470"/>
      <c r="F427" s="420"/>
      <c r="G427" s="1256"/>
      <c r="H427" s="421"/>
      <c r="I427" s="422"/>
      <c r="J427" s="1425">
        <v>1</v>
      </c>
      <c r="K427" s="1426">
        <v>1</v>
      </c>
      <c r="L427" s="1043"/>
      <c r="M427" s="1594">
        <f t="shared" si="1179"/>
        <v>0</v>
      </c>
      <c r="N427" s="415"/>
      <c r="O427" s="424">
        <f t="shared" si="1171"/>
        <v>0</v>
      </c>
      <c r="P427" s="425"/>
      <c r="Q427" s="1340">
        <f t="shared" si="1186"/>
        <v>0</v>
      </c>
      <c r="R427" s="426"/>
      <c r="S427" s="426"/>
      <c r="T427" s="427">
        <f t="shared" si="1173"/>
        <v>0</v>
      </c>
      <c r="U427" s="418">
        <f t="shared" si="1174"/>
        <v>0</v>
      </c>
      <c r="V427" s="517">
        <f t="shared" si="1175"/>
        <v>0</v>
      </c>
      <c r="W427" s="428">
        <f t="shared" si="1176"/>
        <v>0</v>
      </c>
      <c r="X427" s="429">
        <f t="shared" si="1177"/>
        <v>0</v>
      </c>
      <c r="Y427" s="92"/>
      <c r="AA427" s="53"/>
      <c r="AB427" s="578"/>
      <c r="AC427" s="578"/>
      <c r="AD427" s="578"/>
      <c r="AE427" s="578"/>
      <c r="AF427" s="579"/>
      <c r="AG427" s="579"/>
      <c r="AH427" s="579"/>
      <c r="AI427" s="579"/>
      <c r="AJ427" s="579"/>
      <c r="AK427" s="579"/>
      <c r="AL427" s="1563"/>
      <c r="AM427" s="579"/>
      <c r="AN427" s="579"/>
      <c r="AO427" s="579"/>
      <c r="AP427" s="579"/>
      <c r="AQ427" s="579"/>
      <c r="AR427" s="579"/>
      <c r="AS427" s="579"/>
      <c r="AT427" s="579"/>
      <c r="AU427" s="579"/>
      <c r="AV427" s="579"/>
      <c r="AW427" s="579"/>
      <c r="AX427" s="579"/>
      <c r="AY427" s="579"/>
      <c r="AZ427" s="579"/>
      <c r="BA427" s="579"/>
      <c r="BB427" s="579"/>
      <c r="BC427" s="579"/>
      <c r="BD427" s="579"/>
      <c r="BE427" s="579"/>
      <c r="BF427" s="579"/>
      <c r="BG427" s="579"/>
      <c r="BH427" s="579"/>
      <c r="BI427" s="579"/>
      <c r="BJ427" s="579"/>
      <c r="BK427" s="579"/>
      <c r="BL427" s="579"/>
      <c r="BM427" s="579"/>
      <c r="BN427" s="579"/>
      <c r="BO427" s="579"/>
      <c r="BP427" s="579"/>
      <c r="BQ427" s="579"/>
      <c r="BR427" s="579"/>
      <c r="BS427" s="579"/>
      <c r="BT427" s="579"/>
      <c r="BU427" s="579"/>
      <c r="BV427" s="579"/>
      <c r="BW427" s="579"/>
      <c r="BX427" s="579"/>
      <c r="BY427" s="579"/>
      <c r="BZ427" s="579"/>
      <c r="CA427" s="579"/>
      <c r="CB427" s="594"/>
      <c r="CC427" s="579"/>
      <c r="CD427" s="579"/>
      <c r="CE427" s="579"/>
      <c r="CF427" s="594"/>
      <c r="CG427" s="579"/>
      <c r="CH427" s="579"/>
      <c r="CI427" s="579"/>
      <c r="CJ427" s="579"/>
      <c r="CK427" s="579"/>
      <c r="CL427" s="579"/>
      <c r="CM427" s="579"/>
      <c r="CN427" s="579"/>
      <c r="CO427" s="579"/>
      <c r="CP427" s="594"/>
      <c r="CQ427" s="579"/>
      <c r="CR427" s="579"/>
      <c r="CS427" s="594">
        <f>+Q427</f>
        <v>0</v>
      </c>
      <c r="CT427" s="579"/>
      <c r="CU427" s="579"/>
      <c r="CV427" s="594"/>
      <c r="CW427" s="579"/>
      <c r="CX427" s="579"/>
      <c r="CY427" s="579"/>
      <c r="CZ427" s="579"/>
      <c r="DA427" s="579"/>
      <c r="DB427" s="579"/>
      <c r="DC427" s="594"/>
      <c r="DD427" s="579"/>
      <c r="DE427" s="579"/>
      <c r="DF427" s="579"/>
      <c r="DG427" s="579"/>
      <c r="DH427" s="579"/>
      <c r="DI427" s="579"/>
      <c r="DJ427" s="579"/>
      <c r="DK427" s="579"/>
      <c r="DL427" s="579"/>
      <c r="DM427" s="579"/>
      <c r="DN427" s="579"/>
      <c r="DO427" s="579"/>
      <c r="DP427" s="579"/>
    </row>
    <row r="428" spans="1:120" hidden="1" outlineLevel="1">
      <c r="A428" s="89">
        <v>1110052010</v>
      </c>
      <c r="B428" s="2278"/>
      <c r="C428" s="1476" t="s">
        <v>64</v>
      </c>
      <c r="D428" s="1469"/>
      <c r="E428" s="1470"/>
      <c r="F428" s="420"/>
      <c r="G428" s="1256"/>
      <c r="H428" s="421"/>
      <c r="I428" s="422"/>
      <c r="J428" s="1425">
        <v>1</v>
      </c>
      <c r="K428" s="1426">
        <v>1</v>
      </c>
      <c r="L428" s="1043"/>
      <c r="M428" s="1594">
        <f t="shared" ref="M428:M429" si="1203">+L428*J428</f>
        <v>0</v>
      </c>
      <c r="N428" s="415"/>
      <c r="O428" s="424">
        <f t="shared" ref="O428:O429" si="1204">+L428*N428</f>
        <v>0</v>
      </c>
      <c r="P428" s="425"/>
      <c r="Q428" s="1340">
        <f t="shared" ref="Q428:Q429" si="1205">+P428*K428</f>
        <v>0</v>
      </c>
      <c r="R428" s="426"/>
      <c r="S428" s="426"/>
      <c r="T428" s="427">
        <f t="shared" ref="T428:T429" si="1206">+P428*S428</f>
        <v>0</v>
      </c>
      <c r="U428" s="418">
        <f t="shared" ref="U428:U429" si="1207">+L428+P428+F428</f>
        <v>0</v>
      </c>
      <c r="V428" s="517">
        <f t="shared" ref="V428:V429" si="1208">+P428*R428+L428*N428+F428*H428</f>
        <v>0</v>
      </c>
      <c r="W428" s="428">
        <f t="shared" ref="W428:W429" si="1209">(IF(R428&gt;S428,(-P428*R428)-(-P428*S428),0))</f>
        <v>0</v>
      </c>
      <c r="X428" s="429">
        <f t="shared" ref="X428:X429" si="1210">(IF(R428&lt;S428,(-P428*R428)-(-P428*S428),0))</f>
        <v>0</v>
      </c>
      <c r="Y428" s="92"/>
      <c r="AA428" s="53"/>
      <c r="AB428" s="578"/>
      <c r="AC428" s="578"/>
      <c r="AD428" s="578"/>
      <c r="AE428" s="578"/>
      <c r="AF428" s="579"/>
      <c r="AG428" s="579"/>
      <c r="AH428" s="579"/>
      <c r="AI428" s="579"/>
      <c r="AJ428" s="579"/>
      <c r="AK428" s="579"/>
      <c r="AL428" s="1563"/>
      <c r="AM428" s="579"/>
      <c r="AN428" s="579"/>
      <c r="AO428" s="579"/>
      <c r="AP428" s="579"/>
      <c r="AQ428" s="579"/>
      <c r="AR428" s="579"/>
      <c r="AS428" s="579"/>
      <c r="AT428" s="579"/>
      <c r="AU428" s="579"/>
      <c r="AV428" s="579"/>
      <c r="AW428" s="579"/>
      <c r="AX428" s="579"/>
      <c r="AY428" s="579"/>
      <c r="AZ428" s="579"/>
      <c r="BA428" s="579"/>
      <c r="BB428" s="579"/>
      <c r="BC428" s="579"/>
      <c r="BD428" s="579"/>
      <c r="BE428" s="579"/>
      <c r="BF428" s="579"/>
      <c r="BG428" s="579"/>
      <c r="BH428" s="579"/>
      <c r="BI428" s="579"/>
      <c r="BJ428" s="579"/>
      <c r="BK428" s="579"/>
      <c r="BL428" s="579"/>
      <c r="BM428" s="579"/>
      <c r="BN428" s="579"/>
      <c r="BO428" s="579"/>
      <c r="BP428" s="579"/>
      <c r="BQ428" s="579"/>
      <c r="BR428" s="579"/>
      <c r="BS428" s="579"/>
      <c r="BT428" s="579"/>
      <c r="BU428" s="579"/>
      <c r="BV428" s="579"/>
      <c r="BW428" s="579"/>
      <c r="BX428" s="579"/>
      <c r="BY428" s="579"/>
      <c r="BZ428" s="579"/>
      <c r="CA428" s="579"/>
      <c r="CB428" s="594"/>
      <c r="CC428" s="579"/>
      <c r="CD428" s="579"/>
      <c r="CE428" s="579"/>
      <c r="CF428" s="594"/>
      <c r="CG428" s="579"/>
      <c r="CH428" s="579"/>
      <c r="CI428" s="579"/>
      <c r="CJ428" s="579"/>
      <c r="CK428" s="579"/>
      <c r="CL428" s="579"/>
      <c r="CM428" s="579"/>
      <c r="CN428" s="579"/>
      <c r="CO428" s="579"/>
      <c r="CP428" s="594"/>
      <c r="CQ428" s="579"/>
      <c r="CR428" s="579"/>
      <c r="CS428" s="594"/>
      <c r="CT428" s="594">
        <f>+Q428</f>
        <v>0</v>
      </c>
      <c r="CU428" s="579"/>
      <c r="CV428" s="594"/>
      <c r="CW428" s="579"/>
      <c r="CX428" s="579"/>
      <c r="CY428" s="579"/>
      <c r="CZ428" s="579"/>
      <c r="DA428" s="579"/>
      <c r="DB428" s="579"/>
      <c r="DC428" s="594"/>
      <c r="DD428" s="579"/>
      <c r="DE428" s="579"/>
      <c r="DF428" s="579"/>
      <c r="DG428" s="579"/>
      <c r="DH428" s="579"/>
      <c r="DI428" s="579"/>
      <c r="DJ428" s="579"/>
      <c r="DK428" s="579"/>
      <c r="DL428" s="579"/>
      <c r="DM428" s="579"/>
      <c r="DN428" s="579"/>
      <c r="DO428" s="579"/>
      <c r="DP428" s="579"/>
    </row>
    <row r="429" spans="1:120" hidden="1" outlineLevel="1">
      <c r="A429" s="89">
        <v>1110052010</v>
      </c>
      <c r="B429" s="2278"/>
      <c r="C429" s="1476" t="s">
        <v>64</v>
      </c>
      <c r="D429" s="1469"/>
      <c r="E429" s="1470"/>
      <c r="F429" s="420"/>
      <c r="G429" s="1256"/>
      <c r="H429" s="421"/>
      <c r="I429" s="422"/>
      <c r="J429" s="1425">
        <v>1</v>
      </c>
      <c r="K429" s="1426">
        <v>1</v>
      </c>
      <c r="L429" s="1043"/>
      <c r="M429" s="1594">
        <f t="shared" si="1203"/>
        <v>0</v>
      </c>
      <c r="N429" s="415"/>
      <c r="O429" s="424">
        <f t="shared" si="1204"/>
        <v>0</v>
      </c>
      <c r="P429" s="425"/>
      <c r="Q429" s="1340">
        <f t="shared" si="1205"/>
        <v>0</v>
      </c>
      <c r="R429" s="426"/>
      <c r="S429" s="426"/>
      <c r="T429" s="427">
        <f t="shared" si="1206"/>
        <v>0</v>
      </c>
      <c r="U429" s="418">
        <f t="shared" si="1207"/>
        <v>0</v>
      </c>
      <c r="V429" s="517">
        <f t="shared" si="1208"/>
        <v>0</v>
      </c>
      <c r="W429" s="428">
        <f t="shared" si="1209"/>
        <v>0</v>
      </c>
      <c r="X429" s="429">
        <f t="shared" si="1210"/>
        <v>0</v>
      </c>
      <c r="Y429" s="92"/>
      <c r="AA429" s="53"/>
      <c r="AB429" s="578"/>
      <c r="AC429" s="578"/>
      <c r="AD429" s="578"/>
      <c r="AE429" s="578"/>
      <c r="AF429" s="579"/>
      <c r="AG429" s="579"/>
      <c r="AH429" s="579"/>
      <c r="AI429" s="579"/>
      <c r="AJ429" s="579"/>
      <c r="AK429" s="579"/>
      <c r="AL429" s="1563"/>
      <c r="AM429" s="579"/>
      <c r="AN429" s="579"/>
      <c r="AO429" s="579"/>
      <c r="AP429" s="579"/>
      <c r="AQ429" s="579"/>
      <c r="AR429" s="579"/>
      <c r="AS429" s="579"/>
      <c r="AT429" s="579"/>
      <c r="AU429" s="579"/>
      <c r="AV429" s="579"/>
      <c r="AW429" s="579"/>
      <c r="AX429" s="579"/>
      <c r="AY429" s="579"/>
      <c r="AZ429" s="579"/>
      <c r="BA429" s="579"/>
      <c r="BB429" s="579"/>
      <c r="BC429" s="579"/>
      <c r="BD429" s="579"/>
      <c r="BE429" s="579"/>
      <c r="BF429" s="579"/>
      <c r="BG429" s="579"/>
      <c r="BH429" s="579"/>
      <c r="BI429" s="579"/>
      <c r="BJ429" s="579"/>
      <c r="BK429" s="579"/>
      <c r="BL429" s="579"/>
      <c r="BM429" s="579"/>
      <c r="BN429" s="579"/>
      <c r="BO429" s="579"/>
      <c r="BP429" s="579"/>
      <c r="BQ429" s="579"/>
      <c r="BR429" s="579"/>
      <c r="BS429" s="579"/>
      <c r="BT429" s="579"/>
      <c r="BU429" s="579"/>
      <c r="BV429" s="579"/>
      <c r="BW429" s="579"/>
      <c r="BX429" s="579"/>
      <c r="BY429" s="579"/>
      <c r="BZ429" s="579"/>
      <c r="CA429" s="579"/>
      <c r="CB429" s="594"/>
      <c r="CC429" s="579"/>
      <c r="CD429" s="579"/>
      <c r="CE429" s="579"/>
      <c r="CF429" s="594"/>
      <c r="CG429" s="579"/>
      <c r="CH429" s="579"/>
      <c r="CI429" s="579"/>
      <c r="CJ429" s="579"/>
      <c r="CK429" s="579"/>
      <c r="CL429" s="579"/>
      <c r="CM429" s="579"/>
      <c r="CN429" s="579"/>
      <c r="CO429" s="579"/>
      <c r="CP429" s="594"/>
      <c r="CQ429" s="579"/>
      <c r="CR429" s="579"/>
      <c r="CS429" s="594"/>
      <c r="CT429" s="579"/>
      <c r="CU429" s="579"/>
      <c r="CV429" s="594"/>
      <c r="CW429" s="579"/>
      <c r="CX429" s="594">
        <f>+Q429</f>
        <v>0</v>
      </c>
      <c r="CY429" s="579"/>
      <c r="CZ429" s="579"/>
      <c r="DA429" s="579"/>
      <c r="DB429" s="579"/>
      <c r="DC429" s="594"/>
      <c r="DD429" s="579"/>
      <c r="DE429" s="579"/>
      <c r="DF429" s="579"/>
      <c r="DG429" s="579"/>
      <c r="DH429" s="579"/>
      <c r="DI429" s="579"/>
      <c r="DJ429" s="579"/>
      <c r="DK429" s="579"/>
      <c r="DL429" s="579"/>
      <c r="DM429" s="579"/>
      <c r="DN429" s="579"/>
      <c r="DO429" s="579"/>
      <c r="DP429" s="579"/>
    </row>
    <row r="430" spans="1:120" hidden="1" outlineLevel="1">
      <c r="A430" s="89">
        <v>1110052010</v>
      </c>
      <c r="B430" s="2278"/>
      <c r="C430" s="1476" t="s">
        <v>64</v>
      </c>
      <c r="D430" s="1469"/>
      <c r="E430" s="1470"/>
      <c r="F430" s="420"/>
      <c r="G430" s="1256"/>
      <c r="H430" s="421"/>
      <c r="I430" s="422"/>
      <c r="J430" s="1425">
        <v>1</v>
      </c>
      <c r="K430" s="1426">
        <v>1</v>
      </c>
      <c r="L430" s="1043"/>
      <c r="M430" s="1594">
        <f t="shared" ref="M430" si="1211">+L430*J430</f>
        <v>0</v>
      </c>
      <c r="N430" s="415"/>
      <c r="O430" s="424">
        <f t="shared" ref="O430" si="1212">+L430*N430</f>
        <v>0</v>
      </c>
      <c r="P430" s="425"/>
      <c r="Q430" s="1340">
        <f t="shared" ref="Q430" si="1213">+P430*K430</f>
        <v>0</v>
      </c>
      <c r="R430" s="426"/>
      <c r="S430" s="426"/>
      <c r="T430" s="427">
        <f t="shared" ref="T430" si="1214">+P430*S430</f>
        <v>0</v>
      </c>
      <c r="U430" s="418">
        <f t="shared" ref="U430" si="1215">+L430+P430+F430</f>
        <v>0</v>
      </c>
      <c r="V430" s="517">
        <f t="shared" ref="V430" si="1216">+P430*R430+L430*N430+F430*H430</f>
        <v>0</v>
      </c>
      <c r="W430" s="428">
        <f t="shared" ref="W430" si="1217">(IF(R430&gt;S430,(-P430*R430)-(-P430*S430),0))</f>
        <v>0</v>
      </c>
      <c r="X430" s="429">
        <f t="shared" ref="X430" si="1218">(IF(R430&lt;S430,(-P430*R430)-(-P430*S430),0))</f>
        <v>0</v>
      </c>
      <c r="Y430" s="92"/>
      <c r="AA430" s="53"/>
      <c r="AB430" s="578"/>
      <c r="AC430" s="578"/>
      <c r="AD430" s="578"/>
      <c r="AE430" s="578"/>
      <c r="AF430" s="579"/>
      <c r="AG430" s="579"/>
      <c r="AH430" s="579"/>
      <c r="AI430" s="579"/>
      <c r="AJ430" s="579"/>
      <c r="AK430" s="579"/>
      <c r="AL430" s="1563"/>
      <c r="AM430" s="579"/>
      <c r="AN430" s="579"/>
      <c r="AO430" s="579"/>
      <c r="AP430" s="579"/>
      <c r="AQ430" s="579"/>
      <c r="AR430" s="579"/>
      <c r="AS430" s="579"/>
      <c r="AT430" s="579"/>
      <c r="AU430" s="579"/>
      <c r="AV430" s="579"/>
      <c r="AW430" s="579"/>
      <c r="AX430" s="579"/>
      <c r="AY430" s="579"/>
      <c r="AZ430" s="579"/>
      <c r="BA430" s="579"/>
      <c r="BB430" s="579"/>
      <c r="BC430" s="579"/>
      <c r="BD430" s="579"/>
      <c r="BE430" s="579"/>
      <c r="BF430" s="579"/>
      <c r="BG430" s="579"/>
      <c r="BH430" s="579"/>
      <c r="BI430" s="579"/>
      <c r="BJ430" s="579"/>
      <c r="BK430" s="579"/>
      <c r="BL430" s="579"/>
      <c r="BM430" s="579"/>
      <c r="BN430" s="579"/>
      <c r="BO430" s="579"/>
      <c r="BP430" s="579"/>
      <c r="BQ430" s="579"/>
      <c r="BR430" s="579"/>
      <c r="BS430" s="579"/>
      <c r="BT430" s="579"/>
      <c r="BU430" s="579"/>
      <c r="BV430" s="579"/>
      <c r="BW430" s="579"/>
      <c r="BX430" s="579"/>
      <c r="BY430" s="579"/>
      <c r="BZ430" s="579"/>
      <c r="CA430" s="579"/>
      <c r="CB430" s="594"/>
      <c r="CC430" s="579"/>
      <c r="CD430" s="579"/>
      <c r="CE430" s="579"/>
      <c r="CF430" s="594"/>
      <c r="CG430" s="579"/>
      <c r="CH430" s="579"/>
      <c r="CI430" s="579"/>
      <c r="CJ430" s="579"/>
      <c r="CK430" s="579"/>
      <c r="CL430" s="579"/>
      <c r="CM430" s="579"/>
      <c r="CN430" s="579"/>
      <c r="CO430" s="579"/>
      <c r="CP430" s="594"/>
      <c r="CQ430" s="579"/>
      <c r="CR430" s="579"/>
      <c r="CS430" s="594"/>
      <c r="CT430" s="579"/>
      <c r="CU430" s="579"/>
      <c r="CV430" s="594"/>
      <c r="CW430" s="579"/>
      <c r="CX430" s="579"/>
      <c r="CY430" s="579"/>
      <c r="CZ430" s="579"/>
      <c r="DA430" s="579"/>
      <c r="DB430" s="579"/>
      <c r="DC430" s="594"/>
      <c r="DD430" s="594">
        <f>+Q430</f>
        <v>0</v>
      </c>
      <c r="DE430" s="579"/>
      <c r="DF430" s="579"/>
      <c r="DG430" s="579"/>
      <c r="DH430" s="579"/>
      <c r="DI430" s="579"/>
      <c r="DJ430" s="579"/>
      <c r="DK430" s="579"/>
      <c r="DL430" s="579"/>
      <c r="DM430" s="579"/>
      <c r="DN430" s="579"/>
      <c r="DO430" s="579"/>
      <c r="DP430" s="579"/>
    </row>
    <row r="431" spans="1:120" hidden="1" outlineLevel="1">
      <c r="A431" s="89">
        <v>1110052010</v>
      </c>
      <c r="B431" s="2278"/>
      <c r="C431" s="1476" t="s">
        <v>64</v>
      </c>
      <c r="D431" s="1469"/>
      <c r="E431" s="1470"/>
      <c r="F431" s="420"/>
      <c r="G431" s="1256"/>
      <c r="H431" s="421"/>
      <c r="I431" s="422"/>
      <c r="J431" s="1425">
        <v>1</v>
      </c>
      <c r="K431" s="1426">
        <v>1</v>
      </c>
      <c r="L431" s="1043"/>
      <c r="M431" s="1594">
        <f t="shared" ref="M431" si="1219">+L431*J431</f>
        <v>0</v>
      </c>
      <c r="N431" s="415"/>
      <c r="O431" s="424">
        <f t="shared" ref="O431" si="1220">+L431*N431</f>
        <v>0</v>
      </c>
      <c r="P431" s="425"/>
      <c r="Q431" s="1340">
        <f t="shared" ref="Q431" si="1221">+P431*K431</f>
        <v>0</v>
      </c>
      <c r="R431" s="426"/>
      <c r="S431" s="426"/>
      <c r="T431" s="427">
        <f t="shared" ref="T431" si="1222">+P431*S431</f>
        <v>0</v>
      </c>
      <c r="U431" s="418">
        <f t="shared" ref="U431" si="1223">+L431+P431+F431</f>
        <v>0</v>
      </c>
      <c r="V431" s="517">
        <f t="shared" ref="V431" si="1224">+P431*R431+L431*N431+F431*H431</f>
        <v>0</v>
      </c>
      <c r="W431" s="428">
        <f t="shared" ref="W431" si="1225">(IF(R431&gt;S431,(-P431*R431)-(-P431*S431),0))</f>
        <v>0</v>
      </c>
      <c r="X431" s="429">
        <f t="shared" ref="X431" si="1226">(IF(R431&lt;S431,(-P431*R431)-(-P431*S431),0))</f>
        <v>0</v>
      </c>
      <c r="Y431" s="92"/>
      <c r="AA431" s="53"/>
      <c r="AB431" s="578"/>
      <c r="AC431" s="578"/>
      <c r="AD431" s="578"/>
      <c r="AE431" s="578"/>
      <c r="AF431" s="579"/>
      <c r="AG431" s="579"/>
      <c r="AH431" s="579"/>
      <c r="AI431" s="579"/>
      <c r="AJ431" s="579"/>
      <c r="AK431" s="579"/>
      <c r="AL431" s="1563"/>
      <c r="AM431" s="579"/>
      <c r="AN431" s="579"/>
      <c r="AO431" s="579"/>
      <c r="AP431" s="579"/>
      <c r="AQ431" s="579"/>
      <c r="AR431" s="579"/>
      <c r="AS431" s="579"/>
      <c r="AT431" s="579"/>
      <c r="AU431" s="579"/>
      <c r="AV431" s="579"/>
      <c r="AW431" s="579"/>
      <c r="AX431" s="579"/>
      <c r="AY431" s="579"/>
      <c r="AZ431" s="579"/>
      <c r="BA431" s="579"/>
      <c r="BB431" s="579"/>
      <c r="BC431" s="579"/>
      <c r="BD431" s="579"/>
      <c r="BE431" s="579"/>
      <c r="BF431" s="579"/>
      <c r="BG431" s="579"/>
      <c r="BH431" s="579"/>
      <c r="BI431" s="579"/>
      <c r="BJ431" s="579"/>
      <c r="BK431" s="579"/>
      <c r="BL431" s="579"/>
      <c r="BM431" s="579"/>
      <c r="BN431" s="579"/>
      <c r="BO431" s="579"/>
      <c r="BP431" s="579"/>
      <c r="BQ431" s="579"/>
      <c r="BR431" s="579"/>
      <c r="BS431" s="579"/>
      <c r="BT431" s="579"/>
      <c r="BU431" s="579"/>
      <c r="BV431" s="579"/>
      <c r="BW431" s="579"/>
      <c r="BX431" s="579"/>
      <c r="BY431" s="579"/>
      <c r="BZ431" s="579"/>
      <c r="CA431" s="579"/>
      <c r="CB431" s="594"/>
      <c r="CC431" s="579"/>
      <c r="CD431" s="579"/>
      <c r="CE431" s="579"/>
      <c r="CF431" s="594"/>
      <c r="CG431" s="579"/>
      <c r="CH431" s="579"/>
      <c r="CI431" s="579"/>
      <c r="CJ431" s="579"/>
      <c r="CK431" s="579"/>
      <c r="CL431" s="579"/>
      <c r="CM431" s="579"/>
      <c r="CN431" s="579"/>
      <c r="CO431" s="579"/>
      <c r="CP431" s="594"/>
      <c r="CQ431" s="579"/>
      <c r="CR431" s="579"/>
      <c r="CS431" s="594"/>
      <c r="CT431" s="579"/>
      <c r="CU431" s="579"/>
      <c r="CV431" s="594"/>
      <c r="CW431" s="579"/>
      <c r="CX431" s="579"/>
      <c r="CY431" s="579"/>
      <c r="CZ431" s="579"/>
      <c r="DA431" s="579"/>
      <c r="DB431" s="579"/>
      <c r="DC431" s="594"/>
      <c r="DD431" s="579"/>
      <c r="DE431" s="579"/>
      <c r="DF431" s="579"/>
      <c r="DG431" s="579"/>
      <c r="DH431" s="579"/>
      <c r="DI431" s="594">
        <f>+Q431</f>
        <v>0</v>
      </c>
      <c r="DJ431" s="579"/>
      <c r="DK431" s="579"/>
      <c r="DL431" s="579"/>
      <c r="DM431" s="579"/>
      <c r="DN431" s="579"/>
      <c r="DO431" s="579"/>
      <c r="DP431" s="579"/>
    </row>
    <row r="432" spans="1:120" hidden="1" outlineLevel="1">
      <c r="A432" s="89">
        <v>1110052010</v>
      </c>
      <c r="B432" s="2278"/>
      <c r="C432" s="1476" t="s">
        <v>64</v>
      </c>
      <c r="D432" s="1469"/>
      <c r="E432" s="1470"/>
      <c r="F432" s="420"/>
      <c r="G432" s="1256"/>
      <c r="H432" s="421"/>
      <c r="I432" s="422"/>
      <c r="J432" s="1425">
        <v>1</v>
      </c>
      <c r="K432" s="1426">
        <v>1</v>
      </c>
      <c r="L432" s="1043"/>
      <c r="M432" s="1594">
        <f t="shared" si="1179"/>
        <v>0</v>
      </c>
      <c r="N432" s="415"/>
      <c r="O432" s="424">
        <f t="shared" si="1171"/>
        <v>0</v>
      </c>
      <c r="P432" s="425"/>
      <c r="Q432" s="1340">
        <f t="shared" si="1186"/>
        <v>0</v>
      </c>
      <c r="R432" s="426"/>
      <c r="S432" s="426"/>
      <c r="T432" s="427">
        <f t="shared" si="1173"/>
        <v>0</v>
      </c>
      <c r="U432" s="418">
        <f t="shared" si="1174"/>
        <v>0</v>
      </c>
      <c r="V432" s="517">
        <f t="shared" si="1175"/>
        <v>0</v>
      </c>
      <c r="W432" s="428">
        <f t="shared" si="1176"/>
        <v>0</v>
      </c>
      <c r="X432" s="429">
        <f t="shared" si="1177"/>
        <v>0</v>
      </c>
      <c r="Y432" s="92"/>
      <c r="AA432" s="53"/>
      <c r="AB432" s="578"/>
      <c r="AC432" s="578"/>
      <c r="AD432" s="578"/>
      <c r="AE432" s="578"/>
      <c r="AF432" s="579"/>
      <c r="AG432" s="579"/>
      <c r="AH432" s="579"/>
      <c r="AI432" s="579"/>
      <c r="AJ432" s="579"/>
      <c r="AK432" s="579"/>
      <c r="AL432" s="1563"/>
      <c r="AM432" s="579"/>
      <c r="AN432" s="579"/>
      <c r="AO432" s="579"/>
      <c r="AP432" s="579"/>
      <c r="AQ432" s="579"/>
      <c r="AR432" s="579"/>
      <c r="AS432" s="579"/>
      <c r="AT432" s="579"/>
      <c r="AU432" s="579"/>
      <c r="AV432" s="579"/>
      <c r="AW432" s="579"/>
      <c r="AX432" s="579"/>
      <c r="AY432" s="579"/>
      <c r="AZ432" s="579"/>
      <c r="BA432" s="579"/>
      <c r="BB432" s="579"/>
      <c r="BC432" s="579"/>
      <c r="BD432" s="579"/>
      <c r="BE432" s="579"/>
      <c r="BF432" s="579"/>
      <c r="BG432" s="579"/>
      <c r="BH432" s="579"/>
      <c r="BI432" s="579"/>
      <c r="BJ432" s="579"/>
      <c r="BK432" s="579"/>
      <c r="BL432" s="579"/>
      <c r="BM432" s="579"/>
      <c r="BN432" s="579"/>
      <c r="BO432" s="579"/>
      <c r="BP432" s="579"/>
      <c r="BQ432" s="579"/>
      <c r="BR432" s="579"/>
      <c r="BS432" s="579"/>
      <c r="BT432" s="579"/>
      <c r="BU432" s="579"/>
      <c r="BV432" s="579"/>
      <c r="BW432" s="579"/>
      <c r="BX432" s="579"/>
      <c r="BY432" s="579"/>
      <c r="BZ432" s="579"/>
      <c r="CA432" s="579"/>
      <c r="CB432" s="594"/>
      <c r="CC432" s="579"/>
      <c r="CD432" s="579"/>
      <c r="CE432" s="579"/>
      <c r="CF432" s="594"/>
      <c r="CG432" s="579"/>
      <c r="CH432" s="579"/>
      <c r="CI432" s="579"/>
      <c r="CJ432" s="579"/>
      <c r="CK432" s="579"/>
      <c r="CL432" s="579"/>
      <c r="CM432" s="579"/>
      <c r="CN432" s="579"/>
      <c r="CO432" s="579"/>
      <c r="CP432" s="579"/>
      <c r="CQ432" s="579"/>
      <c r="CR432" s="579"/>
      <c r="CS432" s="579"/>
      <c r="CT432" s="579"/>
      <c r="CU432" s="579"/>
      <c r="CV432" s="594"/>
      <c r="CW432" s="579"/>
      <c r="CX432" s="579"/>
      <c r="CY432" s="579"/>
      <c r="CZ432" s="579"/>
      <c r="DA432" s="579"/>
      <c r="DB432" s="579"/>
      <c r="DC432" s="594"/>
      <c r="DD432" s="579"/>
      <c r="DE432" s="579"/>
      <c r="DF432" s="579"/>
      <c r="DG432" s="579"/>
      <c r="DH432" s="579"/>
      <c r="DI432" s="594">
        <f>+Q432</f>
        <v>0</v>
      </c>
      <c r="DJ432" s="579"/>
      <c r="DK432" s="579"/>
      <c r="DL432" s="579"/>
      <c r="DM432" s="579"/>
      <c r="DN432" s="579"/>
      <c r="DO432" s="579"/>
      <c r="DP432" s="579"/>
    </row>
    <row r="433" spans="1:120" hidden="1" outlineLevel="1">
      <c r="A433" s="89">
        <v>1110052010</v>
      </c>
      <c r="B433" s="90"/>
      <c r="C433" s="1476" t="s">
        <v>64</v>
      </c>
      <c r="D433" s="1469"/>
      <c r="E433" s="1470"/>
      <c r="F433" s="420"/>
      <c r="G433" s="1256"/>
      <c r="H433" s="421"/>
      <c r="I433" s="422"/>
      <c r="J433" s="1425">
        <v>1</v>
      </c>
      <c r="K433" s="1426">
        <v>1</v>
      </c>
      <c r="L433" s="1043"/>
      <c r="M433" s="1594">
        <f t="shared" si="1179"/>
        <v>0</v>
      </c>
      <c r="N433" s="415"/>
      <c r="O433" s="424">
        <f t="shared" si="1171"/>
        <v>0</v>
      </c>
      <c r="P433" s="425"/>
      <c r="Q433" s="1340">
        <f t="shared" si="1186"/>
        <v>0</v>
      </c>
      <c r="R433" s="426"/>
      <c r="S433" s="426"/>
      <c r="T433" s="427">
        <f t="shared" si="1173"/>
        <v>0</v>
      </c>
      <c r="U433" s="418">
        <f t="shared" si="1174"/>
        <v>0</v>
      </c>
      <c r="V433" s="517">
        <f t="shared" si="1175"/>
        <v>0</v>
      </c>
      <c r="W433" s="428">
        <f t="shared" si="1176"/>
        <v>0</v>
      </c>
      <c r="X433" s="429">
        <f t="shared" si="1177"/>
        <v>0</v>
      </c>
      <c r="Y433" s="92"/>
      <c r="AA433" s="53"/>
      <c r="AB433" s="578"/>
      <c r="AC433" s="578"/>
      <c r="AD433" s="578"/>
      <c r="AE433" s="578"/>
      <c r="AF433" s="579"/>
      <c r="AG433" s="579"/>
      <c r="AH433" s="579"/>
      <c r="AI433" s="579"/>
      <c r="AJ433" s="579"/>
      <c r="AK433" s="579"/>
      <c r="AL433" s="1563"/>
      <c r="AM433" s="579"/>
      <c r="AN433" s="579"/>
      <c r="AO433" s="579"/>
      <c r="AP433" s="579"/>
      <c r="AQ433" s="579"/>
      <c r="AR433" s="579"/>
      <c r="AS433" s="579"/>
      <c r="AT433" s="579"/>
      <c r="AU433" s="579"/>
      <c r="AV433" s="579"/>
      <c r="AW433" s="579"/>
      <c r="AX433" s="579"/>
      <c r="AY433" s="579"/>
      <c r="AZ433" s="579"/>
      <c r="BA433" s="579"/>
      <c r="BB433" s="579"/>
      <c r="BC433" s="579"/>
      <c r="BD433" s="579"/>
      <c r="BE433" s="579"/>
      <c r="BF433" s="579"/>
      <c r="BG433" s="579"/>
      <c r="BH433" s="579"/>
      <c r="BI433" s="579"/>
      <c r="BJ433" s="579"/>
      <c r="BK433" s="579"/>
      <c r="BL433" s="579"/>
      <c r="BM433" s="579"/>
      <c r="BN433" s="579"/>
      <c r="BO433" s="579"/>
      <c r="BP433" s="579"/>
      <c r="BQ433" s="579"/>
      <c r="BR433" s="579"/>
      <c r="BS433" s="579"/>
      <c r="BT433" s="579"/>
      <c r="BU433" s="579"/>
      <c r="BV433" s="579"/>
      <c r="BW433" s="579"/>
      <c r="BX433" s="579"/>
      <c r="BY433" s="579"/>
      <c r="BZ433" s="579"/>
      <c r="CA433" s="579"/>
      <c r="CB433" s="579"/>
      <c r="CC433" s="579"/>
      <c r="CD433" s="579"/>
      <c r="CE433" s="579"/>
      <c r="CF433" s="579"/>
      <c r="CG433" s="595"/>
      <c r="CH433" s="579"/>
      <c r="CI433" s="579"/>
      <c r="CJ433" s="579"/>
      <c r="CK433" s="579"/>
      <c r="CL433" s="579"/>
      <c r="CM433" s="579"/>
      <c r="CN433" s="579"/>
      <c r="CO433" s="594"/>
      <c r="CP433" s="579"/>
      <c r="CQ433" s="579"/>
      <c r="CR433" s="579"/>
      <c r="CS433" s="579"/>
      <c r="CT433" s="579"/>
      <c r="CU433" s="579"/>
      <c r="CV433" s="594"/>
      <c r="CW433" s="594"/>
      <c r="CX433" s="579"/>
      <c r="CY433" s="579"/>
      <c r="CZ433" s="579"/>
      <c r="DA433" s="579"/>
      <c r="DB433" s="579"/>
      <c r="DC433" s="579"/>
      <c r="DD433" s="579"/>
      <c r="DE433" s="579"/>
      <c r="DF433" s="579"/>
      <c r="DG433" s="579"/>
      <c r="DH433" s="579"/>
      <c r="DI433" s="579"/>
      <c r="DJ433" s="579"/>
      <c r="DK433" s="579"/>
      <c r="DL433" s="579"/>
      <c r="DM433" s="594">
        <f>+M433</f>
        <v>0</v>
      </c>
      <c r="DN433" s="579"/>
      <c r="DO433" s="579"/>
      <c r="DP433" s="579"/>
    </row>
    <row r="434" spans="1:120" hidden="1" outlineLevel="1">
      <c r="A434" s="89">
        <v>1110052010</v>
      </c>
      <c r="B434" s="2278"/>
      <c r="C434" s="1476" t="s">
        <v>64</v>
      </c>
      <c r="D434" s="1469"/>
      <c r="E434" s="1470"/>
      <c r="F434" s="420"/>
      <c r="G434" s="1256"/>
      <c r="H434" s="421"/>
      <c r="I434" s="422"/>
      <c r="J434" s="1425">
        <v>1</v>
      </c>
      <c r="K434" s="1426">
        <v>1</v>
      </c>
      <c r="L434" s="1043"/>
      <c r="M434" s="1594">
        <f t="shared" si="1179"/>
        <v>0</v>
      </c>
      <c r="N434" s="415"/>
      <c r="O434" s="424">
        <f t="shared" si="1171"/>
        <v>0</v>
      </c>
      <c r="P434" s="425"/>
      <c r="Q434" s="1340">
        <f t="shared" si="1186"/>
        <v>0</v>
      </c>
      <c r="R434" s="426"/>
      <c r="S434" s="426"/>
      <c r="T434" s="427">
        <f t="shared" si="1173"/>
        <v>0</v>
      </c>
      <c r="U434" s="418">
        <f t="shared" si="1174"/>
        <v>0</v>
      </c>
      <c r="V434" s="517">
        <f t="shared" si="1175"/>
        <v>0</v>
      </c>
      <c r="W434" s="428">
        <f t="shared" si="1176"/>
        <v>0</v>
      </c>
      <c r="X434" s="429">
        <f t="shared" si="1177"/>
        <v>0</v>
      </c>
      <c r="Y434" s="92"/>
      <c r="AA434" s="53"/>
      <c r="AB434" s="578"/>
      <c r="AC434" s="578"/>
      <c r="AD434" s="578"/>
      <c r="AE434" s="578"/>
      <c r="AF434" s="579"/>
      <c r="AG434" s="579"/>
      <c r="AH434" s="579"/>
      <c r="AI434" s="579"/>
      <c r="AJ434" s="579"/>
      <c r="AK434" s="579"/>
      <c r="AL434" s="1563"/>
      <c r="AM434" s="579"/>
      <c r="AN434" s="579"/>
      <c r="AO434" s="579"/>
      <c r="AP434" s="579"/>
      <c r="AQ434" s="579"/>
      <c r="AR434" s="579"/>
      <c r="AS434" s="579"/>
      <c r="AT434" s="579"/>
      <c r="AU434" s="579"/>
      <c r="AV434" s="579"/>
      <c r="AW434" s="579"/>
      <c r="AX434" s="579"/>
      <c r="AY434" s="579"/>
      <c r="AZ434" s="579"/>
      <c r="BA434" s="579"/>
      <c r="BB434" s="579"/>
      <c r="BC434" s="579"/>
      <c r="BD434" s="579"/>
      <c r="BE434" s="579"/>
      <c r="BF434" s="579"/>
      <c r="BG434" s="579"/>
      <c r="BH434" s="579"/>
      <c r="BI434" s="579"/>
      <c r="BJ434" s="579"/>
      <c r="BK434" s="579"/>
      <c r="BL434" s="579"/>
      <c r="BM434" s="579"/>
      <c r="BN434" s="579"/>
      <c r="BO434" s="579"/>
      <c r="BP434" s="579"/>
      <c r="BQ434" s="579"/>
      <c r="BR434" s="579"/>
      <c r="BS434" s="579"/>
      <c r="BT434" s="579"/>
      <c r="BU434" s="579"/>
      <c r="BV434" s="579"/>
      <c r="BW434" s="579"/>
      <c r="BX434" s="579"/>
      <c r="BY434" s="579"/>
      <c r="BZ434" s="579"/>
      <c r="CA434" s="579"/>
      <c r="CB434" s="579"/>
      <c r="CC434" s="579"/>
      <c r="CD434" s="579"/>
      <c r="CE434" s="579"/>
      <c r="CF434" s="579"/>
      <c r="CG434" s="595"/>
      <c r="CH434" s="579"/>
      <c r="CI434" s="579"/>
      <c r="CJ434" s="579"/>
      <c r="CK434" s="579"/>
      <c r="CL434" s="579"/>
      <c r="CM434" s="579"/>
      <c r="CN434" s="579"/>
      <c r="CO434" s="594"/>
      <c r="CP434" s="579"/>
      <c r="CQ434" s="579"/>
      <c r="CR434" s="579"/>
      <c r="CS434" s="579"/>
      <c r="CT434" s="579"/>
      <c r="CU434" s="579"/>
      <c r="CV434" s="579"/>
      <c r="CW434" s="594"/>
      <c r="CX434" s="579"/>
      <c r="CY434" s="579"/>
      <c r="CZ434" s="579"/>
      <c r="DA434" s="579"/>
      <c r="DB434" s="579"/>
      <c r="DC434" s="579"/>
      <c r="DD434" s="579"/>
      <c r="DE434" s="579"/>
      <c r="DF434" s="579"/>
      <c r="DG434" s="579"/>
      <c r="DH434" s="579"/>
      <c r="DI434" s="594">
        <f>+Q434</f>
        <v>0</v>
      </c>
      <c r="DJ434" s="579"/>
      <c r="DK434" s="579"/>
      <c r="DL434" s="579"/>
      <c r="DM434" s="579"/>
      <c r="DN434" s="579"/>
      <c r="DO434" s="579"/>
      <c r="DP434" s="579"/>
    </row>
    <row r="435" spans="1:120" hidden="1" outlineLevel="1">
      <c r="A435" s="89">
        <v>1110052010</v>
      </c>
      <c r="B435" s="2278"/>
      <c r="C435" s="1476" t="s">
        <v>64</v>
      </c>
      <c r="D435" s="1469"/>
      <c r="E435" s="1470"/>
      <c r="F435" s="420"/>
      <c r="G435" s="1256"/>
      <c r="H435" s="421"/>
      <c r="I435" s="422"/>
      <c r="J435" s="1425">
        <v>1</v>
      </c>
      <c r="K435" s="1426">
        <v>1</v>
      </c>
      <c r="L435" s="1043"/>
      <c r="M435" s="1594">
        <f t="shared" si="1179"/>
        <v>0</v>
      </c>
      <c r="N435" s="415"/>
      <c r="O435" s="424">
        <f t="shared" si="1171"/>
        <v>0</v>
      </c>
      <c r="P435" s="425"/>
      <c r="Q435" s="1340">
        <f t="shared" si="1186"/>
        <v>0</v>
      </c>
      <c r="R435" s="426"/>
      <c r="S435" s="426"/>
      <c r="T435" s="427">
        <f t="shared" si="1173"/>
        <v>0</v>
      </c>
      <c r="U435" s="418">
        <f t="shared" si="1174"/>
        <v>0</v>
      </c>
      <c r="V435" s="517">
        <f t="shared" si="1175"/>
        <v>0</v>
      </c>
      <c r="W435" s="428">
        <f t="shared" si="1176"/>
        <v>0</v>
      </c>
      <c r="X435" s="429">
        <f t="shared" si="1177"/>
        <v>0</v>
      </c>
      <c r="Y435" s="92"/>
      <c r="AA435" s="53"/>
      <c r="AB435" s="578"/>
      <c r="AC435" s="578"/>
      <c r="AD435" s="578"/>
      <c r="AE435" s="578"/>
      <c r="AF435" s="579"/>
      <c r="AG435" s="579"/>
      <c r="AH435" s="579"/>
      <c r="AI435" s="579"/>
      <c r="AJ435" s="579"/>
      <c r="AK435" s="579"/>
      <c r="AL435" s="1563"/>
      <c r="AM435" s="579"/>
      <c r="AN435" s="579"/>
      <c r="AO435" s="579"/>
      <c r="AP435" s="579"/>
      <c r="AQ435" s="579"/>
      <c r="AR435" s="579"/>
      <c r="AS435" s="579"/>
      <c r="AT435" s="579"/>
      <c r="AU435" s="579"/>
      <c r="AV435" s="579"/>
      <c r="AW435" s="579"/>
      <c r="AX435" s="579"/>
      <c r="AY435" s="579"/>
      <c r="AZ435" s="579"/>
      <c r="BA435" s="579"/>
      <c r="BB435" s="579"/>
      <c r="BC435" s="579"/>
      <c r="BD435" s="579"/>
      <c r="BE435" s="579"/>
      <c r="BF435" s="579"/>
      <c r="BG435" s="579"/>
      <c r="BH435" s="579"/>
      <c r="BI435" s="579"/>
      <c r="BJ435" s="579"/>
      <c r="BK435" s="579"/>
      <c r="BL435" s="579"/>
      <c r="BM435" s="579"/>
      <c r="BN435" s="579"/>
      <c r="BO435" s="579"/>
      <c r="BP435" s="579"/>
      <c r="BQ435" s="579"/>
      <c r="BR435" s="579"/>
      <c r="BS435" s="579"/>
      <c r="BT435" s="579"/>
      <c r="BU435" s="579"/>
      <c r="BV435" s="579"/>
      <c r="BW435" s="579"/>
      <c r="BX435" s="579"/>
      <c r="BY435" s="579"/>
      <c r="BZ435" s="579"/>
      <c r="CA435" s="579"/>
      <c r="CB435" s="579"/>
      <c r="CC435" s="579"/>
      <c r="CD435" s="579"/>
      <c r="CE435" s="579"/>
      <c r="CF435" s="579"/>
      <c r="CG435" s="595"/>
      <c r="CH435" s="579"/>
      <c r="CI435" s="579"/>
      <c r="CJ435" s="579"/>
      <c r="CK435" s="579"/>
      <c r="CL435" s="579"/>
      <c r="CM435" s="579"/>
      <c r="CN435" s="579"/>
      <c r="CO435" s="594"/>
      <c r="CP435" s="579"/>
      <c r="CQ435" s="579"/>
      <c r="CR435" s="579"/>
      <c r="CS435" s="579"/>
      <c r="CT435" s="579"/>
      <c r="CU435" s="579"/>
      <c r="CV435" s="579"/>
      <c r="CW435" s="594"/>
      <c r="CX435" s="579"/>
      <c r="CY435" s="579"/>
      <c r="CZ435" s="579"/>
      <c r="DA435" s="579"/>
      <c r="DB435" s="579"/>
      <c r="DC435" s="579"/>
      <c r="DD435" s="579"/>
      <c r="DE435" s="579"/>
      <c r="DF435" s="579"/>
      <c r="DG435" s="579"/>
      <c r="DH435" s="579"/>
      <c r="DI435" s="594">
        <f>+Q435</f>
        <v>0</v>
      </c>
      <c r="DJ435" s="579"/>
      <c r="DK435" s="579"/>
      <c r="DL435" s="579"/>
      <c r="DM435" s="579"/>
      <c r="DN435" s="579"/>
      <c r="DO435" s="579"/>
      <c r="DP435" s="579"/>
    </row>
    <row r="436" spans="1:120" hidden="1" outlineLevel="1">
      <c r="A436" s="89">
        <v>1110052010</v>
      </c>
      <c r="B436" s="2278"/>
      <c r="C436" s="1476" t="s">
        <v>64</v>
      </c>
      <c r="D436" s="1469"/>
      <c r="E436" s="1470"/>
      <c r="F436" s="420"/>
      <c r="G436" s="1256"/>
      <c r="H436" s="421"/>
      <c r="I436" s="422"/>
      <c r="J436" s="1425">
        <v>1</v>
      </c>
      <c r="K436" s="1426">
        <v>1</v>
      </c>
      <c r="L436" s="1043"/>
      <c r="M436" s="1594">
        <f t="shared" si="1179"/>
        <v>0</v>
      </c>
      <c r="N436" s="415"/>
      <c r="O436" s="424">
        <f>+L436*N436</f>
        <v>0</v>
      </c>
      <c r="P436" s="425"/>
      <c r="Q436" s="1340">
        <f t="shared" si="1186"/>
        <v>0</v>
      </c>
      <c r="R436" s="426"/>
      <c r="S436" s="426"/>
      <c r="T436" s="427">
        <f>+P436*S436</f>
        <v>0</v>
      </c>
      <c r="U436" s="418">
        <f>+L436+P436+F436</f>
        <v>0</v>
      </c>
      <c r="V436" s="517">
        <f>+P436*R436+L436*N436+F436*H436</f>
        <v>0</v>
      </c>
      <c r="W436" s="428">
        <f>(IF(R436&gt;S436,(-P436*R436)-(-P436*S436),0))</f>
        <v>0</v>
      </c>
      <c r="X436" s="429">
        <f>(IF(R436&lt;S436,(-P436*R436)-(-P436*S436),0))</f>
        <v>0</v>
      </c>
      <c r="Y436" s="92"/>
      <c r="AA436" s="53"/>
      <c r="AB436" s="578"/>
      <c r="AC436" s="578"/>
      <c r="AD436" s="578"/>
      <c r="AE436" s="578"/>
      <c r="AF436" s="579"/>
      <c r="AG436" s="579"/>
      <c r="AH436" s="579"/>
      <c r="AI436" s="579"/>
      <c r="AJ436" s="579"/>
      <c r="AK436" s="579"/>
      <c r="AL436" s="1563"/>
      <c r="AM436" s="579"/>
      <c r="AN436" s="579"/>
      <c r="AO436" s="579"/>
      <c r="AP436" s="579"/>
      <c r="AQ436" s="579"/>
      <c r="AR436" s="579"/>
      <c r="AS436" s="579"/>
      <c r="AT436" s="579"/>
      <c r="AU436" s="579"/>
      <c r="AV436" s="579"/>
      <c r="AW436" s="579"/>
      <c r="AX436" s="579"/>
      <c r="AY436" s="579"/>
      <c r="AZ436" s="579"/>
      <c r="BA436" s="579"/>
      <c r="BB436" s="579"/>
      <c r="BC436" s="579"/>
      <c r="BD436" s="579"/>
      <c r="BE436" s="579"/>
      <c r="BF436" s="579"/>
      <c r="BG436" s="579"/>
      <c r="BH436" s="579"/>
      <c r="BI436" s="579"/>
      <c r="BJ436" s="579"/>
      <c r="BK436" s="579"/>
      <c r="BL436" s="579"/>
      <c r="BM436" s="579"/>
      <c r="BN436" s="579"/>
      <c r="BO436" s="579"/>
      <c r="BP436" s="579"/>
      <c r="BQ436" s="579"/>
      <c r="BR436" s="579"/>
      <c r="BS436" s="579"/>
      <c r="BT436" s="579"/>
      <c r="BU436" s="579"/>
      <c r="BV436" s="579"/>
      <c r="BW436" s="579"/>
      <c r="BX436" s="579"/>
      <c r="BY436" s="579"/>
      <c r="BZ436" s="579"/>
      <c r="CA436" s="579"/>
      <c r="CB436" s="594"/>
      <c r="CC436" s="579"/>
      <c r="CD436" s="579"/>
      <c r="CE436" s="579"/>
      <c r="CF436" s="579"/>
      <c r="CG436" s="579"/>
      <c r="CH436" s="579"/>
      <c r="CI436" s="579"/>
      <c r="CJ436" s="579"/>
      <c r="CK436" s="579"/>
      <c r="CL436" s="579"/>
      <c r="CM436" s="579"/>
      <c r="CN436" s="579"/>
      <c r="CO436" s="579"/>
      <c r="CP436" s="579"/>
      <c r="CQ436" s="579"/>
      <c r="CR436" s="579"/>
      <c r="CS436" s="594"/>
      <c r="CT436" s="579"/>
      <c r="CU436" s="579"/>
      <c r="CV436" s="579"/>
      <c r="CW436" s="579"/>
      <c r="CX436" s="579"/>
      <c r="CY436" s="579"/>
      <c r="CZ436" s="579"/>
      <c r="DA436" s="579"/>
      <c r="DB436" s="579"/>
      <c r="DC436" s="594"/>
      <c r="DD436" s="579"/>
      <c r="DE436" s="579"/>
      <c r="DF436" s="579"/>
      <c r="DG436" s="579"/>
      <c r="DH436" s="579"/>
      <c r="DI436" s="594">
        <f>+Q436</f>
        <v>0</v>
      </c>
      <c r="DJ436" s="579"/>
      <c r="DK436" s="579"/>
      <c r="DL436" s="579"/>
      <c r="DM436" s="579"/>
      <c r="DN436" s="579"/>
      <c r="DO436" s="579"/>
      <c r="DP436" s="579"/>
    </row>
    <row r="437" spans="1:120" hidden="1" outlineLevel="1">
      <c r="A437" s="89">
        <v>1110052010</v>
      </c>
      <c r="B437" s="2278"/>
      <c r="C437" s="1476" t="s">
        <v>64</v>
      </c>
      <c r="D437" s="1469"/>
      <c r="E437" s="1470"/>
      <c r="F437" s="420"/>
      <c r="G437" s="1256"/>
      <c r="H437" s="421"/>
      <c r="I437" s="422"/>
      <c r="J437" s="1425">
        <v>1</v>
      </c>
      <c r="K437" s="1426">
        <v>1</v>
      </c>
      <c r="L437" s="1043"/>
      <c r="M437" s="1594">
        <f t="shared" si="1179"/>
        <v>0</v>
      </c>
      <c r="N437" s="415"/>
      <c r="O437" s="424">
        <f>+L437*N437</f>
        <v>0</v>
      </c>
      <c r="P437" s="425"/>
      <c r="Q437" s="1340">
        <f t="shared" si="1186"/>
        <v>0</v>
      </c>
      <c r="R437" s="426"/>
      <c r="S437" s="426"/>
      <c r="T437" s="427">
        <f>+P437*S437</f>
        <v>0</v>
      </c>
      <c r="U437" s="418">
        <f>+L437+P437+F437</f>
        <v>0</v>
      </c>
      <c r="V437" s="517">
        <f>+P437*R437+L437*N437+F437*H437</f>
        <v>0</v>
      </c>
      <c r="W437" s="428">
        <f>(IF(R437&gt;S437,(-P437*R437)-(-P437*S437),0))</f>
        <v>0</v>
      </c>
      <c r="X437" s="429">
        <f>(IF(R437&lt;S437,(-P437*R437)-(-P437*S437),0))</f>
        <v>0</v>
      </c>
      <c r="Y437" s="92"/>
      <c r="AA437" s="53"/>
      <c r="AB437" s="578"/>
      <c r="AC437" s="578"/>
      <c r="AD437" s="578"/>
      <c r="AE437" s="578"/>
      <c r="AF437" s="579"/>
      <c r="AG437" s="579"/>
      <c r="AH437" s="579"/>
      <c r="AI437" s="579"/>
      <c r="AJ437" s="579"/>
      <c r="AK437" s="579"/>
      <c r="AL437" s="1563"/>
      <c r="AM437" s="579"/>
      <c r="AN437" s="579"/>
      <c r="AO437" s="579"/>
      <c r="AP437" s="579"/>
      <c r="AQ437" s="579"/>
      <c r="AR437" s="579"/>
      <c r="AS437" s="579"/>
      <c r="AT437" s="579"/>
      <c r="AU437" s="579"/>
      <c r="AV437" s="579"/>
      <c r="AW437" s="579"/>
      <c r="AX437" s="579"/>
      <c r="AY437" s="579"/>
      <c r="AZ437" s="579"/>
      <c r="BA437" s="579"/>
      <c r="BB437" s="579"/>
      <c r="BC437" s="579"/>
      <c r="BD437" s="579"/>
      <c r="BE437" s="579"/>
      <c r="BF437" s="579"/>
      <c r="BG437" s="579"/>
      <c r="BH437" s="579"/>
      <c r="BI437" s="579"/>
      <c r="BJ437" s="579"/>
      <c r="BK437" s="579"/>
      <c r="BL437" s="579"/>
      <c r="BM437" s="579"/>
      <c r="BN437" s="579"/>
      <c r="BO437" s="579"/>
      <c r="BP437" s="579"/>
      <c r="BQ437" s="579"/>
      <c r="BR437" s="579"/>
      <c r="BS437" s="579"/>
      <c r="BT437" s="579"/>
      <c r="BU437" s="579"/>
      <c r="BV437" s="579"/>
      <c r="BW437" s="579"/>
      <c r="BX437" s="579"/>
      <c r="BY437" s="579"/>
      <c r="BZ437" s="579"/>
      <c r="CA437" s="579"/>
      <c r="CB437" s="594"/>
      <c r="CC437" s="594"/>
      <c r="CD437" s="579"/>
      <c r="CE437" s="579"/>
      <c r="CF437" s="579"/>
      <c r="CG437" s="579"/>
      <c r="CH437" s="579"/>
      <c r="CI437" s="579"/>
      <c r="CJ437" s="579"/>
      <c r="CK437" s="579"/>
      <c r="CL437" s="579"/>
      <c r="CM437" s="579"/>
      <c r="CN437" s="579"/>
      <c r="CO437" s="579"/>
      <c r="CP437" s="579"/>
      <c r="CQ437" s="579"/>
      <c r="CR437" s="579"/>
      <c r="CS437" s="594"/>
      <c r="CT437" s="579"/>
      <c r="CU437" s="579"/>
      <c r="CV437" s="579"/>
      <c r="CW437" s="579"/>
      <c r="CX437" s="579"/>
      <c r="CY437" s="579"/>
      <c r="CZ437" s="579"/>
      <c r="DA437" s="579"/>
      <c r="DB437" s="579"/>
      <c r="DC437" s="594"/>
      <c r="DD437" s="579"/>
      <c r="DE437" s="579"/>
      <c r="DF437" s="579"/>
      <c r="DG437" s="579"/>
      <c r="DH437" s="579"/>
      <c r="DI437" s="594">
        <f>+Q437</f>
        <v>0</v>
      </c>
      <c r="DJ437" s="579"/>
      <c r="DK437" s="579"/>
      <c r="DL437" s="579"/>
      <c r="DM437" s="579"/>
      <c r="DN437" s="579"/>
      <c r="DO437" s="579"/>
      <c r="DP437" s="579"/>
    </row>
    <row r="438" spans="1:120" hidden="1" outlineLevel="1">
      <c r="A438" s="89">
        <v>1110052010</v>
      </c>
      <c r="B438" s="2278"/>
      <c r="C438" s="1476" t="s">
        <v>64</v>
      </c>
      <c r="D438" s="1469"/>
      <c r="E438" s="1470"/>
      <c r="F438" s="420"/>
      <c r="G438" s="1256"/>
      <c r="H438" s="421"/>
      <c r="I438" s="422"/>
      <c r="J438" s="1425">
        <v>1</v>
      </c>
      <c r="K438" s="1426">
        <v>1</v>
      </c>
      <c r="L438" s="1043"/>
      <c r="M438" s="1594">
        <f t="shared" si="1179"/>
        <v>0</v>
      </c>
      <c r="N438" s="415"/>
      <c r="O438" s="424">
        <f t="shared" ref="O438:O452" si="1227">+L438*N438</f>
        <v>0</v>
      </c>
      <c r="P438" s="425"/>
      <c r="Q438" s="1340">
        <f t="shared" si="1186"/>
        <v>0</v>
      </c>
      <c r="R438" s="426"/>
      <c r="S438" s="426"/>
      <c r="T438" s="427">
        <f t="shared" ref="T438:T452" si="1228">+P438*S438</f>
        <v>0</v>
      </c>
      <c r="U438" s="418">
        <f t="shared" ref="U438:U452" si="1229">+L438+P438+F438</f>
        <v>0</v>
      </c>
      <c r="V438" s="517">
        <f t="shared" ref="V438:V452" si="1230">+P438*R438+L438*N438+F438*H438</f>
        <v>0</v>
      </c>
      <c r="W438" s="428">
        <f t="shared" ref="W438:W452" si="1231">(IF(R438&gt;S438,(-P438*R438)-(-P438*S438),0))</f>
        <v>0</v>
      </c>
      <c r="X438" s="429">
        <f t="shared" ref="X438:X452" si="1232">(IF(R438&lt;S438,(-P438*R438)-(-P438*S438),0))</f>
        <v>0</v>
      </c>
      <c r="Y438" s="92"/>
      <c r="AA438" s="53"/>
      <c r="AB438" s="578"/>
      <c r="AC438" s="578"/>
      <c r="AD438" s="578"/>
      <c r="AE438" s="578"/>
      <c r="AF438" s="579"/>
      <c r="AG438" s="579"/>
      <c r="AH438" s="579"/>
      <c r="AI438" s="579"/>
      <c r="AJ438" s="579"/>
      <c r="AK438" s="579"/>
      <c r="AL438" s="1563"/>
      <c r="AM438" s="579"/>
      <c r="AN438" s="579"/>
      <c r="AO438" s="579"/>
      <c r="AP438" s="579"/>
      <c r="AQ438" s="579"/>
      <c r="AR438" s="579"/>
      <c r="AS438" s="579"/>
      <c r="AT438" s="579"/>
      <c r="AU438" s="579"/>
      <c r="AV438" s="579"/>
      <c r="AW438" s="579"/>
      <c r="AX438" s="579"/>
      <c r="AY438" s="579"/>
      <c r="AZ438" s="579"/>
      <c r="BA438" s="579"/>
      <c r="BB438" s="579"/>
      <c r="BC438" s="579"/>
      <c r="BD438" s="579"/>
      <c r="BE438" s="579"/>
      <c r="BF438" s="579"/>
      <c r="BG438" s="579"/>
      <c r="BH438" s="579"/>
      <c r="BI438" s="579"/>
      <c r="BJ438" s="579"/>
      <c r="BK438" s="579"/>
      <c r="BL438" s="579"/>
      <c r="BM438" s="579"/>
      <c r="BN438" s="579"/>
      <c r="BO438" s="579"/>
      <c r="BP438" s="579"/>
      <c r="BQ438" s="579"/>
      <c r="BR438" s="579"/>
      <c r="BS438" s="579"/>
      <c r="BT438" s="579"/>
      <c r="BU438" s="579"/>
      <c r="BV438" s="579"/>
      <c r="BW438" s="579"/>
      <c r="BX438" s="579"/>
      <c r="BY438" s="579"/>
      <c r="BZ438" s="579"/>
      <c r="CA438" s="579"/>
      <c r="CB438" s="594"/>
      <c r="CC438" s="579"/>
      <c r="CD438" s="579"/>
      <c r="CE438" s="579"/>
      <c r="CF438" s="579"/>
      <c r="CG438" s="579"/>
      <c r="CH438" s="579"/>
      <c r="CI438" s="579"/>
      <c r="CJ438" s="579"/>
      <c r="CK438" s="579"/>
      <c r="CL438" s="579"/>
      <c r="CM438" s="579"/>
      <c r="CN438" s="579"/>
      <c r="CO438" s="579"/>
      <c r="CP438" s="579"/>
      <c r="CQ438" s="579"/>
      <c r="CR438" s="579"/>
      <c r="CS438" s="579"/>
      <c r="CT438" s="579"/>
      <c r="CU438" s="579"/>
      <c r="CV438" s="594"/>
      <c r="CW438" s="579"/>
      <c r="CX438" s="579"/>
      <c r="CY438" s="579"/>
      <c r="CZ438" s="579"/>
      <c r="DA438" s="579"/>
      <c r="DB438" s="579"/>
      <c r="DC438" s="579"/>
      <c r="DD438" s="579"/>
      <c r="DE438" s="595"/>
      <c r="DF438" s="595"/>
      <c r="DG438" s="579"/>
      <c r="DH438" s="579"/>
      <c r="DI438" s="594">
        <f>+Q438</f>
        <v>0</v>
      </c>
      <c r="DJ438" s="579"/>
      <c r="DK438" s="579"/>
      <c r="DL438" s="579"/>
      <c r="DM438" s="579"/>
      <c r="DN438" s="579"/>
      <c r="DO438" s="579"/>
      <c r="DP438" s="579"/>
    </row>
    <row r="439" spans="1:120" hidden="1" outlineLevel="1">
      <c r="A439" s="89">
        <v>1110052010</v>
      </c>
      <c r="B439" s="2278"/>
      <c r="C439" s="1476" t="s">
        <v>64</v>
      </c>
      <c r="D439" s="1469"/>
      <c r="E439" s="1470"/>
      <c r="F439" s="420"/>
      <c r="G439" s="1256"/>
      <c r="H439" s="421"/>
      <c r="I439" s="422"/>
      <c r="J439" s="1425">
        <v>1</v>
      </c>
      <c r="K439" s="1426">
        <v>1</v>
      </c>
      <c r="L439" s="1043"/>
      <c r="M439" s="1594">
        <f t="shared" ref="M439" si="1233">+L439*J439</f>
        <v>0</v>
      </c>
      <c r="N439" s="415"/>
      <c r="O439" s="424">
        <f t="shared" ref="O439" si="1234">+L439*N439</f>
        <v>0</v>
      </c>
      <c r="P439" s="425"/>
      <c r="Q439" s="1340">
        <f t="shared" ref="Q439" si="1235">+P439*K439</f>
        <v>0</v>
      </c>
      <c r="R439" s="426"/>
      <c r="S439" s="426"/>
      <c r="T439" s="427">
        <f t="shared" ref="T439" si="1236">+P439*S439</f>
        <v>0</v>
      </c>
      <c r="U439" s="418">
        <f t="shared" ref="U439" si="1237">+L439+P439+F439</f>
        <v>0</v>
      </c>
      <c r="V439" s="517">
        <f t="shared" ref="V439" si="1238">+P439*R439+L439*N439+F439*H439</f>
        <v>0</v>
      </c>
      <c r="W439" s="428">
        <f t="shared" ref="W439" si="1239">(IF(R439&gt;S439,(-P439*R439)-(-P439*S439),0))</f>
        <v>0</v>
      </c>
      <c r="X439" s="429">
        <f t="shared" ref="X439" si="1240">(IF(R439&lt;S439,(-P439*R439)-(-P439*S439),0))</f>
        <v>0</v>
      </c>
      <c r="Y439" s="92"/>
      <c r="AA439" s="53"/>
      <c r="AB439" s="578"/>
      <c r="AC439" s="578"/>
      <c r="AD439" s="578"/>
      <c r="AE439" s="578"/>
      <c r="AF439" s="579"/>
      <c r="AG439" s="579"/>
      <c r="AH439" s="579"/>
      <c r="AI439" s="579"/>
      <c r="AJ439" s="579"/>
      <c r="AK439" s="579"/>
      <c r="AL439" s="1563"/>
      <c r="AM439" s="579"/>
      <c r="AN439" s="579"/>
      <c r="AO439" s="579"/>
      <c r="AP439" s="579"/>
      <c r="AQ439" s="579"/>
      <c r="AR439" s="579"/>
      <c r="AS439" s="579"/>
      <c r="AT439" s="579"/>
      <c r="AU439" s="579"/>
      <c r="AV439" s="579"/>
      <c r="AW439" s="579"/>
      <c r="AX439" s="579"/>
      <c r="AY439" s="579"/>
      <c r="AZ439" s="579"/>
      <c r="BA439" s="579"/>
      <c r="BB439" s="579"/>
      <c r="BC439" s="579"/>
      <c r="BD439" s="579"/>
      <c r="BE439" s="579"/>
      <c r="BF439" s="579"/>
      <c r="BG439" s="579"/>
      <c r="BH439" s="579"/>
      <c r="BI439" s="579"/>
      <c r="BJ439" s="579"/>
      <c r="BK439" s="579"/>
      <c r="BL439" s="579"/>
      <c r="BM439" s="579"/>
      <c r="BN439" s="579"/>
      <c r="BO439" s="579"/>
      <c r="BP439" s="579"/>
      <c r="BQ439" s="579"/>
      <c r="BR439" s="579"/>
      <c r="BS439" s="579"/>
      <c r="BT439" s="579"/>
      <c r="BU439" s="579"/>
      <c r="BV439" s="579"/>
      <c r="BW439" s="579"/>
      <c r="BX439" s="579"/>
      <c r="BY439" s="579"/>
      <c r="BZ439" s="579"/>
      <c r="CA439" s="579"/>
      <c r="CB439" s="594"/>
      <c r="CC439" s="579"/>
      <c r="CD439" s="579"/>
      <c r="CE439" s="579"/>
      <c r="CF439" s="579"/>
      <c r="CG439" s="579"/>
      <c r="CH439" s="579"/>
      <c r="CI439" s="579"/>
      <c r="CJ439" s="579"/>
      <c r="CK439" s="579"/>
      <c r="CL439" s="579"/>
      <c r="CM439" s="579"/>
      <c r="CN439" s="579"/>
      <c r="CO439" s="579"/>
      <c r="CP439" s="579"/>
      <c r="CQ439" s="579"/>
      <c r="CR439" s="579"/>
      <c r="CS439" s="579"/>
      <c r="CT439" s="579"/>
      <c r="CU439" s="579"/>
      <c r="CV439" s="594"/>
      <c r="CW439" s="579"/>
      <c r="CX439" s="579"/>
      <c r="CY439" s="579"/>
      <c r="CZ439" s="579"/>
      <c r="DA439" s="579"/>
      <c r="DB439" s="579"/>
      <c r="DC439" s="579"/>
      <c r="DD439" s="579"/>
      <c r="DE439" s="595"/>
      <c r="DF439" s="595"/>
      <c r="DG439" s="579"/>
      <c r="DH439" s="579"/>
      <c r="DI439" s="594"/>
      <c r="DJ439" s="594">
        <f t="shared" ref="DJ439:DJ445" si="1241">+Q439</f>
        <v>0</v>
      </c>
      <c r="DK439" s="579"/>
      <c r="DL439" s="579"/>
      <c r="DM439" s="579"/>
      <c r="DN439" s="579"/>
      <c r="DO439" s="579"/>
      <c r="DP439" s="579"/>
    </row>
    <row r="440" spans="1:120" hidden="1" outlineLevel="1">
      <c r="A440" s="89">
        <v>1110052010</v>
      </c>
      <c r="B440" s="2278"/>
      <c r="C440" s="1476" t="s">
        <v>64</v>
      </c>
      <c r="D440" s="1469"/>
      <c r="E440" s="1470"/>
      <c r="F440" s="420"/>
      <c r="G440" s="1256"/>
      <c r="H440" s="421"/>
      <c r="I440" s="422"/>
      <c r="J440" s="1425">
        <v>1</v>
      </c>
      <c r="K440" s="1426">
        <v>1</v>
      </c>
      <c r="L440" s="1043"/>
      <c r="M440" s="1594">
        <f t="shared" si="1179"/>
        <v>0</v>
      </c>
      <c r="N440" s="415"/>
      <c r="O440" s="424">
        <f t="shared" si="1227"/>
        <v>0</v>
      </c>
      <c r="P440" s="425"/>
      <c r="Q440" s="1340">
        <f t="shared" si="1186"/>
        <v>0</v>
      </c>
      <c r="R440" s="426"/>
      <c r="S440" s="426"/>
      <c r="T440" s="427">
        <f t="shared" si="1228"/>
        <v>0</v>
      </c>
      <c r="U440" s="418">
        <f t="shared" si="1229"/>
        <v>0</v>
      </c>
      <c r="V440" s="517">
        <f t="shared" si="1230"/>
        <v>0</v>
      </c>
      <c r="W440" s="428">
        <f t="shared" si="1231"/>
        <v>0</v>
      </c>
      <c r="X440" s="429">
        <f t="shared" si="1232"/>
        <v>0</v>
      </c>
      <c r="Y440" s="92"/>
      <c r="AA440" s="53"/>
      <c r="AB440" s="578"/>
      <c r="AC440" s="578"/>
      <c r="AD440" s="578"/>
      <c r="AE440" s="578"/>
      <c r="AF440" s="579"/>
      <c r="AG440" s="579"/>
      <c r="AH440" s="579"/>
      <c r="AI440" s="579"/>
      <c r="AJ440" s="579"/>
      <c r="AK440" s="579"/>
      <c r="AL440" s="1563"/>
      <c r="AM440" s="579"/>
      <c r="AN440" s="579"/>
      <c r="AO440" s="579"/>
      <c r="AP440" s="579"/>
      <c r="AQ440" s="579"/>
      <c r="AR440" s="579"/>
      <c r="AS440" s="579"/>
      <c r="AT440" s="579"/>
      <c r="AU440" s="579"/>
      <c r="AV440" s="579"/>
      <c r="AW440" s="579"/>
      <c r="AX440" s="579"/>
      <c r="AY440" s="579"/>
      <c r="AZ440" s="579"/>
      <c r="BA440" s="579"/>
      <c r="BB440" s="579"/>
      <c r="BC440" s="579"/>
      <c r="BD440" s="579"/>
      <c r="BE440" s="579"/>
      <c r="BF440" s="579"/>
      <c r="BG440" s="579"/>
      <c r="BH440" s="579"/>
      <c r="BI440" s="579"/>
      <c r="BJ440" s="579"/>
      <c r="BK440" s="579"/>
      <c r="BL440" s="579"/>
      <c r="BM440" s="579"/>
      <c r="BN440" s="579"/>
      <c r="BO440" s="579"/>
      <c r="BP440" s="579"/>
      <c r="BQ440" s="579"/>
      <c r="BR440" s="579"/>
      <c r="BS440" s="579"/>
      <c r="BT440" s="579"/>
      <c r="BU440" s="579"/>
      <c r="BV440" s="579"/>
      <c r="BW440" s="579"/>
      <c r="BX440" s="579"/>
      <c r="BY440" s="579"/>
      <c r="BZ440" s="579"/>
      <c r="CA440" s="579"/>
      <c r="CB440" s="579"/>
      <c r="CC440" s="579"/>
      <c r="CD440" s="579"/>
      <c r="CE440" s="595"/>
      <c r="CF440" s="595"/>
      <c r="CG440" s="579"/>
      <c r="CH440" s="579"/>
      <c r="CI440" s="579"/>
      <c r="CJ440" s="579"/>
      <c r="CK440" s="579"/>
      <c r="CL440" s="579"/>
      <c r="CM440" s="579"/>
      <c r="CN440" s="579"/>
      <c r="CO440" s="579"/>
      <c r="CP440" s="579"/>
      <c r="CQ440" s="579"/>
      <c r="CR440" s="579"/>
      <c r="CS440" s="594"/>
      <c r="CT440" s="579"/>
      <c r="CU440" s="579"/>
      <c r="CV440" s="579"/>
      <c r="CW440" s="594"/>
      <c r="CX440" s="579"/>
      <c r="CY440" s="579"/>
      <c r="CZ440" s="579"/>
      <c r="DA440" s="579"/>
      <c r="DB440" s="579"/>
      <c r="DC440" s="579"/>
      <c r="DD440" s="579"/>
      <c r="DE440" s="579"/>
      <c r="DF440" s="579"/>
      <c r="DG440" s="579"/>
      <c r="DH440" s="579"/>
      <c r="DI440" s="579"/>
      <c r="DJ440" s="594">
        <f t="shared" si="1241"/>
        <v>0</v>
      </c>
      <c r="DK440" s="579"/>
      <c r="DL440" s="579"/>
      <c r="DM440" s="579"/>
      <c r="DN440" s="579"/>
      <c r="DO440" s="579"/>
      <c r="DP440" s="579"/>
    </row>
    <row r="441" spans="1:120" hidden="1" outlineLevel="1">
      <c r="A441" s="89">
        <v>1110052010</v>
      </c>
      <c r="B441" s="2278"/>
      <c r="C441" s="1476" t="s">
        <v>64</v>
      </c>
      <c r="D441" s="1469"/>
      <c r="E441" s="1470"/>
      <c r="F441" s="420"/>
      <c r="G441" s="1256"/>
      <c r="H441" s="421"/>
      <c r="I441" s="422"/>
      <c r="J441" s="1425">
        <v>1</v>
      </c>
      <c r="K441" s="1426">
        <v>1</v>
      </c>
      <c r="L441" s="1043"/>
      <c r="M441" s="1594">
        <f t="shared" si="1179"/>
        <v>0</v>
      </c>
      <c r="N441" s="415"/>
      <c r="O441" s="424">
        <f t="shared" si="1227"/>
        <v>0</v>
      </c>
      <c r="P441" s="425"/>
      <c r="Q441" s="1340">
        <f t="shared" si="1186"/>
        <v>0</v>
      </c>
      <c r="R441" s="426"/>
      <c r="S441" s="426"/>
      <c r="T441" s="427">
        <f t="shared" si="1228"/>
        <v>0</v>
      </c>
      <c r="U441" s="418">
        <f t="shared" si="1229"/>
        <v>0</v>
      </c>
      <c r="V441" s="517">
        <f t="shared" si="1230"/>
        <v>0</v>
      </c>
      <c r="W441" s="428">
        <f t="shared" si="1231"/>
        <v>0</v>
      </c>
      <c r="X441" s="429">
        <f t="shared" si="1232"/>
        <v>0</v>
      </c>
      <c r="Y441" s="92"/>
      <c r="AA441" s="53"/>
      <c r="AB441" s="578"/>
      <c r="AC441" s="578"/>
      <c r="AD441" s="578"/>
      <c r="AE441" s="578"/>
      <c r="AF441" s="579"/>
      <c r="AG441" s="579"/>
      <c r="AH441" s="579"/>
      <c r="AI441" s="579"/>
      <c r="AJ441" s="579"/>
      <c r="AK441" s="579"/>
      <c r="AL441" s="1563"/>
      <c r="AM441" s="579"/>
      <c r="AN441" s="579"/>
      <c r="AO441" s="579"/>
      <c r="AP441" s="579"/>
      <c r="AQ441" s="579"/>
      <c r="AR441" s="579"/>
      <c r="AS441" s="579"/>
      <c r="AT441" s="579"/>
      <c r="AU441" s="579"/>
      <c r="AV441" s="579"/>
      <c r="AW441" s="579"/>
      <c r="AX441" s="579"/>
      <c r="AY441" s="579"/>
      <c r="AZ441" s="579"/>
      <c r="BA441" s="579"/>
      <c r="BB441" s="579"/>
      <c r="BC441" s="579"/>
      <c r="BD441" s="579"/>
      <c r="BE441" s="579"/>
      <c r="BF441" s="579"/>
      <c r="BG441" s="579"/>
      <c r="BH441" s="579"/>
      <c r="BI441" s="579"/>
      <c r="BJ441" s="579"/>
      <c r="BK441" s="579"/>
      <c r="BL441" s="579"/>
      <c r="BM441" s="579"/>
      <c r="BN441" s="579"/>
      <c r="BO441" s="579"/>
      <c r="BP441" s="579"/>
      <c r="BQ441" s="579"/>
      <c r="BR441" s="579"/>
      <c r="BS441" s="579"/>
      <c r="BT441" s="579"/>
      <c r="BU441" s="579"/>
      <c r="BV441" s="579"/>
      <c r="BW441" s="579"/>
      <c r="BX441" s="579"/>
      <c r="BY441" s="579"/>
      <c r="BZ441" s="579"/>
      <c r="CA441" s="579"/>
      <c r="CB441" s="594"/>
      <c r="CC441" s="579"/>
      <c r="CD441" s="594"/>
      <c r="CE441" s="579"/>
      <c r="CF441" s="594"/>
      <c r="CG441" s="579"/>
      <c r="CH441" s="579"/>
      <c r="CI441" s="579"/>
      <c r="CJ441" s="579"/>
      <c r="CK441" s="579"/>
      <c r="CL441" s="579"/>
      <c r="CM441" s="579"/>
      <c r="CN441" s="579"/>
      <c r="CO441" s="579"/>
      <c r="CP441" s="579"/>
      <c r="CQ441" s="579"/>
      <c r="CR441" s="579"/>
      <c r="CS441" s="579"/>
      <c r="CT441" s="579"/>
      <c r="CU441" s="579"/>
      <c r="CV441" s="594"/>
      <c r="CW441" s="579"/>
      <c r="CX441" s="579"/>
      <c r="CY441" s="579"/>
      <c r="CZ441" s="579"/>
      <c r="DA441" s="579"/>
      <c r="DB441" s="579"/>
      <c r="DC441" s="594"/>
      <c r="DD441" s="579"/>
      <c r="DE441" s="579"/>
      <c r="DF441" s="579"/>
      <c r="DG441" s="579"/>
      <c r="DH441" s="579"/>
      <c r="DI441" s="579"/>
      <c r="DJ441" s="594">
        <f t="shared" si="1241"/>
        <v>0</v>
      </c>
      <c r="DK441" s="579"/>
      <c r="DL441" s="579"/>
      <c r="DM441" s="579"/>
      <c r="DN441" s="579"/>
      <c r="DO441" s="579"/>
      <c r="DP441" s="579"/>
    </row>
    <row r="442" spans="1:120" hidden="1" outlineLevel="1">
      <c r="A442" s="89">
        <v>1110052010</v>
      </c>
      <c r="B442" s="2278"/>
      <c r="C442" s="1476" t="s">
        <v>64</v>
      </c>
      <c r="D442" s="1469"/>
      <c r="E442" s="1470"/>
      <c r="F442" s="420"/>
      <c r="G442" s="1256"/>
      <c r="H442" s="421"/>
      <c r="I442" s="422"/>
      <c r="J442" s="1425">
        <v>1</v>
      </c>
      <c r="K442" s="1426">
        <v>1</v>
      </c>
      <c r="L442" s="1043"/>
      <c r="M442" s="1594">
        <f t="shared" si="1179"/>
        <v>0</v>
      </c>
      <c r="N442" s="415"/>
      <c r="O442" s="424">
        <f t="shared" si="1227"/>
        <v>0</v>
      </c>
      <c r="P442" s="425"/>
      <c r="Q442" s="1340">
        <f t="shared" si="1186"/>
        <v>0</v>
      </c>
      <c r="R442" s="426"/>
      <c r="S442" s="426"/>
      <c r="T442" s="427">
        <f t="shared" si="1228"/>
        <v>0</v>
      </c>
      <c r="U442" s="418">
        <f t="shared" si="1229"/>
        <v>0</v>
      </c>
      <c r="V442" s="517">
        <f t="shared" si="1230"/>
        <v>0</v>
      </c>
      <c r="W442" s="428">
        <f t="shared" si="1231"/>
        <v>0</v>
      </c>
      <c r="X442" s="429">
        <f t="shared" si="1232"/>
        <v>0</v>
      </c>
      <c r="Y442" s="92"/>
      <c r="AA442" s="53"/>
      <c r="AB442" s="578"/>
      <c r="AC442" s="578"/>
      <c r="AD442" s="578"/>
      <c r="AE442" s="578"/>
      <c r="AF442" s="579"/>
      <c r="AG442" s="579"/>
      <c r="AH442" s="579"/>
      <c r="AI442" s="579"/>
      <c r="AJ442" s="579"/>
      <c r="AK442" s="579"/>
      <c r="AL442" s="1563"/>
      <c r="AM442" s="579"/>
      <c r="AN442" s="579"/>
      <c r="AO442" s="579"/>
      <c r="AP442" s="579"/>
      <c r="AQ442" s="579"/>
      <c r="AR442" s="579"/>
      <c r="AS442" s="579"/>
      <c r="AT442" s="579"/>
      <c r="AU442" s="579"/>
      <c r="AV442" s="579"/>
      <c r="AW442" s="579"/>
      <c r="AX442" s="579"/>
      <c r="AY442" s="579"/>
      <c r="AZ442" s="579"/>
      <c r="BA442" s="579"/>
      <c r="BB442" s="579"/>
      <c r="BC442" s="579"/>
      <c r="BD442" s="579"/>
      <c r="BE442" s="579"/>
      <c r="BF442" s="579"/>
      <c r="BG442" s="579"/>
      <c r="BH442" s="579"/>
      <c r="BI442" s="579"/>
      <c r="BJ442" s="579"/>
      <c r="BK442" s="579"/>
      <c r="BL442" s="579"/>
      <c r="BM442" s="579"/>
      <c r="BN442" s="579"/>
      <c r="BO442" s="579"/>
      <c r="BP442" s="579"/>
      <c r="BQ442" s="579"/>
      <c r="BR442" s="579"/>
      <c r="BS442" s="579"/>
      <c r="BT442" s="579"/>
      <c r="BU442" s="579"/>
      <c r="BV442" s="579"/>
      <c r="BW442" s="579"/>
      <c r="BX442" s="579"/>
      <c r="BY442" s="579"/>
      <c r="BZ442" s="579"/>
      <c r="CA442" s="579"/>
      <c r="CB442" s="594"/>
      <c r="CC442" s="579"/>
      <c r="CD442" s="579"/>
      <c r="CE442" s="579"/>
      <c r="CF442" s="594"/>
      <c r="CG442" s="579"/>
      <c r="CH442" s="594"/>
      <c r="CI442" s="579"/>
      <c r="CJ442" s="579"/>
      <c r="CK442" s="579"/>
      <c r="CL442" s="579"/>
      <c r="CM442" s="579"/>
      <c r="CN442" s="579"/>
      <c r="CO442" s="579"/>
      <c r="CP442" s="579"/>
      <c r="CQ442" s="579"/>
      <c r="CR442" s="579"/>
      <c r="CS442" s="579"/>
      <c r="CT442" s="579"/>
      <c r="CU442" s="579"/>
      <c r="CV442" s="594"/>
      <c r="CW442" s="579"/>
      <c r="CX442" s="579"/>
      <c r="CY442" s="579"/>
      <c r="CZ442" s="579"/>
      <c r="DA442" s="579"/>
      <c r="DB442" s="579"/>
      <c r="DC442" s="594"/>
      <c r="DD442" s="579"/>
      <c r="DE442" s="579"/>
      <c r="DF442" s="579"/>
      <c r="DG442" s="579"/>
      <c r="DH442" s="579"/>
      <c r="DI442" s="579"/>
      <c r="DJ442" s="594">
        <f t="shared" si="1241"/>
        <v>0</v>
      </c>
      <c r="DK442" s="579"/>
      <c r="DL442" s="579"/>
      <c r="DM442" s="579"/>
      <c r="DN442" s="579"/>
      <c r="DO442" s="579"/>
      <c r="DP442" s="579"/>
    </row>
    <row r="443" spans="1:120" hidden="1" outlineLevel="1">
      <c r="A443" s="89">
        <v>1110052010</v>
      </c>
      <c r="B443" s="2278"/>
      <c r="C443" s="1476" t="s">
        <v>64</v>
      </c>
      <c r="D443" s="1469"/>
      <c r="E443" s="1470"/>
      <c r="F443" s="420"/>
      <c r="G443" s="1256"/>
      <c r="H443" s="421"/>
      <c r="I443" s="422"/>
      <c r="J443" s="1425">
        <v>1</v>
      </c>
      <c r="K443" s="1426">
        <v>1</v>
      </c>
      <c r="L443" s="1043"/>
      <c r="M443" s="1594">
        <f t="shared" si="1179"/>
        <v>0</v>
      </c>
      <c r="N443" s="415"/>
      <c r="O443" s="424">
        <f t="shared" si="1227"/>
        <v>0</v>
      </c>
      <c r="P443" s="425"/>
      <c r="Q443" s="1340">
        <f t="shared" si="1186"/>
        <v>0</v>
      </c>
      <c r="R443" s="426"/>
      <c r="S443" s="426"/>
      <c r="T443" s="427">
        <f t="shared" si="1228"/>
        <v>0</v>
      </c>
      <c r="U443" s="418">
        <f t="shared" si="1229"/>
        <v>0</v>
      </c>
      <c r="V443" s="517">
        <f t="shared" si="1230"/>
        <v>0</v>
      </c>
      <c r="W443" s="428">
        <f t="shared" si="1231"/>
        <v>0</v>
      </c>
      <c r="X443" s="429">
        <f t="shared" si="1232"/>
        <v>0</v>
      </c>
      <c r="Y443" s="92"/>
      <c r="AA443" s="53"/>
      <c r="AB443" s="578"/>
      <c r="AC443" s="578"/>
      <c r="AD443" s="578"/>
      <c r="AE443" s="578"/>
      <c r="AF443" s="579"/>
      <c r="AG443" s="579"/>
      <c r="AH443" s="579"/>
      <c r="AI443" s="579"/>
      <c r="AJ443" s="579"/>
      <c r="AK443" s="579"/>
      <c r="AL443" s="1563"/>
      <c r="AM443" s="579"/>
      <c r="AN443" s="579"/>
      <c r="AO443" s="579"/>
      <c r="AP443" s="579"/>
      <c r="AQ443" s="579"/>
      <c r="AR443" s="579"/>
      <c r="AS443" s="579"/>
      <c r="AT443" s="579"/>
      <c r="AU443" s="579"/>
      <c r="AV443" s="579"/>
      <c r="AW443" s="579"/>
      <c r="AX443" s="579"/>
      <c r="AY443" s="579"/>
      <c r="AZ443" s="579"/>
      <c r="BA443" s="579"/>
      <c r="BB443" s="579"/>
      <c r="BC443" s="579"/>
      <c r="BD443" s="579"/>
      <c r="BE443" s="579"/>
      <c r="BF443" s="579"/>
      <c r="BG443" s="579"/>
      <c r="BH443" s="579"/>
      <c r="BI443" s="579"/>
      <c r="BJ443" s="579"/>
      <c r="BK443" s="579"/>
      <c r="BL443" s="579"/>
      <c r="BM443" s="579"/>
      <c r="BN443" s="579"/>
      <c r="BO443" s="579"/>
      <c r="BP443" s="579"/>
      <c r="BQ443" s="579"/>
      <c r="BR443" s="579"/>
      <c r="BS443" s="579"/>
      <c r="BT443" s="579"/>
      <c r="BU443" s="579"/>
      <c r="BV443" s="579"/>
      <c r="BW443" s="579"/>
      <c r="BX443" s="579"/>
      <c r="BY443" s="579"/>
      <c r="BZ443" s="579"/>
      <c r="CA443" s="579"/>
      <c r="CB443" s="594"/>
      <c r="CC443" s="579"/>
      <c r="CD443" s="579"/>
      <c r="CE443" s="579"/>
      <c r="CF443" s="594"/>
      <c r="CG443" s="579"/>
      <c r="CH443" s="579"/>
      <c r="CI443" s="579"/>
      <c r="CJ443" s="579"/>
      <c r="CK443" s="594"/>
      <c r="CL443" s="579"/>
      <c r="CM443" s="579"/>
      <c r="CN443" s="579"/>
      <c r="CO443" s="579"/>
      <c r="CP443" s="579"/>
      <c r="CQ443" s="579"/>
      <c r="CR443" s="579"/>
      <c r="CS443" s="579"/>
      <c r="CT443" s="579"/>
      <c r="CU443" s="579"/>
      <c r="CV443" s="594"/>
      <c r="CW443" s="579"/>
      <c r="CX443" s="579"/>
      <c r="CY443" s="579"/>
      <c r="CZ443" s="579"/>
      <c r="DA443" s="579"/>
      <c r="DB443" s="579"/>
      <c r="DC443" s="594"/>
      <c r="DD443" s="579"/>
      <c r="DE443" s="579"/>
      <c r="DF443" s="579"/>
      <c r="DG443" s="579"/>
      <c r="DH443" s="579"/>
      <c r="DI443" s="579"/>
      <c r="DJ443" s="594">
        <f t="shared" si="1241"/>
        <v>0</v>
      </c>
      <c r="DK443" s="579"/>
      <c r="DL443" s="579"/>
      <c r="DM443" s="579"/>
      <c r="DN443" s="579"/>
      <c r="DO443" s="579"/>
      <c r="DP443" s="579"/>
    </row>
    <row r="444" spans="1:120" hidden="1" outlineLevel="1">
      <c r="A444" s="89">
        <v>1110052010</v>
      </c>
      <c r="B444" s="2278"/>
      <c r="C444" s="1476" t="s">
        <v>64</v>
      </c>
      <c r="D444" s="1469"/>
      <c r="E444" s="1470"/>
      <c r="F444" s="420"/>
      <c r="G444" s="1256"/>
      <c r="H444" s="421"/>
      <c r="I444" s="422"/>
      <c r="J444" s="1425">
        <v>1</v>
      </c>
      <c r="K444" s="1426">
        <v>1</v>
      </c>
      <c r="L444" s="1043"/>
      <c r="M444" s="1594">
        <f t="shared" si="1179"/>
        <v>0</v>
      </c>
      <c r="N444" s="415"/>
      <c r="O444" s="424">
        <f t="shared" si="1227"/>
        <v>0</v>
      </c>
      <c r="P444" s="425"/>
      <c r="Q444" s="1340">
        <f t="shared" si="1186"/>
        <v>0</v>
      </c>
      <c r="R444" s="426"/>
      <c r="S444" s="426"/>
      <c r="T444" s="427">
        <f t="shared" si="1228"/>
        <v>0</v>
      </c>
      <c r="U444" s="418">
        <f t="shared" si="1229"/>
        <v>0</v>
      </c>
      <c r="V444" s="517">
        <f t="shared" si="1230"/>
        <v>0</v>
      </c>
      <c r="W444" s="428">
        <f t="shared" si="1231"/>
        <v>0</v>
      </c>
      <c r="X444" s="429">
        <f t="shared" si="1232"/>
        <v>0</v>
      </c>
      <c r="Y444" s="92"/>
      <c r="AA444" s="53"/>
      <c r="AB444" s="578"/>
      <c r="AC444" s="578"/>
      <c r="AD444" s="578"/>
      <c r="AE444" s="578"/>
      <c r="AF444" s="579"/>
      <c r="AG444" s="579"/>
      <c r="AH444" s="579"/>
      <c r="AI444" s="579"/>
      <c r="AJ444" s="579"/>
      <c r="AK444" s="579"/>
      <c r="AL444" s="1563"/>
      <c r="AM444" s="579"/>
      <c r="AN444" s="579"/>
      <c r="AO444" s="579"/>
      <c r="AP444" s="579"/>
      <c r="AQ444" s="579"/>
      <c r="AR444" s="579"/>
      <c r="AS444" s="579"/>
      <c r="AT444" s="579"/>
      <c r="AU444" s="579"/>
      <c r="AV444" s="579"/>
      <c r="AW444" s="579"/>
      <c r="AX444" s="579"/>
      <c r="AY444" s="579"/>
      <c r="AZ444" s="579"/>
      <c r="BA444" s="579"/>
      <c r="BB444" s="579"/>
      <c r="BC444" s="579"/>
      <c r="BD444" s="579"/>
      <c r="BE444" s="579"/>
      <c r="BF444" s="579"/>
      <c r="BG444" s="579"/>
      <c r="BH444" s="579"/>
      <c r="BI444" s="579"/>
      <c r="BJ444" s="579"/>
      <c r="BK444" s="579"/>
      <c r="BL444" s="579"/>
      <c r="BM444" s="579"/>
      <c r="BN444" s="579"/>
      <c r="BO444" s="579"/>
      <c r="BP444" s="579"/>
      <c r="BQ444" s="579"/>
      <c r="BR444" s="579"/>
      <c r="BS444" s="579"/>
      <c r="BT444" s="579"/>
      <c r="BU444" s="579"/>
      <c r="BV444" s="579"/>
      <c r="BW444" s="579"/>
      <c r="BX444" s="579"/>
      <c r="BY444" s="579"/>
      <c r="BZ444" s="579"/>
      <c r="CA444" s="579"/>
      <c r="CB444" s="594"/>
      <c r="CC444" s="579"/>
      <c r="CD444" s="579"/>
      <c r="CE444" s="579"/>
      <c r="CF444" s="594"/>
      <c r="CG444" s="579"/>
      <c r="CH444" s="579"/>
      <c r="CI444" s="579"/>
      <c r="CJ444" s="579"/>
      <c r="CK444" s="579"/>
      <c r="CL444" s="579"/>
      <c r="CM444" s="579"/>
      <c r="CN444" s="579"/>
      <c r="CO444" s="579"/>
      <c r="CP444" s="594"/>
      <c r="CQ444" s="579"/>
      <c r="CR444" s="579"/>
      <c r="CS444" s="579"/>
      <c r="CT444" s="579"/>
      <c r="CU444" s="579"/>
      <c r="CV444" s="594"/>
      <c r="CW444" s="579"/>
      <c r="CX444" s="579"/>
      <c r="CY444" s="579"/>
      <c r="CZ444" s="579"/>
      <c r="DA444" s="579"/>
      <c r="DB444" s="579"/>
      <c r="DC444" s="594"/>
      <c r="DD444" s="579"/>
      <c r="DE444" s="579"/>
      <c r="DF444" s="579"/>
      <c r="DG444" s="579"/>
      <c r="DH444" s="579"/>
      <c r="DI444" s="579"/>
      <c r="DJ444" s="594">
        <f t="shared" si="1241"/>
        <v>0</v>
      </c>
      <c r="DK444" s="579"/>
      <c r="DL444" s="579"/>
      <c r="DM444" s="579"/>
      <c r="DN444" s="579"/>
      <c r="DO444" s="579"/>
      <c r="DP444" s="579"/>
    </row>
    <row r="445" spans="1:120" hidden="1" outlineLevel="1">
      <c r="A445" s="89">
        <v>1110052010</v>
      </c>
      <c r="B445" s="2278"/>
      <c r="C445" s="1476" t="s">
        <v>64</v>
      </c>
      <c r="D445" s="1469"/>
      <c r="E445" s="1470"/>
      <c r="F445" s="420"/>
      <c r="G445" s="1256"/>
      <c r="H445" s="421"/>
      <c r="I445" s="422"/>
      <c r="J445" s="1425">
        <v>1</v>
      </c>
      <c r="K445" s="1426">
        <v>1</v>
      </c>
      <c r="L445" s="1043"/>
      <c r="M445" s="1594">
        <f t="shared" si="1179"/>
        <v>0</v>
      </c>
      <c r="N445" s="415"/>
      <c r="O445" s="424">
        <f t="shared" si="1227"/>
        <v>0</v>
      </c>
      <c r="P445" s="425"/>
      <c r="Q445" s="1340">
        <f t="shared" si="1186"/>
        <v>0</v>
      </c>
      <c r="R445" s="426"/>
      <c r="S445" s="426"/>
      <c r="T445" s="427">
        <f t="shared" si="1228"/>
        <v>0</v>
      </c>
      <c r="U445" s="418">
        <f t="shared" si="1229"/>
        <v>0</v>
      </c>
      <c r="V445" s="517">
        <f t="shared" si="1230"/>
        <v>0</v>
      </c>
      <c r="W445" s="428">
        <f t="shared" si="1231"/>
        <v>0</v>
      </c>
      <c r="X445" s="429">
        <f t="shared" si="1232"/>
        <v>0</v>
      </c>
      <c r="Y445" s="92"/>
      <c r="AA445" s="53"/>
      <c r="AB445" s="578"/>
      <c r="AC445" s="578"/>
      <c r="AD445" s="578"/>
      <c r="AE445" s="578"/>
      <c r="AF445" s="579"/>
      <c r="AG445" s="579"/>
      <c r="AH445" s="579"/>
      <c r="AI445" s="579"/>
      <c r="AJ445" s="579"/>
      <c r="AK445" s="579"/>
      <c r="AL445" s="1563"/>
      <c r="AM445" s="579"/>
      <c r="AN445" s="579"/>
      <c r="AO445" s="579"/>
      <c r="AP445" s="579"/>
      <c r="AQ445" s="579"/>
      <c r="AR445" s="579"/>
      <c r="AS445" s="579"/>
      <c r="AT445" s="579"/>
      <c r="AU445" s="579"/>
      <c r="AV445" s="579"/>
      <c r="AW445" s="579"/>
      <c r="AX445" s="579"/>
      <c r="AY445" s="579"/>
      <c r="AZ445" s="579"/>
      <c r="BA445" s="579"/>
      <c r="BB445" s="579"/>
      <c r="BC445" s="579"/>
      <c r="BD445" s="579"/>
      <c r="BE445" s="579"/>
      <c r="BF445" s="579"/>
      <c r="BG445" s="579"/>
      <c r="BH445" s="579"/>
      <c r="BI445" s="579"/>
      <c r="BJ445" s="579"/>
      <c r="BK445" s="579"/>
      <c r="BL445" s="579"/>
      <c r="BM445" s="579"/>
      <c r="BN445" s="579"/>
      <c r="BO445" s="579"/>
      <c r="BP445" s="579"/>
      <c r="BQ445" s="579"/>
      <c r="BR445" s="579"/>
      <c r="BS445" s="579"/>
      <c r="BT445" s="579"/>
      <c r="BU445" s="579"/>
      <c r="BV445" s="579"/>
      <c r="BW445" s="579"/>
      <c r="BX445" s="579"/>
      <c r="BY445" s="579"/>
      <c r="BZ445" s="579"/>
      <c r="CA445" s="579"/>
      <c r="CB445" s="594"/>
      <c r="CC445" s="579"/>
      <c r="CD445" s="579"/>
      <c r="CE445" s="579"/>
      <c r="CF445" s="594"/>
      <c r="CG445" s="579"/>
      <c r="CH445" s="579"/>
      <c r="CI445" s="579"/>
      <c r="CJ445" s="579"/>
      <c r="CK445" s="579"/>
      <c r="CL445" s="579"/>
      <c r="CM445" s="579"/>
      <c r="CN445" s="579"/>
      <c r="CO445" s="579"/>
      <c r="CP445" s="579"/>
      <c r="CQ445" s="579"/>
      <c r="CR445" s="579"/>
      <c r="CS445" s="579"/>
      <c r="CT445" s="579"/>
      <c r="CU445" s="579"/>
      <c r="CV445" s="594"/>
      <c r="CW445" s="579"/>
      <c r="CX445" s="579"/>
      <c r="CY445" s="579"/>
      <c r="CZ445" s="579"/>
      <c r="DA445" s="579"/>
      <c r="DB445" s="579"/>
      <c r="DC445" s="594"/>
      <c r="DD445" s="579"/>
      <c r="DE445" s="579"/>
      <c r="DF445" s="579"/>
      <c r="DG445" s="579"/>
      <c r="DH445" s="579"/>
      <c r="DI445" s="579"/>
      <c r="DJ445" s="594">
        <f t="shared" si="1241"/>
        <v>0</v>
      </c>
      <c r="DK445" s="579"/>
      <c r="DL445" s="579"/>
      <c r="DM445" s="579"/>
      <c r="DN445" s="579"/>
      <c r="DO445" s="579"/>
      <c r="DP445" s="579"/>
    </row>
    <row r="446" spans="1:120" hidden="1" outlineLevel="1">
      <c r="A446" s="89">
        <v>1110052010</v>
      </c>
      <c r="B446" s="90"/>
      <c r="C446" s="1476" t="s">
        <v>64</v>
      </c>
      <c r="D446" s="1469"/>
      <c r="E446" s="1470"/>
      <c r="F446" s="420"/>
      <c r="G446" s="1256"/>
      <c r="H446" s="421"/>
      <c r="I446" s="422"/>
      <c r="J446" s="1425">
        <v>1</v>
      </c>
      <c r="K446" s="1426">
        <v>1</v>
      </c>
      <c r="L446" s="1043"/>
      <c r="M446" s="1594">
        <f t="shared" si="1179"/>
        <v>0</v>
      </c>
      <c r="N446" s="415"/>
      <c r="O446" s="424">
        <f t="shared" si="1227"/>
        <v>0</v>
      </c>
      <c r="P446" s="425"/>
      <c r="Q446" s="1340">
        <f t="shared" si="1186"/>
        <v>0</v>
      </c>
      <c r="R446" s="426"/>
      <c r="S446" s="426"/>
      <c r="T446" s="427">
        <f t="shared" si="1228"/>
        <v>0</v>
      </c>
      <c r="U446" s="418">
        <f t="shared" si="1229"/>
        <v>0</v>
      </c>
      <c r="V446" s="517">
        <f t="shared" si="1230"/>
        <v>0</v>
      </c>
      <c r="W446" s="428">
        <f t="shared" si="1231"/>
        <v>0</v>
      </c>
      <c r="X446" s="429">
        <f t="shared" si="1232"/>
        <v>0</v>
      </c>
      <c r="Y446" s="92"/>
      <c r="AA446" s="53"/>
      <c r="AB446" s="578"/>
      <c r="AC446" s="578"/>
      <c r="AD446" s="578"/>
      <c r="AE446" s="578"/>
      <c r="AF446" s="579"/>
      <c r="AG446" s="579"/>
      <c r="AH446" s="579"/>
      <c r="AI446" s="579"/>
      <c r="AJ446" s="579"/>
      <c r="AK446" s="579"/>
      <c r="AL446" s="1563"/>
      <c r="AM446" s="579"/>
      <c r="AN446" s="579"/>
      <c r="AO446" s="579"/>
      <c r="AP446" s="579"/>
      <c r="AQ446" s="579"/>
      <c r="AR446" s="579"/>
      <c r="AS446" s="579"/>
      <c r="AT446" s="579"/>
      <c r="AU446" s="579"/>
      <c r="AV446" s="579"/>
      <c r="AW446" s="579"/>
      <c r="AX446" s="579"/>
      <c r="AY446" s="579"/>
      <c r="AZ446" s="579"/>
      <c r="BA446" s="579"/>
      <c r="BB446" s="579"/>
      <c r="BC446" s="579"/>
      <c r="BD446" s="579"/>
      <c r="BE446" s="579"/>
      <c r="BF446" s="579"/>
      <c r="BG446" s="579"/>
      <c r="BH446" s="579"/>
      <c r="BI446" s="579"/>
      <c r="BJ446" s="579"/>
      <c r="BK446" s="579"/>
      <c r="BL446" s="579"/>
      <c r="BM446" s="579"/>
      <c r="BN446" s="579"/>
      <c r="BO446" s="579"/>
      <c r="BP446" s="579"/>
      <c r="BQ446" s="579"/>
      <c r="BR446" s="579"/>
      <c r="BS446" s="579"/>
      <c r="BT446" s="579"/>
      <c r="BU446" s="579"/>
      <c r="BV446" s="579"/>
      <c r="BW446" s="579"/>
      <c r="BX446" s="579"/>
      <c r="BY446" s="579"/>
      <c r="BZ446" s="579"/>
      <c r="CA446" s="579"/>
      <c r="CB446" s="579"/>
      <c r="CC446" s="579"/>
      <c r="CD446" s="579"/>
      <c r="CE446" s="579"/>
      <c r="CF446" s="579"/>
      <c r="CG446" s="595"/>
      <c r="CH446" s="579"/>
      <c r="CI446" s="579"/>
      <c r="CJ446" s="579"/>
      <c r="CK446" s="579"/>
      <c r="CL446" s="579"/>
      <c r="CM446" s="579"/>
      <c r="CN446" s="579"/>
      <c r="CO446" s="594"/>
      <c r="CP446" s="579"/>
      <c r="CQ446" s="579"/>
      <c r="CR446" s="579"/>
      <c r="CS446" s="579"/>
      <c r="CT446" s="579"/>
      <c r="CU446" s="579"/>
      <c r="CV446" s="594"/>
      <c r="CW446" s="594"/>
      <c r="CX446" s="579"/>
      <c r="CY446" s="579"/>
      <c r="CZ446" s="579"/>
      <c r="DA446" s="579"/>
      <c r="DB446" s="579"/>
      <c r="DC446" s="579"/>
      <c r="DD446" s="579"/>
      <c r="DE446" s="579"/>
      <c r="DF446" s="579"/>
      <c r="DG446" s="579"/>
      <c r="DH446" s="579"/>
      <c r="DI446" s="579"/>
      <c r="DJ446" s="579"/>
      <c r="DK446" s="579"/>
      <c r="DL446" s="579"/>
      <c r="DM446" s="579"/>
      <c r="DN446" s="594">
        <f>+M446</f>
        <v>0</v>
      </c>
      <c r="DO446" s="579"/>
      <c r="DP446" s="579"/>
    </row>
    <row r="447" spans="1:120" hidden="1" outlineLevel="1">
      <c r="A447" s="89">
        <v>1110052010</v>
      </c>
      <c r="B447" s="2278"/>
      <c r="C447" s="1476" t="s">
        <v>64</v>
      </c>
      <c r="D447" s="1469"/>
      <c r="E447" s="1470"/>
      <c r="F447" s="420"/>
      <c r="G447" s="1256"/>
      <c r="H447" s="421"/>
      <c r="I447" s="422"/>
      <c r="J447" s="1425">
        <v>1</v>
      </c>
      <c r="K447" s="1426">
        <v>1</v>
      </c>
      <c r="L447" s="1043"/>
      <c r="M447" s="1594">
        <f t="shared" si="1179"/>
        <v>0</v>
      </c>
      <c r="N447" s="415"/>
      <c r="O447" s="424">
        <f t="shared" si="1227"/>
        <v>0</v>
      </c>
      <c r="P447" s="425"/>
      <c r="Q447" s="1340">
        <f t="shared" si="1186"/>
        <v>0</v>
      </c>
      <c r="R447" s="426"/>
      <c r="S447" s="426"/>
      <c r="T447" s="427">
        <f t="shared" si="1228"/>
        <v>0</v>
      </c>
      <c r="U447" s="418">
        <f t="shared" si="1229"/>
        <v>0</v>
      </c>
      <c r="V447" s="517">
        <f t="shared" si="1230"/>
        <v>0</v>
      </c>
      <c r="W447" s="428">
        <f t="shared" si="1231"/>
        <v>0</v>
      </c>
      <c r="X447" s="429">
        <f t="shared" si="1232"/>
        <v>0</v>
      </c>
      <c r="Y447" s="92"/>
      <c r="AA447" s="53"/>
      <c r="AB447" s="578"/>
      <c r="AC447" s="578"/>
      <c r="AD447" s="578"/>
      <c r="AE447" s="578"/>
      <c r="AF447" s="579"/>
      <c r="AG447" s="579"/>
      <c r="AH447" s="579"/>
      <c r="AI447" s="579"/>
      <c r="AJ447" s="579"/>
      <c r="AK447" s="579"/>
      <c r="AL447" s="1563"/>
      <c r="AM447" s="579"/>
      <c r="AN447" s="579"/>
      <c r="AO447" s="579"/>
      <c r="AP447" s="579"/>
      <c r="AQ447" s="579"/>
      <c r="AR447" s="579"/>
      <c r="AS447" s="579"/>
      <c r="AT447" s="579"/>
      <c r="AU447" s="579"/>
      <c r="AV447" s="579"/>
      <c r="AW447" s="579"/>
      <c r="AX447" s="579"/>
      <c r="AY447" s="579"/>
      <c r="AZ447" s="579"/>
      <c r="BA447" s="579"/>
      <c r="BB447" s="579"/>
      <c r="BC447" s="579"/>
      <c r="BD447" s="579"/>
      <c r="BE447" s="579"/>
      <c r="BF447" s="579"/>
      <c r="BG447" s="579"/>
      <c r="BH447" s="579"/>
      <c r="BI447" s="579"/>
      <c r="BJ447" s="579"/>
      <c r="BK447" s="579"/>
      <c r="BL447" s="579"/>
      <c r="BM447" s="579"/>
      <c r="BN447" s="579"/>
      <c r="BO447" s="579"/>
      <c r="BP447" s="579"/>
      <c r="BQ447" s="579"/>
      <c r="BR447" s="579"/>
      <c r="BS447" s="579"/>
      <c r="BT447" s="579"/>
      <c r="BU447" s="579"/>
      <c r="BV447" s="579"/>
      <c r="BW447" s="579"/>
      <c r="BX447" s="579"/>
      <c r="BY447" s="579"/>
      <c r="BZ447" s="579"/>
      <c r="CA447" s="579"/>
      <c r="CB447" s="579"/>
      <c r="CC447" s="579"/>
      <c r="CD447" s="579"/>
      <c r="CE447" s="579"/>
      <c r="CF447" s="579"/>
      <c r="CG447" s="595"/>
      <c r="CH447" s="579"/>
      <c r="CI447" s="579"/>
      <c r="CJ447" s="579"/>
      <c r="CK447" s="579"/>
      <c r="CL447" s="579"/>
      <c r="CM447" s="579"/>
      <c r="CN447" s="579"/>
      <c r="CO447" s="594"/>
      <c r="CP447" s="579"/>
      <c r="CQ447" s="579"/>
      <c r="CR447" s="579"/>
      <c r="CS447" s="579"/>
      <c r="CT447" s="579"/>
      <c r="CU447" s="579"/>
      <c r="CV447" s="579"/>
      <c r="CW447" s="594"/>
      <c r="CX447" s="579"/>
      <c r="CY447" s="579"/>
      <c r="CZ447" s="579"/>
      <c r="DA447" s="579"/>
      <c r="DB447" s="579"/>
      <c r="DC447" s="579"/>
      <c r="DD447" s="579"/>
      <c r="DE447" s="579"/>
      <c r="DF447" s="579"/>
      <c r="DG447" s="579"/>
      <c r="DH447" s="579"/>
      <c r="DI447" s="579"/>
      <c r="DJ447" s="594">
        <f>+Q447</f>
        <v>0</v>
      </c>
      <c r="DK447" s="579"/>
      <c r="DL447" s="579"/>
      <c r="DM447" s="579"/>
      <c r="DN447" s="579"/>
      <c r="DO447" s="579"/>
      <c r="DP447" s="579"/>
    </row>
    <row r="448" spans="1:120" hidden="1" outlineLevel="1">
      <c r="A448" s="89">
        <v>1110052010</v>
      </c>
      <c r="B448" s="2278"/>
      <c r="C448" s="1476" t="s">
        <v>64</v>
      </c>
      <c r="D448" s="1469"/>
      <c r="E448" s="1470"/>
      <c r="F448" s="420"/>
      <c r="G448" s="1256"/>
      <c r="H448" s="421"/>
      <c r="I448" s="422"/>
      <c r="J448" s="1425">
        <v>1</v>
      </c>
      <c r="K448" s="1426">
        <v>1</v>
      </c>
      <c r="L448" s="1043"/>
      <c r="M448" s="1594">
        <f t="shared" ref="M448" si="1242">+L448*J448</f>
        <v>0</v>
      </c>
      <c r="N448" s="415"/>
      <c r="O448" s="424">
        <f t="shared" ref="O448" si="1243">+L448*N448</f>
        <v>0</v>
      </c>
      <c r="P448" s="425"/>
      <c r="Q448" s="1340">
        <f t="shared" ref="Q448" si="1244">+P448*K448</f>
        <v>0</v>
      </c>
      <c r="R448" s="426"/>
      <c r="S448" s="426"/>
      <c r="T448" s="427">
        <f t="shared" ref="T448" si="1245">+P448*S448</f>
        <v>0</v>
      </c>
      <c r="U448" s="418">
        <f t="shared" ref="U448" si="1246">+L448+P448+F448</f>
        <v>0</v>
      </c>
      <c r="V448" s="517">
        <f t="shared" ref="V448" si="1247">+P448*R448+L448*N448+F448*H448</f>
        <v>0</v>
      </c>
      <c r="W448" s="428">
        <f t="shared" ref="W448" si="1248">(IF(R448&gt;S448,(-P448*R448)-(-P448*S448),0))</f>
        <v>0</v>
      </c>
      <c r="X448" s="429">
        <f t="shared" ref="X448" si="1249">(IF(R448&lt;S448,(-P448*R448)-(-P448*S448),0))</f>
        <v>0</v>
      </c>
      <c r="Y448" s="92"/>
      <c r="AA448" s="53"/>
      <c r="AB448" s="578"/>
      <c r="AC448" s="578"/>
      <c r="AD448" s="578"/>
      <c r="AE448" s="578"/>
      <c r="AF448" s="579"/>
      <c r="AG448" s="579"/>
      <c r="AH448" s="579"/>
      <c r="AI448" s="579"/>
      <c r="AJ448" s="579"/>
      <c r="AK448" s="579"/>
      <c r="AL448" s="1563"/>
      <c r="AM448" s="579"/>
      <c r="AN448" s="579"/>
      <c r="AO448" s="579"/>
      <c r="AP448" s="579"/>
      <c r="AQ448" s="579"/>
      <c r="AR448" s="579"/>
      <c r="AS448" s="579"/>
      <c r="AT448" s="579"/>
      <c r="AU448" s="579"/>
      <c r="AV448" s="579"/>
      <c r="AW448" s="579"/>
      <c r="AX448" s="579"/>
      <c r="AY448" s="579"/>
      <c r="AZ448" s="579"/>
      <c r="BA448" s="579"/>
      <c r="BB448" s="579"/>
      <c r="BC448" s="579"/>
      <c r="BD448" s="579"/>
      <c r="BE448" s="579"/>
      <c r="BF448" s="579"/>
      <c r="BG448" s="579"/>
      <c r="BH448" s="579"/>
      <c r="BI448" s="579"/>
      <c r="BJ448" s="579"/>
      <c r="BK448" s="579"/>
      <c r="BL448" s="579"/>
      <c r="BM448" s="579"/>
      <c r="BN448" s="579"/>
      <c r="BO448" s="579"/>
      <c r="BP448" s="579"/>
      <c r="BQ448" s="579"/>
      <c r="BR448" s="579"/>
      <c r="BS448" s="579"/>
      <c r="BT448" s="579"/>
      <c r="BU448" s="579"/>
      <c r="BV448" s="579"/>
      <c r="BW448" s="579"/>
      <c r="BX448" s="579"/>
      <c r="BY448" s="579"/>
      <c r="BZ448" s="579"/>
      <c r="CA448" s="579"/>
      <c r="CB448" s="579"/>
      <c r="CC448" s="579"/>
      <c r="CD448" s="579"/>
      <c r="CE448" s="579"/>
      <c r="CF448" s="579"/>
      <c r="CG448" s="595"/>
      <c r="CH448" s="579"/>
      <c r="CI448" s="579"/>
      <c r="CJ448" s="579"/>
      <c r="CK448" s="579"/>
      <c r="CL448" s="579"/>
      <c r="CM448" s="579"/>
      <c r="CN448" s="579"/>
      <c r="CO448" s="594"/>
      <c r="CP448" s="579"/>
      <c r="CQ448" s="579"/>
      <c r="CR448" s="579"/>
      <c r="CS448" s="579"/>
      <c r="CT448" s="579"/>
      <c r="CU448" s="579"/>
      <c r="CV448" s="579"/>
      <c r="CW448" s="594"/>
      <c r="CX448" s="579"/>
      <c r="CY448" s="579"/>
      <c r="CZ448" s="579"/>
      <c r="DA448" s="579"/>
      <c r="DB448" s="579"/>
      <c r="DC448" s="579"/>
      <c r="DD448" s="579"/>
      <c r="DE448" s="579"/>
      <c r="DF448" s="579"/>
      <c r="DG448" s="579"/>
      <c r="DH448" s="579"/>
      <c r="DI448" s="579"/>
      <c r="DJ448" s="579"/>
      <c r="DK448" s="594">
        <f>+Q448</f>
        <v>0</v>
      </c>
      <c r="DL448" s="579"/>
      <c r="DM448" s="579"/>
      <c r="DN448" s="579"/>
      <c r="DO448" s="579"/>
      <c r="DP448" s="579"/>
    </row>
    <row r="449" spans="1:120" hidden="1" outlineLevel="1">
      <c r="A449" s="89">
        <v>1110052010</v>
      </c>
      <c r="B449" s="2278"/>
      <c r="C449" s="1476" t="s">
        <v>64</v>
      </c>
      <c r="D449" s="1469"/>
      <c r="E449" s="1470"/>
      <c r="F449" s="420"/>
      <c r="G449" s="1256"/>
      <c r="H449" s="421"/>
      <c r="I449" s="422"/>
      <c r="J449" s="1425">
        <v>1</v>
      </c>
      <c r="K449" s="1426">
        <v>1</v>
      </c>
      <c r="L449" s="1043"/>
      <c r="M449" s="1594">
        <f t="shared" ref="M449" si="1250">+L449*J449</f>
        <v>0</v>
      </c>
      <c r="N449" s="415"/>
      <c r="O449" s="424">
        <f t="shared" ref="O449" si="1251">+L449*N449</f>
        <v>0</v>
      </c>
      <c r="P449" s="425"/>
      <c r="Q449" s="1340">
        <f t="shared" ref="Q449" si="1252">+P449*K449</f>
        <v>0</v>
      </c>
      <c r="R449" s="426"/>
      <c r="S449" s="426"/>
      <c r="T449" s="427">
        <f t="shared" ref="T449" si="1253">+P449*S449</f>
        <v>0</v>
      </c>
      <c r="U449" s="418">
        <f t="shared" ref="U449" si="1254">+L449+P449+F449</f>
        <v>0</v>
      </c>
      <c r="V449" s="517">
        <f t="shared" ref="V449" si="1255">+P449*R449+L449*N449+F449*H449</f>
        <v>0</v>
      </c>
      <c r="W449" s="428">
        <f t="shared" ref="W449" si="1256">(IF(R449&gt;S449,(-P449*R449)-(-P449*S449),0))</f>
        <v>0</v>
      </c>
      <c r="X449" s="429">
        <f t="shared" ref="X449" si="1257">(IF(R449&lt;S449,(-P449*R449)-(-P449*S449),0))</f>
        <v>0</v>
      </c>
      <c r="Y449" s="92"/>
      <c r="AA449" s="53"/>
      <c r="AB449" s="578"/>
      <c r="AC449" s="578"/>
      <c r="AD449" s="578"/>
      <c r="AE449" s="578"/>
      <c r="AF449" s="579"/>
      <c r="AG449" s="579"/>
      <c r="AH449" s="579"/>
      <c r="AI449" s="579"/>
      <c r="AJ449" s="579"/>
      <c r="AK449" s="579"/>
      <c r="AL449" s="1563"/>
      <c r="AM449" s="579"/>
      <c r="AN449" s="579"/>
      <c r="AO449" s="579"/>
      <c r="AP449" s="579"/>
      <c r="AQ449" s="579"/>
      <c r="AR449" s="579"/>
      <c r="AS449" s="579"/>
      <c r="AT449" s="579"/>
      <c r="AU449" s="579"/>
      <c r="AV449" s="579"/>
      <c r="AW449" s="579"/>
      <c r="AX449" s="579"/>
      <c r="AY449" s="579"/>
      <c r="AZ449" s="579"/>
      <c r="BA449" s="579"/>
      <c r="BB449" s="579"/>
      <c r="BC449" s="579"/>
      <c r="BD449" s="579"/>
      <c r="BE449" s="579"/>
      <c r="BF449" s="579"/>
      <c r="BG449" s="579"/>
      <c r="BH449" s="579"/>
      <c r="BI449" s="579"/>
      <c r="BJ449" s="579"/>
      <c r="BK449" s="579"/>
      <c r="BL449" s="579"/>
      <c r="BM449" s="579"/>
      <c r="BN449" s="579"/>
      <c r="BO449" s="579"/>
      <c r="BP449" s="579"/>
      <c r="BQ449" s="579"/>
      <c r="BR449" s="579"/>
      <c r="BS449" s="579"/>
      <c r="BT449" s="579"/>
      <c r="BU449" s="579"/>
      <c r="BV449" s="579"/>
      <c r="BW449" s="579"/>
      <c r="BX449" s="579"/>
      <c r="BY449" s="579"/>
      <c r="BZ449" s="579"/>
      <c r="CA449" s="579"/>
      <c r="CB449" s="579"/>
      <c r="CC449" s="579"/>
      <c r="CD449" s="579"/>
      <c r="CE449" s="579"/>
      <c r="CF449" s="579"/>
      <c r="CG449" s="595"/>
      <c r="CH449" s="579"/>
      <c r="CI449" s="579"/>
      <c r="CJ449" s="579"/>
      <c r="CK449" s="579"/>
      <c r="CL449" s="579"/>
      <c r="CM449" s="579"/>
      <c r="CN449" s="579"/>
      <c r="CO449" s="594"/>
      <c r="CP449" s="579"/>
      <c r="CQ449" s="579"/>
      <c r="CR449" s="579"/>
      <c r="CS449" s="579"/>
      <c r="CT449" s="579"/>
      <c r="CU449" s="579"/>
      <c r="CV449" s="579"/>
      <c r="CW449" s="594"/>
      <c r="CX449" s="579"/>
      <c r="CY449" s="579"/>
      <c r="CZ449" s="579"/>
      <c r="DA449" s="579"/>
      <c r="DB449" s="579"/>
      <c r="DC449" s="579"/>
      <c r="DD449" s="579"/>
      <c r="DE449" s="579"/>
      <c r="DF449" s="579"/>
      <c r="DG449" s="579"/>
      <c r="DH449" s="579"/>
      <c r="DI449" s="579"/>
      <c r="DJ449" s="579"/>
      <c r="DK449" s="579"/>
      <c r="DL449" s="594">
        <f>+Q449</f>
        <v>0</v>
      </c>
      <c r="DM449" s="579"/>
      <c r="DN449" s="579"/>
      <c r="DO449" s="579"/>
      <c r="DP449" s="579"/>
    </row>
    <row r="450" spans="1:120" hidden="1" outlineLevel="1">
      <c r="A450" s="89">
        <v>1110052010</v>
      </c>
      <c r="B450" s="2278"/>
      <c r="C450" s="1476" t="s">
        <v>64</v>
      </c>
      <c r="D450" s="1469"/>
      <c r="E450" s="1470"/>
      <c r="F450" s="420"/>
      <c r="G450" s="1256"/>
      <c r="H450" s="421"/>
      <c r="I450" s="422"/>
      <c r="J450" s="1425">
        <v>1</v>
      </c>
      <c r="K450" s="1426">
        <v>1</v>
      </c>
      <c r="L450" s="1043"/>
      <c r="M450" s="1594">
        <f t="shared" ref="M450" si="1258">+L450*J450</f>
        <v>0</v>
      </c>
      <c r="N450" s="415"/>
      <c r="O450" s="424">
        <f t="shared" ref="O450" si="1259">+L450*N450</f>
        <v>0</v>
      </c>
      <c r="P450" s="425"/>
      <c r="Q450" s="1340">
        <f t="shared" ref="Q450" si="1260">+P450*K450</f>
        <v>0</v>
      </c>
      <c r="R450" s="426"/>
      <c r="S450" s="426"/>
      <c r="T450" s="427">
        <f t="shared" ref="T450" si="1261">+P450*S450</f>
        <v>0</v>
      </c>
      <c r="U450" s="418">
        <f t="shared" ref="U450" si="1262">+L450+P450+F450</f>
        <v>0</v>
      </c>
      <c r="V450" s="517">
        <f t="shared" ref="V450" si="1263">+P450*R450+L450*N450+F450*H450</f>
        <v>0</v>
      </c>
      <c r="W450" s="428">
        <f t="shared" ref="W450" si="1264">(IF(R450&gt;S450,(-P450*R450)-(-P450*S450),0))</f>
        <v>0</v>
      </c>
      <c r="X450" s="429">
        <f t="shared" ref="X450" si="1265">(IF(R450&lt;S450,(-P450*R450)-(-P450*S450),0))</f>
        <v>0</v>
      </c>
      <c r="Y450" s="92"/>
      <c r="AA450" s="53"/>
      <c r="AB450" s="578"/>
      <c r="AC450" s="578"/>
      <c r="AD450" s="578"/>
      <c r="AE450" s="578"/>
      <c r="AF450" s="579"/>
      <c r="AG450" s="579"/>
      <c r="AH450" s="579"/>
      <c r="AI450" s="579"/>
      <c r="AJ450" s="579"/>
      <c r="AK450" s="579"/>
      <c r="AL450" s="1563"/>
      <c r="AM450" s="579"/>
      <c r="AN450" s="579"/>
      <c r="AO450" s="579"/>
      <c r="AP450" s="579"/>
      <c r="AQ450" s="579"/>
      <c r="AR450" s="579"/>
      <c r="AS450" s="579"/>
      <c r="AT450" s="579"/>
      <c r="AU450" s="579"/>
      <c r="AV450" s="579"/>
      <c r="AW450" s="579"/>
      <c r="AX450" s="579"/>
      <c r="AY450" s="579"/>
      <c r="AZ450" s="579"/>
      <c r="BA450" s="579"/>
      <c r="BB450" s="579"/>
      <c r="BC450" s="579"/>
      <c r="BD450" s="579"/>
      <c r="BE450" s="579"/>
      <c r="BF450" s="579"/>
      <c r="BG450" s="579"/>
      <c r="BH450" s="579"/>
      <c r="BI450" s="579"/>
      <c r="BJ450" s="579"/>
      <c r="BK450" s="579"/>
      <c r="BL450" s="579"/>
      <c r="BM450" s="579"/>
      <c r="BN450" s="579"/>
      <c r="BO450" s="579"/>
      <c r="BP450" s="579"/>
      <c r="BQ450" s="579"/>
      <c r="BR450" s="579"/>
      <c r="BS450" s="579"/>
      <c r="BT450" s="579"/>
      <c r="BU450" s="579"/>
      <c r="BV450" s="579"/>
      <c r="BW450" s="579"/>
      <c r="BX450" s="579"/>
      <c r="BY450" s="579"/>
      <c r="BZ450" s="579"/>
      <c r="CA450" s="579"/>
      <c r="CB450" s="579"/>
      <c r="CC450" s="579"/>
      <c r="CD450" s="579"/>
      <c r="CE450" s="579"/>
      <c r="CF450" s="579"/>
      <c r="CG450" s="595"/>
      <c r="CH450" s="579"/>
      <c r="CI450" s="579"/>
      <c r="CJ450" s="579"/>
      <c r="CK450" s="579"/>
      <c r="CL450" s="579"/>
      <c r="CM450" s="579"/>
      <c r="CN450" s="579"/>
      <c r="CO450" s="594"/>
      <c r="CP450" s="579"/>
      <c r="CQ450" s="579"/>
      <c r="CR450" s="579"/>
      <c r="CS450" s="579"/>
      <c r="CT450" s="579"/>
      <c r="CU450" s="579"/>
      <c r="CV450" s="579"/>
      <c r="CW450" s="594"/>
      <c r="CX450" s="579"/>
      <c r="CY450" s="579"/>
      <c r="CZ450" s="579"/>
      <c r="DA450" s="579"/>
      <c r="DB450" s="579"/>
      <c r="DC450" s="579"/>
      <c r="DD450" s="579"/>
      <c r="DE450" s="579"/>
      <c r="DF450" s="579"/>
      <c r="DG450" s="579"/>
      <c r="DH450" s="579"/>
      <c r="DI450" s="579"/>
      <c r="DJ450" s="579"/>
      <c r="DK450" s="579"/>
      <c r="DL450" s="579"/>
      <c r="DM450" s="594">
        <f>+Q450</f>
        <v>0</v>
      </c>
      <c r="DN450" s="579"/>
      <c r="DO450" s="579"/>
      <c r="DP450" s="579"/>
    </row>
    <row r="451" spans="1:120" hidden="1" outlineLevel="1">
      <c r="A451" s="89">
        <v>1110052010</v>
      </c>
      <c r="B451" s="2278"/>
      <c r="C451" s="1476" t="s">
        <v>64</v>
      </c>
      <c r="D451" s="1469"/>
      <c r="E451" s="1470"/>
      <c r="F451" s="420"/>
      <c r="G451" s="1256"/>
      <c r="H451" s="421"/>
      <c r="I451" s="422"/>
      <c r="J451" s="1425">
        <v>1</v>
      </c>
      <c r="K451" s="1426">
        <v>1</v>
      </c>
      <c r="L451" s="1043"/>
      <c r="M451" s="1594">
        <f t="shared" ref="M451" si="1266">+L451*J451</f>
        <v>0</v>
      </c>
      <c r="N451" s="415"/>
      <c r="O451" s="424">
        <f t="shared" ref="O451" si="1267">+L451*N451</f>
        <v>0</v>
      </c>
      <c r="P451" s="425"/>
      <c r="Q451" s="1340">
        <f t="shared" ref="Q451" si="1268">+P451*K451</f>
        <v>0</v>
      </c>
      <c r="R451" s="426"/>
      <c r="S451" s="426"/>
      <c r="T451" s="427">
        <f t="shared" ref="T451" si="1269">+P451*S451</f>
        <v>0</v>
      </c>
      <c r="U451" s="418">
        <f t="shared" ref="U451" si="1270">+L451+P451+F451</f>
        <v>0</v>
      </c>
      <c r="V451" s="517">
        <f t="shared" ref="V451" si="1271">+P451*R451+L451*N451+F451*H451</f>
        <v>0</v>
      </c>
      <c r="W451" s="428">
        <f t="shared" ref="W451" si="1272">(IF(R451&gt;S451,(-P451*R451)-(-P451*S451),0))</f>
        <v>0</v>
      </c>
      <c r="X451" s="429">
        <f t="shared" ref="X451" si="1273">(IF(R451&lt;S451,(-P451*R451)-(-P451*S451),0))</f>
        <v>0</v>
      </c>
      <c r="Y451" s="92"/>
      <c r="AA451" s="53"/>
      <c r="AB451" s="578"/>
      <c r="AC451" s="578"/>
      <c r="AD451" s="578"/>
      <c r="AE451" s="578"/>
      <c r="AF451" s="579"/>
      <c r="AG451" s="579"/>
      <c r="AH451" s="579"/>
      <c r="AI451" s="579"/>
      <c r="AJ451" s="579"/>
      <c r="AK451" s="579"/>
      <c r="AL451" s="1563"/>
      <c r="AM451" s="579"/>
      <c r="AN451" s="579"/>
      <c r="AO451" s="579"/>
      <c r="AP451" s="579"/>
      <c r="AQ451" s="579"/>
      <c r="AR451" s="579"/>
      <c r="AS451" s="579"/>
      <c r="AT451" s="579"/>
      <c r="AU451" s="579"/>
      <c r="AV451" s="579"/>
      <c r="AW451" s="579"/>
      <c r="AX451" s="579"/>
      <c r="AY451" s="579"/>
      <c r="AZ451" s="579"/>
      <c r="BA451" s="579"/>
      <c r="BB451" s="579"/>
      <c r="BC451" s="579"/>
      <c r="BD451" s="579"/>
      <c r="BE451" s="579"/>
      <c r="BF451" s="579"/>
      <c r="BG451" s="579"/>
      <c r="BH451" s="579"/>
      <c r="BI451" s="579"/>
      <c r="BJ451" s="579"/>
      <c r="BK451" s="579"/>
      <c r="BL451" s="579"/>
      <c r="BM451" s="579"/>
      <c r="BN451" s="579"/>
      <c r="BO451" s="579"/>
      <c r="BP451" s="579"/>
      <c r="BQ451" s="579"/>
      <c r="BR451" s="579"/>
      <c r="BS451" s="579"/>
      <c r="BT451" s="579"/>
      <c r="BU451" s="579"/>
      <c r="BV451" s="579"/>
      <c r="BW451" s="579"/>
      <c r="BX451" s="579"/>
      <c r="BY451" s="579"/>
      <c r="BZ451" s="579"/>
      <c r="CA451" s="579"/>
      <c r="CB451" s="579"/>
      <c r="CC451" s="579"/>
      <c r="CD451" s="579"/>
      <c r="CE451" s="579"/>
      <c r="CF451" s="579"/>
      <c r="CG451" s="595"/>
      <c r="CH451" s="579"/>
      <c r="CI451" s="579"/>
      <c r="CJ451" s="579"/>
      <c r="CK451" s="579"/>
      <c r="CL451" s="579"/>
      <c r="CM451" s="579"/>
      <c r="CN451" s="579"/>
      <c r="CO451" s="594"/>
      <c r="CP451" s="579"/>
      <c r="CQ451" s="579"/>
      <c r="CR451" s="579"/>
      <c r="CS451" s="579"/>
      <c r="CT451" s="579"/>
      <c r="CU451" s="579"/>
      <c r="CV451" s="579"/>
      <c r="CW451" s="594"/>
      <c r="CX451" s="579"/>
      <c r="CY451" s="579"/>
      <c r="CZ451" s="579"/>
      <c r="DA451" s="579"/>
      <c r="DB451" s="579"/>
      <c r="DC451" s="579"/>
      <c r="DD451" s="579"/>
      <c r="DE451" s="579"/>
      <c r="DF451" s="579"/>
      <c r="DG451" s="579"/>
      <c r="DH451" s="579"/>
      <c r="DI451" s="579"/>
      <c r="DJ451" s="579"/>
      <c r="DK451" s="579"/>
      <c r="DL451" s="579"/>
      <c r="DM451" s="579"/>
      <c r="DN451" s="594">
        <f>+Q451</f>
        <v>0</v>
      </c>
      <c r="DO451" s="579"/>
      <c r="DP451" s="579"/>
    </row>
    <row r="452" spans="1:120" hidden="1" outlineLevel="1">
      <c r="A452" s="89">
        <v>1110052010</v>
      </c>
      <c r="B452" s="2278"/>
      <c r="C452" s="1476" t="s">
        <v>64</v>
      </c>
      <c r="D452" s="1469"/>
      <c r="E452" s="1470"/>
      <c r="F452" s="420"/>
      <c r="G452" s="1256"/>
      <c r="H452" s="421"/>
      <c r="I452" s="422"/>
      <c r="J452" s="1425">
        <v>1</v>
      </c>
      <c r="K452" s="1426">
        <v>1</v>
      </c>
      <c r="L452" s="1043"/>
      <c r="M452" s="1594">
        <f t="shared" si="1179"/>
        <v>0</v>
      </c>
      <c r="N452" s="415"/>
      <c r="O452" s="424">
        <f t="shared" si="1227"/>
        <v>0</v>
      </c>
      <c r="P452" s="425"/>
      <c r="Q452" s="1340">
        <f t="shared" si="1186"/>
        <v>0</v>
      </c>
      <c r="R452" s="426"/>
      <c r="S452" s="426"/>
      <c r="T452" s="427">
        <f t="shared" si="1228"/>
        <v>0</v>
      </c>
      <c r="U452" s="418">
        <f t="shared" si="1229"/>
        <v>0</v>
      </c>
      <c r="V452" s="517">
        <f t="shared" si="1230"/>
        <v>0</v>
      </c>
      <c r="W452" s="428">
        <f t="shared" si="1231"/>
        <v>0</v>
      </c>
      <c r="X452" s="429">
        <f t="shared" si="1232"/>
        <v>0</v>
      </c>
      <c r="Y452" s="92"/>
      <c r="AA452" s="53"/>
      <c r="AB452" s="578"/>
      <c r="AC452" s="578"/>
      <c r="AD452" s="578"/>
      <c r="AE452" s="578"/>
      <c r="AF452" s="579"/>
      <c r="AG452" s="579"/>
      <c r="AH452" s="579"/>
      <c r="AI452" s="579"/>
      <c r="AJ452" s="579"/>
      <c r="AK452" s="579"/>
      <c r="AL452" s="1563"/>
      <c r="AM452" s="579"/>
      <c r="AN452" s="579"/>
      <c r="AO452" s="579"/>
      <c r="AP452" s="579"/>
      <c r="AQ452" s="579"/>
      <c r="AR452" s="579"/>
      <c r="AS452" s="579"/>
      <c r="AT452" s="579"/>
      <c r="AU452" s="579"/>
      <c r="AV452" s="579"/>
      <c r="AW452" s="579"/>
      <c r="AX452" s="579"/>
      <c r="AY452" s="579"/>
      <c r="AZ452" s="579"/>
      <c r="BA452" s="579"/>
      <c r="BB452" s="579"/>
      <c r="BC452" s="579"/>
      <c r="BD452" s="579"/>
      <c r="BE452" s="579"/>
      <c r="BF452" s="579"/>
      <c r="BG452" s="579"/>
      <c r="BH452" s="579"/>
      <c r="BI452" s="579"/>
      <c r="BJ452" s="579"/>
      <c r="BK452" s="579"/>
      <c r="BL452" s="579"/>
      <c r="BM452" s="579"/>
      <c r="BN452" s="579"/>
      <c r="BO452" s="579"/>
      <c r="BP452" s="579"/>
      <c r="BQ452" s="579"/>
      <c r="BR452" s="579"/>
      <c r="BS452" s="579"/>
      <c r="BT452" s="579"/>
      <c r="BU452" s="579"/>
      <c r="BV452" s="579"/>
      <c r="BW452" s="579"/>
      <c r="BX452" s="579"/>
      <c r="BY452" s="579"/>
      <c r="BZ452" s="579"/>
      <c r="CA452" s="579"/>
      <c r="CB452" s="579"/>
      <c r="CC452" s="579"/>
      <c r="CD452" s="579"/>
      <c r="CE452" s="579"/>
      <c r="CF452" s="579"/>
      <c r="CG452" s="595"/>
      <c r="CH452" s="579"/>
      <c r="CI452" s="579"/>
      <c r="CJ452" s="579"/>
      <c r="CK452" s="579"/>
      <c r="CL452" s="579"/>
      <c r="CM452" s="579"/>
      <c r="CN452" s="579"/>
      <c r="CO452" s="594"/>
      <c r="CP452" s="579"/>
      <c r="CQ452" s="579"/>
      <c r="CR452" s="579"/>
      <c r="CS452" s="579"/>
      <c r="CT452" s="579"/>
      <c r="CU452" s="579"/>
      <c r="CV452" s="579"/>
      <c r="CW452" s="594"/>
      <c r="CX452" s="579"/>
      <c r="CY452" s="579"/>
      <c r="CZ452" s="579"/>
      <c r="DA452" s="579"/>
      <c r="DB452" s="579"/>
      <c r="DC452" s="579"/>
      <c r="DD452" s="579"/>
      <c r="DE452" s="579"/>
      <c r="DF452" s="579"/>
      <c r="DG452" s="579"/>
      <c r="DH452" s="579"/>
      <c r="DI452" s="579"/>
      <c r="DJ452" s="579"/>
      <c r="DK452" s="579"/>
      <c r="DL452" s="579"/>
      <c r="DM452" s="579"/>
      <c r="DN452" s="594">
        <f>+Q452</f>
        <v>0</v>
      </c>
      <c r="DO452" s="579"/>
      <c r="DP452" s="579"/>
    </row>
    <row r="453" spans="1:120" hidden="1" outlineLevel="1">
      <c r="A453" s="89">
        <v>1110052010</v>
      </c>
      <c r="B453" s="2278"/>
      <c r="C453" s="1476" t="s">
        <v>64</v>
      </c>
      <c r="D453" s="1469"/>
      <c r="E453" s="1470"/>
      <c r="F453" s="420"/>
      <c r="G453" s="1256"/>
      <c r="H453" s="421"/>
      <c r="I453" s="422"/>
      <c r="J453" s="1425">
        <v>1</v>
      </c>
      <c r="K453" s="1426">
        <v>1</v>
      </c>
      <c r="L453" s="1043"/>
      <c r="M453" s="1594">
        <f t="shared" si="1179"/>
        <v>0</v>
      </c>
      <c r="N453" s="415"/>
      <c r="O453" s="424">
        <f>+L453*N453</f>
        <v>0</v>
      </c>
      <c r="P453" s="425"/>
      <c r="Q453" s="1340">
        <f t="shared" si="1186"/>
        <v>0</v>
      </c>
      <c r="R453" s="426"/>
      <c r="S453" s="426"/>
      <c r="T453" s="427">
        <f>+P453*S453</f>
        <v>0</v>
      </c>
      <c r="U453" s="418">
        <f>+L453+P453+F453</f>
        <v>0</v>
      </c>
      <c r="V453" s="517">
        <f>+P453*R453+L453*N453+F453*H453</f>
        <v>0</v>
      </c>
      <c r="W453" s="428">
        <f>(IF(R453&gt;S453,(-P453*R453)-(-P453*S453),0))</f>
        <v>0</v>
      </c>
      <c r="X453" s="429">
        <f>(IF(R453&lt;S453,(-P453*R453)-(-P453*S453),0))</f>
        <v>0</v>
      </c>
      <c r="Y453" s="92"/>
      <c r="AA453" s="53"/>
      <c r="AB453" s="578"/>
      <c r="AC453" s="578"/>
      <c r="AD453" s="578"/>
      <c r="AE453" s="578"/>
      <c r="AF453" s="579"/>
      <c r="AG453" s="579"/>
      <c r="AH453" s="579"/>
      <c r="AI453" s="579"/>
      <c r="AJ453" s="579"/>
      <c r="AK453" s="579"/>
      <c r="AL453" s="1563"/>
      <c r="AM453" s="579"/>
      <c r="AN453" s="579"/>
      <c r="AO453" s="579"/>
      <c r="AP453" s="579"/>
      <c r="AQ453" s="579"/>
      <c r="AR453" s="579"/>
      <c r="AS453" s="579"/>
      <c r="AT453" s="579"/>
      <c r="AU453" s="579"/>
      <c r="AV453" s="579"/>
      <c r="AW453" s="579"/>
      <c r="AX453" s="579"/>
      <c r="AY453" s="579"/>
      <c r="AZ453" s="579"/>
      <c r="BA453" s="579"/>
      <c r="BB453" s="579"/>
      <c r="BC453" s="579"/>
      <c r="BD453" s="579"/>
      <c r="BE453" s="579"/>
      <c r="BF453" s="579"/>
      <c r="BG453" s="579"/>
      <c r="BH453" s="579"/>
      <c r="BI453" s="579"/>
      <c r="BJ453" s="579"/>
      <c r="BK453" s="579"/>
      <c r="BL453" s="579"/>
      <c r="BM453" s="579"/>
      <c r="BN453" s="579"/>
      <c r="BO453" s="579"/>
      <c r="BP453" s="579"/>
      <c r="BQ453" s="579"/>
      <c r="BR453" s="579"/>
      <c r="BS453" s="579"/>
      <c r="BT453" s="579"/>
      <c r="BU453" s="579"/>
      <c r="BV453" s="579"/>
      <c r="BW453" s="579"/>
      <c r="BX453" s="579"/>
      <c r="BY453" s="579"/>
      <c r="BZ453" s="579"/>
      <c r="CA453" s="579"/>
      <c r="CB453" s="594"/>
      <c r="CC453" s="579"/>
      <c r="CD453" s="579"/>
      <c r="CE453" s="579"/>
      <c r="CF453" s="579"/>
      <c r="CG453" s="579"/>
      <c r="CH453" s="579"/>
      <c r="CI453" s="579"/>
      <c r="CJ453" s="579"/>
      <c r="CK453" s="579"/>
      <c r="CL453" s="579"/>
      <c r="CM453" s="579"/>
      <c r="CN453" s="579"/>
      <c r="CO453" s="579"/>
      <c r="CP453" s="579"/>
      <c r="CQ453" s="579"/>
      <c r="CR453" s="579"/>
      <c r="CS453" s="594"/>
      <c r="CT453" s="579"/>
      <c r="CU453" s="579"/>
      <c r="CV453" s="579"/>
      <c r="CW453" s="579"/>
      <c r="CX453" s="579"/>
      <c r="CY453" s="579"/>
      <c r="CZ453" s="579"/>
      <c r="DA453" s="579"/>
      <c r="DB453" s="579"/>
      <c r="DC453" s="594"/>
      <c r="DD453" s="579"/>
      <c r="DE453" s="579"/>
      <c r="DF453" s="579"/>
      <c r="DG453" s="579"/>
      <c r="DH453" s="579"/>
      <c r="DI453" s="579"/>
      <c r="DJ453" s="579"/>
      <c r="DK453" s="579"/>
      <c r="DL453" s="579"/>
      <c r="DM453" s="579"/>
      <c r="DN453" s="594">
        <f>+Q453</f>
        <v>0</v>
      </c>
      <c r="DO453" s="579"/>
      <c r="DP453" s="579"/>
    </row>
    <row r="454" spans="1:120" hidden="1" outlineLevel="1">
      <c r="A454" s="89">
        <v>1110052010</v>
      </c>
      <c r="B454" s="2278"/>
      <c r="C454" s="1476" t="s">
        <v>64</v>
      </c>
      <c r="D454" s="1469"/>
      <c r="E454" s="1470"/>
      <c r="F454" s="420"/>
      <c r="G454" s="1256"/>
      <c r="H454" s="421"/>
      <c r="I454" s="422"/>
      <c r="J454" s="1425">
        <v>1</v>
      </c>
      <c r="K454" s="1426">
        <v>1</v>
      </c>
      <c r="L454" s="1043"/>
      <c r="M454" s="1594">
        <f t="shared" si="1179"/>
        <v>0</v>
      </c>
      <c r="N454" s="415"/>
      <c r="O454" s="424">
        <f>+L454*N454</f>
        <v>0</v>
      </c>
      <c r="P454" s="425"/>
      <c r="Q454" s="1340">
        <f t="shared" si="1186"/>
        <v>0</v>
      </c>
      <c r="R454" s="426"/>
      <c r="S454" s="426"/>
      <c r="T454" s="427">
        <f>+P454*S454</f>
        <v>0</v>
      </c>
      <c r="U454" s="418">
        <f>+L454+P454+F454</f>
        <v>0</v>
      </c>
      <c r="V454" s="517">
        <f>+P454*R454+L454*N454+F454*H454</f>
        <v>0</v>
      </c>
      <c r="W454" s="428">
        <f>(IF(R454&gt;S454,(-P454*R454)-(-P454*S454),0))</f>
        <v>0</v>
      </c>
      <c r="X454" s="429">
        <f>(IF(R454&lt;S454,(-P454*R454)-(-P454*S454),0))</f>
        <v>0</v>
      </c>
      <c r="Y454" s="92"/>
      <c r="AA454" s="53"/>
      <c r="AB454" s="578"/>
      <c r="AC454" s="578"/>
      <c r="AD454" s="578"/>
      <c r="AE454" s="578"/>
      <c r="AF454" s="579"/>
      <c r="AG454" s="579"/>
      <c r="AH454" s="579"/>
      <c r="AI454" s="579"/>
      <c r="AJ454" s="579"/>
      <c r="AK454" s="579"/>
      <c r="AL454" s="1563"/>
      <c r="AM454" s="579"/>
      <c r="AN454" s="579"/>
      <c r="AO454" s="579"/>
      <c r="AP454" s="579"/>
      <c r="AQ454" s="579"/>
      <c r="AR454" s="579"/>
      <c r="AS454" s="579"/>
      <c r="AT454" s="579"/>
      <c r="AU454" s="579"/>
      <c r="AV454" s="579"/>
      <c r="AW454" s="579"/>
      <c r="AX454" s="579"/>
      <c r="AY454" s="579"/>
      <c r="AZ454" s="579"/>
      <c r="BA454" s="579"/>
      <c r="BB454" s="579"/>
      <c r="BC454" s="579"/>
      <c r="BD454" s="579"/>
      <c r="BE454" s="579"/>
      <c r="BF454" s="579"/>
      <c r="BG454" s="579"/>
      <c r="BH454" s="579"/>
      <c r="BI454" s="579"/>
      <c r="BJ454" s="579"/>
      <c r="BK454" s="579"/>
      <c r="BL454" s="579"/>
      <c r="BM454" s="579"/>
      <c r="BN454" s="579"/>
      <c r="BO454" s="579"/>
      <c r="BP454" s="579"/>
      <c r="BQ454" s="579"/>
      <c r="BR454" s="579"/>
      <c r="BS454" s="579"/>
      <c r="BT454" s="579"/>
      <c r="BU454" s="579"/>
      <c r="BV454" s="579"/>
      <c r="BW454" s="579"/>
      <c r="BX454" s="579"/>
      <c r="BY454" s="579"/>
      <c r="BZ454" s="579"/>
      <c r="CA454" s="579"/>
      <c r="CB454" s="594"/>
      <c r="CC454" s="594"/>
      <c r="CD454" s="579"/>
      <c r="CE454" s="579"/>
      <c r="CF454" s="579"/>
      <c r="CG454" s="579"/>
      <c r="CH454" s="579"/>
      <c r="CI454" s="579"/>
      <c r="CJ454" s="579"/>
      <c r="CK454" s="579"/>
      <c r="CL454" s="579"/>
      <c r="CM454" s="579"/>
      <c r="CN454" s="579"/>
      <c r="CO454" s="579"/>
      <c r="CP454" s="579"/>
      <c r="CQ454" s="579"/>
      <c r="CR454" s="579"/>
      <c r="CS454" s="594"/>
      <c r="CT454" s="579"/>
      <c r="CU454" s="579"/>
      <c r="CV454" s="579"/>
      <c r="CW454" s="579"/>
      <c r="CX454" s="579"/>
      <c r="CY454" s="579"/>
      <c r="CZ454" s="579"/>
      <c r="DA454" s="579"/>
      <c r="DB454" s="579"/>
      <c r="DC454" s="594"/>
      <c r="DD454" s="579"/>
      <c r="DE454" s="579"/>
      <c r="DF454" s="579"/>
      <c r="DG454" s="579"/>
      <c r="DH454" s="579"/>
      <c r="DI454" s="579"/>
      <c r="DJ454" s="579"/>
      <c r="DK454" s="579"/>
      <c r="DL454" s="579"/>
      <c r="DM454" s="579"/>
      <c r="DN454" s="594">
        <f>+Q454</f>
        <v>0</v>
      </c>
      <c r="DO454" s="579"/>
      <c r="DP454" s="579"/>
    </row>
    <row r="455" spans="1:120" hidden="1" outlineLevel="1">
      <c r="A455" s="89">
        <v>1110052010</v>
      </c>
      <c r="B455" s="2278"/>
      <c r="C455" s="1476" t="s">
        <v>64</v>
      </c>
      <c r="D455" s="1469"/>
      <c r="E455" s="1470"/>
      <c r="F455" s="420"/>
      <c r="G455" s="1256"/>
      <c r="H455" s="421"/>
      <c r="I455" s="422"/>
      <c r="J455" s="1425">
        <v>1</v>
      </c>
      <c r="K455" s="1426">
        <v>1</v>
      </c>
      <c r="L455" s="1043"/>
      <c r="M455" s="1594">
        <f t="shared" si="1179"/>
        <v>0</v>
      </c>
      <c r="N455" s="415"/>
      <c r="O455" s="424">
        <f t="shared" si="1171"/>
        <v>0</v>
      </c>
      <c r="P455" s="425"/>
      <c r="Q455" s="1340">
        <f t="shared" si="1186"/>
        <v>0</v>
      </c>
      <c r="R455" s="426"/>
      <c r="S455" s="426"/>
      <c r="T455" s="427">
        <f t="shared" si="1173"/>
        <v>0</v>
      </c>
      <c r="U455" s="418">
        <f t="shared" si="1174"/>
        <v>0</v>
      </c>
      <c r="V455" s="517">
        <f t="shared" si="1175"/>
        <v>0</v>
      </c>
      <c r="W455" s="428">
        <f t="shared" si="1176"/>
        <v>0</v>
      </c>
      <c r="X455" s="429">
        <f t="shared" si="1177"/>
        <v>0</v>
      </c>
      <c r="Y455" s="92"/>
      <c r="AA455" s="53"/>
      <c r="AB455" s="578"/>
      <c r="AC455" s="578"/>
      <c r="AD455" s="578"/>
      <c r="AE455" s="578"/>
      <c r="AF455" s="579"/>
      <c r="AG455" s="579"/>
      <c r="AH455" s="579"/>
      <c r="AI455" s="579"/>
      <c r="AJ455" s="579"/>
      <c r="AK455" s="579"/>
      <c r="AL455" s="1563"/>
      <c r="AM455" s="579"/>
      <c r="AN455" s="579"/>
      <c r="AO455" s="579"/>
      <c r="AP455" s="579"/>
      <c r="AQ455" s="579"/>
      <c r="AR455" s="579"/>
      <c r="AS455" s="579"/>
      <c r="AT455" s="579"/>
      <c r="AU455" s="579"/>
      <c r="AV455" s="579"/>
      <c r="AW455" s="579"/>
      <c r="AX455" s="579"/>
      <c r="AY455" s="579"/>
      <c r="AZ455" s="579"/>
      <c r="BA455" s="579"/>
      <c r="BB455" s="579"/>
      <c r="BC455" s="579"/>
      <c r="BD455" s="579"/>
      <c r="BE455" s="579"/>
      <c r="BF455" s="579"/>
      <c r="BG455" s="579"/>
      <c r="BH455" s="579"/>
      <c r="BI455" s="579"/>
      <c r="BJ455" s="579"/>
      <c r="BK455" s="579"/>
      <c r="BL455" s="579"/>
      <c r="BM455" s="579"/>
      <c r="BN455" s="579"/>
      <c r="BO455" s="579"/>
      <c r="BP455" s="579"/>
      <c r="BQ455" s="579"/>
      <c r="BR455" s="579"/>
      <c r="BS455" s="579"/>
      <c r="BT455" s="579"/>
      <c r="BU455" s="579"/>
      <c r="BV455" s="579"/>
      <c r="BW455" s="579"/>
      <c r="BX455" s="579"/>
      <c r="BY455" s="579"/>
      <c r="BZ455" s="579"/>
      <c r="CA455" s="579"/>
      <c r="CB455" s="594"/>
      <c r="CC455" s="579"/>
      <c r="CD455" s="579"/>
      <c r="CE455" s="579"/>
      <c r="CF455" s="579"/>
      <c r="CG455" s="579"/>
      <c r="CH455" s="579"/>
      <c r="CI455" s="579"/>
      <c r="CJ455" s="579"/>
      <c r="CK455" s="579"/>
      <c r="CL455" s="579"/>
      <c r="CM455" s="579"/>
      <c r="CN455" s="579"/>
      <c r="CO455" s="579"/>
      <c r="CP455" s="579"/>
      <c r="CQ455" s="579"/>
      <c r="CR455" s="579"/>
      <c r="CS455" s="579"/>
      <c r="CT455" s="579"/>
      <c r="CU455" s="579"/>
      <c r="CV455" s="594"/>
      <c r="CW455" s="579"/>
      <c r="CX455" s="579"/>
      <c r="CY455" s="579"/>
      <c r="CZ455" s="579"/>
      <c r="DA455" s="579"/>
      <c r="DB455" s="579"/>
      <c r="DC455" s="579"/>
      <c r="DD455" s="579"/>
      <c r="DE455" s="595"/>
      <c r="DF455" s="595"/>
      <c r="DG455" s="579"/>
      <c r="DH455" s="579"/>
      <c r="DI455" s="579"/>
      <c r="DJ455" s="579"/>
      <c r="DK455" s="579"/>
      <c r="DL455" s="579"/>
      <c r="DM455" s="579"/>
      <c r="DN455" s="594">
        <f>+Q455</f>
        <v>0</v>
      </c>
      <c r="DO455" s="579"/>
      <c r="DP455" s="579"/>
    </row>
    <row r="456" spans="1:120" hidden="1" outlineLevel="1">
      <c r="A456" s="89">
        <v>1110052010</v>
      </c>
      <c r="B456" s="90"/>
      <c r="C456" s="1476" t="s">
        <v>64</v>
      </c>
      <c r="D456" s="1469"/>
      <c r="E456" s="1470"/>
      <c r="F456" s="420"/>
      <c r="G456" s="1256"/>
      <c r="H456" s="421"/>
      <c r="I456" s="422"/>
      <c r="J456" s="1425">
        <v>1</v>
      </c>
      <c r="K456" s="1426">
        <v>1</v>
      </c>
      <c r="L456" s="1043"/>
      <c r="M456" s="1594">
        <f t="shared" si="1179"/>
        <v>0</v>
      </c>
      <c r="N456" s="415"/>
      <c r="O456" s="424">
        <f t="shared" si="1171"/>
        <v>0</v>
      </c>
      <c r="P456" s="425"/>
      <c r="Q456" s="1340">
        <f t="shared" si="1186"/>
        <v>0</v>
      </c>
      <c r="R456" s="426"/>
      <c r="S456" s="426"/>
      <c r="T456" s="427">
        <f t="shared" si="1173"/>
        <v>0</v>
      </c>
      <c r="U456" s="418">
        <f t="shared" si="1174"/>
        <v>0</v>
      </c>
      <c r="V456" s="517">
        <f t="shared" si="1175"/>
        <v>0</v>
      </c>
      <c r="W456" s="428">
        <f t="shared" si="1176"/>
        <v>0</v>
      </c>
      <c r="X456" s="429">
        <f t="shared" si="1177"/>
        <v>0</v>
      </c>
      <c r="Y456" s="92"/>
      <c r="AA456" s="53"/>
      <c r="AB456" s="578"/>
      <c r="AC456" s="578"/>
      <c r="AD456" s="578"/>
      <c r="AE456" s="578"/>
      <c r="AF456" s="579"/>
      <c r="AG456" s="579"/>
      <c r="AH456" s="579"/>
      <c r="AI456" s="579"/>
      <c r="AJ456" s="579"/>
      <c r="AK456" s="579"/>
      <c r="AL456" s="1563"/>
      <c r="AM456" s="579"/>
      <c r="AN456" s="579"/>
      <c r="AO456" s="579"/>
      <c r="AP456" s="579"/>
      <c r="AQ456" s="579"/>
      <c r="AR456" s="579"/>
      <c r="AS456" s="579"/>
      <c r="AT456" s="579"/>
      <c r="AU456" s="579"/>
      <c r="AV456" s="579"/>
      <c r="AW456" s="579"/>
      <c r="AX456" s="579"/>
      <c r="AY456" s="579"/>
      <c r="AZ456" s="579"/>
      <c r="BA456" s="579"/>
      <c r="BB456" s="579"/>
      <c r="BC456" s="579"/>
      <c r="BD456" s="579"/>
      <c r="BE456" s="579"/>
      <c r="BF456" s="579"/>
      <c r="BG456" s="579"/>
      <c r="BH456" s="579"/>
      <c r="BI456" s="579"/>
      <c r="BJ456" s="579"/>
      <c r="BK456" s="579"/>
      <c r="BL456" s="579"/>
      <c r="BM456" s="579"/>
      <c r="BN456" s="579"/>
      <c r="BO456" s="579"/>
      <c r="BP456" s="579"/>
      <c r="BQ456" s="579"/>
      <c r="BR456" s="579"/>
      <c r="BS456" s="579"/>
      <c r="BT456" s="579"/>
      <c r="BU456" s="579"/>
      <c r="BV456" s="579"/>
      <c r="BW456" s="579"/>
      <c r="BX456" s="579"/>
      <c r="BY456" s="579"/>
      <c r="BZ456" s="579"/>
      <c r="CA456" s="579"/>
      <c r="CB456" s="579"/>
      <c r="CC456" s="579"/>
      <c r="CD456" s="579"/>
      <c r="CE456" s="595"/>
      <c r="CF456" s="595"/>
      <c r="CG456" s="579"/>
      <c r="CH456" s="579"/>
      <c r="CI456" s="579"/>
      <c r="CJ456" s="579"/>
      <c r="CK456" s="579"/>
      <c r="CL456" s="579"/>
      <c r="CM456" s="579"/>
      <c r="CN456" s="579"/>
      <c r="CO456" s="579"/>
      <c r="CP456" s="579"/>
      <c r="CQ456" s="579"/>
      <c r="CR456" s="579"/>
      <c r="CS456" s="594"/>
      <c r="CT456" s="579"/>
      <c r="CU456" s="579"/>
      <c r="CV456" s="579"/>
      <c r="CW456" s="594"/>
      <c r="CX456" s="579"/>
      <c r="CY456" s="579"/>
      <c r="CZ456" s="579"/>
      <c r="DA456" s="579"/>
      <c r="DB456" s="579"/>
      <c r="DC456" s="579"/>
      <c r="DD456" s="579"/>
      <c r="DE456" s="579"/>
      <c r="DF456" s="579"/>
      <c r="DG456" s="579"/>
      <c r="DH456" s="579"/>
      <c r="DI456" s="579"/>
      <c r="DJ456" s="579"/>
      <c r="DK456" s="579"/>
      <c r="DL456" s="579"/>
      <c r="DM456" s="579"/>
      <c r="DN456" s="579"/>
      <c r="DO456" s="594">
        <f>+M456</f>
        <v>0</v>
      </c>
      <c r="DP456" s="579"/>
    </row>
    <row r="457" spans="1:120" hidden="1" outlineLevel="1">
      <c r="A457" s="89">
        <v>1110052010</v>
      </c>
      <c r="B457" s="2278"/>
      <c r="C457" s="1476" t="s">
        <v>64</v>
      </c>
      <c r="D457" s="1469"/>
      <c r="E457" s="1470"/>
      <c r="F457" s="420"/>
      <c r="G457" s="1256"/>
      <c r="H457" s="421"/>
      <c r="I457" s="422"/>
      <c r="J457" s="1425">
        <v>1</v>
      </c>
      <c r="K457" s="1426">
        <v>1</v>
      </c>
      <c r="L457" s="1043"/>
      <c r="M457" s="1594">
        <f t="shared" si="1179"/>
        <v>0</v>
      </c>
      <c r="N457" s="415"/>
      <c r="O457" s="424">
        <f t="shared" ref="O457" si="1274">+L457*N457</f>
        <v>0</v>
      </c>
      <c r="P457" s="425"/>
      <c r="Q457" s="1340">
        <f t="shared" si="1186"/>
        <v>0</v>
      </c>
      <c r="R457" s="426"/>
      <c r="S457" s="426"/>
      <c r="T457" s="427">
        <f t="shared" ref="T457" si="1275">+P457*S457</f>
        <v>0</v>
      </c>
      <c r="U457" s="418">
        <f t="shared" ref="U457" si="1276">+L457+P457+F457</f>
        <v>0</v>
      </c>
      <c r="V457" s="517">
        <f t="shared" ref="V457" si="1277">+P457*R457+L457*N457+F457*H457</f>
        <v>0</v>
      </c>
      <c r="W457" s="428">
        <f t="shared" ref="W457" si="1278">(IF(R457&gt;S457,(-P457*R457)-(-P457*S457),0))</f>
        <v>0</v>
      </c>
      <c r="X457" s="429">
        <f t="shared" ref="X457" si="1279">(IF(R457&lt;S457,(-P457*R457)-(-P457*S457),0))</f>
        <v>0</v>
      </c>
      <c r="Y457" s="92"/>
      <c r="AA457" s="53"/>
      <c r="AB457" s="578"/>
      <c r="AC457" s="578"/>
      <c r="AD457" s="578"/>
      <c r="AE457" s="578"/>
      <c r="AF457" s="579"/>
      <c r="AG457" s="579"/>
      <c r="AH457" s="579"/>
      <c r="AI457" s="579"/>
      <c r="AJ457" s="579"/>
      <c r="AK457" s="579"/>
      <c r="AL457" s="1563"/>
      <c r="AM457" s="579"/>
      <c r="AN457" s="579"/>
      <c r="AO457" s="579"/>
      <c r="AP457" s="579"/>
      <c r="AQ457" s="579"/>
      <c r="AR457" s="579"/>
      <c r="AS457" s="579"/>
      <c r="AT457" s="579"/>
      <c r="AU457" s="579"/>
      <c r="AV457" s="579"/>
      <c r="AW457" s="579"/>
      <c r="AX457" s="579"/>
      <c r="AY457" s="579"/>
      <c r="AZ457" s="579"/>
      <c r="BA457" s="579"/>
      <c r="BB457" s="579"/>
      <c r="BC457" s="579"/>
      <c r="BD457" s="579"/>
      <c r="BE457" s="579"/>
      <c r="BF457" s="579"/>
      <c r="BG457" s="579"/>
      <c r="BH457" s="579"/>
      <c r="BI457" s="579"/>
      <c r="BJ457" s="579"/>
      <c r="BK457" s="579"/>
      <c r="BL457" s="579"/>
      <c r="BM457" s="579"/>
      <c r="BN457" s="579"/>
      <c r="BO457" s="579"/>
      <c r="BP457" s="579"/>
      <c r="BQ457" s="579"/>
      <c r="BR457" s="579"/>
      <c r="BS457" s="579"/>
      <c r="BT457" s="579"/>
      <c r="BU457" s="579"/>
      <c r="BV457" s="579"/>
      <c r="BW457" s="579"/>
      <c r="BX457" s="579"/>
      <c r="BY457" s="579"/>
      <c r="BZ457" s="579"/>
      <c r="CA457" s="579"/>
      <c r="CB457" s="594"/>
      <c r="CC457" s="579"/>
      <c r="CD457" s="594"/>
      <c r="CE457" s="579"/>
      <c r="CF457" s="594"/>
      <c r="CG457" s="579"/>
      <c r="CH457" s="579"/>
      <c r="CI457" s="579"/>
      <c r="CJ457" s="579"/>
      <c r="CK457" s="579"/>
      <c r="CL457" s="579"/>
      <c r="CM457" s="579"/>
      <c r="CN457" s="579"/>
      <c r="CO457" s="579"/>
      <c r="CP457" s="579"/>
      <c r="CQ457" s="579"/>
      <c r="CR457" s="579"/>
      <c r="CS457" s="579"/>
      <c r="CT457" s="579"/>
      <c r="CU457" s="579"/>
      <c r="CV457" s="594"/>
      <c r="CW457" s="579"/>
      <c r="CX457" s="579"/>
      <c r="CY457" s="579"/>
      <c r="CZ457" s="579"/>
      <c r="DA457" s="579"/>
      <c r="DB457" s="579"/>
      <c r="DC457" s="594"/>
      <c r="DD457" s="579"/>
      <c r="DE457" s="579"/>
      <c r="DF457" s="579"/>
      <c r="DG457" s="579"/>
      <c r="DH457" s="579"/>
      <c r="DI457" s="579"/>
      <c r="DJ457" s="579"/>
      <c r="DK457" s="579"/>
      <c r="DL457" s="579"/>
      <c r="DM457" s="579"/>
      <c r="DN457" s="594">
        <f>+Q457</f>
        <v>0</v>
      </c>
      <c r="DO457" s="579"/>
      <c r="DP457" s="579"/>
    </row>
    <row r="458" spans="1:120" hidden="1" outlineLevel="1">
      <c r="A458" s="89">
        <v>1110052010</v>
      </c>
      <c r="B458" s="2278"/>
      <c r="C458" s="1476" t="s">
        <v>64</v>
      </c>
      <c r="D458" s="1469"/>
      <c r="E458" s="1470"/>
      <c r="F458" s="420"/>
      <c r="G458" s="1256"/>
      <c r="H458" s="421"/>
      <c r="I458" s="422"/>
      <c r="J458" s="1425">
        <v>1</v>
      </c>
      <c r="K458" s="1426">
        <v>1</v>
      </c>
      <c r="L458" s="1043"/>
      <c r="M458" s="1594">
        <f t="shared" si="1179"/>
        <v>0</v>
      </c>
      <c r="N458" s="415"/>
      <c r="O458" s="424">
        <f t="shared" ref="O458:O459" si="1280">+L458*N458</f>
        <v>0</v>
      </c>
      <c r="P458" s="425"/>
      <c r="Q458" s="1340">
        <f t="shared" si="1186"/>
        <v>0</v>
      </c>
      <c r="R458" s="426"/>
      <c r="S458" s="426"/>
      <c r="T458" s="427">
        <f t="shared" ref="T458:T459" si="1281">+P458*S458</f>
        <v>0</v>
      </c>
      <c r="U458" s="418">
        <f t="shared" ref="U458:U459" si="1282">+L458+P458+F458</f>
        <v>0</v>
      </c>
      <c r="V458" s="517">
        <f t="shared" ref="V458:V459" si="1283">+P458*R458+L458*N458+F458*H458</f>
        <v>0</v>
      </c>
      <c r="W458" s="428">
        <f t="shared" ref="W458:W459" si="1284">(IF(R458&gt;S458,(-P458*R458)-(-P458*S458),0))</f>
        <v>0</v>
      </c>
      <c r="X458" s="429">
        <f t="shared" ref="X458:X459" si="1285">(IF(R458&lt;S458,(-P458*R458)-(-P458*S458),0))</f>
        <v>0</v>
      </c>
      <c r="Y458" s="92"/>
      <c r="AA458" s="53"/>
      <c r="AB458" s="578"/>
      <c r="AC458" s="578"/>
      <c r="AD458" s="578"/>
      <c r="AE458" s="578"/>
      <c r="AF458" s="579"/>
      <c r="AG458" s="579"/>
      <c r="AH458" s="579"/>
      <c r="AI458" s="579"/>
      <c r="AJ458" s="579"/>
      <c r="AK458" s="579"/>
      <c r="AL458" s="1563"/>
      <c r="AM458" s="579"/>
      <c r="AN458" s="579"/>
      <c r="AO458" s="579"/>
      <c r="AP458" s="579"/>
      <c r="AQ458" s="579"/>
      <c r="AR458" s="579"/>
      <c r="AS458" s="579"/>
      <c r="AT458" s="579"/>
      <c r="AU458" s="579"/>
      <c r="AV458" s="579"/>
      <c r="AW458" s="579"/>
      <c r="AX458" s="579"/>
      <c r="AY458" s="579"/>
      <c r="AZ458" s="579"/>
      <c r="BA458" s="579"/>
      <c r="BB458" s="579"/>
      <c r="BC458" s="579"/>
      <c r="BD458" s="579"/>
      <c r="BE458" s="579"/>
      <c r="BF458" s="579"/>
      <c r="BG458" s="579"/>
      <c r="BH458" s="579"/>
      <c r="BI458" s="579"/>
      <c r="BJ458" s="579"/>
      <c r="BK458" s="579"/>
      <c r="BL458" s="579"/>
      <c r="BM458" s="579"/>
      <c r="BN458" s="579"/>
      <c r="BO458" s="579"/>
      <c r="BP458" s="579"/>
      <c r="BQ458" s="579"/>
      <c r="BR458" s="579"/>
      <c r="BS458" s="579"/>
      <c r="BT458" s="579"/>
      <c r="BU458" s="579"/>
      <c r="BV458" s="579"/>
      <c r="BW458" s="579"/>
      <c r="BX458" s="579"/>
      <c r="BY458" s="579"/>
      <c r="BZ458" s="579"/>
      <c r="CA458" s="579"/>
      <c r="CB458" s="594"/>
      <c r="CC458" s="579"/>
      <c r="CD458" s="579"/>
      <c r="CE458" s="579"/>
      <c r="CF458" s="594"/>
      <c r="CG458" s="579"/>
      <c r="CH458" s="594"/>
      <c r="CI458" s="579"/>
      <c r="CJ458" s="579"/>
      <c r="CK458" s="579"/>
      <c r="CL458" s="579"/>
      <c r="CM458" s="579"/>
      <c r="CN458" s="579"/>
      <c r="CO458" s="579"/>
      <c r="CP458" s="579"/>
      <c r="CQ458" s="579"/>
      <c r="CR458" s="579"/>
      <c r="CS458" s="579"/>
      <c r="CT458" s="579"/>
      <c r="CU458" s="579"/>
      <c r="CV458" s="594"/>
      <c r="CW458" s="579"/>
      <c r="CX458" s="579"/>
      <c r="CY458" s="579"/>
      <c r="CZ458" s="579"/>
      <c r="DA458" s="579"/>
      <c r="DB458" s="579"/>
      <c r="DC458" s="594"/>
      <c r="DD458" s="579"/>
      <c r="DE458" s="579"/>
      <c r="DF458" s="579"/>
      <c r="DG458" s="579"/>
      <c r="DH458" s="579"/>
      <c r="DI458" s="579"/>
      <c r="DJ458" s="579"/>
      <c r="DK458" s="579"/>
      <c r="DL458" s="579"/>
      <c r="DM458" s="579"/>
      <c r="DN458" s="594">
        <f>+Q458</f>
        <v>0</v>
      </c>
      <c r="DO458" s="579"/>
      <c r="DP458" s="579"/>
    </row>
    <row r="459" spans="1:120" hidden="1" outlineLevel="1">
      <c r="A459" s="89">
        <v>1110052010</v>
      </c>
      <c r="B459" s="2278"/>
      <c r="C459" s="1476" t="s">
        <v>64</v>
      </c>
      <c r="D459" s="1469"/>
      <c r="E459" s="1470"/>
      <c r="F459" s="420"/>
      <c r="G459" s="1256"/>
      <c r="H459" s="421"/>
      <c r="I459" s="422"/>
      <c r="J459" s="1425">
        <v>1</v>
      </c>
      <c r="K459" s="1426">
        <v>1</v>
      </c>
      <c r="L459" s="1043"/>
      <c r="M459" s="1594">
        <f t="shared" si="1179"/>
        <v>0</v>
      </c>
      <c r="N459" s="415"/>
      <c r="O459" s="424">
        <f t="shared" si="1280"/>
        <v>0</v>
      </c>
      <c r="P459" s="425"/>
      <c r="Q459" s="1340">
        <f t="shared" si="1186"/>
        <v>0</v>
      </c>
      <c r="R459" s="426"/>
      <c r="S459" s="426"/>
      <c r="T459" s="427">
        <f t="shared" si="1281"/>
        <v>0</v>
      </c>
      <c r="U459" s="418">
        <f t="shared" si="1282"/>
        <v>0</v>
      </c>
      <c r="V459" s="517">
        <f t="shared" si="1283"/>
        <v>0</v>
      </c>
      <c r="W459" s="428">
        <f t="shared" si="1284"/>
        <v>0</v>
      </c>
      <c r="X459" s="429">
        <f t="shared" si="1285"/>
        <v>0</v>
      </c>
      <c r="Y459" s="92"/>
      <c r="AA459" s="53"/>
      <c r="AB459" s="578"/>
      <c r="AC459" s="578"/>
      <c r="AD459" s="578"/>
      <c r="AE459" s="578"/>
      <c r="AF459" s="579"/>
      <c r="AG459" s="579"/>
      <c r="AH459" s="579"/>
      <c r="AI459" s="579"/>
      <c r="AJ459" s="579"/>
      <c r="AK459" s="579"/>
      <c r="AL459" s="1563"/>
      <c r="AM459" s="579"/>
      <c r="AN459" s="579"/>
      <c r="AO459" s="579"/>
      <c r="AP459" s="579"/>
      <c r="AQ459" s="579"/>
      <c r="AR459" s="579"/>
      <c r="AS459" s="579"/>
      <c r="AT459" s="579"/>
      <c r="AU459" s="579"/>
      <c r="AV459" s="579"/>
      <c r="AW459" s="579"/>
      <c r="AX459" s="579"/>
      <c r="AY459" s="579"/>
      <c r="AZ459" s="579"/>
      <c r="BA459" s="579"/>
      <c r="BB459" s="579"/>
      <c r="BC459" s="579"/>
      <c r="BD459" s="579"/>
      <c r="BE459" s="579"/>
      <c r="BF459" s="579"/>
      <c r="BG459" s="579"/>
      <c r="BH459" s="579"/>
      <c r="BI459" s="579"/>
      <c r="BJ459" s="579"/>
      <c r="BK459" s="579"/>
      <c r="BL459" s="579"/>
      <c r="BM459" s="579"/>
      <c r="BN459" s="579"/>
      <c r="BO459" s="579"/>
      <c r="BP459" s="579"/>
      <c r="BQ459" s="579"/>
      <c r="BR459" s="579"/>
      <c r="BS459" s="579"/>
      <c r="BT459" s="579"/>
      <c r="BU459" s="579"/>
      <c r="BV459" s="579"/>
      <c r="BW459" s="579"/>
      <c r="BX459" s="579"/>
      <c r="BY459" s="579"/>
      <c r="BZ459" s="579"/>
      <c r="CA459" s="579"/>
      <c r="CB459" s="594"/>
      <c r="CC459" s="579"/>
      <c r="CD459" s="579"/>
      <c r="CE459" s="579"/>
      <c r="CF459" s="594"/>
      <c r="CG459" s="579"/>
      <c r="CH459" s="579"/>
      <c r="CI459" s="579"/>
      <c r="CJ459" s="579"/>
      <c r="CK459" s="594"/>
      <c r="CL459" s="579"/>
      <c r="CM459" s="579"/>
      <c r="CN459" s="579"/>
      <c r="CO459" s="579"/>
      <c r="CP459" s="579"/>
      <c r="CQ459" s="579"/>
      <c r="CR459" s="579"/>
      <c r="CS459" s="579"/>
      <c r="CT459" s="579"/>
      <c r="CU459" s="579"/>
      <c r="CV459" s="594"/>
      <c r="CW459" s="579"/>
      <c r="CX459" s="579"/>
      <c r="CY459" s="579"/>
      <c r="CZ459" s="579"/>
      <c r="DA459" s="579"/>
      <c r="DB459" s="579"/>
      <c r="DC459" s="594"/>
      <c r="DD459" s="579"/>
      <c r="DE459" s="579"/>
      <c r="DF459" s="579"/>
      <c r="DG459" s="579"/>
      <c r="DH459" s="579"/>
      <c r="DI459" s="579"/>
      <c r="DJ459" s="579"/>
      <c r="DK459" s="579"/>
      <c r="DL459" s="579"/>
      <c r="DM459" s="579"/>
      <c r="DN459" s="594">
        <f>+Q459</f>
        <v>0</v>
      </c>
      <c r="DO459" s="579"/>
      <c r="DP459" s="579"/>
    </row>
    <row r="460" spans="1:120" hidden="1" outlineLevel="1">
      <c r="A460" s="55"/>
      <c r="B460" s="509"/>
      <c r="C460" s="1476"/>
      <c r="D460" s="1469"/>
      <c r="E460" s="1470"/>
      <c r="F460" s="416"/>
      <c r="G460" s="1251"/>
      <c r="H460" s="511"/>
      <c r="I460" s="512"/>
      <c r="J460" s="1425">
        <v>1</v>
      </c>
      <c r="K460" s="1426">
        <v>1</v>
      </c>
      <c r="L460" s="419"/>
      <c r="M460" s="1337"/>
      <c r="N460" s="504"/>
      <c r="O460" s="513">
        <f>+L460*N460</f>
        <v>0</v>
      </c>
      <c r="P460" s="431"/>
      <c r="Q460" s="514"/>
      <c r="R460" s="515"/>
      <c r="S460" s="515"/>
      <c r="T460" s="562">
        <f>+P460*S460</f>
        <v>0</v>
      </c>
      <c r="U460" s="418">
        <f t="shared" si="1174"/>
        <v>0</v>
      </c>
      <c r="V460" s="517">
        <f t="shared" si="1175"/>
        <v>0</v>
      </c>
      <c r="W460" s="976">
        <f>(IF(R460&gt;S460,(-P460*R460)-(-P460*S460),0))</f>
        <v>0</v>
      </c>
      <c r="X460" s="975">
        <f>(IF(R460&lt;S460,(-P460*R460)-(-P460*S460),0))</f>
        <v>0</v>
      </c>
      <c r="Y460" s="519"/>
      <c r="AA460" s="53"/>
      <c r="AB460" s="578"/>
      <c r="AC460" s="578"/>
      <c r="AD460" s="578"/>
      <c r="AE460" s="578"/>
      <c r="AF460" s="579"/>
      <c r="AG460" s="579"/>
      <c r="AH460" s="579"/>
      <c r="AI460" s="579"/>
      <c r="AJ460" s="579"/>
      <c r="AK460" s="579"/>
      <c r="AL460" s="1563"/>
      <c r="AM460" s="579"/>
      <c r="AN460" s="579"/>
      <c r="AO460" s="579"/>
      <c r="AP460" s="579"/>
      <c r="AQ460" s="579"/>
      <c r="AR460" s="579"/>
      <c r="AS460" s="579"/>
      <c r="AT460" s="579"/>
      <c r="AU460" s="579"/>
      <c r="AV460" s="579"/>
      <c r="AW460" s="579"/>
      <c r="AX460" s="579"/>
      <c r="AY460" s="579"/>
      <c r="AZ460" s="579"/>
      <c r="BA460" s="579"/>
      <c r="BB460" s="579"/>
      <c r="BC460" s="579"/>
      <c r="BD460" s="579"/>
      <c r="BE460" s="579"/>
      <c r="BF460" s="579"/>
      <c r="BG460" s="579"/>
      <c r="BH460" s="579"/>
      <c r="BI460" s="579"/>
      <c r="BJ460" s="579"/>
      <c r="BK460" s="579"/>
      <c r="BL460" s="579"/>
      <c r="BM460" s="579"/>
      <c r="BN460" s="579"/>
      <c r="BO460" s="579"/>
      <c r="BP460" s="579"/>
      <c r="BQ460" s="579"/>
      <c r="BR460" s="579"/>
      <c r="BS460" s="579"/>
      <c r="BT460" s="579"/>
      <c r="BU460" s="579"/>
      <c r="BV460" s="579"/>
      <c r="BW460" s="579"/>
      <c r="BX460" s="579"/>
      <c r="BY460" s="579"/>
      <c r="BZ460" s="579"/>
      <c r="CA460" s="579"/>
      <c r="CB460" s="579"/>
      <c r="CC460" s="579"/>
      <c r="CD460" s="579"/>
      <c r="CE460" s="579"/>
      <c r="CF460" s="579"/>
      <c r="CG460" s="579"/>
      <c r="CH460" s="579"/>
      <c r="CI460" s="579"/>
      <c r="CJ460" s="579"/>
      <c r="CK460" s="579"/>
      <c r="CL460" s="579"/>
      <c r="CM460" s="579"/>
      <c r="CN460" s="579"/>
      <c r="CO460" s="579"/>
      <c r="CP460" s="579"/>
      <c r="CQ460" s="579"/>
      <c r="CR460" s="579"/>
      <c r="CS460" s="579"/>
      <c r="CT460" s="579"/>
      <c r="CU460" s="579"/>
      <c r="CV460" s="579"/>
      <c r="CW460" s="579"/>
      <c r="CX460" s="579"/>
      <c r="CY460" s="579"/>
      <c r="CZ460" s="579"/>
      <c r="DA460" s="579"/>
      <c r="DB460" s="579"/>
      <c r="DC460" s="579"/>
      <c r="DD460" s="579"/>
      <c r="DE460" s="579"/>
      <c r="DF460" s="579"/>
      <c r="DG460" s="579"/>
      <c r="DH460" s="579"/>
      <c r="DI460" s="579"/>
      <c r="DJ460" s="579"/>
      <c r="DK460" s="579"/>
      <c r="DL460" s="579"/>
      <c r="DM460" s="579"/>
      <c r="DN460" s="579"/>
      <c r="DO460" s="579"/>
      <c r="DP460" s="579"/>
    </row>
    <row r="461" spans="1:120" ht="16.5" collapsed="1" thickBot="1">
      <c r="A461" s="62" t="s">
        <v>237</v>
      </c>
      <c r="B461" s="63"/>
      <c r="C461" s="184"/>
      <c r="D461" s="1473"/>
      <c r="E461" s="1474"/>
      <c r="F461" s="66">
        <f>SUM(F409:F460)</f>
        <v>0</v>
      </c>
      <c r="G461" s="1253"/>
      <c r="H461" s="67"/>
      <c r="I461" s="68">
        <f>SUM(I409:I460)</f>
        <v>0</v>
      </c>
      <c r="J461" s="1376"/>
      <c r="K461" s="76"/>
      <c r="L461" s="1051">
        <f>SUM(L409:L460)</f>
        <v>0</v>
      </c>
      <c r="M461" s="1598"/>
      <c r="N461" s="70"/>
      <c r="O461" s="71">
        <f>SUM(O409:O460)</f>
        <v>0</v>
      </c>
      <c r="P461" s="72">
        <f>SUM(P409:P460)</f>
        <v>0</v>
      </c>
      <c r="Q461" s="1339"/>
      <c r="R461" s="73"/>
      <c r="S461" s="73"/>
      <c r="T461" s="96">
        <f>SUM(T409:T460)</f>
        <v>0</v>
      </c>
      <c r="U461" s="66">
        <f>SUM(U409:U460)</f>
        <v>0</v>
      </c>
      <c r="V461" s="76">
        <f>SUM(V409:V460)</f>
        <v>0</v>
      </c>
      <c r="W461" s="97">
        <f>SUM(W409:W460)</f>
        <v>0</v>
      </c>
      <c r="X461" s="98">
        <f>SUM(X409:X460)</f>
        <v>0</v>
      </c>
      <c r="Y461" s="43"/>
      <c r="AA461" s="79">
        <f t="shared" ref="AA461:BF461" ca="1" si="1286">SUM(AA407:AA460)</f>
        <v>-2.7939677238464355E-9</v>
      </c>
      <c r="AB461" s="130">
        <f t="shared" ca="1" si="1286"/>
        <v>0</v>
      </c>
      <c r="AC461" s="130">
        <f t="shared" ca="1" si="1286"/>
        <v>0</v>
      </c>
      <c r="AD461" s="130">
        <f t="shared" ca="1" si="1286"/>
        <v>0</v>
      </c>
      <c r="AE461" s="130">
        <f t="shared" ca="1" si="1286"/>
        <v>0</v>
      </c>
      <c r="AF461" s="130">
        <f t="shared" ca="1" si="1286"/>
        <v>0</v>
      </c>
      <c r="AG461" s="130">
        <f t="shared" ca="1" si="1286"/>
        <v>0</v>
      </c>
      <c r="AH461" s="130">
        <f t="shared" ca="1" si="1286"/>
        <v>0</v>
      </c>
      <c r="AI461" s="130">
        <f t="shared" ca="1" si="1286"/>
        <v>0</v>
      </c>
      <c r="AJ461" s="130">
        <f t="shared" ca="1" si="1286"/>
        <v>-2.3283064365386963E-10</v>
      </c>
      <c r="AK461" s="130">
        <f t="shared" ca="1" si="1286"/>
        <v>-2.3283064365386963E-10</v>
      </c>
      <c r="AL461" s="130">
        <f t="shared" ca="1" si="1286"/>
        <v>0</v>
      </c>
      <c r="AM461" s="130">
        <f t="shared" ca="1" si="1286"/>
        <v>2.3283064365386963E-10</v>
      </c>
      <c r="AN461" s="130">
        <f t="shared" ca="1" si="1286"/>
        <v>0</v>
      </c>
      <c r="AO461" s="130">
        <f t="shared" ca="1" si="1286"/>
        <v>0</v>
      </c>
      <c r="AP461" s="130">
        <f t="shared" ca="1" si="1286"/>
        <v>0</v>
      </c>
      <c r="AQ461" s="130">
        <f t="shared" ca="1" si="1286"/>
        <v>0</v>
      </c>
      <c r="AR461" s="130">
        <f t="shared" ca="1" si="1286"/>
        <v>0</v>
      </c>
      <c r="AS461" s="130">
        <f t="shared" ca="1" si="1286"/>
        <v>-4.3655745685100555E-11</v>
      </c>
      <c r="AT461" s="130">
        <f t="shared" ca="1" si="1286"/>
        <v>0</v>
      </c>
      <c r="AU461" s="130">
        <f t="shared" ca="1" si="1286"/>
        <v>0</v>
      </c>
      <c r="AV461" s="130">
        <f t="shared" ca="1" si="1286"/>
        <v>-2.3283064365386963E-10</v>
      </c>
      <c r="AW461" s="130">
        <f t="shared" ca="1" si="1286"/>
        <v>-2.3283064365386963E-10</v>
      </c>
      <c r="AX461" s="130">
        <f t="shared" ca="1" si="1286"/>
        <v>0</v>
      </c>
      <c r="AY461" s="130">
        <f t="shared" ca="1" si="1286"/>
        <v>0</v>
      </c>
      <c r="AZ461" s="130">
        <f t="shared" ca="1" si="1286"/>
        <v>0</v>
      </c>
      <c r="BA461" s="130">
        <f t="shared" ca="1" si="1286"/>
        <v>1375193.1800000004</v>
      </c>
      <c r="BB461" s="130">
        <f t="shared" ca="1" si="1286"/>
        <v>0</v>
      </c>
      <c r="BC461" s="130">
        <f t="shared" ca="1" si="1286"/>
        <v>0</v>
      </c>
      <c r="BD461" s="130">
        <f t="shared" ca="1" si="1286"/>
        <v>0</v>
      </c>
      <c r="BE461" s="130">
        <f t="shared" ca="1" si="1286"/>
        <v>0</v>
      </c>
      <c r="BF461" s="130">
        <f t="shared" ca="1" si="1286"/>
        <v>0</v>
      </c>
      <c r="BG461" s="130">
        <f t="shared" ref="BG461:CL461" ca="1" si="1287">SUM(BG407:BG460)</f>
        <v>0</v>
      </c>
      <c r="BH461" s="130">
        <f t="shared" ca="1" si="1287"/>
        <v>0</v>
      </c>
      <c r="BI461" s="130">
        <f t="shared" ca="1" si="1287"/>
        <v>0</v>
      </c>
      <c r="BJ461" s="130">
        <f t="shared" ca="1" si="1287"/>
        <v>0</v>
      </c>
      <c r="BK461" s="130">
        <f t="shared" ca="1" si="1287"/>
        <v>0</v>
      </c>
      <c r="BL461" s="130">
        <f t="shared" ca="1" si="1287"/>
        <v>0</v>
      </c>
      <c r="BM461" s="130">
        <f t="shared" ca="1" si="1287"/>
        <v>0</v>
      </c>
      <c r="BN461" s="130">
        <f t="shared" ca="1" si="1287"/>
        <v>0</v>
      </c>
      <c r="BO461" s="130">
        <f t="shared" ca="1" si="1287"/>
        <v>0</v>
      </c>
      <c r="BP461" s="130">
        <f t="shared" ca="1" si="1287"/>
        <v>0</v>
      </c>
      <c r="BQ461" s="130">
        <f t="shared" ca="1" si="1287"/>
        <v>0</v>
      </c>
      <c r="BR461" s="130">
        <f t="shared" ca="1" si="1287"/>
        <v>0</v>
      </c>
      <c r="BS461" s="130">
        <f t="shared" ca="1" si="1287"/>
        <v>0</v>
      </c>
      <c r="BT461" s="130">
        <f t="shared" ca="1" si="1287"/>
        <v>0</v>
      </c>
      <c r="BU461" s="130">
        <f t="shared" ca="1" si="1287"/>
        <v>0</v>
      </c>
      <c r="BV461" s="130">
        <f t="shared" ca="1" si="1287"/>
        <v>0</v>
      </c>
      <c r="BW461" s="130">
        <f t="shared" ca="1" si="1287"/>
        <v>0</v>
      </c>
      <c r="BX461" s="130">
        <f t="shared" ca="1" si="1287"/>
        <v>0</v>
      </c>
      <c r="BY461" s="130">
        <f t="shared" ca="1" si="1287"/>
        <v>0</v>
      </c>
      <c r="BZ461" s="130">
        <f t="shared" ca="1" si="1287"/>
        <v>0</v>
      </c>
      <c r="CA461" s="130">
        <f t="shared" ca="1" si="1287"/>
        <v>0</v>
      </c>
      <c r="CB461" s="130">
        <f t="shared" ca="1" si="1287"/>
        <v>0</v>
      </c>
      <c r="CC461" s="130">
        <f t="shared" ca="1" si="1287"/>
        <v>4.0972736314870402E-10</v>
      </c>
      <c r="CD461" s="130">
        <f t="shared" ca="1" si="1287"/>
        <v>0</v>
      </c>
      <c r="CE461" s="130">
        <f t="shared" ca="1" si="1287"/>
        <v>0</v>
      </c>
      <c r="CF461" s="130">
        <f t="shared" ca="1" si="1287"/>
        <v>0</v>
      </c>
      <c r="CG461" s="130">
        <f t="shared" ca="1" si="1287"/>
        <v>0</v>
      </c>
      <c r="CH461" s="130">
        <f t="shared" ca="1" si="1287"/>
        <v>0</v>
      </c>
      <c r="CI461" s="130">
        <f t="shared" ca="1" si="1287"/>
        <v>0</v>
      </c>
      <c r="CJ461" s="130">
        <f t="shared" ca="1" si="1287"/>
        <v>0</v>
      </c>
      <c r="CK461" s="130">
        <f t="shared" ca="1" si="1287"/>
        <v>0</v>
      </c>
      <c r="CL461" s="130">
        <f t="shared" ca="1" si="1287"/>
        <v>0</v>
      </c>
      <c r="CM461" s="130">
        <f t="shared" ref="CM461:DP461" ca="1" si="1288">SUM(CM407:CM460)</f>
        <v>0</v>
      </c>
      <c r="CN461" s="130">
        <f t="shared" ca="1" si="1288"/>
        <v>0</v>
      </c>
      <c r="CO461" s="130">
        <f t="shared" ca="1" si="1288"/>
        <v>0</v>
      </c>
      <c r="CP461" s="130">
        <f t="shared" ca="1" si="1288"/>
        <v>0</v>
      </c>
      <c r="CQ461" s="130">
        <f t="shared" ca="1" si="1288"/>
        <v>0</v>
      </c>
      <c r="CR461" s="130">
        <f t="shared" ca="1" si="1288"/>
        <v>0</v>
      </c>
      <c r="CS461" s="130">
        <f t="shared" ca="1" si="1288"/>
        <v>0</v>
      </c>
      <c r="CT461" s="130">
        <f t="shared" ca="1" si="1288"/>
        <v>0</v>
      </c>
      <c r="CU461" s="130">
        <f t="shared" ca="1" si="1288"/>
        <v>0</v>
      </c>
      <c r="CV461" s="130">
        <f t="shared" ca="1" si="1288"/>
        <v>0</v>
      </c>
      <c r="CW461" s="130">
        <f t="shared" ca="1" si="1288"/>
        <v>0</v>
      </c>
      <c r="CX461" s="130">
        <f t="shared" ca="1" si="1288"/>
        <v>0</v>
      </c>
      <c r="CY461" s="130">
        <f t="shared" ca="1" si="1288"/>
        <v>0</v>
      </c>
      <c r="CZ461" s="130">
        <f t="shared" ca="1" si="1288"/>
        <v>0</v>
      </c>
      <c r="DA461" s="130">
        <f t="shared" ca="1" si="1288"/>
        <v>0</v>
      </c>
      <c r="DB461" s="130">
        <f t="shared" ca="1" si="1288"/>
        <v>0</v>
      </c>
      <c r="DC461" s="130">
        <f t="shared" ca="1" si="1288"/>
        <v>0</v>
      </c>
      <c r="DD461" s="130">
        <f t="shared" ca="1" si="1288"/>
        <v>0</v>
      </c>
      <c r="DE461" s="130">
        <f t="shared" ca="1" si="1288"/>
        <v>0</v>
      </c>
      <c r="DF461" s="130">
        <f t="shared" ca="1" si="1288"/>
        <v>0</v>
      </c>
      <c r="DG461" s="130">
        <f t="shared" ca="1" si="1288"/>
        <v>0</v>
      </c>
      <c r="DH461" s="130">
        <f t="shared" ca="1" si="1288"/>
        <v>0</v>
      </c>
      <c r="DI461" s="130">
        <f t="shared" ca="1" si="1288"/>
        <v>0</v>
      </c>
      <c r="DJ461" s="130">
        <f t="shared" ca="1" si="1288"/>
        <v>0</v>
      </c>
      <c r="DK461" s="130">
        <f t="shared" ca="1" si="1288"/>
        <v>0</v>
      </c>
      <c r="DL461" s="130">
        <f t="shared" ca="1" si="1288"/>
        <v>0</v>
      </c>
      <c r="DM461" s="130">
        <f t="shared" ca="1" si="1288"/>
        <v>0</v>
      </c>
      <c r="DN461" s="130">
        <f t="shared" ca="1" si="1288"/>
        <v>0</v>
      </c>
      <c r="DO461" s="130">
        <f t="shared" ca="1" si="1288"/>
        <v>0</v>
      </c>
      <c r="DP461" s="130">
        <f t="shared" ca="1" si="1288"/>
        <v>0</v>
      </c>
    </row>
    <row r="462" spans="1:120" ht="15.75" thickBot="1"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</row>
    <row r="463" spans="1:120" s="147" customFormat="1" ht="19.5" thickBot="1">
      <c r="A463" s="603" t="s">
        <v>80</v>
      </c>
      <c r="B463" s="604"/>
      <c r="C463" s="605"/>
      <c r="D463" s="605"/>
      <c r="E463" s="606"/>
      <c r="F463" s="607">
        <f>+F64+F39+F111+F140+F210+F461+F407+F358+F329+F308+F276+F244+SUM(F8:F8)</f>
        <v>15106739.329999998</v>
      </c>
      <c r="G463" s="607"/>
      <c r="H463" s="608"/>
      <c r="I463" s="609">
        <f>+I64+I39+I111+I140+I210+I461+I407+I358+I329+I308+I276+I244+SUM(I8:I8)</f>
        <v>71917294321.79129</v>
      </c>
      <c r="J463" s="609"/>
      <c r="K463" s="609"/>
      <c r="L463" s="607">
        <f>+L64+L39+L111+L140+L210+L461+L407+L358+L329+L308+L276+L244+SUM(L8:L8)</f>
        <v>88399066.790000007</v>
      </c>
      <c r="M463" s="607"/>
      <c r="N463" s="608"/>
      <c r="O463" s="609">
        <f ca="1">+O64+O39+O111+O140+O210+O461+O407+O358+O329+O308+O276+O244+SUM(O8:O8)</f>
        <v>417314817618.21039</v>
      </c>
      <c r="P463" s="607">
        <f>+P64+P39+P111+P140+P210+P461+P407+P358+P329+P308+P276+P244+SUM(P8:P8)</f>
        <v>-102138035.78</v>
      </c>
      <c r="Q463" s="607"/>
      <c r="R463" s="608"/>
      <c r="S463" s="608"/>
      <c r="T463" s="609">
        <f ca="1">+T64+T39+T111+T140+T210+T461+T407+T358+T329+T308+T276+T244+SUM(T8:T8)</f>
        <v>-483067822666.65179</v>
      </c>
      <c r="U463" s="607">
        <f>+U64+U39+U111+U140+U210+U461+U407+U358+U329+U308+U276+U244+SUM(U8:U9)</f>
        <v>1375193.1799999923</v>
      </c>
      <c r="V463" s="609">
        <f ca="1">+V39+V64+V111+V140+V210+V244+V276+V308+V329+V358+V407+V461+SUM(V8:V9)</f>
        <v>6330014207.539978</v>
      </c>
      <c r="W463" s="609">
        <f ca="1">+W64+W39+W111+W140+W210+W461+W407+W358+W329+W308+W276+W244+SUM(W8:W8)</f>
        <v>3842737212.2916918</v>
      </c>
      <c r="X463" s="609">
        <f ca="1">+X64+X39+X111+X140+X210+X461+X407+X358+X329+X308+X276+X244+SUM(X8:X8)</f>
        <v>-3973240473.7682052</v>
      </c>
      <c r="Y463" s="610"/>
      <c r="Z463" s="14"/>
      <c r="AA463" s="1105">
        <f t="shared" ref="AA463:CF463" ca="1" si="1289">+AA461</f>
        <v>-2.7939677238464355E-9</v>
      </c>
      <c r="AB463" s="611">
        <f t="shared" ref="AB463:AG463" ca="1" si="1290">+AB461</f>
        <v>0</v>
      </c>
      <c r="AC463" s="611">
        <f t="shared" ca="1" si="1290"/>
        <v>0</v>
      </c>
      <c r="AD463" s="611">
        <f t="shared" ca="1" si="1290"/>
        <v>0</v>
      </c>
      <c r="AE463" s="611">
        <f t="shared" ca="1" si="1290"/>
        <v>0</v>
      </c>
      <c r="AF463" s="611">
        <f t="shared" ca="1" si="1290"/>
        <v>0</v>
      </c>
      <c r="AG463" s="611">
        <f t="shared" ca="1" si="1290"/>
        <v>0</v>
      </c>
      <c r="AH463" s="611">
        <f t="shared" ca="1" si="1289"/>
        <v>0</v>
      </c>
      <c r="AI463" s="611">
        <f t="shared" ref="AI463:AJ463" ca="1" si="1291">+AI461</f>
        <v>0</v>
      </c>
      <c r="AJ463" s="611">
        <f t="shared" ca="1" si="1291"/>
        <v>-2.3283064365386963E-10</v>
      </c>
      <c r="AK463" s="611">
        <f t="shared" ca="1" si="1289"/>
        <v>-2.3283064365386963E-10</v>
      </c>
      <c r="AL463" s="611">
        <f t="shared" ca="1" si="1289"/>
        <v>0</v>
      </c>
      <c r="AM463" s="611">
        <f ca="1">+AM461</f>
        <v>2.3283064365386963E-10</v>
      </c>
      <c r="AN463" s="611">
        <f t="shared" ca="1" si="1289"/>
        <v>0</v>
      </c>
      <c r="AO463" s="611">
        <f t="shared" ca="1" si="1289"/>
        <v>0</v>
      </c>
      <c r="AP463" s="611">
        <f t="shared" ca="1" si="1289"/>
        <v>0</v>
      </c>
      <c r="AQ463" s="611">
        <f t="shared" ca="1" si="1289"/>
        <v>0</v>
      </c>
      <c r="AR463" s="611">
        <f ca="1">+AR461</f>
        <v>0</v>
      </c>
      <c r="AS463" s="611">
        <f t="shared" ca="1" si="1289"/>
        <v>-4.3655745685100555E-11</v>
      </c>
      <c r="AT463" s="611">
        <f t="shared" ca="1" si="1289"/>
        <v>0</v>
      </c>
      <c r="AU463" s="611">
        <f t="shared" ca="1" si="1289"/>
        <v>0</v>
      </c>
      <c r="AV463" s="611">
        <f ca="1">+AV461</f>
        <v>-2.3283064365386963E-10</v>
      </c>
      <c r="AW463" s="611">
        <f t="shared" ca="1" si="1289"/>
        <v>-2.3283064365386963E-10</v>
      </c>
      <c r="AX463" s="611">
        <f ca="1">+AX461</f>
        <v>0</v>
      </c>
      <c r="AY463" s="611">
        <f t="shared" ca="1" si="1289"/>
        <v>0</v>
      </c>
      <c r="AZ463" s="611">
        <f t="shared" ca="1" si="1289"/>
        <v>0</v>
      </c>
      <c r="BA463" s="611">
        <f t="shared" ca="1" si="1289"/>
        <v>1375193.1800000004</v>
      </c>
      <c r="BB463" s="611">
        <f t="shared" ca="1" si="1289"/>
        <v>0</v>
      </c>
      <c r="BC463" s="611">
        <f t="shared" ca="1" si="1289"/>
        <v>0</v>
      </c>
      <c r="BD463" s="611">
        <f t="shared" ca="1" si="1289"/>
        <v>0</v>
      </c>
      <c r="BE463" s="611">
        <f t="shared" ca="1" si="1289"/>
        <v>0</v>
      </c>
      <c r="BF463" s="611">
        <f t="shared" ca="1" si="1289"/>
        <v>0</v>
      </c>
      <c r="BG463" s="611">
        <f t="shared" ca="1" si="1289"/>
        <v>0</v>
      </c>
      <c r="BH463" s="611">
        <f t="shared" ca="1" si="1289"/>
        <v>0</v>
      </c>
      <c r="BI463" s="611">
        <f t="shared" ca="1" si="1289"/>
        <v>0</v>
      </c>
      <c r="BJ463" s="611">
        <f t="shared" ca="1" si="1289"/>
        <v>0</v>
      </c>
      <c r="BK463" s="611">
        <f t="shared" ca="1" si="1289"/>
        <v>0</v>
      </c>
      <c r="BL463" s="611">
        <f t="shared" ca="1" si="1289"/>
        <v>0</v>
      </c>
      <c r="BM463" s="611">
        <f t="shared" ca="1" si="1289"/>
        <v>0</v>
      </c>
      <c r="BN463" s="611">
        <f t="shared" ref="BN463:BO463" ca="1" si="1292">+BN461</f>
        <v>0</v>
      </c>
      <c r="BO463" s="611">
        <f t="shared" ca="1" si="1292"/>
        <v>0</v>
      </c>
      <c r="BP463" s="611">
        <f t="shared" ref="BP463:BQ463" ca="1" si="1293">+BP461</f>
        <v>0</v>
      </c>
      <c r="BQ463" s="611">
        <f t="shared" ca="1" si="1293"/>
        <v>0</v>
      </c>
      <c r="BR463" s="611">
        <f t="shared" ca="1" si="1289"/>
        <v>0</v>
      </c>
      <c r="BS463" s="611">
        <f t="shared" ca="1" si="1289"/>
        <v>0</v>
      </c>
      <c r="BT463" s="611">
        <f t="shared" ca="1" si="1289"/>
        <v>0</v>
      </c>
      <c r="BU463" s="611">
        <f t="shared" ca="1" si="1289"/>
        <v>0</v>
      </c>
      <c r="BV463" s="611">
        <f t="shared" ca="1" si="1289"/>
        <v>0</v>
      </c>
      <c r="BW463" s="611">
        <f t="shared" ca="1" si="1289"/>
        <v>0</v>
      </c>
      <c r="BX463" s="611">
        <f t="shared" ca="1" si="1289"/>
        <v>0</v>
      </c>
      <c r="BY463" s="611">
        <f t="shared" ca="1" si="1289"/>
        <v>0</v>
      </c>
      <c r="BZ463" s="611">
        <f t="shared" ca="1" si="1289"/>
        <v>0</v>
      </c>
      <c r="CA463" s="611">
        <f t="shared" ca="1" si="1289"/>
        <v>0</v>
      </c>
      <c r="CB463" s="611">
        <f t="shared" ca="1" si="1289"/>
        <v>0</v>
      </c>
      <c r="CC463" s="611">
        <f t="shared" ca="1" si="1289"/>
        <v>4.0972736314870402E-10</v>
      </c>
      <c r="CD463" s="611">
        <f t="shared" ca="1" si="1289"/>
        <v>0</v>
      </c>
      <c r="CE463" s="611">
        <f t="shared" ca="1" si="1289"/>
        <v>0</v>
      </c>
      <c r="CF463" s="611">
        <f t="shared" ca="1" si="1289"/>
        <v>0</v>
      </c>
      <c r="CG463" s="611">
        <f t="shared" ref="CG463:DK463" ca="1" si="1294">+CG461</f>
        <v>0</v>
      </c>
      <c r="CH463" s="611">
        <f t="shared" ca="1" si="1294"/>
        <v>0</v>
      </c>
      <c r="CI463" s="611">
        <f t="shared" ca="1" si="1294"/>
        <v>0</v>
      </c>
      <c r="CJ463" s="611">
        <f t="shared" ca="1" si="1294"/>
        <v>0</v>
      </c>
      <c r="CK463" s="611">
        <f t="shared" ca="1" si="1294"/>
        <v>0</v>
      </c>
      <c r="CL463" s="611">
        <f t="shared" ca="1" si="1294"/>
        <v>0</v>
      </c>
      <c r="CM463" s="611">
        <f t="shared" ca="1" si="1294"/>
        <v>0</v>
      </c>
      <c r="CN463" s="611">
        <f t="shared" ca="1" si="1294"/>
        <v>0</v>
      </c>
      <c r="CO463" s="611">
        <f t="shared" ca="1" si="1294"/>
        <v>0</v>
      </c>
      <c r="CP463" s="611">
        <f t="shared" ca="1" si="1294"/>
        <v>0</v>
      </c>
      <c r="CQ463" s="611">
        <f t="shared" ca="1" si="1294"/>
        <v>0</v>
      </c>
      <c r="CR463" s="611">
        <f t="shared" ca="1" si="1294"/>
        <v>0</v>
      </c>
      <c r="CS463" s="611">
        <f t="shared" ca="1" si="1294"/>
        <v>0</v>
      </c>
      <c r="CT463" s="611">
        <f t="shared" ca="1" si="1294"/>
        <v>0</v>
      </c>
      <c r="CU463" s="611">
        <f t="shared" ca="1" si="1294"/>
        <v>0</v>
      </c>
      <c r="CV463" s="611">
        <f t="shared" ca="1" si="1294"/>
        <v>0</v>
      </c>
      <c r="CW463" s="611">
        <f t="shared" ca="1" si="1294"/>
        <v>0</v>
      </c>
      <c r="CX463" s="611">
        <f t="shared" ca="1" si="1294"/>
        <v>0</v>
      </c>
      <c r="CY463" s="611">
        <f t="shared" ca="1" si="1294"/>
        <v>0</v>
      </c>
      <c r="CZ463" s="611">
        <f t="shared" ca="1" si="1294"/>
        <v>0</v>
      </c>
      <c r="DA463" s="611">
        <f t="shared" ca="1" si="1294"/>
        <v>0</v>
      </c>
      <c r="DB463" s="611">
        <f t="shared" ca="1" si="1294"/>
        <v>0</v>
      </c>
      <c r="DC463" s="611">
        <f t="shared" ca="1" si="1294"/>
        <v>0</v>
      </c>
      <c r="DD463" s="611">
        <f t="shared" ca="1" si="1294"/>
        <v>0</v>
      </c>
      <c r="DE463" s="611">
        <f t="shared" ca="1" si="1294"/>
        <v>0</v>
      </c>
      <c r="DF463" s="611">
        <f t="shared" ca="1" si="1294"/>
        <v>0</v>
      </c>
      <c r="DG463" s="611">
        <f t="shared" ca="1" si="1294"/>
        <v>0</v>
      </c>
      <c r="DH463" s="611">
        <f t="shared" ca="1" si="1294"/>
        <v>0</v>
      </c>
      <c r="DI463" s="611">
        <f t="shared" ca="1" si="1294"/>
        <v>0</v>
      </c>
      <c r="DJ463" s="611">
        <f t="shared" ca="1" si="1294"/>
        <v>0</v>
      </c>
      <c r="DK463" s="611">
        <f t="shared" ca="1" si="1294"/>
        <v>0</v>
      </c>
      <c r="DL463" s="611">
        <f ca="1">+DL461</f>
        <v>0</v>
      </c>
      <c r="DM463" s="611">
        <f ca="1">+DM461</f>
        <v>0</v>
      </c>
      <c r="DN463" s="611">
        <f ca="1">+DN461</f>
        <v>0</v>
      </c>
      <c r="DO463" s="611">
        <f ca="1">+DO461</f>
        <v>0</v>
      </c>
      <c r="DP463" s="611">
        <f ca="1">+DP461</f>
        <v>0</v>
      </c>
    </row>
    <row r="464" spans="1:120" s="147" customFormat="1" ht="19.5" thickBot="1">
      <c r="C464" s="1133"/>
      <c r="D464" s="1133"/>
      <c r="E464" s="1134"/>
      <c r="F464" s="1135"/>
      <c r="G464" s="1135"/>
      <c r="H464" s="1136"/>
      <c r="I464" s="1137"/>
      <c r="J464" s="1384"/>
      <c r="K464" s="1384"/>
      <c r="L464" s="1135"/>
      <c r="M464" s="1135"/>
      <c r="N464" s="1136"/>
      <c r="O464" s="1137"/>
      <c r="P464" s="1135"/>
      <c r="Q464" s="1135"/>
      <c r="R464" s="1136"/>
      <c r="S464" s="1136"/>
      <c r="T464" s="1137"/>
      <c r="U464" s="157">
        <f>1375192.92-U463</f>
        <v>-0.25999999232590199</v>
      </c>
      <c r="V464" s="437">
        <f ca="1">V463-(BA463*BA6+BB463*BB6)</f>
        <v>-2.384185791015625E-5</v>
      </c>
      <c r="W464" s="1137"/>
      <c r="X464" s="1137"/>
      <c r="Y464" s="2123"/>
      <c r="Z464" s="14"/>
      <c r="AA464" s="1138"/>
      <c r="AB464" s="1138"/>
      <c r="AC464" s="1138"/>
      <c r="AD464" s="1138"/>
      <c r="AE464" s="1138"/>
      <c r="AF464" s="1138"/>
      <c r="AG464" s="1138"/>
      <c r="AH464" s="1138"/>
      <c r="AI464" s="1138"/>
      <c r="AJ464" s="1138"/>
      <c r="AK464" s="1138"/>
      <c r="AL464" s="1138"/>
      <c r="AM464" s="1138"/>
      <c r="AN464" s="1138"/>
      <c r="AO464" s="1138"/>
      <c r="AP464" s="1138"/>
      <c r="AQ464" s="1138"/>
      <c r="AR464" s="1138"/>
      <c r="AS464" s="1138"/>
      <c r="AT464" s="1138"/>
      <c r="AU464" s="1138"/>
      <c r="AV464" s="1138"/>
      <c r="AW464" s="1138"/>
      <c r="AX464" s="1138"/>
      <c r="AY464" s="1138"/>
      <c r="AZ464" s="1138"/>
      <c r="BA464" s="1138"/>
      <c r="BB464" s="1138"/>
      <c r="BC464" s="1138"/>
      <c r="BD464" s="1138"/>
      <c r="BE464" s="1138"/>
      <c r="BF464" s="1138"/>
      <c r="BG464" s="1138"/>
      <c r="BH464" s="1138"/>
      <c r="BI464" s="1138"/>
      <c r="BJ464" s="1138"/>
      <c r="BK464" s="1138"/>
      <c r="BL464" s="1138"/>
      <c r="BM464" s="1138"/>
      <c r="BN464" s="1138"/>
      <c r="BO464" s="1138"/>
      <c r="BP464" s="1138"/>
      <c r="BQ464" s="1138"/>
      <c r="BR464" s="1138"/>
      <c r="BS464" s="1138"/>
      <c r="BT464" s="1138"/>
      <c r="BU464" s="1138"/>
      <c r="BV464" s="1138"/>
      <c r="BW464" s="1138"/>
      <c r="BX464" s="1138"/>
      <c r="BY464" s="1138"/>
      <c r="BZ464" s="1138"/>
      <c r="CA464" s="1138"/>
      <c r="CB464" s="1138"/>
      <c r="CC464" s="1138"/>
      <c r="CD464" s="1138"/>
      <c r="CE464" s="1138"/>
      <c r="CF464" s="1138"/>
      <c r="CG464" s="1138"/>
      <c r="CH464" s="1138"/>
      <c r="CI464" s="1138"/>
      <c r="CJ464" s="1138"/>
      <c r="CK464" s="1138"/>
      <c r="CL464" s="1138"/>
      <c r="CM464" s="1138"/>
      <c r="CN464" s="1138"/>
      <c r="CO464" s="1138"/>
      <c r="CP464" s="1138"/>
      <c r="CQ464" s="1138"/>
      <c r="CR464" s="1138"/>
      <c r="CS464" s="1138"/>
      <c r="CT464" s="1138"/>
      <c r="CU464" s="1138"/>
      <c r="CV464" s="1138"/>
      <c r="CW464" s="1138"/>
      <c r="CX464" s="1138"/>
      <c r="CY464" s="1138"/>
      <c r="CZ464" s="1138"/>
      <c r="DA464" s="1138"/>
      <c r="DB464" s="1138"/>
      <c r="DC464" s="1138"/>
      <c r="DD464" s="1138"/>
      <c r="DE464" s="1138"/>
      <c r="DF464" s="1138"/>
      <c r="DG464" s="1138"/>
      <c r="DH464" s="1138"/>
      <c r="DI464" s="1138"/>
      <c r="DJ464" s="1138"/>
      <c r="DK464" s="1138"/>
      <c r="DL464" s="1138"/>
      <c r="DM464" s="1138"/>
      <c r="DN464" s="1138"/>
      <c r="DO464" s="1138"/>
      <c r="DP464" s="1138"/>
    </row>
    <row r="465" spans="1:120" ht="15.75" thickBot="1">
      <c r="A465" s="4"/>
      <c r="B465" s="4"/>
      <c r="C465" s="148"/>
      <c r="D465" s="148"/>
      <c r="E465" s="149"/>
      <c r="F465" s="150"/>
      <c r="G465" s="150"/>
      <c r="H465" s="151"/>
      <c r="I465" s="152"/>
      <c r="J465" s="1385"/>
      <c r="K465" s="1385"/>
      <c r="L465" s="153"/>
      <c r="M465" s="153"/>
      <c r="N465" s="154"/>
      <c r="O465" s="152"/>
      <c r="P465" s="150"/>
      <c r="Q465" s="150"/>
      <c r="R465" s="155"/>
      <c r="S465" s="154"/>
      <c r="T465" s="156"/>
      <c r="U465" s="1632"/>
      <c r="V465" s="1633"/>
      <c r="W465" s="158"/>
      <c r="X465" s="152"/>
      <c r="Y465" s="148"/>
      <c r="AA465" s="497"/>
      <c r="AB465" s="612"/>
      <c r="AC465" s="612"/>
      <c r="AD465" s="612"/>
      <c r="AE465" s="612"/>
      <c r="AF465" s="613"/>
      <c r="AG465" s="613"/>
      <c r="AH465" s="613"/>
      <c r="AI465" s="613"/>
      <c r="AJ465" s="613"/>
      <c r="AK465" s="613"/>
      <c r="AL465" s="613"/>
      <c r="AM465" s="613"/>
      <c r="AN465" s="613"/>
      <c r="AO465" s="613"/>
      <c r="AP465" s="613"/>
      <c r="AQ465" s="613"/>
      <c r="AR465" s="613"/>
      <c r="AS465" s="613"/>
      <c r="AT465" s="613"/>
      <c r="AU465" s="613"/>
      <c r="AV465" s="613"/>
      <c r="AW465" s="613"/>
      <c r="AX465" s="613"/>
      <c r="AY465" s="613"/>
      <c r="AZ465" s="613"/>
      <c r="BA465" s="613"/>
      <c r="BB465" s="613"/>
      <c r="BC465" s="613"/>
      <c r="BD465" s="613"/>
      <c r="BE465" s="613"/>
      <c r="BF465" s="613"/>
      <c r="BG465" s="613"/>
      <c r="BH465" s="613"/>
      <c r="BI465" s="613"/>
      <c r="BJ465" s="613"/>
      <c r="BK465" s="613"/>
      <c r="BL465" s="613"/>
      <c r="BM465" s="613"/>
      <c r="BN465" s="613"/>
      <c r="BO465" s="613"/>
      <c r="BP465" s="613"/>
      <c r="BQ465" s="613"/>
      <c r="BR465" s="613"/>
      <c r="BS465" s="613"/>
      <c r="BT465" s="613"/>
      <c r="BU465" s="613"/>
      <c r="BV465" s="613"/>
      <c r="BW465" s="613"/>
      <c r="BX465" s="613"/>
      <c r="BY465" s="613"/>
      <c r="BZ465" s="613"/>
      <c r="CA465" s="613"/>
      <c r="CB465" s="613"/>
      <c r="CC465" s="613"/>
      <c r="CD465" s="613"/>
      <c r="CE465" s="613"/>
      <c r="CF465" s="613"/>
      <c r="CG465" s="613"/>
      <c r="CH465" s="613"/>
      <c r="CI465" s="613"/>
      <c r="CJ465" s="613"/>
      <c r="CK465" s="613"/>
      <c r="CL465" s="613"/>
      <c r="CM465" s="613"/>
      <c r="CN465" s="613"/>
      <c r="CO465" s="613"/>
      <c r="CP465" s="613"/>
      <c r="CQ465" s="613"/>
      <c r="CR465" s="613"/>
      <c r="CS465" s="613"/>
      <c r="CT465" s="613"/>
      <c r="CU465" s="613"/>
      <c r="CV465" s="613"/>
      <c r="CW465" s="613"/>
      <c r="CX465" s="613"/>
      <c r="CY465" s="613"/>
      <c r="CZ465" s="613"/>
      <c r="DA465" s="613"/>
      <c r="DB465" s="613"/>
      <c r="DC465" s="613"/>
      <c r="DD465" s="613"/>
      <c r="DE465" s="613"/>
      <c r="DF465" s="613"/>
      <c r="DG465" s="613"/>
      <c r="DH465" s="613"/>
      <c r="DI465" s="613"/>
      <c r="DJ465" s="613"/>
      <c r="DK465" s="613"/>
      <c r="DL465" s="613"/>
      <c r="DM465" s="613"/>
      <c r="DN465" s="613"/>
      <c r="DO465" s="613"/>
      <c r="DP465" s="613"/>
    </row>
    <row r="466" spans="1:120" s="27" customFormat="1" ht="21">
      <c r="A466" s="500" t="s">
        <v>263</v>
      </c>
      <c r="B466" s="501"/>
      <c r="C466" s="2558" t="s">
        <v>57</v>
      </c>
      <c r="D466" s="2560" t="s">
        <v>59</v>
      </c>
      <c r="E466" s="2562" t="s">
        <v>58</v>
      </c>
      <c r="F466" s="2564" t="str">
        <f>+F6</f>
        <v>SALDO FISCAL 31/12/2022</v>
      </c>
      <c r="G466" s="2565"/>
      <c r="H466" s="2565"/>
      <c r="I466" s="2566"/>
      <c r="J466" s="2567" t="str">
        <f>J6</f>
        <v>Tasa Mon Extranj</v>
      </c>
      <c r="K466" s="2568"/>
      <c r="L466" s="2569" t="str">
        <f>+L6</f>
        <v>ENTRADAS</v>
      </c>
      <c r="M466" s="2570"/>
      <c r="N466" s="2570"/>
      <c r="O466" s="2571"/>
      <c r="P466" s="2572" t="str">
        <f>+P6</f>
        <v>SALIDAS</v>
      </c>
      <c r="Q466" s="2573"/>
      <c r="R466" s="2573"/>
      <c r="S466" s="2573"/>
      <c r="T466" s="2574"/>
      <c r="U466" s="2575" t="s">
        <v>62</v>
      </c>
      <c r="V466" s="2576"/>
      <c r="W466" s="2577" t="s">
        <v>63</v>
      </c>
      <c r="X466" s="2578"/>
      <c r="Y466" s="2579"/>
      <c r="Z466" s="14"/>
      <c r="AA466" s="1553">
        <f t="shared" ref="AA466:BF466" ca="1" si="1295">AA6</f>
        <v>4760.6099999999997</v>
      </c>
      <c r="AB466" s="614">
        <f t="shared" ca="1" si="1295"/>
        <v>4745.04</v>
      </c>
      <c r="AC466" s="614">
        <f t="shared" ca="1" si="1295"/>
        <v>4898.74</v>
      </c>
      <c r="AD466" s="614">
        <f t="shared" ca="1" si="1295"/>
        <v>4815.59</v>
      </c>
      <c r="AE466" s="614">
        <f t="shared" ca="1" si="1295"/>
        <v>4388.0200000000004</v>
      </c>
      <c r="AF466" s="615">
        <f t="shared" ca="1" si="1295"/>
        <v>4810.2</v>
      </c>
      <c r="AG466" s="615">
        <f t="shared" ca="1" si="1295"/>
        <v>4810.2</v>
      </c>
      <c r="AH466" s="615">
        <f t="shared" ca="1" si="1295"/>
        <v>4924</v>
      </c>
      <c r="AI466" s="615">
        <f t="shared" ca="1" si="1295"/>
        <v>4748.54</v>
      </c>
      <c r="AJ466" s="615">
        <f t="shared" ca="1" si="1295"/>
        <v>4693.99</v>
      </c>
      <c r="AK466" s="615">
        <f t="shared" ca="1" si="1295"/>
        <v>4531.75</v>
      </c>
      <c r="AL466" s="615">
        <f t="shared" ca="1" si="1295"/>
        <v>4548.5</v>
      </c>
      <c r="AM466" s="615">
        <f t="shared" ca="1" si="1295"/>
        <v>4632.2</v>
      </c>
      <c r="AN466" s="615">
        <f t="shared" ca="1" si="1295"/>
        <v>4648.7</v>
      </c>
      <c r="AO466" s="615">
        <f t="shared" ca="1" si="1295"/>
        <v>4853.8999999999996</v>
      </c>
      <c r="AP466" s="615">
        <f t="shared" ca="1" si="1295"/>
        <v>4849.6499999999996</v>
      </c>
      <c r="AQ466" s="615">
        <f t="shared" ca="1" si="1295"/>
        <v>4808.1400000000003</v>
      </c>
      <c r="AR466" s="615">
        <f t="shared" ca="1" si="1295"/>
        <v>4814.1099999999997</v>
      </c>
      <c r="AS466" s="615">
        <f t="shared" ca="1" si="1295"/>
        <v>4848.78</v>
      </c>
      <c r="AT466" s="615">
        <f t="shared" ca="1" si="1295"/>
        <v>4780.8900000000003</v>
      </c>
      <c r="AU466" s="615">
        <f t="shared" ca="1" si="1295"/>
        <v>4744.95</v>
      </c>
      <c r="AV466" s="615">
        <f t="shared" ca="1" si="1295"/>
        <v>4755.12</v>
      </c>
      <c r="AW466" s="615">
        <f t="shared" ca="1" si="1295"/>
        <v>4658.79</v>
      </c>
      <c r="AX466" s="615">
        <f t="shared" ca="1" si="1295"/>
        <v>4627.2700000000004</v>
      </c>
      <c r="AY466" s="615">
        <f t="shared" ca="1" si="1295"/>
        <v>4646.08</v>
      </c>
      <c r="AZ466" s="615">
        <f t="shared" ca="1" si="1295"/>
        <v>4646.08</v>
      </c>
      <c r="BA466" s="615">
        <f t="shared" ca="1" si="1295"/>
        <v>4603</v>
      </c>
      <c r="BB466" s="615">
        <f t="shared" ca="1" si="1295"/>
        <v>4486.6000000000004</v>
      </c>
      <c r="BC466" s="615">
        <f t="shared" ca="1" si="1295"/>
        <v>4552.59</v>
      </c>
      <c r="BD466" s="615">
        <f t="shared" ca="1" si="1295"/>
        <v>4669</v>
      </c>
      <c r="BE466" s="615">
        <f t="shared" ca="1" si="1295"/>
        <v>0</v>
      </c>
      <c r="BF466" s="615">
        <f t="shared" ca="1" si="1295"/>
        <v>0</v>
      </c>
      <c r="BG466" s="615">
        <f t="shared" ref="BG466:CL466" ca="1" si="1296">BG6</f>
        <v>0</v>
      </c>
      <c r="BH466" s="615">
        <f t="shared" ca="1" si="1296"/>
        <v>0</v>
      </c>
      <c r="BI466" s="615">
        <f t="shared" ca="1" si="1296"/>
        <v>0</v>
      </c>
      <c r="BJ466" s="615">
        <f t="shared" ca="1" si="1296"/>
        <v>0</v>
      </c>
      <c r="BK466" s="615">
        <f t="shared" ca="1" si="1296"/>
        <v>0</v>
      </c>
      <c r="BL466" s="615">
        <f t="shared" ca="1" si="1296"/>
        <v>0</v>
      </c>
      <c r="BM466" s="615">
        <f t="shared" ca="1" si="1296"/>
        <v>0</v>
      </c>
      <c r="BN466" s="615">
        <f t="shared" ca="1" si="1296"/>
        <v>0</v>
      </c>
      <c r="BO466" s="615">
        <f t="shared" ca="1" si="1296"/>
        <v>0</v>
      </c>
      <c r="BP466" s="615">
        <f t="shared" ca="1" si="1296"/>
        <v>0</v>
      </c>
      <c r="BQ466" s="615">
        <f t="shared" ca="1" si="1296"/>
        <v>0</v>
      </c>
      <c r="BR466" s="615">
        <f t="shared" ca="1" si="1296"/>
        <v>0</v>
      </c>
      <c r="BS466" s="615">
        <f t="shared" ca="1" si="1296"/>
        <v>0</v>
      </c>
      <c r="BT466" s="615">
        <f t="shared" ca="1" si="1296"/>
        <v>0</v>
      </c>
      <c r="BU466" s="615">
        <f t="shared" ca="1" si="1296"/>
        <v>0</v>
      </c>
      <c r="BV466" s="615">
        <f t="shared" ca="1" si="1296"/>
        <v>0</v>
      </c>
      <c r="BW466" s="615">
        <f t="shared" ca="1" si="1296"/>
        <v>0</v>
      </c>
      <c r="BX466" s="615">
        <f t="shared" ca="1" si="1296"/>
        <v>0</v>
      </c>
      <c r="BY466" s="615">
        <f t="shared" ca="1" si="1296"/>
        <v>0</v>
      </c>
      <c r="BZ466" s="615">
        <f t="shared" ca="1" si="1296"/>
        <v>0</v>
      </c>
      <c r="CA466" s="615">
        <f t="shared" ca="1" si="1296"/>
        <v>0</v>
      </c>
      <c r="CB466" s="615">
        <f t="shared" ca="1" si="1296"/>
        <v>0</v>
      </c>
      <c r="CC466" s="615">
        <f t="shared" ca="1" si="1296"/>
        <v>0</v>
      </c>
      <c r="CD466" s="615">
        <f t="shared" ca="1" si="1296"/>
        <v>0</v>
      </c>
      <c r="CE466" s="615">
        <f t="shared" ca="1" si="1296"/>
        <v>0</v>
      </c>
      <c r="CF466" s="615">
        <f t="shared" ca="1" si="1296"/>
        <v>0</v>
      </c>
      <c r="CG466" s="615">
        <f t="shared" ca="1" si="1296"/>
        <v>0</v>
      </c>
      <c r="CH466" s="615">
        <f t="shared" ca="1" si="1296"/>
        <v>0</v>
      </c>
      <c r="CI466" s="615">
        <f t="shared" ca="1" si="1296"/>
        <v>0</v>
      </c>
      <c r="CJ466" s="615">
        <f t="shared" ca="1" si="1296"/>
        <v>0</v>
      </c>
      <c r="CK466" s="615">
        <f t="shared" ca="1" si="1296"/>
        <v>0</v>
      </c>
      <c r="CL466" s="615">
        <f t="shared" ca="1" si="1296"/>
        <v>0</v>
      </c>
      <c r="CM466" s="615">
        <f t="shared" ref="CM466:DP466" ca="1" si="1297">CM6</f>
        <v>0</v>
      </c>
      <c r="CN466" s="615">
        <f t="shared" ca="1" si="1297"/>
        <v>0</v>
      </c>
      <c r="CO466" s="615">
        <f t="shared" ca="1" si="1297"/>
        <v>0</v>
      </c>
      <c r="CP466" s="615">
        <f t="shared" ca="1" si="1297"/>
        <v>0</v>
      </c>
      <c r="CQ466" s="615">
        <f t="shared" ca="1" si="1297"/>
        <v>0</v>
      </c>
      <c r="CR466" s="615">
        <f t="shared" ca="1" si="1297"/>
        <v>0</v>
      </c>
      <c r="CS466" s="615">
        <f t="shared" ca="1" si="1297"/>
        <v>0</v>
      </c>
      <c r="CT466" s="615">
        <f t="shared" ca="1" si="1297"/>
        <v>0</v>
      </c>
      <c r="CU466" s="615">
        <f t="shared" ca="1" si="1297"/>
        <v>0</v>
      </c>
      <c r="CV466" s="615">
        <f t="shared" ca="1" si="1297"/>
        <v>0</v>
      </c>
      <c r="CW466" s="615">
        <f t="shared" ca="1" si="1297"/>
        <v>0</v>
      </c>
      <c r="CX466" s="615">
        <f t="shared" ca="1" si="1297"/>
        <v>0</v>
      </c>
      <c r="CY466" s="615">
        <f t="shared" ca="1" si="1297"/>
        <v>0</v>
      </c>
      <c r="CZ466" s="615">
        <f t="shared" ca="1" si="1297"/>
        <v>0</v>
      </c>
      <c r="DA466" s="615">
        <f t="shared" ca="1" si="1297"/>
        <v>0</v>
      </c>
      <c r="DB466" s="615">
        <f t="shared" ca="1" si="1297"/>
        <v>0</v>
      </c>
      <c r="DC466" s="615">
        <f t="shared" ca="1" si="1297"/>
        <v>0</v>
      </c>
      <c r="DD466" s="615">
        <f t="shared" ca="1" si="1297"/>
        <v>0</v>
      </c>
      <c r="DE466" s="615">
        <f t="shared" ca="1" si="1297"/>
        <v>0</v>
      </c>
      <c r="DF466" s="615">
        <f t="shared" ca="1" si="1297"/>
        <v>0</v>
      </c>
      <c r="DG466" s="615">
        <f t="shared" ca="1" si="1297"/>
        <v>0</v>
      </c>
      <c r="DH466" s="615">
        <f t="shared" ca="1" si="1297"/>
        <v>0</v>
      </c>
      <c r="DI466" s="615">
        <f t="shared" ca="1" si="1297"/>
        <v>0</v>
      </c>
      <c r="DJ466" s="615">
        <f t="shared" ca="1" si="1297"/>
        <v>0</v>
      </c>
      <c r="DK466" s="615">
        <f t="shared" ca="1" si="1297"/>
        <v>0</v>
      </c>
      <c r="DL466" s="615">
        <f t="shared" ca="1" si="1297"/>
        <v>0</v>
      </c>
      <c r="DM466" s="615">
        <f t="shared" ca="1" si="1297"/>
        <v>0</v>
      </c>
      <c r="DN466" s="615">
        <f t="shared" ca="1" si="1297"/>
        <v>0</v>
      </c>
      <c r="DO466" s="615">
        <f t="shared" ca="1" si="1297"/>
        <v>0</v>
      </c>
      <c r="DP466" s="615">
        <f t="shared" ca="1" si="1297"/>
        <v>0</v>
      </c>
    </row>
    <row r="467" spans="1:120" s="27" customFormat="1" ht="15.75" thickBot="1">
      <c r="A467" s="28" t="s">
        <v>45</v>
      </c>
      <c r="B467" s="29" t="s">
        <v>47</v>
      </c>
      <c r="C467" s="2559"/>
      <c r="D467" s="2561"/>
      <c r="E467" s="2563"/>
      <c r="F467" s="30" t="str">
        <f>F7</f>
        <v>MON/EX</v>
      </c>
      <c r="G467" s="1249" t="str">
        <f>G7</f>
        <v>USD</v>
      </c>
      <c r="H467" s="31" t="str">
        <f>H7</f>
        <v>TRM CIERRE</v>
      </c>
      <c r="I467" s="32" t="str">
        <f>I7</f>
        <v>SALDO PESOS</v>
      </c>
      <c r="J467" s="1423" t="str">
        <f>J7</f>
        <v>Inicial</v>
      </c>
      <c r="K467" s="1338" t="str">
        <f t="shared" ref="K467:T467" si="1298">K7</f>
        <v>Pago</v>
      </c>
      <c r="L467" s="33" t="str">
        <f t="shared" si="1298"/>
        <v>ENTRADAS MON/EX</v>
      </c>
      <c r="M467" s="1297" t="str">
        <f t="shared" si="1298"/>
        <v>USD</v>
      </c>
      <c r="N467" s="34" t="str">
        <f t="shared" si="1298"/>
        <v>TRM INICIAL</v>
      </c>
      <c r="O467" s="35" t="str">
        <f t="shared" si="1298"/>
        <v>ENTRADAS PESOS</v>
      </c>
      <c r="P467" s="36" t="str">
        <f t="shared" si="1298"/>
        <v>PAGOS MON/EX</v>
      </c>
      <c r="Q467" s="1338" t="str">
        <f t="shared" si="1298"/>
        <v>USD</v>
      </c>
      <c r="R467" s="37" t="str">
        <f t="shared" si="1298"/>
        <v>TRM INICIAL</v>
      </c>
      <c r="S467" s="37" t="str">
        <f t="shared" si="1298"/>
        <v>TRM PAGO</v>
      </c>
      <c r="T467" s="38" t="str">
        <f t="shared" si="1298"/>
        <v>PAGO EN PESOS</v>
      </c>
      <c r="U467" s="39" t="s">
        <v>73</v>
      </c>
      <c r="V467" s="40" t="s">
        <v>74</v>
      </c>
      <c r="W467" s="41" t="s">
        <v>75</v>
      </c>
      <c r="X467" s="42" t="s">
        <v>76</v>
      </c>
      <c r="Y467" s="43"/>
      <c r="Z467" s="1055"/>
      <c r="AA467" s="1554" t="s">
        <v>77</v>
      </c>
      <c r="AB467" s="616" t="s">
        <v>77</v>
      </c>
      <c r="AC467" s="616" t="s">
        <v>77</v>
      </c>
      <c r="AD467" s="616" t="s">
        <v>77</v>
      </c>
      <c r="AE467" s="616" t="s">
        <v>77</v>
      </c>
      <c r="AF467" s="617" t="s">
        <v>77</v>
      </c>
      <c r="AG467" s="617" t="s">
        <v>77</v>
      </c>
      <c r="AH467" s="617"/>
      <c r="AI467" s="617"/>
      <c r="AJ467" s="617"/>
      <c r="AK467" s="617"/>
      <c r="AL467" s="1570"/>
      <c r="AM467" s="617"/>
      <c r="AN467" s="617"/>
      <c r="AO467" s="617"/>
      <c r="AP467" s="617"/>
      <c r="AQ467" s="617"/>
      <c r="AR467" s="617"/>
      <c r="AS467" s="617"/>
      <c r="AT467" s="617"/>
      <c r="AU467" s="617"/>
      <c r="AV467" s="617"/>
      <c r="AW467" s="617"/>
      <c r="AX467" s="617"/>
      <c r="AY467" s="617"/>
      <c r="AZ467" s="617"/>
      <c r="BA467" s="617"/>
      <c r="BB467" s="617"/>
      <c r="BC467" s="617"/>
      <c r="BD467" s="617"/>
      <c r="BE467" s="617"/>
      <c r="BF467" s="617"/>
      <c r="BG467" s="617"/>
      <c r="BH467" s="617"/>
      <c r="BI467" s="617"/>
      <c r="BJ467" s="617"/>
      <c r="BK467" s="617"/>
      <c r="BL467" s="617"/>
      <c r="BM467" s="617"/>
      <c r="BN467" s="617"/>
      <c r="BO467" s="617"/>
      <c r="BP467" s="617"/>
      <c r="BQ467" s="617"/>
      <c r="BR467" s="617"/>
      <c r="BS467" s="617"/>
      <c r="BT467" s="617"/>
      <c r="BU467" s="617"/>
      <c r="BV467" s="617"/>
      <c r="BW467" s="617"/>
      <c r="BX467" s="617"/>
      <c r="BY467" s="617"/>
      <c r="BZ467" s="617"/>
      <c r="CA467" s="617"/>
      <c r="CB467" s="617"/>
      <c r="CC467" s="617"/>
      <c r="CD467" s="617"/>
      <c r="CE467" s="617"/>
      <c r="CF467" s="617"/>
      <c r="CG467" s="617"/>
      <c r="CH467" s="617"/>
      <c r="CI467" s="617"/>
      <c r="CJ467" s="617"/>
      <c r="CK467" s="617"/>
      <c r="CL467" s="617"/>
      <c r="CM467" s="617"/>
      <c r="CN467" s="617"/>
      <c r="CO467" s="617"/>
      <c r="CP467" s="617"/>
      <c r="CQ467" s="617"/>
      <c r="CR467" s="617"/>
      <c r="CS467" s="617"/>
      <c r="CT467" s="617"/>
      <c r="CU467" s="617"/>
      <c r="CV467" s="617"/>
      <c r="CW467" s="617"/>
      <c r="CX467" s="617"/>
      <c r="CY467" s="617"/>
      <c r="CZ467" s="617"/>
      <c r="DA467" s="617"/>
      <c r="DB467" s="617"/>
      <c r="DC467" s="617"/>
      <c r="DD467" s="617"/>
      <c r="DE467" s="617"/>
      <c r="DF467" s="617"/>
      <c r="DG467" s="617"/>
      <c r="DH467" s="617"/>
      <c r="DI467" s="617"/>
      <c r="DJ467" s="617"/>
      <c r="DK467" s="617"/>
      <c r="DL467" s="617"/>
      <c r="DM467" s="617"/>
      <c r="DN467" s="617"/>
      <c r="DO467" s="617"/>
      <c r="DP467" s="617"/>
    </row>
    <row r="468" spans="1:120" ht="15.75">
      <c r="A468" s="961">
        <v>1110053030</v>
      </c>
      <c r="B468" s="1496"/>
      <c r="C468" s="1465" t="s">
        <v>64</v>
      </c>
      <c r="D468" s="1467"/>
      <c r="E468" s="1468"/>
      <c r="F468" s="1250"/>
      <c r="G468" s="1250">
        <f>+F468*J468</f>
        <v>0</v>
      </c>
      <c r="H468" s="1242"/>
      <c r="I468" s="965">
        <f>+F468*J468*H468</f>
        <v>0</v>
      </c>
      <c r="J468" s="1497">
        <v>1</v>
      </c>
      <c r="K468" s="1498">
        <v>1</v>
      </c>
      <c r="L468" s="49"/>
      <c r="M468" s="1244">
        <f>+L468*J468</f>
        <v>0</v>
      </c>
      <c r="N468" s="1242"/>
      <c r="O468" s="1499">
        <f>+L468*J468*N468</f>
        <v>0</v>
      </c>
      <c r="P468" s="1250"/>
      <c r="Q468" s="1250">
        <f>+P468*K468</f>
        <v>0</v>
      </c>
      <c r="R468" s="1242"/>
      <c r="S468" s="1242"/>
      <c r="T468" s="1434">
        <f>+P468*K468*S468</f>
        <v>0</v>
      </c>
      <c r="U468" s="964">
        <f>+L468+P468+F468</f>
        <v>0</v>
      </c>
      <c r="V468" s="965">
        <f>+P468*J468*R468+L468*J468*N468+F468*J468*H468</f>
        <v>0</v>
      </c>
      <c r="W468" s="1500">
        <f>IF((-P468*J468*R468)-(-P468*K468*S468)&gt;0,(-P468*J468*R468)-(-P468*K468*S468),0)</f>
        <v>0</v>
      </c>
      <c r="X468" s="1243">
        <f>IF((-P468*J468*R468)-(-P468*K468*S468)&lt;0,(-P468*J468*R468)-(-P468*K468*S468),0)</f>
        <v>0</v>
      </c>
      <c r="Y468" s="967"/>
      <c r="Z468" s="1055"/>
      <c r="AA468" s="1555"/>
      <c r="AB468" s="623"/>
      <c r="AC468" s="623"/>
      <c r="AD468" s="623"/>
      <c r="AE468" s="623"/>
      <c r="AF468" s="580"/>
      <c r="AG468" s="580"/>
      <c r="AH468" s="580"/>
      <c r="AI468" s="580"/>
      <c r="AJ468" s="580"/>
      <c r="AK468" s="580"/>
      <c r="AL468" s="1513"/>
      <c r="AM468" s="580"/>
      <c r="AN468" s="580"/>
      <c r="AO468" s="580"/>
      <c r="AP468" s="580"/>
      <c r="AQ468" s="580"/>
      <c r="AR468" s="580"/>
      <c r="AS468" s="580"/>
      <c r="AT468" s="580"/>
      <c r="AU468" s="580"/>
      <c r="AV468" s="580"/>
      <c r="AW468" s="580"/>
      <c r="AX468" s="580"/>
      <c r="AY468" s="580"/>
      <c r="AZ468" s="580"/>
      <c r="BA468" s="580"/>
      <c r="BB468" s="580"/>
      <c r="BC468" s="580"/>
      <c r="BD468" s="580"/>
      <c r="BE468" s="580"/>
      <c r="BF468" s="580"/>
      <c r="BG468" s="580"/>
      <c r="BH468" s="580"/>
      <c r="BI468" s="580"/>
      <c r="BJ468" s="580"/>
      <c r="BK468" s="580"/>
      <c r="BL468" s="580"/>
      <c r="BM468" s="580"/>
      <c r="BN468" s="580"/>
      <c r="BO468" s="580"/>
      <c r="BP468" s="580"/>
      <c r="BQ468" s="580"/>
      <c r="BR468" s="580"/>
      <c r="BS468" s="580"/>
      <c r="BT468" s="580"/>
      <c r="BU468" s="580"/>
      <c r="BV468" s="580"/>
      <c r="BW468" s="580"/>
      <c r="BX468" s="580"/>
      <c r="BY468" s="580"/>
      <c r="BZ468" s="580"/>
      <c r="CA468" s="580"/>
      <c r="CB468" s="580"/>
      <c r="CC468" s="580"/>
      <c r="CD468" s="580"/>
      <c r="CE468" s="580"/>
      <c r="CF468" s="580"/>
      <c r="CG468" s="580"/>
      <c r="CH468" s="580"/>
      <c r="CI468" s="580"/>
      <c r="CJ468" s="580"/>
      <c r="CK468" s="580"/>
      <c r="CL468" s="580"/>
      <c r="CM468" s="580"/>
      <c r="CN468" s="580"/>
      <c r="CO468" s="580"/>
      <c r="CP468" s="580"/>
      <c r="CQ468" s="580"/>
      <c r="CR468" s="580"/>
      <c r="CS468" s="580"/>
      <c r="CT468" s="580"/>
      <c r="CU468" s="580"/>
      <c r="CV468" s="580"/>
      <c r="CW468" s="580"/>
      <c r="CX468" s="580"/>
      <c r="CY468" s="580"/>
      <c r="CZ468" s="580"/>
      <c r="DA468" s="580"/>
      <c r="DB468" s="580"/>
      <c r="DC468" s="580"/>
      <c r="DD468" s="580"/>
      <c r="DE468" s="580"/>
      <c r="DF468" s="580"/>
      <c r="DG468" s="580"/>
      <c r="DH468" s="580"/>
      <c r="DI468" s="580"/>
      <c r="DJ468" s="580"/>
      <c r="DK468" s="580"/>
      <c r="DL468" s="580"/>
      <c r="DM468" s="580"/>
      <c r="DN468" s="580"/>
      <c r="DO468" s="580"/>
      <c r="DP468" s="580"/>
    </row>
    <row r="469" spans="1:120">
      <c r="A469" s="55"/>
      <c r="B469" s="509"/>
      <c r="C469" s="679"/>
      <c r="D469" s="1469"/>
      <c r="E469" s="1470"/>
      <c r="F469" s="1251"/>
      <c r="G469" s="1251"/>
      <c r="H469" s="511"/>
      <c r="I469" s="512"/>
      <c r="J469" s="1424"/>
      <c r="K469" s="1190"/>
      <c r="L469" s="438"/>
      <c r="M469" s="1336">
        <f t="shared" ref="M469:M488" si="1299">+L469*J469</f>
        <v>0</v>
      </c>
      <c r="N469" s="504"/>
      <c r="O469" s="513">
        <f t="shared" ref="O469:O488" si="1300">+L469*J469*N469</f>
        <v>0</v>
      </c>
      <c r="P469" s="514"/>
      <c r="Q469" s="514">
        <f t="shared" ref="Q469:Q488" si="1301">+P469*K469</f>
        <v>0</v>
      </c>
      <c r="R469" s="515"/>
      <c r="S469" s="515"/>
      <c r="T469" s="516">
        <f t="shared" ref="T469:T488" si="1302">+P469*K469*S469</f>
        <v>0</v>
      </c>
      <c r="U469" s="418">
        <f t="shared" ref="U469:U488" si="1303">+L469+P469+F469</f>
        <v>0</v>
      </c>
      <c r="V469" s="517">
        <f>+P469*J469*R469+L469*J469*N469+F469*J469*H469</f>
        <v>0</v>
      </c>
      <c r="W469" s="518">
        <f t="shared" ref="W469:W488" si="1304">IF((-P469*J469*R469)-(-P469*K469*S469)&gt;0,(-P469*J469*R469)-(-P469*K469*S469),0)</f>
        <v>0</v>
      </c>
      <c r="X469" s="975">
        <f t="shared" ref="X469:X488" si="1305">IF((-P469*J469*R469)-(-P469*K469*S469)&lt;0,(-P469*J469*R469)-(-P469*K469*S469),0)</f>
        <v>0</v>
      </c>
      <c r="Y469" s="519"/>
      <c r="AA469" s="1555"/>
      <c r="AB469" s="508"/>
      <c r="AC469" s="508"/>
      <c r="AD469" s="508"/>
      <c r="AE469" s="508"/>
      <c r="AF469" s="506"/>
      <c r="AG469" s="506"/>
      <c r="AH469" s="506"/>
      <c r="AI469" s="506"/>
      <c r="AJ469" s="506"/>
      <c r="AK469" s="506"/>
      <c r="AL469" s="1561"/>
      <c r="AM469" s="506"/>
      <c r="AN469" s="506"/>
      <c r="AO469" s="506"/>
      <c r="AP469" s="506"/>
      <c r="AQ469" s="506"/>
      <c r="AR469" s="506"/>
      <c r="AS469" s="506"/>
      <c r="AT469" s="506"/>
      <c r="AU469" s="506"/>
      <c r="AV469" s="506"/>
      <c r="AW469" s="506"/>
      <c r="AX469" s="506"/>
      <c r="AY469" s="506"/>
      <c r="AZ469" s="506"/>
      <c r="BA469" s="506"/>
      <c r="BB469" s="506"/>
      <c r="BC469" s="506"/>
      <c r="BD469" s="506"/>
      <c r="BE469" s="506"/>
      <c r="BF469" s="506"/>
      <c r="BG469" s="506"/>
      <c r="BH469" s="506"/>
      <c r="BI469" s="506"/>
      <c r="BJ469" s="506"/>
      <c r="BK469" s="506"/>
      <c r="BL469" s="506"/>
      <c r="BM469" s="506"/>
      <c r="BN469" s="506"/>
      <c r="BO469" s="506"/>
      <c r="BP469" s="506"/>
      <c r="BQ469" s="506"/>
      <c r="BR469" s="506"/>
      <c r="BS469" s="506"/>
      <c r="BT469" s="506"/>
      <c r="BU469" s="506"/>
      <c r="BV469" s="506"/>
      <c r="BW469" s="506"/>
      <c r="BX469" s="506"/>
      <c r="BY469" s="506"/>
      <c r="BZ469" s="506"/>
      <c r="CA469" s="506"/>
      <c r="CB469" s="506"/>
      <c r="CC469" s="506"/>
      <c r="CD469" s="506"/>
      <c r="CE469" s="506"/>
      <c r="CF469" s="506"/>
      <c r="CG469" s="506"/>
      <c r="CH469" s="506"/>
      <c r="CI469" s="506"/>
      <c r="CJ469" s="506"/>
      <c r="CK469" s="506"/>
      <c r="CL469" s="506"/>
      <c r="CM469" s="506"/>
      <c r="CN469" s="506"/>
      <c r="CO469" s="506"/>
      <c r="CP469" s="506"/>
      <c r="CQ469" s="506"/>
      <c r="CR469" s="506"/>
      <c r="CS469" s="506"/>
      <c r="CT469" s="506"/>
      <c r="CU469" s="506"/>
      <c r="CV469" s="506"/>
      <c r="CW469" s="506"/>
      <c r="CX469" s="506"/>
      <c r="CY469" s="506"/>
      <c r="CZ469" s="506"/>
      <c r="DA469" s="506"/>
      <c r="DB469" s="506"/>
      <c r="DC469" s="506"/>
      <c r="DD469" s="506"/>
      <c r="DE469" s="506"/>
      <c r="DF469" s="506"/>
      <c r="DG469" s="506"/>
      <c r="DH469" s="506"/>
      <c r="DI469" s="506"/>
      <c r="DJ469" s="506"/>
      <c r="DK469" s="506"/>
      <c r="DL469" s="506"/>
      <c r="DM469" s="506"/>
      <c r="DN469" s="506"/>
      <c r="DO469" s="506"/>
      <c r="DP469" s="506"/>
    </row>
    <row r="470" spans="1:120" hidden="1" outlineLevel="1">
      <c r="A470" s="129">
        <v>1110053030</v>
      </c>
      <c r="B470" s="568"/>
      <c r="C470" s="1485" t="s">
        <v>64</v>
      </c>
      <c r="D470" s="1469"/>
      <c r="E470" s="1470"/>
      <c r="F470" s="1259"/>
      <c r="G470" s="624"/>
      <c r="H470" s="569"/>
      <c r="I470" s="625"/>
      <c r="J470" s="1425">
        <v>1</v>
      </c>
      <c r="K470" s="1426">
        <v>1</v>
      </c>
      <c r="L470" s="430"/>
      <c r="M470" s="626">
        <f t="shared" si="1299"/>
        <v>0</v>
      </c>
      <c r="N470" s="563"/>
      <c r="O470" s="571">
        <f>+L470*J470*N470</f>
        <v>0</v>
      </c>
      <c r="P470" s="626"/>
      <c r="Q470" s="626">
        <f t="shared" si="1301"/>
        <v>0</v>
      </c>
      <c r="R470" s="570"/>
      <c r="S470" s="570"/>
      <c r="T470" s="571">
        <f t="shared" si="1302"/>
        <v>0</v>
      </c>
      <c r="U470" s="626">
        <f t="shared" si="1303"/>
        <v>0</v>
      </c>
      <c r="V470" s="571">
        <f t="shared" ref="V470:V488" si="1306">+P470*J470*R470+L470*J470*N470+F470*J470*H470</f>
        <v>0</v>
      </c>
      <c r="W470" s="571">
        <f t="shared" si="1304"/>
        <v>0</v>
      </c>
      <c r="X470" s="571">
        <f t="shared" si="1305"/>
        <v>0</v>
      </c>
      <c r="Y470" s="572"/>
      <c r="AA470" s="2311">
        <f ca="1">IF($R470=AA$6,$Q470,0)</f>
        <v>0</v>
      </c>
      <c r="AB470" s="2317">
        <f t="shared" ref="AB470:AQ485" ca="1" si="1307">IF($R470=AB$6,$Q470,0)</f>
        <v>0</v>
      </c>
      <c r="AC470" s="2317">
        <f t="shared" ca="1" si="1307"/>
        <v>0</v>
      </c>
      <c r="AD470" s="2317">
        <f t="shared" ca="1" si="1307"/>
        <v>0</v>
      </c>
      <c r="AE470" s="2317">
        <f t="shared" ca="1" si="1307"/>
        <v>0</v>
      </c>
      <c r="AF470" s="2318">
        <f t="shared" ca="1" si="1307"/>
        <v>0</v>
      </c>
      <c r="AG470" s="2318">
        <f t="shared" ca="1" si="1307"/>
        <v>0</v>
      </c>
      <c r="AH470" s="2318">
        <f t="shared" ca="1" si="1307"/>
        <v>0</v>
      </c>
      <c r="AI470" s="2318">
        <f t="shared" ca="1" si="1307"/>
        <v>0</v>
      </c>
      <c r="AJ470" s="2318">
        <f t="shared" ca="1" si="1307"/>
        <v>0</v>
      </c>
      <c r="AK470" s="2318">
        <f t="shared" ca="1" si="1307"/>
        <v>0</v>
      </c>
      <c r="AL470" s="2319">
        <f t="shared" ca="1" si="1307"/>
        <v>0</v>
      </c>
      <c r="AM470" s="2318">
        <f t="shared" ca="1" si="1307"/>
        <v>0</v>
      </c>
      <c r="AN470" s="2318">
        <f t="shared" ca="1" si="1307"/>
        <v>0</v>
      </c>
      <c r="AO470" s="2318">
        <f t="shared" ca="1" si="1307"/>
        <v>0</v>
      </c>
      <c r="AP470" s="2318">
        <f t="shared" ca="1" si="1307"/>
        <v>0</v>
      </c>
      <c r="AQ470" s="2318">
        <f t="shared" ca="1" si="1307"/>
        <v>0</v>
      </c>
      <c r="AR470" s="2318">
        <f t="shared" ref="AR470:BG485" ca="1" si="1308">IF($R470=AR$6,$Q470,0)</f>
        <v>0</v>
      </c>
      <c r="AS470" s="2318">
        <f t="shared" ca="1" si="1308"/>
        <v>0</v>
      </c>
      <c r="AT470" s="2318">
        <f t="shared" ca="1" si="1308"/>
        <v>0</v>
      </c>
      <c r="AU470" s="2318">
        <f t="shared" ca="1" si="1308"/>
        <v>0</v>
      </c>
      <c r="AV470" s="2318">
        <f t="shared" ca="1" si="1308"/>
        <v>0</v>
      </c>
      <c r="AW470" s="2318">
        <f t="shared" ca="1" si="1308"/>
        <v>0</v>
      </c>
      <c r="AX470" s="2318">
        <f t="shared" ca="1" si="1308"/>
        <v>0</v>
      </c>
      <c r="AY470" s="2318">
        <f t="shared" ca="1" si="1308"/>
        <v>0</v>
      </c>
      <c r="AZ470" s="2318">
        <f t="shared" ca="1" si="1308"/>
        <v>0</v>
      </c>
      <c r="BA470" s="2318">
        <f t="shared" ca="1" si="1308"/>
        <v>0</v>
      </c>
      <c r="BB470" s="2318">
        <f t="shared" ca="1" si="1308"/>
        <v>0</v>
      </c>
      <c r="BC470" s="2318">
        <f t="shared" ca="1" si="1308"/>
        <v>0</v>
      </c>
      <c r="BD470" s="2318">
        <f t="shared" ca="1" si="1308"/>
        <v>0</v>
      </c>
      <c r="BE470" s="2318">
        <f t="shared" ca="1" si="1308"/>
        <v>0</v>
      </c>
      <c r="BF470" s="2318">
        <f t="shared" ca="1" si="1308"/>
        <v>0</v>
      </c>
      <c r="BG470" s="2318">
        <f t="shared" ca="1" si="1308"/>
        <v>0</v>
      </c>
      <c r="BH470" s="2318">
        <f t="shared" ref="BH470:BW485" ca="1" si="1309">IF($R470=BH$6,$Q470,0)</f>
        <v>0</v>
      </c>
      <c r="BI470" s="2318">
        <f t="shared" ca="1" si="1309"/>
        <v>0</v>
      </c>
      <c r="BJ470" s="2318">
        <f t="shared" ca="1" si="1309"/>
        <v>0</v>
      </c>
      <c r="BK470" s="2318">
        <f t="shared" ca="1" si="1309"/>
        <v>0</v>
      </c>
      <c r="BL470" s="2318">
        <f t="shared" ca="1" si="1309"/>
        <v>0</v>
      </c>
      <c r="BM470" s="2318">
        <f t="shared" ca="1" si="1309"/>
        <v>0</v>
      </c>
      <c r="BN470" s="2318">
        <f t="shared" ca="1" si="1309"/>
        <v>0</v>
      </c>
      <c r="BO470" s="2318">
        <f t="shared" ca="1" si="1309"/>
        <v>0</v>
      </c>
      <c r="BP470" s="2318">
        <f t="shared" ca="1" si="1309"/>
        <v>0</v>
      </c>
      <c r="BQ470" s="2318">
        <f t="shared" ca="1" si="1309"/>
        <v>0</v>
      </c>
      <c r="BR470" s="2318">
        <f t="shared" ca="1" si="1309"/>
        <v>0</v>
      </c>
      <c r="BS470" s="2318">
        <f t="shared" ca="1" si="1309"/>
        <v>0</v>
      </c>
      <c r="BT470" s="2318">
        <f t="shared" ca="1" si="1309"/>
        <v>0</v>
      </c>
      <c r="BU470" s="2318">
        <f t="shared" ca="1" si="1309"/>
        <v>0</v>
      </c>
      <c r="BV470" s="2318">
        <f t="shared" ca="1" si="1309"/>
        <v>0</v>
      </c>
      <c r="BW470" s="2318">
        <f t="shared" ca="1" si="1309"/>
        <v>0</v>
      </c>
      <c r="BX470" s="2318">
        <f t="shared" ref="BX470:CM485" ca="1" si="1310">IF($R470=BX$6,$Q470,0)</f>
        <v>0</v>
      </c>
      <c r="BY470" s="2318">
        <f t="shared" ca="1" si="1310"/>
        <v>0</v>
      </c>
      <c r="BZ470" s="2318">
        <f t="shared" ca="1" si="1310"/>
        <v>0</v>
      </c>
      <c r="CA470" s="2318">
        <f t="shared" ca="1" si="1310"/>
        <v>0</v>
      </c>
      <c r="CB470" s="2318">
        <f t="shared" ca="1" si="1310"/>
        <v>0</v>
      </c>
      <c r="CC470" s="2318">
        <f t="shared" ca="1" si="1310"/>
        <v>0</v>
      </c>
      <c r="CD470" s="2318">
        <f t="shared" ca="1" si="1310"/>
        <v>0</v>
      </c>
      <c r="CE470" s="2318">
        <f t="shared" ca="1" si="1310"/>
        <v>0</v>
      </c>
      <c r="CF470" s="2318">
        <f t="shared" ca="1" si="1310"/>
        <v>0</v>
      </c>
      <c r="CG470" s="2318">
        <f t="shared" ca="1" si="1310"/>
        <v>0</v>
      </c>
      <c r="CH470" s="2318">
        <f t="shared" ca="1" si="1310"/>
        <v>0</v>
      </c>
      <c r="CI470" s="2318">
        <f t="shared" ca="1" si="1310"/>
        <v>0</v>
      </c>
      <c r="CJ470" s="2318">
        <f t="shared" ca="1" si="1310"/>
        <v>0</v>
      </c>
      <c r="CK470" s="2318">
        <f t="shared" ca="1" si="1310"/>
        <v>0</v>
      </c>
      <c r="CL470" s="2318">
        <f t="shared" ca="1" si="1310"/>
        <v>0</v>
      </c>
      <c r="CM470" s="2318">
        <f t="shared" ca="1" si="1310"/>
        <v>0</v>
      </c>
      <c r="CN470" s="2318">
        <f t="shared" ref="CN470:DC485" ca="1" si="1311">IF($R470=CN$6,$Q470,0)</f>
        <v>0</v>
      </c>
      <c r="CO470" s="2318">
        <f t="shared" ca="1" si="1311"/>
        <v>0</v>
      </c>
      <c r="CP470" s="2318">
        <f t="shared" ca="1" si="1311"/>
        <v>0</v>
      </c>
      <c r="CQ470" s="2318">
        <f t="shared" ca="1" si="1311"/>
        <v>0</v>
      </c>
      <c r="CR470" s="2318">
        <f t="shared" ca="1" si="1311"/>
        <v>0</v>
      </c>
      <c r="CS470" s="2318">
        <f t="shared" ca="1" si="1311"/>
        <v>0</v>
      </c>
      <c r="CT470" s="2318">
        <f t="shared" ca="1" si="1311"/>
        <v>0</v>
      </c>
      <c r="CU470" s="2318">
        <f t="shared" ca="1" si="1311"/>
        <v>0</v>
      </c>
      <c r="CV470" s="2318">
        <f t="shared" ca="1" si="1311"/>
        <v>0</v>
      </c>
      <c r="CW470" s="2318">
        <f t="shared" ca="1" si="1311"/>
        <v>0</v>
      </c>
      <c r="CX470" s="2318">
        <f t="shared" ca="1" si="1311"/>
        <v>0</v>
      </c>
      <c r="CY470" s="2318">
        <f t="shared" ca="1" si="1311"/>
        <v>0</v>
      </c>
      <c r="CZ470" s="2318">
        <f t="shared" ca="1" si="1311"/>
        <v>0</v>
      </c>
      <c r="DA470" s="2318">
        <f t="shared" ca="1" si="1311"/>
        <v>0</v>
      </c>
      <c r="DB470" s="2318">
        <f t="shared" ca="1" si="1311"/>
        <v>0</v>
      </c>
      <c r="DC470" s="2318">
        <f t="shared" ca="1" si="1311"/>
        <v>0</v>
      </c>
      <c r="DD470" s="2318">
        <f t="shared" ref="DD470:DP485" ca="1" si="1312">IF($R470=DD$6,$Q470,0)</f>
        <v>0</v>
      </c>
      <c r="DE470" s="2318">
        <f t="shared" ca="1" si="1312"/>
        <v>0</v>
      </c>
      <c r="DF470" s="2318">
        <f t="shared" ca="1" si="1312"/>
        <v>0</v>
      </c>
      <c r="DG470" s="2318">
        <f t="shared" ca="1" si="1312"/>
        <v>0</v>
      </c>
      <c r="DH470" s="2318">
        <f t="shared" ca="1" si="1312"/>
        <v>0</v>
      </c>
      <c r="DI470" s="2318">
        <f t="shared" ca="1" si="1312"/>
        <v>0</v>
      </c>
      <c r="DJ470" s="2318">
        <f t="shared" ca="1" si="1312"/>
        <v>0</v>
      </c>
      <c r="DK470" s="2318">
        <f t="shared" ca="1" si="1312"/>
        <v>0</v>
      </c>
      <c r="DL470" s="2318">
        <f t="shared" ca="1" si="1312"/>
        <v>0</v>
      </c>
      <c r="DM470" s="2318">
        <f t="shared" ca="1" si="1312"/>
        <v>0</v>
      </c>
      <c r="DN470" s="2318">
        <f t="shared" ca="1" si="1312"/>
        <v>0</v>
      </c>
      <c r="DO470" s="2318">
        <f t="shared" ca="1" si="1312"/>
        <v>0</v>
      </c>
      <c r="DP470" s="2318">
        <f t="shared" ca="1" si="1312"/>
        <v>0</v>
      </c>
    </row>
    <row r="471" spans="1:120" hidden="1" outlineLevel="1">
      <c r="A471" s="55">
        <v>1110053030</v>
      </c>
      <c r="B471" s="509"/>
      <c r="C471" s="679" t="s">
        <v>64</v>
      </c>
      <c r="D471" s="1469"/>
      <c r="E471" s="1470"/>
      <c r="F471" s="1251"/>
      <c r="G471" s="1251"/>
      <c r="H471" s="511"/>
      <c r="I471" s="1374"/>
      <c r="J471" s="1425">
        <v>1</v>
      </c>
      <c r="K471" s="1426">
        <v>1</v>
      </c>
      <c r="L471" s="419"/>
      <c r="M471" s="1337">
        <f t="shared" ref="M471" si="1313">+L471*J471</f>
        <v>0</v>
      </c>
      <c r="N471" s="504"/>
      <c r="O471" s="513">
        <f t="shared" ref="O471" si="1314">+L471*J471*N471</f>
        <v>0</v>
      </c>
      <c r="P471" s="514"/>
      <c r="Q471" s="514">
        <f t="shared" ref="Q471" si="1315">+P471*K471</f>
        <v>0</v>
      </c>
      <c r="R471" s="515"/>
      <c r="S471" s="515"/>
      <c r="T471" s="516">
        <f t="shared" ref="T471" si="1316">+P471*K471*S471</f>
        <v>0</v>
      </c>
      <c r="U471" s="418">
        <f t="shared" ref="U471" si="1317">+L471+P471+F471</f>
        <v>0</v>
      </c>
      <c r="V471" s="517">
        <f t="shared" ref="V471" si="1318">+P471*J471*R471+L471*J471*N471+F471*J471*H471</f>
        <v>0</v>
      </c>
      <c r="W471" s="518">
        <f t="shared" ref="W471" si="1319">IF((-P471*J471*R471)-(-P471*K471*S471)&gt;0,(-P471*J471*R471)-(-P471*K471*S471),0)</f>
        <v>0</v>
      </c>
      <c r="X471" s="975">
        <f t="shared" ref="X471" si="1320">IF((-P471*J471*R471)-(-P471*K471*S471)&lt;0,(-P471*J471*R471)-(-P471*K471*S471),0)</f>
        <v>0</v>
      </c>
      <c r="Y471" s="519"/>
      <c r="Z471" s="1055"/>
      <c r="AA471" s="2311">
        <f t="shared" ref="AA471:AP486" ca="1" si="1321">IF($R471=AA$6,$Q471,0)</f>
        <v>0</v>
      </c>
      <c r="AB471" s="2310">
        <f t="shared" ca="1" si="1307"/>
        <v>0</v>
      </c>
      <c r="AC471" s="2310">
        <f t="shared" ca="1" si="1307"/>
        <v>0</v>
      </c>
      <c r="AD471" s="2310">
        <f t="shared" ca="1" si="1307"/>
        <v>0</v>
      </c>
      <c r="AE471" s="2310">
        <f t="shared" ca="1" si="1307"/>
        <v>0</v>
      </c>
      <c r="AF471" s="2307">
        <f t="shared" ca="1" si="1307"/>
        <v>0</v>
      </c>
      <c r="AG471" s="2307">
        <f t="shared" ca="1" si="1307"/>
        <v>0</v>
      </c>
      <c r="AH471" s="2307">
        <f t="shared" ca="1" si="1307"/>
        <v>0</v>
      </c>
      <c r="AI471" s="2307">
        <f t="shared" ca="1" si="1307"/>
        <v>0</v>
      </c>
      <c r="AJ471" s="2307">
        <f t="shared" ca="1" si="1307"/>
        <v>0</v>
      </c>
      <c r="AK471" s="2307">
        <f t="shared" ca="1" si="1307"/>
        <v>0</v>
      </c>
      <c r="AL471" s="2308">
        <f t="shared" ca="1" si="1307"/>
        <v>0</v>
      </c>
      <c r="AM471" s="2307">
        <f t="shared" ca="1" si="1307"/>
        <v>0</v>
      </c>
      <c r="AN471" s="2307">
        <f t="shared" ca="1" si="1307"/>
        <v>0</v>
      </c>
      <c r="AO471" s="2307">
        <f t="shared" ca="1" si="1307"/>
        <v>0</v>
      </c>
      <c r="AP471" s="2307">
        <f t="shared" ca="1" si="1307"/>
        <v>0</v>
      </c>
      <c r="AQ471" s="2307">
        <f t="shared" ca="1" si="1307"/>
        <v>0</v>
      </c>
      <c r="AR471" s="2307">
        <f t="shared" ca="1" si="1308"/>
        <v>0</v>
      </c>
      <c r="AS471" s="2307">
        <f t="shared" ca="1" si="1308"/>
        <v>0</v>
      </c>
      <c r="AT471" s="2307">
        <f t="shared" ca="1" si="1308"/>
        <v>0</v>
      </c>
      <c r="AU471" s="2307">
        <f t="shared" ca="1" si="1308"/>
        <v>0</v>
      </c>
      <c r="AV471" s="2307">
        <f t="shared" ca="1" si="1308"/>
        <v>0</v>
      </c>
      <c r="AW471" s="2307">
        <f t="shared" ca="1" si="1308"/>
        <v>0</v>
      </c>
      <c r="AX471" s="2307">
        <f t="shared" ca="1" si="1308"/>
        <v>0</v>
      </c>
      <c r="AY471" s="2307">
        <f t="shared" ca="1" si="1308"/>
        <v>0</v>
      </c>
      <c r="AZ471" s="2307">
        <f t="shared" ca="1" si="1308"/>
        <v>0</v>
      </c>
      <c r="BA471" s="2307">
        <f t="shared" ca="1" si="1308"/>
        <v>0</v>
      </c>
      <c r="BB471" s="2307">
        <f t="shared" ca="1" si="1308"/>
        <v>0</v>
      </c>
      <c r="BC471" s="2307">
        <f t="shared" ca="1" si="1308"/>
        <v>0</v>
      </c>
      <c r="BD471" s="2307">
        <f t="shared" ca="1" si="1308"/>
        <v>0</v>
      </c>
      <c r="BE471" s="2307">
        <f t="shared" ca="1" si="1308"/>
        <v>0</v>
      </c>
      <c r="BF471" s="2307">
        <f t="shared" ca="1" si="1308"/>
        <v>0</v>
      </c>
      <c r="BG471" s="2307">
        <f t="shared" ca="1" si="1308"/>
        <v>0</v>
      </c>
      <c r="BH471" s="2307">
        <f t="shared" ca="1" si="1309"/>
        <v>0</v>
      </c>
      <c r="BI471" s="2307">
        <f t="shared" ca="1" si="1309"/>
        <v>0</v>
      </c>
      <c r="BJ471" s="2307">
        <f t="shared" ca="1" si="1309"/>
        <v>0</v>
      </c>
      <c r="BK471" s="2307">
        <f t="shared" ca="1" si="1309"/>
        <v>0</v>
      </c>
      <c r="BL471" s="2307">
        <f t="shared" ca="1" si="1309"/>
        <v>0</v>
      </c>
      <c r="BM471" s="2307">
        <f t="shared" ca="1" si="1309"/>
        <v>0</v>
      </c>
      <c r="BN471" s="2307">
        <f t="shared" ca="1" si="1309"/>
        <v>0</v>
      </c>
      <c r="BO471" s="2307">
        <f t="shared" ca="1" si="1309"/>
        <v>0</v>
      </c>
      <c r="BP471" s="2307">
        <f t="shared" ca="1" si="1309"/>
        <v>0</v>
      </c>
      <c r="BQ471" s="2307">
        <f t="shared" ca="1" si="1309"/>
        <v>0</v>
      </c>
      <c r="BR471" s="2307">
        <f t="shared" ca="1" si="1309"/>
        <v>0</v>
      </c>
      <c r="BS471" s="2307">
        <f t="shared" ca="1" si="1309"/>
        <v>0</v>
      </c>
      <c r="BT471" s="2307">
        <f t="shared" ca="1" si="1309"/>
        <v>0</v>
      </c>
      <c r="BU471" s="2307">
        <f t="shared" ca="1" si="1309"/>
        <v>0</v>
      </c>
      <c r="BV471" s="2307">
        <f t="shared" ca="1" si="1309"/>
        <v>0</v>
      </c>
      <c r="BW471" s="2307">
        <f t="shared" ca="1" si="1309"/>
        <v>0</v>
      </c>
      <c r="BX471" s="2307">
        <f t="shared" ca="1" si="1310"/>
        <v>0</v>
      </c>
      <c r="BY471" s="2307">
        <f t="shared" ca="1" si="1310"/>
        <v>0</v>
      </c>
      <c r="BZ471" s="2307">
        <f t="shared" ca="1" si="1310"/>
        <v>0</v>
      </c>
      <c r="CA471" s="2307">
        <f t="shared" ca="1" si="1310"/>
        <v>0</v>
      </c>
      <c r="CB471" s="2307">
        <f t="shared" ca="1" si="1310"/>
        <v>0</v>
      </c>
      <c r="CC471" s="2307">
        <f t="shared" ca="1" si="1310"/>
        <v>0</v>
      </c>
      <c r="CD471" s="2307">
        <f t="shared" ca="1" si="1310"/>
        <v>0</v>
      </c>
      <c r="CE471" s="2307">
        <f t="shared" ca="1" si="1310"/>
        <v>0</v>
      </c>
      <c r="CF471" s="2307">
        <f t="shared" ca="1" si="1310"/>
        <v>0</v>
      </c>
      <c r="CG471" s="2307">
        <f t="shared" ca="1" si="1310"/>
        <v>0</v>
      </c>
      <c r="CH471" s="2307">
        <f t="shared" ca="1" si="1310"/>
        <v>0</v>
      </c>
      <c r="CI471" s="2307">
        <f t="shared" ca="1" si="1310"/>
        <v>0</v>
      </c>
      <c r="CJ471" s="2307">
        <f t="shared" ca="1" si="1310"/>
        <v>0</v>
      </c>
      <c r="CK471" s="2307">
        <f t="shared" ca="1" si="1310"/>
        <v>0</v>
      </c>
      <c r="CL471" s="2307">
        <f t="shared" ca="1" si="1310"/>
        <v>0</v>
      </c>
      <c r="CM471" s="2307">
        <f t="shared" ca="1" si="1310"/>
        <v>0</v>
      </c>
      <c r="CN471" s="2307">
        <f t="shared" ca="1" si="1311"/>
        <v>0</v>
      </c>
      <c r="CO471" s="2307">
        <f t="shared" ca="1" si="1311"/>
        <v>0</v>
      </c>
      <c r="CP471" s="2307">
        <f t="shared" ca="1" si="1311"/>
        <v>0</v>
      </c>
      <c r="CQ471" s="2307">
        <f t="shared" ca="1" si="1311"/>
        <v>0</v>
      </c>
      <c r="CR471" s="2307">
        <f t="shared" ca="1" si="1311"/>
        <v>0</v>
      </c>
      <c r="CS471" s="2307">
        <f t="shared" ca="1" si="1311"/>
        <v>0</v>
      </c>
      <c r="CT471" s="2307">
        <f t="shared" ca="1" si="1311"/>
        <v>0</v>
      </c>
      <c r="CU471" s="2307">
        <f t="shared" ca="1" si="1311"/>
        <v>0</v>
      </c>
      <c r="CV471" s="2307">
        <f t="shared" ca="1" si="1311"/>
        <v>0</v>
      </c>
      <c r="CW471" s="2307">
        <f t="shared" ca="1" si="1311"/>
        <v>0</v>
      </c>
      <c r="CX471" s="2307">
        <f t="shared" ca="1" si="1311"/>
        <v>0</v>
      </c>
      <c r="CY471" s="2307">
        <f t="shared" ca="1" si="1311"/>
        <v>0</v>
      </c>
      <c r="CZ471" s="2307">
        <f t="shared" ca="1" si="1311"/>
        <v>0</v>
      </c>
      <c r="DA471" s="2307">
        <f t="shared" ca="1" si="1311"/>
        <v>0</v>
      </c>
      <c r="DB471" s="2307">
        <f t="shared" ca="1" si="1311"/>
        <v>0</v>
      </c>
      <c r="DC471" s="2307">
        <f t="shared" ca="1" si="1311"/>
        <v>0</v>
      </c>
      <c r="DD471" s="2307">
        <f t="shared" ca="1" si="1312"/>
        <v>0</v>
      </c>
      <c r="DE471" s="2307">
        <f t="shared" ca="1" si="1312"/>
        <v>0</v>
      </c>
      <c r="DF471" s="2307">
        <f t="shared" ca="1" si="1312"/>
        <v>0</v>
      </c>
      <c r="DG471" s="2307">
        <f t="shared" ca="1" si="1312"/>
        <v>0</v>
      </c>
      <c r="DH471" s="2307">
        <f t="shared" ca="1" si="1312"/>
        <v>0</v>
      </c>
      <c r="DI471" s="2307">
        <f t="shared" ca="1" si="1312"/>
        <v>0</v>
      </c>
      <c r="DJ471" s="2307">
        <f t="shared" ca="1" si="1312"/>
        <v>0</v>
      </c>
      <c r="DK471" s="2307">
        <f t="shared" ca="1" si="1312"/>
        <v>0</v>
      </c>
      <c r="DL471" s="2307">
        <f t="shared" ca="1" si="1312"/>
        <v>0</v>
      </c>
      <c r="DM471" s="2307">
        <f t="shared" ca="1" si="1312"/>
        <v>0</v>
      </c>
      <c r="DN471" s="2307">
        <f t="shared" ca="1" si="1312"/>
        <v>0</v>
      </c>
      <c r="DO471" s="2307">
        <f t="shared" ca="1" si="1312"/>
        <v>0</v>
      </c>
      <c r="DP471" s="2307">
        <f t="shared" ca="1" si="1312"/>
        <v>0</v>
      </c>
    </row>
    <row r="472" spans="1:120" hidden="1" outlineLevel="1">
      <c r="A472" s="55">
        <v>1110053030</v>
      </c>
      <c r="B472" s="509"/>
      <c r="C472" s="679" t="s">
        <v>64</v>
      </c>
      <c r="D472" s="1469"/>
      <c r="E472" s="1470"/>
      <c r="F472" s="1251"/>
      <c r="G472" s="1251"/>
      <c r="H472" s="511"/>
      <c r="I472" s="1374"/>
      <c r="J472" s="1425">
        <v>1</v>
      </c>
      <c r="K472" s="1426">
        <v>1</v>
      </c>
      <c r="L472" s="419"/>
      <c r="M472" s="1337">
        <f t="shared" si="1299"/>
        <v>0</v>
      </c>
      <c r="N472" s="504"/>
      <c r="O472" s="513">
        <f t="shared" si="1300"/>
        <v>0</v>
      </c>
      <c r="P472" s="514"/>
      <c r="Q472" s="514">
        <f t="shared" si="1301"/>
        <v>0</v>
      </c>
      <c r="R472" s="515"/>
      <c r="S472" s="515"/>
      <c r="T472" s="516">
        <f t="shared" si="1302"/>
        <v>0</v>
      </c>
      <c r="U472" s="418">
        <f t="shared" si="1303"/>
        <v>0</v>
      </c>
      <c r="V472" s="517">
        <f t="shared" si="1306"/>
        <v>0</v>
      </c>
      <c r="W472" s="518">
        <f t="shared" si="1304"/>
        <v>0</v>
      </c>
      <c r="X472" s="975">
        <f t="shared" si="1305"/>
        <v>0</v>
      </c>
      <c r="Y472" s="519"/>
      <c r="Z472" s="1055"/>
      <c r="AA472" s="2311">
        <f t="shared" ca="1" si="1321"/>
        <v>0</v>
      </c>
      <c r="AB472" s="2310">
        <f t="shared" ca="1" si="1307"/>
        <v>0</v>
      </c>
      <c r="AC472" s="2310">
        <f t="shared" ca="1" si="1307"/>
        <v>0</v>
      </c>
      <c r="AD472" s="2310">
        <f t="shared" ca="1" si="1307"/>
        <v>0</v>
      </c>
      <c r="AE472" s="2310">
        <f t="shared" ca="1" si="1307"/>
        <v>0</v>
      </c>
      <c r="AF472" s="2307">
        <f t="shared" ca="1" si="1307"/>
        <v>0</v>
      </c>
      <c r="AG472" s="2307">
        <f t="shared" ca="1" si="1307"/>
        <v>0</v>
      </c>
      <c r="AH472" s="2307">
        <f t="shared" ca="1" si="1307"/>
        <v>0</v>
      </c>
      <c r="AI472" s="2307">
        <f t="shared" ca="1" si="1307"/>
        <v>0</v>
      </c>
      <c r="AJ472" s="2307">
        <f t="shared" ca="1" si="1307"/>
        <v>0</v>
      </c>
      <c r="AK472" s="2307">
        <f t="shared" ca="1" si="1307"/>
        <v>0</v>
      </c>
      <c r="AL472" s="2308">
        <f t="shared" ca="1" si="1307"/>
        <v>0</v>
      </c>
      <c r="AM472" s="2307">
        <f t="shared" ca="1" si="1307"/>
        <v>0</v>
      </c>
      <c r="AN472" s="2307">
        <f t="shared" ca="1" si="1307"/>
        <v>0</v>
      </c>
      <c r="AO472" s="2307">
        <f t="shared" ca="1" si="1307"/>
        <v>0</v>
      </c>
      <c r="AP472" s="2307">
        <f t="shared" ca="1" si="1307"/>
        <v>0</v>
      </c>
      <c r="AQ472" s="2307">
        <f t="shared" ca="1" si="1307"/>
        <v>0</v>
      </c>
      <c r="AR472" s="2307">
        <f t="shared" ca="1" si="1308"/>
        <v>0</v>
      </c>
      <c r="AS472" s="2307">
        <f t="shared" ca="1" si="1308"/>
        <v>0</v>
      </c>
      <c r="AT472" s="2307">
        <f t="shared" ca="1" si="1308"/>
        <v>0</v>
      </c>
      <c r="AU472" s="2307">
        <f t="shared" ca="1" si="1308"/>
        <v>0</v>
      </c>
      <c r="AV472" s="2307">
        <f t="shared" ca="1" si="1308"/>
        <v>0</v>
      </c>
      <c r="AW472" s="2307">
        <f t="shared" ca="1" si="1308"/>
        <v>0</v>
      </c>
      <c r="AX472" s="2307">
        <f t="shared" ca="1" si="1308"/>
        <v>0</v>
      </c>
      <c r="AY472" s="2307">
        <f t="shared" ca="1" si="1308"/>
        <v>0</v>
      </c>
      <c r="AZ472" s="2307">
        <f t="shared" ca="1" si="1308"/>
        <v>0</v>
      </c>
      <c r="BA472" s="2307">
        <f t="shared" ca="1" si="1308"/>
        <v>0</v>
      </c>
      <c r="BB472" s="2307">
        <f t="shared" ca="1" si="1308"/>
        <v>0</v>
      </c>
      <c r="BC472" s="2307">
        <f t="shared" ca="1" si="1308"/>
        <v>0</v>
      </c>
      <c r="BD472" s="2307">
        <f t="shared" ca="1" si="1308"/>
        <v>0</v>
      </c>
      <c r="BE472" s="2307">
        <f t="shared" ca="1" si="1308"/>
        <v>0</v>
      </c>
      <c r="BF472" s="2307">
        <f t="shared" ca="1" si="1308"/>
        <v>0</v>
      </c>
      <c r="BG472" s="2307">
        <f t="shared" ca="1" si="1308"/>
        <v>0</v>
      </c>
      <c r="BH472" s="2307">
        <f t="shared" ca="1" si="1309"/>
        <v>0</v>
      </c>
      <c r="BI472" s="2307">
        <f t="shared" ca="1" si="1309"/>
        <v>0</v>
      </c>
      <c r="BJ472" s="2307">
        <f t="shared" ca="1" si="1309"/>
        <v>0</v>
      </c>
      <c r="BK472" s="2307">
        <f t="shared" ca="1" si="1309"/>
        <v>0</v>
      </c>
      <c r="BL472" s="2307">
        <f t="shared" ca="1" si="1309"/>
        <v>0</v>
      </c>
      <c r="BM472" s="2307">
        <f t="shared" ca="1" si="1309"/>
        <v>0</v>
      </c>
      <c r="BN472" s="2307">
        <f t="shared" ca="1" si="1309"/>
        <v>0</v>
      </c>
      <c r="BO472" s="2307">
        <f t="shared" ca="1" si="1309"/>
        <v>0</v>
      </c>
      <c r="BP472" s="2307">
        <f t="shared" ca="1" si="1309"/>
        <v>0</v>
      </c>
      <c r="BQ472" s="2307">
        <f t="shared" ca="1" si="1309"/>
        <v>0</v>
      </c>
      <c r="BR472" s="2307">
        <f t="shared" ca="1" si="1309"/>
        <v>0</v>
      </c>
      <c r="BS472" s="2307">
        <f t="shared" ca="1" si="1309"/>
        <v>0</v>
      </c>
      <c r="BT472" s="2307">
        <f t="shared" ca="1" si="1309"/>
        <v>0</v>
      </c>
      <c r="BU472" s="2307">
        <f t="shared" ca="1" si="1309"/>
        <v>0</v>
      </c>
      <c r="BV472" s="2307">
        <f t="shared" ca="1" si="1309"/>
        <v>0</v>
      </c>
      <c r="BW472" s="2307">
        <f t="shared" ca="1" si="1309"/>
        <v>0</v>
      </c>
      <c r="BX472" s="2307">
        <f t="shared" ca="1" si="1310"/>
        <v>0</v>
      </c>
      <c r="BY472" s="2307">
        <f t="shared" ca="1" si="1310"/>
        <v>0</v>
      </c>
      <c r="BZ472" s="2307">
        <f t="shared" ca="1" si="1310"/>
        <v>0</v>
      </c>
      <c r="CA472" s="2307">
        <f t="shared" ca="1" si="1310"/>
        <v>0</v>
      </c>
      <c r="CB472" s="2307">
        <f t="shared" ca="1" si="1310"/>
        <v>0</v>
      </c>
      <c r="CC472" s="2307">
        <f t="shared" ca="1" si="1310"/>
        <v>0</v>
      </c>
      <c r="CD472" s="2307">
        <f t="shared" ca="1" si="1310"/>
        <v>0</v>
      </c>
      <c r="CE472" s="2307">
        <f t="shared" ca="1" si="1310"/>
        <v>0</v>
      </c>
      <c r="CF472" s="2307">
        <f t="shared" ca="1" si="1310"/>
        <v>0</v>
      </c>
      <c r="CG472" s="2307">
        <f t="shared" ca="1" si="1310"/>
        <v>0</v>
      </c>
      <c r="CH472" s="2307">
        <f t="shared" ca="1" si="1310"/>
        <v>0</v>
      </c>
      <c r="CI472" s="2307">
        <f t="shared" ca="1" si="1310"/>
        <v>0</v>
      </c>
      <c r="CJ472" s="2307">
        <f t="shared" ca="1" si="1310"/>
        <v>0</v>
      </c>
      <c r="CK472" s="2307">
        <f t="shared" ca="1" si="1310"/>
        <v>0</v>
      </c>
      <c r="CL472" s="2307">
        <f t="shared" ca="1" si="1310"/>
        <v>0</v>
      </c>
      <c r="CM472" s="2307">
        <f t="shared" ca="1" si="1310"/>
        <v>0</v>
      </c>
      <c r="CN472" s="2307">
        <f t="shared" ca="1" si="1311"/>
        <v>0</v>
      </c>
      <c r="CO472" s="2307">
        <f t="shared" ca="1" si="1311"/>
        <v>0</v>
      </c>
      <c r="CP472" s="2307">
        <f t="shared" ca="1" si="1311"/>
        <v>0</v>
      </c>
      <c r="CQ472" s="2307">
        <f t="shared" ca="1" si="1311"/>
        <v>0</v>
      </c>
      <c r="CR472" s="2307">
        <f t="shared" ca="1" si="1311"/>
        <v>0</v>
      </c>
      <c r="CS472" s="2307">
        <f t="shared" ca="1" si="1311"/>
        <v>0</v>
      </c>
      <c r="CT472" s="2307">
        <f t="shared" ca="1" si="1311"/>
        <v>0</v>
      </c>
      <c r="CU472" s="2307">
        <f t="shared" ca="1" si="1311"/>
        <v>0</v>
      </c>
      <c r="CV472" s="2307">
        <f t="shared" ca="1" si="1311"/>
        <v>0</v>
      </c>
      <c r="CW472" s="2307">
        <f t="shared" ca="1" si="1311"/>
        <v>0</v>
      </c>
      <c r="CX472" s="2307">
        <f t="shared" ca="1" si="1311"/>
        <v>0</v>
      </c>
      <c r="CY472" s="2307">
        <f t="shared" ca="1" si="1311"/>
        <v>0</v>
      </c>
      <c r="CZ472" s="2307">
        <f t="shared" ca="1" si="1311"/>
        <v>0</v>
      </c>
      <c r="DA472" s="2307">
        <f t="shared" ca="1" si="1311"/>
        <v>0</v>
      </c>
      <c r="DB472" s="2307">
        <f t="shared" ca="1" si="1311"/>
        <v>0</v>
      </c>
      <c r="DC472" s="2307">
        <f t="shared" ca="1" si="1311"/>
        <v>0</v>
      </c>
      <c r="DD472" s="2307">
        <f t="shared" ca="1" si="1312"/>
        <v>0</v>
      </c>
      <c r="DE472" s="2307">
        <f t="shared" ca="1" si="1312"/>
        <v>0</v>
      </c>
      <c r="DF472" s="2307">
        <f t="shared" ca="1" si="1312"/>
        <v>0</v>
      </c>
      <c r="DG472" s="2307">
        <f t="shared" ca="1" si="1312"/>
        <v>0</v>
      </c>
      <c r="DH472" s="2307">
        <f t="shared" ca="1" si="1312"/>
        <v>0</v>
      </c>
      <c r="DI472" s="2307">
        <f t="shared" ca="1" si="1312"/>
        <v>0</v>
      </c>
      <c r="DJ472" s="2307">
        <f t="shared" ca="1" si="1312"/>
        <v>0</v>
      </c>
      <c r="DK472" s="2307">
        <f t="shared" ca="1" si="1312"/>
        <v>0</v>
      </c>
      <c r="DL472" s="2307">
        <f t="shared" ca="1" si="1312"/>
        <v>0</v>
      </c>
      <c r="DM472" s="2307">
        <f t="shared" ca="1" si="1312"/>
        <v>0</v>
      </c>
      <c r="DN472" s="2307">
        <f t="shared" ca="1" si="1312"/>
        <v>0</v>
      </c>
      <c r="DO472" s="2307">
        <f t="shared" ca="1" si="1312"/>
        <v>0</v>
      </c>
      <c r="DP472" s="2307">
        <f t="shared" ca="1" si="1312"/>
        <v>0</v>
      </c>
    </row>
    <row r="473" spans="1:120" hidden="1" outlineLevel="1">
      <c r="A473" s="55">
        <v>1110053030</v>
      </c>
      <c r="B473" s="509"/>
      <c r="C473" s="679" t="s">
        <v>64</v>
      </c>
      <c r="D473" s="1469"/>
      <c r="E473" s="1470"/>
      <c r="F473" s="1251"/>
      <c r="G473" s="1251"/>
      <c r="H473" s="511"/>
      <c r="I473" s="1374"/>
      <c r="J473" s="1425">
        <v>1</v>
      </c>
      <c r="K473" s="1426">
        <v>1</v>
      </c>
      <c r="L473" s="419"/>
      <c r="M473" s="1337">
        <f t="shared" si="1299"/>
        <v>0</v>
      </c>
      <c r="N473" s="504"/>
      <c r="O473" s="513">
        <f t="shared" si="1300"/>
        <v>0</v>
      </c>
      <c r="P473" s="514"/>
      <c r="Q473" s="514">
        <f t="shared" si="1301"/>
        <v>0</v>
      </c>
      <c r="R473" s="515"/>
      <c r="S473" s="515"/>
      <c r="T473" s="516">
        <f t="shared" si="1302"/>
        <v>0</v>
      </c>
      <c r="U473" s="418">
        <f t="shared" si="1303"/>
        <v>0</v>
      </c>
      <c r="V473" s="517">
        <f t="shared" si="1306"/>
        <v>0</v>
      </c>
      <c r="W473" s="518">
        <f t="shared" si="1304"/>
        <v>0</v>
      </c>
      <c r="X473" s="975">
        <f t="shared" si="1305"/>
        <v>0</v>
      </c>
      <c r="Y473" s="519"/>
      <c r="Z473" s="1055"/>
      <c r="AA473" s="2311">
        <f t="shared" ca="1" si="1321"/>
        <v>0</v>
      </c>
      <c r="AB473" s="2310">
        <f t="shared" ca="1" si="1307"/>
        <v>0</v>
      </c>
      <c r="AC473" s="2310">
        <f t="shared" ca="1" si="1307"/>
        <v>0</v>
      </c>
      <c r="AD473" s="2310">
        <f t="shared" ca="1" si="1307"/>
        <v>0</v>
      </c>
      <c r="AE473" s="2310">
        <f t="shared" ca="1" si="1307"/>
        <v>0</v>
      </c>
      <c r="AF473" s="2307">
        <f t="shared" ca="1" si="1307"/>
        <v>0</v>
      </c>
      <c r="AG473" s="2307">
        <f t="shared" ca="1" si="1307"/>
        <v>0</v>
      </c>
      <c r="AH473" s="2307">
        <f t="shared" ca="1" si="1307"/>
        <v>0</v>
      </c>
      <c r="AI473" s="2307">
        <f t="shared" ca="1" si="1307"/>
        <v>0</v>
      </c>
      <c r="AJ473" s="2307">
        <f t="shared" ca="1" si="1307"/>
        <v>0</v>
      </c>
      <c r="AK473" s="2307">
        <f t="shared" ca="1" si="1307"/>
        <v>0</v>
      </c>
      <c r="AL473" s="2308">
        <f t="shared" ca="1" si="1307"/>
        <v>0</v>
      </c>
      <c r="AM473" s="2307">
        <f t="shared" ca="1" si="1307"/>
        <v>0</v>
      </c>
      <c r="AN473" s="2307">
        <f t="shared" ca="1" si="1307"/>
        <v>0</v>
      </c>
      <c r="AO473" s="2307">
        <f t="shared" ca="1" si="1307"/>
        <v>0</v>
      </c>
      <c r="AP473" s="2307">
        <f t="shared" ca="1" si="1307"/>
        <v>0</v>
      </c>
      <c r="AQ473" s="2307">
        <f t="shared" ca="1" si="1307"/>
        <v>0</v>
      </c>
      <c r="AR473" s="2307">
        <f t="shared" ca="1" si="1308"/>
        <v>0</v>
      </c>
      <c r="AS473" s="2307">
        <f t="shared" ca="1" si="1308"/>
        <v>0</v>
      </c>
      <c r="AT473" s="2307">
        <f t="shared" ca="1" si="1308"/>
        <v>0</v>
      </c>
      <c r="AU473" s="2307">
        <f t="shared" ca="1" si="1308"/>
        <v>0</v>
      </c>
      <c r="AV473" s="2307">
        <f t="shared" ca="1" si="1308"/>
        <v>0</v>
      </c>
      <c r="AW473" s="2307">
        <f t="shared" ca="1" si="1308"/>
        <v>0</v>
      </c>
      <c r="AX473" s="2307">
        <f t="shared" ca="1" si="1308"/>
        <v>0</v>
      </c>
      <c r="AY473" s="2307">
        <f t="shared" ca="1" si="1308"/>
        <v>0</v>
      </c>
      <c r="AZ473" s="2307">
        <f t="shared" ca="1" si="1308"/>
        <v>0</v>
      </c>
      <c r="BA473" s="2307">
        <f t="shared" ca="1" si="1308"/>
        <v>0</v>
      </c>
      <c r="BB473" s="2307">
        <f t="shared" ca="1" si="1308"/>
        <v>0</v>
      </c>
      <c r="BC473" s="2307">
        <f t="shared" ca="1" si="1308"/>
        <v>0</v>
      </c>
      <c r="BD473" s="2307">
        <f t="shared" ca="1" si="1308"/>
        <v>0</v>
      </c>
      <c r="BE473" s="2307">
        <f t="shared" ca="1" si="1308"/>
        <v>0</v>
      </c>
      <c r="BF473" s="2307">
        <f t="shared" ca="1" si="1308"/>
        <v>0</v>
      </c>
      <c r="BG473" s="2307">
        <f t="shared" ca="1" si="1308"/>
        <v>0</v>
      </c>
      <c r="BH473" s="2307">
        <f t="shared" ca="1" si="1309"/>
        <v>0</v>
      </c>
      <c r="BI473" s="2307">
        <f t="shared" ca="1" si="1309"/>
        <v>0</v>
      </c>
      <c r="BJ473" s="2307">
        <f t="shared" ca="1" si="1309"/>
        <v>0</v>
      </c>
      <c r="BK473" s="2307">
        <f t="shared" ca="1" si="1309"/>
        <v>0</v>
      </c>
      <c r="BL473" s="2307">
        <f t="shared" ca="1" si="1309"/>
        <v>0</v>
      </c>
      <c r="BM473" s="2307">
        <f t="shared" ca="1" si="1309"/>
        <v>0</v>
      </c>
      <c r="BN473" s="2307">
        <f t="shared" ca="1" si="1309"/>
        <v>0</v>
      </c>
      <c r="BO473" s="2307">
        <f t="shared" ca="1" si="1309"/>
        <v>0</v>
      </c>
      <c r="BP473" s="2307">
        <f t="shared" ca="1" si="1309"/>
        <v>0</v>
      </c>
      <c r="BQ473" s="2307">
        <f t="shared" ca="1" si="1309"/>
        <v>0</v>
      </c>
      <c r="BR473" s="2307">
        <f t="shared" ca="1" si="1309"/>
        <v>0</v>
      </c>
      <c r="BS473" s="2307">
        <f t="shared" ca="1" si="1309"/>
        <v>0</v>
      </c>
      <c r="BT473" s="2307">
        <f t="shared" ca="1" si="1309"/>
        <v>0</v>
      </c>
      <c r="BU473" s="2307">
        <f t="shared" ca="1" si="1309"/>
        <v>0</v>
      </c>
      <c r="BV473" s="2307">
        <f t="shared" ca="1" si="1309"/>
        <v>0</v>
      </c>
      <c r="BW473" s="2307">
        <f t="shared" ca="1" si="1309"/>
        <v>0</v>
      </c>
      <c r="BX473" s="2307">
        <f t="shared" ca="1" si="1310"/>
        <v>0</v>
      </c>
      <c r="BY473" s="2307">
        <f t="shared" ca="1" si="1310"/>
        <v>0</v>
      </c>
      <c r="BZ473" s="2307">
        <f t="shared" ca="1" si="1310"/>
        <v>0</v>
      </c>
      <c r="CA473" s="2307">
        <f t="shared" ca="1" si="1310"/>
        <v>0</v>
      </c>
      <c r="CB473" s="2307">
        <f t="shared" ca="1" si="1310"/>
        <v>0</v>
      </c>
      <c r="CC473" s="2307">
        <f t="shared" ca="1" si="1310"/>
        <v>0</v>
      </c>
      <c r="CD473" s="2307">
        <f t="shared" ca="1" si="1310"/>
        <v>0</v>
      </c>
      <c r="CE473" s="2307">
        <f t="shared" ca="1" si="1310"/>
        <v>0</v>
      </c>
      <c r="CF473" s="2307">
        <f t="shared" ca="1" si="1310"/>
        <v>0</v>
      </c>
      <c r="CG473" s="2307">
        <f t="shared" ca="1" si="1310"/>
        <v>0</v>
      </c>
      <c r="CH473" s="2307">
        <f t="shared" ca="1" si="1310"/>
        <v>0</v>
      </c>
      <c r="CI473" s="2307">
        <f t="shared" ca="1" si="1310"/>
        <v>0</v>
      </c>
      <c r="CJ473" s="2307">
        <f t="shared" ca="1" si="1310"/>
        <v>0</v>
      </c>
      <c r="CK473" s="2307">
        <f t="shared" ca="1" si="1310"/>
        <v>0</v>
      </c>
      <c r="CL473" s="2307">
        <f t="shared" ca="1" si="1310"/>
        <v>0</v>
      </c>
      <c r="CM473" s="2307">
        <f t="shared" ca="1" si="1310"/>
        <v>0</v>
      </c>
      <c r="CN473" s="2307">
        <f t="shared" ca="1" si="1311"/>
        <v>0</v>
      </c>
      <c r="CO473" s="2307">
        <f t="shared" ca="1" si="1311"/>
        <v>0</v>
      </c>
      <c r="CP473" s="2307">
        <f t="shared" ca="1" si="1311"/>
        <v>0</v>
      </c>
      <c r="CQ473" s="2307">
        <f t="shared" ca="1" si="1311"/>
        <v>0</v>
      </c>
      <c r="CR473" s="2307">
        <f t="shared" ca="1" si="1311"/>
        <v>0</v>
      </c>
      <c r="CS473" s="2307">
        <f t="shared" ca="1" si="1311"/>
        <v>0</v>
      </c>
      <c r="CT473" s="2307">
        <f t="shared" ca="1" si="1311"/>
        <v>0</v>
      </c>
      <c r="CU473" s="2307">
        <f t="shared" ca="1" si="1311"/>
        <v>0</v>
      </c>
      <c r="CV473" s="2307">
        <f t="shared" ca="1" si="1311"/>
        <v>0</v>
      </c>
      <c r="CW473" s="2307">
        <f t="shared" ca="1" si="1311"/>
        <v>0</v>
      </c>
      <c r="CX473" s="2307">
        <f t="shared" ca="1" si="1311"/>
        <v>0</v>
      </c>
      <c r="CY473" s="2307">
        <f t="shared" ca="1" si="1311"/>
        <v>0</v>
      </c>
      <c r="CZ473" s="2307">
        <f t="shared" ca="1" si="1311"/>
        <v>0</v>
      </c>
      <c r="DA473" s="2307">
        <f t="shared" ca="1" si="1311"/>
        <v>0</v>
      </c>
      <c r="DB473" s="2307">
        <f t="shared" ca="1" si="1311"/>
        <v>0</v>
      </c>
      <c r="DC473" s="2307">
        <f t="shared" ca="1" si="1311"/>
        <v>0</v>
      </c>
      <c r="DD473" s="2307">
        <f t="shared" ca="1" si="1312"/>
        <v>0</v>
      </c>
      <c r="DE473" s="2307">
        <f t="shared" ca="1" si="1312"/>
        <v>0</v>
      </c>
      <c r="DF473" s="2307">
        <f t="shared" ca="1" si="1312"/>
        <v>0</v>
      </c>
      <c r="DG473" s="2307">
        <f t="shared" ca="1" si="1312"/>
        <v>0</v>
      </c>
      <c r="DH473" s="2307">
        <f t="shared" ca="1" si="1312"/>
        <v>0</v>
      </c>
      <c r="DI473" s="2307">
        <f t="shared" ca="1" si="1312"/>
        <v>0</v>
      </c>
      <c r="DJ473" s="2307">
        <f t="shared" ca="1" si="1312"/>
        <v>0</v>
      </c>
      <c r="DK473" s="2307">
        <f t="shared" ca="1" si="1312"/>
        <v>0</v>
      </c>
      <c r="DL473" s="2307">
        <f t="shared" ca="1" si="1312"/>
        <v>0</v>
      </c>
      <c r="DM473" s="2307">
        <f t="shared" ca="1" si="1312"/>
        <v>0</v>
      </c>
      <c r="DN473" s="2307">
        <f t="shared" ca="1" si="1312"/>
        <v>0</v>
      </c>
      <c r="DO473" s="2307">
        <f t="shared" ca="1" si="1312"/>
        <v>0</v>
      </c>
      <c r="DP473" s="2307">
        <f t="shared" ca="1" si="1312"/>
        <v>0</v>
      </c>
    </row>
    <row r="474" spans="1:120" hidden="1" outlineLevel="1">
      <c r="A474" s="55">
        <v>1110053030</v>
      </c>
      <c r="B474" s="509"/>
      <c r="C474" s="679" t="s">
        <v>64</v>
      </c>
      <c r="D474" s="1469"/>
      <c r="E474" s="1470"/>
      <c r="F474" s="1251"/>
      <c r="G474" s="1251"/>
      <c r="H474" s="511"/>
      <c r="I474" s="1374"/>
      <c r="J474" s="1425">
        <v>1</v>
      </c>
      <c r="K474" s="1426">
        <v>1</v>
      </c>
      <c r="L474" s="419"/>
      <c r="M474" s="1337">
        <f t="shared" si="1299"/>
        <v>0</v>
      </c>
      <c r="N474" s="504"/>
      <c r="O474" s="513">
        <f t="shared" si="1300"/>
        <v>0</v>
      </c>
      <c r="P474" s="514"/>
      <c r="Q474" s="514">
        <f t="shared" si="1301"/>
        <v>0</v>
      </c>
      <c r="R474" s="515"/>
      <c r="S474" s="515"/>
      <c r="T474" s="516">
        <f t="shared" si="1302"/>
        <v>0</v>
      </c>
      <c r="U474" s="418">
        <f t="shared" si="1303"/>
        <v>0</v>
      </c>
      <c r="V474" s="517">
        <f t="shared" si="1306"/>
        <v>0</v>
      </c>
      <c r="W474" s="518">
        <f t="shared" si="1304"/>
        <v>0</v>
      </c>
      <c r="X474" s="975">
        <f t="shared" si="1305"/>
        <v>0</v>
      </c>
      <c r="Y474" s="519"/>
      <c r="Z474" s="1055"/>
      <c r="AA474" s="2311">
        <f t="shared" ca="1" si="1321"/>
        <v>0</v>
      </c>
      <c r="AB474" s="2310">
        <f t="shared" ca="1" si="1307"/>
        <v>0</v>
      </c>
      <c r="AC474" s="2310">
        <f t="shared" ca="1" si="1307"/>
        <v>0</v>
      </c>
      <c r="AD474" s="2310">
        <f t="shared" ca="1" si="1307"/>
        <v>0</v>
      </c>
      <c r="AE474" s="2310">
        <f t="shared" ca="1" si="1307"/>
        <v>0</v>
      </c>
      <c r="AF474" s="2307">
        <f t="shared" ca="1" si="1307"/>
        <v>0</v>
      </c>
      <c r="AG474" s="2307">
        <f t="shared" ca="1" si="1307"/>
        <v>0</v>
      </c>
      <c r="AH474" s="2307">
        <f t="shared" ca="1" si="1307"/>
        <v>0</v>
      </c>
      <c r="AI474" s="2307">
        <f t="shared" ca="1" si="1307"/>
        <v>0</v>
      </c>
      <c r="AJ474" s="2307">
        <f t="shared" ca="1" si="1307"/>
        <v>0</v>
      </c>
      <c r="AK474" s="2307">
        <f t="shared" ca="1" si="1307"/>
        <v>0</v>
      </c>
      <c r="AL474" s="2308">
        <f t="shared" ca="1" si="1307"/>
        <v>0</v>
      </c>
      <c r="AM474" s="2307">
        <f t="shared" ca="1" si="1307"/>
        <v>0</v>
      </c>
      <c r="AN474" s="2307">
        <f t="shared" ca="1" si="1307"/>
        <v>0</v>
      </c>
      <c r="AO474" s="2307">
        <f t="shared" ca="1" si="1307"/>
        <v>0</v>
      </c>
      <c r="AP474" s="2307">
        <f t="shared" ca="1" si="1307"/>
        <v>0</v>
      </c>
      <c r="AQ474" s="2307">
        <f t="shared" ca="1" si="1307"/>
        <v>0</v>
      </c>
      <c r="AR474" s="2307">
        <f t="shared" ca="1" si="1308"/>
        <v>0</v>
      </c>
      <c r="AS474" s="2307">
        <f t="shared" ca="1" si="1308"/>
        <v>0</v>
      </c>
      <c r="AT474" s="2307">
        <f t="shared" ca="1" si="1308"/>
        <v>0</v>
      </c>
      <c r="AU474" s="2307">
        <f t="shared" ca="1" si="1308"/>
        <v>0</v>
      </c>
      <c r="AV474" s="2307">
        <f t="shared" ca="1" si="1308"/>
        <v>0</v>
      </c>
      <c r="AW474" s="2307">
        <f t="shared" ca="1" si="1308"/>
        <v>0</v>
      </c>
      <c r="AX474" s="2307">
        <f t="shared" ca="1" si="1308"/>
        <v>0</v>
      </c>
      <c r="AY474" s="2307">
        <f t="shared" ca="1" si="1308"/>
        <v>0</v>
      </c>
      <c r="AZ474" s="2307">
        <f t="shared" ca="1" si="1308"/>
        <v>0</v>
      </c>
      <c r="BA474" s="2307">
        <f t="shared" ca="1" si="1308"/>
        <v>0</v>
      </c>
      <c r="BB474" s="2307">
        <f t="shared" ca="1" si="1308"/>
        <v>0</v>
      </c>
      <c r="BC474" s="2307">
        <f t="shared" ca="1" si="1308"/>
        <v>0</v>
      </c>
      <c r="BD474" s="2307">
        <f t="shared" ca="1" si="1308"/>
        <v>0</v>
      </c>
      <c r="BE474" s="2307">
        <f t="shared" ca="1" si="1308"/>
        <v>0</v>
      </c>
      <c r="BF474" s="2307">
        <f t="shared" ca="1" si="1308"/>
        <v>0</v>
      </c>
      <c r="BG474" s="2307">
        <f t="shared" ca="1" si="1308"/>
        <v>0</v>
      </c>
      <c r="BH474" s="2307">
        <f t="shared" ca="1" si="1309"/>
        <v>0</v>
      </c>
      <c r="BI474" s="2307">
        <f t="shared" ca="1" si="1309"/>
        <v>0</v>
      </c>
      <c r="BJ474" s="2307">
        <f t="shared" ca="1" si="1309"/>
        <v>0</v>
      </c>
      <c r="BK474" s="2307">
        <f t="shared" ca="1" si="1309"/>
        <v>0</v>
      </c>
      <c r="BL474" s="2307">
        <f t="shared" ca="1" si="1309"/>
        <v>0</v>
      </c>
      <c r="BM474" s="2307">
        <f t="shared" ca="1" si="1309"/>
        <v>0</v>
      </c>
      <c r="BN474" s="2307">
        <f t="shared" ca="1" si="1309"/>
        <v>0</v>
      </c>
      <c r="BO474" s="2307">
        <f t="shared" ca="1" si="1309"/>
        <v>0</v>
      </c>
      <c r="BP474" s="2307">
        <f t="shared" ca="1" si="1309"/>
        <v>0</v>
      </c>
      <c r="BQ474" s="2307">
        <f t="shared" ca="1" si="1309"/>
        <v>0</v>
      </c>
      <c r="BR474" s="2307">
        <f t="shared" ca="1" si="1309"/>
        <v>0</v>
      </c>
      <c r="BS474" s="2307">
        <f t="shared" ca="1" si="1309"/>
        <v>0</v>
      </c>
      <c r="BT474" s="2307">
        <f t="shared" ca="1" si="1309"/>
        <v>0</v>
      </c>
      <c r="BU474" s="2307">
        <f t="shared" ca="1" si="1309"/>
        <v>0</v>
      </c>
      <c r="BV474" s="2307">
        <f t="shared" ca="1" si="1309"/>
        <v>0</v>
      </c>
      <c r="BW474" s="2307">
        <f t="shared" ca="1" si="1309"/>
        <v>0</v>
      </c>
      <c r="BX474" s="2307">
        <f t="shared" ca="1" si="1310"/>
        <v>0</v>
      </c>
      <c r="BY474" s="2307">
        <f t="shared" ca="1" si="1310"/>
        <v>0</v>
      </c>
      <c r="BZ474" s="2307">
        <f t="shared" ca="1" si="1310"/>
        <v>0</v>
      </c>
      <c r="CA474" s="2307">
        <f t="shared" ca="1" si="1310"/>
        <v>0</v>
      </c>
      <c r="CB474" s="2307">
        <f t="shared" ca="1" si="1310"/>
        <v>0</v>
      </c>
      <c r="CC474" s="2307">
        <f t="shared" ca="1" si="1310"/>
        <v>0</v>
      </c>
      <c r="CD474" s="2307">
        <f t="shared" ca="1" si="1310"/>
        <v>0</v>
      </c>
      <c r="CE474" s="2307">
        <f t="shared" ca="1" si="1310"/>
        <v>0</v>
      </c>
      <c r="CF474" s="2307">
        <f t="shared" ca="1" si="1310"/>
        <v>0</v>
      </c>
      <c r="CG474" s="2307">
        <f t="shared" ca="1" si="1310"/>
        <v>0</v>
      </c>
      <c r="CH474" s="2307">
        <f t="shared" ca="1" si="1310"/>
        <v>0</v>
      </c>
      <c r="CI474" s="2307">
        <f t="shared" ca="1" si="1310"/>
        <v>0</v>
      </c>
      <c r="CJ474" s="2307">
        <f t="shared" ca="1" si="1310"/>
        <v>0</v>
      </c>
      <c r="CK474" s="2307">
        <f t="shared" ca="1" si="1310"/>
        <v>0</v>
      </c>
      <c r="CL474" s="2307">
        <f t="shared" ca="1" si="1310"/>
        <v>0</v>
      </c>
      <c r="CM474" s="2307">
        <f t="shared" ca="1" si="1310"/>
        <v>0</v>
      </c>
      <c r="CN474" s="2307">
        <f t="shared" ca="1" si="1311"/>
        <v>0</v>
      </c>
      <c r="CO474" s="2307">
        <f t="shared" ca="1" si="1311"/>
        <v>0</v>
      </c>
      <c r="CP474" s="2307">
        <f t="shared" ca="1" si="1311"/>
        <v>0</v>
      </c>
      <c r="CQ474" s="2307">
        <f t="shared" ca="1" si="1311"/>
        <v>0</v>
      </c>
      <c r="CR474" s="2307">
        <f t="shared" ca="1" si="1311"/>
        <v>0</v>
      </c>
      <c r="CS474" s="2307">
        <f t="shared" ca="1" si="1311"/>
        <v>0</v>
      </c>
      <c r="CT474" s="2307">
        <f t="shared" ca="1" si="1311"/>
        <v>0</v>
      </c>
      <c r="CU474" s="2307">
        <f t="shared" ca="1" si="1311"/>
        <v>0</v>
      </c>
      <c r="CV474" s="2307">
        <f t="shared" ca="1" si="1311"/>
        <v>0</v>
      </c>
      <c r="CW474" s="2307">
        <f t="shared" ca="1" si="1311"/>
        <v>0</v>
      </c>
      <c r="CX474" s="2307">
        <f t="shared" ca="1" si="1311"/>
        <v>0</v>
      </c>
      <c r="CY474" s="2307">
        <f t="shared" ca="1" si="1311"/>
        <v>0</v>
      </c>
      <c r="CZ474" s="2307">
        <f t="shared" ca="1" si="1311"/>
        <v>0</v>
      </c>
      <c r="DA474" s="2307">
        <f t="shared" ca="1" si="1311"/>
        <v>0</v>
      </c>
      <c r="DB474" s="2307">
        <f t="shared" ca="1" si="1311"/>
        <v>0</v>
      </c>
      <c r="DC474" s="2307">
        <f t="shared" ca="1" si="1311"/>
        <v>0</v>
      </c>
      <c r="DD474" s="2307">
        <f t="shared" ca="1" si="1312"/>
        <v>0</v>
      </c>
      <c r="DE474" s="2307">
        <f t="shared" ca="1" si="1312"/>
        <v>0</v>
      </c>
      <c r="DF474" s="2307">
        <f t="shared" ca="1" si="1312"/>
        <v>0</v>
      </c>
      <c r="DG474" s="2307">
        <f t="shared" ca="1" si="1312"/>
        <v>0</v>
      </c>
      <c r="DH474" s="2307">
        <f t="shared" ca="1" si="1312"/>
        <v>0</v>
      </c>
      <c r="DI474" s="2307">
        <f t="shared" ca="1" si="1312"/>
        <v>0</v>
      </c>
      <c r="DJ474" s="2307">
        <f t="shared" ca="1" si="1312"/>
        <v>0</v>
      </c>
      <c r="DK474" s="2307">
        <f t="shared" ca="1" si="1312"/>
        <v>0</v>
      </c>
      <c r="DL474" s="2307">
        <f t="shared" ca="1" si="1312"/>
        <v>0</v>
      </c>
      <c r="DM474" s="2307">
        <f t="shared" ca="1" si="1312"/>
        <v>0</v>
      </c>
      <c r="DN474" s="2307">
        <f t="shared" ca="1" si="1312"/>
        <v>0</v>
      </c>
      <c r="DO474" s="2307">
        <f t="shared" ca="1" si="1312"/>
        <v>0</v>
      </c>
      <c r="DP474" s="2307">
        <f t="shared" ca="1" si="1312"/>
        <v>0</v>
      </c>
    </row>
    <row r="475" spans="1:120" hidden="1" outlineLevel="1">
      <c r="A475" s="55">
        <v>1110053030</v>
      </c>
      <c r="B475" s="509"/>
      <c r="C475" s="679" t="s">
        <v>64</v>
      </c>
      <c r="D475" s="1469"/>
      <c r="E475" s="1470"/>
      <c r="F475" s="1251"/>
      <c r="G475" s="1251"/>
      <c r="H475" s="511"/>
      <c r="I475" s="1374"/>
      <c r="J475" s="1425">
        <v>1</v>
      </c>
      <c r="K475" s="1426">
        <v>1</v>
      </c>
      <c r="L475" s="419"/>
      <c r="M475" s="1337">
        <f t="shared" si="1299"/>
        <v>0</v>
      </c>
      <c r="N475" s="504"/>
      <c r="O475" s="513">
        <f t="shared" si="1300"/>
        <v>0</v>
      </c>
      <c r="P475" s="514"/>
      <c r="Q475" s="514">
        <f t="shared" si="1301"/>
        <v>0</v>
      </c>
      <c r="R475" s="515"/>
      <c r="S475" s="515"/>
      <c r="T475" s="516">
        <f t="shared" si="1302"/>
        <v>0</v>
      </c>
      <c r="U475" s="418">
        <f t="shared" si="1303"/>
        <v>0</v>
      </c>
      <c r="V475" s="517">
        <f t="shared" si="1306"/>
        <v>0</v>
      </c>
      <c r="W475" s="518">
        <f t="shared" si="1304"/>
        <v>0</v>
      </c>
      <c r="X475" s="975">
        <f t="shared" si="1305"/>
        <v>0</v>
      </c>
      <c r="Y475" s="519"/>
      <c r="Z475" s="1055"/>
      <c r="AA475" s="2311">
        <f t="shared" ca="1" si="1321"/>
        <v>0</v>
      </c>
      <c r="AB475" s="2310">
        <f t="shared" ca="1" si="1307"/>
        <v>0</v>
      </c>
      <c r="AC475" s="2310">
        <f t="shared" ca="1" si="1307"/>
        <v>0</v>
      </c>
      <c r="AD475" s="2310">
        <f t="shared" ca="1" si="1307"/>
        <v>0</v>
      </c>
      <c r="AE475" s="2310">
        <f t="shared" ca="1" si="1307"/>
        <v>0</v>
      </c>
      <c r="AF475" s="2307">
        <f t="shared" ca="1" si="1307"/>
        <v>0</v>
      </c>
      <c r="AG475" s="2307">
        <f t="shared" ca="1" si="1307"/>
        <v>0</v>
      </c>
      <c r="AH475" s="2307">
        <f t="shared" ca="1" si="1307"/>
        <v>0</v>
      </c>
      <c r="AI475" s="2307">
        <f t="shared" ca="1" si="1307"/>
        <v>0</v>
      </c>
      <c r="AJ475" s="2307">
        <f t="shared" ca="1" si="1307"/>
        <v>0</v>
      </c>
      <c r="AK475" s="2307">
        <f t="shared" ca="1" si="1307"/>
        <v>0</v>
      </c>
      <c r="AL475" s="2308">
        <f t="shared" ca="1" si="1307"/>
        <v>0</v>
      </c>
      <c r="AM475" s="2307">
        <f t="shared" ca="1" si="1307"/>
        <v>0</v>
      </c>
      <c r="AN475" s="2307">
        <f t="shared" ca="1" si="1307"/>
        <v>0</v>
      </c>
      <c r="AO475" s="2307">
        <f t="shared" ca="1" si="1307"/>
        <v>0</v>
      </c>
      <c r="AP475" s="2307">
        <f t="shared" ca="1" si="1307"/>
        <v>0</v>
      </c>
      <c r="AQ475" s="2307">
        <f t="shared" ca="1" si="1307"/>
        <v>0</v>
      </c>
      <c r="AR475" s="2307">
        <f t="shared" ca="1" si="1308"/>
        <v>0</v>
      </c>
      <c r="AS475" s="2307">
        <f t="shared" ca="1" si="1308"/>
        <v>0</v>
      </c>
      <c r="AT475" s="2307">
        <f t="shared" ca="1" si="1308"/>
        <v>0</v>
      </c>
      <c r="AU475" s="2307">
        <f t="shared" ca="1" si="1308"/>
        <v>0</v>
      </c>
      <c r="AV475" s="2307">
        <f t="shared" ca="1" si="1308"/>
        <v>0</v>
      </c>
      <c r="AW475" s="2307">
        <f t="shared" ca="1" si="1308"/>
        <v>0</v>
      </c>
      <c r="AX475" s="2307">
        <f t="shared" ca="1" si="1308"/>
        <v>0</v>
      </c>
      <c r="AY475" s="2307">
        <f t="shared" ca="1" si="1308"/>
        <v>0</v>
      </c>
      <c r="AZ475" s="2307">
        <f t="shared" ca="1" si="1308"/>
        <v>0</v>
      </c>
      <c r="BA475" s="2307">
        <f t="shared" ca="1" si="1308"/>
        <v>0</v>
      </c>
      <c r="BB475" s="2307">
        <f t="shared" ca="1" si="1308"/>
        <v>0</v>
      </c>
      <c r="BC475" s="2307">
        <f t="shared" ca="1" si="1308"/>
        <v>0</v>
      </c>
      <c r="BD475" s="2307">
        <f t="shared" ca="1" si="1308"/>
        <v>0</v>
      </c>
      <c r="BE475" s="2307">
        <f t="shared" ca="1" si="1308"/>
        <v>0</v>
      </c>
      <c r="BF475" s="2307">
        <f t="shared" ca="1" si="1308"/>
        <v>0</v>
      </c>
      <c r="BG475" s="2307">
        <f t="shared" ca="1" si="1308"/>
        <v>0</v>
      </c>
      <c r="BH475" s="2307">
        <f t="shared" ca="1" si="1309"/>
        <v>0</v>
      </c>
      <c r="BI475" s="2307">
        <f t="shared" ca="1" si="1309"/>
        <v>0</v>
      </c>
      <c r="BJ475" s="2307">
        <f t="shared" ca="1" si="1309"/>
        <v>0</v>
      </c>
      <c r="BK475" s="2307">
        <f t="shared" ca="1" si="1309"/>
        <v>0</v>
      </c>
      <c r="BL475" s="2307">
        <f t="shared" ca="1" si="1309"/>
        <v>0</v>
      </c>
      <c r="BM475" s="2307">
        <f t="shared" ca="1" si="1309"/>
        <v>0</v>
      </c>
      <c r="BN475" s="2307">
        <f t="shared" ca="1" si="1309"/>
        <v>0</v>
      </c>
      <c r="BO475" s="2307">
        <f t="shared" ca="1" si="1309"/>
        <v>0</v>
      </c>
      <c r="BP475" s="2307">
        <f t="shared" ca="1" si="1309"/>
        <v>0</v>
      </c>
      <c r="BQ475" s="2307">
        <f t="shared" ca="1" si="1309"/>
        <v>0</v>
      </c>
      <c r="BR475" s="2307">
        <f t="shared" ca="1" si="1309"/>
        <v>0</v>
      </c>
      <c r="BS475" s="2307">
        <f t="shared" ca="1" si="1309"/>
        <v>0</v>
      </c>
      <c r="BT475" s="2307">
        <f t="shared" ca="1" si="1309"/>
        <v>0</v>
      </c>
      <c r="BU475" s="2307">
        <f t="shared" ca="1" si="1309"/>
        <v>0</v>
      </c>
      <c r="BV475" s="2307">
        <f t="shared" ca="1" si="1309"/>
        <v>0</v>
      </c>
      <c r="BW475" s="2307">
        <f t="shared" ca="1" si="1309"/>
        <v>0</v>
      </c>
      <c r="BX475" s="2307">
        <f t="shared" ca="1" si="1310"/>
        <v>0</v>
      </c>
      <c r="BY475" s="2307">
        <f t="shared" ca="1" si="1310"/>
        <v>0</v>
      </c>
      <c r="BZ475" s="2307">
        <f t="shared" ca="1" si="1310"/>
        <v>0</v>
      </c>
      <c r="CA475" s="2307">
        <f t="shared" ca="1" si="1310"/>
        <v>0</v>
      </c>
      <c r="CB475" s="2307">
        <f t="shared" ca="1" si="1310"/>
        <v>0</v>
      </c>
      <c r="CC475" s="2307">
        <f t="shared" ca="1" si="1310"/>
        <v>0</v>
      </c>
      <c r="CD475" s="2307">
        <f t="shared" ca="1" si="1310"/>
        <v>0</v>
      </c>
      <c r="CE475" s="2307">
        <f t="shared" ca="1" si="1310"/>
        <v>0</v>
      </c>
      <c r="CF475" s="2307">
        <f t="shared" ca="1" si="1310"/>
        <v>0</v>
      </c>
      <c r="CG475" s="2307">
        <f t="shared" ca="1" si="1310"/>
        <v>0</v>
      </c>
      <c r="CH475" s="2307">
        <f t="shared" ca="1" si="1310"/>
        <v>0</v>
      </c>
      <c r="CI475" s="2307">
        <f t="shared" ca="1" si="1310"/>
        <v>0</v>
      </c>
      <c r="CJ475" s="2307">
        <f t="shared" ca="1" si="1310"/>
        <v>0</v>
      </c>
      <c r="CK475" s="2307">
        <f t="shared" ca="1" si="1310"/>
        <v>0</v>
      </c>
      <c r="CL475" s="2307">
        <f t="shared" ca="1" si="1310"/>
        <v>0</v>
      </c>
      <c r="CM475" s="2307">
        <f t="shared" ca="1" si="1310"/>
        <v>0</v>
      </c>
      <c r="CN475" s="2307">
        <f t="shared" ca="1" si="1311"/>
        <v>0</v>
      </c>
      <c r="CO475" s="2307">
        <f t="shared" ca="1" si="1311"/>
        <v>0</v>
      </c>
      <c r="CP475" s="2307">
        <f t="shared" ca="1" si="1311"/>
        <v>0</v>
      </c>
      <c r="CQ475" s="2307">
        <f t="shared" ca="1" si="1311"/>
        <v>0</v>
      </c>
      <c r="CR475" s="2307">
        <f t="shared" ca="1" si="1311"/>
        <v>0</v>
      </c>
      <c r="CS475" s="2307">
        <f t="shared" ca="1" si="1311"/>
        <v>0</v>
      </c>
      <c r="CT475" s="2307">
        <f t="shared" ca="1" si="1311"/>
        <v>0</v>
      </c>
      <c r="CU475" s="2307">
        <f t="shared" ca="1" si="1311"/>
        <v>0</v>
      </c>
      <c r="CV475" s="2307">
        <f t="shared" ca="1" si="1311"/>
        <v>0</v>
      </c>
      <c r="CW475" s="2307">
        <f t="shared" ca="1" si="1311"/>
        <v>0</v>
      </c>
      <c r="CX475" s="2307">
        <f t="shared" ca="1" si="1311"/>
        <v>0</v>
      </c>
      <c r="CY475" s="2307">
        <f t="shared" ca="1" si="1311"/>
        <v>0</v>
      </c>
      <c r="CZ475" s="2307">
        <f t="shared" ca="1" si="1311"/>
        <v>0</v>
      </c>
      <c r="DA475" s="2307">
        <f t="shared" ca="1" si="1311"/>
        <v>0</v>
      </c>
      <c r="DB475" s="2307">
        <f t="shared" ca="1" si="1311"/>
        <v>0</v>
      </c>
      <c r="DC475" s="2307">
        <f t="shared" ca="1" si="1311"/>
        <v>0</v>
      </c>
      <c r="DD475" s="2307">
        <f t="shared" ca="1" si="1312"/>
        <v>0</v>
      </c>
      <c r="DE475" s="2307">
        <f t="shared" ca="1" si="1312"/>
        <v>0</v>
      </c>
      <c r="DF475" s="2307">
        <f t="shared" ca="1" si="1312"/>
        <v>0</v>
      </c>
      <c r="DG475" s="2307">
        <f t="shared" ca="1" si="1312"/>
        <v>0</v>
      </c>
      <c r="DH475" s="2307">
        <f t="shared" ca="1" si="1312"/>
        <v>0</v>
      </c>
      <c r="DI475" s="2307">
        <f t="shared" ca="1" si="1312"/>
        <v>0</v>
      </c>
      <c r="DJ475" s="2307">
        <f t="shared" ca="1" si="1312"/>
        <v>0</v>
      </c>
      <c r="DK475" s="2307">
        <f t="shared" ca="1" si="1312"/>
        <v>0</v>
      </c>
      <c r="DL475" s="2307">
        <f t="shared" ca="1" si="1312"/>
        <v>0</v>
      </c>
      <c r="DM475" s="2307">
        <f t="shared" ca="1" si="1312"/>
        <v>0</v>
      </c>
      <c r="DN475" s="2307">
        <f t="shared" ca="1" si="1312"/>
        <v>0</v>
      </c>
      <c r="DO475" s="2307">
        <f t="shared" ca="1" si="1312"/>
        <v>0</v>
      </c>
      <c r="DP475" s="2307">
        <f t="shared" ca="1" si="1312"/>
        <v>0</v>
      </c>
    </row>
    <row r="476" spans="1:120" hidden="1" outlineLevel="1">
      <c r="A476" s="55">
        <v>1110053030</v>
      </c>
      <c r="B476" s="509"/>
      <c r="C476" s="679" t="s">
        <v>64</v>
      </c>
      <c r="D476" s="1469"/>
      <c r="E476" s="1470"/>
      <c r="F476" s="1251"/>
      <c r="G476" s="1251"/>
      <c r="H476" s="511"/>
      <c r="I476" s="1374"/>
      <c r="J476" s="1425">
        <v>1</v>
      </c>
      <c r="K476" s="1426">
        <v>1</v>
      </c>
      <c r="L476" s="419"/>
      <c r="M476" s="1337">
        <f t="shared" ref="M476" si="1322">+L476*J476</f>
        <v>0</v>
      </c>
      <c r="N476" s="504"/>
      <c r="O476" s="513">
        <f t="shared" ref="O476" si="1323">+L476*J476*N476</f>
        <v>0</v>
      </c>
      <c r="P476" s="514"/>
      <c r="Q476" s="514">
        <f t="shared" ref="Q476" si="1324">+P476*K476</f>
        <v>0</v>
      </c>
      <c r="R476" s="515"/>
      <c r="S476" s="515"/>
      <c r="T476" s="516">
        <f t="shared" ref="T476" si="1325">+P476*K476*S476</f>
        <v>0</v>
      </c>
      <c r="U476" s="418">
        <f t="shared" ref="U476" si="1326">+L476+P476+F476</f>
        <v>0</v>
      </c>
      <c r="V476" s="517">
        <f t="shared" ref="V476" si="1327">+P476*J476*R476+L476*J476*N476+F476*J476*H476</f>
        <v>0</v>
      </c>
      <c r="W476" s="518">
        <f t="shared" ref="W476" si="1328">IF((-P476*J476*R476)-(-P476*K476*S476)&gt;0,(-P476*J476*R476)-(-P476*K476*S476),0)</f>
        <v>0</v>
      </c>
      <c r="X476" s="975">
        <f t="shared" ref="X476" si="1329">IF((-P476*J476*R476)-(-P476*K476*S476)&lt;0,(-P476*J476*R476)-(-P476*K476*S476),0)</f>
        <v>0</v>
      </c>
      <c r="Y476" s="519"/>
      <c r="Z476" s="1055"/>
      <c r="AA476" s="2311">
        <f t="shared" ca="1" si="1321"/>
        <v>0</v>
      </c>
      <c r="AB476" s="2310">
        <f t="shared" ca="1" si="1307"/>
        <v>0</v>
      </c>
      <c r="AC476" s="2310">
        <f t="shared" ca="1" si="1307"/>
        <v>0</v>
      </c>
      <c r="AD476" s="2310">
        <f t="shared" ca="1" si="1307"/>
        <v>0</v>
      </c>
      <c r="AE476" s="2310">
        <f t="shared" ca="1" si="1307"/>
        <v>0</v>
      </c>
      <c r="AF476" s="2307">
        <f t="shared" ca="1" si="1307"/>
        <v>0</v>
      </c>
      <c r="AG476" s="2307">
        <f t="shared" ca="1" si="1307"/>
        <v>0</v>
      </c>
      <c r="AH476" s="2307">
        <f t="shared" ca="1" si="1307"/>
        <v>0</v>
      </c>
      <c r="AI476" s="2307">
        <f t="shared" ca="1" si="1307"/>
        <v>0</v>
      </c>
      <c r="AJ476" s="2307">
        <f t="shared" ca="1" si="1307"/>
        <v>0</v>
      </c>
      <c r="AK476" s="2307">
        <f t="shared" ca="1" si="1307"/>
        <v>0</v>
      </c>
      <c r="AL476" s="2308">
        <f t="shared" ca="1" si="1307"/>
        <v>0</v>
      </c>
      <c r="AM476" s="2307">
        <f t="shared" ca="1" si="1307"/>
        <v>0</v>
      </c>
      <c r="AN476" s="2307">
        <f t="shared" ca="1" si="1307"/>
        <v>0</v>
      </c>
      <c r="AO476" s="2307">
        <f t="shared" ca="1" si="1307"/>
        <v>0</v>
      </c>
      <c r="AP476" s="2307">
        <f t="shared" ca="1" si="1307"/>
        <v>0</v>
      </c>
      <c r="AQ476" s="2307">
        <f t="shared" ca="1" si="1307"/>
        <v>0</v>
      </c>
      <c r="AR476" s="2307">
        <f t="shared" ca="1" si="1308"/>
        <v>0</v>
      </c>
      <c r="AS476" s="2307">
        <f t="shared" ca="1" si="1308"/>
        <v>0</v>
      </c>
      <c r="AT476" s="2307">
        <f t="shared" ca="1" si="1308"/>
        <v>0</v>
      </c>
      <c r="AU476" s="2307">
        <f t="shared" ca="1" si="1308"/>
        <v>0</v>
      </c>
      <c r="AV476" s="2307">
        <f t="shared" ca="1" si="1308"/>
        <v>0</v>
      </c>
      <c r="AW476" s="2307">
        <f t="shared" ca="1" si="1308"/>
        <v>0</v>
      </c>
      <c r="AX476" s="2307">
        <f t="shared" ca="1" si="1308"/>
        <v>0</v>
      </c>
      <c r="AY476" s="2307">
        <f t="shared" ca="1" si="1308"/>
        <v>0</v>
      </c>
      <c r="AZ476" s="2307">
        <f t="shared" ca="1" si="1308"/>
        <v>0</v>
      </c>
      <c r="BA476" s="2307">
        <f t="shared" ca="1" si="1308"/>
        <v>0</v>
      </c>
      <c r="BB476" s="2307">
        <f t="shared" ca="1" si="1308"/>
        <v>0</v>
      </c>
      <c r="BC476" s="2307">
        <f t="shared" ca="1" si="1308"/>
        <v>0</v>
      </c>
      <c r="BD476" s="2307">
        <f t="shared" ca="1" si="1308"/>
        <v>0</v>
      </c>
      <c r="BE476" s="2307">
        <f t="shared" ca="1" si="1308"/>
        <v>0</v>
      </c>
      <c r="BF476" s="2307">
        <f t="shared" ca="1" si="1308"/>
        <v>0</v>
      </c>
      <c r="BG476" s="2307">
        <f t="shared" ca="1" si="1308"/>
        <v>0</v>
      </c>
      <c r="BH476" s="2307">
        <f t="shared" ca="1" si="1309"/>
        <v>0</v>
      </c>
      <c r="BI476" s="2307">
        <f t="shared" ca="1" si="1309"/>
        <v>0</v>
      </c>
      <c r="BJ476" s="2307">
        <f t="shared" ca="1" si="1309"/>
        <v>0</v>
      </c>
      <c r="BK476" s="2307">
        <f t="shared" ca="1" si="1309"/>
        <v>0</v>
      </c>
      <c r="BL476" s="2307">
        <f t="shared" ca="1" si="1309"/>
        <v>0</v>
      </c>
      <c r="BM476" s="2307">
        <f t="shared" ca="1" si="1309"/>
        <v>0</v>
      </c>
      <c r="BN476" s="2307">
        <f t="shared" ca="1" si="1309"/>
        <v>0</v>
      </c>
      <c r="BO476" s="2307">
        <f t="shared" ca="1" si="1309"/>
        <v>0</v>
      </c>
      <c r="BP476" s="2307">
        <f t="shared" ca="1" si="1309"/>
        <v>0</v>
      </c>
      <c r="BQ476" s="2307">
        <f t="shared" ca="1" si="1309"/>
        <v>0</v>
      </c>
      <c r="BR476" s="2307">
        <f t="shared" ca="1" si="1309"/>
        <v>0</v>
      </c>
      <c r="BS476" s="2307">
        <f t="shared" ca="1" si="1309"/>
        <v>0</v>
      </c>
      <c r="BT476" s="2307">
        <f t="shared" ca="1" si="1309"/>
        <v>0</v>
      </c>
      <c r="BU476" s="2307">
        <f t="shared" ca="1" si="1309"/>
        <v>0</v>
      </c>
      <c r="BV476" s="2307">
        <f t="shared" ca="1" si="1309"/>
        <v>0</v>
      </c>
      <c r="BW476" s="2307">
        <f t="shared" ca="1" si="1309"/>
        <v>0</v>
      </c>
      <c r="BX476" s="2307">
        <f t="shared" ca="1" si="1310"/>
        <v>0</v>
      </c>
      <c r="BY476" s="2307">
        <f t="shared" ca="1" si="1310"/>
        <v>0</v>
      </c>
      <c r="BZ476" s="2307">
        <f t="shared" ca="1" si="1310"/>
        <v>0</v>
      </c>
      <c r="CA476" s="2307">
        <f t="shared" ca="1" si="1310"/>
        <v>0</v>
      </c>
      <c r="CB476" s="2307">
        <f t="shared" ca="1" si="1310"/>
        <v>0</v>
      </c>
      <c r="CC476" s="2307">
        <f t="shared" ca="1" si="1310"/>
        <v>0</v>
      </c>
      <c r="CD476" s="2307">
        <f t="shared" ca="1" si="1310"/>
        <v>0</v>
      </c>
      <c r="CE476" s="2307">
        <f t="shared" ca="1" si="1310"/>
        <v>0</v>
      </c>
      <c r="CF476" s="2307">
        <f t="shared" ca="1" si="1310"/>
        <v>0</v>
      </c>
      <c r="CG476" s="2307">
        <f t="shared" ca="1" si="1310"/>
        <v>0</v>
      </c>
      <c r="CH476" s="2307">
        <f t="shared" ca="1" si="1310"/>
        <v>0</v>
      </c>
      <c r="CI476" s="2307">
        <f t="shared" ca="1" si="1310"/>
        <v>0</v>
      </c>
      <c r="CJ476" s="2307">
        <f t="shared" ca="1" si="1310"/>
        <v>0</v>
      </c>
      <c r="CK476" s="2307">
        <f t="shared" ca="1" si="1310"/>
        <v>0</v>
      </c>
      <c r="CL476" s="2307">
        <f t="shared" ca="1" si="1310"/>
        <v>0</v>
      </c>
      <c r="CM476" s="2307">
        <f t="shared" ca="1" si="1310"/>
        <v>0</v>
      </c>
      <c r="CN476" s="2307">
        <f t="shared" ca="1" si="1311"/>
        <v>0</v>
      </c>
      <c r="CO476" s="2307">
        <f t="shared" ca="1" si="1311"/>
        <v>0</v>
      </c>
      <c r="CP476" s="2307">
        <f t="shared" ca="1" si="1311"/>
        <v>0</v>
      </c>
      <c r="CQ476" s="2307">
        <f t="shared" ca="1" si="1311"/>
        <v>0</v>
      </c>
      <c r="CR476" s="2307">
        <f t="shared" ca="1" si="1311"/>
        <v>0</v>
      </c>
      <c r="CS476" s="2307">
        <f t="shared" ca="1" si="1311"/>
        <v>0</v>
      </c>
      <c r="CT476" s="2307">
        <f t="shared" ca="1" si="1311"/>
        <v>0</v>
      </c>
      <c r="CU476" s="2307">
        <f t="shared" ca="1" si="1311"/>
        <v>0</v>
      </c>
      <c r="CV476" s="2307">
        <f t="shared" ca="1" si="1311"/>
        <v>0</v>
      </c>
      <c r="CW476" s="2307">
        <f t="shared" ca="1" si="1311"/>
        <v>0</v>
      </c>
      <c r="CX476" s="2307">
        <f t="shared" ca="1" si="1311"/>
        <v>0</v>
      </c>
      <c r="CY476" s="2307">
        <f t="shared" ca="1" si="1311"/>
        <v>0</v>
      </c>
      <c r="CZ476" s="2307">
        <f t="shared" ca="1" si="1311"/>
        <v>0</v>
      </c>
      <c r="DA476" s="2307">
        <f t="shared" ca="1" si="1311"/>
        <v>0</v>
      </c>
      <c r="DB476" s="2307">
        <f t="shared" ca="1" si="1311"/>
        <v>0</v>
      </c>
      <c r="DC476" s="2307">
        <f t="shared" ca="1" si="1311"/>
        <v>0</v>
      </c>
      <c r="DD476" s="2307">
        <f t="shared" ca="1" si="1312"/>
        <v>0</v>
      </c>
      <c r="DE476" s="2307">
        <f t="shared" ca="1" si="1312"/>
        <v>0</v>
      </c>
      <c r="DF476" s="2307">
        <f t="shared" ca="1" si="1312"/>
        <v>0</v>
      </c>
      <c r="DG476" s="2307">
        <f t="shared" ca="1" si="1312"/>
        <v>0</v>
      </c>
      <c r="DH476" s="2307">
        <f t="shared" ca="1" si="1312"/>
        <v>0</v>
      </c>
      <c r="DI476" s="2307">
        <f t="shared" ca="1" si="1312"/>
        <v>0</v>
      </c>
      <c r="DJ476" s="2307">
        <f t="shared" ca="1" si="1312"/>
        <v>0</v>
      </c>
      <c r="DK476" s="2307">
        <f t="shared" ca="1" si="1312"/>
        <v>0</v>
      </c>
      <c r="DL476" s="2307">
        <f t="shared" ca="1" si="1312"/>
        <v>0</v>
      </c>
      <c r="DM476" s="2307">
        <f t="shared" ca="1" si="1312"/>
        <v>0</v>
      </c>
      <c r="DN476" s="2307">
        <f t="shared" ca="1" si="1312"/>
        <v>0</v>
      </c>
      <c r="DO476" s="2307">
        <f t="shared" ca="1" si="1312"/>
        <v>0</v>
      </c>
      <c r="DP476" s="2307">
        <f t="shared" ca="1" si="1312"/>
        <v>0</v>
      </c>
    </row>
    <row r="477" spans="1:120" ht="15.75" hidden="1" customHeight="1" outlineLevel="1">
      <c r="A477" s="55">
        <v>1110053030</v>
      </c>
      <c r="B477" s="509"/>
      <c r="C477" s="679" t="s">
        <v>64</v>
      </c>
      <c r="D477" s="1469"/>
      <c r="E477" s="1470"/>
      <c r="F477" s="1251"/>
      <c r="G477" s="1251"/>
      <c r="H477" s="511"/>
      <c r="I477" s="1374"/>
      <c r="J477" s="1425">
        <v>1</v>
      </c>
      <c r="K477" s="1426">
        <v>1</v>
      </c>
      <c r="L477" s="419"/>
      <c r="M477" s="1337">
        <f t="shared" ref="M477" si="1330">+L477*J477</f>
        <v>0</v>
      </c>
      <c r="N477" s="504"/>
      <c r="O477" s="513">
        <f t="shared" ref="O477" si="1331">+L477*J477*N477</f>
        <v>0</v>
      </c>
      <c r="P477" s="514"/>
      <c r="Q477" s="514">
        <f t="shared" ref="Q477" si="1332">+P477*K477</f>
        <v>0</v>
      </c>
      <c r="R477" s="515"/>
      <c r="S477" s="515"/>
      <c r="T477" s="516">
        <f t="shared" ref="T477" si="1333">+P477*K477*S477</f>
        <v>0</v>
      </c>
      <c r="U477" s="418">
        <f t="shared" ref="U477" si="1334">+L477+P477+F477</f>
        <v>0</v>
      </c>
      <c r="V477" s="517">
        <f t="shared" ref="V477" si="1335">+P477*J477*R477+L477*J477*N477+F477*J477*H477</f>
        <v>0</v>
      </c>
      <c r="W477" s="518">
        <f t="shared" ref="W477" si="1336">IF((-P477*J477*R477)-(-P477*K477*S477)&gt;0,(-P477*J477*R477)-(-P477*K477*S477),0)</f>
        <v>0</v>
      </c>
      <c r="X477" s="975">
        <f t="shared" ref="X477" si="1337">IF((-P477*J477*R477)-(-P477*K477*S477)&lt;0,(-P477*J477*R477)-(-P477*K477*S477),0)</f>
        <v>0</v>
      </c>
      <c r="Y477" s="519"/>
      <c r="Z477" s="1055"/>
      <c r="AA477" s="2311">
        <f t="shared" ca="1" si="1321"/>
        <v>0</v>
      </c>
      <c r="AB477" s="2310">
        <f t="shared" ca="1" si="1307"/>
        <v>0</v>
      </c>
      <c r="AC477" s="2310">
        <f t="shared" ca="1" si="1307"/>
        <v>0</v>
      </c>
      <c r="AD477" s="2310">
        <f t="shared" ca="1" si="1307"/>
        <v>0</v>
      </c>
      <c r="AE477" s="2310">
        <f t="shared" ca="1" si="1307"/>
        <v>0</v>
      </c>
      <c r="AF477" s="2307">
        <f t="shared" ca="1" si="1307"/>
        <v>0</v>
      </c>
      <c r="AG477" s="2307">
        <f t="shared" ca="1" si="1307"/>
        <v>0</v>
      </c>
      <c r="AH477" s="2307">
        <f t="shared" ca="1" si="1307"/>
        <v>0</v>
      </c>
      <c r="AI477" s="2307">
        <f t="shared" ca="1" si="1307"/>
        <v>0</v>
      </c>
      <c r="AJ477" s="2307">
        <f t="shared" ca="1" si="1307"/>
        <v>0</v>
      </c>
      <c r="AK477" s="2307">
        <f t="shared" ca="1" si="1307"/>
        <v>0</v>
      </c>
      <c r="AL477" s="2308">
        <f t="shared" ca="1" si="1307"/>
        <v>0</v>
      </c>
      <c r="AM477" s="2307">
        <f t="shared" ca="1" si="1307"/>
        <v>0</v>
      </c>
      <c r="AN477" s="2307">
        <f t="shared" ca="1" si="1307"/>
        <v>0</v>
      </c>
      <c r="AO477" s="2307">
        <f t="shared" ca="1" si="1307"/>
        <v>0</v>
      </c>
      <c r="AP477" s="2307">
        <f t="shared" ca="1" si="1307"/>
        <v>0</v>
      </c>
      <c r="AQ477" s="2307">
        <f t="shared" ca="1" si="1307"/>
        <v>0</v>
      </c>
      <c r="AR477" s="2307">
        <f t="shared" ca="1" si="1308"/>
        <v>0</v>
      </c>
      <c r="AS477" s="2307">
        <f t="shared" ca="1" si="1308"/>
        <v>0</v>
      </c>
      <c r="AT477" s="2307">
        <f t="shared" ca="1" si="1308"/>
        <v>0</v>
      </c>
      <c r="AU477" s="2307">
        <f t="shared" ca="1" si="1308"/>
        <v>0</v>
      </c>
      <c r="AV477" s="2307">
        <f t="shared" ca="1" si="1308"/>
        <v>0</v>
      </c>
      <c r="AW477" s="2307">
        <f t="shared" ca="1" si="1308"/>
        <v>0</v>
      </c>
      <c r="AX477" s="2307">
        <f t="shared" ca="1" si="1308"/>
        <v>0</v>
      </c>
      <c r="AY477" s="2307">
        <f t="shared" ca="1" si="1308"/>
        <v>0</v>
      </c>
      <c r="AZ477" s="2307">
        <f t="shared" ca="1" si="1308"/>
        <v>0</v>
      </c>
      <c r="BA477" s="2307">
        <f t="shared" ca="1" si="1308"/>
        <v>0</v>
      </c>
      <c r="BB477" s="2307">
        <f t="shared" ca="1" si="1308"/>
        <v>0</v>
      </c>
      <c r="BC477" s="2307">
        <f t="shared" ca="1" si="1308"/>
        <v>0</v>
      </c>
      <c r="BD477" s="2307">
        <f t="shared" ca="1" si="1308"/>
        <v>0</v>
      </c>
      <c r="BE477" s="2307">
        <f t="shared" ca="1" si="1308"/>
        <v>0</v>
      </c>
      <c r="BF477" s="2307">
        <f t="shared" ca="1" si="1308"/>
        <v>0</v>
      </c>
      <c r="BG477" s="2307">
        <f t="shared" ca="1" si="1308"/>
        <v>0</v>
      </c>
      <c r="BH477" s="2307">
        <f t="shared" ca="1" si="1309"/>
        <v>0</v>
      </c>
      <c r="BI477" s="2307">
        <f t="shared" ca="1" si="1309"/>
        <v>0</v>
      </c>
      <c r="BJ477" s="2307">
        <f t="shared" ca="1" si="1309"/>
        <v>0</v>
      </c>
      <c r="BK477" s="2307">
        <f t="shared" ca="1" si="1309"/>
        <v>0</v>
      </c>
      <c r="BL477" s="2307">
        <f t="shared" ca="1" si="1309"/>
        <v>0</v>
      </c>
      <c r="BM477" s="2307">
        <f t="shared" ca="1" si="1309"/>
        <v>0</v>
      </c>
      <c r="BN477" s="2307">
        <f t="shared" ca="1" si="1309"/>
        <v>0</v>
      </c>
      <c r="BO477" s="2307">
        <f t="shared" ca="1" si="1309"/>
        <v>0</v>
      </c>
      <c r="BP477" s="2307">
        <f t="shared" ca="1" si="1309"/>
        <v>0</v>
      </c>
      <c r="BQ477" s="2307">
        <f t="shared" ca="1" si="1309"/>
        <v>0</v>
      </c>
      <c r="BR477" s="2307">
        <f t="shared" ca="1" si="1309"/>
        <v>0</v>
      </c>
      <c r="BS477" s="2307">
        <f t="shared" ca="1" si="1309"/>
        <v>0</v>
      </c>
      <c r="BT477" s="2307">
        <f t="shared" ca="1" si="1309"/>
        <v>0</v>
      </c>
      <c r="BU477" s="2307">
        <f t="shared" ca="1" si="1309"/>
        <v>0</v>
      </c>
      <c r="BV477" s="2307">
        <f t="shared" ca="1" si="1309"/>
        <v>0</v>
      </c>
      <c r="BW477" s="2307">
        <f t="shared" ca="1" si="1309"/>
        <v>0</v>
      </c>
      <c r="BX477" s="2307">
        <f t="shared" ca="1" si="1310"/>
        <v>0</v>
      </c>
      <c r="BY477" s="2307">
        <f t="shared" ca="1" si="1310"/>
        <v>0</v>
      </c>
      <c r="BZ477" s="2307">
        <f t="shared" ca="1" si="1310"/>
        <v>0</v>
      </c>
      <c r="CA477" s="2307">
        <f t="shared" ca="1" si="1310"/>
        <v>0</v>
      </c>
      <c r="CB477" s="2307">
        <f t="shared" ca="1" si="1310"/>
        <v>0</v>
      </c>
      <c r="CC477" s="2307">
        <f t="shared" ca="1" si="1310"/>
        <v>0</v>
      </c>
      <c r="CD477" s="2307">
        <f t="shared" ca="1" si="1310"/>
        <v>0</v>
      </c>
      <c r="CE477" s="2307">
        <f t="shared" ca="1" si="1310"/>
        <v>0</v>
      </c>
      <c r="CF477" s="2307">
        <f t="shared" ca="1" si="1310"/>
        <v>0</v>
      </c>
      <c r="CG477" s="2307">
        <f t="shared" ca="1" si="1310"/>
        <v>0</v>
      </c>
      <c r="CH477" s="2307">
        <f t="shared" ca="1" si="1310"/>
        <v>0</v>
      </c>
      <c r="CI477" s="2307">
        <f t="shared" ca="1" si="1310"/>
        <v>0</v>
      </c>
      <c r="CJ477" s="2307">
        <f t="shared" ca="1" si="1310"/>
        <v>0</v>
      </c>
      <c r="CK477" s="2307">
        <f t="shared" ca="1" si="1310"/>
        <v>0</v>
      </c>
      <c r="CL477" s="2307">
        <f t="shared" ca="1" si="1310"/>
        <v>0</v>
      </c>
      <c r="CM477" s="2307">
        <f t="shared" ca="1" si="1310"/>
        <v>0</v>
      </c>
      <c r="CN477" s="2307">
        <f t="shared" ca="1" si="1311"/>
        <v>0</v>
      </c>
      <c r="CO477" s="2307">
        <f t="shared" ca="1" si="1311"/>
        <v>0</v>
      </c>
      <c r="CP477" s="2307">
        <f t="shared" ca="1" si="1311"/>
        <v>0</v>
      </c>
      <c r="CQ477" s="2307">
        <f t="shared" ca="1" si="1311"/>
        <v>0</v>
      </c>
      <c r="CR477" s="2307">
        <f t="shared" ca="1" si="1311"/>
        <v>0</v>
      </c>
      <c r="CS477" s="2307">
        <f t="shared" ca="1" si="1311"/>
        <v>0</v>
      </c>
      <c r="CT477" s="2307">
        <f t="shared" ca="1" si="1311"/>
        <v>0</v>
      </c>
      <c r="CU477" s="2307">
        <f t="shared" ca="1" si="1311"/>
        <v>0</v>
      </c>
      <c r="CV477" s="2307">
        <f t="shared" ca="1" si="1311"/>
        <v>0</v>
      </c>
      <c r="CW477" s="2307">
        <f t="shared" ca="1" si="1311"/>
        <v>0</v>
      </c>
      <c r="CX477" s="2307">
        <f t="shared" ca="1" si="1311"/>
        <v>0</v>
      </c>
      <c r="CY477" s="2307">
        <f t="shared" ca="1" si="1311"/>
        <v>0</v>
      </c>
      <c r="CZ477" s="2307">
        <f t="shared" ca="1" si="1311"/>
        <v>0</v>
      </c>
      <c r="DA477" s="2307">
        <f t="shared" ca="1" si="1311"/>
        <v>0</v>
      </c>
      <c r="DB477" s="2307">
        <f t="shared" ca="1" si="1311"/>
        <v>0</v>
      </c>
      <c r="DC477" s="2307">
        <f t="shared" ca="1" si="1311"/>
        <v>0</v>
      </c>
      <c r="DD477" s="2307">
        <f t="shared" ca="1" si="1312"/>
        <v>0</v>
      </c>
      <c r="DE477" s="2307">
        <f t="shared" ca="1" si="1312"/>
        <v>0</v>
      </c>
      <c r="DF477" s="2307">
        <f t="shared" ca="1" si="1312"/>
        <v>0</v>
      </c>
      <c r="DG477" s="2307">
        <f t="shared" ca="1" si="1312"/>
        <v>0</v>
      </c>
      <c r="DH477" s="2307">
        <f t="shared" ca="1" si="1312"/>
        <v>0</v>
      </c>
      <c r="DI477" s="2307">
        <f t="shared" ca="1" si="1312"/>
        <v>0</v>
      </c>
      <c r="DJ477" s="2307">
        <f t="shared" ca="1" si="1312"/>
        <v>0</v>
      </c>
      <c r="DK477" s="2307">
        <f t="shared" ca="1" si="1312"/>
        <v>0</v>
      </c>
      <c r="DL477" s="2307">
        <f t="shared" ca="1" si="1312"/>
        <v>0</v>
      </c>
      <c r="DM477" s="2307">
        <f t="shared" ca="1" si="1312"/>
        <v>0</v>
      </c>
      <c r="DN477" s="2307">
        <f t="shared" ca="1" si="1312"/>
        <v>0</v>
      </c>
      <c r="DO477" s="2307">
        <f t="shared" ca="1" si="1312"/>
        <v>0</v>
      </c>
      <c r="DP477" s="2307">
        <f t="shared" ca="1" si="1312"/>
        <v>0</v>
      </c>
    </row>
    <row r="478" spans="1:120" hidden="1" outlineLevel="1">
      <c r="A478" s="55">
        <v>1110053030</v>
      </c>
      <c r="B478" s="509"/>
      <c r="C478" s="679" t="s">
        <v>64</v>
      </c>
      <c r="D478" s="1469"/>
      <c r="E478" s="1470"/>
      <c r="F478" s="1251"/>
      <c r="G478" s="1251"/>
      <c r="H478" s="511"/>
      <c r="I478" s="1374"/>
      <c r="J478" s="1425">
        <v>1</v>
      </c>
      <c r="K478" s="1426">
        <v>1</v>
      </c>
      <c r="L478" s="419"/>
      <c r="M478" s="1337">
        <f t="shared" ref="M478" si="1338">+L478*J478</f>
        <v>0</v>
      </c>
      <c r="N478" s="504"/>
      <c r="O478" s="513">
        <f t="shared" ref="O478" si="1339">+L478*J478*N478</f>
        <v>0</v>
      </c>
      <c r="P478" s="514"/>
      <c r="Q478" s="514">
        <f t="shared" ref="Q478" si="1340">+P478*K478</f>
        <v>0</v>
      </c>
      <c r="R478" s="515"/>
      <c r="S478" s="515"/>
      <c r="T478" s="516">
        <f t="shared" ref="T478" si="1341">+P478*K478*S478</f>
        <v>0</v>
      </c>
      <c r="U478" s="418">
        <f t="shared" ref="U478" si="1342">+L478+P478+F478</f>
        <v>0</v>
      </c>
      <c r="V478" s="517">
        <f t="shared" ref="V478" si="1343">+P478*J478*R478+L478*J478*N478+F478*J478*H478</f>
        <v>0</v>
      </c>
      <c r="W478" s="518">
        <f t="shared" ref="W478" si="1344">IF((-P478*J478*R478)-(-P478*K478*S478)&gt;0,(-P478*J478*R478)-(-P478*K478*S478),0)</f>
        <v>0</v>
      </c>
      <c r="X478" s="975">
        <f t="shared" ref="X478" si="1345">IF((-P478*J478*R478)-(-P478*K478*S478)&lt;0,(-P478*J478*R478)-(-P478*K478*S478),0)</f>
        <v>0</v>
      </c>
      <c r="Y478" s="519"/>
      <c r="Z478" s="1055"/>
      <c r="AA478" s="2311">
        <f t="shared" ca="1" si="1321"/>
        <v>0</v>
      </c>
      <c r="AB478" s="2310">
        <f t="shared" ca="1" si="1307"/>
        <v>0</v>
      </c>
      <c r="AC478" s="2310">
        <f t="shared" ca="1" si="1307"/>
        <v>0</v>
      </c>
      <c r="AD478" s="2310">
        <f t="shared" ca="1" si="1307"/>
        <v>0</v>
      </c>
      <c r="AE478" s="2310">
        <f t="shared" ca="1" si="1307"/>
        <v>0</v>
      </c>
      <c r="AF478" s="2307">
        <f t="shared" ca="1" si="1307"/>
        <v>0</v>
      </c>
      <c r="AG478" s="2307">
        <f t="shared" ca="1" si="1307"/>
        <v>0</v>
      </c>
      <c r="AH478" s="2307">
        <f t="shared" ca="1" si="1307"/>
        <v>0</v>
      </c>
      <c r="AI478" s="2307">
        <f t="shared" ca="1" si="1307"/>
        <v>0</v>
      </c>
      <c r="AJ478" s="2307">
        <f t="shared" ca="1" si="1307"/>
        <v>0</v>
      </c>
      <c r="AK478" s="2307">
        <f t="shared" ca="1" si="1307"/>
        <v>0</v>
      </c>
      <c r="AL478" s="2308">
        <f t="shared" ca="1" si="1307"/>
        <v>0</v>
      </c>
      <c r="AM478" s="2307">
        <f t="shared" ca="1" si="1307"/>
        <v>0</v>
      </c>
      <c r="AN478" s="2307">
        <f t="shared" ca="1" si="1307"/>
        <v>0</v>
      </c>
      <c r="AO478" s="2307">
        <f t="shared" ca="1" si="1307"/>
        <v>0</v>
      </c>
      <c r="AP478" s="2307">
        <f t="shared" ca="1" si="1307"/>
        <v>0</v>
      </c>
      <c r="AQ478" s="2307">
        <f t="shared" ca="1" si="1307"/>
        <v>0</v>
      </c>
      <c r="AR478" s="2307">
        <f t="shared" ca="1" si="1308"/>
        <v>0</v>
      </c>
      <c r="AS478" s="2307">
        <f t="shared" ca="1" si="1308"/>
        <v>0</v>
      </c>
      <c r="AT478" s="2307">
        <f t="shared" ca="1" si="1308"/>
        <v>0</v>
      </c>
      <c r="AU478" s="2307">
        <f t="shared" ca="1" si="1308"/>
        <v>0</v>
      </c>
      <c r="AV478" s="2307">
        <f t="shared" ca="1" si="1308"/>
        <v>0</v>
      </c>
      <c r="AW478" s="2307">
        <f t="shared" ca="1" si="1308"/>
        <v>0</v>
      </c>
      <c r="AX478" s="2307">
        <f t="shared" ca="1" si="1308"/>
        <v>0</v>
      </c>
      <c r="AY478" s="2307">
        <f t="shared" ca="1" si="1308"/>
        <v>0</v>
      </c>
      <c r="AZ478" s="2307">
        <f t="shared" ca="1" si="1308"/>
        <v>0</v>
      </c>
      <c r="BA478" s="2307">
        <f t="shared" ca="1" si="1308"/>
        <v>0</v>
      </c>
      <c r="BB478" s="2307">
        <f t="shared" ca="1" si="1308"/>
        <v>0</v>
      </c>
      <c r="BC478" s="2307">
        <f t="shared" ca="1" si="1308"/>
        <v>0</v>
      </c>
      <c r="BD478" s="2307">
        <f t="shared" ca="1" si="1308"/>
        <v>0</v>
      </c>
      <c r="BE478" s="2307">
        <f t="shared" ca="1" si="1308"/>
        <v>0</v>
      </c>
      <c r="BF478" s="2307">
        <f t="shared" ca="1" si="1308"/>
        <v>0</v>
      </c>
      <c r="BG478" s="2307">
        <f t="shared" ca="1" si="1308"/>
        <v>0</v>
      </c>
      <c r="BH478" s="2307">
        <f t="shared" ca="1" si="1309"/>
        <v>0</v>
      </c>
      <c r="BI478" s="2307">
        <f t="shared" ca="1" si="1309"/>
        <v>0</v>
      </c>
      <c r="BJ478" s="2307">
        <f t="shared" ca="1" si="1309"/>
        <v>0</v>
      </c>
      <c r="BK478" s="2307">
        <f t="shared" ca="1" si="1309"/>
        <v>0</v>
      </c>
      <c r="BL478" s="2307">
        <f t="shared" ca="1" si="1309"/>
        <v>0</v>
      </c>
      <c r="BM478" s="2307">
        <f t="shared" ca="1" si="1309"/>
        <v>0</v>
      </c>
      <c r="BN478" s="2307">
        <f t="shared" ca="1" si="1309"/>
        <v>0</v>
      </c>
      <c r="BO478" s="2307">
        <f t="shared" ca="1" si="1309"/>
        <v>0</v>
      </c>
      <c r="BP478" s="2307">
        <f t="shared" ca="1" si="1309"/>
        <v>0</v>
      </c>
      <c r="BQ478" s="2307">
        <f t="shared" ca="1" si="1309"/>
        <v>0</v>
      </c>
      <c r="BR478" s="2307">
        <f t="shared" ca="1" si="1309"/>
        <v>0</v>
      </c>
      <c r="BS478" s="2307">
        <f t="shared" ca="1" si="1309"/>
        <v>0</v>
      </c>
      <c r="BT478" s="2307">
        <f t="shared" ca="1" si="1309"/>
        <v>0</v>
      </c>
      <c r="BU478" s="2307">
        <f t="shared" ca="1" si="1309"/>
        <v>0</v>
      </c>
      <c r="BV478" s="2307">
        <f t="shared" ca="1" si="1309"/>
        <v>0</v>
      </c>
      <c r="BW478" s="2307">
        <f t="shared" ca="1" si="1309"/>
        <v>0</v>
      </c>
      <c r="BX478" s="2307">
        <f t="shared" ca="1" si="1310"/>
        <v>0</v>
      </c>
      <c r="BY478" s="2307">
        <f t="shared" ca="1" si="1310"/>
        <v>0</v>
      </c>
      <c r="BZ478" s="2307">
        <f t="shared" ca="1" si="1310"/>
        <v>0</v>
      </c>
      <c r="CA478" s="2307">
        <f t="shared" ca="1" si="1310"/>
        <v>0</v>
      </c>
      <c r="CB478" s="2307">
        <f t="shared" ca="1" si="1310"/>
        <v>0</v>
      </c>
      <c r="CC478" s="2307">
        <f t="shared" ca="1" si="1310"/>
        <v>0</v>
      </c>
      <c r="CD478" s="2307">
        <f t="shared" ca="1" si="1310"/>
        <v>0</v>
      </c>
      <c r="CE478" s="2307">
        <f t="shared" ca="1" si="1310"/>
        <v>0</v>
      </c>
      <c r="CF478" s="2307">
        <f t="shared" ca="1" si="1310"/>
        <v>0</v>
      </c>
      <c r="CG478" s="2307">
        <f t="shared" ca="1" si="1310"/>
        <v>0</v>
      </c>
      <c r="CH478" s="2307">
        <f t="shared" ca="1" si="1310"/>
        <v>0</v>
      </c>
      <c r="CI478" s="2307">
        <f t="shared" ca="1" si="1310"/>
        <v>0</v>
      </c>
      <c r="CJ478" s="2307">
        <f t="shared" ca="1" si="1310"/>
        <v>0</v>
      </c>
      <c r="CK478" s="2307">
        <f t="shared" ca="1" si="1310"/>
        <v>0</v>
      </c>
      <c r="CL478" s="2307">
        <f t="shared" ca="1" si="1310"/>
        <v>0</v>
      </c>
      <c r="CM478" s="2307">
        <f t="shared" ca="1" si="1310"/>
        <v>0</v>
      </c>
      <c r="CN478" s="2307">
        <f t="shared" ca="1" si="1311"/>
        <v>0</v>
      </c>
      <c r="CO478" s="2307">
        <f t="shared" ca="1" si="1311"/>
        <v>0</v>
      </c>
      <c r="CP478" s="2307">
        <f t="shared" ca="1" si="1311"/>
        <v>0</v>
      </c>
      <c r="CQ478" s="2307">
        <f t="shared" ca="1" si="1311"/>
        <v>0</v>
      </c>
      <c r="CR478" s="2307">
        <f t="shared" ca="1" si="1311"/>
        <v>0</v>
      </c>
      <c r="CS478" s="2307">
        <f t="shared" ca="1" si="1311"/>
        <v>0</v>
      </c>
      <c r="CT478" s="2307">
        <f t="shared" ca="1" si="1311"/>
        <v>0</v>
      </c>
      <c r="CU478" s="2307">
        <f t="shared" ca="1" si="1311"/>
        <v>0</v>
      </c>
      <c r="CV478" s="2307">
        <f t="shared" ca="1" si="1311"/>
        <v>0</v>
      </c>
      <c r="CW478" s="2307">
        <f t="shared" ca="1" si="1311"/>
        <v>0</v>
      </c>
      <c r="CX478" s="2307">
        <f t="shared" ca="1" si="1311"/>
        <v>0</v>
      </c>
      <c r="CY478" s="2307">
        <f t="shared" ca="1" si="1311"/>
        <v>0</v>
      </c>
      <c r="CZ478" s="2307">
        <f t="shared" ca="1" si="1311"/>
        <v>0</v>
      </c>
      <c r="DA478" s="2307">
        <f t="shared" ca="1" si="1311"/>
        <v>0</v>
      </c>
      <c r="DB478" s="2307">
        <f t="shared" ca="1" si="1311"/>
        <v>0</v>
      </c>
      <c r="DC478" s="2307">
        <f t="shared" ca="1" si="1311"/>
        <v>0</v>
      </c>
      <c r="DD478" s="2307">
        <f t="shared" ca="1" si="1312"/>
        <v>0</v>
      </c>
      <c r="DE478" s="2307">
        <f t="shared" ca="1" si="1312"/>
        <v>0</v>
      </c>
      <c r="DF478" s="2307">
        <f t="shared" ca="1" si="1312"/>
        <v>0</v>
      </c>
      <c r="DG478" s="2307">
        <f t="shared" ca="1" si="1312"/>
        <v>0</v>
      </c>
      <c r="DH478" s="2307">
        <f t="shared" ca="1" si="1312"/>
        <v>0</v>
      </c>
      <c r="DI478" s="2307">
        <f t="shared" ca="1" si="1312"/>
        <v>0</v>
      </c>
      <c r="DJ478" s="2307">
        <f t="shared" ca="1" si="1312"/>
        <v>0</v>
      </c>
      <c r="DK478" s="2307">
        <f t="shared" ca="1" si="1312"/>
        <v>0</v>
      </c>
      <c r="DL478" s="2307">
        <f t="shared" ca="1" si="1312"/>
        <v>0</v>
      </c>
      <c r="DM478" s="2307">
        <f t="shared" ca="1" si="1312"/>
        <v>0</v>
      </c>
      <c r="DN478" s="2307">
        <f t="shared" ca="1" si="1312"/>
        <v>0</v>
      </c>
      <c r="DO478" s="2307">
        <f t="shared" ca="1" si="1312"/>
        <v>0</v>
      </c>
      <c r="DP478" s="2307">
        <f t="shared" ca="1" si="1312"/>
        <v>0</v>
      </c>
    </row>
    <row r="479" spans="1:120" hidden="1" outlineLevel="1">
      <c r="A479" s="55">
        <v>1110053030</v>
      </c>
      <c r="B479" s="509"/>
      <c r="C479" s="679" t="s">
        <v>64</v>
      </c>
      <c r="D479" s="1469"/>
      <c r="E479" s="1470"/>
      <c r="F479" s="1251"/>
      <c r="G479" s="1251"/>
      <c r="H479" s="511"/>
      <c r="I479" s="1374"/>
      <c r="J479" s="1425">
        <v>1</v>
      </c>
      <c r="K479" s="1426">
        <v>1</v>
      </c>
      <c r="L479" s="419"/>
      <c r="M479" s="1337">
        <f t="shared" ref="M479" si="1346">+L479*J479</f>
        <v>0</v>
      </c>
      <c r="N479" s="504"/>
      <c r="O479" s="513">
        <f t="shared" ref="O479" si="1347">+L479*J479*N479</f>
        <v>0</v>
      </c>
      <c r="P479" s="514"/>
      <c r="Q479" s="514">
        <f t="shared" ref="Q479" si="1348">+P479*K479</f>
        <v>0</v>
      </c>
      <c r="R479" s="515"/>
      <c r="S479" s="515"/>
      <c r="T479" s="516">
        <f t="shared" ref="T479" si="1349">+P479*K479*S479</f>
        <v>0</v>
      </c>
      <c r="U479" s="418">
        <f t="shared" ref="U479" si="1350">+L479+P479+F479</f>
        <v>0</v>
      </c>
      <c r="V479" s="517">
        <f t="shared" ref="V479" si="1351">+P479*J479*R479+L479*J479*N479+F479*J479*H479</f>
        <v>0</v>
      </c>
      <c r="W479" s="518">
        <f t="shared" ref="W479" si="1352">IF((-P479*J479*R479)-(-P479*K479*S479)&gt;0,(-P479*J479*R479)-(-P479*K479*S479),0)</f>
        <v>0</v>
      </c>
      <c r="X479" s="975">
        <f t="shared" ref="X479" si="1353">IF((-P479*J479*R479)-(-P479*K479*S479)&lt;0,(-P479*J479*R479)-(-P479*K479*S479),0)</f>
        <v>0</v>
      </c>
      <c r="Y479" s="519"/>
      <c r="Z479" s="1055"/>
      <c r="AA479" s="2311">
        <f t="shared" ca="1" si="1321"/>
        <v>0</v>
      </c>
      <c r="AB479" s="2310">
        <f t="shared" ca="1" si="1307"/>
        <v>0</v>
      </c>
      <c r="AC479" s="2310">
        <f t="shared" ca="1" si="1307"/>
        <v>0</v>
      </c>
      <c r="AD479" s="2310">
        <f t="shared" ca="1" si="1307"/>
        <v>0</v>
      </c>
      <c r="AE479" s="2310">
        <f t="shared" ca="1" si="1307"/>
        <v>0</v>
      </c>
      <c r="AF479" s="2307">
        <f t="shared" ca="1" si="1307"/>
        <v>0</v>
      </c>
      <c r="AG479" s="2307">
        <f t="shared" ca="1" si="1307"/>
        <v>0</v>
      </c>
      <c r="AH479" s="2307">
        <f t="shared" ca="1" si="1307"/>
        <v>0</v>
      </c>
      <c r="AI479" s="2307">
        <f t="shared" ca="1" si="1307"/>
        <v>0</v>
      </c>
      <c r="AJ479" s="2307">
        <f t="shared" ca="1" si="1307"/>
        <v>0</v>
      </c>
      <c r="AK479" s="2307">
        <f t="shared" ca="1" si="1307"/>
        <v>0</v>
      </c>
      <c r="AL479" s="2308">
        <f t="shared" ca="1" si="1307"/>
        <v>0</v>
      </c>
      <c r="AM479" s="2307">
        <f t="shared" ca="1" si="1307"/>
        <v>0</v>
      </c>
      <c r="AN479" s="2307">
        <f t="shared" ca="1" si="1307"/>
        <v>0</v>
      </c>
      <c r="AO479" s="2307">
        <f t="shared" ca="1" si="1307"/>
        <v>0</v>
      </c>
      <c r="AP479" s="2307">
        <f t="shared" ca="1" si="1307"/>
        <v>0</v>
      </c>
      <c r="AQ479" s="2307">
        <f t="shared" ca="1" si="1307"/>
        <v>0</v>
      </c>
      <c r="AR479" s="2307">
        <f t="shared" ca="1" si="1308"/>
        <v>0</v>
      </c>
      <c r="AS479" s="2307">
        <f t="shared" ca="1" si="1308"/>
        <v>0</v>
      </c>
      <c r="AT479" s="2307">
        <f t="shared" ca="1" si="1308"/>
        <v>0</v>
      </c>
      <c r="AU479" s="2307">
        <f t="shared" ca="1" si="1308"/>
        <v>0</v>
      </c>
      <c r="AV479" s="2307">
        <f t="shared" ca="1" si="1308"/>
        <v>0</v>
      </c>
      <c r="AW479" s="2307">
        <f t="shared" ca="1" si="1308"/>
        <v>0</v>
      </c>
      <c r="AX479" s="2307">
        <f t="shared" ca="1" si="1308"/>
        <v>0</v>
      </c>
      <c r="AY479" s="2307">
        <f t="shared" ca="1" si="1308"/>
        <v>0</v>
      </c>
      <c r="AZ479" s="2307">
        <f t="shared" ca="1" si="1308"/>
        <v>0</v>
      </c>
      <c r="BA479" s="2307">
        <f t="shared" ca="1" si="1308"/>
        <v>0</v>
      </c>
      <c r="BB479" s="2307">
        <f t="shared" ca="1" si="1308"/>
        <v>0</v>
      </c>
      <c r="BC479" s="2307">
        <f t="shared" ca="1" si="1308"/>
        <v>0</v>
      </c>
      <c r="BD479" s="2307">
        <f t="shared" ca="1" si="1308"/>
        <v>0</v>
      </c>
      <c r="BE479" s="2307">
        <f t="shared" ca="1" si="1308"/>
        <v>0</v>
      </c>
      <c r="BF479" s="2307">
        <f t="shared" ca="1" si="1308"/>
        <v>0</v>
      </c>
      <c r="BG479" s="2307">
        <f t="shared" ca="1" si="1308"/>
        <v>0</v>
      </c>
      <c r="BH479" s="2307">
        <f t="shared" ca="1" si="1309"/>
        <v>0</v>
      </c>
      <c r="BI479" s="2307">
        <f t="shared" ca="1" si="1309"/>
        <v>0</v>
      </c>
      <c r="BJ479" s="2307">
        <f t="shared" ca="1" si="1309"/>
        <v>0</v>
      </c>
      <c r="BK479" s="2307">
        <f t="shared" ca="1" si="1309"/>
        <v>0</v>
      </c>
      <c r="BL479" s="2307">
        <f t="shared" ca="1" si="1309"/>
        <v>0</v>
      </c>
      <c r="BM479" s="2307">
        <f t="shared" ca="1" si="1309"/>
        <v>0</v>
      </c>
      <c r="BN479" s="2307">
        <f t="shared" ca="1" si="1309"/>
        <v>0</v>
      </c>
      <c r="BO479" s="2307">
        <f t="shared" ca="1" si="1309"/>
        <v>0</v>
      </c>
      <c r="BP479" s="2307">
        <f t="shared" ca="1" si="1309"/>
        <v>0</v>
      </c>
      <c r="BQ479" s="2307">
        <f t="shared" ca="1" si="1309"/>
        <v>0</v>
      </c>
      <c r="BR479" s="2307">
        <f t="shared" ca="1" si="1309"/>
        <v>0</v>
      </c>
      <c r="BS479" s="2307">
        <f t="shared" ca="1" si="1309"/>
        <v>0</v>
      </c>
      <c r="BT479" s="2307">
        <f t="shared" ca="1" si="1309"/>
        <v>0</v>
      </c>
      <c r="BU479" s="2307">
        <f t="shared" ca="1" si="1309"/>
        <v>0</v>
      </c>
      <c r="BV479" s="2307">
        <f t="shared" ca="1" si="1309"/>
        <v>0</v>
      </c>
      <c r="BW479" s="2307">
        <f t="shared" ca="1" si="1309"/>
        <v>0</v>
      </c>
      <c r="BX479" s="2307">
        <f t="shared" ca="1" si="1310"/>
        <v>0</v>
      </c>
      <c r="BY479" s="2307">
        <f t="shared" ca="1" si="1310"/>
        <v>0</v>
      </c>
      <c r="BZ479" s="2307">
        <f t="shared" ca="1" si="1310"/>
        <v>0</v>
      </c>
      <c r="CA479" s="2307">
        <f t="shared" ca="1" si="1310"/>
        <v>0</v>
      </c>
      <c r="CB479" s="2307">
        <f t="shared" ca="1" si="1310"/>
        <v>0</v>
      </c>
      <c r="CC479" s="2307">
        <f t="shared" ca="1" si="1310"/>
        <v>0</v>
      </c>
      <c r="CD479" s="2307">
        <f t="shared" ca="1" si="1310"/>
        <v>0</v>
      </c>
      <c r="CE479" s="2307">
        <f t="shared" ca="1" si="1310"/>
        <v>0</v>
      </c>
      <c r="CF479" s="2307">
        <f t="shared" ca="1" si="1310"/>
        <v>0</v>
      </c>
      <c r="CG479" s="2307">
        <f t="shared" ca="1" si="1310"/>
        <v>0</v>
      </c>
      <c r="CH479" s="2307">
        <f t="shared" ca="1" si="1310"/>
        <v>0</v>
      </c>
      <c r="CI479" s="2307">
        <f t="shared" ca="1" si="1310"/>
        <v>0</v>
      </c>
      <c r="CJ479" s="2307">
        <f t="shared" ca="1" si="1310"/>
        <v>0</v>
      </c>
      <c r="CK479" s="2307">
        <f t="shared" ca="1" si="1310"/>
        <v>0</v>
      </c>
      <c r="CL479" s="2307">
        <f t="shared" ca="1" si="1310"/>
        <v>0</v>
      </c>
      <c r="CM479" s="2307">
        <f t="shared" ca="1" si="1310"/>
        <v>0</v>
      </c>
      <c r="CN479" s="2307">
        <f t="shared" ca="1" si="1311"/>
        <v>0</v>
      </c>
      <c r="CO479" s="2307">
        <f t="shared" ca="1" si="1311"/>
        <v>0</v>
      </c>
      <c r="CP479" s="2307">
        <f t="shared" ca="1" si="1311"/>
        <v>0</v>
      </c>
      <c r="CQ479" s="2307">
        <f t="shared" ca="1" si="1311"/>
        <v>0</v>
      </c>
      <c r="CR479" s="2307">
        <f t="shared" ca="1" si="1311"/>
        <v>0</v>
      </c>
      <c r="CS479" s="2307">
        <f t="shared" ca="1" si="1311"/>
        <v>0</v>
      </c>
      <c r="CT479" s="2307">
        <f t="shared" ca="1" si="1311"/>
        <v>0</v>
      </c>
      <c r="CU479" s="2307">
        <f t="shared" ca="1" si="1311"/>
        <v>0</v>
      </c>
      <c r="CV479" s="2307">
        <f t="shared" ca="1" si="1311"/>
        <v>0</v>
      </c>
      <c r="CW479" s="2307">
        <f t="shared" ca="1" si="1311"/>
        <v>0</v>
      </c>
      <c r="CX479" s="2307">
        <f t="shared" ca="1" si="1311"/>
        <v>0</v>
      </c>
      <c r="CY479" s="2307">
        <f t="shared" ca="1" si="1311"/>
        <v>0</v>
      </c>
      <c r="CZ479" s="2307">
        <f t="shared" ca="1" si="1311"/>
        <v>0</v>
      </c>
      <c r="DA479" s="2307">
        <f t="shared" ca="1" si="1311"/>
        <v>0</v>
      </c>
      <c r="DB479" s="2307">
        <f t="shared" ca="1" si="1311"/>
        <v>0</v>
      </c>
      <c r="DC479" s="2307">
        <f t="shared" ca="1" si="1311"/>
        <v>0</v>
      </c>
      <c r="DD479" s="2307">
        <f t="shared" ca="1" si="1312"/>
        <v>0</v>
      </c>
      <c r="DE479" s="2307">
        <f t="shared" ca="1" si="1312"/>
        <v>0</v>
      </c>
      <c r="DF479" s="2307">
        <f t="shared" ca="1" si="1312"/>
        <v>0</v>
      </c>
      <c r="DG479" s="2307">
        <f t="shared" ca="1" si="1312"/>
        <v>0</v>
      </c>
      <c r="DH479" s="2307">
        <f t="shared" ca="1" si="1312"/>
        <v>0</v>
      </c>
      <c r="DI479" s="2307">
        <f t="shared" ca="1" si="1312"/>
        <v>0</v>
      </c>
      <c r="DJ479" s="2307">
        <f t="shared" ca="1" si="1312"/>
        <v>0</v>
      </c>
      <c r="DK479" s="2307">
        <f t="shared" ca="1" si="1312"/>
        <v>0</v>
      </c>
      <c r="DL479" s="2307">
        <f t="shared" ca="1" si="1312"/>
        <v>0</v>
      </c>
      <c r="DM479" s="2307">
        <f t="shared" ca="1" si="1312"/>
        <v>0</v>
      </c>
      <c r="DN479" s="2307">
        <f t="shared" ca="1" si="1312"/>
        <v>0</v>
      </c>
      <c r="DO479" s="2307">
        <f t="shared" ca="1" si="1312"/>
        <v>0</v>
      </c>
      <c r="DP479" s="2307">
        <f t="shared" ca="1" si="1312"/>
        <v>0</v>
      </c>
    </row>
    <row r="480" spans="1:120" hidden="1" outlineLevel="1">
      <c r="A480" s="55">
        <v>1110053030</v>
      </c>
      <c r="B480" s="509"/>
      <c r="C480" s="679" t="s">
        <v>64</v>
      </c>
      <c r="D480" s="1469"/>
      <c r="E480" s="1470"/>
      <c r="F480" s="1251"/>
      <c r="G480" s="1251"/>
      <c r="H480" s="511"/>
      <c r="I480" s="1374"/>
      <c r="J480" s="1425">
        <v>1</v>
      </c>
      <c r="K480" s="1426">
        <v>1</v>
      </c>
      <c r="L480" s="419"/>
      <c r="M480" s="1337">
        <f t="shared" ref="M480" si="1354">+L480*J480</f>
        <v>0</v>
      </c>
      <c r="N480" s="504"/>
      <c r="O480" s="513">
        <f t="shared" ref="O480" si="1355">+L480*J480*N480</f>
        <v>0</v>
      </c>
      <c r="P480" s="514"/>
      <c r="Q480" s="514">
        <f t="shared" ref="Q480" si="1356">+P480*K480</f>
        <v>0</v>
      </c>
      <c r="R480" s="515"/>
      <c r="S480" s="515"/>
      <c r="T480" s="516">
        <f t="shared" ref="T480" si="1357">+P480*K480*S480</f>
        <v>0</v>
      </c>
      <c r="U480" s="418">
        <f t="shared" ref="U480" si="1358">+L480+P480+F480</f>
        <v>0</v>
      </c>
      <c r="V480" s="517">
        <f t="shared" ref="V480" si="1359">+P480*J480*R480+L480*J480*N480+F480*J480*H480</f>
        <v>0</v>
      </c>
      <c r="W480" s="518">
        <f t="shared" ref="W480" si="1360">IF((-P480*J480*R480)-(-P480*K480*S480)&gt;0,(-P480*J480*R480)-(-P480*K480*S480),0)</f>
        <v>0</v>
      </c>
      <c r="X480" s="975">
        <f t="shared" ref="X480" si="1361">IF((-P480*J480*R480)-(-P480*K480*S480)&lt;0,(-P480*J480*R480)-(-P480*K480*S480),0)</f>
        <v>0</v>
      </c>
      <c r="Y480" s="519"/>
      <c r="Z480" s="1055"/>
      <c r="AA480" s="2311">
        <f t="shared" ca="1" si="1321"/>
        <v>0</v>
      </c>
      <c r="AB480" s="2310">
        <f t="shared" ca="1" si="1307"/>
        <v>0</v>
      </c>
      <c r="AC480" s="2310">
        <f t="shared" ca="1" si="1307"/>
        <v>0</v>
      </c>
      <c r="AD480" s="2310">
        <f t="shared" ca="1" si="1307"/>
        <v>0</v>
      </c>
      <c r="AE480" s="2310">
        <f t="shared" ca="1" si="1307"/>
        <v>0</v>
      </c>
      <c r="AF480" s="2307">
        <f t="shared" ca="1" si="1307"/>
        <v>0</v>
      </c>
      <c r="AG480" s="2307">
        <f t="shared" ca="1" si="1307"/>
        <v>0</v>
      </c>
      <c r="AH480" s="2307">
        <f t="shared" ca="1" si="1307"/>
        <v>0</v>
      </c>
      <c r="AI480" s="2307">
        <f t="shared" ca="1" si="1307"/>
        <v>0</v>
      </c>
      <c r="AJ480" s="2307">
        <f t="shared" ca="1" si="1307"/>
        <v>0</v>
      </c>
      <c r="AK480" s="2307">
        <f t="shared" ca="1" si="1307"/>
        <v>0</v>
      </c>
      <c r="AL480" s="2308">
        <f t="shared" ca="1" si="1307"/>
        <v>0</v>
      </c>
      <c r="AM480" s="2307">
        <f t="shared" ca="1" si="1307"/>
        <v>0</v>
      </c>
      <c r="AN480" s="2307">
        <f t="shared" ca="1" si="1307"/>
        <v>0</v>
      </c>
      <c r="AO480" s="2307">
        <f t="shared" ca="1" si="1307"/>
        <v>0</v>
      </c>
      <c r="AP480" s="2307">
        <f t="shared" ca="1" si="1307"/>
        <v>0</v>
      </c>
      <c r="AQ480" s="2307">
        <f t="shared" ca="1" si="1307"/>
        <v>0</v>
      </c>
      <c r="AR480" s="2307">
        <f t="shared" ca="1" si="1308"/>
        <v>0</v>
      </c>
      <c r="AS480" s="2307">
        <f t="shared" ca="1" si="1308"/>
        <v>0</v>
      </c>
      <c r="AT480" s="2307">
        <f t="shared" ca="1" si="1308"/>
        <v>0</v>
      </c>
      <c r="AU480" s="2307">
        <f t="shared" ca="1" si="1308"/>
        <v>0</v>
      </c>
      <c r="AV480" s="2307">
        <f t="shared" ca="1" si="1308"/>
        <v>0</v>
      </c>
      <c r="AW480" s="2307">
        <f t="shared" ca="1" si="1308"/>
        <v>0</v>
      </c>
      <c r="AX480" s="2307">
        <f t="shared" ca="1" si="1308"/>
        <v>0</v>
      </c>
      <c r="AY480" s="2307">
        <f t="shared" ca="1" si="1308"/>
        <v>0</v>
      </c>
      <c r="AZ480" s="2307">
        <f t="shared" ca="1" si="1308"/>
        <v>0</v>
      </c>
      <c r="BA480" s="2307">
        <f t="shared" ca="1" si="1308"/>
        <v>0</v>
      </c>
      <c r="BB480" s="2307">
        <f t="shared" ca="1" si="1308"/>
        <v>0</v>
      </c>
      <c r="BC480" s="2307">
        <f t="shared" ca="1" si="1308"/>
        <v>0</v>
      </c>
      <c r="BD480" s="2307">
        <f t="shared" ca="1" si="1308"/>
        <v>0</v>
      </c>
      <c r="BE480" s="2307">
        <f t="shared" ca="1" si="1308"/>
        <v>0</v>
      </c>
      <c r="BF480" s="2307">
        <f t="shared" ca="1" si="1308"/>
        <v>0</v>
      </c>
      <c r="BG480" s="2307">
        <f t="shared" ca="1" si="1308"/>
        <v>0</v>
      </c>
      <c r="BH480" s="2307">
        <f t="shared" ca="1" si="1309"/>
        <v>0</v>
      </c>
      <c r="BI480" s="2307">
        <f t="shared" ca="1" si="1309"/>
        <v>0</v>
      </c>
      <c r="BJ480" s="2307">
        <f t="shared" ca="1" si="1309"/>
        <v>0</v>
      </c>
      <c r="BK480" s="2307">
        <f t="shared" ca="1" si="1309"/>
        <v>0</v>
      </c>
      <c r="BL480" s="2307">
        <f t="shared" ca="1" si="1309"/>
        <v>0</v>
      </c>
      <c r="BM480" s="2307">
        <f t="shared" ca="1" si="1309"/>
        <v>0</v>
      </c>
      <c r="BN480" s="2307">
        <f t="shared" ca="1" si="1309"/>
        <v>0</v>
      </c>
      <c r="BO480" s="2307">
        <f t="shared" ca="1" si="1309"/>
        <v>0</v>
      </c>
      <c r="BP480" s="2307">
        <f t="shared" ca="1" si="1309"/>
        <v>0</v>
      </c>
      <c r="BQ480" s="2307">
        <f t="shared" ca="1" si="1309"/>
        <v>0</v>
      </c>
      <c r="BR480" s="2307">
        <f t="shared" ca="1" si="1309"/>
        <v>0</v>
      </c>
      <c r="BS480" s="2307">
        <f t="shared" ca="1" si="1309"/>
        <v>0</v>
      </c>
      <c r="BT480" s="2307">
        <f t="shared" ca="1" si="1309"/>
        <v>0</v>
      </c>
      <c r="BU480" s="2307">
        <f t="shared" ca="1" si="1309"/>
        <v>0</v>
      </c>
      <c r="BV480" s="2307">
        <f t="shared" ca="1" si="1309"/>
        <v>0</v>
      </c>
      <c r="BW480" s="2307">
        <f t="shared" ca="1" si="1309"/>
        <v>0</v>
      </c>
      <c r="BX480" s="2307">
        <f t="shared" ca="1" si="1310"/>
        <v>0</v>
      </c>
      <c r="BY480" s="2307">
        <f t="shared" ca="1" si="1310"/>
        <v>0</v>
      </c>
      <c r="BZ480" s="2307">
        <f t="shared" ca="1" si="1310"/>
        <v>0</v>
      </c>
      <c r="CA480" s="2307">
        <f t="shared" ca="1" si="1310"/>
        <v>0</v>
      </c>
      <c r="CB480" s="2307">
        <f t="shared" ca="1" si="1310"/>
        <v>0</v>
      </c>
      <c r="CC480" s="2307">
        <f t="shared" ca="1" si="1310"/>
        <v>0</v>
      </c>
      <c r="CD480" s="2307">
        <f t="shared" ca="1" si="1310"/>
        <v>0</v>
      </c>
      <c r="CE480" s="2307">
        <f t="shared" ca="1" si="1310"/>
        <v>0</v>
      </c>
      <c r="CF480" s="2307">
        <f t="shared" ca="1" si="1310"/>
        <v>0</v>
      </c>
      <c r="CG480" s="2307">
        <f t="shared" ca="1" si="1310"/>
        <v>0</v>
      </c>
      <c r="CH480" s="2307">
        <f t="shared" ca="1" si="1310"/>
        <v>0</v>
      </c>
      <c r="CI480" s="2307">
        <f t="shared" ca="1" si="1310"/>
        <v>0</v>
      </c>
      <c r="CJ480" s="2307">
        <f t="shared" ca="1" si="1310"/>
        <v>0</v>
      </c>
      <c r="CK480" s="2307">
        <f t="shared" ca="1" si="1310"/>
        <v>0</v>
      </c>
      <c r="CL480" s="2307">
        <f t="shared" ca="1" si="1310"/>
        <v>0</v>
      </c>
      <c r="CM480" s="2307">
        <f t="shared" ca="1" si="1310"/>
        <v>0</v>
      </c>
      <c r="CN480" s="2307">
        <f t="shared" ca="1" si="1311"/>
        <v>0</v>
      </c>
      <c r="CO480" s="2307">
        <f t="shared" ca="1" si="1311"/>
        <v>0</v>
      </c>
      <c r="CP480" s="2307">
        <f t="shared" ca="1" si="1311"/>
        <v>0</v>
      </c>
      <c r="CQ480" s="2307">
        <f t="shared" ca="1" si="1311"/>
        <v>0</v>
      </c>
      <c r="CR480" s="2307">
        <f t="shared" ca="1" si="1311"/>
        <v>0</v>
      </c>
      <c r="CS480" s="2307">
        <f t="shared" ca="1" si="1311"/>
        <v>0</v>
      </c>
      <c r="CT480" s="2307">
        <f t="shared" ca="1" si="1311"/>
        <v>0</v>
      </c>
      <c r="CU480" s="2307">
        <f t="shared" ca="1" si="1311"/>
        <v>0</v>
      </c>
      <c r="CV480" s="2307">
        <f t="shared" ca="1" si="1311"/>
        <v>0</v>
      </c>
      <c r="CW480" s="2307">
        <f t="shared" ca="1" si="1311"/>
        <v>0</v>
      </c>
      <c r="CX480" s="2307">
        <f t="shared" ca="1" si="1311"/>
        <v>0</v>
      </c>
      <c r="CY480" s="2307">
        <f t="shared" ca="1" si="1311"/>
        <v>0</v>
      </c>
      <c r="CZ480" s="2307">
        <f t="shared" ca="1" si="1311"/>
        <v>0</v>
      </c>
      <c r="DA480" s="2307">
        <f t="shared" ca="1" si="1311"/>
        <v>0</v>
      </c>
      <c r="DB480" s="2307">
        <f t="shared" ca="1" si="1311"/>
        <v>0</v>
      </c>
      <c r="DC480" s="2307">
        <f t="shared" ca="1" si="1311"/>
        <v>0</v>
      </c>
      <c r="DD480" s="2307">
        <f t="shared" ca="1" si="1312"/>
        <v>0</v>
      </c>
      <c r="DE480" s="2307">
        <f t="shared" ca="1" si="1312"/>
        <v>0</v>
      </c>
      <c r="DF480" s="2307">
        <f t="shared" ca="1" si="1312"/>
        <v>0</v>
      </c>
      <c r="DG480" s="2307">
        <f t="shared" ca="1" si="1312"/>
        <v>0</v>
      </c>
      <c r="DH480" s="2307">
        <f t="shared" ca="1" si="1312"/>
        <v>0</v>
      </c>
      <c r="DI480" s="2307">
        <f t="shared" ca="1" si="1312"/>
        <v>0</v>
      </c>
      <c r="DJ480" s="2307">
        <f t="shared" ca="1" si="1312"/>
        <v>0</v>
      </c>
      <c r="DK480" s="2307">
        <f t="shared" ca="1" si="1312"/>
        <v>0</v>
      </c>
      <c r="DL480" s="2307">
        <f t="shared" ca="1" si="1312"/>
        <v>0</v>
      </c>
      <c r="DM480" s="2307">
        <f t="shared" ca="1" si="1312"/>
        <v>0</v>
      </c>
      <c r="DN480" s="2307">
        <f t="shared" ca="1" si="1312"/>
        <v>0</v>
      </c>
      <c r="DO480" s="2307">
        <f t="shared" ca="1" si="1312"/>
        <v>0</v>
      </c>
      <c r="DP480" s="2307">
        <f t="shared" ca="1" si="1312"/>
        <v>0</v>
      </c>
    </row>
    <row r="481" spans="1:120" s="61" customFormat="1" hidden="1" outlineLevel="1">
      <c r="A481" s="57">
        <v>1110053035</v>
      </c>
      <c r="B481" s="521"/>
      <c r="C481" s="1466" t="s">
        <v>64</v>
      </c>
      <c r="D481" s="1471"/>
      <c r="E481" s="1472"/>
      <c r="F481" s="1252"/>
      <c r="G481" s="1252"/>
      <c r="H481" s="522"/>
      <c r="I481" s="1375"/>
      <c r="J481" s="1451">
        <v>1</v>
      </c>
      <c r="K481" s="1452">
        <v>1</v>
      </c>
      <c r="L481" s="1191"/>
      <c r="M481" s="1450">
        <f t="shared" si="1299"/>
        <v>0</v>
      </c>
      <c r="N481" s="524"/>
      <c r="O481" s="525">
        <f t="shared" si="1300"/>
        <v>0</v>
      </c>
      <c r="P481" s="526"/>
      <c r="Q481" s="526">
        <f t="shared" si="1301"/>
        <v>0</v>
      </c>
      <c r="R481" s="527"/>
      <c r="S481" s="527"/>
      <c r="T481" s="528">
        <f t="shared" si="1302"/>
        <v>0</v>
      </c>
      <c r="U481" s="60">
        <f t="shared" si="1303"/>
        <v>0</v>
      </c>
      <c r="V481" s="529">
        <f t="shared" si="1306"/>
        <v>0</v>
      </c>
      <c r="W481" s="1453">
        <f t="shared" si="1304"/>
        <v>0</v>
      </c>
      <c r="X481" s="530">
        <f t="shared" si="1305"/>
        <v>0</v>
      </c>
      <c r="Y481" s="531"/>
      <c r="Z481" s="1056"/>
      <c r="AA481" s="2320">
        <f t="shared" ca="1" si="1321"/>
        <v>0</v>
      </c>
      <c r="AB481" s="2313">
        <f t="shared" ca="1" si="1307"/>
        <v>0</v>
      </c>
      <c r="AC481" s="2313">
        <f t="shared" ca="1" si="1307"/>
        <v>0</v>
      </c>
      <c r="AD481" s="2313">
        <f t="shared" ca="1" si="1307"/>
        <v>0</v>
      </c>
      <c r="AE481" s="2313">
        <f t="shared" ca="1" si="1307"/>
        <v>0</v>
      </c>
      <c r="AF481" s="2120">
        <f t="shared" ca="1" si="1307"/>
        <v>0</v>
      </c>
      <c r="AG481" s="2120">
        <f t="shared" ca="1" si="1307"/>
        <v>0</v>
      </c>
      <c r="AH481" s="2120">
        <f t="shared" ca="1" si="1307"/>
        <v>0</v>
      </c>
      <c r="AI481" s="2120">
        <f t="shared" ca="1" si="1307"/>
        <v>0</v>
      </c>
      <c r="AJ481" s="2120">
        <f t="shared" ca="1" si="1307"/>
        <v>0</v>
      </c>
      <c r="AK481" s="2120">
        <f t="shared" ca="1" si="1307"/>
        <v>0</v>
      </c>
      <c r="AL481" s="2314">
        <f t="shared" ca="1" si="1307"/>
        <v>0</v>
      </c>
      <c r="AM481" s="2120">
        <f t="shared" ca="1" si="1307"/>
        <v>0</v>
      </c>
      <c r="AN481" s="2120">
        <f t="shared" ca="1" si="1307"/>
        <v>0</v>
      </c>
      <c r="AO481" s="2120">
        <f t="shared" ca="1" si="1307"/>
        <v>0</v>
      </c>
      <c r="AP481" s="2120">
        <f t="shared" ca="1" si="1307"/>
        <v>0</v>
      </c>
      <c r="AQ481" s="2120">
        <f t="shared" ca="1" si="1307"/>
        <v>0</v>
      </c>
      <c r="AR481" s="2120">
        <f t="shared" ca="1" si="1308"/>
        <v>0</v>
      </c>
      <c r="AS481" s="2120">
        <f t="shared" ca="1" si="1308"/>
        <v>0</v>
      </c>
      <c r="AT481" s="2120">
        <f t="shared" ca="1" si="1308"/>
        <v>0</v>
      </c>
      <c r="AU481" s="2120">
        <f t="shared" ca="1" si="1308"/>
        <v>0</v>
      </c>
      <c r="AV481" s="2120">
        <f t="shared" ca="1" si="1308"/>
        <v>0</v>
      </c>
      <c r="AW481" s="2120">
        <f t="shared" ca="1" si="1308"/>
        <v>0</v>
      </c>
      <c r="AX481" s="2120">
        <f t="shared" ca="1" si="1308"/>
        <v>0</v>
      </c>
      <c r="AY481" s="2120">
        <f t="shared" ca="1" si="1308"/>
        <v>0</v>
      </c>
      <c r="AZ481" s="2120">
        <f t="shared" ca="1" si="1308"/>
        <v>0</v>
      </c>
      <c r="BA481" s="2120">
        <f t="shared" ca="1" si="1308"/>
        <v>0</v>
      </c>
      <c r="BB481" s="2120">
        <f t="shared" ca="1" si="1308"/>
        <v>0</v>
      </c>
      <c r="BC481" s="2120">
        <f t="shared" ca="1" si="1308"/>
        <v>0</v>
      </c>
      <c r="BD481" s="2120">
        <f t="shared" ca="1" si="1308"/>
        <v>0</v>
      </c>
      <c r="BE481" s="2120">
        <f t="shared" ca="1" si="1308"/>
        <v>0</v>
      </c>
      <c r="BF481" s="2120">
        <f t="shared" ca="1" si="1308"/>
        <v>0</v>
      </c>
      <c r="BG481" s="2120">
        <f t="shared" ca="1" si="1308"/>
        <v>0</v>
      </c>
      <c r="BH481" s="2120">
        <f t="shared" ca="1" si="1309"/>
        <v>0</v>
      </c>
      <c r="BI481" s="2120">
        <f t="shared" ca="1" si="1309"/>
        <v>0</v>
      </c>
      <c r="BJ481" s="2120">
        <f t="shared" ca="1" si="1309"/>
        <v>0</v>
      </c>
      <c r="BK481" s="2120">
        <f t="shared" ca="1" si="1309"/>
        <v>0</v>
      </c>
      <c r="BL481" s="2120">
        <f t="shared" ca="1" si="1309"/>
        <v>0</v>
      </c>
      <c r="BM481" s="2120">
        <f t="shared" ca="1" si="1309"/>
        <v>0</v>
      </c>
      <c r="BN481" s="2120">
        <f t="shared" ca="1" si="1309"/>
        <v>0</v>
      </c>
      <c r="BO481" s="2120">
        <f t="shared" ca="1" si="1309"/>
        <v>0</v>
      </c>
      <c r="BP481" s="2120">
        <f t="shared" ca="1" si="1309"/>
        <v>0</v>
      </c>
      <c r="BQ481" s="2120">
        <f t="shared" ca="1" si="1309"/>
        <v>0</v>
      </c>
      <c r="BR481" s="2120">
        <f t="shared" ca="1" si="1309"/>
        <v>0</v>
      </c>
      <c r="BS481" s="2120">
        <f t="shared" ca="1" si="1309"/>
        <v>0</v>
      </c>
      <c r="BT481" s="2120">
        <f t="shared" ca="1" si="1309"/>
        <v>0</v>
      </c>
      <c r="BU481" s="2120">
        <f t="shared" ca="1" si="1309"/>
        <v>0</v>
      </c>
      <c r="BV481" s="2120">
        <f t="shared" ca="1" si="1309"/>
        <v>0</v>
      </c>
      <c r="BW481" s="2120">
        <f t="shared" ca="1" si="1309"/>
        <v>0</v>
      </c>
      <c r="BX481" s="2120">
        <f t="shared" ca="1" si="1310"/>
        <v>0</v>
      </c>
      <c r="BY481" s="2120">
        <f t="shared" ca="1" si="1310"/>
        <v>0</v>
      </c>
      <c r="BZ481" s="2120">
        <f t="shared" ca="1" si="1310"/>
        <v>0</v>
      </c>
      <c r="CA481" s="2120">
        <f t="shared" ca="1" si="1310"/>
        <v>0</v>
      </c>
      <c r="CB481" s="2120">
        <f t="shared" ca="1" si="1310"/>
        <v>0</v>
      </c>
      <c r="CC481" s="2120">
        <f t="shared" ca="1" si="1310"/>
        <v>0</v>
      </c>
      <c r="CD481" s="2120">
        <f t="shared" ca="1" si="1310"/>
        <v>0</v>
      </c>
      <c r="CE481" s="2120">
        <f t="shared" ca="1" si="1310"/>
        <v>0</v>
      </c>
      <c r="CF481" s="2120">
        <f t="shared" ca="1" si="1310"/>
        <v>0</v>
      </c>
      <c r="CG481" s="2120">
        <f t="shared" ca="1" si="1310"/>
        <v>0</v>
      </c>
      <c r="CH481" s="2120">
        <f t="shared" ca="1" si="1310"/>
        <v>0</v>
      </c>
      <c r="CI481" s="2120">
        <f t="shared" ca="1" si="1310"/>
        <v>0</v>
      </c>
      <c r="CJ481" s="2120">
        <f t="shared" ca="1" si="1310"/>
        <v>0</v>
      </c>
      <c r="CK481" s="2120">
        <f t="shared" ca="1" si="1310"/>
        <v>0</v>
      </c>
      <c r="CL481" s="2120">
        <f t="shared" ca="1" si="1310"/>
        <v>0</v>
      </c>
      <c r="CM481" s="2120">
        <f t="shared" ca="1" si="1310"/>
        <v>0</v>
      </c>
      <c r="CN481" s="2120">
        <f t="shared" ca="1" si="1311"/>
        <v>0</v>
      </c>
      <c r="CO481" s="2120">
        <f t="shared" ca="1" si="1311"/>
        <v>0</v>
      </c>
      <c r="CP481" s="2120">
        <f t="shared" ca="1" si="1311"/>
        <v>0</v>
      </c>
      <c r="CQ481" s="2120">
        <f t="shared" ca="1" si="1311"/>
        <v>0</v>
      </c>
      <c r="CR481" s="2120">
        <f t="shared" ca="1" si="1311"/>
        <v>0</v>
      </c>
      <c r="CS481" s="2120">
        <f t="shared" ca="1" si="1311"/>
        <v>0</v>
      </c>
      <c r="CT481" s="2120">
        <f t="shared" ca="1" si="1311"/>
        <v>0</v>
      </c>
      <c r="CU481" s="2120">
        <f t="shared" ca="1" si="1311"/>
        <v>0</v>
      </c>
      <c r="CV481" s="2120">
        <f t="shared" ca="1" si="1311"/>
        <v>0</v>
      </c>
      <c r="CW481" s="2120">
        <f t="shared" ca="1" si="1311"/>
        <v>0</v>
      </c>
      <c r="CX481" s="2120">
        <f t="shared" ca="1" si="1311"/>
        <v>0</v>
      </c>
      <c r="CY481" s="2120">
        <f t="shared" ca="1" si="1311"/>
        <v>0</v>
      </c>
      <c r="CZ481" s="2120">
        <f t="shared" ca="1" si="1311"/>
        <v>0</v>
      </c>
      <c r="DA481" s="2120">
        <f t="shared" ca="1" si="1311"/>
        <v>0</v>
      </c>
      <c r="DB481" s="2120">
        <f t="shared" ca="1" si="1311"/>
        <v>0</v>
      </c>
      <c r="DC481" s="2120">
        <f t="shared" ca="1" si="1311"/>
        <v>0</v>
      </c>
      <c r="DD481" s="2120">
        <f t="shared" ca="1" si="1312"/>
        <v>0</v>
      </c>
      <c r="DE481" s="2120">
        <f t="shared" ca="1" si="1312"/>
        <v>0</v>
      </c>
      <c r="DF481" s="2120">
        <f t="shared" ca="1" si="1312"/>
        <v>0</v>
      </c>
      <c r="DG481" s="2120">
        <f t="shared" ca="1" si="1312"/>
        <v>0</v>
      </c>
      <c r="DH481" s="2120">
        <f t="shared" ca="1" si="1312"/>
        <v>0</v>
      </c>
      <c r="DI481" s="2120">
        <f t="shared" ca="1" si="1312"/>
        <v>0</v>
      </c>
      <c r="DJ481" s="2120">
        <f t="shared" ca="1" si="1312"/>
        <v>0</v>
      </c>
      <c r="DK481" s="2120">
        <f t="shared" ca="1" si="1312"/>
        <v>0</v>
      </c>
      <c r="DL481" s="2120">
        <f t="shared" ca="1" si="1312"/>
        <v>0</v>
      </c>
      <c r="DM481" s="2120">
        <f t="shared" ca="1" si="1312"/>
        <v>0</v>
      </c>
      <c r="DN481" s="2120">
        <f t="shared" ca="1" si="1312"/>
        <v>0</v>
      </c>
      <c r="DO481" s="2120">
        <f t="shared" ca="1" si="1312"/>
        <v>0</v>
      </c>
      <c r="DP481" s="2120">
        <f t="shared" ca="1" si="1312"/>
        <v>0</v>
      </c>
    </row>
    <row r="482" spans="1:120" s="1915" customFormat="1" hidden="1" outlineLevel="1">
      <c r="A482" s="1895">
        <v>1110053035</v>
      </c>
      <c r="B482" s="1896"/>
      <c r="C482" s="1897" t="s">
        <v>64</v>
      </c>
      <c r="D482" s="1898"/>
      <c r="E482" s="1899"/>
      <c r="F482" s="1279"/>
      <c r="G482" s="1279"/>
      <c r="H482" s="1900"/>
      <c r="I482" s="1901"/>
      <c r="J482" s="1902">
        <v>1</v>
      </c>
      <c r="K482" s="1903">
        <v>1</v>
      </c>
      <c r="L482" s="1904"/>
      <c r="M482" s="1905">
        <f t="shared" ref="M482" si="1362">+L482*J482</f>
        <v>0</v>
      </c>
      <c r="N482" s="1906"/>
      <c r="O482" s="1907">
        <f t="shared" ref="O482" si="1363">+L482*J482*N482</f>
        <v>0</v>
      </c>
      <c r="P482" s="1908"/>
      <c r="Q482" s="1908">
        <f t="shared" ref="Q482" si="1364">+P482*K482</f>
        <v>0</v>
      </c>
      <c r="R482" s="1909"/>
      <c r="S482" s="1909"/>
      <c r="T482" s="1910">
        <f t="shared" ref="T482" si="1365">+P482*K482*S482</f>
        <v>0</v>
      </c>
      <c r="U482" s="1911">
        <f t="shared" ref="U482" si="1366">+L482+P482+F482</f>
        <v>0</v>
      </c>
      <c r="V482" s="1912">
        <f t="shared" ref="V482" si="1367">+P482*J482*R482+L482*J482*N482+F482*J482*H482</f>
        <v>0</v>
      </c>
      <c r="W482" s="1913">
        <f t="shared" ref="W482" si="1368">IF((-P482*J482*R482)-(-P482*K482*S482)&gt;0,(-P482*J482*R482)-(-P482*K482*S482),0)</f>
        <v>0</v>
      </c>
      <c r="X482" s="1102">
        <f t="shared" ref="X482" si="1369">IF((-P482*J482*R482)-(-P482*K482*S482)&lt;0,(-P482*J482*R482)-(-P482*K482*S482),0)</f>
        <v>0</v>
      </c>
      <c r="Y482" s="1914"/>
      <c r="Z482" s="220"/>
      <c r="AA482" s="2320">
        <f t="shared" ca="1" si="1321"/>
        <v>0</v>
      </c>
      <c r="AB482" s="2313">
        <f t="shared" ca="1" si="1307"/>
        <v>0</v>
      </c>
      <c r="AC482" s="2313">
        <f t="shared" ca="1" si="1307"/>
        <v>0</v>
      </c>
      <c r="AD482" s="2313">
        <f t="shared" ca="1" si="1307"/>
        <v>0</v>
      </c>
      <c r="AE482" s="2313">
        <f t="shared" ca="1" si="1307"/>
        <v>0</v>
      </c>
      <c r="AF482" s="2120">
        <f t="shared" ca="1" si="1307"/>
        <v>0</v>
      </c>
      <c r="AG482" s="2120">
        <f t="shared" ca="1" si="1307"/>
        <v>0</v>
      </c>
      <c r="AH482" s="2120">
        <f t="shared" ca="1" si="1307"/>
        <v>0</v>
      </c>
      <c r="AI482" s="2120">
        <f t="shared" ca="1" si="1307"/>
        <v>0</v>
      </c>
      <c r="AJ482" s="2120">
        <f t="shared" ca="1" si="1307"/>
        <v>0</v>
      </c>
      <c r="AK482" s="2120">
        <f t="shared" ca="1" si="1307"/>
        <v>0</v>
      </c>
      <c r="AL482" s="2314">
        <f t="shared" ca="1" si="1307"/>
        <v>0</v>
      </c>
      <c r="AM482" s="2120">
        <f t="shared" ca="1" si="1307"/>
        <v>0</v>
      </c>
      <c r="AN482" s="2120">
        <f t="shared" ca="1" si="1307"/>
        <v>0</v>
      </c>
      <c r="AO482" s="2120">
        <f t="shared" ca="1" si="1307"/>
        <v>0</v>
      </c>
      <c r="AP482" s="2120">
        <f t="shared" ca="1" si="1307"/>
        <v>0</v>
      </c>
      <c r="AQ482" s="2120">
        <f t="shared" ca="1" si="1307"/>
        <v>0</v>
      </c>
      <c r="AR482" s="2120">
        <f t="shared" ca="1" si="1308"/>
        <v>0</v>
      </c>
      <c r="AS482" s="2120">
        <f t="shared" ca="1" si="1308"/>
        <v>0</v>
      </c>
      <c r="AT482" s="2120">
        <f t="shared" ca="1" si="1308"/>
        <v>0</v>
      </c>
      <c r="AU482" s="2120">
        <f t="shared" ca="1" si="1308"/>
        <v>0</v>
      </c>
      <c r="AV482" s="2120">
        <f t="shared" ca="1" si="1308"/>
        <v>0</v>
      </c>
      <c r="AW482" s="2120">
        <f t="shared" ca="1" si="1308"/>
        <v>0</v>
      </c>
      <c r="AX482" s="2120">
        <f t="shared" ca="1" si="1308"/>
        <v>0</v>
      </c>
      <c r="AY482" s="2120">
        <f t="shared" ca="1" si="1308"/>
        <v>0</v>
      </c>
      <c r="AZ482" s="2120">
        <f t="shared" ca="1" si="1308"/>
        <v>0</v>
      </c>
      <c r="BA482" s="2120">
        <f t="shared" ca="1" si="1308"/>
        <v>0</v>
      </c>
      <c r="BB482" s="2120">
        <f t="shared" ca="1" si="1308"/>
        <v>0</v>
      </c>
      <c r="BC482" s="2120">
        <f t="shared" ca="1" si="1308"/>
        <v>0</v>
      </c>
      <c r="BD482" s="2120">
        <f t="shared" ca="1" si="1308"/>
        <v>0</v>
      </c>
      <c r="BE482" s="2120">
        <f t="shared" ca="1" si="1308"/>
        <v>0</v>
      </c>
      <c r="BF482" s="2120">
        <f t="shared" ca="1" si="1308"/>
        <v>0</v>
      </c>
      <c r="BG482" s="2120">
        <f t="shared" ca="1" si="1308"/>
        <v>0</v>
      </c>
      <c r="BH482" s="2120">
        <f t="shared" ca="1" si="1309"/>
        <v>0</v>
      </c>
      <c r="BI482" s="2120">
        <f t="shared" ca="1" si="1309"/>
        <v>0</v>
      </c>
      <c r="BJ482" s="2120">
        <f t="shared" ca="1" si="1309"/>
        <v>0</v>
      </c>
      <c r="BK482" s="2120">
        <f t="shared" ca="1" si="1309"/>
        <v>0</v>
      </c>
      <c r="BL482" s="2120">
        <f t="shared" ca="1" si="1309"/>
        <v>0</v>
      </c>
      <c r="BM482" s="2120">
        <f t="shared" ca="1" si="1309"/>
        <v>0</v>
      </c>
      <c r="BN482" s="2120">
        <f t="shared" ca="1" si="1309"/>
        <v>0</v>
      </c>
      <c r="BO482" s="2120">
        <f t="shared" ca="1" si="1309"/>
        <v>0</v>
      </c>
      <c r="BP482" s="2120">
        <f t="shared" ca="1" si="1309"/>
        <v>0</v>
      </c>
      <c r="BQ482" s="2120">
        <f t="shared" ca="1" si="1309"/>
        <v>0</v>
      </c>
      <c r="BR482" s="2120">
        <f t="shared" ca="1" si="1309"/>
        <v>0</v>
      </c>
      <c r="BS482" s="2120">
        <f t="shared" ca="1" si="1309"/>
        <v>0</v>
      </c>
      <c r="BT482" s="2120">
        <f t="shared" ca="1" si="1309"/>
        <v>0</v>
      </c>
      <c r="BU482" s="2120">
        <f t="shared" ca="1" si="1309"/>
        <v>0</v>
      </c>
      <c r="BV482" s="2120">
        <f t="shared" ca="1" si="1309"/>
        <v>0</v>
      </c>
      <c r="BW482" s="2120">
        <f t="shared" ca="1" si="1309"/>
        <v>0</v>
      </c>
      <c r="BX482" s="2120">
        <f t="shared" ca="1" si="1310"/>
        <v>0</v>
      </c>
      <c r="BY482" s="2120">
        <f t="shared" ca="1" si="1310"/>
        <v>0</v>
      </c>
      <c r="BZ482" s="2120">
        <f t="shared" ca="1" si="1310"/>
        <v>0</v>
      </c>
      <c r="CA482" s="2120">
        <f t="shared" ca="1" si="1310"/>
        <v>0</v>
      </c>
      <c r="CB482" s="2120">
        <f t="shared" ca="1" si="1310"/>
        <v>0</v>
      </c>
      <c r="CC482" s="2120">
        <f t="shared" ca="1" si="1310"/>
        <v>0</v>
      </c>
      <c r="CD482" s="2120">
        <f t="shared" ca="1" si="1310"/>
        <v>0</v>
      </c>
      <c r="CE482" s="2120">
        <f t="shared" ca="1" si="1310"/>
        <v>0</v>
      </c>
      <c r="CF482" s="2120">
        <f t="shared" ca="1" si="1310"/>
        <v>0</v>
      </c>
      <c r="CG482" s="2120">
        <f t="shared" ca="1" si="1310"/>
        <v>0</v>
      </c>
      <c r="CH482" s="2120">
        <f t="shared" ca="1" si="1310"/>
        <v>0</v>
      </c>
      <c r="CI482" s="2120">
        <f t="shared" ca="1" si="1310"/>
        <v>0</v>
      </c>
      <c r="CJ482" s="2120">
        <f t="shared" ca="1" si="1310"/>
        <v>0</v>
      </c>
      <c r="CK482" s="2120">
        <f t="shared" ca="1" si="1310"/>
        <v>0</v>
      </c>
      <c r="CL482" s="2120">
        <f t="shared" ca="1" si="1310"/>
        <v>0</v>
      </c>
      <c r="CM482" s="2120">
        <f t="shared" ca="1" si="1310"/>
        <v>0</v>
      </c>
      <c r="CN482" s="2120">
        <f t="shared" ca="1" si="1311"/>
        <v>0</v>
      </c>
      <c r="CO482" s="2120">
        <f t="shared" ca="1" si="1311"/>
        <v>0</v>
      </c>
      <c r="CP482" s="2120">
        <f t="shared" ca="1" si="1311"/>
        <v>0</v>
      </c>
      <c r="CQ482" s="2120">
        <f t="shared" ca="1" si="1311"/>
        <v>0</v>
      </c>
      <c r="CR482" s="2120">
        <f t="shared" ca="1" si="1311"/>
        <v>0</v>
      </c>
      <c r="CS482" s="2120">
        <f t="shared" ca="1" si="1311"/>
        <v>0</v>
      </c>
      <c r="CT482" s="2120">
        <f t="shared" ca="1" si="1311"/>
        <v>0</v>
      </c>
      <c r="CU482" s="2120">
        <f t="shared" ca="1" si="1311"/>
        <v>0</v>
      </c>
      <c r="CV482" s="2120">
        <f t="shared" ca="1" si="1311"/>
        <v>0</v>
      </c>
      <c r="CW482" s="2120">
        <f t="shared" ca="1" si="1311"/>
        <v>0</v>
      </c>
      <c r="CX482" s="2120">
        <f t="shared" ca="1" si="1311"/>
        <v>0</v>
      </c>
      <c r="CY482" s="2120">
        <f t="shared" ca="1" si="1311"/>
        <v>0</v>
      </c>
      <c r="CZ482" s="2120">
        <f t="shared" ca="1" si="1311"/>
        <v>0</v>
      </c>
      <c r="DA482" s="2120">
        <f t="shared" ca="1" si="1311"/>
        <v>0</v>
      </c>
      <c r="DB482" s="2120">
        <f t="shared" ca="1" si="1311"/>
        <v>0</v>
      </c>
      <c r="DC482" s="2120">
        <f t="shared" ca="1" si="1311"/>
        <v>0</v>
      </c>
      <c r="DD482" s="2120">
        <f t="shared" ca="1" si="1312"/>
        <v>0</v>
      </c>
      <c r="DE482" s="2120">
        <f t="shared" ca="1" si="1312"/>
        <v>0</v>
      </c>
      <c r="DF482" s="2120">
        <f t="shared" ca="1" si="1312"/>
        <v>0</v>
      </c>
      <c r="DG482" s="2120">
        <f t="shared" ca="1" si="1312"/>
        <v>0</v>
      </c>
      <c r="DH482" s="2120">
        <f t="shared" ca="1" si="1312"/>
        <v>0</v>
      </c>
      <c r="DI482" s="2120">
        <f t="shared" ca="1" si="1312"/>
        <v>0</v>
      </c>
      <c r="DJ482" s="2120">
        <f t="shared" ca="1" si="1312"/>
        <v>0</v>
      </c>
      <c r="DK482" s="2120">
        <f t="shared" ca="1" si="1312"/>
        <v>0</v>
      </c>
      <c r="DL482" s="2120">
        <f t="shared" ca="1" si="1312"/>
        <v>0</v>
      </c>
      <c r="DM482" s="2120">
        <f t="shared" ca="1" si="1312"/>
        <v>0</v>
      </c>
      <c r="DN482" s="2120">
        <f t="shared" ca="1" si="1312"/>
        <v>0</v>
      </c>
      <c r="DO482" s="2120">
        <f t="shared" ca="1" si="1312"/>
        <v>0</v>
      </c>
      <c r="DP482" s="2120">
        <f t="shared" ca="1" si="1312"/>
        <v>0</v>
      </c>
    </row>
    <row r="483" spans="1:120" s="1915" customFormat="1" hidden="1" outlineLevel="1">
      <c r="A483" s="1895">
        <v>1110053035</v>
      </c>
      <c r="B483" s="1896"/>
      <c r="C483" s="1897" t="s">
        <v>64</v>
      </c>
      <c r="D483" s="1898"/>
      <c r="E483" s="1899"/>
      <c r="F483" s="1279"/>
      <c r="G483" s="1279"/>
      <c r="H483" s="1900"/>
      <c r="I483" s="1901"/>
      <c r="J483" s="1902">
        <v>1</v>
      </c>
      <c r="K483" s="1903">
        <v>1</v>
      </c>
      <c r="L483" s="1904"/>
      <c r="M483" s="1905">
        <f t="shared" ref="M483" si="1370">+L483*J483</f>
        <v>0</v>
      </c>
      <c r="N483" s="1906"/>
      <c r="O483" s="1907">
        <f t="shared" ref="O483" si="1371">+L483*J483*N483</f>
        <v>0</v>
      </c>
      <c r="P483" s="1908"/>
      <c r="Q483" s="1908">
        <f t="shared" ref="Q483" si="1372">+P483*K483</f>
        <v>0</v>
      </c>
      <c r="R483" s="1909"/>
      <c r="S483" s="1909"/>
      <c r="T483" s="1910">
        <f t="shared" ref="T483" si="1373">+P483*K483*S483</f>
        <v>0</v>
      </c>
      <c r="U483" s="1911">
        <f t="shared" ref="U483" si="1374">+L483+P483+F483</f>
        <v>0</v>
      </c>
      <c r="V483" s="1912">
        <f t="shared" ref="V483" si="1375">+P483*J483*R483+L483*J483*N483+F483*J483*H483</f>
        <v>0</v>
      </c>
      <c r="W483" s="1913">
        <f t="shared" ref="W483" si="1376">IF((-P483*J483*R483)-(-P483*K483*S483)&gt;0,(-P483*J483*R483)-(-P483*K483*S483),0)</f>
        <v>0</v>
      </c>
      <c r="X483" s="1102">
        <f t="shared" ref="X483" si="1377">IF((-P483*J483*R483)-(-P483*K483*S483)&lt;0,(-P483*J483*R483)-(-P483*K483*S483),0)</f>
        <v>0</v>
      </c>
      <c r="Y483" s="1914"/>
      <c r="Z483" s="220"/>
      <c r="AA483" s="2320">
        <f t="shared" ca="1" si="1321"/>
        <v>0</v>
      </c>
      <c r="AB483" s="2313">
        <f t="shared" ca="1" si="1307"/>
        <v>0</v>
      </c>
      <c r="AC483" s="2313">
        <f t="shared" ca="1" si="1307"/>
        <v>0</v>
      </c>
      <c r="AD483" s="2313">
        <f t="shared" ca="1" si="1307"/>
        <v>0</v>
      </c>
      <c r="AE483" s="2313">
        <f t="shared" ca="1" si="1307"/>
        <v>0</v>
      </c>
      <c r="AF483" s="2120">
        <f t="shared" ca="1" si="1307"/>
        <v>0</v>
      </c>
      <c r="AG483" s="2120">
        <f t="shared" ca="1" si="1307"/>
        <v>0</v>
      </c>
      <c r="AH483" s="2120">
        <f t="shared" ca="1" si="1307"/>
        <v>0</v>
      </c>
      <c r="AI483" s="2120">
        <f t="shared" ca="1" si="1307"/>
        <v>0</v>
      </c>
      <c r="AJ483" s="2120">
        <f t="shared" ca="1" si="1307"/>
        <v>0</v>
      </c>
      <c r="AK483" s="2120">
        <f t="shared" ca="1" si="1307"/>
        <v>0</v>
      </c>
      <c r="AL483" s="2314">
        <f t="shared" ca="1" si="1307"/>
        <v>0</v>
      </c>
      <c r="AM483" s="2120">
        <f t="shared" ca="1" si="1307"/>
        <v>0</v>
      </c>
      <c r="AN483" s="2120">
        <f t="shared" ca="1" si="1307"/>
        <v>0</v>
      </c>
      <c r="AO483" s="2120">
        <f t="shared" ca="1" si="1307"/>
        <v>0</v>
      </c>
      <c r="AP483" s="2120">
        <f t="shared" ca="1" si="1307"/>
        <v>0</v>
      </c>
      <c r="AQ483" s="2120">
        <f t="shared" ca="1" si="1307"/>
        <v>0</v>
      </c>
      <c r="AR483" s="2120">
        <f t="shared" ca="1" si="1308"/>
        <v>0</v>
      </c>
      <c r="AS483" s="2120">
        <f t="shared" ca="1" si="1308"/>
        <v>0</v>
      </c>
      <c r="AT483" s="2120">
        <f t="shared" ca="1" si="1308"/>
        <v>0</v>
      </c>
      <c r="AU483" s="2120">
        <f t="shared" ca="1" si="1308"/>
        <v>0</v>
      </c>
      <c r="AV483" s="2120">
        <f t="shared" ca="1" si="1308"/>
        <v>0</v>
      </c>
      <c r="AW483" s="2120">
        <f t="shared" ca="1" si="1308"/>
        <v>0</v>
      </c>
      <c r="AX483" s="2120">
        <f t="shared" ca="1" si="1308"/>
        <v>0</v>
      </c>
      <c r="AY483" s="2120">
        <f t="shared" ca="1" si="1308"/>
        <v>0</v>
      </c>
      <c r="AZ483" s="2120">
        <f t="shared" ca="1" si="1308"/>
        <v>0</v>
      </c>
      <c r="BA483" s="2120">
        <f t="shared" ca="1" si="1308"/>
        <v>0</v>
      </c>
      <c r="BB483" s="2120">
        <f t="shared" ca="1" si="1308"/>
        <v>0</v>
      </c>
      <c r="BC483" s="2120">
        <f t="shared" ca="1" si="1308"/>
        <v>0</v>
      </c>
      <c r="BD483" s="2120">
        <f t="shared" ca="1" si="1308"/>
        <v>0</v>
      </c>
      <c r="BE483" s="2120">
        <f t="shared" ca="1" si="1308"/>
        <v>0</v>
      </c>
      <c r="BF483" s="2120">
        <f t="shared" ca="1" si="1308"/>
        <v>0</v>
      </c>
      <c r="BG483" s="2120">
        <f t="shared" ca="1" si="1308"/>
        <v>0</v>
      </c>
      <c r="BH483" s="2120">
        <f t="shared" ca="1" si="1309"/>
        <v>0</v>
      </c>
      <c r="BI483" s="2120">
        <f t="shared" ca="1" si="1309"/>
        <v>0</v>
      </c>
      <c r="BJ483" s="2120">
        <f t="shared" ca="1" si="1309"/>
        <v>0</v>
      </c>
      <c r="BK483" s="2120">
        <f t="shared" ca="1" si="1309"/>
        <v>0</v>
      </c>
      <c r="BL483" s="2120">
        <f t="shared" ca="1" si="1309"/>
        <v>0</v>
      </c>
      <c r="BM483" s="2120">
        <f t="shared" ca="1" si="1309"/>
        <v>0</v>
      </c>
      <c r="BN483" s="2120">
        <f t="shared" ca="1" si="1309"/>
        <v>0</v>
      </c>
      <c r="BO483" s="2120">
        <f t="shared" ca="1" si="1309"/>
        <v>0</v>
      </c>
      <c r="BP483" s="2120">
        <f t="shared" ca="1" si="1309"/>
        <v>0</v>
      </c>
      <c r="BQ483" s="2120">
        <f t="shared" ca="1" si="1309"/>
        <v>0</v>
      </c>
      <c r="BR483" s="2120">
        <f t="shared" ca="1" si="1309"/>
        <v>0</v>
      </c>
      <c r="BS483" s="2120">
        <f t="shared" ca="1" si="1309"/>
        <v>0</v>
      </c>
      <c r="BT483" s="2120">
        <f t="shared" ca="1" si="1309"/>
        <v>0</v>
      </c>
      <c r="BU483" s="2120">
        <f t="shared" ca="1" si="1309"/>
        <v>0</v>
      </c>
      <c r="BV483" s="2120">
        <f t="shared" ca="1" si="1309"/>
        <v>0</v>
      </c>
      <c r="BW483" s="2120">
        <f t="shared" ca="1" si="1309"/>
        <v>0</v>
      </c>
      <c r="BX483" s="2120">
        <f t="shared" ca="1" si="1310"/>
        <v>0</v>
      </c>
      <c r="BY483" s="2120">
        <f t="shared" ca="1" si="1310"/>
        <v>0</v>
      </c>
      <c r="BZ483" s="2120">
        <f t="shared" ca="1" si="1310"/>
        <v>0</v>
      </c>
      <c r="CA483" s="2120">
        <f t="shared" ca="1" si="1310"/>
        <v>0</v>
      </c>
      <c r="CB483" s="2120">
        <f t="shared" ca="1" si="1310"/>
        <v>0</v>
      </c>
      <c r="CC483" s="2120">
        <f t="shared" ca="1" si="1310"/>
        <v>0</v>
      </c>
      <c r="CD483" s="2120">
        <f t="shared" ca="1" si="1310"/>
        <v>0</v>
      </c>
      <c r="CE483" s="2120">
        <f t="shared" ca="1" si="1310"/>
        <v>0</v>
      </c>
      <c r="CF483" s="2120">
        <f t="shared" ca="1" si="1310"/>
        <v>0</v>
      </c>
      <c r="CG483" s="2120">
        <f t="shared" ca="1" si="1310"/>
        <v>0</v>
      </c>
      <c r="CH483" s="2120">
        <f t="shared" ca="1" si="1310"/>
        <v>0</v>
      </c>
      <c r="CI483" s="2120">
        <f t="shared" ca="1" si="1310"/>
        <v>0</v>
      </c>
      <c r="CJ483" s="2120">
        <f t="shared" ca="1" si="1310"/>
        <v>0</v>
      </c>
      <c r="CK483" s="2120">
        <f t="shared" ca="1" si="1310"/>
        <v>0</v>
      </c>
      <c r="CL483" s="2120">
        <f t="shared" ca="1" si="1310"/>
        <v>0</v>
      </c>
      <c r="CM483" s="2120">
        <f t="shared" ca="1" si="1310"/>
        <v>0</v>
      </c>
      <c r="CN483" s="2120">
        <f t="shared" ca="1" si="1311"/>
        <v>0</v>
      </c>
      <c r="CO483" s="2120">
        <f t="shared" ca="1" si="1311"/>
        <v>0</v>
      </c>
      <c r="CP483" s="2120">
        <f t="shared" ca="1" si="1311"/>
        <v>0</v>
      </c>
      <c r="CQ483" s="2120">
        <f t="shared" ca="1" si="1311"/>
        <v>0</v>
      </c>
      <c r="CR483" s="2120">
        <f t="shared" ca="1" si="1311"/>
        <v>0</v>
      </c>
      <c r="CS483" s="2120">
        <f t="shared" ca="1" si="1311"/>
        <v>0</v>
      </c>
      <c r="CT483" s="2120">
        <f t="shared" ca="1" si="1311"/>
        <v>0</v>
      </c>
      <c r="CU483" s="2120">
        <f t="shared" ca="1" si="1311"/>
        <v>0</v>
      </c>
      <c r="CV483" s="2120">
        <f t="shared" ca="1" si="1311"/>
        <v>0</v>
      </c>
      <c r="CW483" s="2120">
        <f t="shared" ca="1" si="1311"/>
        <v>0</v>
      </c>
      <c r="CX483" s="2120">
        <f t="shared" ca="1" si="1311"/>
        <v>0</v>
      </c>
      <c r="CY483" s="2120">
        <f t="shared" ca="1" si="1311"/>
        <v>0</v>
      </c>
      <c r="CZ483" s="2120">
        <f t="shared" ca="1" si="1311"/>
        <v>0</v>
      </c>
      <c r="DA483" s="2120">
        <f t="shared" ca="1" si="1311"/>
        <v>0</v>
      </c>
      <c r="DB483" s="2120">
        <f t="shared" ca="1" si="1311"/>
        <v>0</v>
      </c>
      <c r="DC483" s="2120">
        <f t="shared" ca="1" si="1311"/>
        <v>0</v>
      </c>
      <c r="DD483" s="2120">
        <f t="shared" ca="1" si="1312"/>
        <v>0</v>
      </c>
      <c r="DE483" s="2120">
        <f t="shared" ca="1" si="1312"/>
        <v>0</v>
      </c>
      <c r="DF483" s="2120">
        <f t="shared" ca="1" si="1312"/>
        <v>0</v>
      </c>
      <c r="DG483" s="2120">
        <f t="shared" ca="1" si="1312"/>
        <v>0</v>
      </c>
      <c r="DH483" s="2120">
        <f t="shared" ca="1" si="1312"/>
        <v>0</v>
      </c>
      <c r="DI483" s="2120">
        <f t="shared" ca="1" si="1312"/>
        <v>0</v>
      </c>
      <c r="DJ483" s="2120">
        <f t="shared" ca="1" si="1312"/>
        <v>0</v>
      </c>
      <c r="DK483" s="2120">
        <f t="shared" ca="1" si="1312"/>
        <v>0</v>
      </c>
      <c r="DL483" s="2120">
        <f t="shared" ca="1" si="1312"/>
        <v>0</v>
      </c>
      <c r="DM483" s="2120">
        <f t="shared" ca="1" si="1312"/>
        <v>0</v>
      </c>
      <c r="DN483" s="2120">
        <f t="shared" ca="1" si="1312"/>
        <v>0</v>
      </c>
      <c r="DO483" s="2120">
        <f t="shared" ca="1" si="1312"/>
        <v>0</v>
      </c>
      <c r="DP483" s="2120">
        <f t="shared" ca="1" si="1312"/>
        <v>0</v>
      </c>
    </row>
    <row r="484" spans="1:120" s="1915" customFormat="1" hidden="1" outlineLevel="1">
      <c r="A484" s="1895">
        <v>1110053035</v>
      </c>
      <c r="B484" s="1896"/>
      <c r="C484" s="1897" t="s">
        <v>64</v>
      </c>
      <c r="D484" s="1898"/>
      <c r="E484" s="1899"/>
      <c r="F484" s="1279"/>
      <c r="G484" s="1279"/>
      <c r="H484" s="1900"/>
      <c r="I484" s="1901"/>
      <c r="J484" s="1902">
        <v>1</v>
      </c>
      <c r="K484" s="1903">
        <v>1</v>
      </c>
      <c r="L484" s="1904"/>
      <c r="M484" s="1905">
        <f t="shared" ref="M484" si="1378">+L484*J484</f>
        <v>0</v>
      </c>
      <c r="N484" s="1906"/>
      <c r="O484" s="1907">
        <f t="shared" ref="O484" si="1379">+L484*J484*N484</f>
        <v>0</v>
      </c>
      <c r="P484" s="1908"/>
      <c r="Q484" s="1908">
        <f t="shared" ref="Q484" si="1380">+P484*K484</f>
        <v>0</v>
      </c>
      <c r="R484" s="1909"/>
      <c r="S484" s="1909"/>
      <c r="T484" s="1910">
        <f t="shared" ref="T484" si="1381">+P484*K484*S484</f>
        <v>0</v>
      </c>
      <c r="U484" s="1911">
        <f t="shared" ref="U484" si="1382">+L484+P484+F484</f>
        <v>0</v>
      </c>
      <c r="V484" s="1912">
        <f t="shared" ref="V484" si="1383">+P484*J484*R484+L484*J484*N484+F484*J484*H484</f>
        <v>0</v>
      </c>
      <c r="W484" s="1913">
        <f t="shared" ref="W484" si="1384">IF((-P484*J484*R484)-(-P484*K484*S484)&gt;0,(-P484*J484*R484)-(-P484*K484*S484),0)</f>
        <v>0</v>
      </c>
      <c r="X484" s="1102">
        <f t="shared" ref="X484" si="1385">IF((-P484*J484*R484)-(-P484*K484*S484)&lt;0,(-P484*J484*R484)-(-P484*K484*S484),0)</f>
        <v>0</v>
      </c>
      <c r="Y484" s="1914"/>
      <c r="Z484" s="220"/>
      <c r="AA484" s="2320">
        <f t="shared" ca="1" si="1321"/>
        <v>0</v>
      </c>
      <c r="AB484" s="2313">
        <f t="shared" ca="1" si="1307"/>
        <v>0</v>
      </c>
      <c r="AC484" s="2313">
        <f t="shared" ca="1" si="1307"/>
        <v>0</v>
      </c>
      <c r="AD484" s="2313">
        <f t="shared" ca="1" si="1307"/>
        <v>0</v>
      </c>
      <c r="AE484" s="2313">
        <f t="shared" ca="1" si="1307"/>
        <v>0</v>
      </c>
      <c r="AF484" s="2120">
        <f t="shared" ca="1" si="1307"/>
        <v>0</v>
      </c>
      <c r="AG484" s="2120">
        <f t="shared" ca="1" si="1307"/>
        <v>0</v>
      </c>
      <c r="AH484" s="2120">
        <f t="shared" ca="1" si="1307"/>
        <v>0</v>
      </c>
      <c r="AI484" s="2120">
        <f t="shared" ca="1" si="1307"/>
        <v>0</v>
      </c>
      <c r="AJ484" s="2120">
        <f t="shared" ca="1" si="1307"/>
        <v>0</v>
      </c>
      <c r="AK484" s="2120">
        <f t="shared" ca="1" si="1307"/>
        <v>0</v>
      </c>
      <c r="AL484" s="2314">
        <f t="shared" ca="1" si="1307"/>
        <v>0</v>
      </c>
      <c r="AM484" s="2120">
        <f t="shared" ca="1" si="1307"/>
        <v>0</v>
      </c>
      <c r="AN484" s="2120">
        <f t="shared" ca="1" si="1307"/>
        <v>0</v>
      </c>
      <c r="AO484" s="2120">
        <f t="shared" ca="1" si="1307"/>
        <v>0</v>
      </c>
      <c r="AP484" s="2120">
        <f t="shared" ca="1" si="1307"/>
        <v>0</v>
      </c>
      <c r="AQ484" s="2120">
        <f t="shared" ca="1" si="1307"/>
        <v>0</v>
      </c>
      <c r="AR484" s="2120">
        <f t="shared" ca="1" si="1308"/>
        <v>0</v>
      </c>
      <c r="AS484" s="2120">
        <f t="shared" ca="1" si="1308"/>
        <v>0</v>
      </c>
      <c r="AT484" s="2120">
        <f t="shared" ca="1" si="1308"/>
        <v>0</v>
      </c>
      <c r="AU484" s="2120">
        <f t="shared" ca="1" si="1308"/>
        <v>0</v>
      </c>
      <c r="AV484" s="2120">
        <f t="shared" ca="1" si="1308"/>
        <v>0</v>
      </c>
      <c r="AW484" s="2120">
        <f t="shared" ca="1" si="1308"/>
        <v>0</v>
      </c>
      <c r="AX484" s="2120">
        <f t="shared" ca="1" si="1308"/>
        <v>0</v>
      </c>
      <c r="AY484" s="2120">
        <f t="shared" ca="1" si="1308"/>
        <v>0</v>
      </c>
      <c r="AZ484" s="2120">
        <f t="shared" ca="1" si="1308"/>
        <v>0</v>
      </c>
      <c r="BA484" s="2120">
        <f t="shared" ca="1" si="1308"/>
        <v>0</v>
      </c>
      <c r="BB484" s="2120">
        <f t="shared" ca="1" si="1308"/>
        <v>0</v>
      </c>
      <c r="BC484" s="2120">
        <f t="shared" ca="1" si="1308"/>
        <v>0</v>
      </c>
      <c r="BD484" s="2120">
        <f t="shared" ca="1" si="1308"/>
        <v>0</v>
      </c>
      <c r="BE484" s="2120">
        <f t="shared" ca="1" si="1308"/>
        <v>0</v>
      </c>
      <c r="BF484" s="2120">
        <f t="shared" ca="1" si="1308"/>
        <v>0</v>
      </c>
      <c r="BG484" s="2120">
        <f t="shared" ca="1" si="1308"/>
        <v>0</v>
      </c>
      <c r="BH484" s="2120">
        <f t="shared" ca="1" si="1309"/>
        <v>0</v>
      </c>
      <c r="BI484" s="2120">
        <f t="shared" ca="1" si="1309"/>
        <v>0</v>
      </c>
      <c r="BJ484" s="2120">
        <f t="shared" ca="1" si="1309"/>
        <v>0</v>
      </c>
      <c r="BK484" s="2120">
        <f t="shared" ca="1" si="1309"/>
        <v>0</v>
      </c>
      <c r="BL484" s="2120">
        <f t="shared" ca="1" si="1309"/>
        <v>0</v>
      </c>
      <c r="BM484" s="2120">
        <f t="shared" ca="1" si="1309"/>
        <v>0</v>
      </c>
      <c r="BN484" s="2120">
        <f t="shared" ca="1" si="1309"/>
        <v>0</v>
      </c>
      <c r="BO484" s="2120">
        <f t="shared" ca="1" si="1309"/>
        <v>0</v>
      </c>
      <c r="BP484" s="2120">
        <f t="shared" ca="1" si="1309"/>
        <v>0</v>
      </c>
      <c r="BQ484" s="2120">
        <f t="shared" ca="1" si="1309"/>
        <v>0</v>
      </c>
      <c r="BR484" s="2120">
        <f t="shared" ca="1" si="1309"/>
        <v>0</v>
      </c>
      <c r="BS484" s="2120">
        <f t="shared" ca="1" si="1309"/>
        <v>0</v>
      </c>
      <c r="BT484" s="2120">
        <f t="shared" ca="1" si="1309"/>
        <v>0</v>
      </c>
      <c r="BU484" s="2120">
        <f t="shared" ca="1" si="1309"/>
        <v>0</v>
      </c>
      <c r="BV484" s="2120">
        <f t="shared" ca="1" si="1309"/>
        <v>0</v>
      </c>
      <c r="BW484" s="2120">
        <f t="shared" ca="1" si="1309"/>
        <v>0</v>
      </c>
      <c r="BX484" s="2120">
        <f t="shared" ca="1" si="1310"/>
        <v>0</v>
      </c>
      <c r="BY484" s="2120">
        <f t="shared" ca="1" si="1310"/>
        <v>0</v>
      </c>
      <c r="BZ484" s="2120">
        <f t="shared" ca="1" si="1310"/>
        <v>0</v>
      </c>
      <c r="CA484" s="2120">
        <f t="shared" ca="1" si="1310"/>
        <v>0</v>
      </c>
      <c r="CB484" s="2120">
        <f t="shared" ca="1" si="1310"/>
        <v>0</v>
      </c>
      <c r="CC484" s="2120">
        <f t="shared" ca="1" si="1310"/>
        <v>0</v>
      </c>
      <c r="CD484" s="2120">
        <f t="shared" ca="1" si="1310"/>
        <v>0</v>
      </c>
      <c r="CE484" s="2120">
        <f t="shared" ca="1" si="1310"/>
        <v>0</v>
      </c>
      <c r="CF484" s="2120">
        <f t="shared" ca="1" si="1310"/>
        <v>0</v>
      </c>
      <c r="CG484" s="2120">
        <f t="shared" ca="1" si="1310"/>
        <v>0</v>
      </c>
      <c r="CH484" s="2120">
        <f t="shared" ca="1" si="1310"/>
        <v>0</v>
      </c>
      <c r="CI484" s="2120">
        <f t="shared" ca="1" si="1310"/>
        <v>0</v>
      </c>
      <c r="CJ484" s="2120">
        <f t="shared" ca="1" si="1310"/>
        <v>0</v>
      </c>
      <c r="CK484" s="2120">
        <f t="shared" ca="1" si="1310"/>
        <v>0</v>
      </c>
      <c r="CL484" s="2120">
        <f t="shared" ca="1" si="1310"/>
        <v>0</v>
      </c>
      <c r="CM484" s="2120">
        <f t="shared" ca="1" si="1310"/>
        <v>0</v>
      </c>
      <c r="CN484" s="2120">
        <f t="shared" ca="1" si="1311"/>
        <v>0</v>
      </c>
      <c r="CO484" s="2120">
        <f t="shared" ca="1" si="1311"/>
        <v>0</v>
      </c>
      <c r="CP484" s="2120">
        <f t="shared" ca="1" si="1311"/>
        <v>0</v>
      </c>
      <c r="CQ484" s="2120">
        <f t="shared" ca="1" si="1311"/>
        <v>0</v>
      </c>
      <c r="CR484" s="2120">
        <f t="shared" ca="1" si="1311"/>
        <v>0</v>
      </c>
      <c r="CS484" s="2120">
        <f t="shared" ca="1" si="1311"/>
        <v>0</v>
      </c>
      <c r="CT484" s="2120">
        <f t="shared" ca="1" si="1311"/>
        <v>0</v>
      </c>
      <c r="CU484" s="2120">
        <f t="shared" ca="1" si="1311"/>
        <v>0</v>
      </c>
      <c r="CV484" s="2120">
        <f t="shared" ca="1" si="1311"/>
        <v>0</v>
      </c>
      <c r="CW484" s="2120">
        <f t="shared" ca="1" si="1311"/>
        <v>0</v>
      </c>
      <c r="CX484" s="2120">
        <f t="shared" ca="1" si="1311"/>
        <v>0</v>
      </c>
      <c r="CY484" s="2120">
        <f t="shared" ca="1" si="1311"/>
        <v>0</v>
      </c>
      <c r="CZ484" s="2120">
        <f t="shared" ca="1" si="1311"/>
        <v>0</v>
      </c>
      <c r="DA484" s="2120">
        <f t="shared" ca="1" si="1311"/>
        <v>0</v>
      </c>
      <c r="DB484" s="2120">
        <f t="shared" ca="1" si="1311"/>
        <v>0</v>
      </c>
      <c r="DC484" s="2120">
        <f t="shared" ca="1" si="1311"/>
        <v>0</v>
      </c>
      <c r="DD484" s="2120">
        <f t="shared" ca="1" si="1312"/>
        <v>0</v>
      </c>
      <c r="DE484" s="2120">
        <f t="shared" ca="1" si="1312"/>
        <v>0</v>
      </c>
      <c r="DF484" s="2120">
        <f t="shared" ca="1" si="1312"/>
        <v>0</v>
      </c>
      <c r="DG484" s="2120">
        <f t="shared" ca="1" si="1312"/>
        <v>0</v>
      </c>
      <c r="DH484" s="2120">
        <f t="shared" ca="1" si="1312"/>
        <v>0</v>
      </c>
      <c r="DI484" s="2120">
        <f t="shared" ca="1" si="1312"/>
        <v>0</v>
      </c>
      <c r="DJ484" s="2120">
        <f t="shared" ca="1" si="1312"/>
        <v>0</v>
      </c>
      <c r="DK484" s="2120">
        <f t="shared" ca="1" si="1312"/>
        <v>0</v>
      </c>
      <c r="DL484" s="2120">
        <f t="shared" ca="1" si="1312"/>
        <v>0</v>
      </c>
      <c r="DM484" s="2120">
        <f t="shared" ca="1" si="1312"/>
        <v>0</v>
      </c>
      <c r="DN484" s="2120">
        <f t="shared" ca="1" si="1312"/>
        <v>0</v>
      </c>
      <c r="DO484" s="2120">
        <f t="shared" ca="1" si="1312"/>
        <v>0</v>
      </c>
      <c r="DP484" s="2120">
        <f t="shared" ca="1" si="1312"/>
        <v>0</v>
      </c>
    </row>
    <row r="485" spans="1:120" s="1915" customFormat="1" hidden="1" outlineLevel="1">
      <c r="A485" s="1895">
        <v>1110053035</v>
      </c>
      <c r="B485" s="1896"/>
      <c r="C485" s="1897" t="s">
        <v>64</v>
      </c>
      <c r="D485" s="1898"/>
      <c r="E485" s="1899"/>
      <c r="F485" s="1279"/>
      <c r="G485" s="1279"/>
      <c r="H485" s="1900"/>
      <c r="I485" s="1901"/>
      <c r="J485" s="1902">
        <v>1</v>
      </c>
      <c r="K485" s="1903">
        <v>1</v>
      </c>
      <c r="L485" s="1904"/>
      <c r="M485" s="1905">
        <f t="shared" ref="M485" si="1386">+L485*J485</f>
        <v>0</v>
      </c>
      <c r="N485" s="1906"/>
      <c r="O485" s="1907">
        <f t="shared" ref="O485" si="1387">+L485*J485*N485</f>
        <v>0</v>
      </c>
      <c r="P485" s="1908"/>
      <c r="Q485" s="1908">
        <f t="shared" ref="Q485" si="1388">+P485*K485</f>
        <v>0</v>
      </c>
      <c r="R485" s="1909"/>
      <c r="S485" s="1909"/>
      <c r="T485" s="1910">
        <f t="shared" ref="T485" si="1389">+P485*K485*S485</f>
        <v>0</v>
      </c>
      <c r="U485" s="1911">
        <f t="shared" ref="U485" si="1390">+L485+P485+F485</f>
        <v>0</v>
      </c>
      <c r="V485" s="1912">
        <f t="shared" ref="V485" si="1391">+P485*J485*R485+L485*J485*N485+F485*J485*H485</f>
        <v>0</v>
      </c>
      <c r="W485" s="1913">
        <f t="shared" ref="W485" si="1392">IF((-P485*J485*R485)-(-P485*K485*S485)&gt;0,(-P485*J485*R485)-(-P485*K485*S485),0)</f>
        <v>0</v>
      </c>
      <c r="X485" s="1102">
        <f t="shared" ref="X485" si="1393">IF((-P485*J485*R485)-(-P485*K485*S485)&lt;0,(-P485*J485*R485)-(-P485*K485*S485),0)</f>
        <v>0</v>
      </c>
      <c r="Y485" s="1914"/>
      <c r="Z485" s="220"/>
      <c r="AA485" s="2320">
        <f t="shared" ca="1" si="1321"/>
        <v>0</v>
      </c>
      <c r="AB485" s="2313">
        <f t="shared" ca="1" si="1307"/>
        <v>0</v>
      </c>
      <c r="AC485" s="2313">
        <f t="shared" ca="1" si="1307"/>
        <v>0</v>
      </c>
      <c r="AD485" s="2313">
        <f t="shared" ca="1" si="1307"/>
        <v>0</v>
      </c>
      <c r="AE485" s="2313">
        <f t="shared" ca="1" si="1307"/>
        <v>0</v>
      </c>
      <c r="AF485" s="2120">
        <f t="shared" ca="1" si="1307"/>
        <v>0</v>
      </c>
      <c r="AG485" s="2120">
        <f t="shared" ca="1" si="1307"/>
        <v>0</v>
      </c>
      <c r="AH485" s="2120">
        <f t="shared" ca="1" si="1307"/>
        <v>0</v>
      </c>
      <c r="AI485" s="2120">
        <f t="shared" ca="1" si="1307"/>
        <v>0</v>
      </c>
      <c r="AJ485" s="2120">
        <f t="shared" ca="1" si="1307"/>
        <v>0</v>
      </c>
      <c r="AK485" s="2120">
        <f t="shared" ca="1" si="1307"/>
        <v>0</v>
      </c>
      <c r="AL485" s="2314">
        <f t="shared" ca="1" si="1307"/>
        <v>0</v>
      </c>
      <c r="AM485" s="2120">
        <f t="shared" ca="1" si="1307"/>
        <v>0</v>
      </c>
      <c r="AN485" s="2120">
        <f t="shared" ca="1" si="1307"/>
        <v>0</v>
      </c>
      <c r="AO485" s="2120">
        <f t="shared" ca="1" si="1307"/>
        <v>0</v>
      </c>
      <c r="AP485" s="2120">
        <f t="shared" ca="1" si="1307"/>
        <v>0</v>
      </c>
      <c r="AQ485" s="2120">
        <f t="shared" ref="AQ485:BF487" ca="1" si="1394">IF($R485=AQ$6,$Q485,0)</f>
        <v>0</v>
      </c>
      <c r="AR485" s="2120">
        <f t="shared" ca="1" si="1308"/>
        <v>0</v>
      </c>
      <c r="AS485" s="2120">
        <f t="shared" ca="1" si="1308"/>
        <v>0</v>
      </c>
      <c r="AT485" s="2120">
        <f t="shared" ca="1" si="1308"/>
        <v>0</v>
      </c>
      <c r="AU485" s="2120">
        <f t="shared" ca="1" si="1308"/>
        <v>0</v>
      </c>
      <c r="AV485" s="2120">
        <f t="shared" ca="1" si="1308"/>
        <v>0</v>
      </c>
      <c r="AW485" s="2120">
        <f t="shared" ca="1" si="1308"/>
        <v>0</v>
      </c>
      <c r="AX485" s="2120">
        <f t="shared" ca="1" si="1308"/>
        <v>0</v>
      </c>
      <c r="AY485" s="2120">
        <f t="shared" ca="1" si="1308"/>
        <v>0</v>
      </c>
      <c r="AZ485" s="2120">
        <f t="shared" ca="1" si="1308"/>
        <v>0</v>
      </c>
      <c r="BA485" s="2120">
        <f t="shared" ca="1" si="1308"/>
        <v>0</v>
      </c>
      <c r="BB485" s="2120">
        <f t="shared" ca="1" si="1308"/>
        <v>0</v>
      </c>
      <c r="BC485" s="2120">
        <f t="shared" ca="1" si="1308"/>
        <v>0</v>
      </c>
      <c r="BD485" s="2120">
        <f t="shared" ca="1" si="1308"/>
        <v>0</v>
      </c>
      <c r="BE485" s="2120">
        <f t="shared" ca="1" si="1308"/>
        <v>0</v>
      </c>
      <c r="BF485" s="2120">
        <f t="shared" ca="1" si="1308"/>
        <v>0</v>
      </c>
      <c r="BG485" s="2120">
        <f t="shared" ref="BG485:BV487" ca="1" si="1395">IF($R485=BG$6,$Q485,0)</f>
        <v>0</v>
      </c>
      <c r="BH485" s="2120">
        <f t="shared" ca="1" si="1309"/>
        <v>0</v>
      </c>
      <c r="BI485" s="2120">
        <f t="shared" ca="1" si="1309"/>
        <v>0</v>
      </c>
      <c r="BJ485" s="2120">
        <f t="shared" ca="1" si="1309"/>
        <v>0</v>
      </c>
      <c r="BK485" s="2120">
        <f t="shared" ca="1" si="1309"/>
        <v>0</v>
      </c>
      <c r="BL485" s="2120">
        <f t="shared" ca="1" si="1309"/>
        <v>0</v>
      </c>
      <c r="BM485" s="2120">
        <f t="shared" ca="1" si="1309"/>
        <v>0</v>
      </c>
      <c r="BN485" s="2120">
        <f t="shared" ca="1" si="1309"/>
        <v>0</v>
      </c>
      <c r="BO485" s="2120">
        <f t="shared" ca="1" si="1309"/>
        <v>0</v>
      </c>
      <c r="BP485" s="2120">
        <f t="shared" ca="1" si="1309"/>
        <v>0</v>
      </c>
      <c r="BQ485" s="2120">
        <f t="shared" ca="1" si="1309"/>
        <v>0</v>
      </c>
      <c r="BR485" s="2120">
        <f t="shared" ca="1" si="1309"/>
        <v>0</v>
      </c>
      <c r="BS485" s="2120">
        <f t="shared" ca="1" si="1309"/>
        <v>0</v>
      </c>
      <c r="BT485" s="2120">
        <f t="shared" ca="1" si="1309"/>
        <v>0</v>
      </c>
      <c r="BU485" s="2120">
        <f t="shared" ca="1" si="1309"/>
        <v>0</v>
      </c>
      <c r="BV485" s="2120">
        <f t="shared" ca="1" si="1309"/>
        <v>0</v>
      </c>
      <c r="BW485" s="2120">
        <f t="shared" ref="BW485:CL487" ca="1" si="1396">IF($R485=BW$6,$Q485,0)</f>
        <v>0</v>
      </c>
      <c r="BX485" s="2120">
        <f t="shared" ca="1" si="1310"/>
        <v>0</v>
      </c>
      <c r="BY485" s="2120">
        <f t="shared" ca="1" si="1310"/>
        <v>0</v>
      </c>
      <c r="BZ485" s="2120">
        <f t="shared" ca="1" si="1310"/>
        <v>0</v>
      </c>
      <c r="CA485" s="2120">
        <f t="shared" ca="1" si="1310"/>
        <v>0</v>
      </c>
      <c r="CB485" s="2120">
        <f t="shared" ca="1" si="1310"/>
        <v>0</v>
      </c>
      <c r="CC485" s="2120">
        <f t="shared" ca="1" si="1310"/>
        <v>0</v>
      </c>
      <c r="CD485" s="2120">
        <f t="shared" ca="1" si="1310"/>
        <v>0</v>
      </c>
      <c r="CE485" s="2120">
        <f t="shared" ca="1" si="1310"/>
        <v>0</v>
      </c>
      <c r="CF485" s="2120">
        <f t="shared" ca="1" si="1310"/>
        <v>0</v>
      </c>
      <c r="CG485" s="2120">
        <f t="shared" ca="1" si="1310"/>
        <v>0</v>
      </c>
      <c r="CH485" s="2120">
        <f t="shared" ca="1" si="1310"/>
        <v>0</v>
      </c>
      <c r="CI485" s="2120">
        <f t="shared" ca="1" si="1310"/>
        <v>0</v>
      </c>
      <c r="CJ485" s="2120">
        <f t="shared" ca="1" si="1310"/>
        <v>0</v>
      </c>
      <c r="CK485" s="2120">
        <f t="shared" ca="1" si="1310"/>
        <v>0</v>
      </c>
      <c r="CL485" s="2120">
        <f t="shared" ca="1" si="1310"/>
        <v>0</v>
      </c>
      <c r="CM485" s="2120">
        <f t="shared" ref="CM485:DB487" ca="1" si="1397">IF($R485=CM$6,$Q485,0)</f>
        <v>0</v>
      </c>
      <c r="CN485" s="2120">
        <f t="shared" ca="1" si="1311"/>
        <v>0</v>
      </c>
      <c r="CO485" s="2120">
        <f t="shared" ca="1" si="1311"/>
        <v>0</v>
      </c>
      <c r="CP485" s="2120">
        <f t="shared" ca="1" si="1311"/>
        <v>0</v>
      </c>
      <c r="CQ485" s="2120">
        <f t="shared" ca="1" si="1311"/>
        <v>0</v>
      </c>
      <c r="CR485" s="2120">
        <f t="shared" ca="1" si="1311"/>
        <v>0</v>
      </c>
      <c r="CS485" s="2120">
        <f t="shared" ca="1" si="1311"/>
        <v>0</v>
      </c>
      <c r="CT485" s="2120">
        <f t="shared" ca="1" si="1311"/>
        <v>0</v>
      </c>
      <c r="CU485" s="2120">
        <f t="shared" ca="1" si="1311"/>
        <v>0</v>
      </c>
      <c r="CV485" s="2120">
        <f t="shared" ca="1" si="1311"/>
        <v>0</v>
      </c>
      <c r="CW485" s="2120">
        <f t="shared" ca="1" si="1311"/>
        <v>0</v>
      </c>
      <c r="CX485" s="2120">
        <f t="shared" ca="1" si="1311"/>
        <v>0</v>
      </c>
      <c r="CY485" s="2120">
        <f t="shared" ca="1" si="1311"/>
        <v>0</v>
      </c>
      <c r="CZ485" s="2120">
        <f t="shared" ca="1" si="1311"/>
        <v>0</v>
      </c>
      <c r="DA485" s="2120">
        <f t="shared" ca="1" si="1311"/>
        <v>0</v>
      </c>
      <c r="DB485" s="2120">
        <f t="shared" ca="1" si="1311"/>
        <v>0</v>
      </c>
      <c r="DC485" s="2120">
        <f t="shared" ref="DC485:DP487" ca="1" si="1398">IF($R485=DC$6,$Q485,0)</f>
        <v>0</v>
      </c>
      <c r="DD485" s="2120">
        <f t="shared" ca="1" si="1312"/>
        <v>0</v>
      </c>
      <c r="DE485" s="2120">
        <f t="shared" ca="1" si="1312"/>
        <v>0</v>
      </c>
      <c r="DF485" s="2120">
        <f t="shared" ca="1" si="1312"/>
        <v>0</v>
      </c>
      <c r="DG485" s="2120">
        <f t="shared" ca="1" si="1312"/>
        <v>0</v>
      </c>
      <c r="DH485" s="2120">
        <f t="shared" ca="1" si="1312"/>
        <v>0</v>
      </c>
      <c r="DI485" s="2120">
        <f t="shared" ca="1" si="1312"/>
        <v>0</v>
      </c>
      <c r="DJ485" s="2120">
        <f t="shared" ca="1" si="1312"/>
        <v>0</v>
      </c>
      <c r="DK485" s="2120">
        <f t="shared" ca="1" si="1312"/>
        <v>0</v>
      </c>
      <c r="DL485" s="2120">
        <f t="shared" ca="1" si="1312"/>
        <v>0</v>
      </c>
      <c r="DM485" s="2120">
        <f t="shared" ca="1" si="1312"/>
        <v>0</v>
      </c>
      <c r="DN485" s="2120">
        <f t="shared" ca="1" si="1312"/>
        <v>0</v>
      </c>
      <c r="DO485" s="2120">
        <f t="shared" ca="1" si="1312"/>
        <v>0</v>
      </c>
      <c r="DP485" s="2120">
        <f t="shared" ca="1" si="1312"/>
        <v>0</v>
      </c>
    </row>
    <row r="486" spans="1:120" s="1915" customFormat="1" hidden="1" outlineLevel="1">
      <c r="A486" s="1895">
        <v>1110053035</v>
      </c>
      <c r="B486" s="1896"/>
      <c r="C486" s="1897" t="s">
        <v>64</v>
      </c>
      <c r="D486" s="1898"/>
      <c r="E486" s="1899"/>
      <c r="F486" s="1279"/>
      <c r="G486" s="1279"/>
      <c r="H486" s="1900"/>
      <c r="I486" s="1901"/>
      <c r="J486" s="1902">
        <v>1</v>
      </c>
      <c r="K486" s="1903">
        <v>1</v>
      </c>
      <c r="L486" s="1904"/>
      <c r="M486" s="1905">
        <f t="shared" ref="M486" si="1399">+L486*J486</f>
        <v>0</v>
      </c>
      <c r="N486" s="1906"/>
      <c r="O486" s="1907">
        <f t="shared" ref="O486" si="1400">+L486*J486*N486</f>
        <v>0</v>
      </c>
      <c r="P486" s="1908"/>
      <c r="Q486" s="1908">
        <f t="shared" ref="Q486" si="1401">+P486*K486</f>
        <v>0</v>
      </c>
      <c r="R486" s="1909"/>
      <c r="S486" s="1909"/>
      <c r="T486" s="1910">
        <f t="shared" ref="T486" si="1402">+P486*K486*S486</f>
        <v>0</v>
      </c>
      <c r="U486" s="1911">
        <f t="shared" ref="U486" si="1403">+L486+P486+F486</f>
        <v>0</v>
      </c>
      <c r="V486" s="1912">
        <f t="shared" ref="V486" si="1404">+P486*J486*R486+L486*J486*N486+F486*J486*H486</f>
        <v>0</v>
      </c>
      <c r="W486" s="1913">
        <f t="shared" ref="W486" si="1405">IF((-P486*J486*R486)-(-P486*K486*S486)&gt;0,(-P486*J486*R486)-(-P486*K486*S486),0)</f>
        <v>0</v>
      </c>
      <c r="X486" s="1102">
        <f t="shared" ref="X486" si="1406">IF((-P486*J486*R486)-(-P486*K486*S486)&lt;0,(-P486*J486*R486)-(-P486*K486*S486),0)</f>
        <v>0</v>
      </c>
      <c r="Y486" s="1914"/>
      <c r="Z486" s="220"/>
      <c r="AA486" s="2320">
        <f t="shared" ca="1" si="1321"/>
        <v>0</v>
      </c>
      <c r="AB486" s="2313">
        <f t="shared" ca="1" si="1321"/>
        <v>0</v>
      </c>
      <c r="AC486" s="2313">
        <f t="shared" ca="1" si="1321"/>
        <v>0</v>
      </c>
      <c r="AD486" s="2313">
        <f t="shared" ca="1" si="1321"/>
        <v>0</v>
      </c>
      <c r="AE486" s="2313">
        <f t="shared" ca="1" si="1321"/>
        <v>0</v>
      </c>
      <c r="AF486" s="2120">
        <f t="shared" ca="1" si="1321"/>
        <v>0</v>
      </c>
      <c r="AG486" s="2120">
        <f t="shared" ca="1" si="1321"/>
        <v>0</v>
      </c>
      <c r="AH486" s="2120">
        <f t="shared" ca="1" si="1321"/>
        <v>0</v>
      </c>
      <c r="AI486" s="2120">
        <f t="shared" ca="1" si="1321"/>
        <v>0</v>
      </c>
      <c r="AJ486" s="2120">
        <f t="shared" ca="1" si="1321"/>
        <v>0</v>
      </c>
      <c r="AK486" s="2120">
        <f t="shared" ca="1" si="1321"/>
        <v>0</v>
      </c>
      <c r="AL486" s="2314">
        <f t="shared" ca="1" si="1321"/>
        <v>0</v>
      </c>
      <c r="AM486" s="2120">
        <f t="shared" ca="1" si="1321"/>
        <v>0</v>
      </c>
      <c r="AN486" s="2120">
        <f t="shared" ca="1" si="1321"/>
        <v>0</v>
      </c>
      <c r="AO486" s="2120">
        <f t="shared" ca="1" si="1321"/>
        <v>0</v>
      </c>
      <c r="AP486" s="2120">
        <f t="shared" ca="1" si="1321"/>
        <v>0</v>
      </c>
      <c r="AQ486" s="2120">
        <f t="shared" ca="1" si="1394"/>
        <v>0</v>
      </c>
      <c r="AR486" s="2120">
        <f t="shared" ca="1" si="1394"/>
        <v>0</v>
      </c>
      <c r="AS486" s="2120">
        <f t="shared" ca="1" si="1394"/>
        <v>0</v>
      </c>
      <c r="AT486" s="2120">
        <f t="shared" ca="1" si="1394"/>
        <v>0</v>
      </c>
      <c r="AU486" s="2120">
        <f t="shared" ca="1" si="1394"/>
        <v>0</v>
      </c>
      <c r="AV486" s="2120">
        <f t="shared" ca="1" si="1394"/>
        <v>0</v>
      </c>
      <c r="AW486" s="2120">
        <f t="shared" ca="1" si="1394"/>
        <v>0</v>
      </c>
      <c r="AX486" s="2120">
        <f t="shared" ca="1" si="1394"/>
        <v>0</v>
      </c>
      <c r="AY486" s="2120">
        <f t="shared" ca="1" si="1394"/>
        <v>0</v>
      </c>
      <c r="AZ486" s="2120">
        <f t="shared" ca="1" si="1394"/>
        <v>0</v>
      </c>
      <c r="BA486" s="2120">
        <f t="shared" ca="1" si="1394"/>
        <v>0</v>
      </c>
      <c r="BB486" s="2120">
        <f t="shared" ca="1" si="1394"/>
        <v>0</v>
      </c>
      <c r="BC486" s="2120">
        <f t="shared" ca="1" si="1394"/>
        <v>0</v>
      </c>
      <c r="BD486" s="2120">
        <f t="shared" ca="1" si="1394"/>
        <v>0</v>
      </c>
      <c r="BE486" s="2120">
        <f t="shared" ca="1" si="1394"/>
        <v>0</v>
      </c>
      <c r="BF486" s="2120">
        <f t="shared" ca="1" si="1394"/>
        <v>0</v>
      </c>
      <c r="BG486" s="2120">
        <f t="shared" ca="1" si="1395"/>
        <v>0</v>
      </c>
      <c r="BH486" s="2120">
        <f t="shared" ca="1" si="1395"/>
        <v>0</v>
      </c>
      <c r="BI486" s="2120">
        <f t="shared" ca="1" si="1395"/>
        <v>0</v>
      </c>
      <c r="BJ486" s="2120">
        <f t="shared" ca="1" si="1395"/>
        <v>0</v>
      </c>
      <c r="BK486" s="2120">
        <f t="shared" ca="1" si="1395"/>
        <v>0</v>
      </c>
      <c r="BL486" s="2120">
        <f t="shared" ca="1" si="1395"/>
        <v>0</v>
      </c>
      <c r="BM486" s="2120">
        <f t="shared" ca="1" si="1395"/>
        <v>0</v>
      </c>
      <c r="BN486" s="2120">
        <f t="shared" ca="1" si="1395"/>
        <v>0</v>
      </c>
      <c r="BO486" s="2120">
        <f t="shared" ca="1" si="1395"/>
        <v>0</v>
      </c>
      <c r="BP486" s="2120">
        <f t="shared" ca="1" si="1395"/>
        <v>0</v>
      </c>
      <c r="BQ486" s="2120">
        <f t="shared" ca="1" si="1395"/>
        <v>0</v>
      </c>
      <c r="BR486" s="2120">
        <f t="shared" ca="1" si="1395"/>
        <v>0</v>
      </c>
      <c r="BS486" s="2120">
        <f t="shared" ca="1" si="1395"/>
        <v>0</v>
      </c>
      <c r="BT486" s="2120">
        <f t="shared" ca="1" si="1395"/>
        <v>0</v>
      </c>
      <c r="BU486" s="2120">
        <f t="shared" ca="1" si="1395"/>
        <v>0</v>
      </c>
      <c r="BV486" s="2120">
        <f t="shared" ca="1" si="1395"/>
        <v>0</v>
      </c>
      <c r="BW486" s="2120">
        <f t="shared" ca="1" si="1396"/>
        <v>0</v>
      </c>
      <c r="BX486" s="2120">
        <f t="shared" ca="1" si="1396"/>
        <v>0</v>
      </c>
      <c r="BY486" s="2120">
        <f t="shared" ca="1" si="1396"/>
        <v>0</v>
      </c>
      <c r="BZ486" s="2120">
        <f t="shared" ca="1" si="1396"/>
        <v>0</v>
      </c>
      <c r="CA486" s="2120">
        <f t="shared" ca="1" si="1396"/>
        <v>0</v>
      </c>
      <c r="CB486" s="2120">
        <f t="shared" ca="1" si="1396"/>
        <v>0</v>
      </c>
      <c r="CC486" s="2120">
        <f t="shared" ca="1" si="1396"/>
        <v>0</v>
      </c>
      <c r="CD486" s="2120">
        <f t="shared" ca="1" si="1396"/>
        <v>0</v>
      </c>
      <c r="CE486" s="2120">
        <f t="shared" ca="1" si="1396"/>
        <v>0</v>
      </c>
      <c r="CF486" s="2120">
        <f t="shared" ca="1" si="1396"/>
        <v>0</v>
      </c>
      <c r="CG486" s="2120">
        <f t="shared" ca="1" si="1396"/>
        <v>0</v>
      </c>
      <c r="CH486" s="2120">
        <f t="shared" ca="1" si="1396"/>
        <v>0</v>
      </c>
      <c r="CI486" s="2120">
        <f t="shared" ca="1" si="1396"/>
        <v>0</v>
      </c>
      <c r="CJ486" s="2120">
        <f t="shared" ca="1" si="1396"/>
        <v>0</v>
      </c>
      <c r="CK486" s="2120">
        <f t="shared" ca="1" si="1396"/>
        <v>0</v>
      </c>
      <c r="CL486" s="2120">
        <f t="shared" ca="1" si="1396"/>
        <v>0</v>
      </c>
      <c r="CM486" s="2120">
        <f t="shared" ca="1" si="1397"/>
        <v>0</v>
      </c>
      <c r="CN486" s="2120">
        <f t="shared" ca="1" si="1397"/>
        <v>0</v>
      </c>
      <c r="CO486" s="2120">
        <f t="shared" ca="1" si="1397"/>
        <v>0</v>
      </c>
      <c r="CP486" s="2120">
        <f t="shared" ca="1" si="1397"/>
        <v>0</v>
      </c>
      <c r="CQ486" s="2120">
        <f t="shared" ca="1" si="1397"/>
        <v>0</v>
      </c>
      <c r="CR486" s="2120">
        <f t="shared" ca="1" si="1397"/>
        <v>0</v>
      </c>
      <c r="CS486" s="2120">
        <f t="shared" ca="1" si="1397"/>
        <v>0</v>
      </c>
      <c r="CT486" s="2120">
        <f t="shared" ca="1" si="1397"/>
        <v>0</v>
      </c>
      <c r="CU486" s="2120">
        <f t="shared" ca="1" si="1397"/>
        <v>0</v>
      </c>
      <c r="CV486" s="2120">
        <f t="shared" ca="1" si="1397"/>
        <v>0</v>
      </c>
      <c r="CW486" s="2120">
        <f t="shared" ca="1" si="1397"/>
        <v>0</v>
      </c>
      <c r="CX486" s="2120">
        <f t="shared" ca="1" si="1397"/>
        <v>0</v>
      </c>
      <c r="CY486" s="2120">
        <f t="shared" ca="1" si="1397"/>
        <v>0</v>
      </c>
      <c r="CZ486" s="2120">
        <f t="shared" ca="1" si="1397"/>
        <v>0</v>
      </c>
      <c r="DA486" s="2120">
        <f t="shared" ca="1" si="1397"/>
        <v>0</v>
      </c>
      <c r="DB486" s="2120">
        <f t="shared" ca="1" si="1397"/>
        <v>0</v>
      </c>
      <c r="DC486" s="2120">
        <f t="shared" ca="1" si="1398"/>
        <v>0</v>
      </c>
      <c r="DD486" s="2120">
        <f t="shared" ca="1" si="1398"/>
        <v>0</v>
      </c>
      <c r="DE486" s="2120">
        <f t="shared" ca="1" si="1398"/>
        <v>0</v>
      </c>
      <c r="DF486" s="2120">
        <f t="shared" ca="1" si="1398"/>
        <v>0</v>
      </c>
      <c r="DG486" s="2120">
        <f t="shared" ca="1" si="1398"/>
        <v>0</v>
      </c>
      <c r="DH486" s="2120">
        <f t="shared" ca="1" si="1398"/>
        <v>0</v>
      </c>
      <c r="DI486" s="2120">
        <f t="shared" ca="1" si="1398"/>
        <v>0</v>
      </c>
      <c r="DJ486" s="2120">
        <f t="shared" ca="1" si="1398"/>
        <v>0</v>
      </c>
      <c r="DK486" s="2120">
        <f t="shared" ca="1" si="1398"/>
        <v>0</v>
      </c>
      <c r="DL486" s="2120">
        <f t="shared" ca="1" si="1398"/>
        <v>0</v>
      </c>
      <c r="DM486" s="2120">
        <f t="shared" ca="1" si="1398"/>
        <v>0</v>
      </c>
      <c r="DN486" s="2120">
        <f t="shared" ca="1" si="1398"/>
        <v>0</v>
      </c>
      <c r="DO486" s="2120">
        <f t="shared" ca="1" si="1398"/>
        <v>0</v>
      </c>
      <c r="DP486" s="2120">
        <f t="shared" ca="1" si="1398"/>
        <v>0</v>
      </c>
    </row>
    <row r="487" spans="1:120" s="165" customFormat="1" hidden="1" outlineLevel="1">
      <c r="A487" s="162"/>
      <c r="B487" s="627"/>
      <c r="C487" s="839" t="s">
        <v>64</v>
      </c>
      <c r="D487" s="1486"/>
      <c r="E487" s="1487"/>
      <c r="F487" s="1264"/>
      <c r="G487" s="1264"/>
      <c r="H487" s="628"/>
      <c r="I487" s="629"/>
      <c r="J487" s="1425"/>
      <c r="K487" s="1426"/>
      <c r="L487" s="2"/>
      <c r="M487" s="1429">
        <f t="shared" si="1299"/>
        <v>0</v>
      </c>
      <c r="N487" s="630"/>
      <c r="O487" s="631">
        <f t="shared" si="1300"/>
        <v>0</v>
      </c>
      <c r="P487" s="1908"/>
      <c r="Q487" s="632">
        <f t="shared" si="1301"/>
        <v>0</v>
      </c>
      <c r="R487" s="633"/>
      <c r="S487" s="633"/>
      <c r="T487" s="634">
        <f t="shared" si="1302"/>
        <v>0</v>
      </c>
      <c r="U487" s="1492">
        <f t="shared" si="1303"/>
        <v>0</v>
      </c>
      <c r="V487" s="1494">
        <f t="shared" si="1306"/>
        <v>0</v>
      </c>
      <c r="W487" s="164">
        <f t="shared" si="1304"/>
        <v>0</v>
      </c>
      <c r="X487" s="635">
        <f t="shared" si="1305"/>
        <v>0</v>
      </c>
      <c r="Y487" s="636"/>
      <c r="Z487" s="14"/>
      <c r="AA487" s="2320">
        <f t="shared" ref="AA487:AP487" ca="1" si="1407">IF($R487=AA$6,$Q487,0)</f>
        <v>0</v>
      </c>
      <c r="AB487" s="2321">
        <f t="shared" ca="1" si="1407"/>
        <v>0</v>
      </c>
      <c r="AC487" s="2321">
        <f t="shared" ca="1" si="1407"/>
        <v>0</v>
      </c>
      <c r="AD487" s="2321">
        <f t="shared" ca="1" si="1407"/>
        <v>0</v>
      </c>
      <c r="AE487" s="2321">
        <f t="shared" ca="1" si="1407"/>
        <v>0</v>
      </c>
      <c r="AF487" s="637">
        <f t="shared" ca="1" si="1407"/>
        <v>0</v>
      </c>
      <c r="AG487" s="637">
        <f t="shared" ca="1" si="1407"/>
        <v>0</v>
      </c>
      <c r="AH487" s="637">
        <f t="shared" ca="1" si="1407"/>
        <v>0</v>
      </c>
      <c r="AI487" s="637">
        <f t="shared" ca="1" si="1407"/>
        <v>0</v>
      </c>
      <c r="AJ487" s="637">
        <f t="shared" ca="1" si="1407"/>
        <v>0</v>
      </c>
      <c r="AK487" s="637">
        <f t="shared" ca="1" si="1407"/>
        <v>0</v>
      </c>
      <c r="AL487" s="1571">
        <f t="shared" ca="1" si="1407"/>
        <v>0</v>
      </c>
      <c r="AM487" s="637">
        <f t="shared" ca="1" si="1407"/>
        <v>0</v>
      </c>
      <c r="AN487" s="637">
        <f t="shared" ca="1" si="1407"/>
        <v>0</v>
      </c>
      <c r="AO487" s="637">
        <f t="shared" ca="1" si="1407"/>
        <v>0</v>
      </c>
      <c r="AP487" s="637">
        <f t="shared" ca="1" si="1407"/>
        <v>0</v>
      </c>
      <c r="AQ487" s="637">
        <f t="shared" ca="1" si="1394"/>
        <v>0</v>
      </c>
      <c r="AR487" s="637">
        <f t="shared" ca="1" si="1394"/>
        <v>0</v>
      </c>
      <c r="AS487" s="637">
        <f t="shared" ca="1" si="1394"/>
        <v>0</v>
      </c>
      <c r="AT487" s="637">
        <f t="shared" ca="1" si="1394"/>
        <v>0</v>
      </c>
      <c r="AU487" s="637">
        <f t="shared" ca="1" si="1394"/>
        <v>0</v>
      </c>
      <c r="AV487" s="637">
        <f t="shared" ca="1" si="1394"/>
        <v>0</v>
      </c>
      <c r="AW487" s="637">
        <f t="shared" ca="1" si="1394"/>
        <v>0</v>
      </c>
      <c r="AX487" s="637">
        <f t="shared" ca="1" si="1394"/>
        <v>0</v>
      </c>
      <c r="AY487" s="637">
        <f t="shared" ca="1" si="1394"/>
        <v>0</v>
      </c>
      <c r="AZ487" s="637">
        <f t="shared" ca="1" si="1394"/>
        <v>0</v>
      </c>
      <c r="BA487" s="637">
        <f t="shared" ca="1" si="1394"/>
        <v>0</v>
      </c>
      <c r="BB487" s="637">
        <f t="shared" ca="1" si="1394"/>
        <v>0</v>
      </c>
      <c r="BC487" s="637">
        <f t="shared" ca="1" si="1394"/>
        <v>0</v>
      </c>
      <c r="BD487" s="637">
        <f t="shared" ca="1" si="1394"/>
        <v>0</v>
      </c>
      <c r="BE487" s="637">
        <f t="shared" ca="1" si="1394"/>
        <v>0</v>
      </c>
      <c r="BF487" s="637">
        <f t="shared" ca="1" si="1394"/>
        <v>0</v>
      </c>
      <c r="BG487" s="637">
        <f t="shared" ca="1" si="1395"/>
        <v>0</v>
      </c>
      <c r="BH487" s="637">
        <f t="shared" ca="1" si="1395"/>
        <v>0</v>
      </c>
      <c r="BI487" s="637">
        <f t="shared" ca="1" si="1395"/>
        <v>0</v>
      </c>
      <c r="BJ487" s="637">
        <f t="shared" ca="1" si="1395"/>
        <v>0</v>
      </c>
      <c r="BK487" s="637">
        <f t="shared" ca="1" si="1395"/>
        <v>0</v>
      </c>
      <c r="BL487" s="637">
        <f t="shared" ca="1" si="1395"/>
        <v>0</v>
      </c>
      <c r="BM487" s="637">
        <f t="shared" ca="1" si="1395"/>
        <v>0</v>
      </c>
      <c r="BN487" s="637">
        <f t="shared" ca="1" si="1395"/>
        <v>0</v>
      </c>
      <c r="BO487" s="637">
        <f t="shared" ca="1" si="1395"/>
        <v>0</v>
      </c>
      <c r="BP487" s="637">
        <f t="shared" ca="1" si="1395"/>
        <v>0</v>
      </c>
      <c r="BQ487" s="637">
        <f t="shared" ca="1" si="1395"/>
        <v>0</v>
      </c>
      <c r="BR487" s="637">
        <f t="shared" ca="1" si="1395"/>
        <v>0</v>
      </c>
      <c r="BS487" s="637">
        <f t="shared" ca="1" si="1395"/>
        <v>0</v>
      </c>
      <c r="BT487" s="637">
        <f t="shared" ca="1" si="1395"/>
        <v>0</v>
      </c>
      <c r="BU487" s="637">
        <f t="shared" ca="1" si="1395"/>
        <v>0</v>
      </c>
      <c r="BV487" s="637">
        <f t="shared" ca="1" si="1395"/>
        <v>0</v>
      </c>
      <c r="BW487" s="637">
        <f t="shared" ca="1" si="1396"/>
        <v>0</v>
      </c>
      <c r="BX487" s="637">
        <f t="shared" ca="1" si="1396"/>
        <v>0</v>
      </c>
      <c r="BY487" s="637">
        <f t="shared" ca="1" si="1396"/>
        <v>0</v>
      </c>
      <c r="BZ487" s="637">
        <f t="shared" ca="1" si="1396"/>
        <v>0</v>
      </c>
      <c r="CA487" s="637">
        <f t="shared" ca="1" si="1396"/>
        <v>0</v>
      </c>
      <c r="CB487" s="637">
        <f t="shared" ca="1" si="1396"/>
        <v>0</v>
      </c>
      <c r="CC487" s="637">
        <f t="shared" ca="1" si="1396"/>
        <v>0</v>
      </c>
      <c r="CD487" s="637">
        <f t="shared" ca="1" si="1396"/>
        <v>0</v>
      </c>
      <c r="CE487" s="637">
        <f t="shared" ca="1" si="1396"/>
        <v>0</v>
      </c>
      <c r="CF487" s="637">
        <f t="shared" ca="1" si="1396"/>
        <v>0</v>
      </c>
      <c r="CG487" s="637">
        <f t="shared" ca="1" si="1396"/>
        <v>0</v>
      </c>
      <c r="CH487" s="637">
        <f t="shared" ca="1" si="1396"/>
        <v>0</v>
      </c>
      <c r="CI487" s="637">
        <f t="shared" ca="1" si="1396"/>
        <v>0</v>
      </c>
      <c r="CJ487" s="637">
        <f t="shared" ca="1" si="1396"/>
        <v>0</v>
      </c>
      <c r="CK487" s="637">
        <f t="shared" ca="1" si="1396"/>
        <v>0</v>
      </c>
      <c r="CL487" s="637">
        <f t="shared" ca="1" si="1396"/>
        <v>0</v>
      </c>
      <c r="CM487" s="637">
        <f t="shared" ca="1" si="1397"/>
        <v>0</v>
      </c>
      <c r="CN487" s="637">
        <f t="shared" ca="1" si="1397"/>
        <v>0</v>
      </c>
      <c r="CO487" s="637">
        <f t="shared" ca="1" si="1397"/>
        <v>0</v>
      </c>
      <c r="CP487" s="637">
        <f t="shared" ca="1" si="1397"/>
        <v>0</v>
      </c>
      <c r="CQ487" s="637">
        <f t="shared" ca="1" si="1397"/>
        <v>0</v>
      </c>
      <c r="CR487" s="637">
        <f t="shared" ca="1" si="1397"/>
        <v>0</v>
      </c>
      <c r="CS487" s="637">
        <f t="shared" ca="1" si="1397"/>
        <v>0</v>
      </c>
      <c r="CT487" s="637">
        <f t="shared" ca="1" si="1397"/>
        <v>0</v>
      </c>
      <c r="CU487" s="637">
        <f t="shared" ca="1" si="1397"/>
        <v>0</v>
      </c>
      <c r="CV487" s="637">
        <f t="shared" ca="1" si="1397"/>
        <v>0</v>
      </c>
      <c r="CW487" s="637">
        <f t="shared" ca="1" si="1397"/>
        <v>0</v>
      </c>
      <c r="CX487" s="637">
        <f t="shared" ca="1" si="1397"/>
        <v>0</v>
      </c>
      <c r="CY487" s="637">
        <f t="shared" ca="1" si="1397"/>
        <v>0</v>
      </c>
      <c r="CZ487" s="637">
        <f t="shared" ca="1" si="1397"/>
        <v>0</v>
      </c>
      <c r="DA487" s="637">
        <f t="shared" ca="1" si="1397"/>
        <v>0</v>
      </c>
      <c r="DB487" s="637">
        <f t="shared" ca="1" si="1397"/>
        <v>0</v>
      </c>
      <c r="DC487" s="637">
        <f t="shared" ca="1" si="1398"/>
        <v>0</v>
      </c>
      <c r="DD487" s="637">
        <f t="shared" ca="1" si="1398"/>
        <v>0</v>
      </c>
      <c r="DE487" s="637">
        <f t="shared" ca="1" si="1398"/>
        <v>0</v>
      </c>
      <c r="DF487" s="637">
        <f t="shared" ca="1" si="1398"/>
        <v>0</v>
      </c>
      <c r="DG487" s="637">
        <f t="shared" ca="1" si="1398"/>
        <v>0</v>
      </c>
      <c r="DH487" s="637">
        <f t="shared" ca="1" si="1398"/>
        <v>0</v>
      </c>
      <c r="DI487" s="637">
        <f t="shared" ca="1" si="1398"/>
        <v>0</v>
      </c>
      <c r="DJ487" s="637">
        <f t="shared" ca="1" si="1398"/>
        <v>0</v>
      </c>
      <c r="DK487" s="637">
        <f t="shared" ca="1" si="1398"/>
        <v>0</v>
      </c>
      <c r="DL487" s="637">
        <f t="shared" ca="1" si="1398"/>
        <v>0</v>
      </c>
      <c r="DM487" s="637">
        <f t="shared" ca="1" si="1398"/>
        <v>0</v>
      </c>
      <c r="DN487" s="637">
        <f t="shared" ca="1" si="1398"/>
        <v>0</v>
      </c>
      <c r="DO487" s="637">
        <f t="shared" ca="1" si="1398"/>
        <v>0</v>
      </c>
      <c r="DP487" s="637">
        <f t="shared" ca="1" si="1398"/>
        <v>0</v>
      </c>
    </row>
    <row r="488" spans="1:120" hidden="1" outlineLevel="1">
      <c r="A488" s="55"/>
      <c r="B488" s="509"/>
      <c r="C488" s="679"/>
      <c r="D488" s="1469"/>
      <c r="E488" s="1470"/>
      <c r="F488" s="1251"/>
      <c r="G488" s="1251"/>
      <c r="H488" s="511"/>
      <c r="I488" s="512"/>
      <c r="J488" s="1425"/>
      <c r="K488" s="1426"/>
      <c r="L488" s="438"/>
      <c r="M488" s="1336">
        <f t="shared" si="1299"/>
        <v>0</v>
      </c>
      <c r="N488" s="504"/>
      <c r="O488" s="513">
        <f t="shared" si="1300"/>
        <v>0</v>
      </c>
      <c r="P488" s="514"/>
      <c r="Q488" s="514">
        <f t="shared" si="1301"/>
        <v>0</v>
      </c>
      <c r="R488" s="515"/>
      <c r="S488" s="515"/>
      <c r="T488" s="562">
        <f t="shared" si="1302"/>
        <v>0</v>
      </c>
      <c r="U488" s="1493">
        <f t="shared" si="1303"/>
        <v>0</v>
      </c>
      <c r="V488" s="1127">
        <f t="shared" si="1306"/>
        <v>0</v>
      </c>
      <c r="W488" s="976">
        <f t="shared" si="1304"/>
        <v>0</v>
      </c>
      <c r="X488" s="975">
        <f t="shared" si="1305"/>
        <v>0</v>
      </c>
      <c r="Y488" s="519"/>
      <c r="AA488" s="1555"/>
      <c r="AB488" s="623"/>
      <c r="AC488" s="623"/>
      <c r="AD488" s="623"/>
      <c r="AE488" s="623"/>
      <c r="AF488" s="580"/>
      <c r="AG488" s="580"/>
      <c r="AH488" s="580"/>
      <c r="AI488" s="580"/>
      <c r="AJ488" s="580"/>
      <c r="AK488" s="580"/>
      <c r="AL488" s="1513"/>
      <c r="AM488" s="580"/>
      <c r="AN488" s="580"/>
      <c r="AO488" s="580"/>
      <c r="AP488" s="580"/>
      <c r="AQ488" s="580"/>
      <c r="AR488" s="580"/>
      <c r="AS488" s="580"/>
      <c r="AT488" s="580"/>
      <c r="AU488" s="580"/>
      <c r="AV488" s="580"/>
      <c r="AW488" s="580"/>
      <c r="AX488" s="580"/>
      <c r="AY488" s="580"/>
      <c r="AZ488" s="580"/>
      <c r="BA488" s="580"/>
      <c r="BB488" s="580"/>
      <c r="BC488" s="580"/>
      <c r="BD488" s="580"/>
      <c r="BE488" s="580"/>
      <c r="BF488" s="580"/>
      <c r="BG488" s="580"/>
      <c r="BH488" s="580"/>
      <c r="BI488" s="580"/>
      <c r="BJ488" s="580"/>
      <c r="BK488" s="580"/>
      <c r="BL488" s="580"/>
      <c r="BM488" s="580"/>
      <c r="BN488" s="580"/>
      <c r="BO488" s="580"/>
      <c r="BP488" s="580"/>
      <c r="BQ488" s="580"/>
      <c r="BR488" s="580"/>
      <c r="BS488" s="580"/>
      <c r="BT488" s="580"/>
      <c r="BU488" s="580"/>
      <c r="BV488" s="580"/>
      <c r="BW488" s="580"/>
      <c r="BX488" s="580"/>
      <c r="BY488" s="580"/>
      <c r="BZ488" s="580"/>
      <c r="CA488" s="580"/>
      <c r="CB488" s="580"/>
      <c r="CC488" s="580"/>
      <c r="CD488" s="580"/>
      <c r="CE488" s="580"/>
      <c r="CF488" s="580"/>
      <c r="CG488" s="580"/>
      <c r="CH488" s="580"/>
      <c r="CI488" s="580"/>
      <c r="CJ488" s="580"/>
      <c r="CK488" s="580"/>
      <c r="CL488" s="580"/>
      <c r="CM488" s="580"/>
      <c r="CN488" s="580"/>
      <c r="CO488" s="580"/>
      <c r="CP488" s="580"/>
      <c r="CQ488" s="580"/>
      <c r="CR488" s="580"/>
      <c r="CS488" s="580"/>
      <c r="CT488" s="580"/>
      <c r="CU488" s="580"/>
      <c r="CV488" s="580"/>
      <c r="CW488" s="580"/>
      <c r="CX488" s="580"/>
      <c r="CY488" s="580"/>
      <c r="CZ488" s="580"/>
      <c r="DA488" s="580"/>
      <c r="DB488" s="580"/>
      <c r="DC488" s="580"/>
      <c r="DD488" s="580"/>
      <c r="DE488" s="580"/>
      <c r="DF488" s="580"/>
      <c r="DG488" s="580"/>
      <c r="DH488" s="580"/>
      <c r="DI488" s="580"/>
      <c r="DJ488" s="580"/>
      <c r="DK488" s="580"/>
      <c r="DL488" s="580"/>
      <c r="DM488" s="580"/>
      <c r="DN488" s="580"/>
      <c r="DO488" s="580"/>
      <c r="DP488" s="580"/>
    </row>
    <row r="489" spans="1:120" ht="16.5" collapsed="1" thickBot="1">
      <c r="A489" s="62" t="s">
        <v>226</v>
      </c>
      <c r="B489" s="63"/>
      <c r="C489" s="184"/>
      <c r="D489" s="1473"/>
      <c r="E489" s="1474"/>
      <c r="F489" s="1253">
        <f>SUM(F470:F488)</f>
        <v>0</v>
      </c>
      <c r="G489" s="166"/>
      <c r="H489" s="67"/>
      <c r="I489" s="167">
        <f>SUM(I470:I488)</f>
        <v>0</v>
      </c>
      <c r="J489" s="1376"/>
      <c r="K489" s="76"/>
      <c r="L489" s="168">
        <f>SUM(L470:L488)</f>
        <v>0</v>
      </c>
      <c r="M489" s="168"/>
      <c r="N489" s="70"/>
      <c r="O489" s="169">
        <f>SUM(O470:O488)</f>
        <v>0</v>
      </c>
      <c r="P489" s="170">
        <f>SUM(P470:P488)</f>
        <v>0</v>
      </c>
      <c r="Q489" s="170"/>
      <c r="R489" s="73"/>
      <c r="S489" s="73"/>
      <c r="T489" s="171">
        <f>SUM(T470:T488)</f>
        <v>0</v>
      </c>
      <c r="U489" s="166">
        <f>SUM(U470:U488)</f>
        <v>0</v>
      </c>
      <c r="V489" s="167">
        <f>SUM(V470:V488)</f>
        <v>0</v>
      </c>
      <c r="W489" s="78">
        <f>SUM(W470:W488)</f>
        <v>0</v>
      </c>
      <c r="X489" s="78">
        <f>SUM(X470:X488)</f>
        <v>0</v>
      </c>
      <c r="Y489" s="43"/>
      <c r="AA489" s="192">
        <f t="shared" ref="AA489:BF489" ca="1" si="1408">SUM(AA468:AA488)</f>
        <v>0</v>
      </c>
      <c r="AB489" s="172">
        <f t="shared" ca="1" si="1408"/>
        <v>0</v>
      </c>
      <c r="AC489" s="172">
        <f t="shared" ca="1" si="1408"/>
        <v>0</v>
      </c>
      <c r="AD489" s="172">
        <f t="shared" ca="1" si="1408"/>
        <v>0</v>
      </c>
      <c r="AE489" s="172">
        <f t="shared" ca="1" si="1408"/>
        <v>0</v>
      </c>
      <c r="AF489" s="172">
        <f t="shared" ca="1" si="1408"/>
        <v>0</v>
      </c>
      <c r="AG489" s="172">
        <f t="shared" ca="1" si="1408"/>
        <v>0</v>
      </c>
      <c r="AH489" s="172">
        <f t="shared" ca="1" si="1408"/>
        <v>0</v>
      </c>
      <c r="AI489" s="172">
        <f t="shared" ca="1" si="1408"/>
        <v>0</v>
      </c>
      <c r="AJ489" s="172">
        <f t="shared" ca="1" si="1408"/>
        <v>0</v>
      </c>
      <c r="AK489" s="172">
        <f t="shared" ca="1" si="1408"/>
        <v>0</v>
      </c>
      <c r="AL489" s="172">
        <f t="shared" ca="1" si="1408"/>
        <v>0</v>
      </c>
      <c r="AM489" s="172">
        <f t="shared" ca="1" si="1408"/>
        <v>0</v>
      </c>
      <c r="AN489" s="172">
        <f t="shared" ca="1" si="1408"/>
        <v>0</v>
      </c>
      <c r="AO489" s="172">
        <f t="shared" ca="1" si="1408"/>
        <v>0</v>
      </c>
      <c r="AP489" s="172">
        <f t="shared" ca="1" si="1408"/>
        <v>0</v>
      </c>
      <c r="AQ489" s="172">
        <f t="shared" ca="1" si="1408"/>
        <v>0</v>
      </c>
      <c r="AR489" s="172">
        <f t="shared" ca="1" si="1408"/>
        <v>0</v>
      </c>
      <c r="AS489" s="172">
        <f t="shared" ca="1" si="1408"/>
        <v>0</v>
      </c>
      <c r="AT489" s="172">
        <f t="shared" ca="1" si="1408"/>
        <v>0</v>
      </c>
      <c r="AU489" s="172">
        <f t="shared" ca="1" si="1408"/>
        <v>0</v>
      </c>
      <c r="AV489" s="172">
        <f t="shared" ca="1" si="1408"/>
        <v>0</v>
      </c>
      <c r="AW489" s="172">
        <f t="shared" ca="1" si="1408"/>
        <v>0</v>
      </c>
      <c r="AX489" s="172">
        <f t="shared" ca="1" si="1408"/>
        <v>0</v>
      </c>
      <c r="AY489" s="172">
        <f t="shared" ca="1" si="1408"/>
        <v>0</v>
      </c>
      <c r="AZ489" s="172">
        <f t="shared" ca="1" si="1408"/>
        <v>0</v>
      </c>
      <c r="BA489" s="172">
        <f t="shared" ca="1" si="1408"/>
        <v>0</v>
      </c>
      <c r="BB489" s="172">
        <f t="shared" ca="1" si="1408"/>
        <v>0</v>
      </c>
      <c r="BC489" s="172">
        <f t="shared" ca="1" si="1408"/>
        <v>0</v>
      </c>
      <c r="BD489" s="172">
        <f t="shared" ca="1" si="1408"/>
        <v>0</v>
      </c>
      <c r="BE489" s="172">
        <f t="shared" ca="1" si="1408"/>
        <v>0</v>
      </c>
      <c r="BF489" s="172">
        <f t="shared" ca="1" si="1408"/>
        <v>0</v>
      </c>
      <c r="BG489" s="172">
        <f t="shared" ref="BG489:CL489" ca="1" si="1409">SUM(BG468:BG488)</f>
        <v>0</v>
      </c>
      <c r="BH489" s="172">
        <f t="shared" ca="1" si="1409"/>
        <v>0</v>
      </c>
      <c r="BI489" s="172">
        <f t="shared" ca="1" si="1409"/>
        <v>0</v>
      </c>
      <c r="BJ489" s="172">
        <f t="shared" ca="1" si="1409"/>
        <v>0</v>
      </c>
      <c r="BK489" s="172">
        <f t="shared" ca="1" si="1409"/>
        <v>0</v>
      </c>
      <c r="BL489" s="172">
        <f t="shared" ca="1" si="1409"/>
        <v>0</v>
      </c>
      <c r="BM489" s="172">
        <f t="shared" ca="1" si="1409"/>
        <v>0</v>
      </c>
      <c r="BN489" s="172">
        <f t="shared" ca="1" si="1409"/>
        <v>0</v>
      </c>
      <c r="BO489" s="172">
        <f t="shared" ca="1" si="1409"/>
        <v>0</v>
      </c>
      <c r="BP489" s="172">
        <f t="shared" ca="1" si="1409"/>
        <v>0</v>
      </c>
      <c r="BQ489" s="172">
        <f t="shared" ca="1" si="1409"/>
        <v>0</v>
      </c>
      <c r="BR489" s="172">
        <f t="shared" ca="1" si="1409"/>
        <v>0</v>
      </c>
      <c r="BS489" s="172">
        <f t="shared" ca="1" si="1409"/>
        <v>0</v>
      </c>
      <c r="BT489" s="172">
        <f t="shared" ca="1" si="1409"/>
        <v>0</v>
      </c>
      <c r="BU489" s="172">
        <f t="shared" ca="1" si="1409"/>
        <v>0</v>
      </c>
      <c r="BV489" s="172">
        <f t="shared" ca="1" si="1409"/>
        <v>0</v>
      </c>
      <c r="BW489" s="172">
        <f t="shared" ca="1" si="1409"/>
        <v>0</v>
      </c>
      <c r="BX489" s="172">
        <f t="shared" ca="1" si="1409"/>
        <v>0</v>
      </c>
      <c r="BY489" s="172">
        <f t="shared" ca="1" si="1409"/>
        <v>0</v>
      </c>
      <c r="BZ489" s="172">
        <f t="shared" ca="1" si="1409"/>
        <v>0</v>
      </c>
      <c r="CA489" s="172">
        <f t="shared" ca="1" si="1409"/>
        <v>0</v>
      </c>
      <c r="CB489" s="172">
        <f t="shared" ca="1" si="1409"/>
        <v>0</v>
      </c>
      <c r="CC489" s="172">
        <f t="shared" ca="1" si="1409"/>
        <v>0</v>
      </c>
      <c r="CD489" s="172">
        <f t="shared" ca="1" si="1409"/>
        <v>0</v>
      </c>
      <c r="CE489" s="172">
        <f t="shared" ca="1" si="1409"/>
        <v>0</v>
      </c>
      <c r="CF489" s="172">
        <f t="shared" ca="1" si="1409"/>
        <v>0</v>
      </c>
      <c r="CG489" s="172">
        <f t="shared" ca="1" si="1409"/>
        <v>0</v>
      </c>
      <c r="CH489" s="172">
        <f t="shared" ca="1" si="1409"/>
        <v>0</v>
      </c>
      <c r="CI489" s="172">
        <f t="shared" ca="1" si="1409"/>
        <v>0</v>
      </c>
      <c r="CJ489" s="172">
        <f t="shared" ca="1" si="1409"/>
        <v>0</v>
      </c>
      <c r="CK489" s="172">
        <f t="shared" ca="1" si="1409"/>
        <v>0</v>
      </c>
      <c r="CL489" s="172">
        <f t="shared" ca="1" si="1409"/>
        <v>0</v>
      </c>
      <c r="CM489" s="172">
        <f t="shared" ref="CM489:DP489" ca="1" si="1410">SUM(CM468:CM488)</f>
        <v>0</v>
      </c>
      <c r="CN489" s="172">
        <f t="shared" ca="1" si="1410"/>
        <v>0</v>
      </c>
      <c r="CO489" s="172">
        <f t="shared" ca="1" si="1410"/>
        <v>0</v>
      </c>
      <c r="CP489" s="172">
        <f t="shared" ca="1" si="1410"/>
        <v>0</v>
      </c>
      <c r="CQ489" s="172">
        <f t="shared" ca="1" si="1410"/>
        <v>0</v>
      </c>
      <c r="CR489" s="172">
        <f t="shared" ca="1" si="1410"/>
        <v>0</v>
      </c>
      <c r="CS489" s="172">
        <f t="shared" ca="1" si="1410"/>
        <v>0</v>
      </c>
      <c r="CT489" s="172">
        <f t="shared" ca="1" si="1410"/>
        <v>0</v>
      </c>
      <c r="CU489" s="172">
        <f t="shared" ca="1" si="1410"/>
        <v>0</v>
      </c>
      <c r="CV489" s="172">
        <f t="shared" ca="1" si="1410"/>
        <v>0</v>
      </c>
      <c r="CW489" s="172">
        <f t="shared" ca="1" si="1410"/>
        <v>0</v>
      </c>
      <c r="CX489" s="172">
        <f t="shared" ca="1" si="1410"/>
        <v>0</v>
      </c>
      <c r="CY489" s="172">
        <f t="shared" ca="1" si="1410"/>
        <v>0</v>
      </c>
      <c r="CZ489" s="172">
        <f t="shared" ca="1" si="1410"/>
        <v>0</v>
      </c>
      <c r="DA489" s="172">
        <f t="shared" ca="1" si="1410"/>
        <v>0</v>
      </c>
      <c r="DB489" s="172">
        <f t="shared" ca="1" si="1410"/>
        <v>0</v>
      </c>
      <c r="DC489" s="172">
        <f t="shared" ca="1" si="1410"/>
        <v>0</v>
      </c>
      <c r="DD489" s="172">
        <f t="shared" ca="1" si="1410"/>
        <v>0</v>
      </c>
      <c r="DE489" s="172">
        <f t="shared" ca="1" si="1410"/>
        <v>0</v>
      </c>
      <c r="DF489" s="172">
        <f t="shared" ca="1" si="1410"/>
        <v>0</v>
      </c>
      <c r="DG489" s="172">
        <f t="shared" ca="1" si="1410"/>
        <v>0</v>
      </c>
      <c r="DH489" s="172">
        <f t="shared" ca="1" si="1410"/>
        <v>0</v>
      </c>
      <c r="DI489" s="172">
        <f t="shared" ca="1" si="1410"/>
        <v>0</v>
      </c>
      <c r="DJ489" s="172">
        <f t="shared" ca="1" si="1410"/>
        <v>0</v>
      </c>
      <c r="DK489" s="172">
        <f t="shared" ca="1" si="1410"/>
        <v>0</v>
      </c>
      <c r="DL489" s="172">
        <f t="shared" ca="1" si="1410"/>
        <v>0</v>
      </c>
      <c r="DM489" s="172">
        <f t="shared" ca="1" si="1410"/>
        <v>0</v>
      </c>
      <c r="DN489" s="172">
        <f t="shared" ca="1" si="1410"/>
        <v>0</v>
      </c>
      <c r="DO489" s="172">
        <f t="shared" ca="1" si="1410"/>
        <v>0</v>
      </c>
      <c r="DP489" s="172">
        <f t="shared" ca="1" si="1410"/>
        <v>0</v>
      </c>
    </row>
    <row r="490" spans="1:120" hidden="1"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  <c r="CT490" s="24"/>
      <c r="CU490" s="24"/>
      <c r="CV490" s="24"/>
      <c r="CW490" s="24"/>
      <c r="CX490" s="24"/>
      <c r="CY490" s="24"/>
      <c r="CZ490" s="24"/>
      <c r="DA490" s="24"/>
      <c r="DB490" s="24"/>
      <c r="DC490" s="24"/>
      <c r="DD490" s="24"/>
      <c r="DE490" s="24"/>
      <c r="DF490" s="24"/>
      <c r="DG490" s="24"/>
      <c r="DH490" s="24"/>
      <c r="DI490" s="24"/>
      <c r="DJ490" s="24"/>
      <c r="DK490" s="24"/>
      <c r="DL490" s="24"/>
      <c r="DM490" s="24"/>
      <c r="DN490" s="24"/>
      <c r="DO490" s="24"/>
      <c r="DP490" s="24"/>
    </row>
    <row r="491" spans="1:120" hidden="1" outlineLevel="1">
      <c r="A491" s="640">
        <v>1110053030</v>
      </c>
      <c r="B491" s="573"/>
      <c r="C491" s="1488" t="s">
        <v>64</v>
      </c>
      <c r="D491" s="1489"/>
      <c r="E491" s="1490"/>
      <c r="F491" s="643"/>
      <c r="G491" s="1262"/>
      <c r="H491" s="644"/>
      <c r="I491" s="645"/>
      <c r="J491" s="1483">
        <v>1</v>
      </c>
      <c r="K491" s="1484">
        <v>1</v>
      </c>
      <c r="L491" s="646"/>
      <c r="M491" s="1428">
        <f t="shared" ref="M491:M494" si="1411">+L491*J491</f>
        <v>0</v>
      </c>
      <c r="N491" s="647"/>
      <c r="O491" s="648">
        <f t="shared" ref="O491:O494" si="1412">+L491*J491*N491</f>
        <v>0</v>
      </c>
      <c r="P491" s="649"/>
      <c r="Q491" s="649">
        <f t="shared" ref="Q491:Q494" si="1413">+P491*K491</f>
        <v>0</v>
      </c>
      <c r="R491" s="650"/>
      <c r="S491" s="650"/>
      <c r="T491" s="651">
        <f t="shared" ref="T491:T494" si="1414">+P491*K491*S491</f>
        <v>0</v>
      </c>
      <c r="U491" s="1301">
        <f t="shared" ref="U491:U494" si="1415">+L491+P491+F491</f>
        <v>0</v>
      </c>
      <c r="V491" s="651">
        <f>+P491*J491*R491+L491*J491*N491+F491*J491*H491</f>
        <v>0</v>
      </c>
      <c r="W491" s="653">
        <f t="shared" ref="W491:W494" si="1416">IF((-P491*J491*R491)-(-P491*K491*S491)&gt;0,(-P491*J491*R491)-(-P491*K491*S491),0)</f>
        <v>0</v>
      </c>
      <c r="X491" s="654">
        <f t="shared" ref="X491:X494" si="1417">IF((-P491*J491*R491)-(-P491*K491*S491)&lt;0,(-P491*J491*R491)-(-P491*K491*S491),0)</f>
        <v>0</v>
      </c>
      <c r="Y491" s="655"/>
      <c r="AA491" s="730"/>
      <c r="AB491" s="577"/>
      <c r="AC491" s="577"/>
      <c r="AD491" s="577"/>
      <c r="AE491" s="577"/>
      <c r="AF491" s="577"/>
      <c r="AG491" s="577"/>
      <c r="AH491" s="577"/>
      <c r="AI491" s="577"/>
      <c r="AJ491" s="577"/>
      <c r="AK491" s="577"/>
      <c r="AL491" s="577"/>
      <c r="AM491" s="577"/>
      <c r="AN491" s="577"/>
      <c r="AO491" s="577"/>
      <c r="AP491" s="577"/>
      <c r="AQ491" s="577"/>
      <c r="AR491" s="577"/>
      <c r="AS491" s="577"/>
      <c r="AT491" s="577"/>
      <c r="AU491" s="577"/>
      <c r="AV491" s="577"/>
      <c r="AW491" s="577">
        <f>+M491</f>
        <v>0</v>
      </c>
      <c r="AX491" s="577"/>
      <c r="AY491" s="577"/>
      <c r="AZ491" s="577"/>
      <c r="BA491" s="577"/>
      <c r="BB491" s="577"/>
      <c r="BC491" s="577"/>
      <c r="BD491" s="577"/>
      <c r="BE491" s="577"/>
      <c r="BF491" s="577"/>
      <c r="BG491" s="577"/>
      <c r="BH491" s="577"/>
      <c r="BI491" s="577"/>
      <c r="BJ491" s="577"/>
      <c r="BK491" s="577"/>
      <c r="BL491" s="577"/>
      <c r="BM491" s="577"/>
      <c r="BN491" s="577"/>
      <c r="BO491" s="577"/>
      <c r="BP491" s="577"/>
      <c r="BQ491" s="577"/>
      <c r="BR491" s="577"/>
      <c r="BS491" s="577"/>
      <c r="BT491" s="577"/>
      <c r="BU491" s="577"/>
      <c r="BV491" s="577"/>
      <c r="BW491" s="577"/>
      <c r="BX491" s="577"/>
      <c r="BY491" s="577"/>
      <c r="BZ491" s="577"/>
      <c r="CA491" s="577"/>
      <c r="CB491" s="577"/>
      <c r="CC491" s="577"/>
      <c r="CD491" s="577"/>
      <c r="CE491" s="577"/>
      <c r="CF491" s="577"/>
      <c r="CG491" s="577"/>
      <c r="CH491" s="577"/>
      <c r="CI491" s="577"/>
      <c r="CJ491" s="577"/>
      <c r="CK491" s="577"/>
      <c r="CL491" s="577"/>
      <c r="CM491" s="577"/>
      <c r="CN491" s="577"/>
      <c r="CO491" s="577"/>
      <c r="CP491" s="577"/>
      <c r="CQ491" s="577"/>
      <c r="CR491" s="577"/>
      <c r="CS491" s="577"/>
      <c r="CT491" s="577"/>
      <c r="CU491" s="577"/>
      <c r="CV491" s="577"/>
      <c r="CW491" s="577"/>
      <c r="CX491" s="577"/>
      <c r="CY491" s="577"/>
      <c r="CZ491" s="577"/>
      <c r="DA491" s="577"/>
      <c r="DB491" s="577"/>
      <c r="DC491" s="577"/>
      <c r="DD491" s="577"/>
      <c r="DE491" s="577"/>
      <c r="DF491" s="577"/>
      <c r="DG491" s="577"/>
      <c r="DH491" s="577"/>
      <c r="DI491" s="577"/>
      <c r="DJ491" s="577"/>
      <c r="DK491" s="577"/>
      <c r="DL491" s="577"/>
      <c r="DM491" s="577"/>
      <c r="DN491" s="577"/>
      <c r="DO491" s="577"/>
      <c r="DP491" s="577"/>
    </row>
    <row r="492" spans="1:120" hidden="1" outlineLevel="1">
      <c r="A492" s="55">
        <v>1110053030</v>
      </c>
      <c r="B492" s="509"/>
      <c r="C492" s="679" t="s">
        <v>64</v>
      </c>
      <c r="D492" s="1469"/>
      <c r="E492" s="1470"/>
      <c r="F492" s="416"/>
      <c r="G492" s="1251"/>
      <c r="H492" s="511"/>
      <c r="I492" s="512"/>
      <c r="J492" s="1425">
        <v>1</v>
      </c>
      <c r="K492" s="1426">
        <v>1</v>
      </c>
      <c r="L492" s="417"/>
      <c r="M492" s="1336">
        <f t="shared" ref="M492:M493" si="1418">+L492*J492</f>
        <v>0</v>
      </c>
      <c r="N492" s="504"/>
      <c r="O492" s="513">
        <f t="shared" ref="O492:O493" si="1419">+L492*J492*N492</f>
        <v>0</v>
      </c>
      <c r="P492" s="514"/>
      <c r="Q492" s="514">
        <f t="shared" ref="Q492:Q493" si="1420">+P492*K492</f>
        <v>0</v>
      </c>
      <c r="R492" s="515"/>
      <c r="S492" s="426"/>
      <c r="T492" s="562">
        <f t="shared" ref="T492:T493" si="1421">+P492*K492*S492</f>
        <v>0</v>
      </c>
      <c r="U492" s="1493">
        <f t="shared" ref="U492:U493" si="1422">+L492+P492+F492</f>
        <v>0</v>
      </c>
      <c r="V492" s="1127">
        <f t="shared" ref="V492:V494" si="1423">+P492*J492*R492+L492*J492*N492+F492*J492*H492</f>
        <v>0</v>
      </c>
      <c r="W492" s="976">
        <f t="shared" ref="W492:W493" si="1424">IF((-P492*J492*R492)-(-P492*K492*S492)&gt;0,(-P492*J492*R492)-(-P492*K492*S492),0)</f>
        <v>0</v>
      </c>
      <c r="X492" s="975">
        <f t="shared" ref="X492:X493" si="1425">IF((-P492*J492*R492)-(-P492*K492*S492)&lt;0,(-P492*J492*R492)-(-P492*K492*S492),0)</f>
        <v>0</v>
      </c>
      <c r="Y492" s="519"/>
      <c r="AA492" s="199"/>
      <c r="AB492" s="580"/>
      <c r="AC492" s="580"/>
      <c r="AD492" s="580"/>
      <c r="AE492" s="580"/>
      <c r="AF492" s="580"/>
      <c r="AG492" s="580"/>
      <c r="AH492" s="580"/>
      <c r="AI492" s="580">
        <f>+Q492</f>
        <v>0</v>
      </c>
      <c r="AJ492" s="580"/>
      <c r="AK492" s="580"/>
      <c r="AL492" s="1513"/>
      <c r="AM492" s="580"/>
      <c r="AN492" s="580"/>
      <c r="AO492" s="580"/>
      <c r="AP492" s="580"/>
      <c r="AQ492" s="580"/>
      <c r="AR492" s="580"/>
      <c r="AS492" s="580"/>
      <c r="AT492" s="580"/>
      <c r="AU492" s="580"/>
      <c r="AV492" s="580"/>
      <c r="AW492" s="580"/>
      <c r="AX492" s="580"/>
      <c r="AY492" s="580"/>
      <c r="AZ492" s="580"/>
      <c r="BA492" s="580"/>
      <c r="BB492" s="580"/>
      <c r="BC492" s="580"/>
      <c r="BD492" s="580"/>
      <c r="BE492" s="580"/>
      <c r="BF492" s="580"/>
      <c r="BG492" s="580"/>
      <c r="BH492" s="580"/>
      <c r="BI492" s="580"/>
      <c r="BJ492" s="580"/>
      <c r="BK492" s="580"/>
      <c r="BL492" s="580"/>
      <c r="BM492" s="580"/>
      <c r="BN492" s="580"/>
      <c r="BO492" s="580"/>
      <c r="BP492" s="580"/>
      <c r="BQ492" s="580"/>
      <c r="BR492" s="580"/>
      <c r="BS492" s="580"/>
      <c r="BT492" s="580"/>
      <c r="BU492" s="580"/>
      <c r="BV492" s="580"/>
      <c r="BW492" s="580"/>
      <c r="BX492" s="580"/>
      <c r="BY492" s="580"/>
      <c r="BZ492" s="580"/>
      <c r="CA492" s="580"/>
      <c r="CB492" s="580"/>
      <c r="CC492" s="580"/>
      <c r="CD492" s="580"/>
      <c r="CE492" s="580"/>
      <c r="CF492" s="580"/>
      <c r="CG492" s="580"/>
      <c r="CH492" s="580"/>
      <c r="CI492" s="580"/>
      <c r="CJ492" s="580"/>
      <c r="CK492" s="580"/>
      <c r="CL492" s="580"/>
      <c r="CM492" s="580"/>
      <c r="CN492" s="580"/>
      <c r="CO492" s="580"/>
      <c r="CP492" s="580"/>
      <c r="CQ492" s="580"/>
      <c r="CR492" s="580"/>
      <c r="CS492" s="580"/>
      <c r="CT492" s="580"/>
      <c r="CU492" s="580"/>
      <c r="CV492" s="580"/>
      <c r="CW492" s="580"/>
      <c r="CX492" s="580"/>
      <c r="CY492" s="580"/>
      <c r="CZ492" s="580"/>
      <c r="DA492" s="580"/>
      <c r="DB492" s="580"/>
      <c r="DC492" s="580"/>
      <c r="DD492" s="580"/>
      <c r="DE492" s="580"/>
      <c r="DF492" s="580"/>
      <c r="DG492" s="580"/>
      <c r="DH492" s="580"/>
      <c r="DI492" s="580"/>
      <c r="DJ492" s="580"/>
      <c r="DK492" s="580"/>
      <c r="DL492" s="580"/>
      <c r="DM492" s="580"/>
      <c r="DN492" s="580"/>
      <c r="DO492" s="580"/>
      <c r="DP492" s="580"/>
    </row>
    <row r="493" spans="1:120" hidden="1" outlineLevel="1">
      <c r="A493" s="55">
        <v>1110053030</v>
      </c>
      <c r="B493" s="509"/>
      <c r="C493" s="679" t="s">
        <v>64</v>
      </c>
      <c r="D493" s="1469"/>
      <c r="E493" s="1470"/>
      <c r="F493" s="416"/>
      <c r="G493" s="1251"/>
      <c r="H493" s="511"/>
      <c r="I493" s="512"/>
      <c r="J493" s="1425">
        <v>1</v>
      </c>
      <c r="K493" s="1426">
        <v>1</v>
      </c>
      <c r="L493" s="417"/>
      <c r="M493" s="1336">
        <f t="shared" si="1418"/>
        <v>0</v>
      </c>
      <c r="N493" s="504"/>
      <c r="O493" s="513">
        <f t="shared" si="1419"/>
        <v>0</v>
      </c>
      <c r="P493" s="514"/>
      <c r="Q493" s="514">
        <f t="shared" si="1420"/>
        <v>0</v>
      </c>
      <c r="R493" s="515"/>
      <c r="S493" s="515"/>
      <c r="T493" s="562">
        <f t="shared" si="1421"/>
        <v>0</v>
      </c>
      <c r="U493" s="1493">
        <f t="shared" si="1422"/>
        <v>0</v>
      </c>
      <c r="V493" s="1127">
        <f t="shared" si="1423"/>
        <v>0</v>
      </c>
      <c r="W493" s="976">
        <f t="shared" si="1424"/>
        <v>0</v>
      </c>
      <c r="X493" s="975">
        <f t="shared" si="1425"/>
        <v>0</v>
      </c>
      <c r="Y493" s="519"/>
      <c r="AA493" s="199"/>
      <c r="AB493" s="580"/>
      <c r="AC493" s="580"/>
      <c r="AD493" s="580"/>
      <c r="AE493" s="580"/>
      <c r="AF493" s="580"/>
      <c r="AG493" s="580"/>
      <c r="AH493" s="580"/>
      <c r="AI493" s="580"/>
      <c r="AJ493" s="580"/>
      <c r="AK493" s="580"/>
      <c r="AL493" s="1513"/>
      <c r="AM493" s="580"/>
      <c r="AN493" s="580"/>
      <c r="AO493" s="580"/>
      <c r="AP493" s="580"/>
      <c r="AQ493" s="580"/>
      <c r="AR493" s="580"/>
      <c r="AS493" s="580"/>
      <c r="AT493" s="580"/>
      <c r="AU493" s="580"/>
      <c r="AV493" s="580"/>
      <c r="AW493" s="580"/>
      <c r="AX493" s="580"/>
      <c r="AY493" s="580"/>
      <c r="AZ493" s="580"/>
      <c r="BA493" s="580"/>
      <c r="BB493" s="580"/>
      <c r="BC493" s="580"/>
      <c r="BD493" s="580"/>
      <c r="BE493" s="580"/>
      <c r="BF493" s="580"/>
      <c r="BG493" s="580"/>
      <c r="BH493" s="580"/>
      <c r="BI493" s="580"/>
      <c r="BJ493" s="580"/>
      <c r="BK493" s="580"/>
      <c r="BL493" s="580"/>
      <c r="BM493" s="580"/>
      <c r="BN493" s="580"/>
      <c r="BO493" s="580"/>
      <c r="BP493" s="580"/>
      <c r="BQ493" s="580"/>
      <c r="BR493" s="580"/>
      <c r="BS493" s="580"/>
      <c r="BT493" s="580"/>
      <c r="BU493" s="580"/>
      <c r="BV493" s="580"/>
      <c r="BW493" s="580"/>
      <c r="BX493" s="580"/>
      <c r="BY493" s="580"/>
      <c r="BZ493" s="580"/>
      <c r="CA493" s="580"/>
      <c r="CB493" s="580"/>
      <c r="CC493" s="580"/>
      <c r="CD493" s="580"/>
      <c r="CE493" s="580"/>
      <c r="CF493" s="580"/>
      <c r="CG493" s="580"/>
      <c r="CH493" s="580"/>
      <c r="CI493" s="580"/>
      <c r="CJ493" s="580"/>
      <c r="CK493" s="580"/>
      <c r="CL493" s="580"/>
      <c r="CM493" s="580"/>
      <c r="CN493" s="580"/>
      <c r="CO493" s="580"/>
      <c r="CP493" s="580"/>
      <c r="CQ493" s="580"/>
      <c r="CR493" s="580"/>
      <c r="CS493" s="580"/>
      <c r="CT493" s="580"/>
      <c r="CU493" s="580"/>
      <c r="CV493" s="580"/>
      <c r="CW493" s="580"/>
      <c r="CX493" s="580"/>
      <c r="CY493" s="580"/>
      <c r="CZ493" s="580"/>
      <c r="DA493" s="580"/>
      <c r="DB493" s="580"/>
      <c r="DC493" s="580"/>
      <c r="DD493" s="580"/>
      <c r="DE493" s="580"/>
      <c r="DF493" s="580"/>
      <c r="DG493" s="580"/>
      <c r="DH493" s="580"/>
      <c r="DI493" s="580"/>
      <c r="DJ493" s="580"/>
      <c r="DK493" s="580"/>
      <c r="DL493" s="580"/>
      <c r="DM493" s="580"/>
      <c r="DN493" s="580"/>
      <c r="DO493" s="580"/>
      <c r="DP493" s="580"/>
    </row>
    <row r="494" spans="1:120" hidden="1" outlineLevel="1">
      <c r="A494" s="55"/>
      <c r="B494" s="509"/>
      <c r="C494" s="679"/>
      <c r="D494" s="1469"/>
      <c r="E494" s="1470"/>
      <c r="F494" s="416"/>
      <c r="G494" s="1251"/>
      <c r="H494" s="511"/>
      <c r="I494" s="512"/>
      <c r="J494" s="1383"/>
      <c r="K494" s="1383"/>
      <c r="L494" s="417"/>
      <c r="M494" s="1336">
        <f t="shared" si="1411"/>
        <v>0</v>
      </c>
      <c r="N494" s="504"/>
      <c r="O494" s="513">
        <f t="shared" si="1412"/>
        <v>0</v>
      </c>
      <c r="P494" s="514"/>
      <c r="Q494" s="514">
        <f t="shared" si="1413"/>
        <v>0</v>
      </c>
      <c r="R494" s="515"/>
      <c r="S494" s="515"/>
      <c r="T494" s="562">
        <f t="shared" si="1414"/>
        <v>0</v>
      </c>
      <c r="U494" s="1493">
        <f t="shared" si="1415"/>
        <v>0</v>
      </c>
      <c r="V494" s="1127">
        <f t="shared" si="1423"/>
        <v>0</v>
      </c>
      <c r="W494" s="976">
        <f t="shared" si="1416"/>
        <v>0</v>
      </c>
      <c r="X494" s="975">
        <f t="shared" si="1417"/>
        <v>0</v>
      </c>
      <c r="Y494" s="519"/>
      <c r="AA494" s="199"/>
      <c r="AB494" s="580"/>
      <c r="AC494" s="580"/>
      <c r="AD494" s="580"/>
      <c r="AE494" s="580"/>
      <c r="AF494" s="580"/>
      <c r="AG494" s="580"/>
      <c r="AH494" s="580"/>
      <c r="AI494" s="580"/>
      <c r="AJ494" s="580"/>
      <c r="AK494" s="580"/>
      <c r="AL494" s="1513"/>
      <c r="AM494" s="580"/>
      <c r="AN494" s="580"/>
      <c r="AO494" s="580"/>
      <c r="AP494" s="580"/>
      <c r="AQ494" s="580"/>
      <c r="AR494" s="580"/>
      <c r="AS494" s="580"/>
      <c r="AT494" s="580"/>
      <c r="AU494" s="580"/>
      <c r="AV494" s="580"/>
      <c r="AW494" s="580"/>
      <c r="AX494" s="580"/>
      <c r="AY494" s="580"/>
      <c r="AZ494" s="580"/>
      <c r="BA494" s="580"/>
      <c r="BB494" s="580"/>
      <c r="BC494" s="580"/>
      <c r="BD494" s="580"/>
      <c r="BE494" s="580"/>
      <c r="BF494" s="580"/>
      <c r="BG494" s="580"/>
      <c r="BH494" s="580"/>
      <c r="BI494" s="580"/>
      <c r="BJ494" s="580"/>
      <c r="BK494" s="580"/>
      <c r="BL494" s="580"/>
      <c r="BM494" s="580"/>
      <c r="BN494" s="580"/>
      <c r="BO494" s="580"/>
      <c r="BP494" s="580"/>
      <c r="BQ494" s="580"/>
      <c r="BR494" s="580"/>
      <c r="BS494" s="580"/>
      <c r="BT494" s="580"/>
      <c r="BU494" s="580"/>
      <c r="BV494" s="580"/>
      <c r="BW494" s="580"/>
      <c r="BX494" s="580"/>
      <c r="BY494" s="580"/>
      <c r="BZ494" s="580"/>
      <c r="CA494" s="580"/>
      <c r="CB494" s="580"/>
      <c r="CC494" s="580"/>
      <c r="CD494" s="580"/>
      <c r="CE494" s="580"/>
      <c r="CF494" s="580"/>
      <c r="CG494" s="580"/>
      <c r="CH494" s="580"/>
      <c r="CI494" s="580"/>
      <c r="CJ494" s="580"/>
      <c r="CK494" s="580"/>
      <c r="CL494" s="580"/>
      <c r="CM494" s="580"/>
      <c r="CN494" s="580"/>
      <c r="CO494" s="580"/>
      <c r="CP494" s="580"/>
      <c r="CQ494" s="580"/>
      <c r="CR494" s="580"/>
      <c r="CS494" s="580"/>
      <c r="CT494" s="580"/>
      <c r="CU494" s="580"/>
      <c r="CV494" s="580"/>
      <c r="CW494" s="580"/>
      <c r="CX494" s="580"/>
      <c r="CY494" s="580"/>
      <c r="CZ494" s="580"/>
      <c r="DA494" s="580"/>
      <c r="DB494" s="580"/>
      <c r="DC494" s="580"/>
      <c r="DD494" s="580"/>
      <c r="DE494" s="580"/>
      <c r="DF494" s="580"/>
      <c r="DG494" s="580"/>
      <c r="DH494" s="580"/>
      <c r="DI494" s="580"/>
      <c r="DJ494" s="580"/>
      <c r="DK494" s="580"/>
      <c r="DL494" s="580"/>
      <c r="DM494" s="580"/>
      <c r="DN494" s="580"/>
      <c r="DO494" s="580"/>
      <c r="DP494" s="580"/>
    </row>
    <row r="495" spans="1:120" ht="16.5" hidden="1" collapsed="1" thickBot="1">
      <c r="A495" s="62" t="s">
        <v>227</v>
      </c>
      <c r="B495" s="63"/>
      <c r="C495" s="184"/>
      <c r="D495" s="1473"/>
      <c r="E495" s="1474"/>
      <c r="F495" s="66">
        <f>SUM(F491:F493)</f>
        <v>0</v>
      </c>
      <c r="G495" s="1253"/>
      <c r="H495" s="67"/>
      <c r="I495" s="68">
        <f>SUM(I491:I493)</f>
        <v>0</v>
      </c>
      <c r="J495" s="1376"/>
      <c r="K495" s="76"/>
      <c r="L495" s="69">
        <f>SUM(L491:L494)</f>
        <v>0</v>
      </c>
      <c r="M495" s="168"/>
      <c r="N495" s="70"/>
      <c r="O495" s="71">
        <f>SUM(O491:O494)</f>
        <v>0</v>
      </c>
      <c r="P495" s="72">
        <f>SUM(P491:P494)</f>
        <v>0</v>
      </c>
      <c r="Q495" s="1339"/>
      <c r="R495" s="73"/>
      <c r="S495" s="73"/>
      <c r="T495" s="96">
        <f>SUM(T491:T494)</f>
        <v>0</v>
      </c>
      <c r="U495" s="1495">
        <f>SUM(U491:U494)</f>
        <v>0</v>
      </c>
      <c r="V495" s="76">
        <f>SUM(V491:V494)</f>
        <v>0</v>
      </c>
      <c r="W495" s="97">
        <f>SUM(W491:W494)</f>
        <v>0</v>
      </c>
      <c r="X495" s="98">
        <f>SUM(X491:X494)</f>
        <v>0</v>
      </c>
      <c r="Y495" s="43"/>
      <c r="AA495" s="192">
        <f t="shared" ref="AA495:BC495" ca="1" si="1426">SUM(AA489:AA494)</f>
        <v>0</v>
      </c>
      <c r="AB495" s="172">
        <f t="shared" ca="1" si="1426"/>
        <v>0</v>
      </c>
      <c r="AC495" s="172">
        <f t="shared" ca="1" si="1426"/>
        <v>0</v>
      </c>
      <c r="AD495" s="172">
        <f t="shared" ca="1" si="1426"/>
        <v>0</v>
      </c>
      <c r="AE495" s="172">
        <f t="shared" ca="1" si="1426"/>
        <v>0</v>
      </c>
      <c r="AF495" s="172">
        <f t="shared" ca="1" si="1426"/>
        <v>0</v>
      </c>
      <c r="AG495" s="172">
        <f t="shared" ca="1" si="1426"/>
        <v>0</v>
      </c>
      <c r="AH495" s="172">
        <f t="shared" ca="1" si="1426"/>
        <v>0</v>
      </c>
      <c r="AI495" s="172">
        <f t="shared" ca="1" si="1426"/>
        <v>0</v>
      </c>
      <c r="AJ495" s="172">
        <f t="shared" ca="1" si="1426"/>
        <v>0</v>
      </c>
      <c r="AK495" s="172">
        <f t="shared" ca="1" si="1426"/>
        <v>0</v>
      </c>
      <c r="AL495" s="172">
        <f t="shared" ca="1" si="1426"/>
        <v>0</v>
      </c>
      <c r="AM495" s="172">
        <f t="shared" ca="1" si="1426"/>
        <v>0</v>
      </c>
      <c r="AN495" s="172">
        <f t="shared" ca="1" si="1426"/>
        <v>0</v>
      </c>
      <c r="AO495" s="172">
        <f t="shared" ca="1" si="1426"/>
        <v>0</v>
      </c>
      <c r="AP495" s="172">
        <f t="shared" ca="1" si="1426"/>
        <v>0</v>
      </c>
      <c r="AQ495" s="172">
        <f t="shared" ca="1" si="1426"/>
        <v>0</v>
      </c>
      <c r="AR495" s="172">
        <f t="shared" ca="1" si="1426"/>
        <v>0</v>
      </c>
      <c r="AS495" s="172">
        <f t="shared" ca="1" si="1426"/>
        <v>0</v>
      </c>
      <c r="AT495" s="172">
        <f t="shared" ca="1" si="1426"/>
        <v>0</v>
      </c>
      <c r="AU495" s="172">
        <f t="shared" ca="1" si="1426"/>
        <v>0</v>
      </c>
      <c r="AV495" s="172">
        <f t="shared" ca="1" si="1426"/>
        <v>0</v>
      </c>
      <c r="AW495" s="172">
        <f t="shared" ca="1" si="1426"/>
        <v>0</v>
      </c>
      <c r="AX495" s="172">
        <f t="shared" ca="1" si="1426"/>
        <v>0</v>
      </c>
      <c r="AY495" s="172">
        <f t="shared" ca="1" si="1426"/>
        <v>0</v>
      </c>
      <c r="AZ495" s="172">
        <f t="shared" ca="1" si="1426"/>
        <v>0</v>
      </c>
      <c r="BA495" s="172">
        <f t="shared" ca="1" si="1426"/>
        <v>0</v>
      </c>
      <c r="BB495" s="172">
        <f t="shared" ca="1" si="1426"/>
        <v>0</v>
      </c>
      <c r="BC495" s="172">
        <f t="shared" ca="1" si="1426"/>
        <v>0</v>
      </c>
      <c r="BD495" s="172">
        <f t="shared" ref="BD495:CH495" ca="1" si="1427">SUM(BD489:BD494)</f>
        <v>0</v>
      </c>
      <c r="BE495" s="172">
        <f t="shared" ca="1" si="1427"/>
        <v>0</v>
      </c>
      <c r="BF495" s="172">
        <f t="shared" ca="1" si="1427"/>
        <v>0</v>
      </c>
      <c r="BG495" s="172">
        <f t="shared" ca="1" si="1427"/>
        <v>0</v>
      </c>
      <c r="BH495" s="172">
        <f t="shared" ca="1" si="1427"/>
        <v>0</v>
      </c>
      <c r="BI495" s="172">
        <f t="shared" ca="1" si="1427"/>
        <v>0</v>
      </c>
      <c r="BJ495" s="172">
        <f t="shared" ca="1" si="1427"/>
        <v>0</v>
      </c>
      <c r="BK495" s="172">
        <f t="shared" ca="1" si="1427"/>
        <v>0</v>
      </c>
      <c r="BL495" s="172">
        <f t="shared" ca="1" si="1427"/>
        <v>0</v>
      </c>
      <c r="BM495" s="172">
        <f t="shared" ca="1" si="1427"/>
        <v>0</v>
      </c>
      <c r="BN495" s="172">
        <f t="shared" ca="1" si="1427"/>
        <v>0</v>
      </c>
      <c r="BO495" s="172">
        <f t="shared" ca="1" si="1427"/>
        <v>0</v>
      </c>
      <c r="BP495" s="172">
        <f t="shared" ca="1" si="1427"/>
        <v>0</v>
      </c>
      <c r="BQ495" s="172">
        <f t="shared" ca="1" si="1427"/>
        <v>0</v>
      </c>
      <c r="BR495" s="172">
        <f t="shared" ca="1" si="1427"/>
        <v>0</v>
      </c>
      <c r="BS495" s="172">
        <f t="shared" ca="1" si="1427"/>
        <v>0</v>
      </c>
      <c r="BT495" s="172">
        <f t="shared" ca="1" si="1427"/>
        <v>0</v>
      </c>
      <c r="BU495" s="172">
        <f t="shared" ca="1" si="1427"/>
        <v>0</v>
      </c>
      <c r="BV495" s="172">
        <f t="shared" ca="1" si="1427"/>
        <v>0</v>
      </c>
      <c r="BW495" s="172">
        <f t="shared" ca="1" si="1427"/>
        <v>0</v>
      </c>
      <c r="BX495" s="172">
        <f t="shared" ca="1" si="1427"/>
        <v>0</v>
      </c>
      <c r="BY495" s="172">
        <f t="shared" ca="1" si="1427"/>
        <v>0</v>
      </c>
      <c r="BZ495" s="172">
        <f t="shared" ca="1" si="1427"/>
        <v>0</v>
      </c>
      <c r="CA495" s="172">
        <f t="shared" ca="1" si="1427"/>
        <v>0</v>
      </c>
      <c r="CB495" s="172">
        <f t="shared" ca="1" si="1427"/>
        <v>0</v>
      </c>
      <c r="CC495" s="172">
        <f t="shared" ca="1" si="1427"/>
        <v>0</v>
      </c>
      <c r="CD495" s="172">
        <f t="shared" ca="1" si="1427"/>
        <v>0</v>
      </c>
      <c r="CE495" s="172">
        <f t="shared" ca="1" si="1427"/>
        <v>0</v>
      </c>
      <c r="CF495" s="172">
        <f t="shared" ca="1" si="1427"/>
        <v>0</v>
      </c>
      <c r="CG495" s="172">
        <f t="shared" ca="1" si="1427"/>
        <v>0</v>
      </c>
      <c r="CH495" s="172">
        <f t="shared" ca="1" si="1427"/>
        <v>0</v>
      </c>
      <c r="CI495" s="172">
        <f t="shared" ref="CI495:DM495" ca="1" si="1428">SUM(CI489:CI494)</f>
        <v>0</v>
      </c>
      <c r="CJ495" s="172">
        <f t="shared" ca="1" si="1428"/>
        <v>0</v>
      </c>
      <c r="CK495" s="172">
        <f t="shared" ca="1" si="1428"/>
        <v>0</v>
      </c>
      <c r="CL495" s="172">
        <f t="shared" ca="1" si="1428"/>
        <v>0</v>
      </c>
      <c r="CM495" s="172">
        <f t="shared" ca="1" si="1428"/>
        <v>0</v>
      </c>
      <c r="CN495" s="172">
        <f t="shared" ca="1" si="1428"/>
        <v>0</v>
      </c>
      <c r="CO495" s="172">
        <f t="shared" ca="1" si="1428"/>
        <v>0</v>
      </c>
      <c r="CP495" s="172">
        <f t="shared" ca="1" si="1428"/>
        <v>0</v>
      </c>
      <c r="CQ495" s="172">
        <f t="shared" ca="1" si="1428"/>
        <v>0</v>
      </c>
      <c r="CR495" s="172">
        <f t="shared" ca="1" si="1428"/>
        <v>0</v>
      </c>
      <c r="CS495" s="172">
        <f t="shared" ca="1" si="1428"/>
        <v>0</v>
      </c>
      <c r="CT495" s="172">
        <f t="shared" ca="1" si="1428"/>
        <v>0</v>
      </c>
      <c r="CU495" s="172">
        <f t="shared" ca="1" si="1428"/>
        <v>0</v>
      </c>
      <c r="CV495" s="172">
        <f t="shared" ca="1" si="1428"/>
        <v>0</v>
      </c>
      <c r="CW495" s="172">
        <f t="shared" ca="1" si="1428"/>
        <v>0</v>
      </c>
      <c r="CX495" s="172">
        <f t="shared" ca="1" si="1428"/>
        <v>0</v>
      </c>
      <c r="CY495" s="172">
        <f t="shared" ca="1" si="1428"/>
        <v>0</v>
      </c>
      <c r="CZ495" s="172">
        <f t="shared" ca="1" si="1428"/>
        <v>0</v>
      </c>
      <c r="DA495" s="172">
        <f t="shared" ca="1" si="1428"/>
        <v>0</v>
      </c>
      <c r="DB495" s="172">
        <f t="shared" ca="1" si="1428"/>
        <v>0</v>
      </c>
      <c r="DC495" s="172">
        <f t="shared" ca="1" si="1428"/>
        <v>0</v>
      </c>
      <c r="DD495" s="172">
        <f t="shared" ca="1" si="1428"/>
        <v>0</v>
      </c>
      <c r="DE495" s="172">
        <f t="shared" ca="1" si="1428"/>
        <v>0</v>
      </c>
      <c r="DF495" s="172">
        <f t="shared" ca="1" si="1428"/>
        <v>0</v>
      </c>
      <c r="DG495" s="172">
        <f t="shared" ca="1" si="1428"/>
        <v>0</v>
      </c>
      <c r="DH495" s="172">
        <f t="shared" ca="1" si="1428"/>
        <v>0</v>
      </c>
      <c r="DI495" s="172">
        <f t="shared" ca="1" si="1428"/>
        <v>0</v>
      </c>
      <c r="DJ495" s="172">
        <f t="shared" ca="1" si="1428"/>
        <v>0</v>
      </c>
      <c r="DK495" s="172">
        <f t="shared" ca="1" si="1428"/>
        <v>0</v>
      </c>
      <c r="DL495" s="172">
        <f t="shared" ca="1" si="1428"/>
        <v>0</v>
      </c>
      <c r="DM495" s="172">
        <f t="shared" ca="1" si="1428"/>
        <v>0</v>
      </c>
      <c r="DN495" s="172">
        <f t="shared" ref="DN495:DO495" ca="1" si="1429">SUM(DN489:DN494)</f>
        <v>0</v>
      </c>
      <c r="DO495" s="172">
        <f t="shared" ca="1" si="1429"/>
        <v>0</v>
      </c>
      <c r="DP495" s="172">
        <f t="shared" ref="DP495" ca="1" si="1430">SUM(DP489:DP494)</f>
        <v>0</v>
      </c>
    </row>
    <row r="496" spans="1:120" hidden="1">
      <c r="Y496" s="1491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24"/>
      <c r="DC496" s="24"/>
      <c r="DD496" s="24"/>
      <c r="DE496" s="24"/>
      <c r="DF496" s="24"/>
      <c r="DG496" s="24"/>
      <c r="DH496" s="24"/>
      <c r="DI496" s="24"/>
      <c r="DJ496" s="24"/>
      <c r="DK496" s="24"/>
      <c r="DL496" s="24"/>
      <c r="DM496" s="24"/>
      <c r="DN496" s="24"/>
      <c r="DO496" s="24"/>
      <c r="DP496" s="24"/>
    </row>
    <row r="497" spans="1:120" hidden="1" outlineLevel="1">
      <c r="A497" s="640">
        <v>1110053030</v>
      </c>
      <c r="B497" s="573"/>
      <c r="C497" s="641" t="s">
        <v>64</v>
      </c>
      <c r="D497" s="1489"/>
      <c r="E497" s="1490"/>
      <c r="F497" s="643"/>
      <c r="G497" s="1262"/>
      <c r="H497" s="644"/>
      <c r="I497" s="645"/>
      <c r="J497" s="1483">
        <v>1</v>
      </c>
      <c r="K497" s="1484">
        <v>1</v>
      </c>
      <c r="L497" s="1510"/>
      <c r="M497" s="1428">
        <f t="shared" ref="M497" si="1431">+L497*J497</f>
        <v>0</v>
      </c>
      <c r="N497" s="647"/>
      <c r="O497" s="648">
        <f t="shared" ref="O497" si="1432">+L497*N497</f>
        <v>0</v>
      </c>
      <c r="P497" s="649"/>
      <c r="Q497" s="649"/>
      <c r="R497" s="650"/>
      <c r="S497" s="650"/>
      <c r="T497" s="651">
        <f>+P497*S497</f>
        <v>0</v>
      </c>
      <c r="U497" s="1301">
        <f>+L497+P497+F497</f>
        <v>0</v>
      </c>
      <c r="V497" s="651">
        <f>+P497*R497+L497*N497+F497*H497</f>
        <v>0</v>
      </c>
      <c r="W497" s="653">
        <f>(IF(R497&gt;S497,(-P497*R497)-(-P497*S497),0))</f>
        <v>0</v>
      </c>
      <c r="X497" s="654">
        <f>(IF(R497&lt;S497,(-P497*R497)-(-P497*S497),0))</f>
        <v>0</v>
      </c>
      <c r="Y497" s="655"/>
      <c r="AA497" s="730"/>
      <c r="AB497" s="577"/>
      <c r="AC497" s="577"/>
      <c r="AD497" s="577"/>
      <c r="AE497" s="577"/>
      <c r="AF497" s="577"/>
      <c r="AG497" s="577"/>
      <c r="AH497" s="577"/>
      <c r="AI497" s="577"/>
      <c r="AJ497" s="577"/>
      <c r="AK497" s="577"/>
      <c r="AL497" s="577"/>
      <c r="AM497" s="577"/>
      <c r="AN497" s="577"/>
      <c r="AO497" s="577"/>
      <c r="AP497" s="577"/>
      <c r="AQ497" s="577"/>
      <c r="AR497" s="577"/>
      <c r="AS497" s="577"/>
      <c r="AT497" s="577"/>
      <c r="AU497" s="577"/>
      <c r="AV497" s="577"/>
      <c r="AW497" s="577"/>
      <c r="AX497" s="577"/>
      <c r="AY497" s="577"/>
      <c r="AZ497" s="577"/>
      <c r="BA497" s="577"/>
      <c r="BB497" s="577"/>
      <c r="BC497" s="577"/>
      <c r="BD497" s="577"/>
      <c r="BE497" s="577">
        <f>+M497</f>
        <v>0</v>
      </c>
      <c r="BF497" s="577"/>
      <c r="BG497" s="577"/>
      <c r="BH497" s="577"/>
      <c r="BI497" s="577"/>
      <c r="BJ497" s="577"/>
      <c r="BK497" s="577"/>
      <c r="BL497" s="577"/>
      <c r="BM497" s="577"/>
      <c r="BN497" s="577"/>
      <c r="BO497" s="577"/>
      <c r="BP497" s="577"/>
      <c r="BQ497" s="577"/>
      <c r="BR497" s="577"/>
      <c r="BS497" s="577"/>
      <c r="BT497" s="577"/>
      <c r="BU497" s="577"/>
      <c r="BV497" s="577"/>
      <c r="BW497" s="577"/>
      <c r="BX497" s="577"/>
      <c r="BY497" s="577"/>
      <c r="BZ497" s="577"/>
      <c r="CA497" s="577"/>
      <c r="CB497" s="577"/>
      <c r="CC497" s="577"/>
      <c r="CD497" s="577"/>
      <c r="CE497" s="577"/>
      <c r="CF497" s="577"/>
      <c r="CG497" s="577"/>
      <c r="CH497" s="577"/>
      <c r="CI497" s="577"/>
      <c r="CJ497" s="577"/>
      <c r="CK497" s="577"/>
      <c r="CL497" s="577"/>
      <c r="CM497" s="577"/>
      <c r="CN497" s="577"/>
      <c r="CO497" s="577"/>
      <c r="CP497" s="577"/>
      <c r="CQ497" s="577"/>
      <c r="CR497" s="577"/>
      <c r="CS497" s="577"/>
      <c r="CT497" s="577"/>
      <c r="CU497" s="577"/>
      <c r="CV497" s="577"/>
      <c r="CW497" s="577"/>
      <c r="CX497" s="577"/>
      <c r="CY497" s="577"/>
      <c r="CZ497" s="577"/>
      <c r="DA497" s="577"/>
      <c r="DB497" s="577"/>
      <c r="DC497" s="577"/>
      <c r="DD497" s="577"/>
      <c r="DE497" s="577"/>
      <c r="DF497" s="577"/>
      <c r="DG497" s="577"/>
      <c r="DH497" s="577"/>
      <c r="DI497" s="577"/>
      <c r="DJ497" s="577"/>
      <c r="DK497" s="577"/>
      <c r="DL497" s="577"/>
      <c r="DM497" s="577"/>
      <c r="DN497" s="577"/>
      <c r="DO497" s="577"/>
      <c r="DP497" s="577"/>
    </row>
    <row r="498" spans="1:120" hidden="1" outlineLevel="1">
      <c r="A498" s="55">
        <v>1110053030</v>
      </c>
      <c r="B498" s="509"/>
      <c r="C498" s="679" t="s">
        <v>64</v>
      </c>
      <c r="D498" s="1469"/>
      <c r="E498" s="1470"/>
      <c r="F498" s="416"/>
      <c r="G498" s="1251"/>
      <c r="H498" s="511"/>
      <c r="I498" s="512"/>
      <c r="J498" s="1425">
        <v>1</v>
      </c>
      <c r="K498" s="1426">
        <v>1</v>
      </c>
      <c r="L498" s="438"/>
      <c r="M498" s="1336">
        <f t="shared" ref="M498:M500" si="1433">+L498*J498</f>
        <v>0</v>
      </c>
      <c r="N498" s="504"/>
      <c r="O498" s="513">
        <f t="shared" ref="O498:O500" si="1434">+L498*J498*N498</f>
        <v>0</v>
      </c>
      <c r="P498" s="514"/>
      <c r="Q498" s="514">
        <f t="shared" ref="Q498:Q500" si="1435">+P498*K498</f>
        <v>0</v>
      </c>
      <c r="R498" s="515"/>
      <c r="S498" s="426"/>
      <c r="T498" s="562">
        <f t="shared" ref="T498:T500" si="1436">+P498*K498*S498</f>
        <v>0</v>
      </c>
      <c r="U498" s="1493">
        <f t="shared" ref="U498:U500" si="1437">+L498+P498+F498</f>
        <v>0</v>
      </c>
      <c r="V498" s="1127">
        <f t="shared" ref="V498:V500" si="1438">+P498*J498*R498+L498*J498*N498+F498*J498*H498</f>
        <v>0</v>
      </c>
      <c r="W498" s="976">
        <f t="shared" ref="W498:W500" si="1439">IF((-P498*J498*R498)-(-P498*K498*S498)&gt;0,(-P498*J498*R498)-(-P498*K498*S498),0)</f>
        <v>0</v>
      </c>
      <c r="X498" s="975">
        <f t="shared" ref="X498:X500" si="1440">IF((-P498*J498*R498)-(-P498*K498*S498)&lt;0,(-P498*J498*R498)-(-P498*K498*S498),0)</f>
        <v>0</v>
      </c>
      <c r="Y498" s="519"/>
      <c r="AA498" s="1551"/>
      <c r="AB498" s="580"/>
      <c r="AC498" s="580"/>
      <c r="AD498" s="580"/>
      <c r="AE498" s="580"/>
      <c r="AF498" s="580"/>
      <c r="AG498" s="580"/>
      <c r="AH498" s="580"/>
      <c r="AI498" s="580">
        <f>+Q498</f>
        <v>0</v>
      </c>
      <c r="AJ498" s="580"/>
      <c r="AK498" s="580"/>
      <c r="AL498" s="1513"/>
      <c r="AM498" s="580"/>
      <c r="AN498" s="580"/>
      <c r="AO498" s="580"/>
      <c r="AP498" s="580"/>
      <c r="AQ498" s="580"/>
      <c r="AR498" s="580"/>
      <c r="AS498" s="580"/>
      <c r="AT498" s="580"/>
      <c r="AU498" s="580"/>
      <c r="AV498" s="580"/>
      <c r="AW498" s="580"/>
      <c r="AX498" s="580"/>
      <c r="AY498" s="580"/>
      <c r="AZ498" s="580"/>
      <c r="BA498" s="580"/>
      <c r="BB498" s="580"/>
      <c r="BC498" s="580"/>
      <c r="BD498" s="580"/>
      <c r="BE498" s="580"/>
      <c r="BF498" s="580"/>
      <c r="BG498" s="580"/>
      <c r="BH498" s="580"/>
      <c r="BI498" s="580"/>
      <c r="BJ498" s="580"/>
      <c r="BK498" s="580"/>
      <c r="BL498" s="580"/>
      <c r="BM498" s="580"/>
      <c r="BN498" s="580"/>
      <c r="BO498" s="580"/>
      <c r="BP498" s="580"/>
      <c r="BQ498" s="580"/>
      <c r="BR498" s="580"/>
      <c r="BS498" s="580"/>
      <c r="BT498" s="580"/>
      <c r="BU498" s="580"/>
      <c r="BV498" s="580"/>
      <c r="BW498" s="580"/>
      <c r="BX498" s="580"/>
      <c r="BY498" s="580"/>
      <c r="BZ498" s="580"/>
      <c r="CA498" s="580"/>
      <c r="CB498" s="580"/>
      <c r="CC498" s="580"/>
      <c r="CD498" s="580"/>
      <c r="CE498" s="580"/>
      <c r="CF498" s="580"/>
      <c r="CG498" s="580"/>
      <c r="CH498" s="580"/>
      <c r="CI498" s="580"/>
      <c r="CJ498" s="580"/>
      <c r="CK498" s="580"/>
      <c r="CL498" s="580"/>
      <c r="CM498" s="580"/>
      <c r="CN498" s="580"/>
      <c r="CO498" s="580"/>
      <c r="CP498" s="580"/>
      <c r="CQ498" s="580"/>
      <c r="CR498" s="580"/>
      <c r="CS498" s="580"/>
      <c r="CT498" s="580"/>
      <c r="CU498" s="580"/>
      <c r="CV498" s="580"/>
      <c r="CW498" s="580"/>
      <c r="CX498" s="580"/>
      <c r="CY498" s="580"/>
      <c r="CZ498" s="580"/>
      <c r="DA498" s="580"/>
      <c r="DB498" s="580"/>
      <c r="DC498" s="580"/>
      <c r="DD498" s="580"/>
      <c r="DE498" s="580"/>
      <c r="DF498" s="580"/>
      <c r="DG498" s="580"/>
      <c r="DH498" s="580"/>
      <c r="DI498" s="580"/>
      <c r="DJ498" s="580"/>
      <c r="DK498" s="580"/>
      <c r="DL498" s="580"/>
      <c r="DM498" s="580"/>
      <c r="DN498" s="580"/>
      <c r="DO498" s="580"/>
      <c r="DP498" s="580"/>
    </row>
    <row r="499" spans="1:120" s="235" customFormat="1" hidden="1" outlineLevel="1">
      <c r="A499" s="57">
        <v>1110053035</v>
      </c>
      <c r="B499" s="521"/>
      <c r="C499" s="1466" t="s">
        <v>64</v>
      </c>
      <c r="D499" s="1471"/>
      <c r="E499" s="1472"/>
      <c r="F499" s="58"/>
      <c r="G499" s="1252"/>
      <c r="H499" s="522"/>
      <c r="I499" s="523"/>
      <c r="J499" s="1451">
        <v>1</v>
      </c>
      <c r="K499" s="1452">
        <v>1</v>
      </c>
      <c r="L499" s="1549"/>
      <c r="M499" s="1464">
        <f t="shared" ref="M499" si="1441">+L499*J499</f>
        <v>0</v>
      </c>
      <c r="N499" s="524"/>
      <c r="O499" s="525">
        <f t="shared" ref="O499" si="1442">+L499*J499*N499</f>
        <v>0</v>
      </c>
      <c r="P499" s="526"/>
      <c r="Q499" s="526">
        <f t="shared" ref="Q499" si="1443">+P499*K499</f>
        <v>0</v>
      </c>
      <c r="R499" s="527"/>
      <c r="S499" s="527"/>
      <c r="T499" s="564">
        <f t="shared" ref="T499" si="1444">+P499*K499*S499</f>
        <v>0</v>
      </c>
      <c r="U499" s="1550">
        <f t="shared" ref="U499" si="1445">+L499+P499+F499</f>
        <v>0</v>
      </c>
      <c r="V499" s="1144">
        <f t="shared" ref="V499" si="1446">+P499*J499*R499+L499*J499*N499+F499*J499*H499</f>
        <v>0</v>
      </c>
      <c r="W499" s="94">
        <f t="shared" ref="W499" si="1447">IF((-P499*J499*R499)-(-P499*K499*S499)&gt;0,(-P499*J499*R499)-(-P499*K499*S499),0)</f>
        <v>0</v>
      </c>
      <c r="X499" s="530">
        <f t="shared" ref="X499" si="1448">IF((-P499*J499*R499)-(-P499*K499*S499)&lt;0,(-P499*J499*R499)-(-P499*K499*S499),0)</f>
        <v>0</v>
      </c>
      <c r="Y499" s="792"/>
      <c r="Z499" s="220"/>
      <c r="AA499" s="1552"/>
      <c r="AB499" s="1548"/>
      <c r="AC499" s="1548"/>
      <c r="AD499" s="1548"/>
      <c r="AE499" s="1548"/>
      <c r="AF499" s="1548"/>
      <c r="AG499" s="1548"/>
      <c r="AH499" s="1548"/>
      <c r="AI499" s="1548"/>
      <c r="AJ499" s="1548"/>
      <c r="AK499" s="1548"/>
      <c r="AL499" s="1573"/>
      <c r="AM499" s="1548"/>
      <c r="AN499" s="1548"/>
      <c r="AO499" s="1548"/>
      <c r="AP499" s="1548"/>
      <c r="AQ499" s="1548"/>
      <c r="AR499" s="1548"/>
      <c r="AS499" s="1548"/>
      <c r="AT499" s="580"/>
      <c r="AU499" s="1548"/>
      <c r="AV499" s="1548"/>
      <c r="AW499" s="1548"/>
      <c r="AX499" s="1548"/>
      <c r="AY499" s="1548"/>
      <c r="AZ499" s="1548"/>
      <c r="BA499" s="1548"/>
      <c r="BB499" s="1548"/>
      <c r="BC499" s="1548"/>
      <c r="BD499" s="1548"/>
      <c r="BE499" s="1548"/>
      <c r="BF499" s="1548"/>
      <c r="BG499" s="1548"/>
      <c r="BH499" s="1548"/>
      <c r="BI499" s="1548"/>
      <c r="BJ499" s="1548"/>
      <c r="BK499" s="1548"/>
      <c r="BL499" s="1548"/>
      <c r="BM499" s="1548"/>
      <c r="BN499" s="1548"/>
      <c r="BO499" s="1548"/>
      <c r="BP499" s="1548"/>
      <c r="BQ499" s="1548"/>
      <c r="BR499" s="1548"/>
      <c r="BS499" s="1548"/>
      <c r="BT499" s="1548"/>
      <c r="BU499" s="1548"/>
      <c r="BV499" s="1548"/>
      <c r="BW499" s="1548"/>
      <c r="BX499" s="1548"/>
      <c r="BY499" s="1548"/>
      <c r="BZ499" s="1548"/>
      <c r="CA499" s="1548"/>
      <c r="CB499" s="1548"/>
      <c r="CC499" s="1548"/>
      <c r="CD499" s="1548"/>
      <c r="CE499" s="1548"/>
      <c r="CF499" s="1548"/>
      <c r="CG499" s="1548"/>
      <c r="CH499" s="1548"/>
      <c r="CI499" s="1548"/>
      <c r="CJ499" s="1548"/>
      <c r="CK499" s="1548"/>
      <c r="CL499" s="1548"/>
      <c r="CM499" s="1548"/>
      <c r="CN499" s="1548"/>
      <c r="CO499" s="1548"/>
      <c r="CP499" s="1548"/>
      <c r="CQ499" s="1548"/>
      <c r="CR499" s="1548"/>
      <c r="CS499" s="1548"/>
      <c r="CT499" s="1548"/>
      <c r="CU499" s="1548"/>
      <c r="CV499" s="1548"/>
      <c r="CW499" s="1548"/>
      <c r="CX499" s="1548"/>
      <c r="CY499" s="1548"/>
      <c r="CZ499" s="1548"/>
      <c r="DA499" s="1548"/>
      <c r="DB499" s="1548"/>
      <c r="DC499" s="1548"/>
      <c r="DD499" s="1548"/>
      <c r="DE499" s="1548"/>
      <c r="DF499" s="1548"/>
      <c r="DG499" s="1548"/>
      <c r="DH499" s="1548"/>
      <c r="DI499" s="1548"/>
      <c r="DJ499" s="1548"/>
      <c r="DK499" s="1548"/>
      <c r="DL499" s="1548"/>
      <c r="DM499" s="1548"/>
      <c r="DN499" s="1548"/>
      <c r="DO499" s="1548"/>
      <c r="DP499" s="1548"/>
    </row>
    <row r="500" spans="1:120" hidden="1" outlineLevel="1">
      <c r="A500" s="55"/>
      <c r="B500" s="509"/>
      <c r="C500" s="679"/>
      <c r="D500" s="1469"/>
      <c r="E500" s="1470"/>
      <c r="F500" s="416"/>
      <c r="G500" s="1251"/>
      <c r="H500" s="511"/>
      <c r="I500" s="512"/>
      <c r="J500" s="1425">
        <v>1</v>
      </c>
      <c r="K500" s="1426">
        <v>1</v>
      </c>
      <c r="L500" s="438"/>
      <c r="M500" s="1336">
        <f t="shared" si="1433"/>
        <v>0</v>
      </c>
      <c r="N500" s="504"/>
      <c r="O500" s="513">
        <f t="shared" si="1434"/>
        <v>0</v>
      </c>
      <c r="P500" s="514"/>
      <c r="Q500" s="514">
        <f t="shared" si="1435"/>
        <v>0</v>
      </c>
      <c r="R500" s="515"/>
      <c r="S500" s="515"/>
      <c r="T500" s="562">
        <f t="shared" si="1436"/>
        <v>0</v>
      </c>
      <c r="U500" s="1493">
        <f t="shared" si="1437"/>
        <v>0</v>
      </c>
      <c r="V500" s="1127">
        <f t="shared" si="1438"/>
        <v>0</v>
      </c>
      <c r="W500" s="976">
        <f t="shared" si="1439"/>
        <v>0</v>
      </c>
      <c r="X500" s="975">
        <f t="shared" si="1440"/>
        <v>0</v>
      </c>
      <c r="Y500" s="519"/>
      <c r="AA500" s="1551"/>
      <c r="AB500" s="580"/>
      <c r="AC500" s="580"/>
      <c r="AD500" s="580"/>
      <c r="AE500" s="580"/>
      <c r="AF500" s="580"/>
      <c r="AG500" s="580"/>
      <c r="AH500" s="580"/>
      <c r="AI500" s="580"/>
      <c r="AJ500" s="580"/>
      <c r="AK500" s="580"/>
      <c r="AL500" s="1513"/>
      <c r="AM500" s="580"/>
      <c r="AN500" s="580"/>
      <c r="AO500" s="580"/>
      <c r="AP500" s="580"/>
      <c r="AQ500" s="580"/>
      <c r="AR500" s="580"/>
      <c r="AS500" s="580"/>
      <c r="AT500" s="580"/>
      <c r="AU500" s="580"/>
      <c r="AV500" s="580"/>
      <c r="AW500" s="580"/>
      <c r="AX500" s="580"/>
      <c r="AY500" s="580"/>
      <c r="AZ500" s="580"/>
      <c r="BA500" s="580"/>
      <c r="BB500" s="580"/>
      <c r="BC500" s="580"/>
      <c r="BD500" s="580"/>
      <c r="BE500" s="580"/>
      <c r="BF500" s="580"/>
      <c r="BG500" s="580"/>
      <c r="BH500" s="580"/>
      <c r="BI500" s="580"/>
      <c r="BJ500" s="580"/>
      <c r="BK500" s="580"/>
      <c r="BL500" s="580"/>
      <c r="BM500" s="580"/>
      <c r="BN500" s="580"/>
      <c r="BO500" s="580"/>
      <c r="BP500" s="580"/>
      <c r="BQ500" s="580"/>
      <c r="BR500" s="580"/>
      <c r="BS500" s="580"/>
      <c r="BT500" s="580"/>
      <c r="BU500" s="580"/>
      <c r="BV500" s="580"/>
      <c r="BW500" s="580"/>
      <c r="BX500" s="580"/>
      <c r="BY500" s="580"/>
      <c r="BZ500" s="580"/>
      <c r="CA500" s="580"/>
      <c r="CB500" s="580"/>
      <c r="CC500" s="580"/>
      <c r="CD500" s="580"/>
      <c r="CE500" s="580"/>
      <c r="CF500" s="580"/>
      <c r="CG500" s="580"/>
      <c r="CH500" s="580"/>
      <c r="CI500" s="580"/>
      <c r="CJ500" s="580"/>
      <c r="CK500" s="580"/>
      <c r="CL500" s="580"/>
      <c r="CM500" s="580"/>
      <c r="CN500" s="580"/>
      <c r="CO500" s="580"/>
      <c r="CP500" s="580"/>
      <c r="CQ500" s="580"/>
      <c r="CR500" s="580"/>
      <c r="CS500" s="580"/>
      <c r="CT500" s="580"/>
      <c r="CU500" s="580"/>
      <c r="CV500" s="580"/>
      <c r="CW500" s="580"/>
      <c r="CX500" s="580"/>
      <c r="CY500" s="580"/>
      <c r="CZ500" s="580"/>
      <c r="DA500" s="580"/>
      <c r="DB500" s="580"/>
      <c r="DC500" s="580"/>
      <c r="DD500" s="580"/>
      <c r="DE500" s="580"/>
      <c r="DF500" s="580"/>
      <c r="DG500" s="580"/>
      <c r="DH500" s="580"/>
      <c r="DI500" s="580"/>
      <c r="DJ500" s="580"/>
      <c r="DK500" s="580"/>
      <c r="DL500" s="580"/>
      <c r="DM500" s="580"/>
      <c r="DN500" s="580"/>
      <c r="DO500" s="580"/>
      <c r="DP500" s="580"/>
    </row>
    <row r="501" spans="1:120" ht="16.5" hidden="1" collapsed="1" thickBot="1">
      <c r="A501" s="62" t="s">
        <v>228</v>
      </c>
      <c r="B501" s="63"/>
      <c r="C501" s="64"/>
      <c r="D501" s="1473"/>
      <c r="E501" s="1474"/>
      <c r="F501" s="66">
        <f>SUM(F497:F500)</f>
        <v>0</v>
      </c>
      <c r="G501" s="1253"/>
      <c r="H501" s="67"/>
      <c r="I501" s="68">
        <f>SUM(I497:I500)</f>
        <v>0</v>
      </c>
      <c r="J501" s="1376"/>
      <c r="K501" s="76"/>
      <c r="L501" s="1511">
        <f>SUM(L497:L500)</f>
        <v>0</v>
      </c>
      <c r="M501" s="1300"/>
      <c r="N501" s="70"/>
      <c r="O501" s="71">
        <f>SUM(O497:O500)</f>
        <v>0</v>
      </c>
      <c r="P501" s="72">
        <f>SUM(P497:P500)</f>
        <v>0</v>
      </c>
      <c r="Q501" s="1339"/>
      <c r="R501" s="73"/>
      <c r="S501" s="73"/>
      <c r="T501" s="96">
        <f>SUM(T497:T500)</f>
        <v>0</v>
      </c>
      <c r="U501" s="1495">
        <f>SUM(U497:U500)</f>
        <v>0</v>
      </c>
      <c r="V501" s="76">
        <f>SUM(V497:V500)</f>
        <v>0</v>
      </c>
      <c r="W501" s="97">
        <f>SUM(W497:W500)</f>
        <v>0</v>
      </c>
      <c r="X501" s="98">
        <f>SUM(X497:X500)</f>
        <v>0</v>
      </c>
      <c r="Y501" s="43"/>
      <c r="AA501" s="192">
        <f t="shared" ref="AA501:BF501" ca="1" si="1449">SUM(AA495:AA500)</f>
        <v>0</v>
      </c>
      <c r="AB501" s="172">
        <f t="shared" ca="1" si="1449"/>
        <v>0</v>
      </c>
      <c r="AC501" s="172">
        <f t="shared" ca="1" si="1449"/>
        <v>0</v>
      </c>
      <c r="AD501" s="172">
        <f t="shared" ca="1" si="1449"/>
        <v>0</v>
      </c>
      <c r="AE501" s="172">
        <f t="shared" ca="1" si="1449"/>
        <v>0</v>
      </c>
      <c r="AF501" s="172">
        <f t="shared" ca="1" si="1449"/>
        <v>0</v>
      </c>
      <c r="AG501" s="172">
        <f t="shared" ca="1" si="1449"/>
        <v>0</v>
      </c>
      <c r="AH501" s="172">
        <f t="shared" ca="1" si="1449"/>
        <v>0</v>
      </c>
      <c r="AI501" s="172">
        <f t="shared" ca="1" si="1449"/>
        <v>0</v>
      </c>
      <c r="AJ501" s="172">
        <f t="shared" ca="1" si="1449"/>
        <v>0</v>
      </c>
      <c r="AK501" s="172">
        <f t="shared" ca="1" si="1449"/>
        <v>0</v>
      </c>
      <c r="AL501" s="172">
        <f t="shared" ca="1" si="1449"/>
        <v>0</v>
      </c>
      <c r="AM501" s="172">
        <f t="shared" ca="1" si="1449"/>
        <v>0</v>
      </c>
      <c r="AN501" s="172">
        <f t="shared" ca="1" si="1449"/>
        <v>0</v>
      </c>
      <c r="AO501" s="172">
        <f t="shared" ca="1" si="1449"/>
        <v>0</v>
      </c>
      <c r="AP501" s="172">
        <f t="shared" ca="1" si="1449"/>
        <v>0</v>
      </c>
      <c r="AQ501" s="172">
        <f t="shared" ca="1" si="1449"/>
        <v>0</v>
      </c>
      <c r="AR501" s="172">
        <f t="shared" ca="1" si="1449"/>
        <v>0</v>
      </c>
      <c r="AS501" s="172">
        <f t="shared" ca="1" si="1449"/>
        <v>0</v>
      </c>
      <c r="AT501" s="172">
        <f t="shared" ca="1" si="1449"/>
        <v>0</v>
      </c>
      <c r="AU501" s="172">
        <f t="shared" ca="1" si="1449"/>
        <v>0</v>
      </c>
      <c r="AV501" s="172">
        <f t="shared" ca="1" si="1449"/>
        <v>0</v>
      </c>
      <c r="AW501" s="172">
        <f t="shared" ca="1" si="1449"/>
        <v>0</v>
      </c>
      <c r="AX501" s="172">
        <f t="shared" ca="1" si="1449"/>
        <v>0</v>
      </c>
      <c r="AY501" s="172">
        <f t="shared" ca="1" si="1449"/>
        <v>0</v>
      </c>
      <c r="AZ501" s="172">
        <f t="shared" ca="1" si="1449"/>
        <v>0</v>
      </c>
      <c r="BA501" s="172">
        <f t="shared" ca="1" si="1449"/>
        <v>0</v>
      </c>
      <c r="BB501" s="172">
        <f t="shared" ca="1" si="1449"/>
        <v>0</v>
      </c>
      <c r="BC501" s="172">
        <f t="shared" ca="1" si="1449"/>
        <v>0</v>
      </c>
      <c r="BD501" s="172">
        <f t="shared" ca="1" si="1449"/>
        <v>0</v>
      </c>
      <c r="BE501" s="172">
        <f t="shared" ca="1" si="1449"/>
        <v>0</v>
      </c>
      <c r="BF501" s="172">
        <f t="shared" ca="1" si="1449"/>
        <v>0</v>
      </c>
      <c r="BG501" s="172">
        <f t="shared" ref="BG501:CL501" ca="1" si="1450">SUM(BG495:BG500)</f>
        <v>0</v>
      </c>
      <c r="BH501" s="172">
        <f t="shared" ca="1" si="1450"/>
        <v>0</v>
      </c>
      <c r="BI501" s="172">
        <f t="shared" ca="1" si="1450"/>
        <v>0</v>
      </c>
      <c r="BJ501" s="172">
        <f t="shared" ca="1" si="1450"/>
        <v>0</v>
      </c>
      <c r="BK501" s="172">
        <f t="shared" ca="1" si="1450"/>
        <v>0</v>
      </c>
      <c r="BL501" s="172">
        <f t="shared" ca="1" si="1450"/>
        <v>0</v>
      </c>
      <c r="BM501" s="172">
        <f t="shared" ca="1" si="1450"/>
        <v>0</v>
      </c>
      <c r="BN501" s="172">
        <f t="shared" ca="1" si="1450"/>
        <v>0</v>
      </c>
      <c r="BO501" s="172">
        <f t="shared" ca="1" si="1450"/>
        <v>0</v>
      </c>
      <c r="BP501" s="172">
        <f t="shared" ca="1" si="1450"/>
        <v>0</v>
      </c>
      <c r="BQ501" s="172">
        <f t="shared" ca="1" si="1450"/>
        <v>0</v>
      </c>
      <c r="BR501" s="172">
        <f t="shared" ca="1" si="1450"/>
        <v>0</v>
      </c>
      <c r="BS501" s="172">
        <f t="shared" ca="1" si="1450"/>
        <v>0</v>
      </c>
      <c r="BT501" s="172">
        <f t="shared" ca="1" si="1450"/>
        <v>0</v>
      </c>
      <c r="BU501" s="172">
        <f t="shared" ca="1" si="1450"/>
        <v>0</v>
      </c>
      <c r="BV501" s="172">
        <f t="shared" ca="1" si="1450"/>
        <v>0</v>
      </c>
      <c r="BW501" s="172">
        <f t="shared" ca="1" si="1450"/>
        <v>0</v>
      </c>
      <c r="BX501" s="172">
        <f t="shared" ca="1" si="1450"/>
        <v>0</v>
      </c>
      <c r="BY501" s="172">
        <f t="shared" ca="1" si="1450"/>
        <v>0</v>
      </c>
      <c r="BZ501" s="172">
        <f t="shared" ca="1" si="1450"/>
        <v>0</v>
      </c>
      <c r="CA501" s="172">
        <f t="shared" ca="1" si="1450"/>
        <v>0</v>
      </c>
      <c r="CB501" s="172">
        <f t="shared" ca="1" si="1450"/>
        <v>0</v>
      </c>
      <c r="CC501" s="172">
        <f t="shared" ca="1" si="1450"/>
        <v>0</v>
      </c>
      <c r="CD501" s="172">
        <f t="shared" ca="1" si="1450"/>
        <v>0</v>
      </c>
      <c r="CE501" s="172">
        <f t="shared" ca="1" si="1450"/>
        <v>0</v>
      </c>
      <c r="CF501" s="172">
        <f t="shared" ca="1" si="1450"/>
        <v>0</v>
      </c>
      <c r="CG501" s="172">
        <f t="shared" ca="1" si="1450"/>
        <v>0</v>
      </c>
      <c r="CH501" s="172">
        <f t="shared" ca="1" si="1450"/>
        <v>0</v>
      </c>
      <c r="CI501" s="172">
        <f t="shared" ca="1" si="1450"/>
        <v>0</v>
      </c>
      <c r="CJ501" s="172">
        <f t="shared" ca="1" si="1450"/>
        <v>0</v>
      </c>
      <c r="CK501" s="172">
        <f t="shared" ca="1" si="1450"/>
        <v>0</v>
      </c>
      <c r="CL501" s="172">
        <f t="shared" ca="1" si="1450"/>
        <v>0</v>
      </c>
      <c r="CM501" s="172">
        <f t="shared" ref="CM501:CN501" ca="1" si="1451">SUM(CM495:CM500)</f>
        <v>0</v>
      </c>
      <c r="CN501" s="172">
        <f t="shared" ca="1" si="1451"/>
        <v>0</v>
      </c>
      <c r="CO501" s="172"/>
      <c r="CP501" s="172"/>
      <c r="CQ501" s="172"/>
      <c r="CR501" s="172"/>
      <c r="CS501" s="172"/>
      <c r="CT501" s="172"/>
      <c r="CU501" s="172"/>
      <c r="CV501" s="172"/>
      <c r="CW501" s="172"/>
      <c r="CX501" s="172"/>
      <c r="CY501" s="172"/>
      <c r="CZ501" s="172"/>
      <c r="DA501" s="172"/>
      <c r="DB501" s="172"/>
      <c r="DC501" s="172"/>
      <c r="DD501" s="172"/>
      <c r="DE501" s="172"/>
      <c r="DF501" s="172"/>
      <c r="DG501" s="172"/>
      <c r="DH501" s="172"/>
      <c r="DI501" s="172"/>
      <c r="DJ501" s="172"/>
      <c r="DK501" s="172"/>
      <c r="DL501" s="172"/>
      <c r="DM501" s="172"/>
      <c r="DN501" s="172"/>
      <c r="DO501" s="172"/>
      <c r="DP501" s="172"/>
    </row>
    <row r="502" spans="1:120" hidden="1"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24"/>
      <c r="CH502" s="24"/>
      <c r="CI502" s="24"/>
      <c r="CJ502" s="24"/>
      <c r="CK502" s="24"/>
      <c r="CL502" s="24"/>
      <c r="CM502" s="24"/>
      <c r="CN502" s="24"/>
      <c r="CO502" s="24"/>
      <c r="CP502" s="24"/>
      <c r="CQ502" s="24"/>
      <c r="CR502" s="24"/>
      <c r="CS502" s="24"/>
      <c r="CT502" s="24"/>
      <c r="CU502" s="24"/>
      <c r="CV502" s="24"/>
      <c r="CW502" s="24"/>
      <c r="CX502" s="24"/>
      <c r="CY502" s="24"/>
      <c r="CZ502" s="24"/>
      <c r="DA502" s="24"/>
      <c r="DB502" s="24"/>
      <c r="DC502" s="24"/>
      <c r="DD502" s="24"/>
      <c r="DE502" s="24"/>
      <c r="DF502" s="24"/>
      <c r="DG502" s="24"/>
      <c r="DH502" s="24"/>
      <c r="DI502" s="24"/>
      <c r="DJ502" s="24"/>
      <c r="DK502" s="24"/>
      <c r="DL502" s="24"/>
      <c r="DM502" s="24"/>
      <c r="DN502" s="24"/>
      <c r="DO502" s="24"/>
      <c r="DP502" s="24"/>
    </row>
    <row r="503" spans="1:120" hidden="1" outlineLevel="1">
      <c r="A503" s="640">
        <v>1110053030</v>
      </c>
      <c r="B503" s="573"/>
      <c r="C503" s="641" t="s">
        <v>64</v>
      </c>
      <c r="D503" s="1489"/>
      <c r="E503" s="1490"/>
      <c r="F503" s="643"/>
      <c r="G503" s="1262"/>
      <c r="H503" s="644"/>
      <c r="I503" s="645"/>
      <c r="J503" s="1483">
        <v>1</v>
      </c>
      <c r="K503" s="1484">
        <v>1</v>
      </c>
      <c r="L503" s="646"/>
      <c r="M503" s="1428">
        <f t="shared" ref="M503" si="1452">+L503*J503</f>
        <v>0</v>
      </c>
      <c r="N503" s="647"/>
      <c r="O503" s="648">
        <f>+L503*N503</f>
        <v>0</v>
      </c>
      <c r="P503" s="649"/>
      <c r="Q503" s="649"/>
      <c r="R503" s="650"/>
      <c r="S503" s="650"/>
      <c r="T503" s="651">
        <f>+P503*S503</f>
        <v>0</v>
      </c>
      <c r="U503" s="1301">
        <f>+L503+P503+F503</f>
        <v>0</v>
      </c>
      <c r="V503" s="651">
        <f>+P503*R503+L503*N503+F503*H503</f>
        <v>0</v>
      </c>
      <c r="W503" s="653">
        <f>(IF(R503&gt;S503,(-P503*R503)-(-P503*S503),0))</f>
        <v>0</v>
      </c>
      <c r="X503" s="654">
        <f>(IF(R503&lt;S503,(-P503*R503)-(-P503*S503),0))</f>
        <v>0</v>
      </c>
      <c r="Y503" s="655"/>
      <c r="AA503" s="730"/>
      <c r="AB503" s="577"/>
      <c r="AC503" s="577"/>
      <c r="AD503" s="577"/>
      <c r="AE503" s="577"/>
      <c r="AF503" s="577"/>
      <c r="AG503" s="577"/>
      <c r="AH503" s="577"/>
      <c r="AI503" s="577"/>
      <c r="AJ503" s="577"/>
      <c r="AK503" s="577"/>
      <c r="AL503" s="577"/>
      <c r="AM503" s="577"/>
      <c r="AN503" s="577"/>
      <c r="AO503" s="577"/>
      <c r="AP503" s="577"/>
      <c r="AQ503" s="577"/>
      <c r="AR503" s="577"/>
      <c r="AS503" s="577"/>
      <c r="AT503" s="577"/>
      <c r="AU503" s="577"/>
      <c r="AV503" s="577"/>
      <c r="AW503" s="577"/>
      <c r="AX503" s="577"/>
      <c r="AY503" s="577"/>
      <c r="AZ503" s="577"/>
      <c r="BA503" s="577"/>
      <c r="BB503" s="577"/>
      <c r="BC503" s="577"/>
      <c r="BD503" s="577"/>
      <c r="BE503" s="577"/>
      <c r="BF503" s="577"/>
      <c r="BG503" s="577"/>
      <c r="BH503" s="577"/>
      <c r="BI503" s="577"/>
      <c r="BJ503" s="577"/>
      <c r="BK503" s="577">
        <f>+M503</f>
        <v>0</v>
      </c>
      <c r="BL503" s="577"/>
      <c r="BM503" s="577"/>
      <c r="BN503" s="577"/>
      <c r="BO503" s="577"/>
      <c r="BP503" s="577"/>
      <c r="BQ503" s="577"/>
      <c r="BR503" s="577"/>
      <c r="BS503" s="577"/>
      <c r="BT503" s="577"/>
      <c r="BU503" s="577"/>
      <c r="BV503" s="577"/>
      <c r="BW503" s="577"/>
      <c r="BX503" s="577"/>
      <c r="BY503" s="577"/>
      <c r="BZ503" s="577"/>
      <c r="CA503" s="577"/>
      <c r="CB503" s="577"/>
      <c r="CC503" s="577"/>
      <c r="CD503" s="577"/>
      <c r="CE503" s="577"/>
      <c r="CF503" s="577"/>
      <c r="CG503" s="577"/>
      <c r="CH503" s="577"/>
      <c r="CI503" s="577"/>
      <c r="CJ503" s="577"/>
      <c r="CK503" s="577"/>
      <c r="CL503" s="577"/>
      <c r="CM503" s="577"/>
      <c r="CN503" s="577"/>
      <c r="CO503" s="577"/>
      <c r="CP503" s="577"/>
      <c r="CQ503" s="577"/>
      <c r="CR503" s="577"/>
      <c r="CS503" s="577"/>
      <c r="CT503" s="577"/>
      <c r="CU503" s="577"/>
      <c r="CV503" s="577"/>
      <c r="CW503" s="577"/>
      <c r="CX503" s="577"/>
      <c r="CY503" s="577"/>
      <c r="CZ503" s="577"/>
      <c r="DA503" s="577"/>
      <c r="DB503" s="577"/>
      <c r="DC503" s="577"/>
      <c r="DD503" s="577"/>
      <c r="DE503" s="577"/>
      <c r="DF503" s="577"/>
      <c r="DG503" s="577"/>
      <c r="DH503" s="577"/>
      <c r="DI503" s="577"/>
      <c r="DJ503" s="577"/>
      <c r="DK503" s="577"/>
      <c r="DL503" s="577"/>
      <c r="DM503" s="577"/>
      <c r="DN503" s="577"/>
      <c r="DO503" s="577"/>
      <c r="DP503" s="577"/>
    </row>
    <row r="504" spans="1:120" hidden="1" outlineLevel="1">
      <c r="A504" s="55">
        <v>1110053030</v>
      </c>
      <c r="B504" s="509"/>
      <c r="C504" s="679" t="s">
        <v>64</v>
      </c>
      <c r="D504" s="1469"/>
      <c r="E504" s="1470"/>
      <c r="F504" s="416"/>
      <c r="G504" s="1251"/>
      <c r="H504" s="511"/>
      <c r="I504" s="512"/>
      <c r="J504" s="1425">
        <v>1</v>
      </c>
      <c r="K504" s="1426">
        <v>1</v>
      </c>
      <c r="L504" s="417"/>
      <c r="M504" s="1336">
        <f t="shared" ref="M504:M505" si="1453">+L504*J504</f>
        <v>0</v>
      </c>
      <c r="N504" s="504"/>
      <c r="O504" s="513">
        <f t="shared" ref="O504:O505" si="1454">+L504*J504*N504</f>
        <v>0</v>
      </c>
      <c r="P504" s="514"/>
      <c r="Q504" s="514">
        <f t="shared" ref="Q504:Q505" si="1455">+P504*K504</f>
        <v>0</v>
      </c>
      <c r="R504" s="515"/>
      <c r="S504" s="426"/>
      <c r="T504" s="562">
        <f t="shared" ref="T504:T505" si="1456">+P504*K504*S504</f>
        <v>0</v>
      </c>
      <c r="U504" s="1493">
        <f t="shared" ref="U504:U505" si="1457">+L504+P504+F504</f>
        <v>0</v>
      </c>
      <c r="V504" s="1127">
        <f t="shared" ref="V504:V505" si="1458">+P504*J504*R504+L504*J504*N504+F504*J504*H504</f>
        <v>0</v>
      </c>
      <c r="W504" s="976">
        <f t="shared" ref="W504:W505" si="1459">IF((-P504*J504*R504)-(-P504*K504*S504)&gt;0,(-P504*J504*R504)-(-P504*K504*S504),0)</f>
        <v>0</v>
      </c>
      <c r="X504" s="975">
        <f t="shared" ref="X504:X505" si="1460">IF((-P504*J504*R504)-(-P504*K504*S504)&lt;0,(-P504*J504*R504)-(-P504*K504*S504),0)</f>
        <v>0</v>
      </c>
      <c r="Y504" s="519"/>
      <c r="AA504" s="1551"/>
      <c r="AB504" s="580"/>
      <c r="AC504" s="580"/>
      <c r="AD504" s="580"/>
      <c r="AE504" s="580"/>
      <c r="AF504" s="580"/>
      <c r="AG504" s="580"/>
      <c r="AH504" s="580"/>
      <c r="AI504" s="580">
        <f>+Q504</f>
        <v>0</v>
      </c>
      <c r="AJ504" s="580"/>
      <c r="AK504" s="580"/>
      <c r="AL504" s="1513"/>
      <c r="AM504" s="580"/>
      <c r="AN504" s="580"/>
      <c r="AO504" s="580"/>
      <c r="AP504" s="580"/>
      <c r="AQ504" s="580"/>
      <c r="AR504" s="580"/>
      <c r="AS504" s="580"/>
      <c r="AT504" s="580"/>
      <c r="AU504" s="580"/>
      <c r="AV504" s="580"/>
      <c r="AW504" s="580"/>
      <c r="AX504" s="580"/>
      <c r="AY504" s="580"/>
      <c r="AZ504" s="580"/>
      <c r="BA504" s="580"/>
      <c r="BB504" s="580"/>
      <c r="BC504" s="580"/>
      <c r="BD504" s="580"/>
      <c r="BE504" s="580"/>
      <c r="BF504" s="580"/>
      <c r="BG504" s="580"/>
      <c r="BH504" s="580"/>
      <c r="BI504" s="580"/>
      <c r="BJ504" s="580"/>
      <c r="BK504" s="580"/>
      <c r="BL504" s="580"/>
      <c r="BM504" s="580"/>
      <c r="BN504" s="580"/>
      <c r="BO504" s="580"/>
      <c r="BP504" s="580"/>
      <c r="BQ504" s="580"/>
      <c r="BR504" s="580"/>
      <c r="BS504" s="580"/>
      <c r="BT504" s="580"/>
      <c r="BU504" s="580"/>
      <c r="BV504" s="580"/>
      <c r="BW504" s="580"/>
      <c r="BX504" s="580"/>
      <c r="BY504" s="580"/>
      <c r="BZ504" s="580"/>
      <c r="CA504" s="580"/>
      <c r="CB504" s="580"/>
      <c r="CC504" s="580"/>
      <c r="CD504" s="580"/>
      <c r="CE504" s="580"/>
      <c r="CF504" s="580"/>
      <c r="CG504" s="580"/>
      <c r="CH504" s="580"/>
      <c r="CI504" s="580"/>
      <c r="CJ504" s="580"/>
      <c r="CK504" s="580"/>
      <c r="CL504" s="580"/>
      <c r="CM504" s="580"/>
      <c r="CN504" s="580"/>
      <c r="CO504" s="580"/>
      <c r="CP504" s="580"/>
      <c r="CQ504" s="580"/>
      <c r="CR504" s="580"/>
      <c r="CS504" s="580"/>
      <c r="CT504" s="580"/>
      <c r="CU504" s="580"/>
      <c r="CV504" s="580"/>
      <c r="CW504" s="580"/>
      <c r="CX504" s="580"/>
      <c r="CY504" s="580"/>
      <c r="CZ504" s="580"/>
      <c r="DA504" s="580"/>
      <c r="DB504" s="580"/>
      <c r="DC504" s="580"/>
      <c r="DD504" s="580"/>
      <c r="DE504" s="580"/>
      <c r="DF504" s="580"/>
      <c r="DG504" s="580"/>
      <c r="DH504" s="580"/>
      <c r="DI504" s="580"/>
      <c r="DJ504" s="580"/>
      <c r="DK504" s="580"/>
      <c r="DL504" s="580"/>
      <c r="DM504" s="580"/>
      <c r="DN504" s="580"/>
      <c r="DO504" s="580"/>
      <c r="DP504" s="580"/>
    </row>
    <row r="505" spans="1:120" hidden="1" outlineLevel="1">
      <c r="A505" s="55">
        <v>1110053030</v>
      </c>
      <c r="B505" s="509"/>
      <c r="C505" s="679" t="s">
        <v>64</v>
      </c>
      <c r="D505" s="1469"/>
      <c r="E505" s="1470"/>
      <c r="F505" s="416"/>
      <c r="G505" s="1251"/>
      <c r="H505" s="511"/>
      <c r="I505" s="512"/>
      <c r="J505" s="1425">
        <v>1</v>
      </c>
      <c r="K505" s="1426">
        <v>1</v>
      </c>
      <c r="L505" s="438"/>
      <c r="M505" s="1336">
        <f t="shared" si="1453"/>
        <v>0</v>
      </c>
      <c r="N505" s="504"/>
      <c r="O505" s="513">
        <f t="shared" si="1454"/>
        <v>0</v>
      </c>
      <c r="P505" s="514"/>
      <c r="Q505" s="514">
        <f t="shared" si="1455"/>
        <v>0</v>
      </c>
      <c r="R505" s="515"/>
      <c r="S505" s="515"/>
      <c r="T505" s="562">
        <f t="shared" si="1456"/>
        <v>0</v>
      </c>
      <c r="U505" s="1493">
        <f t="shared" si="1457"/>
        <v>0</v>
      </c>
      <c r="V505" s="1127">
        <f t="shared" si="1458"/>
        <v>0</v>
      </c>
      <c r="W505" s="976">
        <f t="shared" si="1459"/>
        <v>0</v>
      </c>
      <c r="X505" s="975">
        <f t="shared" si="1460"/>
        <v>0</v>
      </c>
      <c r="Y505" s="519"/>
      <c r="AA505" s="1551"/>
      <c r="AB505" s="580"/>
      <c r="AC505" s="580"/>
      <c r="AD505" s="580"/>
      <c r="AE505" s="580"/>
      <c r="AF505" s="580"/>
      <c r="AG505" s="580"/>
      <c r="AH505" s="580"/>
      <c r="AI505" s="580"/>
      <c r="AJ505" s="580"/>
      <c r="AK505" s="580"/>
      <c r="AL505" s="1513"/>
      <c r="AM505" s="580"/>
      <c r="AN505" s="580"/>
      <c r="AO505" s="580"/>
      <c r="AP505" s="580"/>
      <c r="AQ505" s="580"/>
      <c r="AR505" s="580"/>
      <c r="AS505" s="580"/>
      <c r="AT505" s="580"/>
      <c r="AU505" s="580"/>
      <c r="AV505" s="580"/>
      <c r="AW505" s="580"/>
      <c r="AX505" s="580"/>
      <c r="AY505" s="580">
        <f>+M505</f>
        <v>0</v>
      </c>
      <c r="AZ505" s="580"/>
      <c r="BA505" s="580"/>
      <c r="BB505" s="580"/>
      <c r="BC505" s="580"/>
      <c r="BD505" s="580"/>
      <c r="BE505" s="580"/>
      <c r="BF505" s="580"/>
      <c r="BG505" s="580"/>
      <c r="BH505" s="580"/>
      <c r="BI505" s="580"/>
      <c r="BJ505" s="580"/>
      <c r="BK505" s="580"/>
      <c r="BL505" s="580"/>
      <c r="BM505" s="580"/>
      <c r="BN505" s="580"/>
      <c r="BO505" s="580"/>
      <c r="BP505" s="580"/>
      <c r="BQ505" s="580"/>
      <c r="BR505" s="580"/>
      <c r="BS505" s="580"/>
      <c r="BT505" s="580"/>
      <c r="BU505" s="580"/>
      <c r="BV505" s="580"/>
      <c r="BW505" s="580"/>
      <c r="BX505" s="580"/>
      <c r="BY505" s="580"/>
      <c r="BZ505" s="580"/>
      <c r="CA505" s="580"/>
      <c r="CB505" s="580"/>
      <c r="CC505" s="580"/>
      <c r="CD505" s="580"/>
      <c r="CE505" s="580"/>
      <c r="CF505" s="580"/>
      <c r="CG505" s="580"/>
      <c r="CH505" s="580"/>
      <c r="CI505" s="580"/>
      <c r="CJ505" s="580"/>
      <c r="CK505" s="580"/>
      <c r="CL505" s="580"/>
      <c r="CM505" s="580"/>
      <c r="CN505" s="580"/>
      <c r="CO505" s="580"/>
      <c r="CP505" s="580"/>
      <c r="CQ505" s="580"/>
      <c r="CR505" s="580"/>
      <c r="CS505" s="580"/>
      <c r="CT505" s="580"/>
      <c r="CU505" s="580"/>
      <c r="CV505" s="580"/>
      <c r="CW505" s="580"/>
      <c r="CX505" s="580"/>
      <c r="CY505" s="580"/>
      <c r="CZ505" s="580"/>
      <c r="DA505" s="580"/>
      <c r="DB505" s="580"/>
      <c r="DC505" s="580"/>
      <c r="DD505" s="580"/>
      <c r="DE505" s="580"/>
      <c r="DF505" s="580"/>
      <c r="DG505" s="580"/>
      <c r="DH505" s="580"/>
      <c r="DI505" s="580"/>
      <c r="DJ505" s="580"/>
      <c r="DK505" s="580"/>
      <c r="DL505" s="580"/>
      <c r="DM505" s="580"/>
      <c r="DN505" s="580"/>
      <c r="DO505" s="580"/>
      <c r="DP505" s="580"/>
    </row>
    <row r="506" spans="1:120" hidden="1" outlineLevel="1">
      <c r="A506" s="55"/>
      <c r="B506" s="509"/>
      <c r="C506" s="510"/>
      <c r="D506" s="1469"/>
      <c r="E506" s="1470"/>
      <c r="F506" s="416"/>
      <c r="G506" s="1251"/>
      <c r="H506" s="511"/>
      <c r="I506" s="512"/>
      <c r="J506" s="1425">
        <v>1</v>
      </c>
      <c r="K506" s="1426">
        <v>1</v>
      </c>
      <c r="L506" s="417"/>
      <c r="M506" s="1336"/>
      <c r="N506" s="504"/>
      <c r="O506" s="513">
        <f>+L506*N506</f>
        <v>0</v>
      </c>
      <c r="P506" s="514"/>
      <c r="Q506" s="514"/>
      <c r="R506" s="515"/>
      <c r="S506" s="527"/>
      <c r="T506" s="562">
        <f>+P506*S506</f>
        <v>0</v>
      </c>
      <c r="U506" s="1493">
        <f>+L506+P506+F506</f>
        <v>0</v>
      </c>
      <c r="V506" s="1127">
        <f>+P506*R506+L506*N506+F506*H506</f>
        <v>0</v>
      </c>
      <c r="W506" s="976">
        <f>(IF(R506&gt;S506,(-P506*R506)-(-P506*S506),0))</f>
        <v>0</v>
      </c>
      <c r="X506" s="975">
        <f>(IF(R506&lt;S506,(-P506*R506)-(-P506*S506),0))</f>
        <v>0</v>
      </c>
      <c r="Y506" s="519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1513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580"/>
      <c r="BP506" s="580"/>
      <c r="BQ506" s="580"/>
      <c r="BR506" s="580"/>
      <c r="BS506" s="580"/>
      <c r="BT506" s="580"/>
      <c r="BU506" s="580"/>
      <c r="BV506" s="580"/>
      <c r="BW506" s="580"/>
      <c r="BX506" s="580"/>
      <c r="BY506" s="580"/>
      <c r="BZ506" s="580"/>
      <c r="CA506" s="580"/>
      <c r="CB506" s="580"/>
      <c r="CC506" s="580"/>
      <c r="CD506" s="580"/>
      <c r="CE506" s="580"/>
      <c r="CF506" s="580"/>
      <c r="CG506" s="580"/>
      <c r="CH506" s="580"/>
      <c r="CI506" s="580"/>
      <c r="CJ506" s="580"/>
      <c r="CK506" s="580"/>
      <c r="CL506" s="580"/>
      <c r="CM506" s="580"/>
      <c r="CN506" s="580"/>
      <c r="CO506" s="580"/>
      <c r="CP506" s="580"/>
      <c r="CQ506" s="580"/>
      <c r="CR506" s="580"/>
      <c r="CS506" s="580"/>
      <c r="CT506" s="580"/>
      <c r="CU506" s="580"/>
      <c r="CV506" s="580"/>
      <c r="CW506" s="580"/>
      <c r="CX506" s="580"/>
      <c r="CY506" s="580"/>
      <c r="CZ506" s="580"/>
      <c r="DA506" s="580"/>
      <c r="DB506" s="580"/>
      <c r="DC506" s="580"/>
      <c r="DD506" s="580"/>
      <c r="DE506" s="580"/>
      <c r="DF506" s="580"/>
      <c r="DG506" s="580"/>
      <c r="DH506" s="580"/>
      <c r="DI506" s="580"/>
      <c r="DJ506" s="580"/>
      <c r="DK506" s="580"/>
      <c r="DL506" s="580"/>
      <c r="DM506" s="580"/>
      <c r="DN506" s="580"/>
      <c r="DO506" s="580"/>
      <c r="DP506" s="580"/>
    </row>
    <row r="507" spans="1:120" ht="16.5" hidden="1" collapsed="1" thickBot="1">
      <c r="A507" s="62" t="s">
        <v>229</v>
      </c>
      <c r="B507" s="63"/>
      <c r="C507" s="64"/>
      <c r="D507" s="1473"/>
      <c r="E507" s="1474"/>
      <c r="F507" s="66">
        <f>SUM(F503:F506)</f>
        <v>0</v>
      </c>
      <c r="G507" s="1253"/>
      <c r="H507" s="67"/>
      <c r="I507" s="68">
        <f>SUM(I503:I506)</f>
        <v>0</v>
      </c>
      <c r="J507" s="1376"/>
      <c r="K507" s="76"/>
      <c r="L507" s="69">
        <f>SUM(L503:L506)</f>
        <v>0</v>
      </c>
      <c r="M507" s="168"/>
      <c r="N507" s="70"/>
      <c r="O507" s="71">
        <f>SUM(O503:O506)</f>
        <v>0</v>
      </c>
      <c r="P507" s="72">
        <f>SUM(P503:P506)</f>
        <v>0</v>
      </c>
      <c r="Q507" s="1339"/>
      <c r="R507" s="73"/>
      <c r="S507" s="73"/>
      <c r="T507" s="96">
        <f>SUM(T503:T506)</f>
        <v>0</v>
      </c>
      <c r="U507" s="66">
        <f>SUM(U503:U506)</f>
        <v>0</v>
      </c>
      <c r="V507" s="76">
        <f>SUM(V503:V506)</f>
        <v>0</v>
      </c>
      <c r="W507" s="97">
        <f>SUM(W503:W506)</f>
        <v>0</v>
      </c>
      <c r="X507" s="98">
        <f>SUM(X503:X506)</f>
        <v>0</v>
      </c>
      <c r="Y507" s="43"/>
      <c r="AA507" s="172">
        <f t="shared" ref="AA507:BF507" ca="1" si="1461">SUM(AA501:AA506)</f>
        <v>0</v>
      </c>
      <c r="AB507" s="172">
        <f t="shared" ca="1" si="1461"/>
        <v>0</v>
      </c>
      <c r="AC507" s="172">
        <f t="shared" ca="1" si="1461"/>
        <v>0</v>
      </c>
      <c r="AD507" s="172">
        <f t="shared" ca="1" si="1461"/>
        <v>0</v>
      </c>
      <c r="AE507" s="172">
        <f t="shared" ca="1" si="1461"/>
        <v>0</v>
      </c>
      <c r="AF507" s="172">
        <f t="shared" ca="1" si="1461"/>
        <v>0</v>
      </c>
      <c r="AG507" s="172">
        <f t="shared" ca="1" si="1461"/>
        <v>0</v>
      </c>
      <c r="AH507" s="172">
        <f t="shared" ca="1" si="1461"/>
        <v>0</v>
      </c>
      <c r="AI507" s="172">
        <f t="shared" ca="1" si="1461"/>
        <v>0</v>
      </c>
      <c r="AJ507" s="172">
        <f t="shared" ca="1" si="1461"/>
        <v>0</v>
      </c>
      <c r="AK507" s="172">
        <f t="shared" ca="1" si="1461"/>
        <v>0</v>
      </c>
      <c r="AL507" s="172">
        <f t="shared" ca="1" si="1461"/>
        <v>0</v>
      </c>
      <c r="AM507" s="172">
        <f t="shared" ca="1" si="1461"/>
        <v>0</v>
      </c>
      <c r="AN507" s="172">
        <f t="shared" ca="1" si="1461"/>
        <v>0</v>
      </c>
      <c r="AO507" s="172">
        <f t="shared" ca="1" si="1461"/>
        <v>0</v>
      </c>
      <c r="AP507" s="172">
        <f t="shared" ca="1" si="1461"/>
        <v>0</v>
      </c>
      <c r="AQ507" s="172">
        <f t="shared" ca="1" si="1461"/>
        <v>0</v>
      </c>
      <c r="AR507" s="172">
        <f t="shared" ca="1" si="1461"/>
        <v>0</v>
      </c>
      <c r="AS507" s="172">
        <f t="shared" ca="1" si="1461"/>
        <v>0</v>
      </c>
      <c r="AT507" s="172">
        <f t="shared" ca="1" si="1461"/>
        <v>0</v>
      </c>
      <c r="AU507" s="172">
        <f t="shared" ca="1" si="1461"/>
        <v>0</v>
      </c>
      <c r="AV507" s="172">
        <f t="shared" ca="1" si="1461"/>
        <v>0</v>
      </c>
      <c r="AW507" s="172">
        <f t="shared" ca="1" si="1461"/>
        <v>0</v>
      </c>
      <c r="AX507" s="172">
        <f t="shared" ca="1" si="1461"/>
        <v>0</v>
      </c>
      <c r="AY507" s="172">
        <f t="shared" ca="1" si="1461"/>
        <v>0</v>
      </c>
      <c r="AZ507" s="172">
        <f t="shared" ca="1" si="1461"/>
        <v>0</v>
      </c>
      <c r="BA507" s="172">
        <f t="shared" ca="1" si="1461"/>
        <v>0</v>
      </c>
      <c r="BB507" s="172">
        <f t="shared" ca="1" si="1461"/>
        <v>0</v>
      </c>
      <c r="BC507" s="172">
        <f t="shared" ca="1" si="1461"/>
        <v>0</v>
      </c>
      <c r="BD507" s="172">
        <f t="shared" ca="1" si="1461"/>
        <v>0</v>
      </c>
      <c r="BE507" s="172">
        <f t="shared" ca="1" si="1461"/>
        <v>0</v>
      </c>
      <c r="BF507" s="172">
        <f t="shared" ca="1" si="1461"/>
        <v>0</v>
      </c>
      <c r="BG507" s="172">
        <f t="shared" ref="BG507:CL507" ca="1" si="1462">SUM(BG501:BG506)</f>
        <v>0</v>
      </c>
      <c r="BH507" s="172">
        <f t="shared" ca="1" si="1462"/>
        <v>0</v>
      </c>
      <c r="BI507" s="172">
        <f t="shared" ca="1" si="1462"/>
        <v>0</v>
      </c>
      <c r="BJ507" s="172">
        <f t="shared" ca="1" si="1462"/>
        <v>0</v>
      </c>
      <c r="BK507" s="172">
        <f t="shared" ca="1" si="1462"/>
        <v>0</v>
      </c>
      <c r="BL507" s="172">
        <f t="shared" ca="1" si="1462"/>
        <v>0</v>
      </c>
      <c r="BM507" s="172">
        <f t="shared" ca="1" si="1462"/>
        <v>0</v>
      </c>
      <c r="BN507" s="172">
        <f t="shared" ca="1" si="1462"/>
        <v>0</v>
      </c>
      <c r="BO507" s="172">
        <f t="shared" ca="1" si="1462"/>
        <v>0</v>
      </c>
      <c r="BP507" s="172">
        <f t="shared" ca="1" si="1462"/>
        <v>0</v>
      </c>
      <c r="BQ507" s="172">
        <f t="shared" ca="1" si="1462"/>
        <v>0</v>
      </c>
      <c r="BR507" s="172">
        <f t="shared" ca="1" si="1462"/>
        <v>0</v>
      </c>
      <c r="BS507" s="172">
        <f t="shared" ca="1" si="1462"/>
        <v>0</v>
      </c>
      <c r="BT507" s="172">
        <f t="shared" ca="1" si="1462"/>
        <v>0</v>
      </c>
      <c r="BU507" s="172">
        <f t="shared" ca="1" si="1462"/>
        <v>0</v>
      </c>
      <c r="BV507" s="172">
        <f t="shared" ca="1" si="1462"/>
        <v>0</v>
      </c>
      <c r="BW507" s="172">
        <f t="shared" ca="1" si="1462"/>
        <v>0</v>
      </c>
      <c r="BX507" s="172">
        <f t="shared" ca="1" si="1462"/>
        <v>0</v>
      </c>
      <c r="BY507" s="172">
        <f t="shared" ca="1" si="1462"/>
        <v>0</v>
      </c>
      <c r="BZ507" s="172">
        <f t="shared" ca="1" si="1462"/>
        <v>0</v>
      </c>
      <c r="CA507" s="172">
        <f t="shared" ca="1" si="1462"/>
        <v>0</v>
      </c>
      <c r="CB507" s="172">
        <f t="shared" ca="1" si="1462"/>
        <v>0</v>
      </c>
      <c r="CC507" s="172">
        <f t="shared" ca="1" si="1462"/>
        <v>0</v>
      </c>
      <c r="CD507" s="172">
        <f t="shared" ca="1" si="1462"/>
        <v>0</v>
      </c>
      <c r="CE507" s="172">
        <f t="shared" ca="1" si="1462"/>
        <v>0</v>
      </c>
      <c r="CF507" s="172">
        <f t="shared" ca="1" si="1462"/>
        <v>0</v>
      </c>
      <c r="CG507" s="172">
        <f t="shared" ca="1" si="1462"/>
        <v>0</v>
      </c>
      <c r="CH507" s="172">
        <f t="shared" ca="1" si="1462"/>
        <v>0</v>
      </c>
      <c r="CI507" s="172">
        <f t="shared" ca="1" si="1462"/>
        <v>0</v>
      </c>
      <c r="CJ507" s="172">
        <f t="shared" ca="1" si="1462"/>
        <v>0</v>
      </c>
      <c r="CK507" s="172">
        <f t="shared" ca="1" si="1462"/>
        <v>0</v>
      </c>
      <c r="CL507" s="172">
        <f t="shared" ca="1" si="1462"/>
        <v>0</v>
      </c>
      <c r="CM507" s="172">
        <f t="shared" ref="CM507:CN507" ca="1" si="1463">SUM(CM501:CM506)</f>
        <v>0</v>
      </c>
      <c r="CN507" s="172">
        <f t="shared" ca="1" si="1463"/>
        <v>0</v>
      </c>
      <c r="CO507" s="172"/>
      <c r="CP507" s="172"/>
      <c r="CQ507" s="172"/>
      <c r="CR507" s="172"/>
      <c r="CS507" s="172"/>
      <c r="CT507" s="172"/>
      <c r="CU507" s="172"/>
      <c r="CV507" s="172"/>
      <c r="CW507" s="172"/>
      <c r="CX507" s="172"/>
      <c r="CY507" s="172"/>
      <c r="CZ507" s="172"/>
      <c r="DA507" s="172"/>
      <c r="DB507" s="172"/>
      <c r="DC507" s="172"/>
      <c r="DD507" s="172"/>
      <c r="DE507" s="172"/>
      <c r="DF507" s="172"/>
      <c r="DG507" s="172"/>
      <c r="DH507" s="172"/>
      <c r="DI507" s="172"/>
      <c r="DJ507" s="172"/>
      <c r="DK507" s="172"/>
      <c r="DL507" s="172"/>
      <c r="DM507" s="172"/>
      <c r="DN507" s="172"/>
      <c r="DO507" s="172"/>
      <c r="DP507" s="172"/>
    </row>
    <row r="508" spans="1:120" hidden="1"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  <c r="CT508" s="24"/>
      <c r="CU508" s="24"/>
      <c r="CV508" s="24"/>
      <c r="CW508" s="24"/>
      <c r="CX508" s="24"/>
      <c r="CY508" s="24"/>
      <c r="CZ508" s="24"/>
      <c r="DA508" s="24"/>
      <c r="DB508" s="24"/>
      <c r="DC508" s="24"/>
      <c r="DD508" s="24"/>
      <c r="DE508" s="24"/>
      <c r="DF508" s="24"/>
      <c r="DG508" s="24"/>
      <c r="DH508" s="24"/>
      <c r="DI508" s="24"/>
      <c r="DJ508" s="24"/>
      <c r="DK508" s="24"/>
      <c r="DL508" s="24"/>
      <c r="DM508" s="24"/>
      <c r="DN508" s="24"/>
      <c r="DO508" s="24"/>
      <c r="DP508" s="24"/>
    </row>
    <row r="509" spans="1:120" hidden="1" outlineLevel="1">
      <c r="A509" s="640">
        <v>1110053030</v>
      </c>
      <c r="B509" s="573"/>
      <c r="C509" s="641" t="s">
        <v>64</v>
      </c>
      <c r="D509" s="1489"/>
      <c r="E509" s="1490"/>
      <c r="F509" s="643"/>
      <c r="G509" s="1262"/>
      <c r="H509" s="644"/>
      <c r="I509" s="645"/>
      <c r="J509" s="1483">
        <v>1</v>
      </c>
      <c r="K509" s="1484">
        <v>1</v>
      </c>
      <c r="L509" s="646"/>
      <c r="M509" s="1428">
        <f t="shared" ref="M509:M517" si="1464">+L509*J509</f>
        <v>0</v>
      </c>
      <c r="N509" s="647"/>
      <c r="O509" s="648">
        <f t="shared" ref="O509:O519" si="1465">+L509*N509</f>
        <v>0</v>
      </c>
      <c r="P509" s="649"/>
      <c r="Q509" s="649"/>
      <c r="R509" s="650"/>
      <c r="S509" s="650"/>
      <c r="T509" s="651">
        <f t="shared" ref="T509:T519" si="1466">+P509*S509</f>
        <v>0</v>
      </c>
      <c r="U509" s="1301">
        <f t="shared" ref="U509:U519" si="1467">+L509+P509+F509</f>
        <v>0</v>
      </c>
      <c r="V509" s="651">
        <f t="shared" ref="V509:V519" si="1468">+P509*R509+L509*N509+F509*H509</f>
        <v>0</v>
      </c>
      <c r="W509" s="653">
        <f t="shared" ref="W509:W519" si="1469">(IF(R509&gt;S509,(-P509*R509)-(-P509*S509),0))</f>
        <v>0</v>
      </c>
      <c r="X509" s="654">
        <f t="shared" ref="X509:X519" si="1470">(IF(R509&lt;S509,(-P509*R509)-(-P509*S509),0))</f>
        <v>0</v>
      </c>
      <c r="Y509" s="655"/>
      <c r="AA509" s="577"/>
      <c r="AB509" s="577"/>
      <c r="AC509" s="577"/>
      <c r="AD509" s="577"/>
      <c r="AE509" s="577"/>
      <c r="AF509" s="577"/>
      <c r="AG509" s="577"/>
      <c r="AH509" s="577"/>
      <c r="AI509" s="577"/>
      <c r="AJ509" s="577"/>
      <c r="AK509" s="577"/>
      <c r="AL509" s="577"/>
      <c r="AM509" s="577"/>
      <c r="AN509" s="577"/>
      <c r="AO509" s="577"/>
      <c r="AP509" s="577"/>
      <c r="AQ509" s="577"/>
      <c r="AR509" s="577"/>
      <c r="AS509" s="577"/>
      <c r="AT509" s="577"/>
      <c r="AU509" s="577"/>
      <c r="AV509" s="577"/>
      <c r="AW509" s="577"/>
      <c r="AX509" s="577"/>
      <c r="AY509" s="577"/>
      <c r="AZ509" s="577"/>
      <c r="BA509" s="577"/>
      <c r="BB509" s="577"/>
      <c r="BC509" s="577"/>
      <c r="BD509" s="577"/>
      <c r="BE509" s="577"/>
      <c r="BF509" s="577"/>
      <c r="BG509" s="577"/>
      <c r="BH509" s="577"/>
      <c r="BI509" s="577"/>
      <c r="BJ509" s="577"/>
      <c r="BK509" s="577"/>
      <c r="BL509" s="577"/>
      <c r="BM509" s="577"/>
      <c r="BN509" s="577"/>
      <c r="BO509" s="577"/>
      <c r="BP509" s="577"/>
      <c r="BQ509" s="577"/>
      <c r="BR509" s="577"/>
      <c r="BS509" s="577"/>
      <c r="BT509" s="577"/>
      <c r="BU509" s="577"/>
      <c r="BV509" s="577"/>
      <c r="BW509" s="577"/>
      <c r="BX509" s="577"/>
      <c r="BY509" s="577"/>
      <c r="BZ509" s="577"/>
      <c r="CA509" s="577"/>
      <c r="CB509" s="577"/>
      <c r="CC509" s="577"/>
      <c r="CD509" s="577"/>
      <c r="CE509" s="577"/>
      <c r="CF509" s="577"/>
      <c r="CG509" s="577"/>
      <c r="CH509" s="577"/>
      <c r="CI509" s="577"/>
      <c r="CJ509" s="577"/>
      <c r="CK509" s="577"/>
      <c r="CL509" s="577"/>
      <c r="CM509" s="577"/>
      <c r="CN509" s="577"/>
      <c r="CO509" s="577"/>
      <c r="CP509" s="577"/>
      <c r="CQ509" s="577"/>
      <c r="CR509" s="577"/>
      <c r="CS509" s="577"/>
      <c r="CT509" s="577"/>
      <c r="CU509" s="577"/>
      <c r="CV509" s="577"/>
      <c r="CW509" s="577"/>
      <c r="CX509" s="577"/>
      <c r="CY509" s="577"/>
      <c r="CZ509" s="577"/>
      <c r="DA509" s="577"/>
      <c r="DB509" s="577"/>
      <c r="DC509" s="577"/>
      <c r="DD509" s="577"/>
      <c r="DE509" s="577"/>
      <c r="DF509" s="577"/>
      <c r="DG509" s="577"/>
      <c r="DH509" s="577"/>
      <c r="DI509" s="577"/>
      <c r="DJ509" s="577"/>
      <c r="DK509" s="577"/>
      <c r="DL509" s="577"/>
      <c r="DM509" s="577"/>
      <c r="DN509" s="577"/>
      <c r="DO509" s="577"/>
      <c r="DP509" s="577"/>
    </row>
    <row r="510" spans="1:120" hidden="1" outlineLevel="1">
      <c r="A510" s="1221">
        <v>1110053030</v>
      </c>
      <c r="B510" s="1222"/>
      <c r="C510" s="1223" t="s">
        <v>64</v>
      </c>
      <c r="D510" s="1602"/>
      <c r="E510" s="1603"/>
      <c r="F510" s="1224"/>
      <c r="G510" s="1266"/>
      <c r="H510" s="1225"/>
      <c r="I510" s="1226"/>
      <c r="J510" s="1604">
        <v>1</v>
      </c>
      <c r="K510" s="1605">
        <v>1</v>
      </c>
      <c r="L510" s="1606"/>
      <c r="M510" s="1626"/>
      <c r="N510" s="1228"/>
      <c r="O510" s="1229">
        <f>+L510*N510</f>
        <v>0</v>
      </c>
      <c r="P510" s="1230"/>
      <c r="Q510" s="1230">
        <f t="shared" ref="Q510:Q511" si="1471">+P510*K510</f>
        <v>0</v>
      </c>
      <c r="R510" s="1231"/>
      <c r="S510" s="1231"/>
      <c r="T510" s="1232">
        <f>+P510*S510</f>
        <v>0</v>
      </c>
      <c r="U510" s="1608">
        <f>+L510+P510+F510</f>
        <v>0</v>
      </c>
      <c r="V510" s="1610">
        <f>+P510*R510+L510*N510+F510*H510</f>
        <v>0</v>
      </c>
      <c r="W510" s="1235">
        <f>(IF(R510&gt;S510,(-P510*R510)-(-P510*S510),0))</f>
        <v>0</v>
      </c>
      <c r="X510" s="1236">
        <f>(IF(R510&lt;S510,(-P510*R510)-(-P510*S510),0))</f>
        <v>0</v>
      </c>
      <c r="Y510" s="1237"/>
      <c r="AA510" s="580"/>
      <c r="AB510" s="580"/>
      <c r="AC510" s="580"/>
      <c r="AD510" s="580"/>
      <c r="AE510" s="580"/>
      <c r="AF510" s="580"/>
      <c r="AG510" s="580"/>
      <c r="AH510" s="580"/>
      <c r="AI510" s="580">
        <f>+Q510</f>
        <v>0</v>
      </c>
      <c r="AJ510" s="580"/>
      <c r="AK510" s="580"/>
      <c r="AL510" s="1513"/>
      <c r="AM510" s="580"/>
      <c r="AN510" s="580"/>
      <c r="AO510" s="580"/>
      <c r="AP510" s="580"/>
      <c r="AQ510" s="580"/>
      <c r="AR510" s="580"/>
      <c r="AS510" s="580"/>
      <c r="AT510" s="580"/>
      <c r="AU510" s="580"/>
      <c r="AV510" s="580"/>
      <c r="AW510" s="580"/>
      <c r="AX510" s="580"/>
      <c r="AY510" s="580"/>
      <c r="AZ510" s="580"/>
      <c r="BA510" s="580"/>
      <c r="BB510" s="580"/>
      <c r="BC510" s="580"/>
      <c r="BD510" s="580"/>
      <c r="BE510" s="580"/>
      <c r="BF510" s="580"/>
      <c r="BG510" s="580"/>
      <c r="BH510" s="580"/>
      <c r="BI510" s="580"/>
      <c r="BJ510" s="580"/>
      <c r="BK510" s="580"/>
      <c r="BL510" s="580"/>
      <c r="BM510" s="580"/>
      <c r="BN510" s="580"/>
      <c r="BO510" s="580"/>
      <c r="BP510" s="580"/>
      <c r="BQ510" s="580"/>
      <c r="BR510" s="580"/>
      <c r="BS510" s="580"/>
      <c r="BT510" s="580"/>
      <c r="BU510" s="580"/>
      <c r="BV510" s="580"/>
      <c r="BW510" s="580"/>
      <c r="BX510" s="580"/>
      <c r="BY510" s="580"/>
      <c r="BZ510" s="580"/>
      <c r="CA510" s="580"/>
      <c r="CB510" s="580"/>
      <c r="CC510" s="580"/>
      <c r="CD510" s="580"/>
      <c r="CE510" s="580"/>
      <c r="CF510" s="580"/>
      <c r="CG510" s="580"/>
      <c r="CH510" s="580"/>
      <c r="CI510" s="580"/>
      <c r="CJ510" s="580"/>
      <c r="CK510" s="580"/>
      <c r="CL510" s="580"/>
      <c r="CM510" s="580"/>
      <c r="CN510" s="580"/>
      <c r="CO510" s="580"/>
      <c r="CP510" s="580"/>
      <c r="CQ510" s="580"/>
      <c r="CR510" s="580"/>
      <c r="CS510" s="580"/>
      <c r="CT510" s="580"/>
      <c r="CU510" s="580"/>
      <c r="CV510" s="580"/>
      <c r="CW510" s="580"/>
      <c r="CX510" s="580"/>
      <c r="CY510" s="580"/>
      <c r="CZ510" s="580"/>
      <c r="DA510" s="580"/>
      <c r="DB510" s="580"/>
      <c r="DC510" s="580"/>
      <c r="DD510" s="580"/>
      <c r="DE510" s="580"/>
      <c r="DF510" s="580"/>
      <c r="DG510" s="580"/>
      <c r="DH510" s="580"/>
      <c r="DI510" s="580"/>
      <c r="DJ510" s="580"/>
      <c r="DK510" s="580"/>
      <c r="DL510" s="580"/>
      <c r="DM510" s="580"/>
      <c r="DN510" s="580"/>
      <c r="DO510" s="580"/>
      <c r="DP510" s="580"/>
    </row>
    <row r="511" spans="1:120" hidden="1" outlineLevel="1">
      <c r="A511" s="1221">
        <v>1110053030</v>
      </c>
      <c r="B511" s="1222"/>
      <c r="C511" s="1223" t="s">
        <v>64</v>
      </c>
      <c r="D511" s="1602"/>
      <c r="E511" s="1603"/>
      <c r="F511" s="1224"/>
      <c r="G511" s="1266"/>
      <c r="H511" s="1225"/>
      <c r="I511" s="1226"/>
      <c r="J511" s="1604">
        <v>1</v>
      </c>
      <c r="K511" s="1605">
        <v>1</v>
      </c>
      <c r="L511" s="1606"/>
      <c r="M511" s="1626"/>
      <c r="N511" s="1228"/>
      <c r="O511" s="1229">
        <f>+L511*N511</f>
        <v>0</v>
      </c>
      <c r="P511" s="1230"/>
      <c r="Q511" s="1230">
        <f t="shared" si="1471"/>
        <v>0</v>
      </c>
      <c r="R511" s="1231"/>
      <c r="S511" s="1231"/>
      <c r="T511" s="1232">
        <f>+P511*S511</f>
        <v>0</v>
      </c>
      <c r="U511" s="1608">
        <f>+L511+P511+F511</f>
        <v>0</v>
      </c>
      <c r="V511" s="1610">
        <f>+P511*R511+L511*N511+F511*H511</f>
        <v>0</v>
      </c>
      <c r="W511" s="1235">
        <f>(IF(R511&gt;S511,(-P511*R511)-(-P511*S511),0))</f>
        <v>0</v>
      </c>
      <c r="X511" s="1236">
        <f>(IF(R511&lt;S511,(-P511*R511)-(-P511*S511),0))</f>
        <v>0</v>
      </c>
      <c r="Y511" s="1237"/>
      <c r="AA511" s="580"/>
      <c r="AB511" s="580"/>
      <c r="AC511" s="580"/>
      <c r="AD511" s="580"/>
      <c r="AE511" s="580"/>
      <c r="AF511" s="580"/>
      <c r="AG511" s="580"/>
      <c r="AH511" s="580"/>
      <c r="AI511" s="580"/>
      <c r="AJ511" s="580">
        <f>+Q511</f>
        <v>0</v>
      </c>
      <c r="AK511" s="580"/>
      <c r="AL511" s="1513"/>
      <c r="AM511" s="580"/>
      <c r="AN511" s="580"/>
      <c r="AO511" s="580"/>
      <c r="AP511" s="580"/>
      <c r="AQ511" s="580"/>
      <c r="AR511" s="580"/>
      <c r="AS511" s="580"/>
      <c r="AT511" s="580"/>
      <c r="AU511" s="580"/>
      <c r="AV511" s="580"/>
      <c r="AW511" s="580"/>
      <c r="AX511" s="580"/>
      <c r="AY511" s="580"/>
      <c r="AZ511" s="580"/>
      <c r="BA511" s="580"/>
      <c r="BB511" s="580"/>
      <c r="BC511" s="580"/>
      <c r="BD511" s="580"/>
      <c r="BE511" s="580"/>
      <c r="BF511" s="580"/>
      <c r="BG511" s="580"/>
      <c r="BH511" s="580"/>
      <c r="BI511" s="580"/>
      <c r="BJ511" s="580"/>
      <c r="BK511" s="580"/>
      <c r="BL511" s="580"/>
      <c r="BM511" s="580"/>
      <c r="BN511" s="580"/>
      <c r="BO511" s="580"/>
      <c r="BP511" s="580"/>
      <c r="BQ511" s="580"/>
      <c r="BR511" s="580"/>
      <c r="BS511" s="580"/>
      <c r="BT511" s="580"/>
      <c r="BU511" s="580"/>
      <c r="BV511" s="580"/>
      <c r="BW511" s="580"/>
      <c r="BX511" s="580"/>
      <c r="BY511" s="580"/>
      <c r="BZ511" s="580"/>
      <c r="CA511" s="580"/>
      <c r="CB511" s="580"/>
      <c r="CC511" s="580"/>
      <c r="CD511" s="580"/>
      <c r="CE511" s="580"/>
      <c r="CF511" s="580"/>
      <c r="CG511" s="580"/>
      <c r="CH511" s="580"/>
      <c r="CI511" s="580"/>
      <c r="CJ511" s="580"/>
      <c r="CK511" s="580"/>
      <c r="CL511" s="580"/>
      <c r="CM511" s="580"/>
      <c r="CN511" s="580"/>
      <c r="CO511" s="580"/>
      <c r="CP511" s="580"/>
      <c r="CQ511" s="580"/>
      <c r="CR511" s="580"/>
      <c r="CS511" s="580"/>
      <c r="CT511" s="580"/>
      <c r="CU511" s="580"/>
      <c r="CV511" s="580"/>
      <c r="CW511" s="580"/>
      <c r="CX511" s="580"/>
      <c r="CY511" s="580"/>
      <c r="CZ511" s="580"/>
      <c r="DA511" s="580"/>
      <c r="DB511" s="580"/>
      <c r="DC511" s="580"/>
      <c r="DD511" s="580"/>
      <c r="DE511" s="580"/>
      <c r="DF511" s="580"/>
      <c r="DG511" s="580"/>
      <c r="DH511" s="580"/>
      <c r="DI511" s="580"/>
      <c r="DJ511" s="580"/>
      <c r="DK511" s="580"/>
      <c r="DL511" s="580"/>
      <c r="DM511" s="580"/>
      <c r="DN511" s="580"/>
      <c r="DO511" s="580"/>
      <c r="DP511" s="580"/>
    </row>
    <row r="512" spans="1:120" hidden="1" outlineLevel="1">
      <c r="A512" s="55">
        <v>1110053030</v>
      </c>
      <c r="B512" s="509"/>
      <c r="C512" s="510" t="s">
        <v>64</v>
      </c>
      <c r="D512" s="1469"/>
      <c r="E512" s="1470"/>
      <c r="F512" s="416"/>
      <c r="G512" s="1251"/>
      <c r="H512" s="511"/>
      <c r="I512" s="512"/>
      <c r="J512" s="1425">
        <v>1</v>
      </c>
      <c r="K512" s="1426">
        <v>1</v>
      </c>
      <c r="L512" s="419"/>
      <c r="M512" s="1600"/>
      <c r="N512" s="504"/>
      <c r="O512" s="513">
        <f t="shared" si="1465"/>
        <v>0</v>
      </c>
      <c r="P512" s="514"/>
      <c r="Q512" s="514">
        <f t="shared" ref="Q512" si="1472">+P512*K512</f>
        <v>0</v>
      </c>
      <c r="R512" s="515"/>
      <c r="S512" s="426"/>
      <c r="T512" s="562">
        <f t="shared" si="1466"/>
        <v>0</v>
      </c>
      <c r="U512" s="1493">
        <f t="shared" si="1467"/>
        <v>0</v>
      </c>
      <c r="V512" s="1127">
        <f t="shared" si="1468"/>
        <v>0</v>
      </c>
      <c r="W512" s="976">
        <f t="shared" si="1469"/>
        <v>0</v>
      </c>
      <c r="X512" s="975">
        <f t="shared" si="1470"/>
        <v>0</v>
      </c>
      <c r="Y512" s="519"/>
      <c r="AA512" s="580"/>
      <c r="AB512" s="580"/>
      <c r="AC512" s="580"/>
      <c r="AD512" s="580"/>
      <c r="AE512" s="580"/>
      <c r="AF512" s="580"/>
      <c r="AG512" s="580"/>
      <c r="AH512" s="580"/>
      <c r="AI512" s="580"/>
      <c r="AJ512" s="580">
        <f>+Q512</f>
        <v>0</v>
      </c>
      <c r="AK512" s="580"/>
      <c r="AL512" s="1513"/>
      <c r="AM512" s="580"/>
      <c r="AN512" s="580"/>
      <c r="AO512" s="580"/>
      <c r="AP512" s="580"/>
      <c r="AQ512" s="580"/>
      <c r="AR512" s="580"/>
      <c r="AS512" s="580"/>
      <c r="AT512" s="580"/>
      <c r="AU512" s="580"/>
      <c r="AV512" s="580"/>
      <c r="AW512" s="580"/>
      <c r="AX512" s="580"/>
      <c r="AY512" s="580"/>
      <c r="AZ512" s="580"/>
      <c r="BA512" s="580"/>
      <c r="BB512" s="580"/>
      <c r="BC512" s="580"/>
      <c r="BD512" s="580"/>
      <c r="BE512" s="580"/>
      <c r="BF512" s="580"/>
      <c r="BG512" s="580"/>
      <c r="BH512" s="580"/>
      <c r="BI512" s="580"/>
      <c r="BJ512" s="580"/>
      <c r="BK512" s="580"/>
      <c r="BL512" s="580"/>
      <c r="BM512" s="580"/>
      <c r="BN512" s="580"/>
      <c r="BO512" s="580"/>
      <c r="BP512" s="580"/>
      <c r="BQ512" s="580"/>
      <c r="BR512" s="580"/>
      <c r="BS512" s="580"/>
      <c r="BT512" s="580"/>
      <c r="BU512" s="580"/>
      <c r="BV512" s="580"/>
      <c r="BW512" s="580"/>
      <c r="BX512" s="580"/>
      <c r="BY512" s="580"/>
      <c r="BZ512" s="580"/>
      <c r="CA512" s="580"/>
      <c r="CB512" s="580"/>
      <c r="CC512" s="580"/>
      <c r="CD512" s="580"/>
      <c r="CE512" s="580"/>
      <c r="CF512" s="580"/>
      <c r="CG512" s="580"/>
      <c r="CH512" s="580"/>
      <c r="CI512" s="580"/>
      <c r="CJ512" s="580"/>
      <c r="CK512" s="580"/>
      <c r="CL512" s="580"/>
      <c r="CM512" s="580"/>
      <c r="CN512" s="580"/>
      <c r="CO512" s="580"/>
      <c r="CP512" s="580"/>
      <c r="CQ512" s="580"/>
      <c r="CR512" s="580"/>
      <c r="CS512" s="580"/>
      <c r="CT512" s="580"/>
      <c r="CU512" s="580"/>
      <c r="CV512" s="580"/>
      <c r="CW512" s="580"/>
      <c r="CX512" s="580"/>
      <c r="CY512" s="580"/>
      <c r="CZ512" s="580"/>
      <c r="DA512" s="580"/>
      <c r="DB512" s="580"/>
      <c r="DC512" s="580"/>
      <c r="DD512" s="580"/>
      <c r="DE512" s="580"/>
      <c r="DF512" s="580"/>
      <c r="DG512" s="580"/>
      <c r="DH512" s="580"/>
      <c r="DI512" s="580"/>
      <c r="DJ512" s="580"/>
      <c r="DK512" s="580"/>
      <c r="DL512" s="580"/>
      <c r="DM512" s="580"/>
      <c r="DN512" s="580"/>
      <c r="DO512" s="580"/>
      <c r="DP512" s="580"/>
    </row>
    <row r="513" spans="1:120" hidden="1" outlineLevel="1">
      <c r="A513" s="55">
        <v>1110053030</v>
      </c>
      <c r="B513" s="509"/>
      <c r="C513" s="510" t="s">
        <v>64</v>
      </c>
      <c r="D513" s="1469"/>
      <c r="E513" s="1470"/>
      <c r="F513" s="416"/>
      <c r="G513" s="1251"/>
      <c r="H513" s="511"/>
      <c r="I513" s="512"/>
      <c r="J513" s="1425">
        <v>1</v>
      </c>
      <c r="K513" s="1426">
        <v>1</v>
      </c>
      <c r="L513" s="419"/>
      <c r="M513" s="1600"/>
      <c r="N513" s="504"/>
      <c r="O513" s="513">
        <f t="shared" ref="O513:O514" si="1473">+L513*N513</f>
        <v>0</v>
      </c>
      <c r="P513" s="514"/>
      <c r="Q513" s="514">
        <f t="shared" ref="Q513:Q514" si="1474">+P513*K513</f>
        <v>0</v>
      </c>
      <c r="R513" s="515"/>
      <c r="S513" s="426"/>
      <c r="T513" s="562">
        <f t="shared" ref="T513:T514" si="1475">+P513*S513</f>
        <v>0</v>
      </c>
      <c r="U513" s="1493">
        <f t="shared" ref="U513:U514" si="1476">+L513+P513+F513</f>
        <v>0</v>
      </c>
      <c r="V513" s="1127">
        <f t="shared" ref="V513:V514" si="1477">+P513*R513+L513*N513+F513*H513</f>
        <v>0</v>
      </c>
      <c r="W513" s="976">
        <f t="shared" ref="W513:W514" si="1478">(IF(R513&gt;S513,(-P513*R513)-(-P513*S513),0))</f>
        <v>0</v>
      </c>
      <c r="X513" s="975">
        <f t="shared" ref="X513:X514" si="1479">(IF(R513&lt;S513,(-P513*R513)-(-P513*S513),0))</f>
        <v>0</v>
      </c>
      <c r="Y513" s="519"/>
      <c r="AA513" s="580"/>
      <c r="AB513" s="580"/>
      <c r="AC513" s="580"/>
      <c r="AD513" s="580"/>
      <c r="AE513" s="580"/>
      <c r="AF513" s="580"/>
      <c r="AG513" s="580"/>
      <c r="AH513" s="580"/>
      <c r="AI513" s="580"/>
      <c r="AJ513" s="580"/>
      <c r="AK513" s="580"/>
      <c r="AL513" s="1513"/>
      <c r="AM513" s="580"/>
      <c r="AN513" s="580"/>
      <c r="AO513" s="580"/>
      <c r="AP513" s="580"/>
      <c r="AQ513" s="580">
        <f>+Q513</f>
        <v>0</v>
      </c>
      <c r="AR513" s="580"/>
      <c r="AS513" s="580"/>
      <c r="AT513" s="580"/>
      <c r="AU513" s="580"/>
      <c r="AV513" s="580"/>
      <c r="AW513" s="580"/>
      <c r="AX513" s="580"/>
      <c r="AY513" s="580"/>
      <c r="AZ513" s="580"/>
      <c r="BA513" s="580"/>
      <c r="BB513" s="580"/>
      <c r="BC513" s="580"/>
      <c r="BD513" s="580"/>
      <c r="BE513" s="580"/>
      <c r="BF513" s="580"/>
      <c r="BG513" s="580"/>
      <c r="BH513" s="580"/>
      <c r="BI513" s="580"/>
      <c r="BJ513" s="580"/>
      <c r="BK513" s="580"/>
      <c r="BL513" s="580"/>
      <c r="BM513" s="580"/>
      <c r="BN513" s="580"/>
      <c r="BO513" s="580"/>
      <c r="BP513" s="580"/>
      <c r="BQ513" s="580"/>
      <c r="BR513" s="580"/>
      <c r="BS513" s="580"/>
      <c r="BT513" s="580"/>
      <c r="BU513" s="580"/>
      <c r="BV513" s="580"/>
      <c r="BW513" s="580"/>
      <c r="BX513" s="580"/>
      <c r="BY513" s="580"/>
      <c r="BZ513" s="580"/>
      <c r="CA513" s="580"/>
      <c r="CB513" s="580"/>
      <c r="CC513" s="580"/>
      <c r="CD513" s="580"/>
      <c r="CE513" s="580"/>
      <c r="CF513" s="580"/>
      <c r="CG513" s="580"/>
      <c r="CH513" s="580"/>
      <c r="CI513" s="580"/>
      <c r="CJ513" s="580"/>
      <c r="CK513" s="580"/>
      <c r="CL513" s="580"/>
      <c r="CM513" s="580"/>
      <c r="CN513" s="580"/>
      <c r="CO513" s="580"/>
      <c r="CP513" s="580"/>
      <c r="CQ513" s="580"/>
      <c r="CR513" s="580"/>
      <c r="CS513" s="580"/>
      <c r="CT513" s="580"/>
      <c r="CU513" s="580"/>
      <c r="CV513" s="580"/>
      <c r="CW513" s="580"/>
      <c r="CX513" s="580"/>
      <c r="CY513" s="580"/>
      <c r="CZ513" s="580"/>
      <c r="DA513" s="580"/>
      <c r="DB513" s="580"/>
      <c r="DC513" s="580"/>
      <c r="DD513" s="580"/>
      <c r="DE513" s="580"/>
      <c r="DF513" s="580"/>
      <c r="DG513" s="580"/>
      <c r="DH513" s="580"/>
      <c r="DI513" s="580"/>
      <c r="DJ513" s="580"/>
      <c r="DK513" s="580"/>
      <c r="DL513" s="580"/>
      <c r="DM513" s="580"/>
      <c r="DN513" s="580"/>
      <c r="DO513" s="580"/>
      <c r="DP513" s="580"/>
    </row>
    <row r="514" spans="1:120" hidden="1" outlineLevel="1">
      <c r="A514" s="55">
        <v>1110053030</v>
      </c>
      <c r="B514" s="509"/>
      <c r="C514" s="510" t="s">
        <v>64</v>
      </c>
      <c r="D514" s="1469"/>
      <c r="E514" s="1470"/>
      <c r="F514" s="416"/>
      <c r="G514" s="1251"/>
      <c r="H514" s="511"/>
      <c r="I514" s="512"/>
      <c r="J514" s="1425">
        <v>1</v>
      </c>
      <c r="K514" s="1426">
        <v>1</v>
      </c>
      <c r="L514" s="419"/>
      <c r="M514" s="1600"/>
      <c r="N514" s="504"/>
      <c r="O514" s="513">
        <f t="shared" si="1473"/>
        <v>0</v>
      </c>
      <c r="P514" s="514"/>
      <c r="Q514" s="514">
        <f t="shared" si="1474"/>
        <v>0</v>
      </c>
      <c r="R514" s="515"/>
      <c r="S514" s="426"/>
      <c r="T514" s="562">
        <f t="shared" si="1475"/>
        <v>0</v>
      </c>
      <c r="U514" s="1493">
        <f t="shared" si="1476"/>
        <v>0</v>
      </c>
      <c r="V514" s="1127">
        <f t="shared" si="1477"/>
        <v>0</v>
      </c>
      <c r="W514" s="976">
        <f t="shared" si="1478"/>
        <v>0</v>
      </c>
      <c r="X514" s="975">
        <f t="shared" si="1479"/>
        <v>0</v>
      </c>
      <c r="Y514" s="519"/>
      <c r="AA514" s="580"/>
      <c r="AB514" s="580"/>
      <c r="AC514" s="580"/>
      <c r="AD514" s="580"/>
      <c r="AE514" s="580"/>
      <c r="AF514" s="580"/>
      <c r="AG514" s="580"/>
      <c r="AH514" s="580"/>
      <c r="AI514" s="580"/>
      <c r="AJ514" s="580"/>
      <c r="AK514" s="580"/>
      <c r="AL514" s="1513"/>
      <c r="AM514" s="580"/>
      <c r="AN514" s="580"/>
      <c r="AO514" s="580"/>
      <c r="AP514" s="580"/>
      <c r="AQ514" s="580"/>
      <c r="AR514" s="580"/>
      <c r="AS514" s="580"/>
      <c r="AT514" s="580"/>
      <c r="AU514" s="580"/>
      <c r="AV514" s="580"/>
      <c r="AW514" s="580">
        <f>+Q514</f>
        <v>0</v>
      </c>
      <c r="AX514" s="580"/>
      <c r="AY514" s="580"/>
      <c r="AZ514" s="580"/>
      <c r="BA514" s="580"/>
      <c r="BB514" s="580"/>
      <c r="BC514" s="580"/>
      <c r="BD514" s="580"/>
      <c r="BE514" s="580"/>
      <c r="BF514" s="580"/>
      <c r="BG514" s="580"/>
      <c r="BH514" s="580"/>
      <c r="BI514" s="580"/>
      <c r="BJ514" s="580"/>
      <c r="BK514" s="580"/>
      <c r="BL514" s="580"/>
      <c r="BM514" s="580"/>
      <c r="BN514" s="580"/>
      <c r="BO514" s="580"/>
      <c r="BP514" s="580"/>
      <c r="BQ514" s="580"/>
      <c r="BR514" s="580"/>
      <c r="BS514" s="580"/>
      <c r="BT514" s="580"/>
      <c r="BU514" s="580"/>
      <c r="BV514" s="580"/>
      <c r="BW514" s="580"/>
      <c r="BX514" s="580"/>
      <c r="BY514" s="580"/>
      <c r="BZ514" s="580"/>
      <c r="CA514" s="580"/>
      <c r="CB514" s="580"/>
      <c r="CC514" s="580"/>
      <c r="CD514" s="580"/>
      <c r="CE514" s="580"/>
      <c r="CF514" s="580"/>
      <c r="CG514" s="580"/>
      <c r="CH514" s="580"/>
      <c r="CI514" s="580"/>
      <c r="CJ514" s="580"/>
      <c r="CK514" s="580"/>
      <c r="CL514" s="580"/>
      <c r="CM514" s="580"/>
      <c r="CN514" s="580"/>
      <c r="CO514" s="580"/>
      <c r="CP514" s="580"/>
      <c r="CQ514" s="580"/>
      <c r="CR514" s="580"/>
      <c r="CS514" s="580"/>
      <c r="CT514" s="580"/>
      <c r="CU514" s="580"/>
      <c r="CV514" s="580"/>
      <c r="CW514" s="580"/>
      <c r="CX514" s="580"/>
      <c r="CY514" s="580"/>
      <c r="CZ514" s="580"/>
      <c r="DA514" s="580"/>
      <c r="DB514" s="580"/>
      <c r="DC514" s="580"/>
      <c r="DD514" s="580"/>
      <c r="DE514" s="580"/>
      <c r="DF514" s="580"/>
      <c r="DG514" s="580"/>
      <c r="DH514" s="580"/>
      <c r="DI514" s="580"/>
      <c r="DJ514" s="580"/>
      <c r="DK514" s="580"/>
      <c r="DL514" s="580"/>
      <c r="DM514" s="580"/>
      <c r="DN514" s="580"/>
      <c r="DO514" s="580"/>
      <c r="DP514" s="580"/>
    </row>
    <row r="515" spans="1:120" hidden="1" outlineLevel="1">
      <c r="A515" s="55">
        <v>1110053030</v>
      </c>
      <c r="B515" s="509"/>
      <c r="C515" s="510" t="s">
        <v>64</v>
      </c>
      <c r="D515" s="1469"/>
      <c r="E515" s="1470"/>
      <c r="F515" s="416"/>
      <c r="G515" s="1251"/>
      <c r="H515" s="511"/>
      <c r="I515" s="512"/>
      <c r="J515" s="1425">
        <v>1</v>
      </c>
      <c r="K515" s="1426">
        <v>1</v>
      </c>
      <c r="L515" s="419"/>
      <c r="M515" s="1600"/>
      <c r="N515" s="504"/>
      <c r="O515" s="513">
        <f t="shared" ref="O515" si="1480">+L515*N515</f>
        <v>0</v>
      </c>
      <c r="P515" s="514"/>
      <c r="Q515" s="514">
        <f t="shared" ref="Q515" si="1481">+P515*K515</f>
        <v>0</v>
      </c>
      <c r="R515" s="515"/>
      <c r="S515" s="426"/>
      <c r="T515" s="562">
        <f t="shared" ref="T515" si="1482">+P515*S515</f>
        <v>0</v>
      </c>
      <c r="U515" s="1493">
        <f t="shared" ref="U515" si="1483">+L515+P515+F515</f>
        <v>0</v>
      </c>
      <c r="V515" s="1127">
        <f t="shared" ref="V515" si="1484">+P515*R515+L515*N515+F515*H515</f>
        <v>0</v>
      </c>
      <c r="W515" s="976">
        <f t="shared" ref="W515" si="1485">(IF(R515&gt;S515,(-P515*R515)-(-P515*S515),0))</f>
        <v>0</v>
      </c>
      <c r="X515" s="975">
        <f t="shared" ref="X515" si="1486">(IF(R515&lt;S515,(-P515*R515)-(-P515*S515),0))</f>
        <v>0</v>
      </c>
      <c r="Y515" s="519"/>
      <c r="AA515" s="580"/>
      <c r="AB515" s="580"/>
      <c r="AC515" s="580"/>
      <c r="AD515" s="580"/>
      <c r="AE515" s="580"/>
      <c r="AF515" s="580"/>
      <c r="AG515" s="580"/>
      <c r="AH515" s="580"/>
      <c r="AI515" s="580"/>
      <c r="AJ515" s="580"/>
      <c r="AK515" s="580"/>
      <c r="AL515" s="1513"/>
      <c r="AM515" s="580"/>
      <c r="AN515" s="580"/>
      <c r="AO515" s="580"/>
      <c r="AP515" s="580"/>
      <c r="AQ515" s="580"/>
      <c r="AR515" s="580"/>
      <c r="AS515" s="580"/>
      <c r="AT515" s="580"/>
      <c r="AU515" s="580"/>
      <c r="AV515" s="580"/>
      <c r="AW515" s="580"/>
      <c r="AX515" s="580"/>
      <c r="AY515" s="580"/>
      <c r="AZ515" s="580"/>
      <c r="BA515" s="580"/>
      <c r="BB515" s="580"/>
      <c r="BC515" s="580"/>
      <c r="BD515" s="580"/>
      <c r="BE515" s="580">
        <f>+Q515</f>
        <v>0</v>
      </c>
      <c r="BF515" s="580"/>
      <c r="BG515" s="580"/>
      <c r="BH515" s="580"/>
      <c r="BI515" s="580"/>
      <c r="BJ515" s="580"/>
      <c r="BK515" s="580"/>
      <c r="BL515" s="580"/>
      <c r="BM515" s="580"/>
      <c r="BN515" s="580"/>
      <c r="BO515" s="580"/>
      <c r="BP515" s="580"/>
      <c r="BQ515" s="580"/>
      <c r="BR515" s="580"/>
      <c r="BS515" s="580"/>
      <c r="BT515" s="580"/>
      <c r="BU515" s="580"/>
      <c r="BV515" s="580"/>
      <c r="BW515" s="580"/>
      <c r="BX515" s="580"/>
      <c r="BY515" s="580"/>
      <c r="BZ515" s="580"/>
      <c r="CA515" s="580"/>
      <c r="CB515" s="580"/>
      <c r="CC515" s="580"/>
      <c r="CD515" s="580"/>
      <c r="CE515" s="580"/>
      <c r="CF515" s="580"/>
      <c r="CG515" s="580"/>
      <c r="CH515" s="580"/>
      <c r="CI515" s="580"/>
      <c r="CJ515" s="580"/>
      <c r="CK515" s="580"/>
      <c r="CL515" s="580"/>
      <c r="CM515" s="580"/>
      <c r="CN515" s="580"/>
      <c r="CO515" s="580"/>
      <c r="CP515" s="580"/>
      <c r="CQ515" s="580"/>
      <c r="CR515" s="580"/>
      <c r="CS515" s="580"/>
      <c r="CT515" s="580"/>
      <c r="CU515" s="580"/>
      <c r="CV515" s="580"/>
      <c r="CW515" s="580"/>
      <c r="CX515" s="580"/>
      <c r="CY515" s="580"/>
      <c r="CZ515" s="580"/>
      <c r="DA515" s="580"/>
      <c r="DB515" s="580"/>
      <c r="DC515" s="580"/>
      <c r="DD515" s="580"/>
      <c r="DE515" s="580"/>
      <c r="DF515" s="580"/>
      <c r="DG515" s="580"/>
      <c r="DH515" s="580"/>
      <c r="DI515" s="580"/>
      <c r="DJ515" s="580"/>
      <c r="DK515" s="580"/>
      <c r="DL515" s="580"/>
      <c r="DM515" s="580"/>
      <c r="DN515" s="580"/>
      <c r="DO515" s="580"/>
      <c r="DP515" s="580"/>
    </row>
    <row r="516" spans="1:120" hidden="1" outlineLevel="1">
      <c r="A516" s="55">
        <v>1110053030</v>
      </c>
      <c r="B516" s="509"/>
      <c r="C516" s="510" t="s">
        <v>64</v>
      </c>
      <c r="D516" s="1469"/>
      <c r="E516" s="1470"/>
      <c r="F516" s="416"/>
      <c r="G516" s="1251"/>
      <c r="H516" s="511"/>
      <c r="I516" s="512"/>
      <c r="J516" s="1425">
        <v>1</v>
      </c>
      <c r="K516" s="1426">
        <v>1</v>
      </c>
      <c r="L516" s="419"/>
      <c r="M516" s="1600"/>
      <c r="N516" s="504"/>
      <c r="O516" s="513">
        <f t="shared" ref="O516" si="1487">+L516*N516</f>
        <v>0</v>
      </c>
      <c r="P516" s="514"/>
      <c r="Q516" s="514">
        <f t="shared" ref="Q516" si="1488">+P516*K516</f>
        <v>0</v>
      </c>
      <c r="R516" s="515"/>
      <c r="S516" s="426"/>
      <c r="T516" s="562">
        <f t="shared" ref="T516" si="1489">+P516*S516</f>
        <v>0</v>
      </c>
      <c r="U516" s="1493">
        <f t="shared" ref="U516" si="1490">+L516+P516+F516</f>
        <v>0</v>
      </c>
      <c r="V516" s="1127">
        <f t="shared" ref="V516" si="1491">+P516*R516+L516*N516+F516*H516</f>
        <v>0</v>
      </c>
      <c r="W516" s="976">
        <f t="shared" ref="W516" si="1492">(IF(R516&gt;S516,(-P516*R516)-(-P516*S516),0))</f>
        <v>0</v>
      </c>
      <c r="X516" s="975">
        <f t="shared" ref="X516" si="1493">(IF(R516&lt;S516,(-P516*R516)-(-P516*S516),0))</f>
        <v>0</v>
      </c>
      <c r="Y516" s="519"/>
      <c r="AA516" s="580"/>
      <c r="AB516" s="580"/>
      <c r="AC516" s="580"/>
      <c r="AD516" s="580"/>
      <c r="AE516" s="580"/>
      <c r="AF516" s="580"/>
      <c r="AG516" s="580"/>
      <c r="AH516" s="580"/>
      <c r="AI516" s="580"/>
      <c r="AJ516" s="580"/>
      <c r="AK516" s="580"/>
      <c r="AL516" s="1513"/>
      <c r="AM516" s="580"/>
      <c r="AN516" s="580"/>
      <c r="AO516" s="580"/>
      <c r="AP516" s="580"/>
      <c r="AQ516" s="580"/>
      <c r="AR516" s="580"/>
      <c r="AS516" s="580"/>
      <c r="AT516" s="580"/>
      <c r="AU516" s="580"/>
      <c r="AV516" s="580"/>
      <c r="AW516" s="580"/>
      <c r="AX516" s="580"/>
      <c r="AY516" s="580"/>
      <c r="AZ516" s="580"/>
      <c r="BA516" s="580"/>
      <c r="BB516" s="580"/>
      <c r="BC516" s="580"/>
      <c r="BD516" s="580"/>
      <c r="BE516" s="580"/>
      <c r="BF516" s="580"/>
      <c r="BG516" s="580"/>
      <c r="BH516" s="580"/>
      <c r="BI516" s="580"/>
      <c r="BJ516" s="580"/>
      <c r="BK516" s="580">
        <f>+Q516</f>
        <v>0</v>
      </c>
      <c r="BL516" s="580"/>
      <c r="BM516" s="580"/>
      <c r="BN516" s="580"/>
      <c r="BO516" s="580"/>
      <c r="BP516" s="580"/>
      <c r="BQ516" s="580"/>
      <c r="BR516" s="580"/>
      <c r="BS516" s="580"/>
      <c r="BT516" s="580"/>
      <c r="BU516" s="580"/>
      <c r="BV516" s="580"/>
      <c r="BW516" s="580"/>
      <c r="BX516" s="580"/>
      <c r="BY516" s="580"/>
      <c r="BZ516" s="580"/>
      <c r="CA516" s="580"/>
      <c r="CB516" s="580"/>
      <c r="CC516" s="580"/>
      <c r="CD516" s="580"/>
      <c r="CE516" s="580"/>
      <c r="CF516" s="580"/>
      <c r="CG516" s="580"/>
      <c r="CH516" s="580"/>
      <c r="CI516" s="580"/>
      <c r="CJ516" s="580"/>
      <c r="CK516" s="580"/>
      <c r="CL516" s="580"/>
      <c r="CM516" s="580"/>
      <c r="CN516" s="580"/>
      <c r="CO516" s="580"/>
      <c r="CP516" s="580"/>
      <c r="CQ516" s="580"/>
      <c r="CR516" s="580"/>
      <c r="CS516" s="580"/>
      <c r="CT516" s="580"/>
      <c r="CU516" s="580"/>
      <c r="CV516" s="580"/>
      <c r="CW516" s="580"/>
      <c r="CX516" s="580"/>
      <c r="CY516" s="580"/>
      <c r="CZ516" s="580"/>
      <c r="DA516" s="580"/>
      <c r="DB516" s="580"/>
      <c r="DC516" s="580"/>
      <c r="DD516" s="580"/>
      <c r="DE516" s="580"/>
      <c r="DF516" s="580"/>
      <c r="DG516" s="580"/>
      <c r="DH516" s="580"/>
      <c r="DI516" s="580"/>
      <c r="DJ516" s="580"/>
      <c r="DK516" s="580"/>
      <c r="DL516" s="580"/>
      <c r="DM516" s="580"/>
      <c r="DN516" s="580"/>
      <c r="DO516" s="580"/>
      <c r="DP516" s="580"/>
    </row>
    <row r="517" spans="1:120" hidden="1" outlineLevel="1">
      <c r="A517" s="55">
        <v>1110053030</v>
      </c>
      <c r="B517" s="509"/>
      <c r="C517" s="510" t="s">
        <v>64</v>
      </c>
      <c r="D517" s="1469"/>
      <c r="E517" s="1470"/>
      <c r="F517" s="416"/>
      <c r="G517" s="1251"/>
      <c r="H517" s="511"/>
      <c r="I517" s="512"/>
      <c r="J517" s="1425">
        <v>1</v>
      </c>
      <c r="K517" s="1426">
        <v>1</v>
      </c>
      <c r="L517" s="419"/>
      <c r="M517" s="1600">
        <f t="shared" si="1464"/>
        <v>0</v>
      </c>
      <c r="N517" s="504"/>
      <c r="O517" s="513">
        <f t="shared" si="1465"/>
        <v>0</v>
      </c>
      <c r="P517" s="514"/>
      <c r="Q517" s="514"/>
      <c r="R517" s="515"/>
      <c r="S517" s="426"/>
      <c r="T517" s="562">
        <f t="shared" si="1466"/>
        <v>0</v>
      </c>
      <c r="U517" s="1493">
        <f t="shared" si="1467"/>
        <v>0</v>
      </c>
      <c r="V517" s="1127">
        <f t="shared" si="1468"/>
        <v>0</v>
      </c>
      <c r="W517" s="976">
        <f t="shared" si="1469"/>
        <v>0</v>
      </c>
      <c r="X517" s="975">
        <f t="shared" si="1470"/>
        <v>0</v>
      </c>
      <c r="Y517" s="519"/>
      <c r="AA517" s="580"/>
      <c r="AB517" s="580"/>
      <c r="AC517" s="580"/>
      <c r="AD517" s="580"/>
      <c r="AE517" s="580"/>
      <c r="AF517" s="580"/>
      <c r="AG517" s="580"/>
      <c r="AH517" s="580"/>
      <c r="AI517" s="580"/>
      <c r="AJ517" s="580"/>
      <c r="AK517" s="580"/>
      <c r="AL517" s="1513"/>
      <c r="AM517" s="580"/>
      <c r="AN517" s="580"/>
      <c r="AO517" s="580"/>
      <c r="AP517" s="580"/>
      <c r="AQ517" s="580"/>
      <c r="AR517" s="580"/>
      <c r="AS517" s="580"/>
      <c r="AT517" s="580"/>
      <c r="AU517" s="580"/>
      <c r="AV517" s="580"/>
      <c r="AW517" s="580"/>
      <c r="AX517" s="580"/>
      <c r="AY517" s="580"/>
      <c r="AZ517" s="580"/>
      <c r="BA517" s="580"/>
      <c r="BB517" s="580"/>
      <c r="BC517" s="580"/>
      <c r="BD517" s="580"/>
      <c r="BE517" s="580"/>
      <c r="BF517" s="580"/>
      <c r="BG517" s="580"/>
      <c r="BH517" s="580"/>
      <c r="BI517" s="580"/>
      <c r="BJ517" s="580"/>
      <c r="BK517" s="580"/>
      <c r="BL517" s="580"/>
      <c r="BM517" s="580"/>
      <c r="BN517" s="580"/>
      <c r="BO517" s="580"/>
      <c r="BP517" s="580"/>
      <c r="BQ517" s="580"/>
      <c r="BR517" s="580">
        <f>+M517</f>
        <v>0</v>
      </c>
      <c r="BS517" s="580"/>
      <c r="BT517" s="580"/>
      <c r="BU517" s="580"/>
      <c r="BV517" s="580"/>
      <c r="BW517" s="580"/>
      <c r="BX517" s="580"/>
      <c r="BY517" s="580"/>
      <c r="BZ517" s="580"/>
      <c r="CA517" s="580"/>
      <c r="CB517" s="580"/>
      <c r="CC517" s="580"/>
      <c r="CD517" s="580"/>
      <c r="CE517" s="580"/>
      <c r="CF517" s="580"/>
      <c r="CG517" s="580"/>
      <c r="CH517" s="580"/>
      <c r="CI517" s="580"/>
      <c r="CJ517" s="580"/>
      <c r="CK517" s="580"/>
      <c r="CL517" s="580"/>
      <c r="CM517" s="580"/>
      <c r="CN517" s="580"/>
      <c r="CO517" s="580"/>
      <c r="CP517" s="580"/>
      <c r="CQ517" s="580"/>
      <c r="CR517" s="580"/>
      <c r="CS517" s="580"/>
      <c r="CT517" s="580"/>
      <c r="CU517" s="580"/>
      <c r="CV517" s="580"/>
      <c r="CW517" s="580"/>
      <c r="CX517" s="580"/>
      <c r="CY517" s="580"/>
      <c r="CZ517" s="580"/>
      <c r="DA517" s="580"/>
      <c r="DB517" s="580"/>
      <c r="DC517" s="580"/>
      <c r="DD517" s="580"/>
      <c r="DE517" s="580"/>
      <c r="DF517" s="580"/>
      <c r="DG517" s="580"/>
      <c r="DH517" s="580"/>
      <c r="DI517" s="580"/>
      <c r="DJ517" s="580"/>
      <c r="DK517" s="580"/>
      <c r="DL517" s="580"/>
      <c r="DM517" s="580"/>
      <c r="DN517" s="580"/>
      <c r="DO517" s="580"/>
      <c r="DP517" s="580"/>
    </row>
    <row r="518" spans="1:120" hidden="1" outlineLevel="1">
      <c r="A518" s="55">
        <v>1110053030</v>
      </c>
      <c r="B518" s="509"/>
      <c r="C518" s="510" t="s">
        <v>64</v>
      </c>
      <c r="D518" s="1469"/>
      <c r="E518" s="1470"/>
      <c r="F518" s="416"/>
      <c r="G518" s="1251"/>
      <c r="H518" s="511"/>
      <c r="I518" s="512"/>
      <c r="J518" s="1425">
        <v>1</v>
      </c>
      <c r="K518" s="1426">
        <v>1</v>
      </c>
      <c r="L518" s="419"/>
      <c r="M518" s="1600">
        <f t="shared" ref="M518" si="1494">+L518*J518</f>
        <v>0</v>
      </c>
      <c r="N518" s="504"/>
      <c r="O518" s="513">
        <f t="shared" si="1465"/>
        <v>0</v>
      </c>
      <c r="P518" s="514"/>
      <c r="Q518" s="514">
        <f t="shared" ref="Q518" si="1495">+P518*K518</f>
        <v>0</v>
      </c>
      <c r="R518" s="515"/>
      <c r="S518" s="426"/>
      <c r="T518" s="562">
        <f t="shared" si="1466"/>
        <v>0</v>
      </c>
      <c r="U518" s="1493">
        <f t="shared" si="1467"/>
        <v>0</v>
      </c>
      <c r="V518" s="1127">
        <f t="shared" si="1468"/>
        <v>0</v>
      </c>
      <c r="W518" s="976">
        <f t="shared" si="1469"/>
        <v>0</v>
      </c>
      <c r="X518" s="975">
        <f t="shared" si="1470"/>
        <v>0</v>
      </c>
      <c r="Y518" s="519"/>
      <c r="AA518" s="580"/>
      <c r="AB518" s="580"/>
      <c r="AC518" s="580"/>
      <c r="AD518" s="580"/>
      <c r="AE518" s="580"/>
      <c r="AF518" s="580"/>
      <c r="AG518" s="580"/>
      <c r="AH518" s="580"/>
      <c r="AI518" s="580"/>
      <c r="AJ518" s="580"/>
      <c r="AK518" s="580"/>
      <c r="AL518" s="1513"/>
      <c r="AM518" s="580"/>
      <c r="AN518" s="580"/>
      <c r="AO518" s="580"/>
      <c r="AP518" s="580"/>
      <c r="AQ518" s="580"/>
      <c r="AR518" s="580"/>
      <c r="AS518" s="580"/>
      <c r="AT518" s="580"/>
      <c r="AU518" s="580"/>
      <c r="AV518" s="580"/>
      <c r="AW518" s="580"/>
      <c r="AX518" s="580"/>
      <c r="AY518" s="580"/>
      <c r="AZ518" s="580"/>
      <c r="BA518" s="580"/>
      <c r="BB518" s="580"/>
      <c r="BC518" s="580"/>
      <c r="BD518" s="580"/>
      <c r="BE518" s="580"/>
      <c r="BF518" s="580"/>
      <c r="BG518" s="580"/>
      <c r="BH518" s="580"/>
      <c r="BI518" s="580"/>
      <c r="BJ518" s="580"/>
      <c r="BK518" s="580"/>
      <c r="BL518" s="580"/>
      <c r="BM518" s="580"/>
      <c r="BN518" s="580"/>
      <c r="BO518" s="580"/>
      <c r="BP518" s="580"/>
      <c r="BQ518" s="580"/>
      <c r="BR518" s="580">
        <f>+Q518</f>
        <v>0</v>
      </c>
      <c r="BS518" s="580"/>
      <c r="BT518" s="580"/>
      <c r="BU518" s="580"/>
      <c r="BV518" s="580"/>
      <c r="BW518" s="580"/>
      <c r="BX518" s="580"/>
      <c r="BY518" s="580"/>
      <c r="BZ518" s="580"/>
      <c r="CA518" s="580"/>
      <c r="CB518" s="580"/>
      <c r="CC518" s="580"/>
      <c r="CD518" s="580"/>
      <c r="CE518" s="580"/>
      <c r="CF518" s="580"/>
      <c r="CG518" s="580"/>
      <c r="CH518" s="580"/>
      <c r="CI518" s="580"/>
      <c r="CJ518" s="580"/>
      <c r="CK518" s="580"/>
      <c r="CL518" s="580"/>
      <c r="CM518" s="580"/>
      <c r="CN518" s="580"/>
      <c r="CO518" s="580"/>
      <c r="CP518" s="580"/>
      <c r="CQ518" s="580"/>
      <c r="CR518" s="580"/>
      <c r="CS518" s="580"/>
      <c r="CT518" s="580"/>
      <c r="CU518" s="580"/>
      <c r="CV518" s="580"/>
      <c r="CW518" s="580"/>
      <c r="CX518" s="580"/>
      <c r="CY518" s="580"/>
      <c r="CZ518" s="580"/>
      <c r="DA518" s="580"/>
      <c r="DB518" s="580"/>
      <c r="DC518" s="580"/>
      <c r="DD518" s="580"/>
      <c r="DE518" s="580"/>
      <c r="DF518" s="580"/>
      <c r="DG518" s="580"/>
      <c r="DH518" s="580"/>
      <c r="DI518" s="580"/>
      <c r="DJ518" s="580"/>
      <c r="DK518" s="580"/>
      <c r="DL518" s="580"/>
      <c r="DM518" s="580"/>
      <c r="DN518" s="580"/>
      <c r="DO518" s="580"/>
      <c r="DP518" s="580"/>
    </row>
    <row r="519" spans="1:120" hidden="1" outlineLevel="1">
      <c r="A519" s="55"/>
      <c r="B519" s="509"/>
      <c r="C519" s="510"/>
      <c r="D519" s="1469"/>
      <c r="E519" s="1470"/>
      <c r="F519" s="416"/>
      <c r="G519" s="1251"/>
      <c r="H519" s="511"/>
      <c r="I519" s="512"/>
      <c r="J519" s="1425"/>
      <c r="K519" s="1426"/>
      <c r="L519" s="419"/>
      <c r="M519" s="1600"/>
      <c r="N519" s="504"/>
      <c r="O519" s="513">
        <f t="shared" si="1465"/>
        <v>0</v>
      </c>
      <c r="P519" s="514"/>
      <c r="Q519" s="514"/>
      <c r="R519" s="515"/>
      <c r="S519" s="426"/>
      <c r="T519" s="562">
        <f t="shared" si="1466"/>
        <v>0</v>
      </c>
      <c r="U519" s="1493">
        <f t="shared" si="1467"/>
        <v>0</v>
      </c>
      <c r="V519" s="1127">
        <f t="shared" si="1468"/>
        <v>0</v>
      </c>
      <c r="W519" s="976">
        <f t="shared" si="1469"/>
        <v>0</v>
      </c>
      <c r="X519" s="975">
        <f t="shared" si="1470"/>
        <v>0</v>
      </c>
      <c r="Y519" s="519"/>
      <c r="AA519" s="580"/>
      <c r="AB519" s="580"/>
      <c r="AC519" s="580"/>
      <c r="AD519" s="580"/>
      <c r="AE519" s="580"/>
      <c r="AF519" s="580"/>
      <c r="AG519" s="580"/>
      <c r="AH519" s="580"/>
      <c r="AI519" s="580"/>
      <c r="AJ519" s="580"/>
      <c r="AK519" s="580"/>
      <c r="AL519" s="1513"/>
      <c r="AM519" s="580"/>
      <c r="AN519" s="580"/>
      <c r="AO519" s="580"/>
      <c r="AP519" s="580"/>
      <c r="AQ519" s="580"/>
      <c r="AR519" s="580"/>
      <c r="AS519" s="580"/>
      <c r="AT519" s="580"/>
      <c r="AU519" s="580"/>
      <c r="AV519" s="580"/>
      <c r="AW519" s="580"/>
      <c r="AX519" s="580"/>
      <c r="AY519" s="580"/>
      <c r="AZ519" s="580"/>
      <c r="BA519" s="580"/>
      <c r="BB519" s="580"/>
      <c r="BC519" s="580"/>
      <c r="BD519" s="580"/>
      <c r="BE519" s="580"/>
      <c r="BF519" s="580"/>
      <c r="BG519" s="580"/>
      <c r="BH519" s="580"/>
      <c r="BI519" s="580"/>
      <c r="BJ519" s="580"/>
      <c r="BK519" s="580"/>
      <c r="BL519" s="580"/>
      <c r="BM519" s="580"/>
      <c r="BN519" s="580"/>
      <c r="BO519" s="580"/>
      <c r="BP519" s="580"/>
      <c r="BQ519" s="580"/>
      <c r="BR519" s="580"/>
      <c r="BS519" s="580"/>
      <c r="BT519" s="580"/>
      <c r="BU519" s="580"/>
      <c r="BV519" s="580"/>
      <c r="BW519" s="580"/>
      <c r="BX519" s="580"/>
      <c r="BY519" s="580"/>
      <c r="BZ519" s="580"/>
      <c r="CA519" s="580"/>
      <c r="CB519" s="580"/>
      <c r="CC519" s="580"/>
      <c r="CD519" s="580"/>
      <c r="CE519" s="580"/>
      <c r="CF519" s="580"/>
      <c r="CG519" s="580"/>
      <c r="CH519" s="580"/>
      <c r="CI519" s="580"/>
      <c r="CJ519" s="580"/>
      <c r="CK519" s="580"/>
      <c r="CL519" s="580"/>
      <c r="CM519" s="580"/>
      <c r="CN519" s="580"/>
      <c r="CO519" s="580"/>
      <c r="CP519" s="580"/>
      <c r="CQ519" s="580"/>
      <c r="CR519" s="580"/>
      <c r="CS519" s="580"/>
      <c r="CT519" s="580"/>
      <c r="CU519" s="580"/>
      <c r="CV519" s="580"/>
      <c r="CW519" s="580"/>
      <c r="CX519" s="580"/>
      <c r="CY519" s="580"/>
      <c r="CZ519" s="580"/>
      <c r="DA519" s="580"/>
      <c r="DB519" s="580"/>
      <c r="DC519" s="580"/>
      <c r="DD519" s="580"/>
      <c r="DE519" s="580"/>
      <c r="DF519" s="580"/>
      <c r="DG519" s="580"/>
      <c r="DH519" s="580"/>
      <c r="DI519" s="580"/>
      <c r="DJ519" s="580"/>
      <c r="DK519" s="580"/>
      <c r="DL519" s="580"/>
      <c r="DM519" s="580"/>
      <c r="DN519" s="580"/>
      <c r="DO519" s="580"/>
      <c r="DP519" s="580"/>
    </row>
    <row r="520" spans="1:120" ht="16.5" hidden="1" collapsed="1" thickBot="1">
      <c r="A520" s="62" t="s">
        <v>230</v>
      </c>
      <c r="B520" s="63"/>
      <c r="C520" s="64"/>
      <c r="D520" s="1473"/>
      <c r="E520" s="1474"/>
      <c r="F520" s="66">
        <f>SUM(F509:F519)</f>
        <v>0</v>
      </c>
      <c r="G520" s="1253"/>
      <c r="H520" s="67"/>
      <c r="I520" s="68">
        <f>SUM(I509:I519)</f>
        <v>0</v>
      </c>
      <c r="J520" s="1376"/>
      <c r="K520" s="76"/>
      <c r="L520" s="1051">
        <f>SUM(L509:L519)</f>
        <v>0</v>
      </c>
      <c r="M520" s="1598"/>
      <c r="N520" s="70"/>
      <c r="O520" s="71">
        <f>SUM(O509:O519)</f>
        <v>0</v>
      </c>
      <c r="P520" s="72">
        <f>SUM(P509:P519)</f>
        <v>0</v>
      </c>
      <c r="Q520" s="1339"/>
      <c r="R520" s="73"/>
      <c r="S520" s="73"/>
      <c r="T520" s="96">
        <f>SUM(T509:T519)</f>
        <v>0</v>
      </c>
      <c r="U520" s="66">
        <f>SUM(U509:U519)</f>
        <v>0</v>
      </c>
      <c r="V520" s="76">
        <f>SUM(V509:V519)</f>
        <v>0</v>
      </c>
      <c r="W520" s="97">
        <f>SUM(W509:W519)</f>
        <v>0</v>
      </c>
      <c r="X520" s="98">
        <f>SUM(X509:X519)</f>
        <v>0</v>
      </c>
      <c r="Y520" s="43"/>
      <c r="AA520" s="172">
        <f t="shared" ref="AA520:BF520" ca="1" si="1496">SUM(AA507:AA519)</f>
        <v>0</v>
      </c>
      <c r="AB520" s="172">
        <f t="shared" ca="1" si="1496"/>
        <v>0</v>
      </c>
      <c r="AC520" s="172">
        <f t="shared" ca="1" si="1496"/>
        <v>0</v>
      </c>
      <c r="AD520" s="172">
        <f t="shared" ca="1" si="1496"/>
        <v>0</v>
      </c>
      <c r="AE520" s="172">
        <f t="shared" ca="1" si="1496"/>
        <v>0</v>
      </c>
      <c r="AF520" s="172">
        <f t="shared" ca="1" si="1496"/>
        <v>0</v>
      </c>
      <c r="AG520" s="172">
        <f t="shared" ca="1" si="1496"/>
        <v>0</v>
      </c>
      <c r="AH520" s="172">
        <f t="shared" ca="1" si="1496"/>
        <v>0</v>
      </c>
      <c r="AI520" s="172">
        <f t="shared" ca="1" si="1496"/>
        <v>0</v>
      </c>
      <c r="AJ520" s="172">
        <f t="shared" ca="1" si="1496"/>
        <v>0</v>
      </c>
      <c r="AK520" s="172">
        <f t="shared" ca="1" si="1496"/>
        <v>0</v>
      </c>
      <c r="AL520" s="172">
        <f t="shared" ca="1" si="1496"/>
        <v>0</v>
      </c>
      <c r="AM520" s="172">
        <f t="shared" ca="1" si="1496"/>
        <v>0</v>
      </c>
      <c r="AN520" s="172">
        <f t="shared" ca="1" si="1496"/>
        <v>0</v>
      </c>
      <c r="AO520" s="172">
        <f t="shared" ca="1" si="1496"/>
        <v>0</v>
      </c>
      <c r="AP520" s="172">
        <f t="shared" ca="1" si="1496"/>
        <v>0</v>
      </c>
      <c r="AQ520" s="172">
        <f t="shared" ca="1" si="1496"/>
        <v>0</v>
      </c>
      <c r="AR520" s="172">
        <f t="shared" ca="1" si="1496"/>
        <v>0</v>
      </c>
      <c r="AS520" s="172">
        <f t="shared" ca="1" si="1496"/>
        <v>0</v>
      </c>
      <c r="AT520" s="172">
        <f t="shared" ca="1" si="1496"/>
        <v>0</v>
      </c>
      <c r="AU520" s="172">
        <f t="shared" ca="1" si="1496"/>
        <v>0</v>
      </c>
      <c r="AV520" s="172">
        <f t="shared" ca="1" si="1496"/>
        <v>0</v>
      </c>
      <c r="AW520" s="172">
        <f t="shared" ca="1" si="1496"/>
        <v>0</v>
      </c>
      <c r="AX520" s="172">
        <f t="shared" ca="1" si="1496"/>
        <v>0</v>
      </c>
      <c r="AY520" s="172">
        <f t="shared" ca="1" si="1496"/>
        <v>0</v>
      </c>
      <c r="AZ520" s="172">
        <f t="shared" ca="1" si="1496"/>
        <v>0</v>
      </c>
      <c r="BA520" s="172">
        <f t="shared" ca="1" si="1496"/>
        <v>0</v>
      </c>
      <c r="BB520" s="172">
        <f t="shared" ca="1" si="1496"/>
        <v>0</v>
      </c>
      <c r="BC520" s="172">
        <f t="shared" ca="1" si="1496"/>
        <v>0</v>
      </c>
      <c r="BD520" s="172">
        <f t="shared" ca="1" si="1496"/>
        <v>0</v>
      </c>
      <c r="BE520" s="172">
        <f t="shared" ca="1" si="1496"/>
        <v>0</v>
      </c>
      <c r="BF520" s="172">
        <f t="shared" ca="1" si="1496"/>
        <v>0</v>
      </c>
      <c r="BG520" s="172">
        <f t="shared" ref="BG520:CL520" ca="1" si="1497">SUM(BG507:BG519)</f>
        <v>0</v>
      </c>
      <c r="BH520" s="172">
        <f t="shared" ca="1" si="1497"/>
        <v>0</v>
      </c>
      <c r="BI520" s="172">
        <f t="shared" ca="1" si="1497"/>
        <v>0</v>
      </c>
      <c r="BJ520" s="172">
        <f t="shared" ca="1" si="1497"/>
        <v>0</v>
      </c>
      <c r="BK520" s="172">
        <f t="shared" ca="1" si="1497"/>
        <v>0</v>
      </c>
      <c r="BL520" s="172">
        <f t="shared" ca="1" si="1497"/>
        <v>0</v>
      </c>
      <c r="BM520" s="172">
        <f t="shared" ca="1" si="1497"/>
        <v>0</v>
      </c>
      <c r="BN520" s="172">
        <f t="shared" ca="1" si="1497"/>
        <v>0</v>
      </c>
      <c r="BO520" s="172">
        <f t="shared" ca="1" si="1497"/>
        <v>0</v>
      </c>
      <c r="BP520" s="172">
        <f t="shared" ca="1" si="1497"/>
        <v>0</v>
      </c>
      <c r="BQ520" s="172">
        <f t="shared" ca="1" si="1497"/>
        <v>0</v>
      </c>
      <c r="BR520" s="172">
        <f t="shared" ca="1" si="1497"/>
        <v>0</v>
      </c>
      <c r="BS520" s="172">
        <f t="shared" ca="1" si="1497"/>
        <v>0</v>
      </c>
      <c r="BT520" s="172">
        <f t="shared" ca="1" si="1497"/>
        <v>0</v>
      </c>
      <c r="BU520" s="172">
        <f t="shared" ca="1" si="1497"/>
        <v>0</v>
      </c>
      <c r="BV520" s="172">
        <f t="shared" ca="1" si="1497"/>
        <v>0</v>
      </c>
      <c r="BW520" s="172">
        <f t="shared" ca="1" si="1497"/>
        <v>0</v>
      </c>
      <c r="BX520" s="172">
        <f t="shared" ca="1" si="1497"/>
        <v>0</v>
      </c>
      <c r="BY520" s="172">
        <f t="shared" ca="1" si="1497"/>
        <v>0</v>
      </c>
      <c r="BZ520" s="172">
        <f t="shared" ca="1" si="1497"/>
        <v>0</v>
      </c>
      <c r="CA520" s="172">
        <f t="shared" ca="1" si="1497"/>
        <v>0</v>
      </c>
      <c r="CB520" s="172">
        <f t="shared" ca="1" si="1497"/>
        <v>0</v>
      </c>
      <c r="CC520" s="172">
        <f t="shared" ca="1" si="1497"/>
        <v>0</v>
      </c>
      <c r="CD520" s="172">
        <f t="shared" ca="1" si="1497"/>
        <v>0</v>
      </c>
      <c r="CE520" s="172">
        <f t="shared" ca="1" si="1497"/>
        <v>0</v>
      </c>
      <c r="CF520" s="172">
        <f t="shared" ca="1" si="1497"/>
        <v>0</v>
      </c>
      <c r="CG520" s="172">
        <f t="shared" ca="1" si="1497"/>
        <v>0</v>
      </c>
      <c r="CH520" s="172">
        <f t="shared" ca="1" si="1497"/>
        <v>0</v>
      </c>
      <c r="CI520" s="172">
        <f t="shared" ca="1" si="1497"/>
        <v>0</v>
      </c>
      <c r="CJ520" s="172">
        <f t="shared" ca="1" si="1497"/>
        <v>0</v>
      </c>
      <c r="CK520" s="172">
        <f t="shared" ca="1" si="1497"/>
        <v>0</v>
      </c>
      <c r="CL520" s="172">
        <f t="shared" ca="1" si="1497"/>
        <v>0</v>
      </c>
      <c r="CM520" s="172">
        <f t="shared" ref="CM520:DM520" ca="1" si="1498">SUM(CM507:CM519)</f>
        <v>0</v>
      </c>
      <c r="CN520" s="172">
        <f t="shared" ca="1" si="1498"/>
        <v>0</v>
      </c>
      <c r="CO520" s="172">
        <f t="shared" si="1498"/>
        <v>0</v>
      </c>
      <c r="CP520" s="172">
        <f t="shared" si="1498"/>
        <v>0</v>
      </c>
      <c r="CQ520" s="172">
        <f t="shared" si="1498"/>
        <v>0</v>
      </c>
      <c r="CR520" s="172">
        <f t="shared" si="1498"/>
        <v>0</v>
      </c>
      <c r="CS520" s="172">
        <f t="shared" si="1498"/>
        <v>0</v>
      </c>
      <c r="CT520" s="172">
        <f t="shared" si="1498"/>
        <v>0</v>
      </c>
      <c r="CU520" s="172">
        <f t="shared" si="1498"/>
        <v>0</v>
      </c>
      <c r="CV520" s="172">
        <f t="shared" si="1498"/>
        <v>0</v>
      </c>
      <c r="CW520" s="172">
        <f t="shared" si="1498"/>
        <v>0</v>
      </c>
      <c r="CX520" s="172">
        <f t="shared" si="1498"/>
        <v>0</v>
      </c>
      <c r="CY520" s="172">
        <f t="shared" si="1498"/>
        <v>0</v>
      </c>
      <c r="CZ520" s="172">
        <f t="shared" si="1498"/>
        <v>0</v>
      </c>
      <c r="DA520" s="172">
        <f t="shared" si="1498"/>
        <v>0</v>
      </c>
      <c r="DB520" s="172">
        <f t="shared" si="1498"/>
        <v>0</v>
      </c>
      <c r="DC520" s="172">
        <f t="shared" si="1498"/>
        <v>0</v>
      </c>
      <c r="DD520" s="172">
        <f t="shared" si="1498"/>
        <v>0</v>
      </c>
      <c r="DE520" s="172">
        <f t="shared" si="1498"/>
        <v>0</v>
      </c>
      <c r="DF520" s="172">
        <f t="shared" si="1498"/>
        <v>0</v>
      </c>
      <c r="DG520" s="172">
        <f t="shared" si="1498"/>
        <v>0</v>
      </c>
      <c r="DH520" s="172">
        <f t="shared" si="1498"/>
        <v>0</v>
      </c>
      <c r="DI520" s="172">
        <f t="shared" si="1498"/>
        <v>0</v>
      </c>
      <c r="DJ520" s="172">
        <f t="shared" si="1498"/>
        <v>0</v>
      </c>
      <c r="DK520" s="172">
        <f t="shared" si="1498"/>
        <v>0</v>
      </c>
      <c r="DL520" s="172">
        <f t="shared" si="1498"/>
        <v>0</v>
      </c>
      <c r="DM520" s="172">
        <f t="shared" si="1498"/>
        <v>0</v>
      </c>
      <c r="DN520" s="172">
        <f t="shared" ref="DN520:DO520" si="1499">SUM(DN507:DN519)</f>
        <v>0</v>
      </c>
      <c r="DO520" s="172">
        <f t="shared" si="1499"/>
        <v>0</v>
      </c>
      <c r="DP520" s="172">
        <f t="shared" ref="DP520" si="1500">SUM(DP507:DP519)</f>
        <v>0</v>
      </c>
    </row>
    <row r="521" spans="1:120" hidden="1"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  <c r="DF521" s="24"/>
      <c r="DG521" s="24"/>
      <c r="DH521" s="24"/>
      <c r="DI521" s="24"/>
      <c r="DJ521" s="24"/>
      <c r="DK521" s="24"/>
      <c r="DL521" s="24"/>
      <c r="DM521" s="24"/>
      <c r="DN521" s="24"/>
      <c r="DO521" s="24"/>
      <c r="DP521" s="24"/>
    </row>
    <row r="522" spans="1:120" hidden="1" outlineLevel="1">
      <c r="A522" s="640">
        <v>1110053030</v>
      </c>
      <c r="B522" s="573" t="s">
        <v>78</v>
      </c>
      <c r="C522" s="641" t="s">
        <v>64</v>
      </c>
      <c r="D522" s="1489"/>
      <c r="E522" s="1490"/>
      <c r="F522" s="643"/>
      <c r="G522" s="1262"/>
      <c r="H522" s="644"/>
      <c r="I522" s="645"/>
      <c r="J522" s="1483">
        <v>1</v>
      </c>
      <c r="K522" s="1484">
        <v>1</v>
      </c>
      <c r="L522" s="646"/>
      <c r="M522" s="1428">
        <f t="shared" ref="M522:M523" si="1501">+L522*J522</f>
        <v>0</v>
      </c>
      <c r="N522" s="647"/>
      <c r="O522" s="648">
        <f t="shared" ref="O522:O523" si="1502">+L522*N522</f>
        <v>0</v>
      </c>
      <c r="P522" s="649"/>
      <c r="Q522" s="649"/>
      <c r="R522" s="650"/>
      <c r="S522" s="650"/>
      <c r="T522" s="651">
        <f t="shared" ref="T522:T523" si="1503">+P522*S522</f>
        <v>0</v>
      </c>
      <c r="U522" s="1301">
        <f t="shared" ref="U522:U523" si="1504">+L522+P522+F522</f>
        <v>0</v>
      </c>
      <c r="V522" s="651">
        <f t="shared" ref="V522:V523" si="1505">+P522*R522+L522*N522+F522*H522</f>
        <v>0</v>
      </c>
      <c r="W522" s="653">
        <f t="shared" ref="W522:W523" si="1506">(IF(R522&gt;S522,(-P522*R522)-(-P522*S522),0))</f>
        <v>0</v>
      </c>
      <c r="X522" s="654">
        <f t="shared" ref="X522:X523" si="1507">(IF(R522&lt;S522,(-P522*R522)-(-P522*S522),0))</f>
        <v>0</v>
      </c>
      <c r="Y522" s="655"/>
      <c r="AA522" s="577"/>
      <c r="AB522" s="577"/>
      <c r="AC522" s="577"/>
      <c r="AD522" s="577"/>
      <c r="AE522" s="577"/>
      <c r="AF522" s="577"/>
      <c r="AG522" s="577"/>
      <c r="AH522" s="577"/>
      <c r="AI522" s="577"/>
      <c r="AJ522" s="577"/>
      <c r="AK522" s="577"/>
      <c r="AL522" s="577"/>
      <c r="AM522" s="577"/>
      <c r="AN522" s="577"/>
      <c r="AO522" s="577"/>
      <c r="AP522" s="577"/>
      <c r="AQ522" s="577"/>
      <c r="AR522" s="577"/>
      <c r="AS522" s="577"/>
      <c r="AT522" s="577"/>
      <c r="AU522" s="577"/>
      <c r="AV522" s="577"/>
      <c r="AW522" s="577"/>
      <c r="AX522" s="577"/>
      <c r="AY522" s="577"/>
      <c r="AZ522" s="577"/>
      <c r="BA522" s="577"/>
      <c r="BB522" s="577"/>
      <c r="BC522" s="577"/>
      <c r="BD522" s="577"/>
      <c r="BE522" s="577">
        <f>M522</f>
        <v>0</v>
      </c>
      <c r="BF522" s="577"/>
      <c r="BG522" s="577"/>
      <c r="BH522" s="577"/>
      <c r="BI522" s="577"/>
      <c r="BJ522" s="577"/>
      <c r="BK522" s="577"/>
      <c r="BL522" s="577"/>
      <c r="BM522" s="577"/>
      <c r="BN522" s="577"/>
      <c r="BO522" s="577"/>
      <c r="BP522" s="577"/>
      <c r="BQ522" s="577"/>
      <c r="BR522" s="577"/>
      <c r="BS522" s="577"/>
      <c r="BT522" s="577"/>
      <c r="BU522" s="577"/>
      <c r="BV522" s="577"/>
      <c r="BW522" s="577"/>
      <c r="BX522" s="577"/>
      <c r="BY522" s="577"/>
      <c r="BZ522" s="577"/>
      <c r="CA522" s="577"/>
      <c r="CB522" s="577"/>
      <c r="CC522" s="577"/>
      <c r="CD522" s="577"/>
      <c r="CE522" s="577"/>
      <c r="CF522" s="577"/>
      <c r="CG522" s="577"/>
      <c r="CH522" s="577"/>
      <c r="CI522" s="577"/>
      <c r="CJ522" s="577"/>
      <c r="CK522" s="577"/>
      <c r="CL522" s="577"/>
      <c r="CM522" s="577"/>
      <c r="CN522" s="577"/>
      <c r="CO522" s="577"/>
      <c r="CP522" s="577"/>
      <c r="CQ522" s="577"/>
      <c r="CR522" s="577"/>
      <c r="CS522" s="577"/>
      <c r="CT522" s="577"/>
      <c r="CU522" s="577"/>
      <c r="CV522" s="577"/>
      <c r="CW522" s="577"/>
      <c r="CX522" s="577"/>
      <c r="CY522" s="577"/>
      <c r="CZ522" s="577"/>
      <c r="DA522" s="577"/>
      <c r="DB522" s="577"/>
      <c r="DC522" s="577"/>
      <c r="DD522" s="577"/>
      <c r="DE522" s="577"/>
      <c r="DF522" s="577"/>
      <c r="DG522" s="577"/>
      <c r="DH522" s="577"/>
      <c r="DI522" s="577"/>
      <c r="DJ522" s="577"/>
      <c r="DK522" s="577"/>
      <c r="DL522" s="577"/>
      <c r="DM522" s="577"/>
      <c r="DN522" s="577"/>
      <c r="DO522" s="577"/>
      <c r="DP522" s="577"/>
    </row>
    <row r="523" spans="1:120" hidden="1" outlineLevel="1">
      <c r="A523" s="55">
        <v>1110053030</v>
      </c>
      <c r="B523" s="509"/>
      <c r="C523" s="510" t="s">
        <v>64</v>
      </c>
      <c r="D523" s="1469"/>
      <c r="E523" s="1470"/>
      <c r="F523" s="416"/>
      <c r="G523" s="1251"/>
      <c r="H523" s="511"/>
      <c r="I523" s="512"/>
      <c r="J523" s="1425">
        <v>1</v>
      </c>
      <c r="K523" s="1426">
        <v>1</v>
      </c>
      <c r="L523" s="419"/>
      <c r="M523" s="1540">
        <f t="shared" si="1501"/>
        <v>0</v>
      </c>
      <c r="N523" s="504"/>
      <c r="O523" s="513">
        <f t="shared" si="1502"/>
        <v>0</v>
      </c>
      <c r="P523" s="514"/>
      <c r="Q523" s="514"/>
      <c r="R523" s="515"/>
      <c r="S523" s="563"/>
      <c r="T523" s="562">
        <f t="shared" si="1503"/>
        <v>0</v>
      </c>
      <c r="U523" s="1493">
        <f t="shared" si="1504"/>
        <v>0</v>
      </c>
      <c r="V523" s="1127">
        <f t="shared" si="1505"/>
        <v>0</v>
      </c>
      <c r="W523" s="976">
        <f t="shared" si="1506"/>
        <v>0</v>
      </c>
      <c r="X523" s="975">
        <f t="shared" si="1507"/>
        <v>0</v>
      </c>
      <c r="Y523" s="519"/>
      <c r="AA523" s="580"/>
      <c r="AB523" s="580"/>
      <c r="AC523" s="580"/>
      <c r="AD523" s="580"/>
      <c r="AE523" s="580"/>
      <c r="AF523" s="580"/>
      <c r="AG523" s="580"/>
      <c r="AH523" s="580"/>
      <c r="AI523" s="580"/>
      <c r="AJ523" s="580"/>
      <c r="AK523" s="580"/>
      <c r="AL523" s="1513"/>
      <c r="AM523" s="580"/>
      <c r="AN523" s="580"/>
      <c r="AO523" s="580"/>
      <c r="AP523" s="580"/>
      <c r="AQ523" s="580"/>
      <c r="AR523" s="580"/>
      <c r="AS523" s="580"/>
      <c r="AT523" s="580"/>
      <c r="AU523" s="580"/>
      <c r="AV523" s="580"/>
      <c r="AW523" s="580"/>
      <c r="AX523" s="580"/>
      <c r="AY523" s="580"/>
      <c r="AZ523" s="580"/>
      <c r="BA523" s="580"/>
      <c r="BB523" s="580"/>
      <c r="BC523" s="580"/>
      <c r="BD523" s="580"/>
      <c r="BE523" s="580"/>
      <c r="BF523" s="580"/>
      <c r="BG523" s="580">
        <f>M523</f>
        <v>0</v>
      </c>
      <c r="BH523" s="580"/>
      <c r="BI523" s="580"/>
      <c r="BJ523" s="580"/>
      <c r="BK523" s="580"/>
      <c r="BL523" s="580"/>
      <c r="BM523" s="580"/>
      <c r="BN523" s="580"/>
      <c r="BO523" s="580"/>
      <c r="BP523" s="580"/>
      <c r="BQ523" s="580"/>
      <c r="BR523" s="580"/>
      <c r="BS523" s="580"/>
      <c r="BT523" s="580"/>
      <c r="BU523" s="580"/>
      <c r="BV523" s="580"/>
      <c r="BW523" s="580"/>
      <c r="BX523" s="580"/>
      <c r="BY523" s="580"/>
      <c r="BZ523" s="580"/>
      <c r="CA523" s="580"/>
      <c r="CB523" s="580"/>
      <c r="CC523" s="580"/>
      <c r="CD523" s="580"/>
      <c r="CE523" s="580"/>
      <c r="CF523" s="580"/>
      <c r="CG523" s="580"/>
      <c r="CH523" s="580"/>
      <c r="CI523" s="580"/>
      <c r="CJ523" s="580"/>
      <c r="CK523" s="580"/>
      <c r="CL523" s="580"/>
      <c r="CM523" s="580"/>
      <c r="CN523" s="580"/>
      <c r="CO523" s="580"/>
      <c r="CP523" s="580"/>
      <c r="CQ523" s="580"/>
      <c r="CR523" s="580"/>
      <c r="CS523" s="580"/>
      <c r="CT523" s="580"/>
      <c r="CU523" s="580"/>
      <c r="CV523" s="580"/>
      <c r="CW523" s="580"/>
      <c r="CX523" s="580"/>
      <c r="CY523" s="580"/>
      <c r="CZ523" s="580"/>
      <c r="DA523" s="580"/>
      <c r="DB523" s="580"/>
      <c r="DC523" s="580"/>
      <c r="DD523" s="580"/>
      <c r="DE523" s="580"/>
      <c r="DF523" s="580"/>
      <c r="DG523" s="580"/>
      <c r="DH523" s="580"/>
      <c r="DI523" s="580"/>
      <c r="DJ523" s="580"/>
      <c r="DK523" s="580"/>
      <c r="DL523" s="580"/>
      <c r="DM523" s="580"/>
      <c r="DN523" s="580"/>
      <c r="DO523" s="580"/>
      <c r="DP523" s="580"/>
    </row>
    <row r="524" spans="1:120" hidden="1" collapsed="1">
      <c r="A524" s="1168"/>
      <c r="B524" s="1169"/>
      <c r="C524" s="1170"/>
      <c r="D524" s="1469"/>
      <c r="E524" s="1470"/>
      <c r="F524" s="1172"/>
      <c r="G524" s="1265"/>
      <c r="H524" s="1173"/>
      <c r="I524" s="1174"/>
      <c r="J524" s="1425">
        <v>1</v>
      </c>
      <c r="K524" s="1426">
        <v>1</v>
      </c>
      <c r="L524" s="1189"/>
      <c r="M524" s="1601"/>
      <c r="N524" s="1176"/>
      <c r="O524" s="1177"/>
      <c r="P524" s="1178"/>
      <c r="Q524" s="1178"/>
      <c r="R524" s="1179"/>
      <c r="S524" s="1180"/>
      <c r="T524" s="1181"/>
      <c r="U524" s="1182"/>
      <c r="V524" s="1611"/>
      <c r="W524" s="852"/>
      <c r="X524" s="853"/>
      <c r="Y524" s="854"/>
      <c r="AA524" s="1184"/>
      <c r="AB524" s="1184"/>
      <c r="AC524" s="1184"/>
      <c r="AD524" s="1184"/>
      <c r="AE524" s="1184"/>
      <c r="AF524" s="1184"/>
      <c r="AG524" s="1184"/>
      <c r="AH524" s="1184"/>
      <c r="AI524" s="1184"/>
      <c r="AJ524" s="1184"/>
      <c r="AK524" s="1184"/>
      <c r="AL524" s="1574"/>
      <c r="AM524" s="1184"/>
      <c r="AN524" s="1184"/>
      <c r="AO524" s="1184"/>
      <c r="AP524" s="1184"/>
      <c r="AQ524" s="1184"/>
      <c r="AR524" s="1184"/>
      <c r="AS524" s="1184"/>
      <c r="AT524" s="1184"/>
      <c r="AU524" s="1184"/>
      <c r="AV524" s="1184"/>
      <c r="AW524" s="1184"/>
      <c r="AX524" s="1184"/>
      <c r="AY524" s="1184"/>
      <c r="AZ524" s="1184"/>
      <c r="BA524" s="1184"/>
      <c r="BB524" s="1184"/>
      <c r="BC524" s="1184"/>
      <c r="BD524" s="1184"/>
      <c r="BE524" s="1184"/>
      <c r="BF524" s="1184"/>
      <c r="BG524" s="1184"/>
      <c r="BH524" s="1184"/>
      <c r="BI524" s="1184"/>
      <c r="BJ524" s="1184"/>
      <c r="BK524" s="1184"/>
      <c r="BL524" s="1184"/>
      <c r="BM524" s="1184"/>
      <c r="BN524" s="1184"/>
      <c r="BO524" s="1184"/>
      <c r="BP524" s="1184"/>
      <c r="BQ524" s="1184"/>
      <c r="BR524" s="1184"/>
      <c r="BS524" s="1184"/>
      <c r="BT524" s="1184"/>
      <c r="BU524" s="1184"/>
      <c r="BV524" s="1184"/>
      <c r="BW524" s="1184"/>
      <c r="BX524" s="1184"/>
      <c r="BY524" s="1184"/>
      <c r="BZ524" s="1184"/>
      <c r="CA524" s="1184"/>
      <c r="CB524" s="1184"/>
      <c r="CC524" s="1184"/>
      <c r="CD524" s="1184"/>
      <c r="CE524" s="1184"/>
      <c r="CF524" s="1184"/>
      <c r="CG524" s="1184"/>
      <c r="CH524" s="1184"/>
      <c r="CI524" s="1184"/>
      <c r="CJ524" s="1184"/>
      <c r="CK524" s="1184"/>
      <c r="CL524" s="1184"/>
      <c r="CM524" s="1184"/>
      <c r="CN524" s="1184"/>
      <c r="CO524" s="1184"/>
      <c r="CP524" s="1184"/>
      <c r="CQ524" s="1184"/>
      <c r="CR524" s="1184"/>
      <c r="CS524" s="1184"/>
      <c r="CT524" s="1184"/>
      <c r="CU524" s="1184"/>
      <c r="CV524" s="1184"/>
      <c r="CW524" s="1184"/>
      <c r="CX524" s="1184"/>
      <c r="CY524" s="1184"/>
      <c r="CZ524" s="1184"/>
      <c r="DA524" s="1184"/>
      <c r="DB524" s="1184"/>
      <c r="DC524" s="1184"/>
      <c r="DD524" s="1184"/>
      <c r="DE524" s="1184"/>
      <c r="DF524" s="1184"/>
      <c r="DG524" s="1184"/>
      <c r="DH524" s="1184"/>
      <c r="DI524" s="1184"/>
      <c r="DJ524" s="1184"/>
      <c r="DK524" s="1184"/>
      <c r="DL524" s="1184"/>
      <c r="DM524" s="1184"/>
      <c r="DN524" s="1184"/>
      <c r="DO524" s="1184"/>
      <c r="DP524" s="1184"/>
    </row>
    <row r="525" spans="1:120" ht="16.5" hidden="1" thickBot="1">
      <c r="A525" s="62" t="s">
        <v>231</v>
      </c>
      <c r="B525" s="63"/>
      <c r="C525" s="64"/>
      <c r="D525" s="1473"/>
      <c r="E525" s="1474"/>
      <c r="F525" s="66">
        <f>SUM(F522:F523)</f>
        <v>0</v>
      </c>
      <c r="G525" s="1253"/>
      <c r="H525" s="67"/>
      <c r="I525" s="68">
        <f>SUM(I522:I523)</f>
        <v>0</v>
      </c>
      <c r="J525" s="1376"/>
      <c r="K525" s="76"/>
      <c r="L525" s="1051">
        <f>SUM(L522:L524)</f>
        <v>0</v>
      </c>
      <c r="M525" s="1598"/>
      <c r="N525" s="70"/>
      <c r="O525" s="71">
        <f>SUM(O522:O524)</f>
        <v>0</v>
      </c>
      <c r="P525" s="72">
        <f>SUM(P522:P524)</f>
        <v>0</v>
      </c>
      <c r="Q525" s="1339"/>
      <c r="R525" s="73"/>
      <c r="S525" s="73"/>
      <c r="T525" s="96">
        <f>SUM(T522:T524)</f>
        <v>0</v>
      </c>
      <c r="U525" s="1609">
        <f>SUM(U522:U524)</f>
        <v>0</v>
      </c>
      <c r="V525" s="76">
        <f>SUM(V522:V524)</f>
        <v>0</v>
      </c>
      <c r="W525" s="97">
        <f>SUM(W522:W524)</f>
        <v>0</v>
      </c>
      <c r="X525" s="98">
        <f>SUM(X522:X524)</f>
        <v>0</v>
      </c>
      <c r="Y525" s="43"/>
      <c r="AA525" s="172">
        <f t="shared" ref="AA525:BF525" ca="1" si="1508">SUM(AA520:AA524)</f>
        <v>0</v>
      </c>
      <c r="AB525" s="172">
        <f t="shared" ca="1" si="1508"/>
        <v>0</v>
      </c>
      <c r="AC525" s="172">
        <f t="shared" ca="1" si="1508"/>
        <v>0</v>
      </c>
      <c r="AD525" s="172">
        <f t="shared" ca="1" si="1508"/>
        <v>0</v>
      </c>
      <c r="AE525" s="172">
        <f t="shared" ca="1" si="1508"/>
        <v>0</v>
      </c>
      <c r="AF525" s="172">
        <f t="shared" ca="1" si="1508"/>
        <v>0</v>
      </c>
      <c r="AG525" s="172">
        <f t="shared" ca="1" si="1508"/>
        <v>0</v>
      </c>
      <c r="AH525" s="172">
        <f t="shared" ca="1" si="1508"/>
        <v>0</v>
      </c>
      <c r="AI525" s="172">
        <f t="shared" ca="1" si="1508"/>
        <v>0</v>
      </c>
      <c r="AJ525" s="172">
        <f t="shared" ca="1" si="1508"/>
        <v>0</v>
      </c>
      <c r="AK525" s="172">
        <f t="shared" ca="1" si="1508"/>
        <v>0</v>
      </c>
      <c r="AL525" s="1572">
        <f t="shared" ca="1" si="1508"/>
        <v>0</v>
      </c>
      <c r="AM525" s="172">
        <f t="shared" ca="1" si="1508"/>
        <v>0</v>
      </c>
      <c r="AN525" s="172">
        <f t="shared" ca="1" si="1508"/>
        <v>0</v>
      </c>
      <c r="AO525" s="172">
        <f t="shared" ca="1" si="1508"/>
        <v>0</v>
      </c>
      <c r="AP525" s="172">
        <f t="shared" ca="1" si="1508"/>
        <v>0</v>
      </c>
      <c r="AQ525" s="172">
        <f t="shared" ca="1" si="1508"/>
        <v>0</v>
      </c>
      <c r="AR525" s="172">
        <f t="shared" ca="1" si="1508"/>
        <v>0</v>
      </c>
      <c r="AS525" s="172">
        <f t="shared" ca="1" si="1508"/>
        <v>0</v>
      </c>
      <c r="AT525" s="172">
        <f t="shared" ca="1" si="1508"/>
        <v>0</v>
      </c>
      <c r="AU525" s="172">
        <f t="shared" ca="1" si="1508"/>
        <v>0</v>
      </c>
      <c r="AV525" s="172">
        <f t="shared" ca="1" si="1508"/>
        <v>0</v>
      </c>
      <c r="AW525" s="172">
        <f t="shared" ca="1" si="1508"/>
        <v>0</v>
      </c>
      <c r="AX525" s="172">
        <f t="shared" ca="1" si="1508"/>
        <v>0</v>
      </c>
      <c r="AY525" s="172">
        <f t="shared" ca="1" si="1508"/>
        <v>0</v>
      </c>
      <c r="AZ525" s="172">
        <f t="shared" ca="1" si="1508"/>
        <v>0</v>
      </c>
      <c r="BA525" s="172">
        <f t="shared" ca="1" si="1508"/>
        <v>0</v>
      </c>
      <c r="BB525" s="172">
        <f t="shared" ca="1" si="1508"/>
        <v>0</v>
      </c>
      <c r="BC525" s="172">
        <f t="shared" ca="1" si="1508"/>
        <v>0</v>
      </c>
      <c r="BD525" s="172">
        <f t="shared" ca="1" si="1508"/>
        <v>0</v>
      </c>
      <c r="BE525" s="172">
        <f t="shared" ca="1" si="1508"/>
        <v>0</v>
      </c>
      <c r="BF525" s="172">
        <f t="shared" ca="1" si="1508"/>
        <v>0</v>
      </c>
      <c r="BG525" s="172">
        <f t="shared" ref="BG525:CL525" ca="1" si="1509">SUM(BG520:BG524)</f>
        <v>0</v>
      </c>
      <c r="BH525" s="172">
        <f t="shared" ca="1" si="1509"/>
        <v>0</v>
      </c>
      <c r="BI525" s="172">
        <f t="shared" ca="1" si="1509"/>
        <v>0</v>
      </c>
      <c r="BJ525" s="172">
        <f t="shared" ca="1" si="1509"/>
        <v>0</v>
      </c>
      <c r="BK525" s="172">
        <f t="shared" ca="1" si="1509"/>
        <v>0</v>
      </c>
      <c r="BL525" s="172">
        <f t="shared" ca="1" si="1509"/>
        <v>0</v>
      </c>
      <c r="BM525" s="172">
        <f t="shared" ca="1" si="1509"/>
        <v>0</v>
      </c>
      <c r="BN525" s="172">
        <f t="shared" ca="1" si="1509"/>
        <v>0</v>
      </c>
      <c r="BO525" s="172">
        <f t="shared" ca="1" si="1509"/>
        <v>0</v>
      </c>
      <c r="BP525" s="172">
        <f t="shared" ca="1" si="1509"/>
        <v>0</v>
      </c>
      <c r="BQ525" s="172">
        <f t="shared" ca="1" si="1509"/>
        <v>0</v>
      </c>
      <c r="BR525" s="172">
        <f t="shared" ca="1" si="1509"/>
        <v>0</v>
      </c>
      <c r="BS525" s="172">
        <f t="shared" ca="1" si="1509"/>
        <v>0</v>
      </c>
      <c r="BT525" s="172">
        <f t="shared" ca="1" si="1509"/>
        <v>0</v>
      </c>
      <c r="BU525" s="172">
        <f t="shared" ca="1" si="1509"/>
        <v>0</v>
      </c>
      <c r="BV525" s="172">
        <f t="shared" ca="1" si="1509"/>
        <v>0</v>
      </c>
      <c r="BW525" s="172">
        <f t="shared" ca="1" si="1509"/>
        <v>0</v>
      </c>
      <c r="BX525" s="172">
        <f t="shared" ca="1" si="1509"/>
        <v>0</v>
      </c>
      <c r="BY525" s="172">
        <f t="shared" ca="1" si="1509"/>
        <v>0</v>
      </c>
      <c r="BZ525" s="172">
        <f t="shared" ca="1" si="1509"/>
        <v>0</v>
      </c>
      <c r="CA525" s="172">
        <f t="shared" ca="1" si="1509"/>
        <v>0</v>
      </c>
      <c r="CB525" s="172">
        <f t="shared" ca="1" si="1509"/>
        <v>0</v>
      </c>
      <c r="CC525" s="172">
        <f t="shared" ca="1" si="1509"/>
        <v>0</v>
      </c>
      <c r="CD525" s="172">
        <f t="shared" ca="1" si="1509"/>
        <v>0</v>
      </c>
      <c r="CE525" s="172">
        <f t="shared" ca="1" si="1509"/>
        <v>0</v>
      </c>
      <c r="CF525" s="172">
        <f t="shared" ca="1" si="1509"/>
        <v>0</v>
      </c>
      <c r="CG525" s="172">
        <f t="shared" ca="1" si="1509"/>
        <v>0</v>
      </c>
      <c r="CH525" s="172">
        <f t="shared" ca="1" si="1509"/>
        <v>0</v>
      </c>
      <c r="CI525" s="172">
        <f t="shared" ca="1" si="1509"/>
        <v>0</v>
      </c>
      <c r="CJ525" s="172">
        <f t="shared" ca="1" si="1509"/>
        <v>0</v>
      </c>
      <c r="CK525" s="172">
        <f t="shared" ca="1" si="1509"/>
        <v>0</v>
      </c>
      <c r="CL525" s="172">
        <f t="shared" ca="1" si="1509"/>
        <v>0</v>
      </c>
      <c r="CM525" s="172">
        <f t="shared" ref="CM525:DP525" ca="1" si="1510">SUM(CM520:CM524)</f>
        <v>0</v>
      </c>
      <c r="CN525" s="172">
        <f t="shared" ca="1" si="1510"/>
        <v>0</v>
      </c>
      <c r="CO525" s="172">
        <f t="shared" si="1510"/>
        <v>0</v>
      </c>
      <c r="CP525" s="172">
        <f t="shared" si="1510"/>
        <v>0</v>
      </c>
      <c r="CQ525" s="172">
        <f t="shared" si="1510"/>
        <v>0</v>
      </c>
      <c r="CR525" s="172">
        <f t="shared" si="1510"/>
        <v>0</v>
      </c>
      <c r="CS525" s="172">
        <f t="shared" si="1510"/>
        <v>0</v>
      </c>
      <c r="CT525" s="172">
        <f t="shared" si="1510"/>
        <v>0</v>
      </c>
      <c r="CU525" s="172">
        <f t="shared" si="1510"/>
        <v>0</v>
      </c>
      <c r="CV525" s="172">
        <f t="shared" si="1510"/>
        <v>0</v>
      </c>
      <c r="CW525" s="172">
        <f t="shared" si="1510"/>
        <v>0</v>
      </c>
      <c r="CX525" s="172">
        <f t="shared" si="1510"/>
        <v>0</v>
      </c>
      <c r="CY525" s="172">
        <f t="shared" si="1510"/>
        <v>0</v>
      </c>
      <c r="CZ525" s="172">
        <f t="shared" si="1510"/>
        <v>0</v>
      </c>
      <c r="DA525" s="172">
        <f t="shared" si="1510"/>
        <v>0</v>
      </c>
      <c r="DB525" s="172">
        <f t="shared" si="1510"/>
        <v>0</v>
      </c>
      <c r="DC525" s="172">
        <f t="shared" si="1510"/>
        <v>0</v>
      </c>
      <c r="DD525" s="172">
        <f t="shared" si="1510"/>
        <v>0</v>
      </c>
      <c r="DE525" s="172">
        <f t="shared" si="1510"/>
        <v>0</v>
      </c>
      <c r="DF525" s="172">
        <f t="shared" si="1510"/>
        <v>0</v>
      </c>
      <c r="DG525" s="172">
        <f t="shared" si="1510"/>
        <v>0</v>
      </c>
      <c r="DH525" s="172">
        <f t="shared" si="1510"/>
        <v>0</v>
      </c>
      <c r="DI525" s="172">
        <f t="shared" si="1510"/>
        <v>0</v>
      </c>
      <c r="DJ525" s="172">
        <f t="shared" si="1510"/>
        <v>0</v>
      </c>
      <c r="DK525" s="172">
        <f t="shared" si="1510"/>
        <v>0</v>
      </c>
      <c r="DL525" s="172">
        <f t="shared" si="1510"/>
        <v>0</v>
      </c>
      <c r="DM525" s="172">
        <f t="shared" si="1510"/>
        <v>0</v>
      </c>
      <c r="DN525" s="172">
        <f t="shared" si="1510"/>
        <v>0</v>
      </c>
      <c r="DO525" s="172">
        <f t="shared" si="1510"/>
        <v>0</v>
      </c>
      <c r="DP525" s="172">
        <f t="shared" si="1510"/>
        <v>0</v>
      </c>
    </row>
    <row r="526" spans="1:120" hidden="1"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</row>
    <row r="527" spans="1:120" hidden="1" outlineLevel="1">
      <c r="A527" s="640">
        <v>1110053030</v>
      </c>
      <c r="B527" s="573" t="s">
        <v>78</v>
      </c>
      <c r="C527" s="641" t="s">
        <v>64</v>
      </c>
      <c r="D527" s="1489"/>
      <c r="E527" s="1490"/>
      <c r="F527" s="643"/>
      <c r="G527" s="1262"/>
      <c r="H527" s="644"/>
      <c r="I527" s="645"/>
      <c r="J527" s="1483">
        <v>1</v>
      </c>
      <c r="K527" s="1484">
        <v>1</v>
      </c>
      <c r="L527" s="646"/>
      <c r="M527" s="1428">
        <f t="shared" ref="M527" si="1511">+L527*J527</f>
        <v>0</v>
      </c>
      <c r="N527" s="647">
        <v>3756.67</v>
      </c>
      <c r="O527" s="648">
        <f t="shared" ref="O527:O529" si="1512">+L527*N527</f>
        <v>0</v>
      </c>
      <c r="P527" s="649"/>
      <c r="Q527" s="649"/>
      <c r="R527" s="650"/>
      <c r="S527" s="650"/>
      <c r="T527" s="651">
        <f t="shared" ref="T527:T529" si="1513">+P527*S527</f>
        <v>0</v>
      </c>
      <c r="U527" s="652">
        <f t="shared" ref="U527:U529" si="1514">+L527+P527+F527</f>
        <v>0</v>
      </c>
      <c r="V527" s="648">
        <f t="shared" ref="V527:V529" si="1515">+P527*R527+L527*N527+F527*H527</f>
        <v>0</v>
      </c>
      <c r="W527" s="653">
        <f t="shared" ref="W527:W529" si="1516">(IF(R527&gt;S527,(-P527*R527)-(-P527*S527),0))</f>
        <v>0</v>
      </c>
      <c r="X527" s="654">
        <f t="shared" ref="X527:X529" si="1517">(IF(R527&lt;S527,(-P527*R527)-(-P527*S527),0))</f>
        <v>0</v>
      </c>
      <c r="Y527" s="655"/>
      <c r="AA527" s="577"/>
      <c r="AB527" s="577"/>
      <c r="AC527" s="577"/>
      <c r="AD527" s="577"/>
      <c r="AE527" s="577"/>
      <c r="AF527" s="577"/>
      <c r="AG527" s="577"/>
      <c r="AH527" s="577"/>
      <c r="AI527" s="577"/>
      <c r="AJ527" s="577"/>
      <c r="AK527" s="577"/>
      <c r="AL527" s="577"/>
      <c r="AM527" s="577"/>
      <c r="AN527" s="577"/>
      <c r="AO527" s="577"/>
      <c r="AP527" s="577"/>
      <c r="AQ527" s="577"/>
      <c r="AR527" s="577"/>
      <c r="AS527" s="577"/>
      <c r="AT527" s="577"/>
      <c r="AU527" s="577"/>
      <c r="AV527" s="577"/>
      <c r="AW527" s="577"/>
      <c r="AX527" s="577"/>
      <c r="AY527" s="577"/>
      <c r="AZ527" s="577"/>
      <c r="BA527" s="577"/>
      <c r="BB527" s="577"/>
      <c r="BC527" s="577"/>
      <c r="BD527" s="577"/>
      <c r="BE527" s="577"/>
      <c r="BF527" s="577"/>
      <c r="BG527" s="577"/>
      <c r="BH527" s="577"/>
      <c r="BI527" s="577"/>
      <c r="BJ527" s="577"/>
      <c r="BK527" s="577"/>
      <c r="BL527" s="577"/>
      <c r="BM527" s="577"/>
      <c r="BN527" s="577"/>
      <c r="BO527" s="577">
        <f>+M527</f>
        <v>0</v>
      </c>
      <c r="BP527" s="577"/>
      <c r="BQ527" s="577"/>
      <c r="BR527" s="577"/>
      <c r="BS527" s="577"/>
      <c r="BT527" s="577"/>
      <c r="BU527" s="577"/>
      <c r="BV527" s="577"/>
      <c r="BW527" s="577"/>
      <c r="BX527" s="577"/>
      <c r="BY527" s="577"/>
      <c r="BZ527" s="577"/>
      <c r="CA527" s="577"/>
      <c r="CB527" s="577"/>
      <c r="CC527" s="577"/>
      <c r="CD527" s="577"/>
      <c r="CE527" s="577"/>
      <c r="CF527" s="577"/>
      <c r="CG527" s="577"/>
      <c r="CH527" s="577"/>
      <c r="CI527" s="577"/>
      <c r="CJ527" s="577"/>
      <c r="CK527" s="577"/>
      <c r="CL527" s="577"/>
      <c r="CM527" s="577"/>
      <c r="CN527" s="577"/>
      <c r="CO527" s="577"/>
      <c r="CP527" s="577"/>
      <c r="CQ527" s="577"/>
      <c r="CR527" s="577"/>
      <c r="CS527" s="577"/>
      <c r="CT527" s="577"/>
      <c r="CU527" s="577"/>
      <c r="CV527" s="577"/>
      <c r="CW527" s="577"/>
      <c r="CX527" s="577"/>
      <c r="CY527" s="577"/>
      <c r="CZ527" s="577"/>
      <c r="DA527" s="577"/>
      <c r="DB527" s="577"/>
      <c r="DC527" s="577"/>
      <c r="DD527" s="577"/>
      <c r="DE527" s="577"/>
      <c r="DF527" s="577"/>
      <c r="DG527" s="577"/>
      <c r="DH527" s="577"/>
      <c r="DI527" s="577"/>
      <c r="DJ527" s="577"/>
      <c r="DK527" s="577"/>
      <c r="DL527" s="577"/>
      <c r="DM527" s="577"/>
      <c r="DN527" s="577"/>
      <c r="DO527" s="577"/>
      <c r="DP527" s="577"/>
    </row>
    <row r="528" spans="1:120" s="116" customFormat="1" hidden="1" outlineLevel="1">
      <c r="A528" s="1221">
        <v>1110053030</v>
      </c>
      <c r="B528" s="1222"/>
      <c r="C528" s="1223" t="s">
        <v>64</v>
      </c>
      <c r="D528" s="1602"/>
      <c r="E528" s="1603"/>
      <c r="F528" s="1224"/>
      <c r="G528" s="1266"/>
      <c r="H528" s="1225"/>
      <c r="I528" s="1226"/>
      <c r="J528" s="1604">
        <v>1</v>
      </c>
      <c r="K528" s="1605">
        <v>1</v>
      </c>
      <c r="L528" s="1606"/>
      <c r="M528" s="1626">
        <f t="shared" ref="M528" si="1518">+L528*J528</f>
        <v>0</v>
      </c>
      <c r="N528" s="1228">
        <v>3775.53</v>
      </c>
      <c r="O528" s="1229">
        <f t="shared" si="1512"/>
        <v>0</v>
      </c>
      <c r="P528" s="1230"/>
      <c r="Q528" s="1230"/>
      <c r="R528" s="1231"/>
      <c r="S528" s="1607"/>
      <c r="T528" s="1232">
        <f t="shared" si="1513"/>
        <v>0</v>
      </c>
      <c r="U528" s="1233">
        <f t="shared" si="1514"/>
        <v>0</v>
      </c>
      <c r="V528" s="1234">
        <f t="shared" si="1515"/>
        <v>0</v>
      </c>
      <c r="W528" s="1235">
        <f t="shared" si="1516"/>
        <v>0</v>
      </c>
      <c r="X528" s="1236">
        <f t="shared" si="1517"/>
        <v>0</v>
      </c>
      <c r="Y528" s="1237"/>
      <c r="Z528" s="115"/>
      <c r="AA528" s="637"/>
      <c r="AB528" s="637"/>
      <c r="AC528" s="637"/>
      <c r="AD528" s="637"/>
      <c r="AE528" s="637"/>
      <c r="AF528" s="637"/>
      <c r="AG528" s="637"/>
      <c r="AH528" s="637"/>
      <c r="AI528" s="637"/>
      <c r="AJ528" s="637"/>
      <c r="AK528" s="637"/>
      <c r="AL528" s="1571"/>
      <c r="AM528" s="637"/>
      <c r="AN528" s="637"/>
      <c r="AO528" s="637"/>
      <c r="AP528" s="637"/>
      <c r="AQ528" s="637"/>
      <c r="AR528" s="637"/>
      <c r="AS528" s="637"/>
      <c r="AT528" s="637"/>
      <c r="AU528" s="637"/>
      <c r="AV528" s="637"/>
      <c r="AW528" s="637"/>
      <c r="AX528" s="637"/>
      <c r="AY528" s="637"/>
      <c r="AZ528" s="637"/>
      <c r="BA528" s="637"/>
      <c r="BB528" s="637"/>
      <c r="BC528" s="637"/>
      <c r="BD528" s="637"/>
      <c r="BE528" s="637"/>
      <c r="BF528" s="637"/>
      <c r="BG528" s="637"/>
      <c r="BH528" s="637"/>
      <c r="BI528" s="637"/>
      <c r="BJ528" s="637"/>
      <c r="BK528" s="637"/>
      <c r="BL528" s="637"/>
      <c r="BM528" s="637"/>
      <c r="BN528" s="637"/>
      <c r="BO528" s="637"/>
      <c r="BP528" s="637"/>
      <c r="BQ528" s="637">
        <f>+M528</f>
        <v>0</v>
      </c>
      <c r="BR528" s="637"/>
      <c r="BS528" s="637"/>
      <c r="BT528" s="637"/>
      <c r="BU528" s="637"/>
      <c r="BV528" s="637"/>
      <c r="BW528" s="637"/>
      <c r="BX528" s="637"/>
      <c r="BY528" s="637"/>
      <c r="BZ528" s="637"/>
      <c r="CA528" s="637"/>
      <c r="CB528" s="637"/>
      <c r="CC528" s="637"/>
      <c r="CD528" s="637"/>
      <c r="CE528" s="637"/>
      <c r="CF528" s="637"/>
      <c r="CG528" s="637"/>
      <c r="CH528" s="637"/>
      <c r="CI528" s="637"/>
      <c r="CJ528" s="637"/>
      <c r="CK528" s="637"/>
      <c r="CL528" s="637"/>
      <c r="CM528" s="637"/>
      <c r="CN528" s="637"/>
      <c r="CO528" s="637"/>
      <c r="CP528" s="637"/>
      <c r="CQ528" s="637"/>
      <c r="CR528" s="637"/>
      <c r="CS528" s="637"/>
      <c r="CT528" s="637"/>
      <c r="CU528" s="637"/>
      <c r="CV528" s="637"/>
      <c r="CW528" s="637"/>
      <c r="CX528" s="637"/>
      <c r="CY528" s="637"/>
      <c r="CZ528" s="637"/>
      <c r="DA528" s="637"/>
      <c r="DB528" s="637"/>
      <c r="DC528" s="637"/>
      <c r="DD528" s="637"/>
      <c r="DE528" s="637"/>
      <c r="DF528" s="637"/>
      <c r="DG528" s="637"/>
      <c r="DH528" s="637"/>
      <c r="DI528" s="637"/>
      <c r="DJ528" s="637"/>
      <c r="DK528" s="637"/>
      <c r="DL528" s="637"/>
      <c r="DM528" s="637"/>
      <c r="DN528" s="637"/>
      <c r="DO528" s="637"/>
      <c r="DP528" s="637"/>
    </row>
    <row r="529" spans="1:120" hidden="1" outlineLevel="1">
      <c r="A529" s="55">
        <v>1110053030</v>
      </c>
      <c r="B529" s="509"/>
      <c r="C529" s="510"/>
      <c r="D529" s="1469"/>
      <c r="E529" s="1470"/>
      <c r="F529" s="416"/>
      <c r="G529" s="1251"/>
      <c r="H529" s="511"/>
      <c r="I529" s="512"/>
      <c r="J529" s="1425">
        <v>1</v>
      </c>
      <c r="K529" s="1426">
        <v>1</v>
      </c>
      <c r="L529" s="419"/>
      <c r="M529" s="1600"/>
      <c r="N529" s="504"/>
      <c r="O529" s="513">
        <f t="shared" si="1512"/>
        <v>0</v>
      </c>
      <c r="P529" s="514"/>
      <c r="Q529" s="514"/>
      <c r="R529" s="515"/>
      <c r="S529" s="563"/>
      <c r="T529" s="562">
        <f t="shared" si="1513"/>
        <v>0</v>
      </c>
      <c r="U529" s="638">
        <f t="shared" si="1514"/>
        <v>0</v>
      </c>
      <c r="V529" s="639">
        <f t="shared" si="1515"/>
        <v>0</v>
      </c>
      <c r="W529" s="976">
        <f t="shared" si="1516"/>
        <v>0</v>
      </c>
      <c r="X529" s="975">
        <f t="shared" si="1517"/>
        <v>0</v>
      </c>
      <c r="Y529" s="519"/>
      <c r="AA529" s="580"/>
      <c r="AB529" s="580"/>
      <c r="AC529" s="580"/>
      <c r="AD529" s="580"/>
      <c r="AE529" s="580"/>
      <c r="AF529" s="580"/>
      <c r="AG529" s="580"/>
      <c r="AH529" s="580"/>
      <c r="AI529" s="580"/>
      <c r="AJ529" s="580"/>
      <c r="AK529" s="580"/>
      <c r="AL529" s="1513"/>
      <c r="AM529" s="580"/>
      <c r="AN529" s="580"/>
      <c r="AO529" s="580"/>
      <c r="AP529" s="580"/>
      <c r="AQ529" s="580"/>
      <c r="AR529" s="580"/>
      <c r="AS529" s="580"/>
      <c r="AT529" s="580"/>
      <c r="AU529" s="580"/>
      <c r="AV529" s="580"/>
      <c r="AW529" s="580"/>
      <c r="AX529" s="580"/>
      <c r="AY529" s="580"/>
      <c r="AZ529" s="580"/>
      <c r="BA529" s="580"/>
      <c r="BB529" s="580"/>
      <c r="BC529" s="580"/>
      <c r="BD529" s="580"/>
      <c r="BE529" s="580"/>
      <c r="BF529" s="580"/>
      <c r="BG529" s="580"/>
      <c r="BH529" s="580"/>
      <c r="BI529" s="580"/>
      <c r="BJ529" s="580"/>
      <c r="BK529" s="580"/>
      <c r="BL529" s="580"/>
      <c r="BM529" s="580"/>
      <c r="BN529" s="580"/>
      <c r="BO529" s="580"/>
      <c r="BP529" s="580"/>
      <c r="BQ529" s="580"/>
      <c r="BR529" s="580"/>
      <c r="BS529" s="580"/>
      <c r="BT529" s="580"/>
      <c r="BU529" s="580"/>
      <c r="BV529" s="580"/>
      <c r="BW529" s="580"/>
      <c r="BX529" s="580"/>
      <c r="BY529" s="580"/>
      <c r="BZ529" s="580"/>
      <c r="CA529" s="580"/>
      <c r="CB529" s="580"/>
      <c r="CC529" s="580"/>
      <c r="CD529" s="580"/>
      <c r="CE529" s="580"/>
      <c r="CF529" s="580"/>
      <c r="CG529" s="580"/>
      <c r="CH529" s="580"/>
      <c r="CI529" s="580"/>
      <c r="CJ529" s="580"/>
      <c r="CK529" s="580"/>
      <c r="CL529" s="580"/>
      <c r="CM529" s="580"/>
      <c r="CN529" s="580"/>
      <c r="CO529" s="580"/>
      <c r="CP529" s="580"/>
      <c r="CQ529" s="580"/>
      <c r="CR529" s="580"/>
      <c r="CS529" s="580"/>
      <c r="CT529" s="580"/>
      <c r="CU529" s="580"/>
      <c r="CV529" s="580"/>
      <c r="CW529" s="580"/>
      <c r="CX529" s="580"/>
      <c r="CY529" s="580"/>
      <c r="CZ529" s="580"/>
      <c r="DA529" s="580"/>
      <c r="DB529" s="580"/>
      <c r="DC529" s="580"/>
      <c r="DD529" s="580"/>
      <c r="DE529" s="580"/>
      <c r="DF529" s="580"/>
      <c r="DG529" s="580"/>
      <c r="DH529" s="580"/>
      <c r="DI529" s="580"/>
      <c r="DJ529" s="580"/>
      <c r="DK529" s="580"/>
      <c r="DL529" s="580"/>
      <c r="DM529" s="580"/>
      <c r="DN529" s="580"/>
      <c r="DO529" s="580"/>
      <c r="DP529" s="580"/>
    </row>
    <row r="530" spans="1:120" hidden="1" collapsed="1">
      <c r="A530" s="1168"/>
      <c r="B530" s="1169"/>
      <c r="C530" s="1170"/>
      <c r="D530" s="1469"/>
      <c r="E530" s="1470"/>
      <c r="F530" s="1172"/>
      <c r="G530" s="1265"/>
      <c r="H530" s="1173"/>
      <c r="I530" s="1174"/>
      <c r="J530" s="1425">
        <v>1</v>
      </c>
      <c r="K530" s="1426">
        <v>1</v>
      </c>
      <c r="L530" s="1189"/>
      <c r="M530" s="1625"/>
      <c r="N530" s="1176"/>
      <c r="O530" s="1177"/>
      <c r="P530" s="1178"/>
      <c r="Q530" s="1178"/>
      <c r="R530" s="1179"/>
      <c r="S530" s="1180"/>
      <c r="T530" s="1181"/>
      <c r="U530" s="1182"/>
      <c r="V530" s="1183"/>
      <c r="W530" s="852"/>
      <c r="X530" s="853"/>
      <c r="Y530" s="854"/>
      <c r="AA530" s="1184"/>
      <c r="AB530" s="1184"/>
      <c r="AC530" s="1184"/>
      <c r="AD530" s="1184"/>
      <c r="AE530" s="1184"/>
      <c r="AF530" s="1184"/>
      <c r="AG530" s="1184"/>
      <c r="AH530" s="1184"/>
      <c r="AI530" s="1184"/>
      <c r="AJ530" s="1184"/>
      <c r="AK530" s="1184"/>
      <c r="AL530" s="1574"/>
      <c r="AM530" s="1184"/>
      <c r="AN530" s="1184"/>
      <c r="AO530" s="1184"/>
      <c r="AP530" s="1184"/>
      <c r="AQ530" s="1184"/>
      <c r="AR530" s="1184"/>
      <c r="AS530" s="1184"/>
      <c r="AT530" s="1184"/>
      <c r="AU530" s="1184"/>
      <c r="AV530" s="1184"/>
      <c r="AW530" s="1184"/>
      <c r="AX530" s="1184"/>
      <c r="AY530" s="1184"/>
      <c r="AZ530" s="1184"/>
      <c r="BA530" s="1184"/>
      <c r="BB530" s="1184"/>
      <c r="BC530" s="1184"/>
      <c r="BD530" s="1184"/>
      <c r="BE530" s="1184"/>
      <c r="BF530" s="1184"/>
      <c r="BG530" s="1184"/>
      <c r="BH530" s="1184"/>
      <c r="BI530" s="1184"/>
      <c r="BJ530" s="1184"/>
      <c r="BK530" s="1184"/>
      <c r="BL530" s="1184"/>
      <c r="BM530" s="1184"/>
      <c r="BN530" s="1184"/>
      <c r="BO530" s="1184"/>
      <c r="BP530" s="1184"/>
      <c r="BQ530" s="1184"/>
      <c r="BR530" s="1184"/>
      <c r="BS530" s="1184"/>
      <c r="BT530" s="1184"/>
      <c r="BU530" s="1184"/>
      <c r="BV530" s="1184"/>
      <c r="BW530" s="1184"/>
      <c r="BX530" s="1184"/>
      <c r="BY530" s="1184"/>
      <c r="BZ530" s="1184"/>
      <c r="CA530" s="1184"/>
      <c r="CB530" s="1184"/>
      <c r="CC530" s="1184"/>
      <c r="CD530" s="1184"/>
      <c r="CE530" s="1184"/>
      <c r="CF530" s="1184"/>
      <c r="CG530" s="1184"/>
      <c r="CH530" s="1184"/>
      <c r="CI530" s="1184"/>
      <c r="CJ530" s="1184"/>
      <c r="CK530" s="1184"/>
      <c r="CL530" s="1184"/>
      <c r="CM530" s="1184"/>
      <c r="CN530" s="1184"/>
      <c r="CO530" s="1184"/>
      <c r="CP530" s="1184"/>
      <c r="CQ530" s="1184"/>
      <c r="CR530" s="1184"/>
      <c r="CS530" s="1184"/>
      <c r="CT530" s="1184"/>
      <c r="CU530" s="1184"/>
      <c r="CV530" s="1184"/>
      <c r="CW530" s="1184"/>
      <c r="CX530" s="1184"/>
      <c r="CY530" s="1184"/>
      <c r="CZ530" s="1184"/>
      <c r="DA530" s="1184"/>
      <c r="DB530" s="1184"/>
      <c r="DC530" s="1184"/>
      <c r="DD530" s="1184"/>
      <c r="DE530" s="1184"/>
      <c r="DF530" s="1184"/>
      <c r="DG530" s="1184"/>
      <c r="DH530" s="1184"/>
      <c r="DI530" s="1184"/>
      <c r="DJ530" s="1184"/>
      <c r="DK530" s="1184"/>
      <c r="DL530" s="1184"/>
      <c r="DM530" s="1184"/>
      <c r="DN530" s="1184"/>
      <c r="DO530" s="1184"/>
      <c r="DP530" s="1184"/>
    </row>
    <row r="531" spans="1:120" ht="16.5" hidden="1" thickBot="1">
      <c r="A531" s="62" t="s">
        <v>232</v>
      </c>
      <c r="B531" s="63"/>
      <c r="C531" s="64"/>
      <c r="D531" s="1473"/>
      <c r="E531" s="1474"/>
      <c r="F531" s="66">
        <f>SUM(F527:F530)</f>
        <v>0</v>
      </c>
      <c r="G531" s="1253"/>
      <c r="H531" s="67"/>
      <c r="I531" s="68">
        <f>SUM(I527:I530)</f>
        <v>0</v>
      </c>
      <c r="J531" s="1376"/>
      <c r="K531" s="76"/>
      <c r="L531" s="1051">
        <f>SUM(L527:L530)</f>
        <v>0</v>
      </c>
      <c r="M531" s="1598"/>
      <c r="N531" s="70"/>
      <c r="O531" s="71">
        <f>SUM(O527:O530)</f>
        <v>0</v>
      </c>
      <c r="P531" s="72">
        <f>SUM(P527:P530)</f>
        <v>0</v>
      </c>
      <c r="Q531" s="1339"/>
      <c r="R531" s="73"/>
      <c r="S531" s="73"/>
      <c r="T531" s="96">
        <f>SUM(T527:T530)</f>
        <v>0</v>
      </c>
      <c r="U531" s="66">
        <f>SUM(U527:U530)</f>
        <v>0</v>
      </c>
      <c r="V531" s="76">
        <f>SUM(V527:V530)</f>
        <v>0</v>
      </c>
      <c r="W531" s="97">
        <f>SUM(W527:W530)</f>
        <v>0</v>
      </c>
      <c r="X531" s="98">
        <f>SUM(X527:X530)</f>
        <v>0</v>
      </c>
      <c r="Y531" s="43"/>
      <c r="AA531" s="172">
        <f t="shared" ref="AA531:BF531" ca="1" si="1519">SUM(AA525:AA530)</f>
        <v>0</v>
      </c>
      <c r="AB531" s="172">
        <f t="shared" ca="1" si="1519"/>
        <v>0</v>
      </c>
      <c r="AC531" s="172">
        <f t="shared" ca="1" si="1519"/>
        <v>0</v>
      </c>
      <c r="AD531" s="172">
        <f t="shared" ca="1" si="1519"/>
        <v>0</v>
      </c>
      <c r="AE531" s="172">
        <f t="shared" ca="1" si="1519"/>
        <v>0</v>
      </c>
      <c r="AF531" s="172">
        <f t="shared" ca="1" si="1519"/>
        <v>0</v>
      </c>
      <c r="AG531" s="172">
        <f t="shared" ca="1" si="1519"/>
        <v>0</v>
      </c>
      <c r="AH531" s="172">
        <f t="shared" ca="1" si="1519"/>
        <v>0</v>
      </c>
      <c r="AI531" s="172">
        <f t="shared" ca="1" si="1519"/>
        <v>0</v>
      </c>
      <c r="AJ531" s="172">
        <f t="shared" ca="1" si="1519"/>
        <v>0</v>
      </c>
      <c r="AK531" s="172">
        <f t="shared" ca="1" si="1519"/>
        <v>0</v>
      </c>
      <c r="AL531" s="172">
        <f t="shared" ca="1" si="1519"/>
        <v>0</v>
      </c>
      <c r="AM531" s="172">
        <f t="shared" ca="1" si="1519"/>
        <v>0</v>
      </c>
      <c r="AN531" s="172">
        <f t="shared" ca="1" si="1519"/>
        <v>0</v>
      </c>
      <c r="AO531" s="172">
        <f t="shared" ca="1" si="1519"/>
        <v>0</v>
      </c>
      <c r="AP531" s="172">
        <f t="shared" ca="1" si="1519"/>
        <v>0</v>
      </c>
      <c r="AQ531" s="172">
        <f t="shared" ca="1" si="1519"/>
        <v>0</v>
      </c>
      <c r="AR531" s="172">
        <f t="shared" ca="1" si="1519"/>
        <v>0</v>
      </c>
      <c r="AS531" s="172">
        <f t="shared" ca="1" si="1519"/>
        <v>0</v>
      </c>
      <c r="AT531" s="172">
        <f t="shared" ca="1" si="1519"/>
        <v>0</v>
      </c>
      <c r="AU531" s="172">
        <f t="shared" ca="1" si="1519"/>
        <v>0</v>
      </c>
      <c r="AV531" s="172">
        <f t="shared" ca="1" si="1519"/>
        <v>0</v>
      </c>
      <c r="AW531" s="172">
        <f t="shared" ca="1" si="1519"/>
        <v>0</v>
      </c>
      <c r="AX531" s="172">
        <f t="shared" ca="1" si="1519"/>
        <v>0</v>
      </c>
      <c r="AY531" s="172">
        <f t="shared" ca="1" si="1519"/>
        <v>0</v>
      </c>
      <c r="AZ531" s="172">
        <f t="shared" ca="1" si="1519"/>
        <v>0</v>
      </c>
      <c r="BA531" s="172">
        <f t="shared" ca="1" si="1519"/>
        <v>0</v>
      </c>
      <c r="BB531" s="172">
        <f t="shared" ca="1" si="1519"/>
        <v>0</v>
      </c>
      <c r="BC531" s="172">
        <f t="shared" ca="1" si="1519"/>
        <v>0</v>
      </c>
      <c r="BD531" s="172">
        <f t="shared" ca="1" si="1519"/>
        <v>0</v>
      </c>
      <c r="BE531" s="172">
        <f t="shared" ca="1" si="1519"/>
        <v>0</v>
      </c>
      <c r="BF531" s="172">
        <f t="shared" ca="1" si="1519"/>
        <v>0</v>
      </c>
      <c r="BG531" s="172">
        <f t="shared" ref="BG531:CL531" ca="1" si="1520">SUM(BG525:BG530)</f>
        <v>0</v>
      </c>
      <c r="BH531" s="172">
        <f t="shared" ca="1" si="1520"/>
        <v>0</v>
      </c>
      <c r="BI531" s="172">
        <f t="shared" ca="1" si="1520"/>
        <v>0</v>
      </c>
      <c r="BJ531" s="172">
        <f t="shared" ca="1" si="1520"/>
        <v>0</v>
      </c>
      <c r="BK531" s="172">
        <f t="shared" ca="1" si="1520"/>
        <v>0</v>
      </c>
      <c r="BL531" s="172">
        <f t="shared" ca="1" si="1520"/>
        <v>0</v>
      </c>
      <c r="BM531" s="172">
        <f t="shared" ca="1" si="1520"/>
        <v>0</v>
      </c>
      <c r="BN531" s="172">
        <f t="shared" ca="1" si="1520"/>
        <v>0</v>
      </c>
      <c r="BO531" s="172">
        <f t="shared" ca="1" si="1520"/>
        <v>0</v>
      </c>
      <c r="BP531" s="172">
        <f t="shared" ca="1" si="1520"/>
        <v>0</v>
      </c>
      <c r="BQ531" s="172">
        <f t="shared" ca="1" si="1520"/>
        <v>0</v>
      </c>
      <c r="BR531" s="172">
        <f t="shared" ca="1" si="1520"/>
        <v>0</v>
      </c>
      <c r="BS531" s="172">
        <f t="shared" ca="1" si="1520"/>
        <v>0</v>
      </c>
      <c r="BT531" s="172">
        <f t="shared" ca="1" si="1520"/>
        <v>0</v>
      </c>
      <c r="BU531" s="172">
        <f t="shared" ca="1" si="1520"/>
        <v>0</v>
      </c>
      <c r="BV531" s="172">
        <f t="shared" ca="1" si="1520"/>
        <v>0</v>
      </c>
      <c r="BW531" s="172">
        <f t="shared" ca="1" si="1520"/>
        <v>0</v>
      </c>
      <c r="BX531" s="172">
        <f t="shared" ca="1" si="1520"/>
        <v>0</v>
      </c>
      <c r="BY531" s="172">
        <f t="shared" ca="1" si="1520"/>
        <v>0</v>
      </c>
      <c r="BZ531" s="172">
        <f t="shared" ca="1" si="1520"/>
        <v>0</v>
      </c>
      <c r="CA531" s="172">
        <f t="shared" ca="1" si="1520"/>
        <v>0</v>
      </c>
      <c r="CB531" s="172">
        <f t="shared" ca="1" si="1520"/>
        <v>0</v>
      </c>
      <c r="CC531" s="172">
        <f t="shared" ca="1" si="1520"/>
        <v>0</v>
      </c>
      <c r="CD531" s="172">
        <f t="shared" ca="1" si="1520"/>
        <v>0</v>
      </c>
      <c r="CE531" s="172">
        <f t="shared" ca="1" si="1520"/>
        <v>0</v>
      </c>
      <c r="CF531" s="172">
        <f t="shared" ca="1" si="1520"/>
        <v>0</v>
      </c>
      <c r="CG531" s="172">
        <f t="shared" ca="1" si="1520"/>
        <v>0</v>
      </c>
      <c r="CH531" s="172">
        <f t="shared" ca="1" si="1520"/>
        <v>0</v>
      </c>
      <c r="CI531" s="172">
        <f t="shared" ca="1" si="1520"/>
        <v>0</v>
      </c>
      <c r="CJ531" s="172">
        <f t="shared" ca="1" si="1520"/>
        <v>0</v>
      </c>
      <c r="CK531" s="172">
        <f t="shared" ca="1" si="1520"/>
        <v>0</v>
      </c>
      <c r="CL531" s="172">
        <f t="shared" ca="1" si="1520"/>
        <v>0</v>
      </c>
      <c r="CM531" s="172">
        <f t="shared" ref="CM531:DP531" ca="1" si="1521">SUM(CM525:CM530)</f>
        <v>0</v>
      </c>
      <c r="CN531" s="172">
        <f t="shared" ca="1" si="1521"/>
        <v>0</v>
      </c>
      <c r="CO531" s="172">
        <f t="shared" si="1521"/>
        <v>0</v>
      </c>
      <c r="CP531" s="172">
        <f t="shared" si="1521"/>
        <v>0</v>
      </c>
      <c r="CQ531" s="172">
        <f t="shared" si="1521"/>
        <v>0</v>
      </c>
      <c r="CR531" s="172">
        <f t="shared" si="1521"/>
        <v>0</v>
      </c>
      <c r="CS531" s="172">
        <f t="shared" si="1521"/>
        <v>0</v>
      </c>
      <c r="CT531" s="172">
        <f t="shared" si="1521"/>
        <v>0</v>
      </c>
      <c r="CU531" s="172">
        <f t="shared" si="1521"/>
        <v>0</v>
      </c>
      <c r="CV531" s="172">
        <f t="shared" si="1521"/>
        <v>0</v>
      </c>
      <c r="CW531" s="172">
        <f t="shared" si="1521"/>
        <v>0</v>
      </c>
      <c r="CX531" s="172">
        <f t="shared" si="1521"/>
        <v>0</v>
      </c>
      <c r="CY531" s="172">
        <f t="shared" si="1521"/>
        <v>0</v>
      </c>
      <c r="CZ531" s="172">
        <f t="shared" si="1521"/>
        <v>0</v>
      </c>
      <c r="DA531" s="172">
        <f t="shared" si="1521"/>
        <v>0</v>
      </c>
      <c r="DB531" s="172">
        <f t="shared" si="1521"/>
        <v>0</v>
      </c>
      <c r="DC531" s="172">
        <f t="shared" si="1521"/>
        <v>0</v>
      </c>
      <c r="DD531" s="172">
        <f t="shared" si="1521"/>
        <v>0</v>
      </c>
      <c r="DE531" s="172">
        <f t="shared" si="1521"/>
        <v>0</v>
      </c>
      <c r="DF531" s="172">
        <f t="shared" si="1521"/>
        <v>0</v>
      </c>
      <c r="DG531" s="172">
        <f t="shared" si="1521"/>
        <v>0</v>
      </c>
      <c r="DH531" s="172">
        <f t="shared" si="1521"/>
        <v>0</v>
      </c>
      <c r="DI531" s="172">
        <f t="shared" si="1521"/>
        <v>0</v>
      </c>
      <c r="DJ531" s="172">
        <f t="shared" si="1521"/>
        <v>0</v>
      </c>
      <c r="DK531" s="172">
        <f t="shared" si="1521"/>
        <v>0</v>
      </c>
      <c r="DL531" s="172">
        <f t="shared" si="1521"/>
        <v>0</v>
      </c>
      <c r="DM531" s="172">
        <f t="shared" si="1521"/>
        <v>0</v>
      </c>
      <c r="DN531" s="172">
        <f t="shared" si="1521"/>
        <v>0</v>
      </c>
      <c r="DO531" s="172">
        <f t="shared" si="1521"/>
        <v>0</v>
      </c>
      <c r="DP531" s="172">
        <f t="shared" si="1521"/>
        <v>0</v>
      </c>
    </row>
    <row r="532" spans="1:120" hidden="1"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24"/>
      <c r="DC532" s="24"/>
      <c r="DD532" s="24"/>
      <c r="DE532" s="24"/>
      <c r="DF532" s="24"/>
      <c r="DG532" s="24"/>
      <c r="DH532" s="24"/>
      <c r="DI532" s="24"/>
      <c r="DJ532" s="24"/>
      <c r="DK532" s="24"/>
      <c r="DL532" s="24"/>
      <c r="DM532" s="24"/>
      <c r="DN532" s="24"/>
      <c r="DO532" s="24"/>
      <c r="DP532" s="24"/>
    </row>
    <row r="533" spans="1:120" hidden="1" outlineLevel="1">
      <c r="A533" s="640">
        <v>1110053030</v>
      </c>
      <c r="B533" s="573" t="s">
        <v>78</v>
      </c>
      <c r="C533" s="1488" t="s">
        <v>64</v>
      </c>
      <c r="D533" s="1489"/>
      <c r="E533" s="1490"/>
      <c r="F533" s="643"/>
      <c r="G533" s="1262"/>
      <c r="H533" s="644"/>
      <c r="I533" s="645"/>
      <c r="J533" s="1483">
        <v>1</v>
      </c>
      <c r="K533" s="1484">
        <v>1</v>
      </c>
      <c r="L533" s="646"/>
      <c r="M533" s="1428">
        <f t="shared" ref="M533" si="1522">+L533*J533</f>
        <v>0</v>
      </c>
      <c r="N533" s="647"/>
      <c r="O533" s="648">
        <f t="shared" ref="O533:O535" si="1523">+L533*N533</f>
        <v>0</v>
      </c>
      <c r="P533" s="649"/>
      <c r="Q533" s="649"/>
      <c r="R533" s="650"/>
      <c r="S533" s="650"/>
      <c r="T533" s="651">
        <f t="shared" ref="T533:T535" si="1524">+P533*S533</f>
        <v>0</v>
      </c>
      <c r="U533" s="652">
        <f t="shared" ref="U533:U535" si="1525">+L533+P533+F533</f>
        <v>0</v>
      </c>
      <c r="V533" s="648">
        <f t="shared" ref="V533:V535" si="1526">+P533*R533+L533*N533+F533*H533</f>
        <v>0</v>
      </c>
      <c r="W533" s="653">
        <f t="shared" ref="W533:W534" si="1527">(IF(R533&gt;S533,(-P533*R533)-(-P533*S533),0))</f>
        <v>0</v>
      </c>
      <c r="X533" s="654">
        <f t="shared" ref="X533:X534" si="1528">(IF(R533&lt;S533,(-P533*R533)-(-P533*S533),0))</f>
        <v>0</v>
      </c>
      <c r="Y533" s="655"/>
      <c r="AA533" s="577"/>
      <c r="AB533" s="577"/>
      <c r="AC533" s="577"/>
      <c r="AD533" s="577"/>
      <c r="AE533" s="577"/>
      <c r="AF533" s="577"/>
      <c r="AG533" s="577"/>
      <c r="AH533" s="577"/>
      <c r="AI533" s="577"/>
      <c r="AJ533" s="577"/>
      <c r="AK533" s="577"/>
      <c r="AL533" s="577"/>
      <c r="AM533" s="577"/>
      <c r="AN533" s="577"/>
      <c r="AO533" s="577"/>
      <c r="AP533" s="577"/>
      <c r="AQ533" s="577"/>
      <c r="AR533" s="577"/>
      <c r="AS533" s="577"/>
      <c r="AT533" s="577"/>
      <c r="AU533" s="577"/>
      <c r="AV533" s="577"/>
      <c r="AW533" s="577"/>
      <c r="AX533" s="577"/>
      <c r="AY533" s="577"/>
      <c r="AZ533" s="577"/>
      <c r="BA533" s="577"/>
      <c r="BB533" s="577"/>
      <c r="BC533" s="577"/>
      <c r="BD533" s="577"/>
      <c r="BE533" s="577"/>
      <c r="BF533" s="577"/>
      <c r="BG533" s="577"/>
      <c r="BH533" s="577"/>
      <c r="BI533" s="577"/>
      <c r="BJ533" s="577"/>
      <c r="BK533" s="577"/>
      <c r="BL533" s="577"/>
      <c r="BM533" s="577"/>
      <c r="BN533" s="577"/>
      <c r="BO533" s="577"/>
      <c r="BP533" s="577"/>
      <c r="BQ533" s="577"/>
      <c r="BR533" s="577"/>
      <c r="BS533" s="577">
        <f>+M533</f>
        <v>0</v>
      </c>
      <c r="BT533" s="577"/>
      <c r="BU533" s="577"/>
      <c r="BV533" s="577"/>
      <c r="BW533" s="577"/>
      <c r="BX533" s="577"/>
      <c r="BY533" s="577"/>
      <c r="BZ533" s="577"/>
      <c r="CA533" s="577"/>
      <c r="CB533" s="577"/>
      <c r="CC533" s="577"/>
      <c r="CD533" s="577"/>
      <c r="CE533" s="577"/>
      <c r="CF533" s="577"/>
      <c r="CG533" s="577"/>
      <c r="CH533" s="577"/>
      <c r="CI533" s="577"/>
      <c r="CJ533" s="577"/>
      <c r="CK533" s="577"/>
      <c r="CL533" s="577"/>
      <c r="CM533" s="577"/>
      <c r="CN533" s="577"/>
      <c r="CO533" s="577"/>
      <c r="CP533" s="577"/>
      <c r="CQ533" s="577"/>
      <c r="CR533" s="577"/>
      <c r="CS533" s="577"/>
      <c r="CT533" s="577"/>
      <c r="CU533" s="577"/>
      <c r="CV533" s="577"/>
      <c r="CW533" s="577"/>
      <c r="CX533" s="577"/>
      <c r="CY533" s="577"/>
      <c r="CZ533" s="577"/>
      <c r="DA533" s="577"/>
      <c r="DB533" s="577"/>
      <c r="DC533" s="577"/>
      <c r="DD533" s="577"/>
      <c r="DE533" s="577"/>
      <c r="DF533" s="577"/>
      <c r="DG533" s="577"/>
      <c r="DH533" s="577"/>
      <c r="DI533" s="577"/>
      <c r="DJ533" s="577"/>
      <c r="DK533" s="577"/>
      <c r="DL533" s="577"/>
      <c r="DM533" s="577"/>
      <c r="DN533" s="577"/>
      <c r="DO533" s="577"/>
      <c r="DP533" s="577"/>
    </row>
    <row r="534" spans="1:120" hidden="1" outlineLevel="1">
      <c r="A534" s="55">
        <v>1110053030</v>
      </c>
      <c r="B534" s="509"/>
      <c r="C534" s="679" t="s">
        <v>64</v>
      </c>
      <c r="D534" s="1469"/>
      <c r="E534" s="1470"/>
      <c r="F534" s="416"/>
      <c r="G534" s="1251"/>
      <c r="H534" s="511"/>
      <c r="I534" s="512"/>
      <c r="J534" s="1425">
        <v>1</v>
      </c>
      <c r="K534" s="1426">
        <v>1</v>
      </c>
      <c r="L534" s="417"/>
      <c r="M534" s="1336"/>
      <c r="N534" s="504"/>
      <c r="O534" s="513">
        <f t="shared" si="1523"/>
        <v>0</v>
      </c>
      <c r="P534" s="514"/>
      <c r="Q534" s="514">
        <f t="shared" ref="Q534" si="1529">+P534*K534</f>
        <v>0</v>
      </c>
      <c r="R534" s="515"/>
      <c r="S534" s="515"/>
      <c r="T534" s="562">
        <f t="shared" si="1524"/>
        <v>0</v>
      </c>
      <c r="U534" s="638">
        <f t="shared" si="1525"/>
        <v>0</v>
      </c>
      <c r="V534" s="639">
        <f t="shared" si="1526"/>
        <v>0</v>
      </c>
      <c r="W534" s="976">
        <f t="shared" si="1527"/>
        <v>0</v>
      </c>
      <c r="X534" s="975">
        <f t="shared" si="1528"/>
        <v>0</v>
      </c>
      <c r="Y534" s="519"/>
      <c r="AA534" s="580"/>
      <c r="AB534" s="580"/>
      <c r="AC534" s="580"/>
      <c r="AD534" s="580"/>
      <c r="AE534" s="580"/>
      <c r="AF534" s="580"/>
      <c r="AG534" s="580"/>
      <c r="AH534" s="580"/>
      <c r="AI534" s="580"/>
      <c r="AJ534" s="580"/>
      <c r="AK534" s="580"/>
      <c r="AL534" s="1513"/>
      <c r="AM534" s="580"/>
      <c r="AN534" s="580"/>
      <c r="AO534" s="580"/>
      <c r="AP534" s="580"/>
      <c r="AQ534" s="580"/>
      <c r="AR534" s="580"/>
      <c r="AS534" s="580"/>
      <c r="AT534" s="580"/>
      <c r="AU534" s="580"/>
      <c r="AV534" s="580"/>
      <c r="AW534" s="580"/>
      <c r="AX534" s="580"/>
      <c r="AY534" s="580"/>
      <c r="AZ534" s="580"/>
      <c r="BA534" s="580"/>
      <c r="BB534" s="580"/>
      <c r="BC534" s="580"/>
      <c r="BD534" s="580"/>
      <c r="BE534" s="580"/>
      <c r="BF534" s="580"/>
      <c r="BG534" s="580"/>
      <c r="BH534" s="580"/>
      <c r="BI534" s="580"/>
      <c r="BJ534" s="580"/>
      <c r="BK534" s="580"/>
      <c r="BL534" s="580"/>
      <c r="BM534" s="580">
        <f>+Q534</f>
        <v>0</v>
      </c>
      <c r="BN534" s="580"/>
      <c r="BO534" s="580"/>
      <c r="BP534" s="580"/>
      <c r="BQ534" s="580"/>
      <c r="BR534" s="580"/>
      <c r="BS534" s="580"/>
      <c r="BT534" s="580"/>
      <c r="BU534" s="580"/>
      <c r="BV534" s="580"/>
      <c r="BW534" s="580"/>
      <c r="BX534" s="580"/>
      <c r="BY534" s="580"/>
      <c r="BZ534" s="580"/>
      <c r="CA534" s="580"/>
      <c r="CB534" s="580"/>
      <c r="CC534" s="580"/>
      <c r="CD534" s="580"/>
      <c r="CE534" s="580"/>
      <c r="CF534" s="580"/>
      <c r="CG534" s="580"/>
      <c r="CH534" s="580"/>
      <c r="CI534" s="580"/>
      <c r="CJ534" s="580"/>
      <c r="CK534" s="580"/>
      <c r="CL534" s="580"/>
      <c r="CM534" s="580"/>
      <c r="CN534" s="580"/>
      <c r="CO534" s="580"/>
      <c r="CP534" s="580"/>
      <c r="CQ534" s="580"/>
      <c r="CR534" s="580"/>
      <c r="CS534" s="580"/>
      <c r="CT534" s="580"/>
      <c r="CU534" s="580"/>
      <c r="CV534" s="580"/>
      <c r="CW534" s="580"/>
      <c r="CX534" s="580"/>
      <c r="CY534" s="580"/>
      <c r="CZ534" s="580"/>
      <c r="DA534" s="580"/>
      <c r="DB534" s="580"/>
      <c r="DC534" s="580"/>
      <c r="DD534" s="580"/>
      <c r="DE534" s="580"/>
      <c r="DF534" s="580"/>
      <c r="DG534" s="580"/>
      <c r="DH534" s="580"/>
      <c r="DI534" s="580"/>
      <c r="DJ534" s="580"/>
      <c r="DK534" s="580"/>
      <c r="DL534" s="580"/>
      <c r="DM534" s="580"/>
      <c r="DN534" s="580"/>
      <c r="DO534" s="580"/>
      <c r="DP534" s="580"/>
    </row>
    <row r="535" spans="1:120" hidden="1" collapsed="1">
      <c r="A535" s="55"/>
      <c r="B535" s="509"/>
      <c r="C535" s="679"/>
      <c r="D535" s="1469"/>
      <c r="E535" s="1470"/>
      <c r="F535" s="416"/>
      <c r="G535" s="1251"/>
      <c r="H535" s="511"/>
      <c r="I535" s="512"/>
      <c r="J535" s="1425">
        <v>1</v>
      </c>
      <c r="K535" s="1426">
        <v>1</v>
      </c>
      <c r="L535" s="417"/>
      <c r="M535" s="1336"/>
      <c r="N535" s="504"/>
      <c r="O535" s="513">
        <f t="shared" si="1523"/>
        <v>0</v>
      </c>
      <c r="P535" s="431"/>
      <c r="Q535" s="514"/>
      <c r="R535" s="515"/>
      <c r="S535" s="515"/>
      <c r="T535" s="562">
        <f t="shared" si="1524"/>
        <v>0</v>
      </c>
      <c r="U535" s="418">
        <f t="shared" si="1525"/>
        <v>0</v>
      </c>
      <c r="V535" s="517">
        <f t="shared" si="1526"/>
        <v>0</v>
      </c>
      <c r="W535" s="976">
        <f>IF((-P535*R535)-(-P535*S535)&gt;0,(-P535*R535)-(-P535*S535),0)</f>
        <v>0</v>
      </c>
      <c r="X535" s="975">
        <f>IF((-P535*R535)-(-P535*S535)&lt;0,(-P535*R535)-(-P535*S535),0)</f>
        <v>0</v>
      </c>
      <c r="Y535" s="519"/>
      <c r="AA535" s="580"/>
      <c r="AB535" s="580"/>
      <c r="AC535" s="580"/>
      <c r="AD535" s="580"/>
      <c r="AE535" s="580"/>
      <c r="AF535" s="580"/>
      <c r="AG535" s="580"/>
      <c r="AH535" s="580"/>
      <c r="AI535" s="580"/>
      <c r="AJ535" s="580"/>
      <c r="AK535" s="580"/>
      <c r="AL535" s="1513"/>
      <c r="AM535" s="580"/>
      <c r="AN535" s="580"/>
      <c r="AO535" s="580"/>
      <c r="AP535" s="580"/>
      <c r="AQ535" s="580"/>
      <c r="AR535" s="580"/>
      <c r="AS535" s="580"/>
      <c r="AT535" s="580"/>
      <c r="AU535" s="580"/>
      <c r="AV535" s="580"/>
      <c r="AW535" s="580"/>
      <c r="AX535" s="580"/>
      <c r="AY535" s="580"/>
      <c r="AZ535" s="580"/>
      <c r="BA535" s="580"/>
      <c r="BB535" s="580"/>
      <c r="BC535" s="580"/>
      <c r="BD535" s="580"/>
      <c r="BE535" s="580"/>
      <c r="BF535" s="580"/>
      <c r="BG535" s="580"/>
      <c r="BH535" s="580"/>
      <c r="BI535" s="580"/>
      <c r="BJ535" s="580"/>
      <c r="BK535" s="580"/>
      <c r="BL535" s="580"/>
      <c r="BM535" s="580"/>
      <c r="BN535" s="580"/>
      <c r="BO535" s="580"/>
      <c r="BP535" s="580"/>
      <c r="BQ535" s="580"/>
      <c r="BR535" s="580"/>
      <c r="BS535" s="580"/>
      <c r="BT535" s="580"/>
      <c r="BU535" s="580"/>
      <c r="BV535" s="580"/>
      <c r="BW535" s="580"/>
      <c r="BX535" s="580"/>
      <c r="BY535" s="580"/>
      <c r="BZ535" s="580"/>
      <c r="CA535" s="580"/>
      <c r="CB535" s="580"/>
      <c r="CC535" s="580"/>
      <c r="CD535" s="580"/>
      <c r="CE535" s="580"/>
      <c r="CF535" s="580"/>
      <c r="CG535" s="580"/>
      <c r="CH535" s="580"/>
      <c r="CI535" s="580"/>
      <c r="CJ535" s="580"/>
      <c r="CK535" s="580"/>
      <c r="CL535" s="580"/>
      <c r="CM535" s="580"/>
      <c r="CN535" s="580"/>
      <c r="CO535" s="580"/>
      <c r="CP535" s="580"/>
      <c r="CQ535" s="580"/>
      <c r="CR535" s="580"/>
      <c r="CS535" s="580"/>
      <c r="CT535" s="580"/>
      <c r="CU535" s="580"/>
      <c r="CV535" s="580"/>
      <c r="CW535" s="580"/>
      <c r="CX535" s="580"/>
      <c r="CY535" s="580"/>
      <c r="CZ535" s="580"/>
      <c r="DA535" s="580"/>
      <c r="DB535" s="580"/>
      <c r="DC535" s="580"/>
      <c r="DD535" s="580"/>
      <c r="DE535" s="580"/>
      <c r="DF535" s="580"/>
      <c r="DG535" s="580"/>
      <c r="DH535" s="580"/>
      <c r="DI535" s="580"/>
      <c r="DJ535" s="580"/>
      <c r="DK535" s="580"/>
      <c r="DL535" s="580"/>
      <c r="DM535" s="580"/>
      <c r="DN535" s="580"/>
      <c r="DO535" s="580"/>
      <c r="DP535" s="580"/>
    </row>
    <row r="536" spans="1:120" ht="16.5" hidden="1" thickBot="1">
      <c r="A536" s="62" t="s">
        <v>233</v>
      </c>
      <c r="B536" s="63"/>
      <c r="C536" s="184"/>
      <c r="D536" s="1473"/>
      <c r="E536" s="1474"/>
      <c r="F536" s="66">
        <f>SUM(F533:F535)</f>
        <v>0</v>
      </c>
      <c r="G536" s="1253"/>
      <c r="H536" s="67"/>
      <c r="I536" s="68">
        <f>SUM(I533:I535)</f>
        <v>0</v>
      </c>
      <c r="J536" s="1376"/>
      <c r="K536" s="76"/>
      <c r="L536" s="69">
        <f>SUM(L533:L535)</f>
        <v>0</v>
      </c>
      <c r="M536" s="168"/>
      <c r="N536" s="70"/>
      <c r="O536" s="71">
        <f>SUM(O533:O535)</f>
        <v>0</v>
      </c>
      <c r="P536" s="72">
        <f>SUM(P533:P535)</f>
        <v>0</v>
      </c>
      <c r="Q536" s="1339"/>
      <c r="R536" s="73"/>
      <c r="S536" s="73"/>
      <c r="T536" s="96">
        <f>SUM(T533:T535)</f>
        <v>0</v>
      </c>
      <c r="U536" s="66">
        <f>SUM(U533:U535)</f>
        <v>0</v>
      </c>
      <c r="V536" s="76">
        <f>SUM(V533:V535)</f>
        <v>0</v>
      </c>
      <c r="W536" s="97">
        <f>SUM(W533:W535)</f>
        <v>0</v>
      </c>
      <c r="X536" s="98">
        <f>SUM(X533:X535)</f>
        <v>0</v>
      </c>
      <c r="Y536" s="43"/>
      <c r="AA536" s="172">
        <f t="shared" ref="AA536:BF536" ca="1" si="1530">SUM(AA531:AA535)</f>
        <v>0</v>
      </c>
      <c r="AB536" s="172">
        <f t="shared" ca="1" si="1530"/>
        <v>0</v>
      </c>
      <c r="AC536" s="172">
        <f t="shared" ca="1" si="1530"/>
        <v>0</v>
      </c>
      <c r="AD536" s="172">
        <f t="shared" ca="1" si="1530"/>
        <v>0</v>
      </c>
      <c r="AE536" s="172">
        <f t="shared" ca="1" si="1530"/>
        <v>0</v>
      </c>
      <c r="AF536" s="172">
        <f t="shared" ca="1" si="1530"/>
        <v>0</v>
      </c>
      <c r="AG536" s="172">
        <f t="shared" ca="1" si="1530"/>
        <v>0</v>
      </c>
      <c r="AH536" s="172">
        <f t="shared" ca="1" si="1530"/>
        <v>0</v>
      </c>
      <c r="AI536" s="172">
        <f t="shared" ca="1" si="1530"/>
        <v>0</v>
      </c>
      <c r="AJ536" s="172">
        <f t="shared" ca="1" si="1530"/>
        <v>0</v>
      </c>
      <c r="AK536" s="172">
        <f t="shared" ca="1" si="1530"/>
        <v>0</v>
      </c>
      <c r="AL536" s="172">
        <f t="shared" ca="1" si="1530"/>
        <v>0</v>
      </c>
      <c r="AM536" s="172">
        <f t="shared" ca="1" si="1530"/>
        <v>0</v>
      </c>
      <c r="AN536" s="172">
        <f t="shared" ca="1" si="1530"/>
        <v>0</v>
      </c>
      <c r="AO536" s="172">
        <f t="shared" ca="1" si="1530"/>
        <v>0</v>
      </c>
      <c r="AP536" s="172">
        <f t="shared" ca="1" si="1530"/>
        <v>0</v>
      </c>
      <c r="AQ536" s="172">
        <f t="shared" ca="1" si="1530"/>
        <v>0</v>
      </c>
      <c r="AR536" s="172">
        <f t="shared" ca="1" si="1530"/>
        <v>0</v>
      </c>
      <c r="AS536" s="172">
        <f t="shared" ca="1" si="1530"/>
        <v>0</v>
      </c>
      <c r="AT536" s="172">
        <f t="shared" ca="1" si="1530"/>
        <v>0</v>
      </c>
      <c r="AU536" s="172">
        <f t="shared" ca="1" si="1530"/>
        <v>0</v>
      </c>
      <c r="AV536" s="172">
        <f t="shared" ca="1" si="1530"/>
        <v>0</v>
      </c>
      <c r="AW536" s="172">
        <f t="shared" ca="1" si="1530"/>
        <v>0</v>
      </c>
      <c r="AX536" s="172">
        <f t="shared" ca="1" si="1530"/>
        <v>0</v>
      </c>
      <c r="AY536" s="172">
        <f t="shared" ca="1" si="1530"/>
        <v>0</v>
      </c>
      <c r="AZ536" s="172">
        <f t="shared" ca="1" si="1530"/>
        <v>0</v>
      </c>
      <c r="BA536" s="172">
        <f t="shared" ca="1" si="1530"/>
        <v>0</v>
      </c>
      <c r="BB536" s="172">
        <f t="shared" ca="1" si="1530"/>
        <v>0</v>
      </c>
      <c r="BC536" s="172">
        <f t="shared" ca="1" si="1530"/>
        <v>0</v>
      </c>
      <c r="BD536" s="172">
        <f t="shared" ca="1" si="1530"/>
        <v>0</v>
      </c>
      <c r="BE536" s="172">
        <f t="shared" ca="1" si="1530"/>
        <v>0</v>
      </c>
      <c r="BF536" s="172">
        <f t="shared" ca="1" si="1530"/>
        <v>0</v>
      </c>
      <c r="BG536" s="172">
        <f t="shared" ref="BG536:CL536" ca="1" si="1531">SUM(BG531:BG535)</f>
        <v>0</v>
      </c>
      <c r="BH536" s="172">
        <f t="shared" ca="1" si="1531"/>
        <v>0</v>
      </c>
      <c r="BI536" s="172">
        <f t="shared" ca="1" si="1531"/>
        <v>0</v>
      </c>
      <c r="BJ536" s="172">
        <f t="shared" ca="1" si="1531"/>
        <v>0</v>
      </c>
      <c r="BK536" s="172">
        <f t="shared" ca="1" si="1531"/>
        <v>0</v>
      </c>
      <c r="BL536" s="172">
        <f t="shared" ca="1" si="1531"/>
        <v>0</v>
      </c>
      <c r="BM536" s="172">
        <f t="shared" ca="1" si="1531"/>
        <v>0</v>
      </c>
      <c r="BN536" s="172">
        <f t="shared" ca="1" si="1531"/>
        <v>0</v>
      </c>
      <c r="BO536" s="172">
        <f t="shared" ca="1" si="1531"/>
        <v>0</v>
      </c>
      <c r="BP536" s="172">
        <f t="shared" ca="1" si="1531"/>
        <v>0</v>
      </c>
      <c r="BQ536" s="172">
        <f t="shared" ca="1" si="1531"/>
        <v>0</v>
      </c>
      <c r="BR536" s="172">
        <f t="shared" ca="1" si="1531"/>
        <v>0</v>
      </c>
      <c r="BS536" s="172">
        <f t="shared" ca="1" si="1531"/>
        <v>0</v>
      </c>
      <c r="BT536" s="172">
        <f t="shared" ca="1" si="1531"/>
        <v>0</v>
      </c>
      <c r="BU536" s="172">
        <f t="shared" ca="1" si="1531"/>
        <v>0</v>
      </c>
      <c r="BV536" s="172">
        <f t="shared" ca="1" si="1531"/>
        <v>0</v>
      </c>
      <c r="BW536" s="172">
        <f t="shared" ca="1" si="1531"/>
        <v>0</v>
      </c>
      <c r="BX536" s="172">
        <f t="shared" ca="1" si="1531"/>
        <v>0</v>
      </c>
      <c r="BY536" s="172">
        <f t="shared" ca="1" si="1531"/>
        <v>0</v>
      </c>
      <c r="BZ536" s="172">
        <f t="shared" ca="1" si="1531"/>
        <v>0</v>
      </c>
      <c r="CA536" s="172">
        <f t="shared" ca="1" si="1531"/>
        <v>0</v>
      </c>
      <c r="CB536" s="172">
        <f t="shared" ca="1" si="1531"/>
        <v>0</v>
      </c>
      <c r="CC536" s="172">
        <f t="shared" ca="1" si="1531"/>
        <v>0</v>
      </c>
      <c r="CD536" s="172">
        <f t="shared" ca="1" si="1531"/>
        <v>0</v>
      </c>
      <c r="CE536" s="172">
        <f t="shared" ca="1" si="1531"/>
        <v>0</v>
      </c>
      <c r="CF536" s="172">
        <f t="shared" ca="1" si="1531"/>
        <v>0</v>
      </c>
      <c r="CG536" s="172">
        <f t="shared" ca="1" si="1531"/>
        <v>0</v>
      </c>
      <c r="CH536" s="172">
        <f t="shared" ca="1" si="1531"/>
        <v>0</v>
      </c>
      <c r="CI536" s="172">
        <f t="shared" ca="1" si="1531"/>
        <v>0</v>
      </c>
      <c r="CJ536" s="172">
        <f t="shared" ca="1" si="1531"/>
        <v>0</v>
      </c>
      <c r="CK536" s="172">
        <f t="shared" ca="1" si="1531"/>
        <v>0</v>
      </c>
      <c r="CL536" s="172">
        <f t="shared" ca="1" si="1531"/>
        <v>0</v>
      </c>
      <c r="CM536" s="172">
        <f t="shared" ref="CM536:DP536" ca="1" si="1532">SUM(CM531:CM535)</f>
        <v>0</v>
      </c>
      <c r="CN536" s="172">
        <f t="shared" ca="1" si="1532"/>
        <v>0</v>
      </c>
      <c r="CO536" s="172">
        <f t="shared" si="1532"/>
        <v>0</v>
      </c>
      <c r="CP536" s="172">
        <f t="shared" si="1532"/>
        <v>0</v>
      </c>
      <c r="CQ536" s="172">
        <f t="shared" si="1532"/>
        <v>0</v>
      </c>
      <c r="CR536" s="172">
        <f t="shared" si="1532"/>
        <v>0</v>
      </c>
      <c r="CS536" s="172">
        <f t="shared" si="1532"/>
        <v>0</v>
      </c>
      <c r="CT536" s="172">
        <f t="shared" si="1532"/>
        <v>0</v>
      </c>
      <c r="CU536" s="172">
        <f t="shared" si="1532"/>
        <v>0</v>
      </c>
      <c r="CV536" s="172">
        <f t="shared" si="1532"/>
        <v>0</v>
      </c>
      <c r="CW536" s="172">
        <f t="shared" si="1532"/>
        <v>0</v>
      </c>
      <c r="CX536" s="172">
        <f t="shared" si="1532"/>
        <v>0</v>
      </c>
      <c r="CY536" s="172">
        <f t="shared" si="1532"/>
        <v>0</v>
      </c>
      <c r="CZ536" s="172">
        <f t="shared" si="1532"/>
        <v>0</v>
      </c>
      <c r="DA536" s="172">
        <f t="shared" si="1532"/>
        <v>0</v>
      </c>
      <c r="DB536" s="172">
        <f t="shared" si="1532"/>
        <v>0</v>
      </c>
      <c r="DC536" s="172">
        <f t="shared" si="1532"/>
        <v>0</v>
      </c>
      <c r="DD536" s="172">
        <f t="shared" si="1532"/>
        <v>0</v>
      </c>
      <c r="DE536" s="172">
        <f t="shared" si="1532"/>
        <v>0</v>
      </c>
      <c r="DF536" s="172">
        <f t="shared" si="1532"/>
        <v>0</v>
      </c>
      <c r="DG536" s="172">
        <f t="shared" si="1532"/>
        <v>0</v>
      </c>
      <c r="DH536" s="172">
        <f t="shared" si="1532"/>
        <v>0</v>
      </c>
      <c r="DI536" s="172">
        <f t="shared" si="1532"/>
        <v>0</v>
      </c>
      <c r="DJ536" s="172">
        <f t="shared" si="1532"/>
        <v>0</v>
      </c>
      <c r="DK536" s="172">
        <f t="shared" si="1532"/>
        <v>0</v>
      </c>
      <c r="DL536" s="172">
        <f t="shared" si="1532"/>
        <v>0</v>
      </c>
      <c r="DM536" s="172">
        <f t="shared" si="1532"/>
        <v>0</v>
      </c>
      <c r="DN536" s="172">
        <f t="shared" si="1532"/>
        <v>0</v>
      </c>
      <c r="DO536" s="172">
        <f t="shared" si="1532"/>
        <v>0</v>
      </c>
      <c r="DP536" s="172">
        <f t="shared" si="1532"/>
        <v>0</v>
      </c>
    </row>
    <row r="537" spans="1:120" hidden="1"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</row>
    <row r="538" spans="1:120" hidden="1" outlineLevel="1">
      <c r="A538" s="640">
        <v>1110053030</v>
      </c>
      <c r="B538" s="573" t="s">
        <v>78</v>
      </c>
      <c r="C538" s="1488" t="s">
        <v>64</v>
      </c>
      <c r="D538" s="1489"/>
      <c r="E538" s="1490"/>
      <c r="F538" s="643"/>
      <c r="G538" s="1262"/>
      <c r="H538" s="644"/>
      <c r="I538" s="645"/>
      <c r="J538" s="1483">
        <v>1</v>
      </c>
      <c r="K538" s="1484">
        <v>1</v>
      </c>
      <c r="L538" s="646"/>
      <c r="M538" s="1428">
        <f t="shared" ref="M538" si="1533">+L538*J538</f>
        <v>0</v>
      </c>
      <c r="N538" s="647">
        <v>3774</v>
      </c>
      <c r="O538" s="648">
        <f t="shared" ref="O538:O539" si="1534">+L538*N538</f>
        <v>0</v>
      </c>
      <c r="P538" s="649"/>
      <c r="Q538" s="649"/>
      <c r="R538" s="650"/>
      <c r="S538" s="650"/>
      <c r="T538" s="651">
        <f t="shared" ref="T538:T539" si="1535">+P538*S538</f>
        <v>0</v>
      </c>
      <c r="U538" s="652">
        <f t="shared" ref="U538:U539" si="1536">+L538+P538+F538</f>
        <v>0</v>
      </c>
      <c r="V538" s="648">
        <f t="shared" ref="V538:V539" si="1537">+P538*R538+L538*N538+F538*H538</f>
        <v>0</v>
      </c>
      <c r="W538" s="653">
        <f t="shared" ref="W538:W539" si="1538">(IF(R538&gt;S538,(-P538*R538)-(-P538*S538),0))</f>
        <v>0</v>
      </c>
      <c r="X538" s="654">
        <f t="shared" ref="X538:X539" si="1539">(IF(R538&lt;S538,(-P538*R538)-(-P538*S538),0))</f>
        <v>0</v>
      </c>
      <c r="Y538" s="655"/>
      <c r="AA538" s="577"/>
      <c r="AB538" s="577"/>
      <c r="AC538" s="577"/>
      <c r="AD538" s="577"/>
      <c r="AE538" s="577"/>
      <c r="AF538" s="577"/>
      <c r="AG538" s="577"/>
      <c r="AH538" s="577"/>
      <c r="AI538" s="577"/>
      <c r="AJ538" s="577"/>
      <c r="AK538" s="577"/>
      <c r="AL538" s="577"/>
      <c r="AM538" s="577"/>
      <c r="AN538" s="577"/>
      <c r="AO538" s="577"/>
      <c r="AP538" s="577"/>
      <c r="AQ538" s="577"/>
      <c r="AR538" s="577"/>
      <c r="AS538" s="577"/>
      <c r="AT538" s="577"/>
      <c r="AU538" s="577"/>
      <c r="AV538" s="577"/>
      <c r="AW538" s="577"/>
      <c r="AX538" s="577"/>
      <c r="AY538" s="577"/>
      <c r="AZ538" s="577"/>
      <c r="BA538" s="577"/>
      <c r="BB538" s="577"/>
      <c r="BC538" s="577"/>
      <c r="BD538" s="577"/>
      <c r="BE538" s="577"/>
      <c r="BF538" s="577"/>
      <c r="BG538" s="577"/>
      <c r="BH538" s="577"/>
      <c r="BI538" s="577"/>
      <c r="BJ538" s="577"/>
      <c r="BK538" s="577"/>
      <c r="BL538" s="577"/>
      <c r="BM538" s="577"/>
      <c r="BN538" s="577"/>
      <c r="BO538" s="577"/>
      <c r="BP538" s="577"/>
      <c r="BQ538" s="577"/>
      <c r="BR538" s="577"/>
      <c r="BS538" s="577"/>
      <c r="BT538" s="577"/>
      <c r="BU538" s="577"/>
      <c r="BV538" s="577"/>
      <c r="BW538" s="577"/>
      <c r="BX538" s="577"/>
      <c r="BY538" s="577"/>
      <c r="BZ538" s="577">
        <f>+M538</f>
        <v>0</v>
      </c>
      <c r="CA538" s="577"/>
      <c r="CB538" s="577"/>
      <c r="CC538" s="577"/>
      <c r="CD538" s="577"/>
      <c r="CE538" s="577"/>
      <c r="CF538" s="577"/>
      <c r="CG538" s="577"/>
      <c r="CH538" s="577"/>
      <c r="CI538" s="577"/>
      <c r="CJ538" s="577"/>
      <c r="CK538" s="577"/>
      <c r="CL538" s="577"/>
      <c r="CM538" s="577"/>
      <c r="CN538" s="577"/>
      <c r="CO538" s="577"/>
      <c r="CP538" s="577"/>
      <c r="CQ538" s="577"/>
      <c r="CR538" s="577"/>
      <c r="CS538" s="577"/>
      <c r="CT538" s="577"/>
      <c r="CU538" s="577"/>
      <c r="CV538" s="577"/>
      <c r="CW538" s="577"/>
      <c r="CX538" s="577"/>
      <c r="CY538" s="577"/>
      <c r="CZ538" s="577"/>
      <c r="DA538" s="577"/>
      <c r="DB538" s="577"/>
      <c r="DC538" s="577"/>
      <c r="DD538" s="577"/>
      <c r="DE538" s="577"/>
      <c r="DF538" s="577"/>
      <c r="DG538" s="577"/>
      <c r="DH538" s="577"/>
      <c r="DI538" s="577"/>
      <c r="DJ538" s="577"/>
      <c r="DK538" s="577"/>
      <c r="DL538" s="577"/>
      <c r="DM538" s="577"/>
      <c r="DN538" s="577"/>
      <c r="DO538" s="577"/>
      <c r="DP538" s="577"/>
    </row>
    <row r="539" spans="1:120" hidden="1" outlineLevel="1">
      <c r="A539" s="55">
        <v>1110053030</v>
      </c>
      <c r="B539" s="509"/>
      <c r="C539" s="1512" t="s">
        <v>64</v>
      </c>
      <c r="D539" s="1538"/>
      <c r="E539" s="1539"/>
      <c r="F539" s="416"/>
      <c r="G539" s="1251"/>
      <c r="H539" s="511"/>
      <c r="I539" s="512"/>
      <c r="J539" s="1425">
        <v>1</v>
      </c>
      <c r="K539" s="1426">
        <v>1</v>
      </c>
      <c r="L539" s="417"/>
      <c r="M539" s="1540">
        <f t="shared" ref="M539" si="1540">+L539*J539</f>
        <v>0</v>
      </c>
      <c r="N539" s="504">
        <v>3774</v>
      </c>
      <c r="O539" s="513">
        <f t="shared" si="1534"/>
        <v>0</v>
      </c>
      <c r="P539" s="514"/>
      <c r="Q539" s="514"/>
      <c r="R539" s="515"/>
      <c r="S539" s="515"/>
      <c r="T539" s="562">
        <f t="shared" si="1535"/>
        <v>0</v>
      </c>
      <c r="U539" s="638">
        <f t="shared" si="1536"/>
        <v>0</v>
      </c>
      <c r="V539" s="639">
        <f t="shared" si="1537"/>
        <v>0</v>
      </c>
      <c r="W539" s="976">
        <f t="shared" si="1538"/>
        <v>0</v>
      </c>
      <c r="X539" s="975">
        <f t="shared" si="1539"/>
        <v>0</v>
      </c>
      <c r="Y539" s="519"/>
      <c r="AA539" s="580"/>
      <c r="AB539" s="580"/>
      <c r="AC539" s="580"/>
      <c r="AD539" s="580"/>
      <c r="AE539" s="580"/>
      <c r="AF539" s="580"/>
      <c r="AG539" s="580"/>
      <c r="AH539" s="580"/>
      <c r="AI539" s="580"/>
      <c r="AJ539" s="580"/>
      <c r="AK539" s="580"/>
      <c r="AL539" s="1513"/>
      <c r="AM539" s="580"/>
      <c r="AN539" s="580"/>
      <c r="AO539" s="580"/>
      <c r="AP539" s="580"/>
      <c r="AQ539" s="580"/>
      <c r="AR539" s="580"/>
      <c r="AS539" s="580"/>
      <c r="AT539" s="580"/>
      <c r="AU539" s="580"/>
      <c r="AV539" s="580"/>
      <c r="AW539" s="580"/>
      <c r="AX539" s="580"/>
      <c r="AY539" s="580"/>
      <c r="AZ539" s="580"/>
      <c r="BA539" s="580"/>
      <c r="BB539" s="580"/>
      <c r="BC539" s="580"/>
      <c r="BD539" s="580"/>
      <c r="BE539" s="580"/>
      <c r="BF539" s="580"/>
      <c r="BG539" s="580"/>
      <c r="BH539" s="580"/>
      <c r="BI539" s="580"/>
      <c r="BJ539" s="580"/>
      <c r="BK539" s="580"/>
      <c r="BL539" s="580"/>
      <c r="BM539" s="580"/>
      <c r="BN539" s="580"/>
      <c r="BO539" s="580"/>
      <c r="BP539" s="580"/>
      <c r="BQ539" s="580"/>
      <c r="BR539" s="580"/>
      <c r="BS539" s="580"/>
      <c r="BT539" s="580"/>
      <c r="BU539" s="580"/>
      <c r="BV539" s="580"/>
      <c r="BW539" s="580"/>
      <c r="BX539" s="580"/>
      <c r="BY539" s="580"/>
      <c r="BZ539" s="580">
        <f>+M539</f>
        <v>0</v>
      </c>
      <c r="CA539" s="580"/>
      <c r="CB539" s="580"/>
      <c r="CC539" s="580"/>
      <c r="CD539" s="580"/>
      <c r="CE539" s="580"/>
      <c r="CF539" s="580"/>
      <c r="CG539" s="580"/>
      <c r="CH539" s="580"/>
      <c r="CI539" s="580"/>
      <c r="CJ539" s="580"/>
      <c r="CK539" s="580"/>
      <c r="CL539" s="580"/>
      <c r="CM539" s="580"/>
      <c r="CN539" s="580"/>
      <c r="CO539" s="580"/>
      <c r="CP539" s="580"/>
      <c r="CQ539" s="580"/>
      <c r="CR539" s="580"/>
      <c r="CS539" s="580"/>
      <c r="CT539" s="580"/>
      <c r="CU539" s="580"/>
      <c r="CV539" s="580"/>
      <c r="CW539" s="580"/>
      <c r="CX539" s="580"/>
      <c r="CY539" s="580"/>
      <c r="CZ539" s="580"/>
      <c r="DA539" s="580"/>
      <c r="DB539" s="580"/>
      <c r="DC539" s="580"/>
      <c r="DD539" s="580"/>
      <c r="DE539" s="580"/>
      <c r="DF539" s="580"/>
      <c r="DG539" s="580"/>
      <c r="DH539" s="580"/>
      <c r="DI539" s="580"/>
      <c r="DJ539" s="580"/>
      <c r="DK539" s="580"/>
      <c r="DL539" s="580"/>
      <c r="DM539" s="580"/>
      <c r="DN539" s="580"/>
      <c r="DO539" s="580"/>
      <c r="DP539" s="580"/>
    </row>
    <row r="540" spans="1:120" hidden="1" collapsed="1">
      <c r="A540" s="55"/>
      <c r="B540" s="509"/>
      <c r="C540" s="1476"/>
      <c r="D540" s="1538"/>
      <c r="E540" s="1539"/>
      <c r="F540" s="416"/>
      <c r="G540" s="1251"/>
      <c r="H540" s="511"/>
      <c r="I540" s="512"/>
      <c r="J540" s="1425"/>
      <c r="K540" s="1426"/>
      <c r="L540" s="417"/>
      <c r="M540" s="1540"/>
      <c r="N540" s="504"/>
      <c r="O540" s="513"/>
      <c r="P540" s="431"/>
      <c r="Q540" s="514"/>
      <c r="R540" s="515"/>
      <c r="S540" s="515"/>
      <c r="T540" s="562"/>
      <c r="U540" s="418"/>
      <c r="V540" s="517"/>
      <c r="W540" s="976"/>
      <c r="X540" s="975"/>
      <c r="Y540" s="519"/>
      <c r="AA540" s="580"/>
      <c r="AB540" s="580"/>
      <c r="AC540" s="580"/>
      <c r="AD540" s="580"/>
      <c r="AE540" s="580"/>
      <c r="AF540" s="580"/>
      <c r="AG540" s="580"/>
      <c r="AH540" s="580"/>
      <c r="AI540" s="580"/>
      <c r="AJ540" s="580"/>
      <c r="AK540" s="580"/>
      <c r="AL540" s="1513"/>
      <c r="AM540" s="580"/>
      <c r="AN540" s="580"/>
      <c r="AO540" s="580"/>
      <c r="AP540" s="580"/>
      <c r="AQ540" s="580"/>
      <c r="AR540" s="580"/>
      <c r="AS540" s="580"/>
      <c r="AT540" s="580"/>
      <c r="AU540" s="580"/>
      <c r="AV540" s="580"/>
      <c r="AW540" s="580"/>
      <c r="AX540" s="580"/>
      <c r="AY540" s="580"/>
      <c r="AZ540" s="580"/>
      <c r="BA540" s="580"/>
      <c r="BB540" s="580"/>
      <c r="BC540" s="580"/>
      <c r="BD540" s="580"/>
      <c r="BE540" s="580"/>
      <c r="BF540" s="580"/>
      <c r="BG540" s="580"/>
      <c r="BH540" s="580"/>
      <c r="BI540" s="580"/>
      <c r="BJ540" s="580"/>
      <c r="BK540" s="580"/>
      <c r="BL540" s="580"/>
      <c r="BM540" s="580"/>
      <c r="BN540" s="580"/>
      <c r="BO540" s="580"/>
      <c r="BP540" s="580"/>
      <c r="BQ540" s="580"/>
      <c r="BR540" s="580"/>
      <c r="BS540" s="580"/>
      <c r="BT540" s="580"/>
      <c r="BU540" s="580"/>
      <c r="BV540" s="580"/>
      <c r="BW540" s="580"/>
      <c r="BX540" s="580"/>
      <c r="BY540" s="580"/>
      <c r="BZ540" s="580"/>
      <c r="CA540" s="580"/>
      <c r="CB540" s="580"/>
      <c r="CC540" s="580"/>
      <c r="CD540" s="580"/>
      <c r="CE540" s="580"/>
      <c r="CF540" s="580"/>
      <c r="CG540" s="580"/>
      <c r="CH540" s="580"/>
      <c r="CI540" s="580"/>
      <c r="CJ540" s="580"/>
      <c r="CK540" s="580"/>
      <c r="CL540" s="580"/>
      <c r="CM540" s="580"/>
      <c r="CN540" s="580"/>
      <c r="CO540" s="580"/>
      <c r="CP540" s="580"/>
      <c r="CQ540" s="580"/>
      <c r="CR540" s="580"/>
      <c r="CS540" s="580"/>
      <c r="CT540" s="580"/>
      <c r="CU540" s="580"/>
      <c r="CV540" s="580"/>
      <c r="CW540" s="580"/>
      <c r="CX540" s="580"/>
      <c r="CY540" s="580"/>
      <c r="CZ540" s="580"/>
      <c r="DA540" s="580"/>
      <c r="DB540" s="580"/>
      <c r="DC540" s="580"/>
      <c r="DD540" s="580"/>
      <c r="DE540" s="580"/>
      <c r="DF540" s="580"/>
      <c r="DG540" s="580"/>
      <c r="DH540" s="580"/>
      <c r="DI540" s="580"/>
      <c r="DJ540" s="580"/>
      <c r="DK540" s="580"/>
      <c r="DL540" s="580"/>
      <c r="DM540" s="580"/>
      <c r="DN540" s="580"/>
      <c r="DO540" s="580"/>
      <c r="DP540" s="580"/>
    </row>
    <row r="541" spans="1:120" ht="16.5" hidden="1" thickBot="1">
      <c r="A541" s="62" t="s">
        <v>234</v>
      </c>
      <c r="B541" s="63"/>
      <c r="C541" s="184"/>
      <c r="D541" s="1473"/>
      <c r="E541" s="1474"/>
      <c r="F541" s="66">
        <f>SUM(F538:F540)</f>
        <v>0</v>
      </c>
      <c r="G541" s="1253"/>
      <c r="H541" s="67"/>
      <c r="I541" s="68">
        <f>SUM(I538:I540)</f>
        <v>0</v>
      </c>
      <c r="J541" s="1376"/>
      <c r="K541" s="76"/>
      <c r="L541" s="69">
        <f>SUM(L538:L540)</f>
        <v>0</v>
      </c>
      <c r="M541" s="168"/>
      <c r="N541" s="70"/>
      <c r="O541" s="71">
        <f>SUM(O538:O540)</f>
        <v>0</v>
      </c>
      <c r="P541" s="72">
        <f>SUM(P538:P540)</f>
        <v>0</v>
      </c>
      <c r="Q541" s="1339"/>
      <c r="R541" s="73"/>
      <c r="S541" s="73"/>
      <c r="T541" s="96">
        <f>SUM(T538:T540)</f>
        <v>0</v>
      </c>
      <c r="U541" s="66">
        <f>SUM(U538:U540)</f>
        <v>0</v>
      </c>
      <c r="V541" s="76">
        <f>SUM(V538:V540)</f>
        <v>0</v>
      </c>
      <c r="W541" s="97">
        <f>SUM(W538:W540)</f>
        <v>0</v>
      </c>
      <c r="X541" s="98">
        <f>SUM(X538:X540)</f>
        <v>0</v>
      </c>
      <c r="Y541" s="43"/>
      <c r="AA541" s="172">
        <f t="shared" ref="AA541:BF541" ca="1" si="1541">SUM(AA536:AA540)</f>
        <v>0</v>
      </c>
      <c r="AB541" s="172">
        <f t="shared" ca="1" si="1541"/>
        <v>0</v>
      </c>
      <c r="AC541" s="172">
        <f t="shared" ca="1" si="1541"/>
        <v>0</v>
      </c>
      <c r="AD541" s="172">
        <f t="shared" ca="1" si="1541"/>
        <v>0</v>
      </c>
      <c r="AE541" s="172">
        <f t="shared" ca="1" si="1541"/>
        <v>0</v>
      </c>
      <c r="AF541" s="172">
        <f t="shared" ca="1" si="1541"/>
        <v>0</v>
      </c>
      <c r="AG541" s="172">
        <f t="shared" ca="1" si="1541"/>
        <v>0</v>
      </c>
      <c r="AH541" s="172">
        <f t="shared" ca="1" si="1541"/>
        <v>0</v>
      </c>
      <c r="AI541" s="172">
        <f t="shared" ca="1" si="1541"/>
        <v>0</v>
      </c>
      <c r="AJ541" s="172">
        <f t="shared" ca="1" si="1541"/>
        <v>0</v>
      </c>
      <c r="AK541" s="172">
        <f t="shared" ca="1" si="1541"/>
        <v>0</v>
      </c>
      <c r="AL541" s="172">
        <f t="shared" ca="1" si="1541"/>
        <v>0</v>
      </c>
      <c r="AM541" s="172">
        <f t="shared" ca="1" si="1541"/>
        <v>0</v>
      </c>
      <c r="AN541" s="172">
        <f t="shared" ca="1" si="1541"/>
        <v>0</v>
      </c>
      <c r="AO541" s="172">
        <f t="shared" ca="1" si="1541"/>
        <v>0</v>
      </c>
      <c r="AP541" s="172">
        <f t="shared" ca="1" si="1541"/>
        <v>0</v>
      </c>
      <c r="AQ541" s="172">
        <f t="shared" ca="1" si="1541"/>
        <v>0</v>
      </c>
      <c r="AR541" s="172">
        <f t="shared" ca="1" si="1541"/>
        <v>0</v>
      </c>
      <c r="AS541" s="172">
        <f t="shared" ca="1" si="1541"/>
        <v>0</v>
      </c>
      <c r="AT541" s="172">
        <f t="shared" ca="1" si="1541"/>
        <v>0</v>
      </c>
      <c r="AU541" s="172">
        <f t="shared" ca="1" si="1541"/>
        <v>0</v>
      </c>
      <c r="AV541" s="172">
        <f t="shared" ca="1" si="1541"/>
        <v>0</v>
      </c>
      <c r="AW541" s="172">
        <f t="shared" ca="1" si="1541"/>
        <v>0</v>
      </c>
      <c r="AX541" s="172">
        <f t="shared" ca="1" si="1541"/>
        <v>0</v>
      </c>
      <c r="AY541" s="172">
        <f t="shared" ca="1" si="1541"/>
        <v>0</v>
      </c>
      <c r="AZ541" s="172">
        <f t="shared" ca="1" si="1541"/>
        <v>0</v>
      </c>
      <c r="BA541" s="172">
        <f t="shared" ca="1" si="1541"/>
        <v>0</v>
      </c>
      <c r="BB541" s="172">
        <f t="shared" ca="1" si="1541"/>
        <v>0</v>
      </c>
      <c r="BC541" s="172">
        <f t="shared" ca="1" si="1541"/>
        <v>0</v>
      </c>
      <c r="BD541" s="172">
        <f t="shared" ca="1" si="1541"/>
        <v>0</v>
      </c>
      <c r="BE541" s="172">
        <f t="shared" ca="1" si="1541"/>
        <v>0</v>
      </c>
      <c r="BF541" s="172">
        <f t="shared" ca="1" si="1541"/>
        <v>0</v>
      </c>
      <c r="BG541" s="172">
        <f t="shared" ref="BG541:CL541" ca="1" si="1542">SUM(BG536:BG540)</f>
        <v>0</v>
      </c>
      <c r="BH541" s="172">
        <f t="shared" ca="1" si="1542"/>
        <v>0</v>
      </c>
      <c r="BI541" s="172">
        <f t="shared" ca="1" si="1542"/>
        <v>0</v>
      </c>
      <c r="BJ541" s="172">
        <f t="shared" ca="1" si="1542"/>
        <v>0</v>
      </c>
      <c r="BK541" s="172">
        <f t="shared" ca="1" si="1542"/>
        <v>0</v>
      </c>
      <c r="BL541" s="172">
        <f t="shared" ca="1" si="1542"/>
        <v>0</v>
      </c>
      <c r="BM541" s="172">
        <f t="shared" ca="1" si="1542"/>
        <v>0</v>
      </c>
      <c r="BN541" s="172">
        <f t="shared" ca="1" si="1542"/>
        <v>0</v>
      </c>
      <c r="BO541" s="172">
        <f t="shared" ca="1" si="1542"/>
        <v>0</v>
      </c>
      <c r="BP541" s="172">
        <f t="shared" ca="1" si="1542"/>
        <v>0</v>
      </c>
      <c r="BQ541" s="172">
        <f t="shared" ca="1" si="1542"/>
        <v>0</v>
      </c>
      <c r="BR541" s="172">
        <f t="shared" ca="1" si="1542"/>
        <v>0</v>
      </c>
      <c r="BS541" s="172">
        <f t="shared" ca="1" si="1542"/>
        <v>0</v>
      </c>
      <c r="BT541" s="172">
        <f t="shared" ca="1" si="1542"/>
        <v>0</v>
      </c>
      <c r="BU541" s="172">
        <f t="shared" ca="1" si="1542"/>
        <v>0</v>
      </c>
      <c r="BV541" s="172">
        <f t="shared" ca="1" si="1542"/>
        <v>0</v>
      </c>
      <c r="BW541" s="172">
        <f t="shared" ca="1" si="1542"/>
        <v>0</v>
      </c>
      <c r="BX541" s="172">
        <f t="shared" ca="1" si="1542"/>
        <v>0</v>
      </c>
      <c r="BY541" s="172">
        <f t="shared" ca="1" si="1542"/>
        <v>0</v>
      </c>
      <c r="BZ541" s="172">
        <f t="shared" ca="1" si="1542"/>
        <v>0</v>
      </c>
      <c r="CA541" s="172">
        <f t="shared" ca="1" si="1542"/>
        <v>0</v>
      </c>
      <c r="CB541" s="172">
        <f t="shared" ca="1" si="1542"/>
        <v>0</v>
      </c>
      <c r="CC541" s="172">
        <f t="shared" ca="1" si="1542"/>
        <v>0</v>
      </c>
      <c r="CD541" s="172">
        <f t="shared" ca="1" si="1542"/>
        <v>0</v>
      </c>
      <c r="CE541" s="172">
        <f t="shared" ca="1" si="1542"/>
        <v>0</v>
      </c>
      <c r="CF541" s="172">
        <f t="shared" ca="1" si="1542"/>
        <v>0</v>
      </c>
      <c r="CG541" s="172">
        <f t="shared" ca="1" si="1542"/>
        <v>0</v>
      </c>
      <c r="CH541" s="172">
        <f t="shared" ca="1" si="1542"/>
        <v>0</v>
      </c>
      <c r="CI541" s="172">
        <f t="shared" ca="1" si="1542"/>
        <v>0</v>
      </c>
      <c r="CJ541" s="172">
        <f t="shared" ca="1" si="1542"/>
        <v>0</v>
      </c>
      <c r="CK541" s="172">
        <f t="shared" ca="1" si="1542"/>
        <v>0</v>
      </c>
      <c r="CL541" s="172">
        <f t="shared" ca="1" si="1542"/>
        <v>0</v>
      </c>
      <c r="CM541" s="172">
        <f t="shared" ref="CM541:DP541" ca="1" si="1543">SUM(CM536:CM540)</f>
        <v>0</v>
      </c>
      <c r="CN541" s="172">
        <f t="shared" ca="1" si="1543"/>
        <v>0</v>
      </c>
      <c r="CO541" s="172">
        <f t="shared" si="1543"/>
        <v>0</v>
      </c>
      <c r="CP541" s="172">
        <f t="shared" si="1543"/>
        <v>0</v>
      </c>
      <c r="CQ541" s="172">
        <f t="shared" si="1543"/>
        <v>0</v>
      </c>
      <c r="CR541" s="172">
        <f t="shared" si="1543"/>
        <v>0</v>
      </c>
      <c r="CS541" s="172">
        <f t="shared" si="1543"/>
        <v>0</v>
      </c>
      <c r="CT541" s="172">
        <f t="shared" si="1543"/>
        <v>0</v>
      </c>
      <c r="CU541" s="172">
        <f t="shared" si="1543"/>
        <v>0</v>
      </c>
      <c r="CV541" s="172">
        <f t="shared" si="1543"/>
        <v>0</v>
      </c>
      <c r="CW541" s="172">
        <f t="shared" si="1543"/>
        <v>0</v>
      </c>
      <c r="CX541" s="172">
        <f t="shared" si="1543"/>
        <v>0</v>
      </c>
      <c r="CY541" s="172">
        <f t="shared" si="1543"/>
        <v>0</v>
      </c>
      <c r="CZ541" s="172">
        <f t="shared" si="1543"/>
        <v>0</v>
      </c>
      <c r="DA541" s="172">
        <f t="shared" si="1543"/>
        <v>0</v>
      </c>
      <c r="DB541" s="172">
        <f t="shared" si="1543"/>
        <v>0</v>
      </c>
      <c r="DC541" s="172">
        <f t="shared" si="1543"/>
        <v>0</v>
      </c>
      <c r="DD541" s="172">
        <f t="shared" si="1543"/>
        <v>0</v>
      </c>
      <c r="DE541" s="172">
        <f t="shared" si="1543"/>
        <v>0</v>
      </c>
      <c r="DF541" s="172">
        <f t="shared" si="1543"/>
        <v>0</v>
      </c>
      <c r="DG541" s="172">
        <f t="shared" si="1543"/>
        <v>0</v>
      </c>
      <c r="DH541" s="172">
        <f t="shared" si="1543"/>
        <v>0</v>
      </c>
      <c r="DI541" s="172">
        <f t="shared" si="1543"/>
        <v>0</v>
      </c>
      <c r="DJ541" s="172">
        <f t="shared" si="1543"/>
        <v>0</v>
      </c>
      <c r="DK541" s="172">
        <f t="shared" si="1543"/>
        <v>0</v>
      </c>
      <c r="DL541" s="172">
        <f t="shared" si="1543"/>
        <v>0</v>
      </c>
      <c r="DM541" s="172">
        <f t="shared" si="1543"/>
        <v>0</v>
      </c>
      <c r="DN541" s="172">
        <f t="shared" si="1543"/>
        <v>0</v>
      </c>
      <c r="DO541" s="172">
        <f t="shared" si="1543"/>
        <v>0</v>
      </c>
      <c r="DP541" s="172">
        <f t="shared" si="1543"/>
        <v>0</v>
      </c>
    </row>
    <row r="542" spans="1:120" hidden="1"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24"/>
      <c r="DC542" s="24"/>
      <c r="DD542" s="24"/>
      <c r="DE542" s="24"/>
      <c r="DF542" s="24"/>
      <c r="DG542" s="24"/>
      <c r="DH542" s="24"/>
      <c r="DI542" s="24"/>
      <c r="DJ542" s="24"/>
      <c r="DK542" s="24"/>
      <c r="DL542" s="24"/>
      <c r="DM542" s="24"/>
      <c r="DN542" s="24"/>
      <c r="DO542" s="24"/>
      <c r="DP542" s="24"/>
    </row>
    <row r="543" spans="1:120" hidden="1" outlineLevel="1">
      <c r="A543" s="640">
        <v>1110053030</v>
      </c>
      <c r="B543" s="573" t="s">
        <v>78</v>
      </c>
      <c r="C543" s="1488" t="s">
        <v>64</v>
      </c>
      <c r="D543" s="1489"/>
      <c r="E543" s="1490"/>
      <c r="F543" s="643"/>
      <c r="G543" s="1262"/>
      <c r="H543" s="644"/>
      <c r="I543" s="645"/>
      <c r="J543" s="1483">
        <v>1</v>
      </c>
      <c r="K543" s="1484">
        <v>1</v>
      </c>
      <c r="L543" s="646"/>
      <c r="M543" s="1428">
        <f t="shared" ref="M543" si="1544">+L543*J543</f>
        <v>0</v>
      </c>
      <c r="N543" s="647"/>
      <c r="O543" s="648">
        <f t="shared" ref="O543:O544" si="1545">+L543*N543</f>
        <v>0</v>
      </c>
      <c r="P543" s="649"/>
      <c r="Q543" s="649"/>
      <c r="R543" s="650"/>
      <c r="S543" s="650"/>
      <c r="T543" s="651">
        <f t="shared" ref="T543:T544" si="1546">+P543*S543</f>
        <v>0</v>
      </c>
      <c r="U543" s="652">
        <f t="shared" ref="U543:U544" si="1547">+L543+P543+F543</f>
        <v>0</v>
      </c>
      <c r="V543" s="648">
        <f t="shared" ref="V543:V544" si="1548">+P543*R543+L543*N543+F543*H543</f>
        <v>0</v>
      </c>
      <c r="W543" s="653">
        <f t="shared" ref="W543:W544" si="1549">(IF(R543&gt;S543,(-P543*R543)-(-P543*S543),0))</f>
        <v>0</v>
      </c>
      <c r="X543" s="654">
        <f t="shared" ref="X543:X544" si="1550">(IF(R543&lt;S543,(-P543*R543)-(-P543*S543),0))</f>
        <v>0</v>
      </c>
      <c r="Y543" s="655"/>
      <c r="AA543" s="577"/>
      <c r="AB543" s="577"/>
      <c r="AC543" s="577"/>
      <c r="AD543" s="577"/>
      <c r="AE543" s="577"/>
      <c r="AF543" s="577"/>
      <c r="AG543" s="577"/>
      <c r="AH543" s="577"/>
      <c r="AI543" s="577"/>
      <c r="AJ543" s="577"/>
      <c r="AK543" s="577"/>
      <c r="AL543" s="577"/>
      <c r="AM543" s="577"/>
      <c r="AN543" s="577"/>
      <c r="AO543" s="577"/>
      <c r="AP543" s="577"/>
      <c r="AQ543" s="577"/>
      <c r="AR543" s="577"/>
      <c r="AS543" s="577"/>
      <c r="AT543" s="577"/>
      <c r="AU543" s="577"/>
      <c r="AV543" s="577"/>
      <c r="AW543" s="577"/>
      <c r="AX543" s="577"/>
      <c r="AY543" s="577"/>
      <c r="AZ543" s="577"/>
      <c r="BA543" s="577"/>
      <c r="BB543" s="577"/>
      <c r="BC543" s="577"/>
      <c r="BD543" s="577"/>
      <c r="BE543" s="577"/>
      <c r="BF543" s="577"/>
      <c r="BG543" s="577"/>
      <c r="BH543" s="577"/>
      <c r="BI543" s="577"/>
      <c r="BJ543" s="577"/>
      <c r="BK543" s="577"/>
      <c r="BL543" s="577"/>
      <c r="BM543" s="577"/>
      <c r="BN543" s="577"/>
      <c r="BO543" s="577"/>
      <c r="BP543" s="577"/>
      <c r="BQ543" s="577"/>
      <c r="BR543" s="577"/>
      <c r="BS543" s="577"/>
      <c r="BT543" s="577"/>
      <c r="BU543" s="577"/>
      <c r="BV543" s="577"/>
      <c r="BW543" s="577"/>
      <c r="BX543" s="577"/>
      <c r="BY543" s="577"/>
      <c r="BZ543" s="577"/>
      <c r="CA543" s="577"/>
      <c r="CB543" s="577">
        <f>+M543</f>
        <v>0</v>
      </c>
      <c r="CC543" s="577"/>
      <c r="CD543" s="577"/>
      <c r="CE543" s="577"/>
      <c r="CF543" s="577"/>
      <c r="CG543" s="577"/>
      <c r="CH543" s="577"/>
      <c r="CI543" s="577"/>
      <c r="CJ543" s="577"/>
      <c r="CK543" s="577"/>
      <c r="CL543" s="577"/>
      <c r="CM543" s="577"/>
      <c r="CN543" s="577"/>
      <c r="CO543" s="577"/>
      <c r="CP543" s="577"/>
      <c r="CQ543" s="577"/>
      <c r="CR543" s="577"/>
      <c r="CS543" s="577"/>
      <c r="CT543" s="577"/>
      <c r="CU543" s="577"/>
      <c r="CV543" s="577"/>
      <c r="CW543" s="577"/>
      <c r="CX543" s="577"/>
      <c r="CY543" s="577"/>
      <c r="CZ543" s="577"/>
      <c r="DA543" s="577"/>
      <c r="DB543" s="577"/>
      <c r="DC543" s="577"/>
      <c r="DD543" s="577"/>
      <c r="DE543" s="577"/>
      <c r="DF543" s="577"/>
      <c r="DG543" s="577"/>
      <c r="DH543" s="577"/>
      <c r="DI543" s="577"/>
      <c r="DJ543" s="577"/>
      <c r="DK543" s="577"/>
      <c r="DL543" s="577"/>
      <c r="DM543" s="577"/>
      <c r="DN543" s="577"/>
      <c r="DO543" s="577"/>
      <c r="DP543" s="577"/>
    </row>
    <row r="544" spans="1:120" hidden="1" outlineLevel="1">
      <c r="A544" s="55">
        <v>1110053030</v>
      </c>
      <c r="B544" s="509"/>
      <c r="C544" s="1512" t="s">
        <v>64</v>
      </c>
      <c r="D544" s="1469"/>
      <c r="E544" s="1470"/>
      <c r="F544" s="416"/>
      <c r="G544" s="1251"/>
      <c r="H544" s="511"/>
      <c r="I544" s="512"/>
      <c r="J544" s="1425">
        <v>1</v>
      </c>
      <c r="K544" s="1426">
        <v>1</v>
      </c>
      <c r="L544" s="417"/>
      <c r="M544" s="1336">
        <f t="shared" ref="M544" si="1551">+L544*J544</f>
        <v>0</v>
      </c>
      <c r="N544" s="504"/>
      <c r="O544" s="513">
        <f t="shared" si="1545"/>
        <v>0</v>
      </c>
      <c r="P544" s="514"/>
      <c r="Q544" s="514"/>
      <c r="R544" s="515"/>
      <c r="S544" s="515"/>
      <c r="T544" s="562">
        <f t="shared" si="1546"/>
        <v>0</v>
      </c>
      <c r="U544" s="638">
        <f t="shared" si="1547"/>
        <v>0</v>
      </c>
      <c r="V544" s="639">
        <f t="shared" si="1548"/>
        <v>0</v>
      </c>
      <c r="W544" s="976">
        <f t="shared" si="1549"/>
        <v>0</v>
      </c>
      <c r="X544" s="975">
        <f t="shared" si="1550"/>
        <v>0</v>
      </c>
      <c r="Y544" s="519"/>
      <c r="AA544" s="580"/>
      <c r="AB544" s="580"/>
      <c r="AC544" s="580"/>
      <c r="AD544" s="580"/>
      <c r="AE544" s="580"/>
      <c r="AF544" s="580"/>
      <c r="AG544" s="580"/>
      <c r="AH544" s="580"/>
      <c r="AI544" s="580"/>
      <c r="AJ544" s="580"/>
      <c r="AK544" s="580"/>
      <c r="AL544" s="1513"/>
      <c r="AM544" s="580"/>
      <c r="AN544" s="580"/>
      <c r="AO544" s="580"/>
      <c r="AP544" s="580"/>
      <c r="AQ544" s="580"/>
      <c r="AR544" s="580"/>
      <c r="AS544" s="580"/>
      <c r="AT544" s="580"/>
      <c r="AU544" s="580"/>
      <c r="AV544" s="580"/>
      <c r="AW544" s="580"/>
      <c r="AX544" s="580"/>
      <c r="AY544" s="580"/>
      <c r="AZ544" s="580"/>
      <c r="BA544" s="580"/>
      <c r="BB544" s="580"/>
      <c r="BC544" s="580"/>
      <c r="BD544" s="580"/>
      <c r="BE544" s="580"/>
      <c r="BF544" s="580"/>
      <c r="BG544" s="580"/>
      <c r="BH544" s="580"/>
      <c r="BI544" s="580"/>
      <c r="BJ544" s="580"/>
      <c r="BK544" s="580"/>
      <c r="BL544" s="580"/>
      <c r="BM544" s="580"/>
      <c r="BN544" s="580"/>
      <c r="BO544" s="580"/>
      <c r="BP544" s="580"/>
      <c r="BQ544" s="580"/>
      <c r="BR544" s="580"/>
      <c r="BS544" s="580"/>
      <c r="BT544" s="580"/>
      <c r="BU544" s="580"/>
      <c r="BV544" s="580"/>
      <c r="BW544" s="580"/>
      <c r="BX544" s="580"/>
      <c r="BY544" s="580"/>
      <c r="BZ544" s="580"/>
      <c r="CA544" s="580"/>
      <c r="CB544" s="580"/>
      <c r="CC544" s="580">
        <f>+M544</f>
        <v>0</v>
      </c>
      <c r="CD544" s="580"/>
      <c r="CE544" s="580"/>
      <c r="CF544" s="580"/>
      <c r="CG544" s="580"/>
      <c r="CH544" s="580"/>
      <c r="CI544" s="580"/>
      <c r="CJ544" s="580"/>
      <c r="CK544" s="580"/>
      <c r="CL544" s="580"/>
      <c r="CM544" s="580"/>
      <c r="CN544" s="580"/>
      <c r="CO544" s="580"/>
      <c r="CP544" s="580"/>
      <c r="CQ544" s="580"/>
      <c r="CR544" s="580"/>
      <c r="CS544" s="580"/>
      <c r="CT544" s="580"/>
      <c r="CU544" s="580"/>
      <c r="CV544" s="580"/>
      <c r="CW544" s="580"/>
      <c r="CX544" s="580"/>
      <c r="CY544" s="580"/>
      <c r="CZ544" s="580"/>
      <c r="DA544" s="580"/>
      <c r="DB544" s="580"/>
      <c r="DC544" s="580"/>
      <c r="DD544" s="580"/>
      <c r="DE544" s="580"/>
      <c r="DF544" s="580"/>
      <c r="DG544" s="580"/>
      <c r="DH544" s="580"/>
      <c r="DI544" s="580"/>
      <c r="DJ544" s="580"/>
      <c r="DK544" s="580"/>
      <c r="DL544" s="580"/>
      <c r="DM544" s="580"/>
      <c r="DN544" s="580"/>
      <c r="DO544" s="580"/>
      <c r="DP544" s="580"/>
    </row>
    <row r="545" spans="1:120" s="181" customFormat="1" hidden="1" collapsed="1">
      <c r="A545" s="175"/>
      <c r="B545" s="656"/>
      <c r="C545" s="1699"/>
      <c r="D545" s="1700"/>
      <c r="E545" s="1701"/>
      <c r="F545" s="176"/>
      <c r="G545" s="1267"/>
      <c r="H545" s="657"/>
      <c r="I545" s="658"/>
      <c r="J545" s="1425">
        <v>1</v>
      </c>
      <c r="K545" s="1426">
        <v>1</v>
      </c>
      <c r="L545" s="177"/>
      <c r="M545" s="1702"/>
      <c r="N545" s="659"/>
      <c r="O545" s="660"/>
      <c r="P545" s="178"/>
      <c r="Q545" s="1344"/>
      <c r="R545" s="661"/>
      <c r="S545" s="661"/>
      <c r="T545" s="662"/>
      <c r="U545" s="179"/>
      <c r="V545" s="663"/>
      <c r="W545" s="180"/>
      <c r="X545" s="664"/>
      <c r="Y545" s="665"/>
      <c r="Z545" s="14"/>
      <c r="AA545" s="666"/>
      <c r="AB545" s="666"/>
      <c r="AC545" s="666"/>
      <c r="AD545" s="666"/>
      <c r="AE545" s="666"/>
      <c r="AF545" s="666"/>
      <c r="AG545" s="666"/>
      <c r="AH545" s="666"/>
      <c r="AI545" s="666"/>
      <c r="AJ545" s="666"/>
      <c r="AK545" s="666"/>
      <c r="AL545" s="1575"/>
      <c r="AM545" s="666"/>
      <c r="AN545" s="666"/>
      <c r="AO545" s="666"/>
      <c r="AP545" s="666"/>
      <c r="AQ545" s="666"/>
      <c r="AR545" s="666"/>
      <c r="AS545" s="666"/>
      <c r="AT545" s="666"/>
      <c r="AU545" s="666"/>
      <c r="AV545" s="666"/>
      <c r="AW545" s="666"/>
      <c r="AX545" s="666"/>
      <c r="AY545" s="666"/>
      <c r="AZ545" s="666"/>
      <c r="BA545" s="666"/>
      <c r="BB545" s="666"/>
      <c r="BC545" s="666"/>
      <c r="BD545" s="666"/>
      <c r="BE545" s="666"/>
      <c r="BF545" s="666"/>
      <c r="BG545" s="666"/>
      <c r="BH545" s="666"/>
      <c r="BI545" s="666"/>
      <c r="BJ545" s="666"/>
      <c r="BK545" s="666"/>
      <c r="BL545" s="666"/>
      <c r="BM545" s="666"/>
      <c r="BN545" s="666"/>
      <c r="BO545" s="666"/>
      <c r="BP545" s="666"/>
      <c r="BQ545" s="666"/>
      <c r="BR545" s="666"/>
      <c r="BS545" s="666"/>
      <c r="BT545" s="666"/>
      <c r="BU545" s="666"/>
      <c r="BV545" s="666"/>
      <c r="BW545" s="666"/>
      <c r="BX545" s="666"/>
      <c r="BY545" s="666"/>
      <c r="BZ545" s="666"/>
      <c r="CA545" s="666"/>
      <c r="CB545" s="666"/>
      <c r="CC545" s="666"/>
      <c r="CD545" s="666"/>
      <c r="CE545" s="666"/>
      <c r="CF545" s="666"/>
      <c r="CG545" s="666"/>
      <c r="CH545" s="666"/>
      <c r="CI545" s="666"/>
      <c r="CJ545" s="666"/>
      <c r="CK545" s="666"/>
      <c r="CL545" s="666"/>
      <c r="CM545" s="666"/>
      <c r="CN545" s="666"/>
      <c r="CO545" s="666"/>
      <c r="CP545" s="666"/>
      <c r="CQ545" s="666"/>
      <c r="CR545" s="666"/>
      <c r="CS545" s="666"/>
      <c r="CT545" s="666"/>
      <c r="CU545" s="666"/>
      <c r="CV545" s="666"/>
      <c r="CW545" s="666"/>
      <c r="CX545" s="666"/>
      <c r="CY545" s="666"/>
      <c r="CZ545" s="666"/>
      <c r="DA545" s="666"/>
      <c r="DB545" s="666"/>
      <c r="DC545" s="666"/>
      <c r="DD545" s="666"/>
      <c r="DE545" s="666"/>
      <c r="DF545" s="666"/>
      <c r="DG545" s="666"/>
      <c r="DH545" s="666"/>
      <c r="DI545" s="666"/>
      <c r="DJ545" s="666"/>
      <c r="DK545" s="666"/>
      <c r="DL545" s="666"/>
      <c r="DM545" s="666"/>
      <c r="DN545" s="666"/>
      <c r="DO545" s="666"/>
      <c r="DP545" s="666"/>
    </row>
    <row r="546" spans="1:120" ht="16.5" hidden="1" thickBot="1">
      <c r="A546" s="62" t="s">
        <v>235</v>
      </c>
      <c r="B546" s="63"/>
      <c r="C546" s="184"/>
      <c r="D546" s="1473"/>
      <c r="E546" s="1474"/>
      <c r="F546" s="66">
        <f>SUM(F543:F545)</f>
        <v>0</v>
      </c>
      <c r="G546" s="1253"/>
      <c r="H546" s="67"/>
      <c r="I546" s="68">
        <f>SUM(I543:I545)</f>
        <v>0</v>
      </c>
      <c r="J546" s="1376"/>
      <c r="K546" s="76"/>
      <c r="L546" s="69">
        <f>SUM(L543:L545)</f>
        <v>0</v>
      </c>
      <c r="M546" s="168"/>
      <c r="N546" s="70"/>
      <c r="O546" s="71">
        <f>SUM(O543:O545)</f>
        <v>0</v>
      </c>
      <c r="P546" s="72">
        <f>SUM(P543:P545)</f>
        <v>0</v>
      </c>
      <c r="Q546" s="1339"/>
      <c r="R546" s="73"/>
      <c r="S546" s="73"/>
      <c r="T546" s="96">
        <f>SUM(T543:T545)</f>
        <v>0</v>
      </c>
      <c r="U546" s="66">
        <f>SUM(U543:U545)</f>
        <v>0</v>
      </c>
      <c r="V546" s="76">
        <f>SUM(V543:V545)</f>
        <v>0</v>
      </c>
      <c r="W546" s="97">
        <f>SUM(W543:W545)</f>
        <v>0</v>
      </c>
      <c r="X546" s="98">
        <f>SUM(X543:X545)</f>
        <v>0</v>
      </c>
      <c r="Y546" s="43"/>
      <c r="AA546" s="172">
        <f t="shared" ref="AA546:BF546" ca="1" si="1552">SUM(AA541:AA545)</f>
        <v>0</v>
      </c>
      <c r="AB546" s="172">
        <f t="shared" ca="1" si="1552"/>
        <v>0</v>
      </c>
      <c r="AC546" s="172">
        <f t="shared" ca="1" si="1552"/>
        <v>0</v>
      </c>
      <c r="AD546" s="172">
        <f t="shared" ca="1" si="1552"/>
        <v>0</v>
      </c>
      <c r="AE546" s="172">
        <f t="shared" ca="1" si="1552"/>
        <v>0</v>
      </c>
      <c r="AF546" s="172">
        <f t="shared" ca="1" si="1552"/>
        <v>0</v>
      </c>
      <c r="AG546" s="172">
        <f t="shared" ca="1" si="1552"/>
        <v>0</v>
      </c>
      <c r="AH546" s="172">
        <f t="shared" ca="1" si="1552"/>
        <v>0</v>
      </c>
      <c r="AI546" s="172">
        <f t="shared" ca="1" si="1552"/>
        <v>0</v>
      </c>
      <c r="AJ546" s="172">
        <f t="shared" ca="1" si="1552"/>
        <v>0</v>
      </c>
      <c r="AK546" s="172">
        <f t="shared" ca="1" si="1552"/>
        <v>0</v>
      </c>
      <c r="AL546" s="172">
        <f t="shared" ca="1" si="1552"/>
        <v>0</v>
      </c>
      <c r="AM546" s="172">
        <f t="shared" ca="1" si="1552"/>
        <v>0</v>
      </c>
      <c r="AN546" s="172">
        <f t="shared" ca="1" si="1552"/>
        <v>0</v>
      </c>
      <c r="AO546" s="172">
        <f t="shared" ca="1" si="1552"/>
        <v>0</v>
      </c>
      <c r="AP546" s="172">
        <f t="shared" ca="1" si="1552"/>
        <v>0</v>
      </c>
      <c r="AQ546" s="172">
        <f t="shared" ca="1" si="1552"/>
        <v>0</v>
      </c>
      <c r="AR546" s="172">
        <f t="shared" ca="1" si="1552"/>
        <v>0</v>
      </c>
      <c r="AS546" s="172">
        <f t="shared" ca="1" si="1552"/>
        <v>0</v>
      </c>
      <c r="AT546" s="172">
        <f t="shared" ca="1" si="1552"/>
        <v>0</v>
      </c>
      <c r="AU546" s="172">
        <f t="shared" ca="1" si="1552"/>
        <v>0</v>
      </c>
      <c r="AV546" s="172">
        <f t="shared" ca="1" si="1552"/>
        <v>0</v>
      </c>
      <c r="AW546" s="172">
        <f t="shared" ca="1" si="1552"/>
        <v>0</v>
      </c>
      <c r="AX546" s="172">
        <f t="shared" ca="1" si="1552"/>
        <v>0</v>
      </c>
      <c r="AY546" s="172">
        <f t="shared" ca="1" si="1552"/>
        <v>0</v>
      </c>
      <c r="AZ546" s="172">
        <f t="shared" ca="1" si="1552"/>
        <v>0</v>
      </c>
      <c r="BA546" s="172">
        <f t="shared" ca="1" si="1552"/>
        <v>0</v>
      </c>
      <c r="BB546" s="172">
        <f t="shared" ca="1" si="1552"/>
        <v>0</v>
      </c>
      <c r="BC546" s="172">
        <f t="shared" ca="1" si="1552"/>
        <v>0</v>
      </c>
      <c r="BD546" s="172">
        <f t="shared" ca="1" si="1552"/>
        <v>0</v>
      </c>
      <c r="BE546" s="172">
        <f t="shared" ca="1" si="1552"/>
        <v>0</v>
      </c>
      <c r="BF546" s="172">
        <f t="shared" ca="1" si="1552"/>
        <v>0</v>
      </c>
      <c r="BG546" s="172">
        <f t="shared" ref="BG546:CL546" ca="1" si="1553">SUM(BG541:BG545)</f>
        <v>0</v>
      </c>
      <c r="BH546" s="172">
        <f t="shared" ca="1" si="1553"/>
        <v>0</v>
      </c>
      <c r="BI546" s="172">
        <f t="shared" ca="1" si="1553"/>
        <v>0</v>
      </c>
      <c r="BJ546" s="172">
        <f t="shared" ca="1" si="1553"/>
        <v>0</v>
      </c>
      <c r="BK546" s="172">
        <f t="shared" ca="1" si="1553"/>
        <v>0</v>
      </c>
      <c r="BL546" s="172">
        <f t="shared" ca="1" si="1553"/>
        <v>0</v>
      </c>
      <c r="BM546" s="172">
        <f t="shared" ca="1" si="1553"/>
        <v>0</v>
      </c>
      <c r="BN546" s="172">
        <f t="shared" ca="1" si="1553"/>
        <v>0</v>
      </c>
      <c r="BO546" s="172">
        <f t="shared" ca="1" si="1553"/>
        <v>0</v>
      </c>
      <c r="BP546" s="172">
        <f t="shared" ca="1" si="1553"/>
        <v>0</v>
      </c>
      <c r="BQ546" s="172">
        <f t="shared" ca="1" si="1553"/>
        <v>0</v>
      </c>
      <c r="BR546" s="172">
        <f t="shared" ca="1" si="1553"/>
        <v>0</v>
      </c>
      <c r="BS546" s="172">
        <f t="shared" ca="1" si="1553"/>
        <v>0</v>
      </c>
      <c r="BT546" s="172">
        <f t="shared" ca="1" si="1553"/>
        <v>0</v>
      </c>
      <c r="BU546" s="172">
        <f t="shared" ca="1" si="1553"/>
        <v>0</v>
      </c>
      <c r="BV546" s="172">
        <f t="shared" ca="1" si="1553"/>
        <v>0</v>
      </c>
      <c r="BW546" s="172">
        <f t="shared" ca="1" si="1553"/>
        <v>0</v>
      </c>
      <c r="BX546" s="172">
        <f t="shared" ca="1" si="1553"/>
        <v>0</v>
      </c>
      <c r="BY546" s="172">
        <f t="shared" ca="1" si="1553"/>
        <v>0</v>
      </c>
      <c r="BZ546" s="172">
        <f t="shared" ca="1" si="1553"/>
        <v>0</v>
      </c>
      <c r="CA546" s="172">
        <f t="shared" ca="1" si="1553"/>
        <v>0</v>
      </c>
      <c r="CB546" s="172">
        <f t="shared" ca="1" si="1553"/>
        <v>0</v>
      </c>
      <c r="CC546" s="172">
        <f t="shared" ca="1" si="1553"/>
        <v>0</v>
      </c>
      <c r="CD546" s="172">
        <f t="shared" ca="1" si="1553"/>
        <v>0</v>
      </c>
      <c r="CE546" s="172">
        <f t="shared" ca="1" si="1553"/>
        <v>0</v>
      </c>
      <c r="CF546" s="172">
        <f t="shared" ca="1" si="1553"/>
        <v>0</v>
      </c>
      <c r="CG546" s="172">
        <f t="shared" ca="1" si="1553"/>
        <v>0</v>
      </c>
      <c r="CH546" s="172">
        <f t="shared" ca="1" si="1553"/>
        <v>0</v>
      </c>
      <c r="CI546" s="172">
        <f t="shared" ca="1" si="1553"/>
        <v>0</v>
      </c>
      <c r="CJ546" s="172">
        <f t="shared" ca="1" si="1553"/>
        <v>0</v>
      </c>
      <c r="CK546" s="172">
        <f t="shared" ca="1" si="1553"/>
        <v>0</v>
      </c>
      <c r="CL546" s="172">
        <f t="shared" ca="1" si="1553"/>
        <v>0</v>
      </c>
      <c r="CM546" s="172">
        <f t="shared" ref="CM546:DP546" ca="1" si="1554">SUM(CM541:CM545)</f>
        <v>0</v>
      </c>
      <c r="CN546" s="172">
        <f t="shared" ca="1" si="1554"/>
        <v>0</v>
      </c>
      <c r="CO546" s="172">
        <f t="shared" si="1554"/>
        <v>0</v>
      </c>
      <c r="CP546" s="172">
        <f t="shared" si="1554"/>
        <v>0</v>
      </c>
      <c r="CQ546" s="172">
        <f t="shared" si="1554"/>
        <v>0</v>
      </c>
      <c r="CR546" s="172">
        <f t="shared" si="1554"/>
        <v>0</v>
      </c>
      <c r="CS546" s="172">
        <f t="shared" si="1554"/>
        <v>0</v>
      </c>
      <c r="CT546" s="172">
        <f t="shared" si="1554"/>
        <v>0</v>
      </c>
      <c r="CU546" s="172">
        <f t="shared" si="1554"/>
        <v>0</v>
      </c>
      <c r="CV546" s="172">
        <f t="shared" si="1554"/>
        <v>0</v>
      </c>
      <c r="CW546" s="172">
        <f t="shared" si="1554"/>
        <v>0</v>
      </c>
      <c r="CX546" s="172">
        <f t="shared" si="1554"/>
        <v>0</v>
      </c>
      <c r="CY546" s="172">
        <f t="shared" si="1554"/>
        <v>0</v>
      </c>
      <c r="CZ546" s="172">
        <f t="shared" si="1554"/>
        <v>0</v>
      </c>
      <c r="DA546" s="172">
        <f t="shared" si="1554"/>
        <v>0</v>
      </c>
      <c r="DB546" s="172">
        <f t="shared" si="1554"/>
        <v>0</v>
      </c>
      <c r="DC546" s="172">
        <f t="shared" si="1554"/>
        <v>0</v>
      </c>
      <c r="DD546" s="172">
        <f t="shared" si="1554"/>
        <v>0</v>
      </c>
      <c r="DE546" s="172">
        <f t="shared" si="1554"/>
        <v>0</v>
      </c>
      <c r="DF546" s="172">
        <f t="shared" si="1554"/>
        <v>0</v>
      </c>
      <c r="DG546" s="172">
        <f t="shared" si="1554"/>
        <v>0</v>
      </c>
      <c r="DH546" s="172">
        <f t="shared" si="1554"/>
        <v>0</v>
      </c>
      <c r="DI546" s="172">
        <f t="shared" si="1554"/>
        <v>0</v>
      </c>
      <c r="DJ546" s="172">
        <f t="shared" si="1554"/>
        <v>0</v>
      </c>
      <c r="DK546" s="172">
        <f t="shared" si="1554"/>
        <v>0</v>
      </c>
      <c r="DL546" s="172">
        <f t="shared" si="1554"/>
        <v>0</v>
      </c>
      <c r="DM546" s="172">
        <f t="shared" si="1554"/>
        <v>0</v>
      </c>
      <c r="DN546" s="172">
        <f t="shared" si="1554"/>
        <v>0</v>
      </c>
      <c r="DO546" s="172">
        <f t="shared" si="1554"/>
        <v>0</v>
      </c>
      <c r="DP546" s="172">
        <f t="shared" si="1554"/>
        <v>0</v>
      </c>
    </row>
    <row r="547" spans="1:120" hidden="1"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24"/>
      <c r="DC547" s="24"/>
      <c r="DD547" s="24"/>
      <c r="DE547" s="24"/>
      <c r="DF547" s="24"/>
      <c r="DG547" s="24"/>
      <c r="DH547" s="24"/>
      <c r="DI547" s="24"/>
      <c r="DJ547" s="24"/>
      <c r="DK547" s="24"/>
      <c r="DL547" s="24"/>
      <c r="DM547" s="24"/>
      <c r="DN547" s="24"/>
      <c r="DO547" s="24"/>
      <c r="DP547" s="24"/>
    </row>
    <row r="548" spans="1:120" hidden="1" outlineLevel="1">
      <c r="A548" s="640">
        <v>1110053030</v>
      </c>
      <c r="B548" s="573" t="s">
        <v>78</v>
      </c>
      <c r="C548" s="1488" t="s">
        <v>64</v>
      </c>
      <c r="D548" s="1489"/>
      <c r="E548" s="1490"/>
      <c r="F548" s="643"/>
      <c r="G548" s="1262"/>
      <c r="H548" s="644"/>
      <c r="I548" s="645"/>
      <c r="J548" s="1483">
        <v>1</v>
      </c>
      <c r="K548" s="1484">
        <v>1</v>
      </c>
      <c r="L548" s="646"/>
      <c r="M548" s="1428">
        <f t="shared" ref="M548" si="1555">+L548*J548</f>
        <v>0</v>
      </c>
      <c r="N548" s="647"/>
      <c r="O548" s="648">
        <f t="shared" ref="O548:O550" si="1556">+L548*N548</f>
        <v>0</v>
      </c>
      <c r="P548" s="649"/>
      <c r="Q548" s="649"/>
      <c r="R548" s="650"/>
      <c r="S548" s="650"/>
      <c r="T548" s="651">
        <f t="shared" ref="T548:T550" si="1557">+P548*S548</f>
        <v>0</v>
      </c>
      <c r="U548" s="652">
        <f t="shared" ref="U548:U550" si="1558">+L548+P548+F548</f>
        <v>0</v>
      </c>
      <c r="V548" s="648">
        <f t="shared" ref="V548:V550" si="1559">+P548*R548+L548*N548+F548*H548</f>
        <v>0</v>
      </c>
      <c r="W548" s="653">
        <f t="shared" ref="W548:W549" si="1560">(IF(R548&gt;S548,(-P548*R548)-(-P548*S548),0))</f>
        <v>0</v>
      </c>
      <c r="X548" s="654">
        <f t="shared" ref="X548:X549" si="1561">(IF(R548&lt;S548,(-P548*R548)-(-P548*S548),0))</f>
        <v>0</v>
      </c>
      <c r="Y548" s="655"/>
      <c r="AA548" s="577"/>
      <c r="AB548" s="577"/>
      <c r="AC548" s="577"/>
      <c r="AD548" s="577"/>
      <c r="AE548" s="577"/>
      <c r="AF548" s="577"/>
      <c r="AG548" s="577"/>
      <c r="AH548" s="577"/>
      <c r="AI548" s="577"/>
      <c r="AJ548" s="577"/>
      <c r="AK548" s="577"/>
      <c r="AL548" s="577"/>
      <c r="AM548" s="577"/>
      <c r="AN548" s="577"/>
      <c r="AO548" s="577"/>
      <c r="AP548" s="577"/>
      <c r="AQ548" s="577"/>
      <c r="AR548" s="577"/>
      <c r="AS548" s="577"/>
      <c r="AT548" s="577"/>
      <c r="AU548" s="577"/>
      <c r="AV548" s="577"/>
      <c r="AW548" s="577"/>
      <c r="AX548" s="577"/>
      <c r="AY548" s="577"/>
      <c r="AZ548" s="577"/>
      <c r="BA548" s="577"/>
      <c r="BB548" s="577"/>
      <c r="BC548" s="577"/>
      <c r="BD548" s="577"/>
      <c r="BE548" s="577"/>
      <c r="BF548" s="577"/>
      <c r="BG548" s="577"/>
      <c r="BH548" s="577"/>
      <c r="BI548" s="577"/>
      <c r="BJ548" s="577"/>
      <c r="BK548" s="577"/>
      <c r="BL548" s="577"/>
      <c r="BM548" s="577"/>
      <c r="BN548" s="577"/>
      <c r="BO548" s="577"/>
      <c r="BP548" s="577"/>
      <c r="BQ548" s="577"/>
      <c r="BR548" s="577"/>
      <c r="BS548" s="577"/>
      <c r="BT548" s="577"/>
      <c r="BU548" s="577"/>
      <c r="BV548" s="577"/>
      <c r="BW548" s="577"/>
      <c r="BX548" s="577"/>
      <c r="BY548" s="577"/>
      <c r="BZ548" s="577"/>
      <c r="CA548" s="577"/>
      <c r="CB548" s="577"/>
      <c r="CC548" s="577"/>
      <c r="CD548" s="577"/>
      <c r="CE548" s="577"/>
      <c r="CF548" s="577"/>
      <c r="CG548" s="577"/>
      <c r="CH548" s="577"/>
      <c r="CI548" s="577"/>
      <c r="CJ548" s="577"/>
      <c r="CK548" s="577">
        <f>+M548</f>
        <v>0</v>
      </c>
      <c r="CL548" s="577"/>
      <c r="CM548" s="577"/>
      <c r="CN548" s="577"/>
      <c r="CO548" s="577"/>
      <c r="CP548" s="577"/>
      <c r="CQ548" s="577"/>
      <c r="CR548" s="577"/>
      <c r="CS548" s="577"/>
      <c r="CT548" s="577"/>
      <c r="CU548" s="577"/>
      <c r="CV548" s="577"/>
      <c r="CW548" s="577"/>
      <c r="CX548" s="577"/>
      <c r="CY548" s="577"/>
      <c r="CZ548" s="577"/>
      <c r="DA548" s="577"/>
      <c r="DB548" s="577"/>
      <c r="DC548" s="577"/>
      <c r="DD548" s="577"/>
      <c r="DE548" s="577"/>
      <c r="DF548" s="577"/>
      <c r="DG548" s="577"/>
      <c r="DH548" s="577"/>
      <c r="DI548" s="577"/>
      <c r="DJ548" s="577"/>
      <c r="DK548" s="577"/>
      <c r="DL548" s="577"/>
      <c r="DM548" s="577"/>
      <c r="DN548" s="577"/>
      <c r="DO548" s="577"/>
      <c r="DP548" s="577"/>
    </row>
    <row r="549" spans="1:120" hidden="1" outlineLevel="1">
      <c r="A549" s="55">
        <v>1110053030</v>
      </c>
      <c r="B549" s="509"/>
      <c r="C549" s="679" t="s">
        <v>64</v>
      </c>
      <c r="D549" s="1469"/>
      <c r="E549" s="1470"/>
      <c r="F549" s="416"/>
      <c r="G549" s="1251"/>
      <c r="H549" s="511"/>
      <c r="I549" s="512"/>
      <c r="J549" s="1425">
        <v>1</v>
      </c>
      <c r="K549" s="1426">
        <v>1</v>
      </c>
      <c r="L549" s="417"/>
      <c r="M549" s="1336">
        <f t="shared" ref="M549" si="1562">+L549*J549</f>
        <v>0</v>
      </c>
      <c r="N549" s="504"/>
      <c r="O549" s="513">
        <f t="shared" si="1556"/>
        <v>0</v>
      </c>
      <c r="P549" s="514"/>
      <c r="Q549" s="514"/>
      <c r="R549" s="515"/>
      <c r="S549" s="515"/>
      <c r="T549" s="562">
        <f t="shared" si="1557"/>
        <v>0</v>
      </c>
      <c r="U549" s="638">
        <f t="shared" si="1558"/>
        <v>0</v>
      </c>
      <c r="V549" s="639">
        <f t="shared" si="1559"/>
        <v>0</v>
      </c>
      <c r="W549" s="976">
        <f t="shared" si="1560"/>
        <v>0</v>
      </c>
      <c r="X549" s="975">
        <f t="shared" si="1561"/>
        <v>0</v>
      </c>
      <c r="Y549" s="519"/>
      <c r="AA549" s="580"/>
      <c r="AB549" s="580"/>
      <c r="AC549" s="580"/>
      <c r="AD549" s="580"/>
      <c r="AE549" s="580"/>
      <c r="AF549" s="580"/>
      <c r="AG549" s="580"/>
      <c r="AH549" s="580"/>
      <c r="AI549" s="580"/>
      <c r="AJ549" s="580"/>
      <c r="AK549" s="580"/>
      <c r="AL549" s="1513"/>
      <c r="AM549" s="580"/>
      <c r="AN549" s="580"/>
      <c r="AO549" s="580"/>
      <c r="AP549" s="580"/>
      <c r="AQ549" s="580"/>
      <c r="AR549" s="580"/>
      <c r="AS549" s="580"/>
      <c r="AT549" s="580"/>
      <c r="AU549" s="580"/>
      <c r="AV549" s="580"/>
      <c r="AW549" s="580"/>
      <c r="AX549" s="580"/>
      <c r="AY549" s="580"/>
      <c r="AZ549" s="580"/>
      <c r="BA549" s="580"/>
      <c r="BB549" s="580"/>
      <c r="BC549" s="580"/>
      <c r="BD549" s="580"/>
      <c r="BE549" s="580"/>
      <c r="BF549" s="580"/>
      <c r="BG549" s="580"/>
      <c r="BH549" s="580"/>
      <c r="BI549" s="580"/>
      <c r="BJ549" s="580"/>
      <c r="BK549" s="580"/>
      <c r="BL549" s="580"/>
      <c r="BM549" s="580"/>
      <c r="BN549" s="580"/>
      <c r="BO549" s="580"/>
      <c r="BP549" s="580"/>
      <c r="BQ549" s="580"/>
      <c r="BR549" s="580"/>
      <c r="BS549" s="580"/>
      <c r="BT549" s="580"/>
      <c r="BU549" s="580"/>
      <c r="BV549" s="580"/>
      <c r="BW549" s="580"/>
      <c r="BX549" s="580"/>
      <c r="BY549" s="580"/>
      <c r="BZ549" s="580"/>
      <c r="CA549" s="580"/>
      <c r="CB549" s="580"/>
      <c r="CC549" s="580"/>
      <c r="CD549" s="580"/>
      <c r="CE549" s="580"/>
      <c r="CF549" s="580"/>
      <c r="CG549" s="580"/>
      <c r="CH549" s="580"/>
      <c r="CI549" s="580"/>
      <c r="CJ549" s="580"/>
      <c r="CK549" s="580"/>
      <c r="CL549" s="580"/>
      <c r="CM549" s="580">
        <f>+M549</f>
        <v>0</v>
      </c>
      <c r="CN549" s="580"/>
      <c r="CO549" s="580"/>
      <c r="CP549" s="580"/>
      <c r="CQ549" s="580"/>
      <c r="CR549" s="580"/>
      <c r="CS549" s="580"/>
      <c r="CT549" s="580"/>
      <c r="CU549" s="580"/>
      <c r="CV549" s="580"/>
      <c r="CW549" s="580"/>
      <c r="CX549" s="580"/>
      <c r="CY549" s="580"/>
      <c r="CZ549" s="580"/>
      <c r="DA549" s="580"/>
      <c r="DB549" s="580"/>
      <c r="DC549" s="580"/>
      <c r="DD549" s="580"/>
      <c r="DE549" s="580"/>
      <c r="DF549" s="580"/>
      <c r="DG549" s="580"/>
      <c r="DH549" s="580"/>
      <c r="DI549" s="580"/>
      <c r="DJ549" s="580"/>
      <c r="DK549" s="580"/>
      <c r="DL549" s="580"/>
      <c r="DM549" s="580"/>
      <c r="DN549" s="580"/>
      <c r="DO549" s="580"/>
      <c r="DP549" s="580"/>
    </row>
    <row r="550" spans="1:120" hidden="1" collapsed="1">
      <c r="A550" s="55"/>
      <c r="B550" s="509"/>
      <c r="C550" s="679"/>
      <c r="D550" s="1469"/>
      <c r="E550" s="1470"/>
      <c r="F550" s="416"/>
      <c r="G550" s="1251"/>
      <c r="H550" s="511"/>
      <c r="I550" s="512"/>
      <c r="J550" s="1425"/>
      <c r="K550" s="1426"/>
      <c r="L550" s="417"/>
      <c r="M550" s="1336"/>
      <c r="N550" s="504"/>
      <c r="O550" s="513">
        <f t="shared" si="1556"/>
        <v>0</v>
      </c>
      <c r="P550" s="431"/>
      <c r="Q550" s="514"/>
      <c r="R550" s="515"/>
      <c r="S550" s="515"/>
      <c r="T550" s="562">
        <f t="shared" si="1557"/>
        <v>0</v>
      </c>
      <c r="U550" s="418">
        <f t="shared" si="1558"/>
        <v>0</v>
      </c>
      <c r="V550" s="517">
        <f t="shared" si="1559"/>
        <v>0</v>
      </c>
      <c r="W550" s="976">
        <f>IF((-P550*R550)-(-P550*S550)&gt;0,(-P550*R550)-(-P550*S550),0)</f>
        <v>0</v>
      </c>
      <c r="X550" s="975">
        <f>IF((-P550*R550)-(-P550*S550)&lt;0,(-P550*R550)-(-P550*S550),0)</f>
        <v>0</v>
      </c>
      <c r="Y550" s="519"/>
      <c r="AA550" s="580"/>
      <c r="AB550" s="580"/>
      <c r="AC550" s="580"/>
      <c r="AD550" s="580"/>
      <c r="AE550" s="580"/>
      <c r="AF550" s="580"/>
      <c r="AG550" s="580"/>
      <c r="AH550" s="580"/>
      <c r="AI550" s="580"/>
      <c r="AJ550" s="580"/>
      <c r="AK550" s="580"/>
      <c r="AL550" s="1513"/>
      <c r="AM550" s="580"/>
      <c r="AN550" s="580"/>
      <c r="AO550" s="580"/>
      <c r="AP550" s="580"/>
      <c r="AQ550" s="580"/>
      <c r="AR550" s="580"/>
      <c r="AS550" s="580"/>
      <c r="AT550" s="580"/>
      <c r="AU550" s="580"/>
      <c r="AV550" s="580"/>
      <c r="AW550" s="580"/>
      <c r="AX550" s="580"/>
      <c r="AY550" s="580"/>
      <c r="AZ550" s="580"/>
      <c r="BA550" s="580"/>
      <c r="BB550" s="580"/>
      <c r="BC550" s="580"/>
      <c r="BD550" s="580"/>
      <c r="BE550" s="580"/>
      <c r="BF550" s="580"/>
      <c r="BG550" s="580"/>
      <c r="BH550" s="580"/>
      <c r="BI550" s="580"/>
      <c r="BJ550" s="580"/>
      <c r="BK550" s="580"/>
      <c r="BL550" s="580"/>
      <c r="BM550" s="580"/>
      <c r="BN550" s="580"/>
      <c r="BO550" s="580"/>
      <c r="BP550" s="580"/>
      <c r="BQ550" s="580"/>
      <c r="BR550" s="580"/>
      <c r="BS550" s="580"/>
      <c r="BT550" s="580"/>
      <c r="BU550" s="580"/>
      <c r="BV550" s="580"/>
      <c r="BW550" s="580"/>
      <c r="BX550" s="580"/>
      <c r="BY550" s="580"/>
      <c r="BZ550" s="580"/>
      <c r="CA550" s="580"/>
      <c r="CB550" s="580"/>
      <c r="CC550" s="580"/>
      <c r="CD550" s="580"/>
      <c r="CE550" s="580"/>
      <c r="CF550" s="580"/>
      <c r="CG550" s="580"/>
      <c r="CH550" s="580"/>
      <c r="CI550" s="580"/>
      <c r="CJ550" s="580"/>
      <c r="CK550" s="580"/>
      <c r="CL550" s="580"/>
      <c r="CM550" s="580"/>
      <c r="CN550" s="580"/>
      <c r="CO550" s="580"/>
      <c r="CP550" s="580"/>
      <c r="CQ550" s="580"/>
      <c r="CR550" s="580"/>
      <c r="CS550" s="580"/>
      <c r="CT550" s="580"/>
      <c r="CU550" s="580"/>
      <c r="CV550" s="580"/>
      <c r="CW550" s="580"/>
      <c r="CX550" s="580"/>
      <c r="CY550" s="580"/>
      <c r="CZ550" s="580"/>
      <c r="DA550" s="580"/>
      <c r="DB550" s="580"/>
      <c r="DC550" s="580"/>
      <c r="DD550" s="580"/>
      <c r="DE550" s="580"/>
      <c r="DF550" s="580"/>
      <c r="DG550" s="580"/>
      <c r="DH550" s="580"/>
      <c r="DI550" s="580"/>
      <c r="DJ550" s="580"/>
      <c r="DK550" s="580"/>
      <c r="DL550" s="580"/>
      <c r="DM550" s="580"/>
      <c r="DN550" s="580"/>
      <c r="DO550" s="580"/>
      <c r="DP550" s="580"/>
    </row>
    <row r="551" spans="1:120" ht="16.5" hidden="1" thickBot="1">
      <c r="A551" s="62" t="s">
        <v>236</v>
      </c>
      <c r="B551" s="63"/>
      <c r="C551" s="184"/>
      <c r="D551" s="1473"/>
      <c r="E551" s="1474"/>
      <c r="F551" s="66">
        <f>SUM(F548:F550)</f>
        <v>0</v>
      </c>
      <c r="G551" s="1253"/>
      <c r="H551" s="67"/>
      <c r="I551" s="68">
        <f>SUM(I548:I550)</f>
        <v>0</v>
      </c>
      <c r="J551" s="1376"/>
      <c r="K551" s="76"/>
      <c r="L551" s="69">
        <f>SUM(L548:L550)</f>
        <v>0</v>
      </c>
      <c r="M551" s="168"/>
      <c r="N551" s="70"/>
      <c r="O551" s="71">
        <f>SUM(O548:O550)</f>
        <v>0</v>
      </c>
      <c r="P551" s="72">
        <f>SUM(P548:P550)</f>
        <v>0</v>
      </c>
      <c r="Q551" s="1339"/>
      <c r="R551" s="73"/>
      <c r="S551" s="73"/>
      <c r="T551" s="96">
        <f>SUM(T548:T550)</f>
        <v>0</v>
      </c>
      <c r="U551" s="66">
        <f>SUM(U548:U550)</f>
        <v>0</v>
      </c>
      <c r="V551" s="76">
        <f>SUM(V548:V550)</f>
        <v>0</v>
      </c>
      <c r="W551" s="97">
        <f>SUM(W548:W550)</f>
        <v>0</v>
      </c>
      <c r="X551" s="98">
        <f>SUM(X548:X550)</f>
        <v>0</v>
      </c>
      <c r="Y551" s="43"/>
      <c r="AA551" s="172">
        <f t="shared" ref="AA551:BF551" ca="1" si="1563">SUM(AA546:AA550)</f>
        <v>0</v>
      </c>
      <c r="AB551" s="172">
        <f t="shared" ca="1" si="1563"/>
        <v>0</v>
      </c>
      <c r="AC551" s="172">
        <f t="shared" ca="1" si="1563"/>
        <v>0</v>
      </c>
      <c r="AD551" s="172">
        <f t="shared" ca="1" si="1563"/>
        <v>0</v>
      </c>
      <c r="AE551" s="172">
        <f t="shared" ca="1" si="1563"/>
        <v>0</v>
      </c>
      <c r="AF551" s="172">
        <f t="shared" ca="1" si="1563"/>
        <v>0</v>
      </c>
      <c r="AG551" s="172">
        <f t="shared" ca="1" si="1563"/>
        <v>0</v>
      </c>
      <c r="AH551" s="172">
        <f t="shared" ca="1" si="1563"/>
        <v>0</v>
      </c>
      <c r="AI551" s="172">
        <f t="shared" ca="1" si="1563"/>
        <v>0</v>
      </c>
      <c r="AJ551" s="172">
        <f t="shared" ca="1" si="1563"/>
        <v>0</v>
      </c>
      <c r="AK551" s="172">
        <f t="shared" ca="1" si="1563"/>
        <v>0</v>
      </c>
      <c r="AL551" s="172">
        <f t="shared" ca="1" si="1563"/>
        <v>0</v>
      </c>
      <c r="AM551" s="172">
        <f t="shared" ca="1" si="1563"/>
        <v>0</v>
      </c>
      <c r="AN551" s="172">
        <f t="shared" ca="1" si="1563"/>
        <v>0</v>
      </c>
      <c r="AO551" s="172">
        <f t="shared" ca="1" si="1563"/>
        <v>0</v>
      </c>
      <c r="AP551" s="172">
        <f t="shared" ca="1" si="1563"/>
        <v>0</v>
      </c>
      <c r="AQ551" s="172">
        <f t="shared" ca="1" si="1563"/>
        <v>0</v>
      </c>
      <c r="AR551" s="172">
        <f t="shared" ca="1" si="1563"/>
        <v>0</v>
      </c>
      <c r="AS551" s="172">
        <f t="shared" ca="1" si="1563"/>
        <v>0</v>
      </c>
      <c r="AT551" s="172">
        <f t="shared" ca="1" si="1563"/>
        <v>0</v>
      </c>
      <c r="AU551" s="172">
        <f t="shared" ca="1" si="1563"/>
        <v>0</v>
      </c>
      <c r="AV551" s="172">
        <f t="shared" ca="1" si="1563"/>
        <v>0</v>
      </c>
      <c r="AW551" s="172">
        <f t="shared" ca="1" si="1563"/>
        <v>0</v>
      </c>
      <c r="AX551" s="172">
        <f t="shared" ca="1" si="1563"/>
        <v>0</v>
      </c>
      <c r="AY551" s="172">
        <f t="shared" ca="1" si="1563"/>
        <v>0</v>
      </c>
      <c r="AZ551" s="172">
        <f t="shared" ca="1" si="1563"/>
        <v>0</v>
      </c>
      <c r="BA551" s="172">
        <f t="shared" ca="1" si="1563"/>
        <v>0</v>
      </c>
      <c r="BB551" s="172">
        <f t="shared" ca="1" si="1563"/>
        <v>0</v>
      </c>
      <c r="BC551" s="172">
        <f t="shared" ca="1" si="1563"/>
        <v>0</v>
      </c>
      <c r="BD551" s="172">
        <f t="shared" ca="1" si="1563"/>
        <v>0</v>
      </c>
      <c r="BE551" s="172">
        <f t="shared" ca="1" si="1563"/>
        <v>0</v>
      </c>
      <c r="BF551" s="172">
        <f t="shared" ca="1" si="1563"/>
        <v>0</v>
      </c>
      <c r="BG551" s="172">
        <f t="shared" ref="BG551:CL551" ca="1" si="1564">SUM(BG546:BG550)</f>
        <v>0</v>
      </c>
      <c r="BH551" s="172">
        <f t="shared" ca="1" si="1564"/>
        <v>0</v>
      </c>
      <c r="BI551" s="172">
        <f t="shared" ca="1" si="1564"/>
        <v>0</v>
      </c>
      <c r="BJ551" s="172">
        <f t="shared" ca="1" si="1564"/>
        <v>0</v>
      </c>
      <c r="BK551" s="172">
        <f t="shared" ca="1" si="1564"/>
        <v>0</v>
      </c>
      <c r="BL551" s="172">
        <f t="shared" ca="1" si="1564"/>
        <v>0</v>
      </c>
      <c r="BM551" s="172">
        <f t="shared" ca="1" si="1564"/>
        <v>0</v>
      </c>
      <c r="BN551" s="172">
        <f t="shared" ca="1" si="1564"/>
        <v>0</v>
      </c>
      <c r="BO551" s="172">
        <f t="shared" ca="1" si="1564"/>
        <v>0</v>
      </c>
      <c r="BP551" s="172">
        <f t="shared" ca="1" si="1564"/>
        <v>0</v>
      </c>
      <c r="BQ551" s="172">
        <f t="shared" ca="1" si="1564"/>
        <v>0</v>
      </c>
      <c r="BR551" s="172">
        <f t="shared" ca="1" si="1564"/>
        <v>0</v>
      </c>
      <c r="BS551" s="172">
        <f t="shared" ca="1" si="1564"/>
        <v>0</v>
      </c>
      <c r="BT551" s="172">
        <f t="shared" ca="1" si="1564"/>
        <v>0</v>
      </c>
      <c r="BU551" s="172">
        <f t="shared" ca="1" si="1564"/>
        <v>0</v>
      </c>
      <c r="BV551" s="172">
        <f t="shared" ca="1" si="1564"/>
        <v>0</v>
      </c>
      <c r="BW551" s="172">
        <f t="shared" ca="1" si="1564"/>
        <v>0</v>
      </c>
      <c r="BX551" s="172">
        <f t="shared" ca="1" si="1564"/>
        <v>0</v>
      </c>
      <c r="BY551" s="172">
        <f t="shared" ca="1" si="1564"/>
        <v>0</v>
      </c>
      <c r="BZ551" s="172">
        <f t="shared" ca="1" si="1564"/>
        <v>0</v>
      </c>
      <c r="CA551" s="172">
        <f t="shared" ca="1" si="1564"/>
        <v>0</v>
      </c>
      <c r="CB551" s="172">
        <f t="shared" ca="1" si="1564"/>
        <v>0</v>
      </c>
      <c r="CC551" s="172">
        <f t="shared" ca="1" si="1564"/>
        <v>0</v>
      </c>
      <c r="CD551" s="172">
        <f t="shared" ca="1" si="1564"/>
        <v>0</v>
      </c>
      <c r="CE551" s="172">
        <f t="shared" ca="1" si="1564"/>
        <v>0</v>
      </c>
      <c r="CF551" s="172">
        <f t="shared" ca="1" si="1564"/>
        <v>0</v>
      </c>
      <c r="CG551" s="172">
        <f t="shared" ca="1" si="1564"/>
        <v>0</v>
      </c>
      <c r="CH551" s="172">
        <f t="shared" ca="1" si="1564"/>
        <v>0</v>
      </c>
      <c r="CI551" s="172">
        <f t="shared" ca="1" si="1564"/>
        <v>0</v>
      </c>
      <c r="CJ551" s="172">
        <f t="shared" ca="1" si="1564"/>
        <v>0</v>
      </c>
      <c r="CK551" s="172">
        <f t="shared" ca="1" si="1564"/>
        <v>0</v>
      </c>
      <c r="CL551" s="172">
        <f t="shared" ca="1" si="1564"/>
        <v>0</v>
      </c>
      <c r="CM551" s="172">
        <f t="shared" ref="CM551:DP551" ca="1" si="1565">SUM(CM546:CM550)</f>
        <v>0</v>
      </c>
      <c r="CN551" s="172">
        <f t="shared" ca="1" si="1565"/>
        <v>0</v>
      </c>
      <c r="CO551" s="172">
        <f t="shared" si="1565"/>
        <v>0</v>
      </c>
      <c r="CP551" s="172">
        <f t="shared" si="1565"/>
        <v>0</v>
      </c>
      <c r="CQ551" s="172">
        <f t="shared" si="1565"/>
        <v>0</v>
      </c>
      <c r="CR551" s="172">
        <f t="shared" si="1565"/>
        <v>0</v>
      </c>
      <c r="CS551" s="172">
        <f t="shared" si="1565"/>
        <v>0</v>
      </c>
      <c r="CT551" s="172">
        <f t="shared" si="1565"/>
        <v>0</v>
      </c>
      <c r="CU551" s="172">
        <f t="shared" si="1565"/>
        <v>0</v>
      </c>
      <c r="CV551" s="172">
        <f t="shared" si="1565"/>
        <v>0</v>
      </c>
      <c r="CW551" s="172">
        <f t="shared" si="1565"/>
        <v>0</v>
      </c>
      <c r="CX551" s="172">
        <f t="shared" si="1565"/>
        <v>0</v>
      </c>
      <c r="CY551" s="172">
        <f t="shared" si="1565"/>
        <v>0</v>
      </c>
      <c r="CZ551" s="172">
        <f t="shared" si="1565"/>
        <v>0</v>
      </c>
      <c r="DA551" s="172">
        <f t="shared" si="1565"/>
        <v>0</v>
      </c>
      <c r="DB551" s="172">
        <f t="shared" si="1565"/>
        <v>0</v>
      </c>
      <c r="DC551" s="172">
        <f t="shared" si="1565"/>
        <v>0</v>
      </c>
      <c r="DD551" s="172">
        <f t="shared" si="1565"/>
        <v>0</v>
      </c>
      <c r="DE551" s="172">
        <f t="shared" si="1565"/>
        <v>0</v>
      </c>
      <c r="DF551" s="172">
        <f t="shared" si="1565"/>
        <v>0</v>
      </c>
      <c r="DG551" s="172">
        <f t="shared" si="1565"/>
        <v>0</v>
      </c>
      <c r="DH551" s="172">
        <f t="shared" si="1565"/>
        <v>0</v>
      </c>
      <c r="DI551" s="172">
        <f t="shared" si="1565"/>
        <v>0</v>
      </c>
      <c r="DJ551" s="172">
        <f t="shared" si="1565"/>
        <v>0</v>
      </c>
      <c r="DK551" s="172">
        <f t="shared" si="1565"/>
        <v>0</v>
      </c>
      <c r="DL551" s="172">
        <f t="shared" si="1565"/>
        <v>0</v>
      </c>
      <c r="DM551" s="172">
        <f t="shared" si="1565"/>
        <v>0</v>
      </c>
      <c r="DN551" s="172">
        <f t="shared" si="1565"/>
        <v>0</v>
      </c>
      <c r="DO551" s="172">
        <f t="shared" si="1565"/>
        <v>0</v>
      </c>
      <c r="DP551" s="172">
        <f t="shared" si="1565"/>
        <v>0</v>
      </c>
    </row>
    <row r="552" spans="1:120" hidden="1"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24"/>
      <c r="DC552" s="24"/>
      <c r="DD552" s="24"/>
      <c r="DE552" s="24"/>
      <c r="DF552" s="24"/>
      <c r="DG552" s="24"/>
      <c r="DH552" s="24"/>
      <c r="DI552" s="24"/>
      <c r="DJ552" s="24"/>
      <c r="DK552" s="24"/>
      <c r="DL552" s="24"/>
      <c r="DM552" s="24"/>
      <c r="DN552" s="24"/>
      <c r="DO552" s="24"/>
      <c r="DP552" s="24"/>
    </row>
    <row r="553" spans="1:120" hidden="1" outlineLevel="1">
      <c r="A553" s="640">
        <v>1110053030</v>
      </c>
      <c r="B553" s="573" t="s">
        <v>78</v>
      </c>
      <c r="C553" s="641" t="s">
        <v>64</v>
      </c>
      <c r="D553" s="641"/>
      <c r="E553" s="642"/>
      <c r="F553" s="643"/>
      <c r="G553" s="1262"/>
      <c r="H553" s="644"/>
      <c r="I553" s="645"/>
      <c r="J553" s="1483">
        <v>1</v>
      </c>
      <c r="K553" s="1484">
        <v>1</v>
      </c>
      <c r="L553" s="646"/>
      <c r="M553" s="1428">
        <f t="shared" ref="M553:M554" si="1566">+L553*J553</f>
        <v>0</v>
      </c>
      <c r="N553" s="647"/>
      <c r="O553" s="648">
        <f t="shared" ref="O553:O554" si="1567">+L553*N553</f>
        <v>0</v>
      </c>
      <c r="P553" s="649"/>
      <c r="Q553" s="649"/>
      <c r="R553" s="650"/>
      <c r="S553" s="650"/>
      <c r="T553" s="651">
        <f t="shared" ref="T553:T554" si="1568">+P553*S553</f>
        <v>0</v>
      </c>
      <c r="U553" s="652">
        <f t="shared" ref="U553:U554" si="1569">+L553+P553+F553</f>
        <v>0</v>
      </c>
      <c r="V553" s="648">
        <f t="shared" ref="V553:V554" si="1570">+P553*R553+L553*N553+F553*H553</f>
        <v>0</v>
      </c>
      <c r="W553" s="653">
        <f t="shared" ref="W553:W554" si="1571">(IF(R553&gt;S553,(-P553*R553)-(-P553*S553),0))</f>
        <v>0</v>
      </c>
      <c r="X553" s="654">
        <f t="shared" ref="X553:X554" si="1572">(IF(R553&lt;S553,(-P553*R553)-(-P553*S553),0))</f>
        <v>0</v>
      </c>
      <c r="Y553" s="655"/>
      <c r="AA553" s="577"/>
      <c r="AB553" s="577"/>
      <c r="AC553" s="577"/>
      <c r="AD553" s="577"/>
      <c r="AE553" s="577"/>
      <c r="AF553" s="577"/>
      <c r="AG553" s="577"/>
      <c r="AH553" s="577"/>
      <c r="AI553" s="577"/>
      <c r="AJ553" s="577"/>
      <c r="AK553" s="577"/>
      <c r="AL553" s="577"/>
      <c r="AM553" s="577"/>
      <c r="AN553" s="577"/>
      <c r="AO553" s="577"/>
      <c r="AP553" s="577"/>
      <c r="AQ553" s="577"/>
      <c r="AR553" s="577"/>
      <c r="AS553" s="577"/>
      <c r="AT553" s="577"/>
      <c r="AU553" s="577"/>
      <c r="AV553" s="577"/>
      <c r="AW553" s="577"/>
      <c r="AX553" s="577"/>
      <c r="AY553" s="577"/>
      <c r="AZ553" s="577"/>
      <c r="BA553" s="577"/>
      <c r="BB553" s="577"/>
      <c r="BC553" s="577"/>
      <c r="BD553" s="577"/>
      <c r="BE553" s="577"/>
      <c r="BF553" s="577"/>
      <c r="BG553" s="577"/>
      <c r="BH553" s="577"/>
      <c r="BI553" s="577"/>
      <c r="BJ553" s="577"/>
      <c r="BK553" s="577"/>
      <c r="BL553" s="577"/>
      <c r="BM553" s="577"/>
      <c r="BN553" s="577"/>
      <c r="BO553" s="577"/>
      <c r="BP553" s="577"/>
      <c r="BQ553" s="577"/>
      <c r="BR553" s="577"/>
      <c r="BS553" s="577"/>
      <c r="BT553" s="577"/>
      <c r="BU553" s="577"/>
      <c r="BV553" s="577"/>
      <c r="BW553" s="577"/>
      <c r="BX553" s="577"/>
      <c r="BY553" s="577"/>
      <c r="BZ553" s="577"/>
      <c r="CA553" s="577"/>
      <c r="CB553" s="577"/>
      <c r="CC553" s="577"/>
      <c r="CD553" s="577"/>
      <c r="CE553" s="577"/>
      <c r="CF553" s="577"/>
      <c r="CG553" s="577"/>
      <c r="CH553" s="577"/>
      <c r="CI553" s="577"/>
      <c r="CJ553" s="577"/>
      <c r="CK553" s="577"/>
      <c r="CL553" s="577"/>
      <c r="CM553" s="577"/>
      <c r="CN553" s="577"/>
      <c r="CO553" s="577"/>
      <c r="CP553" s="577">
        <f>+M553</f>
        <v>0</v>
      </c>
      <c r="CQ553" s="577"/>
      <c r="CR553" s="577"/>
      <c r="CS553" s="577"/>
      <c r="CT553" s="577"/>
      <c r="CU553" s="577"/>
      <c r="CV553" s="577"/>
      <c r="CW553" s="577"/>
      <c r="CX553" s="577"/>
      <c r="CY553" s="577"/>
      <c r="CZ553" s="577"/>
      <c r="DA553" s="577"/>
      <c r="DB553" s="577"/>
      <c r="DC553" s="577"/>
      <c r="DD553" s="577"/>
      <c r="DE553" s="577"/>
      <c r="DF553" s="577"/>
      <c r="DG553" s="577"/>
      <c r="DH553" s="577"/>
      <c r="DI553" s="577"/>
      <c r="DJ553" s="577"/>
      <c r="DK553" s="577"/>
      <c r="DL553" s="577"/>
      <c r="DM553" s="577"/>
      <c r="DN553" s="577"/>
      <c r="DO553" s="577"/>
      <c r="DP553" s="577"/>
    </row>
    <row r="554" spans="1:120" hidden="1" outlineLevel="1">
      <c r="A554" s="55">
        <v>1110053030</v>
      </c>
      <c r="B554" s="509"/>
      <c r="C554" s="510" t="s">
        <v>64</v>
      </c>
      <c r="D554" s="510"/>
      <c r="E554" s="56"/>
      <c r="F554" s="416"/>
      <c r="G554" s="1251"/>
      <c r="H554" s="511"/>
      <c r="I554" s="512"/>
      <c r="J554" s="1425">
        <v>1</v>
      </c>
      <c r="K554" s="1426">
        <v>1</v>
      </c>
      <c r="L554" s="417"/>
      <c r="M554" s="1336">
        <f t="shared" si="1566"/>
        <v>0</v>
      </c>
      <c r="N554" s="504"/>
      <c r="O554" s="513">
        <f t="shared" si="1567"/>
        <v>0</v>
      </c>
      <c r="P554" s="514"/>
      <c r="Q554" s="514"/>
      <c r="R554" s="515"/>
      <c r="S554" s="515"/>
      <c r="T554" s="562">
        <f t="shared" si="1568"/>
        <v>0</v>
      </c>
      <c r="U554" s="638">
        <f t="shared" si="1569"/>
        <v>0</v>
      </c>
      <c r="V554" s="639">
        <f t="shared" si="1570"/>
        <v>0</v>
      </c>
      <c r="W554" s="976">
        <f t="shared" si="1571"/>
        <v>0</v>
      </c>
      <c r="X554" s="975">
        <f t="shared" si="1572"/>
        <v>0</v>
      </c>
      <c r="Y554" s="519"/>
      <c r="AA554" s="580"/>
      <c r="AB554" s="580"/>
      <c r="AC554" s="580"/>
      <c r="AD554" s="580"/>
      <c r="AE554" s="580"/>
      <c r="AF554" s="580"/>
      <c r="AG554" s="580"/>
      <c r="AH554" s="580"/>
      <c r="AI554" s="580"/>
      <c r="AJ554" s="580"/>
      <c r="AK554" s="580"/>
      <c r="AL554" s="1513"/>
      <c r="AM554" s="580"/>
      <c r="AN554" s="580"/>
      <c r="AO554" s="580"/>
      <c r="AP554" s="580"/>
      <c r="AQ554" s="580"/>
      <c r="AR554" s="580"/>
      <c r="AS554" s="580"/>
      <c r="AT554" s="580"/>
      <c r="AU554" s="580"/>
      <c r="AV554" s="580"/>
      <c r="AW554" s="580"/>
      <c r="AX554" s="580"/>
      <c r="AY554" s="580"/>
      <c r="AZ554" s="580"/>
      <c r="BA554" s="580"/>
      <c r="BB554" s="580"/>
      <c r="BC554" s="580"/>
      <c r="BD554" s="580"/>
      <c r="BE554" s="580"/>
      <c r="BF554" s="580"/>
      <c r="BG554" s="580"/>
      <c r="BH554" s="580"/>
      <c r="BI554" s="580"/>
      <c r="BJ554" s="580"/>
      <c r="BK554" s="580"/>
      <c r="BL554" s="580"/>
      <c r="BM554" s="580"/>
      <c r="BN554" s="580"/>
      <c r="BO554" s="580"/>
      <c r="BP554" s="580"/>
      <c r="BQ554" s="580"/>
      <c r="BR554" s="580"/>
      <c r="BS554" s="580"/>
      <c r="BT554" s="580"/>
      <c r="BU554" s="580"/>
      <c r="BV554" s="580"/>
      <c r="BW554" s="580"/>
      <c r="BX554" s="580"/>
      <c r="BY554" s="580"/>
      <c r="BZ554" s="580"/>
      <c r="CA554" s="580"/>
      <c r="CB554" s="580"/>
      <c r="CC554" s="580"/>
      <c r="CD554" s="580"/>
      <c r="CE554" s="580"/>
      <c r="CF554" s="580"/>
      <c r="CG554" s="580"/>
      <c r="CH554" s="580"/>
      <c r="CI554" s="580"/>
      <c r="CJ554" s="580"/>
      <c r="CK554" s="580"/>
      <c r="CL554" s="580"/>
      <c r="CM554" s="580"/>
      <c r="CN554" s="580"/>
      <c r="CO554" s="580"/>
      <c r="CP554" s="580"/>
      <c r="CQ554" s="580">
        <f>+M554</f>
        <v>0</v>
      </c>
      <c r="CR554" s="580"/>
      <c r="CS554" s="580"/>
      <c r="CT554" s="580"/>
      <c r="CU554" s="580"/>
      <c r="CV554" s="580"/>
      <c r="CW554" s="580"/>
      <c r="CX554" s="580"/>
      <c r="CY554" s="580"/>
      <c r="CZ554" s="580"/>
      <c r="DA554" s="580"/>
      <c r="DB554" s="580"/>
      <c r="DC554" s="580"/>
      <c r="DD554" s="580"/>
      <c r="DE554" s="580"/>
      <c r="DF554" s="580"/>
      <c r="DG554" s="580"/>
      <c r="DH554" s="580"/>
      <c r="DI554" s="580"/>
      <c r="DJ554" s="580"/>
      <c r="DK554" s="580"/>
      <c r="DL554" s="580"/>
      <c r="DM554" s="580"/>
      <c r="DN554" s="580"/>
      <c r="DO554" s="580"/>
      <c r="DP554" s="580"/>
    </row>
    <row r="555" spans="1:120" hidden="1" collapsed="1">
      <c r="A555" s="1168"/>
      <c r="B555" s="1169"/>
      <c r="C555" s="1170"/>
      <c r="D555" s="1170"/>
      <c r="E555" s="1171"/>
      <c r="F555" s="1172"/>
      <c r="G555" s="1265"/>
      <c r="H555" s="1173"/>
      <c r="I555" s="1174"/>
      <c r="J555" s="1425">
        <v>1</v>
      </c>
      <c r="K555" s="1426">
        <v>1</v>
      </c>
      <c r="L555" s="1175"/>
      <c r="M555" s="1719"/>
      <c r="N555" s="1176"/>
      <c r="O555" s="1177"/>
      <c r="P555" s="1178"/>
      <c r="Q555" s="1178"/>
      <c r="R555" s="1179"/>
      <c r="S555" s="515"/>
      <c r="T555" s="1181"/>
      <c r="U555" s="1182"/>
      <c r="V555" s="1183"/>
      <c r="W555" s="852"/>
      <c r="X555" s="853"/>
      <c r="Y555" s="854"/>
      <c r="AA555" s="1184"/>
      <c r="AB555" s="1184"/>
      <c r="AC555" s="1184"/>
      <c r="AD555" s="1184"/>
      <c r="AE555" s="1184"/>
      <c r="AF555" s="1184"/>
      <c r="AG555" s="1184"/>
      <c r="AH555" s="1184"/>
      <c r="AI555" s="1184"/>
      <c r="AJ555" s="1184"/>
      <c r="AK555" s="1184"/>
      <c r="AL555" s="1574"/>
      <c r="AM555" s="1184"/>
      <c r="AN555" s="1184"/>
      <c r="AO555" s="1184"/>
      <c r="AP555" s="1184"/>
      <c r="AQ555" s="1184"/>
      <c r="AR555" s="1184"/>
      <c r="AS555" s="1184"/>
      <c r="AT555" s="1184"/>
      <c r="AU555" s="1184"/>
      <c r="AV555" s="1184"/>
      <c r="AW555" s="1184"/>
      <c r="AX555" s="1184"/>
      <c r="AY555" s="1184"/>
      <c r="AZ555" s="1184"/>
      <c r="BA555" s="1184"/>
      <c r="BB555" s="1184"/>
      <c r="BC555" s="1184"/>
      <c r="BD555" s="1184"/>
      <c r="BE555" s="1184"/>
      <c r="BF555" s="1184"/>
      <c r="BG555" s="1184"/>
      <c r="BH555" s="1184"/>
      <c r="BI555" s="1184"/>
      <c r="BJ555" s="1184"/>
      <c r="BK555" s="1184"/>
      <c r="BL555" s="1184"/>
      <c r="BM555" s="1184"/>
      <c r="BN555" s="1184"/>
      <c r="BO555" s="1184"/>
      <c r="BP555" s="1184"/>
      <c r="BQ555" s="1184"/>
      <c r="BR555" s="1184"/>
      <c r="BS555" s="1184"/>
      <c r="BT555" s="1184"/>
      <c r="BU555" s="1184"/>
      <c r="BV555" s="1184"/>
      <c r="BW555" s="1184"/>
      <c r="BX555" s="1184"/>
      <c r="BY555" s="1184"/>
      <c r="BZ555" s="1184"/>
      <c r="CA555" s="1184"/>
      <c r="CB555" s="1184"/>
      <c r="CC555" s="1184"/>
      <c r="CD555" s="1184"/>
      <c r="CE555" s="1184"/>
      <c r="CF555" s="1184"/>
      <c r="CG555" s="1184"/>
      <c r="CH555" s="1184"/>
      <c r="CI555" s="1184"/>
      <c r="CJ555" s="1184"/>
      <c r="CK555" s="1184"/>
      <c r="CL555" s="1184"/>
      <c r="CM555" s="1184"/>
      <c r="CN555" s="1184"/>
      <c r="CO555" s="1184"/>
      <c r="CP555" s="1184"/>
      <c r="CQ555" s="1184"/>
      <c r="CR555" s="1184"/>
      <c r="CS555" s="1184"/>
      <c r="CT555" s="1184"/>
      <c r="CU555" s="1184"/>
      <c r="CV555" s="1184"/>
      <c r="CW555" s="1184"/>
      <c r="CX555" s="1184"/>
      <c r="CY555" s="1184"/>
      <c r="CZ555" s="1184"/>
      <c r="DA555" s="1184"/>
      <c r="DB555" s="1184"/>
      <c r="DC555" s="1184"/>
      <c r="DD555" s="1184"/>
      <c r="DE555" s="1184"/>
      <c r="DF555" s="1184"/>
      <c r="DG555" s="1184"/>
      <c r="DH555" s="1184"/>
      <c r="DI555" s="1184"/>
      <c r="DJ555" s="1184"/>
      <c r="DK555" s="1184"/>
      <c r="DL555" s="1184"/>
      <c r="DM555" s="1184"/>
      <c r="DN555" s="1184"/>
      <c r="DO555" s="1184"/>
      <c r="DP555" s="1184"/>
    </row>
    <row r="556" spans="1:120" ht="16.5" hidden="1" thickBot="1">
      <c r="A556" s="62" t="s">
        <v>237</v>
      </c>
      <c r="B556" s="63"/>
      <c r="C556" s="64"/>
      <c r="D556" s="64"/>
      <c r="E556" s="65"/>
      <c r="F556" s="66">
        <f>SUM(F553:F554)</f>
        <v>0</v>
      </c>
      <c r="G556" s="1253"/>
      <c r="H556" s="67"/>
      <c r="I556" s="68">
        <f>SUM(I553:I554)</f>
        <v>0</v>
      </c>
      <c r="J556" s="1376"/>
      <c r="K556" s="76"/>
      <c r="L556" s="69">
        <f>SUM(L553:L554)</f>
        <v>0</v>
      </c>
      <c r="M556" s="168"/>
      <c r="N556" s="70"/>
      <c r="O556" s="71">
        <f>SUM(O553:O554)</f>
        <v>0</v>
      </c>
      <c r="P556" s="72">
        <f>SUM(P553:P554)</f>
        <v>0</v>
      </c>
      <c r="Q556" s="1339"/>
      <c r="R556" s="73"/>
      <c r="S556" s="73"/>
      <c r="T556" s="96">
        <f>SUM(T553:T554)</f>
        <v>0</v>
      </c>
      <c r="U556" s="66">
        <f>SUM(U553:U554)</f>
        <v>0</v>
      </c>
      <c r="V556" s="76">
        <f>SUM(V553:V554)</f>
        <v>0</v>
      </c>
      <c r="W556" s="97">
        <f>SUM(W553:W554)</f>
        <v>0</v>
      </c>
      <c r="X556" s="98">
        <f>SUM(X553:X554)</f>
        <v>0</v>
      </c>
      <c r="Y556" s="43"/>
      <c r="AA556" s="172">
        <f t="shared" ref="AA556:BF556" ca="1" si="1573">SUM(AA550:AA554)</f>
        <v>0</v>
      </c>
      <c r="AB556" s="172">
        <f t="shared" ca="1" si="1573"/>
        <v>0</v>
      </c>
      <c r="AC556" s="172">
        <f t="shared" ca="1" si="1573"/>
        <v>0</v>
      </c>
      <c r="AD556" s="172">
        <f t="shared" ca="1" si="1573"/>
        <v>0</v>
      </c>
      <c r="AE556" s="172">
        <f t="shared" ca="1" si="1573"/>
        <v>0</v>
      </c>
      <c r="AF556" s="172">
        <f t="shared" ca="1" si="1573"/>
        <v>0</v>
      </c>
      <c r="AG556" s="172">
        <f t="shared" ca="1" si="1573"/>
        <v>0</v>
      </c>
      <c r="AH556" s="172">
        <f t="shared" ca="1" si="1573"/>
        <v>0</v>
      </c>
      <c r="AI556" s="172">
        <f t="shared" ca="1" si="1573"/>
        <v>0</v>
      </c>
      <c r="AJ556" s="172">
        <f t="shared" ca="1" si="1573"/>
        <v>0</v>
      </c>
      <c r="AK556" s="172">
        <f t="shared" ca="1" si="1573"/>
        <v>0</v>
      </c>
      <c r="AL556" s="172">
        <f t="shared" ca="1" si="1573"/>
        <v>0</v>
      </c>
      <c r="AM556" s="172">
        <f t="shared" ca="1" si="1573"/>
        <v>0</v>
      </c>
      <c r="AN556" s="172">
        <f t="shared" ca="1" si="1573"/>
        <v>0</v>
      </c>
      <c r="AO556" s="172">
        <f t="shared" ca="1" si="1573"/>
        <v>0</v>
      </c>
      <c r="AP556" s="172">
        <f t="shared" ca="1" si="1573"/>
        <v>0</v>
      </c>
      <c r="AQ556" s="172">
        <f t="shared" ca="1" si="1573"/>
        <v>0</v>
      </c>
      <c r="AR556" s="172">
        <f t="shared" ca="1" si="1573"/>
        <v>0</v>
      </c>
      <c r="AS556" s="172">
        <f t="shared" ca="1" si="1573"/>
        <v>0</v>
      </c>
      <c r="AT556" s="172">
        <f t="shared" ca="1" si="1573"/>
        <v>0</v>
      </c>
      <c r="AU556" s="172">
        <f t="shared" ca="1" si="1573"/>
        <v>0</v>
      </c>
      <c r="AV556" s="172">
        <f t="shared" ca="1" si="1573"/>
        <v>0</v>
      </c>
      <c r="AW556" s="172">
        <f t="shared" ca="1" si="1573"/>
        <v>0</v>
      </c>
      <c r="AX556" s="172">
        <f t="shared" ca="1" si="1573"/>
        <v>0</v>
      </c>
      <c r="AY556" s="172">
        <f t="shared" ca="1" si="1573"/>
        <v>0</v>
      </c>
      <c r="AZ556" s="172">
        <f t="shared" ca="1" si="1573"/>
        <v>0</v>
      </c>
      <c r="BA556" s="172">
        <f t="shared" ca="1" si="1573"/>
        <v>0</v>
      </c>
      <c r="BB556" s="172">
        <f t="shared" ca="1" si="1573"/>
        <v>0</v>
      </c>
      <c r="BC556" s="172">
        <f t="shared" ca="1" si="1573"/>
        <v>0</v>
      </c>
      <c r="BD556" s="172">
        <f t="shared" ca="1" si="1573"/>
        <v>0</v>
      </c>
      <c r="BE556" s="172">
        <f t="shared" ca="1" si="1573"/>
        <v>0</v>
      </c>
      <c r="BF556" s="172">
        <f t="shared" ca="1" si="1573"/>
        <v>0</v>
      </c>
      <c r="BG556" s="172">
        <f t="shared" ref="BG556:CL556" ca="1" si="1574">SUM(BG550:BG554)</f>
        <v>0</v>
      </c>
      <c r="BH556" s="172">
        <f t="shared" ca="1" si="1574"/>
        <v>0</v>
      </c>
      <c r="BI556" s="172">
        <f t="shared" ca="1" si="1574"/>
        <v>0</v>
      </c>
      <c r="BJ556" s="172">
        <f t="shared" ca="1" si="1574"/>
        <v>0</v>
      </c>
      <c r="BK556" s="172">
        <f t="shared" ca="1" si="1574"/>
        <v>0</v>
      </c>
      <c r="BL556" s="172">
        <f t="shared" ca="1" si="1574"/>
        <v>0</v>
      </c>
      <c r="BM556" s="172">
        <f t="shared" ca="1" si="1574"/>
        <v>0</v>
      </c>
      <c r="BN556" s="172">
        <f t="shared" ca="1" si="1574"/>
        <v>0</v>
      </c>
      <c r="BO556" s="172">
        <f t="shared" ca="1" si="1574"/>
        <v>0</v>
      </c>
      <c r="BP556" s="172">
        <f t="shared" ca="1" si="1574"/>
        <v>0</v>
      </c>
      <c r="BQ556" s="172">
        <f t="shared" ca="1" si="1574"/>
        <v>0</v>
      </c>
      <c r="BR556" s="172">
        <f t="shared" ca="1" si="1574"/>
        <v>0</v>
      </c>
      <c r="BS556" s="172">
        <f t="shared" ca="1" si="1574"/>
        <v>0</v>
      </c>
      <c r="BT556" s="172">
        <f t="shared" ca="1" si="1574"/>
        <v>0</v>
      </c>
      <c r="BU556" s="172">
        <f t="shared" ca="1" si="1574"/>
        <v>0</v>
      </c>
      <c r="BV556" s="172">
        <f t="shared" ca="1" si="1574"/>
        <v>0</v>
      </c>
      <c r="BW556" s="172">
        <f t="shared" ca="1" si="1574"/>
        <v>0</v>
      </c>
      <c r="BX556" s="172">
        <f t="shared" ca="1" si="1574"/>
        <v>0</v>
      </c>
      <c r="BY556" s="172">
        <f t="shared" ca="1" si="1574"/>
        <v>0</v>
      </c>
      <c r="BZ556" s="172">
        <f t="shared" ca="1" si="1574"/>
        <v>0</v>
      </c>
      <c r="CA556" s="172">
        <f t="shared" ca="1" si="1574"/>
        <v>0</v>
      </c>
      <c r="CB556" s="172">
        <f t="shared" ca="1" si="1574"/>
        <v>0</v>
      </c>
      <c r="CC556" s="172">
        <f t="shared" ca="1" si="1574"/>
        <v>0</v>
      </c>
      <c r="CD556" s="172">
        <f t="shared" ca="1" si="1574"/>
        <v>0</v>
      </c>
      <c r="CE556" s="172">
        <f t="shared" ca="1" si="1574"/>
        <v>0</v>
      </c>
      <c r="CF556" s="172">
        <f t="shared" ca="1" si="1574"/>
        <v>0</v>
      </c>
      <c r="CG556" s="172">
        <f t="shared" ca="1" si="1574"/>
        <v>0</v>
      </c>
      <c r="CH556" s="172">
        <f t="shared" ca="1" si="1574"/>
        <v>0</v>
      </c>
      <c r="CI556" s="172">
        <f t="shared" ca="1" si="1574"/>
        <v>0</v>
      </c>
      <c r="CJ556" s="172">
        <f t="shared" ca="1" si="1574"/>
        <v>0</v>
      </c>
      <c r="CK556" s="172">
        <f t="shared" ca="1" si="1574"/>
        <v>0</v>
      </c>
      <c r="CL556" s="172">
        <f t="shared" ca="1" si="1574"/>
        <v>0</v>
      </c>
      <c r="CM556" s="172">
        <f t="shared" ref="CM556:DP556" ca="1" si="1575">SUM(CM550:CM554)</f>
        <v>0</v>
      </c>
      <c r="CN556" s="172">
        <f t="shared" ca="1" si="1575"/>
        <v>0</v>
      </c>
      <c r="CO556" s="172">
        <f t="shared" si="1575"/>
        <v>0</v>
      </c>
      <c r="CP556" s="172">
        <f t="shared" si="1575"/>
        <v>0</v>
      </c>
      <c r="CQ556" s="172">
        <f t="shared" si="1575"/>
        <v>0</v>
      </c>
      <c r="CR556" s="172">
        <f t="shared" si="1575"/>
        <v>0</v>
      </c>
      <c r="CS556" s="172">
        <f t="shared" si="1575"/>
        <v>0</v>
      </c>
      <c r="CT556" s="172">
        <f t="shared" si="1575"/>
        <v>0</v>
      </c>
      <c r="CU556" s="172">
        <f t="shared" si="1575"/>
        <v>0</v>
      </c>
      <c r="CV556" s="172">
        <f t="shared" si="1575"/>
        <v>0</v>
      </c>
      <c r="CW556" s="172">
        <f t="shared" si="1575"/>
        <v>0</v>
      </c>
      <c r="CX556" s="172">
        <f t="shared" si="1575"/>
        <v>0</v>
      </c>
      <c r="CY556" s="172">
        <f t="shared" si="1575"/>
        <v>0</v>
      </c>
      <c r="CZ556" s="172">
        <f t="shared" si="1575"/>
        <v>0</v>
      </c>
      <c r="DA556" s="172">
        <f t="shared" si="1575"/>
        <v>0</v>
      </c>
      <c r="DB556" s="172">
        <f t="shared" si="1575"/>
        <v>0</v>
      </c>
      <c r="DC556" s="172">
        <f t="shared" si="1575"/>
        <v>0</v>
      </c>
      <c r="DD556" s="172">
        <f t="shared" si="1575"/>
        <v>0</v>
      </c>
      <c r="DE556" s="172">
        <f t="shared" si="1575"/>
        <v>0</v>
      </c>
      <c r="DF556" s="172">
        <f t="shared" si="1575"/>
        <v>0</v>
      </c>
      <c r="DG556" s="172">
        <f t="shared" si="1575"/>
        <v>0</v>
      </c>
      <c r="DH556" s="172">
        <f t="shared" si="1575"/>
        <v>0</v>
      </c>
      <c r="DI556" s="172">
        <f t="shared" si="1575"/>
        <v>0</v>
      </c>
      <c r="DJ556" s="172">
        <f t="shared" si="1575"/>
        <v>0</v>
      </c>
      <c r="DK556" s="172">
        <f t="shared" si="1575"/>
        <v>0</v>
      </c>
      <c r="DL556" s="172">
        <f t="shared" si="1575"/>
        <v>0</v>
      </c>
      <c r="DM556" s="172">
        <f t="shared" si="1575"/>
        <v>0</v>
      </c>
      <c r="DN556" s="172">
        <f t="shared" si="1575"/>
        <v>0</v>
      </c>
      <c r="DO556" s="172">
        <f t="shared" si="1575"/>
        <v>0</v>
      </c>
      <c r="DP556" s="172">
        <f t="shared" si="1575"/>
        <v>0</v>
      </c>
    </row>
    <row r="557" spans="1:120" ht="15.75" thickBot="1"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24"/>
      <c r="DC557" s="24"/>
      <c r="DD557" s="24"/>
      <c r="DE557" s="24"/>
      <c r="DF557" s="24"/>
      <c r="DG557" s="24"/>
      <c r="DH557" s="24"/>
      <c r="DI557" s="24"/>
      <c r="DJ557" s="24"/>
      <c r="DK557" s="24"/>
      <c r="DL557" s="24"/>
      <c r="DM557" s="24"/>
      <c r="DN557" s="24"/>
      <c r="DO557" s="24"/>
      <c r="DP557" s="24"/>
    </row>
    <row r="558" spans="1:120" s="182" customFormat="1" ht="19.5" thickBot="1">
      <c r="A558" s="603" t="s">
        <v>262</v>
      </c>
      <c r="B558" s="668"/>
      <c r="C558" s="669"/>
      <c r="D558" s="669"/>
      <c r="E558" s="670"/>
      <c r="F558" s="671">
        <f>+F495+F489+F501+F507+F556+F551+F546+F541+F536+F531+F525+F520+SUM(F468:F468)</f>
        <v>0</v>
      </c>
      <c r="G558" s="671"/>
      <c r="H558" s="672"/>
      <c r="I558" s="673">
        <f>+I495+I489+I501+I507+I556+I551+I546+I541+I536+I531+I525+I520+SUM(I468:I468)</f>
        <v>0</v>
      </c>
      <c r="J558" s="673"/>
      <c r="K558" s="673"/>
      <c r="L558" s="671">
        <f>+L495+L489+L501+L507+L556+L551+L546+L541+L536+L531+L525+L520+SUM(L468:L468)</f>
        <v>0</v>
      </c>
      <c r="M558" s="671"/>
      <c r="N558" s="672"/>
      <c r="O558" s="673">
        <f>+O495+O489+O501+O507+O556+O551+O546+O541+O536+O531+O525+O520+SUM(O468:O468)</f>
        <v>0</v>
      </c>
      <c r="P558" s="671">
        <f>+P495+P489+P501+P507+P556+P551+P546+P541+P536+P531+P525+P520+SUM(P468:P468)</f>
        <v>0</v>
      </c>
      <c r="Q558" s="671"/>
      <c r="R558" s="672"/>
      <c r="S558" s="672"/>
      <c r="T558" s="673">
        <f>SUM(T468:T468)+T489+T495+T501+T507+T520+T525+T531+T536+T541+T546+T551+T556</f>
        <v>0</v>
      </c>
      <c r="U558" s="671">
        <f>SUM(U468:U468)+U489+U495+U501+U507+U520+U525+U531+U536+U541+U546+U551+U556</f>
        <v>0</v>
      </c>
      <c r="V558" s="673">
        <f>SUM(V468:V468)+V489+V495+V501+V507+V520+V525+V531+V536+V541+V546+V551+V556</f>
        <v>0</v>
      </c>
      <c r="W558" s="673">
        <f>SUM(W468:W468)+W489+W495+W501+W507+W520+W525+W531+W536+W541+W546+W551+W556</f>
        <v>0</v>
      </c>
      <c r="X558" s="673">
        <f>SUM(X468:X468)+X489+X495+X501+X507+X520+X525+X531+X536+X541+X546+X551+X556</f>
        <v>0</v>
      </c>
      <c r="Y558" s="674"/>
      <c r="Z558" s="14"/>
      <c r="AA558" s="675">
        <f t="shared" ref="AA558:AW558" ca="1" si="1576">+AA546</f>
        <v>0</v>
      </c>
      <c r="AB558" s="675">
        <f t="shared" ca="1" si="1576"/>
        <v>0</v>
      </c>
      <c r="AC558" s="675">
        <f t="shared" ca="1" si="1576"/>
        <v>0</v>
      </c>
      <c r="AD558" s="675">
        <f t="shared" ca="1" si="1576"/>
        <v>0</v>
      </c>
      <c r="AE558" s="675">
        <f t="shared" ca="1" si="1576"/>
        <v>0</v>
      </c>
      <c r="AF558" s="675">
        <f t="shared" ca="1" si="1576"/>
        <v>0</v>
      </c>
      <c r="AG558" s="675">
        <f t="shared" ca="1" si="1576"/>
        <v>0</v>
      </c>
      <c r="AH558" s="675">
        <f t="shared" ca="1" si="1576"/>
        <v>0</v>
      </c>
      <c r="AI558" s="675">
        <f t="shared" ca="1" si="1576"/>
        <v>0</v>
      </c>
      <c r="AJ558" s="675">
        <f t="shared" ca="1" si="1576"/>
        <v>0</v>
      </c>
      <c r="AK558" s="675">
        <f t="shared" ca="1" si="1576"/>
        <v>0</v>
      </c>
      <c r="AL558" s="675">
        <f t="shared" ca="1" si="1576"/>
        <v>0</v>
      </c>
      <c r="AM558" s="675">
        <f t="shared" ca="1" si="1576"/>
        <v>0</v>
      </c>
      <c r="AN558" s="675">
        <f t="shared" ca="1" si="1576"/>
        <v>0</v>
      </c>
      <c r="AO558" s="675">
        <f t="shared" ca="1" si="1576"/>
        <v>0</v>
      </c>
      <c r="AP558" s="675">
        <f t="shared" ca="1" si="1576"/>
        <v>0</v>
      </c>
      <c r="AQ558" s="675">
        <f t="shared" ca="1" si="1576"/>
        <v>0</v>
      </c>
      <c r="AR558" s="675">
        <f t="shared" ca="1" si="1576"/>
        <v>0</v>
      </c>
      <c r="AS558" s="675">
        <f t="shared" ca="1" si="1576"/>
        <v>0</v>
      </c>
      <c r="AT558" s="675">
        <f t="shared" ca="1" si="1576"/>
        <v>0</v>
      </c>
      <c r="AU558" s="675">
        <f t="shared" ca="1" si="1576"/>
        <v>0</v>
      </c>
      <c r="AV558" s="675">
        <f t="shared" ca="1" si="1576"/>
        <v>0</v>
      </c>
      <c r="AW558" s="675">
        <f t="shared" ca="1" si="1576"/>
        <v>0</v>
      </c>
      <c r="AX558" s="675">
        <f ca="1">+AX556</f>
        <v>0</v>
      </c>
      <c r="AY558" s="675">
        <f t="shared" ref="AY558:DC558" ca="1" si="1577">+AY556</f>
        <v>0</v>
      </c>
      <c r="AZ558" s="675">
        <f t="shared" ca="1" si="1577"/>
        <v>0</v>
      </c>
      <c r="BA558" s="675">
        <f t="shared" ca="1" si="1577"/>
        <v>0</v>
      </c>
      <c r="BB558" s="675">
        <f t="shared" ca="1" si="1577"/>
        <v>0</v>
      </c>
      <c r="BC558" s="675">
        <f t="shared" ca="1" si="1577"/>
        <v>0</v>
      </c>
      <c r="BD558" s="675">
        <f t="shared" ca="1" si="1577"/>
        <v>0</v>
      </c>
      <c r="BE558" s="675">
        <f t="shared" ca="1" si="1577"/>
        <v>0</v>
      </c>
      <c r="BF558" s="675">
        <f t="shared" ca="1" si="1577"/>
        <v>0</v>
      </c>
      <c r="BG558" s="675">
        <f t="shared" ca="1" si="1577"/>
        <v>0</v>
      </c>
      <c r="BH558" s="675">
        <f t="shared" ca="1" si="1577"/>
        <v>0</v>
      </c>
      <c r="BI558" s="675">
        <f t="shared" ca="1" si="1577"/>
        <v>0</v>
      </c>
      <c r="BJ558" s="675">
        <f t="shared" ca="1" si="1577"/>
        <v>0</v>
      </c>
      <c r="BK558" s="675">
        <f t="shared" ca="1" si="1577"/>
        <v>0</v>
      </c>
      <c r="BL558" s="675">
        <f t="shared" ca="1" si="1577"/>
        <v>0</v>
      </c>
      <c r="BM558" s="675">
        <f t="shared" ca="1" si="1577"/>
        <v>0</v>
      </c>
      <c r="BN558" s="675">
        <f t="shared" ca="1" si="1577"/>
        <v>0</v>
      </c>
      <c r="BO558" s="675">
        <f t="shared" ca="1" si="1577"/>
        <v>0</v>
      </c>
      <c r="BP558" s="675">
        <f t="shared" ca="1" si="1577"/>
        <v>0</v>
      </c>
      <c r="BQ558" s="675">
        <f t="shared" ca="1" si="1577"/>
        <v>0</v>
      </c>
      <c r="BR558" s="675">
        <f t="shared" ca="1" si="1577"/>
        <v>0</v>
      </c>
      <c r="BS558" s="675">
        <f t="shared" ca="1" si="1577"/>
        <v>0</v>
      </c>
      <c r="BT558" s="675">
        <f t="shared" ca="1" si="1577"/>
        <v>0</v>
      </c>
      <c r="BU558" s="675">
        <f t="shared" ca="1" si="1577"/>
        <v>0</v>
      </c>
      <c r="BV558" s="675">
        <f t="shared" ca="1" si="1577"/>
        <v>0</v>
      </c>
      <c r="BW558" s="675">
        <f t="shared" ca="1" si="1577"/>
        <v>0</v>
      </c>
      <c r="BX558" s="675">
        <f t="shared" ca="1" si="1577"/>
        <v>0</v>
      </c>
      <c r="BY558" s="675">
        <f t="shared" ca="1" si="1577"/>
        <v>0</v>
      </c>
      <c r="BZ558" s="675">
        <f t="shared" ca="1" si="1577"/>
        <v>0</v>
      </c>
      <c r="CA558" s="675">
        <f t="shared" ca="1" si="1577"/>
        <v>0</v>
      </c>
      <c r="CB558" s="675">
        <f t="shared" ca="1" si="1577"/>
        <v>0</v>
      </c>
      <c r="CC558" s="675">
        <f t="shared" ca="1" si="1577"/>
        <v>0</v>
      </c>
      <c r="CD558" s="675">
        <f t="shared" ca="1" si="1577"/>
        <v>0</v>
      </c>
      <c r="CE558" s="675">
        <f t="shared" ca="1" si="1577"/>
        <v>0</v>
      </c>
      <c r="CF558" s="675">
        <f t="shared" ca="1" si="1577"/>
        <v>0</v>
      </c>
      <c r="CG558" s="675">
        <f t="shared" ca="1" si="1577"/>
        <v>0</v>
      </c>
      <c r="CH558" s="675">
        <f t="shared" ca="1" si="1577"/>
        <v>0</v>
      </c>
      <c r="CI558" s="675">
        <f t="shared" ca="1" si="1577"/>
        <v>0</v>
      </c>
      <c r="CJ558" s="675">
        <f t="shared" ca="1" si="1577"/>
        <v>0</v>
      </c>
      <c r="CK558" s="675">
        <f t="shared" ca="1" si="1577"/>
        <v>0</v>
      </c>
      <c r="CL558" s="675">
        <f t="shared" ca="1" si="1577"/>
        <v>0</v>
      </c>
      <c r="CM558" s="675">
        <f t="shared" ca="1" si="1577"/>
        <v>0</v>
      </c>
      <c r="CN558" s="675">
        <f t="shared" ca="1" si="1577"/>
        <v>0</v>
      </c>
      <c r="CO558" s="675">
        <f t="shared" si="1577"/>
        <v>0</v>
      </c>
      <c r="CP558" s="675">
        <f t="shared" si="1577"/>
        <v>0</v>
      </c>
      <c r="CQ558" s="675">
        <f t="shared" si="1577"/>
        <v>0</v>
      </c>
      <c r="CR558" s="675">
        <f t="shared" si="1577"/>
        <v>0</v>
      </c>
      <c r="CS558" s="675">
        <f t="shared" si="1577"/>
        <v>0</v>
      </c>
      <c r="CT558" s="675">
        <f t="shared" si="1577"/>
        <v>0</v>
      </c>
      <c r="CU558" s="675">
        <f t="shared" si="1577"/>
        <v>0</v>
      </c>
      <c r="CV558" s="675">
        <f t="shared" si="1577"/>
        <v>0</v>
      </c>
      <c r="CW558" s="675">
        <f t="shared" si="1577"/>
        <v>0</v>
      </c>
      <c r="CX558" s="675">
        <f t="shared" si="1577"/>
        <v>0</v>
      </c>
      <c r="CY558" s="675">
        <f t="shared" si="1577"/>
        <v>0</v>
      </c>
      <c r="CZ558" s="675">
        <f t="shared" si="1577"/>
        <v>0</v>
      </c>
      <c r="DA558" s="675">
        <f t="shared" si="1577"/>
        <v>0</v>
      </c>
      <c r="DB558" s="675">
        <f t="shared" si="1577"/>
        <v>0</v>
      </c>
      <c r="DC558" s="675">
        <f t="shared" si="1577"/>
        <v>0</v>
      </c>
      <c r="DD558" s="675">
        <f t="shared" ref="DD558:DM558" si="1578">+DD556</f>
        <v>0</v>
      </c>
      <c r="DE558" s="675">
        <f t="shared" si="1578"/>
        <v>0</v>
      </c>
      <c r="DF558" s="675">
        <f t="shared" si="1578"/>
        <v>0</v>
      </c>
      <c r="DG558" s="675">
        <f t="shared" si="1578"/>
        <v>0</v>
      </c>
      <c r="DH558" s="675">
        <f t="shared" si="1578"/>
        <v>0</v>
      </c>
      <c r="DI558" s="675">
        <f t="shared" si="1578"/>
        <v>0</v>
      </c>
      <c r="DJ558" s="675">
        <f t="shared" si="1578"/>
        <v>0</v>
      </c>
      <c r="DK558" s="675">
        <f t="shared" si="1578"/>
        <v>0</v>
      </c>
      <c r="DL558" s="675">
        <f t="shared" si="1578"/>
        <v>0</v>
      </c>
      <c r="DM558" s="675">
        <f t="shared" si="1578"/>
        <v>0</v>
      </c>
      <c r="DN558" s="675">
        <f t="shared" ref="DN558:DO558" si="1579">+DN556</f>
        <v>0</v>
      </c>
      <c r="DO558" s="675">
        <f t="shared" si="1579"/>
        <v>0</v>
      </c>
      <c r="DP558" s="675">
        <f t="shared" ref="DP558" si="1580">+DP556</f>
        <v>0</v>
      </c>
    </row>
    <row r="559" spans="1:120" s="4" customFormat="1">
      <c r="C559" s="148"/>
      <c r="D559" s="148"/>
      <c r="E559" s="149"/>
      <c r="F559" s="150"/>
      <c r="G559" s="150"/>
      <c r="H559" s="154"/>
      <c r="I559" s="152"/>
      <c r="J559" s="1385"/>
      <c r="K559" s="1385"/>
      <c r="L559" s="153"/>
      <c r="M559" s="153"/>
      <c r="N559" s="154"/>
      <c r="O559" s="152"/>
      <c r="P559" s="150"/>
      <c r="Q559" s="150"/>
      <c r="R559" s="154"/>
      <c r="S559" s="154"/>
      <c r="T559" s="156"/>
      <c r="U559" s="157">
        <f>0-U558</f>
        <v>0</v>
      </c>
      <c r="V559" s="437">
        <f ca="1">V558-(AI558*AI6+AJ558*AJ6+AQ558*AQ6+AW558*AW6+BE558*BE6+BK558*BK6)</f>
        <v>0</v>
      </c>
      <c r="W559" s="158"/>
      <c r="X559" s="152"/>
      <c r="Y559" s="148"/>
      <c r="Z559" s="14"/>
      <c r="AA559" s="24"/>
      <c r="AB559" s="24"/>
      <c r="AC559" s="24"/>
      <c r="AD559" s="24"/>
      <c r="AE559" s="24"/>
    </row>
    <row r="560" spans="1:120" s="4" customFormat="1" ht="15.75" thickBot="1">
      <c r="C560" s="148"/>
      <c r="D560" s="148"/>
      <c r="E560" s="149"/>
      <c r="F560" s="150"/>
      <c r="G560" s="150"/>
      <c r="H560" s="154"/>
      <c r="I560" s="152"/>
      <c r="J560" s="1385"/>
      <c r="K560" s="1385"/>
      <c r="L560" s="153"/>
      <c r="M560" s="153"/>
      <c r="N560" s="154"/>
      <c r="O560" s="152"/>
      <c r="P560" s="150"/>
      <c r="Q560" s="150"/>
      <c r="R560" s="154"/>
      <c r="S560" s="154"/>
      <c r="T560" s="156"/>
      <c r="U560" s="157"/>
      <c r="V560" s="44"/>
      <c r="W560" s="158"/>
      <c r="X560" s="152"/>
      <c r="Y560" s="148"/>
      <c r="Z560" s="14"/>
      <c r="AA560" s="24"/>
      <c r="AB560" s="24"/>
      <c r="AC560" s="24"/>
      <c r="AD560" s="24"/>
      <c r="AE560" s="24"/>
    </row>
    <row r="561" spans="1:120" s="4" customFormat="1" ht="15.75" thickBot="1">
      <c r="C561" s="148"/>
      <c r="D561" s="148"/>
      <c r="E561" s="149"/>
      <c r="F561" s="10"/>
      <c r="G561" s="10"/>
      <c r="H561" s="185"/>
      <c r="I561" s="9"/>
      <c r="J561" s="1385"/>
      <c r="K561" s="1385"/>
      <c r="L561" s="186"/>
      <c r="M561" s="186"/>
      <c r="N561" s="187"/>
      <c r="O561" s="9"/>
      <c r="P561" s="10"/>
      <c r="Q561" s="10"/>
      <c r="R561" s="187"/>
      <c r="S561" s="187"/>
      <c r="T561" s="156"/>
      <c r="U561" s="157"/>
      <c r="V561" s="157"/>
      <c r="W561" s="188"/>
      <c r="X561" s="9"/>
      <c r="Y561" s="148"/>
      <c r="Z561" s="14"/>
      <c r="AA561" s="497">
        <f>AA5</f>
        <v>44918</v>
      </c>
      <c r="AB561" s="498">
        <f t="shared" ref="AB561:BG561" si="1581">+AB5</f>
        <v>44922</v>
      </c>
      <c r="AC561" s="2334">
        <f t="shared" si="1581"/>
        <v>44866</v>
      </c>
      <c r="AD561" s="2334">
        <f t="shared" si="1581"/>
        <v>44896</v>
      </c>
      <c r="AE561" s="498">
        <f t="shared" si="1581"/>
        <v>44802</v>
      </c>
      <c r="AF561" s="683">
        <f t="shared" si="1581"/>
        <v>44927</v>
      </c>
      <c r="AG561" s="683">
        <f t="shared" si="1581"/>
        <v>44929</v>
      </c>
      <c r="AH561" s="683">
        <f t="shared" si="1581"/>
        <v>44931</v>
      </c>
      <c r="AI561" s="683">
        <f t="shared" si="1581"/>
        <v>44938</v>
      </c>
      <c r="AJ561" s="683">
        <f t="shared" si="1581"/>
        <v>44943</v>
      </c>
      <c r="AK561" s="683">
        <f t="shared" si="1581"/>
        <v>44953</v>
      </c>
      <c r="AL561" s="683">
        <f t="shared" si="1581"/>
        <v>44956</v>
      </c>
      <c r="AM561" s="683">
        <f t="shared" si="1581"/>
        <v>44957</v>
      </c>
      <c r="AN561" s="683">
        <f t="shared" si="1581"/>
        <v>44958</v>
      </c>
      <c r="AO561" s="683">
        <f t="shared" si="1581"/>
        <v>44981</v>
      </c>
      <c r="AP561" s="683">
        <f t="shared" si="1581"/>
        <v>44984</v>
      </c>
      <c r="AQ561" s="683">
        <f t="shared" si="1581"/>
        <v>44985</v>
      </c>
      <c r="AR561" s="683">
        <f t="shared" si="1581"/>
        <v>44986</v>
      </c>
      <c r="AS561" s="683">
        <f t="shared" si="1581"/>
        <v>44987</v>
      </c>
      <c r="AT561" s="683">
        <f t="shared" si="1581"/>
        <v>44991</v>
      </c>
      <c r="AU561" s="683">
        <f t="shared" si="1581"/>
        <v>44993</v>
      </c>
      <c r="AV561" s="683">
        <f t="shared" si="1581"/>
        <v>45009</v>
      </c>
      <c r="AW561" s="683">
        <f t="shared" si="1581"/>
        <v>45014</v>
      </c>
      <c r="AX561" s="683">
        <f t="shared" si="1581"/>
        <v>45016</v>
      </c>
      <c r="AY561" s="683">
        <f t="shared" si="1581"/>
        <v>45017</v>
      </c>
      <c r="AZ561" s="683">
        <f t="shared" si="1581"/>
        <v>45019</v>
      </c>
      <c r="BA561" s="683">
        <f t="shared" si="1581"/>
        <v>45020</v>
      </c>
      <c r="BB561" s="683">
        <f t="shared" si="1581"/>
        <v>45042</v>
      </c>
      <c r="BC561" s="683">
        <f t="shared" si="1581"/>
        <v>45043</v>
      </c>
      <c r="BD561" s="683">
        <f t="shared" si="1581"/>
        <v>45046</v>
      </c>
      <c r="BE561" s="683">
        <f t="shared" si="1581"/>
        <v>0</v>
      </c>
      <c r="BF561" s="683">
        <f t="shared" si="1581"/>
        <v>0</v>
      </c>
      <c r="BG561" s="683">
        <f t="shared" si="1581"/>
        <v>0</v>
      </c>
      <c r="BH561" s="683">
        <f t="shared" ref="BH561:CM561" si="1582">+BH5</f>
        <v>0</v>
      </c>
      <c r="BI561" s="683">
        <f t="shared" si="1582"/>
        <v>0</v>
      </c>
      <c r="BJ561" s="683">
        <f t="shared" si="1582"/>
        <v>0</v>
      </c>
      <c r="BK561" s="683">
        <f t="shared" si="1582"/>
        <v>0</v>
      </c>
      <c r="BL561" s="683">
        <f t="shared" si="1582"/>
        <v>0</v>
      </c>
      <c r="BM561" s="683">
        <f t="shared" si="1582"/>
        <v>0</v>
      </c>
      <c r="BN561" s="683">
        <f t="shared" si="1582"/>
        <v>0</v>
      </c>
      <c r="BO561" s="683">
        <f t="shared" si="1582"/>
        <v>0</v>
      </c>
      <c r="BP561" s="683">
        <f t="shared" si="1582"/>
        <v>0</v>
      </c>
      <c r="BQ561" s="683">
        <f t="shared" si="1582"/>
        <v>0</v>
      </c>
      <c r="BR561" s="683">
        <f t="shared" si="1582"/>
        <v>0</v>
      </c>
      <c r="BS561" s="683">
        <f t="shared" si="1582"/>
        <v>0</v>
      </c>
      <c r="BT561" s="683">
        <f t="shared" si="1582"/>
        <v>0</v>
      </c>
      <c r="BU561" s="683">
        <f t="shared" si="1582"/>
        <v>0</v>
      </c>
      <c r="BV561" s="683">
        <f t="shared" si="1582"/>
        <v>0</v>
      </c>
      <c r="BW561" s="683">
        <f t="shared" si="1582"/>
        <v>0</v>
      </c>
      <c r="BX561" s="683">
        <f t="shared" si="1582"/>
        <v>0</v>
      </c>
      <c r="BY561" s="683">
        <f t="shared" si="1582"/>
        <v>0</v>
      </c>
      <c r="BZ561" s="683">
        <f t="shared" si="1582"/>
        <v>0</v>
      </c>
      <c r="CA561" s="683">
        <f t="shared" si="1582"/>
        <v>0</v>
      </c>
      <c r="CB561" s="683">
        <f t="shared" si="1582"/>
        <v>0</v>
      </c>
      <c r="CC561" s="683">
        <f t="shared" si="1582"/>
        <v>0</v>
      </c>
      <c r="CD561" s="683">
        <f t="shared" si="1582"/>
        <v>0</v>
      </c>
      <c r="CE561" s="683">
        <f t="shared" si="1582"/>
        <v>0</v>
      </c>
      <c r="CF561" s="683">
        <f t="shared" si="1582"/>
        <v>0</v>
      </c>
      <c r="CG561" s="683">
        <f t="shared" si="1582"/>
        <v>0</v>
      </c>
      <c r="CH561" s="683">
        <f t="shared" si="1582"/>
        <v>0</v>
      </c>
      <c r="CI561" s="683">
        <f t="shared" si="1582"/>
        <v>0</v>
      </c>
      <c r="CJ561" s="683">
        <f t="shared" si="1582"/>
        <v>0</v>
      </c>
      <c r="CK561" s="683">
        <f t="shared" si="1582"/>
        <v>0</v>
      </c>
      <c r="CL561" s="683">
        <f t="shared" si="1582"/>
        <v>0</v>
      </c>
      <c r="CM561" s="683">
        <f t="shared" si="1582"/>
        <v>0</v>
      </c>
      <c r="CN561" s="683">
        <f t="shared" ref="CN561:DP561" si="1583">+CN5</f>
        <v>0</v>
      </c>
      <c r="CO561" s="683">
        <f t="shared" si="1583"/>
        <v>0</v>
      </c>
      <c r="CP561" s="683">
        <f t="shared" si="1583"/>
        <v>0</v>
      </c>
      <c r="CQ561" s="683">
        <f t="shared" si="1583"/>
        <v>0</v>
      </c>
      <c r="CR561" s="683">
        <f t="shared" si="1583"/>
        <v>0</v>
      </c>
      <c r="CS561" s="683">
        <f t="shared" si="1583"/>
        <v>0</v>
      </c>
      <c r="CT561" s="683">
        <f t="shared" si="1583"/>
        <v>0</v>
      </c>
      <c r="CU561" s="683">
        <f t="shared" si="1583"/>
        <v>0</v>
      </c>
      <c r="CV561" s="683">
        <f t="shared" si="1583"/>
        <v>0</v>
      </c>
      <c r="CW561" s="683">
        <f t="shared" si="1583"/>
        <v>0</v>
      </c>
      <c r="CX561" s="683">
        <f t="shared" si="1583"/>
        <v>0</v>
      </c>
      <c r="CY561" s="683">
        <f t="shared" si="1583"/>
        <v>0</v>
      </c>
      <c r="CZ561" s="683">
        <f t="shared" si="1583"/>
        <v>0</v>
      </c>
      <c r="DA561" s="683">
        <f t="shared" si="1583"/>
        <v>0</v>
      </c>
      <c r="DB561" s="683">
        <f t="shared" si="1583"/>
        <v>0</v>
      </c>
      <c r="DC561" s="683">
        <f t="shared" si="1583"/>
        <v>0</v>
      </c>
      <c r="DD561" s="683">
        <f t="shared" si="1583"/>
        <v>0</v>
      </c>
      <c r="DE561" s="683">
        <f t="shared" si="1583"/>
        <v>0</v>
      </c>
      <c r="DF561" s="683">
        <f t="shared" si="1583"/>
        <v>0</v>
      </c>
      <c r="DG561" s="683">
        <f t="shared" si="1583"/>
        <v>0</v>
      </c>
      <c r="DH561" s="683">
        <f t="shared" si="1583"/>
        <v>0</v>
      </c>
      <c r="DI561" s="683">
        <f t="shared" si="1583"/>
        <v>0</v>
      </c>
      <c r="DJ561" s="683">
        <f t="shared" si="1583"/>
        <v>0</v>
      </c>
      <c r="DK561" s="683">
        <f t="shared" si="1583"/>
        <v>0</v>
      </c>
      <c r="DL561" s="683">
        <f t="shared" si="1583"/>
        <v>0</v>
      </c>
      <c r="DM561" s="683">
        <f t="shared" si="1583"/>
        <v>0</v>
      </c>
      <c r="DN561" s="683">
        <f t="shared" si="1583"/>
        <v>0</v>
      </c>
      <c r="DO561" s="683">
        <f t="shared" si="1583"/>
        <v>0</v>
      </c>
      <c r="DP561" s="683">
        <f t="shared" si="1583"/>
        <v>0</v>
      </c>
    </row>
    <row r="562" spans="1:120" s="27" customFormat="1" ht="21">
      <c r="A562" s="684" t="s">
        <v>81</v>
      </c>
      <c r="B562" s="685"/>
      <c r="C562" s="2558" t="s">
        <v>57</v>
      </c>
      <c r="D562" s="2560" t="s">
        <v>59</v>
      </c>
      <c r="E562" s="2562" t="s">
        <v>58</v>
      </c>
      <c r="F562" s="2564" t="str">
        <f>+F6</f>
        <v>SALDO FISCAL 31/12/2022</v>
      </c>
      <c r="G562" s="2565"/>
      <c r="H562" s="2565"/>
      <c r="I562" s="2566"/>
      <c r="J562" s="2567" t="str">
        <f>J6</f>
        <v>Tasa Mon Extranj</v>
      </c>
      <c r="K562" s="2568"/>
      <c r="L562" s="2569" t="str">
        <f>+L6</f>
        <v>ENTRADAS</v>
      </c>
      <c r="M562" s="2570"/>
      <c r="N562" s="2570"/>
      <c r="O562" s="2571"/>
      <c r="P562" s="2572" t="str">
        <f>+P6</f>
        <v>SALIDAS</v>
      </c>
      <c r="Q562" s="2573"/>
      <c r="R562" s="2573"/>
      <c r="S562" s="2573"/>
      <c r="T562" s="2574"/>
      <c r="U562" s="2575" t="s">
        <v>62</v>
      </c>
      <c r="V562" s="2576"/>
      <c r="W562" s="2577" t="s">
        <v>63</v>
      </c>
      <c r="X562" s="2578"/>
      <c r="Y562" s="2579"/>
      <c r="Z562" s="14"/>
      <c r="AA562" s="26">
        <f ca="1">AA6</f>
        <v>4760.6099999999997</v>
      </c>
      <c r="AB562" s="503">
        <f t="shared" ref="AB562:BG562" ca="1" si="1584">+AB6</f>
        <v>4745.04</v>
      </c>
      <c r="AC562" s="2335">
        <f t="shared" ca="1" si="1584"/>
        <v>4898.74</v>
      </c>
      <c r="AD562" s="2335">
        <f t="shared" ca="1" si="1584"/>
        <v>4815.59</v>
      </c>
      <c r="AE562" s="503">
        <f t="shared" ca="1" si="1584"/>
        <v>4388.0200000000004</v>
      </c>
      <c r="AF562" s="502">
        <f t="shared" ca="1" si="1584"/>
        <v>4810.2</v>
      </c>
      <c r="AG562" s="502">
        <f t="shared" ca="1" si="1584"/>
        <v>4810.2</v>
      </c>
      <c r="AH562" s="502">
        <f t="shared" ca="1" si="1584"/>
        <v>4924</v>
      </c>
      <c r="AI562" s="502">
        <f t="shared" ca="1" si="1584"/>
        <v>4748.54</v>
      </c>
      <c r="AJ562" s="502">
        <f t="shared" ca="1" si="1584"/>
        <v>4693.99</v>
      </c>
      <c r="AK562" s="502">
        <f t="shared" ca="1" si="1584"/>
        <v>4531.75</v>
      </c>
      <c r="AL562" s="502">
        <f t="shared" ca="1" si="1584"/>
        <v>4548.5</v>
      </c>
      <c r="AM562" s="502">
        <f t="shared" ca="1" si="1584"/>
        <v>4632.2</v>
      </c>
      <c r="AN562" s="502">
        <f t="shared" ca="1" si="1584"/>
        <v>4648.7</v>
      </c>
      <c r="AO562" s="502">
        <f t="shared" ca="1" si="1584"/>
        <v>4853.8999999999996</v>
      </c>
      <c r="AP562" s="502">
        <f t="shared" ca="1" si="1584"/>
        <v>4849.6499999999996</v>
      </c>
      <c r="AQ562" s="502">
        <f t="shared" ca="1" si="1584"/>
        <v>4808.1400000000003</v>
      </c>
      <c r="AR562" s="502">
        <f t="shared" ca="1" si="1584"/>
        <v>4814.1099999999997</v>
      </c>
      <c r="AS562" s="502">
        <f t="shared" ca="1" si="1584"/>
        <v>4848.78</v>
      </c>
      <c r="AT562" s="502">
        <f t="shared" ca="1" si="1584"/>
        <v>4780.8900000000003</v>
      </c>
      <c r="AU562" s="502">
        <f t="shared" ca="1" si="1584"/>
        <v>4744.95</v>
      </c>
      <c r="AV562" s="502">
        <f t="shared" ca="1" si="1584"/>
        <v>4755.12</v>
      </c>
      <c r="AW562" s="502">
        <f t="shared" ca="1" si="1584"/>
        <v>4658.79</v>
      </c>
      <c r="AX562" s="502">
        <f t="shared" ca="1" si="1584"/>
        <v>4627.2700000000004</v>
      </c>
      <c r="AY562" s="502">
        <f t="shared" ca="1" si="1584"/>
        <v>4646.08</v>
      </c>
      <c r="AZ562" s="502">
        <f t="shared" ca="1" si="1584"/>
        <v>4646.08</v>
      </c>
      <c r="BA562" s="502">
        <f t="shared" ca="1" si="1584"/>
        <v>4603</v>
      </c>
      <c r="BB562" s="502">
        <f t="shared" ca="1" si="1584"/>
        <v>4486.6000000000004</v>
      </c>
      <c r="BC562" s="502">
        <f t="shared" ca="1" si="1584"/>
        <v>4552.59</v>
      </c>
      <c r="BD562" s="502">
        <f t="shared" ca="1" si="1584"/>
        <v>4669</v>
      </c>
      <c r="BE562" s="502">
        <f t="shared" ca="1" si="1584"/>
        <v>0</v>
      </c>
      <c r="BF562" s="502">
        <f t="shared" ca="1" si="1584"/>
        <v>0</v>
      </c>
      <c r="BG562" s="502">
        <f t="shared" ca="1" si="1584"/>
        <v>0</v>
      </c>
      <c r="BH562" s="502">
        <f t="shared" ref="BH562:CM562" ca="1" si="1585">+BH6</f>
        <v>0</v>
      </c>
      <c r="BI562" s="502">
        <f t="shared" ca="1" si="1585"/>
        <v>0</v>
      </c>
      <c r="BJ562" s="502">
        <f t="shared" ca="1" si="1585"/>
        <v>0</v>
      </c>
      <c r="BK562" s="502">
        <f t="shared" ca="1" si="1585"/>
        <v>0</v>
      </c>
      <c r="BL562" s="502">
        <f t="shared" ca="1" si="1585"/>
        <v>0</v>
      </c>
      <c r="BM562" s="502">
        <f t="shared" ca="1" si="1585"/>
        <v>0</v>
      </c>
      <c r="BN562" s="502">
        <f t="shared" ca="1" si="1585"/>
        <v>0</v>
      </c>
      <c r="BO562" s="502">
        <f t="shared" ca="1" si="1585"/>
        <v>0</v>
      </c>
      <c r="BP562" s="502">
        <f t="shared" ca="1" si="1585"/>
        <v>0</v>
      </c>
      <c r="BQ562" s="502">
        <f t="shared" ca="1" si="1585"/>
        <v>0</v>
      </c>
      <c r="BR562" s="502">
        <f t="shared" ca="1" si="1585"/>
        <v>0</v>
      </c>
      <c r="BS562" s="502">
        <f t="shared" ca="1" si="1585"/>
        <v>0</v>
      </c>
      <c r="BT562" s="502">
        <f t="shared" ca="1" si="1585"/>
        <v>0</v>
      </c>
      <c r="BU562" s="502">
        <f t="shared" ca="1" si="1585"/>
        <v>0</v>
      </c>
      <c r="BV562" s="502">
        <f t="shared" ca="1" si="1585"/>
        <v>0</v>
      </c>
      <c r="BW562" s="502">
        <f t="shared" ca="1" si="1585"/>
        <v>0</v>
      </c>
      <c r="BX562" s="502">
        <f t="shared" ca="1" si="1585"/>
        <v>0</v>
      </c>
      <c r="BY562" s="502">
        <f t="shared" ca="1" si="1585"/>
        <v>0</v>
      </c>
      <c r="BZ562" s="502">
        <f t="shared" ca="1" si="1585"/>
        <v>0</v>
      </c>
      <c r="CA562" s="502">
        <f t="shared" ca="1" si="1585"/>
        <v>0</v>
      </c>
      <c r="CB562" s="502">
        <f t="shared" ca="1" si="1585"/>
        <v>0</v>
      </c>
      <c r="CC562" s="502">
        <f t="shared" ca="1" si="1585"/>
        <v>0</v>
      </c>
      <c r="CD562" s="502">
        <f t="shared" ca="1" si="1585"/>
        <v>0</v>
      </c>
      <c r="CE562" s="502">
        <f t="shared" ca="1" si="1585"/>
        <v>0</v>
      </c>
      <c r="CF562" s="502">
        <f t="shared" ca="1" si="1585"/>
        <v>0</v>
      </c>
      <c r="CG562" s="502">
        <f t="shared" ca="1" si="1585"/>
        <v>0</v>
      </c>
      <c r="CH562" s="502">
        <f t="shared" ca="1" si="1585"/>
        <v>0</v>
      </c>
      <c r="CI562" s="502">
        <f t="shared" ca="1" si="1585"/>
        <v>0</v>
      </c>
      <c r="CJ562" s="502">
        <f t="shared" ca="1" si="1585"/>
        <v>0</v>
      </c>
      <c r="CK562" s="502">
        <f t="shared" ca="1" si="1585"/>
        <v>0</v>
      </c>
      <c r="CL562" s="502">
        <f t="shared" ca="1" si="1585"/>
        <v>0</v>
      </c>
      <c r="CM562" s="502">
        <f t="shared" ca="1" si="1585"/>
        <v>0</v>
      </c>
      <c r="CN562" s="502">
        <f t="shared" ref="CN562:DP562" ca="1" si="1586">+CN6</f>
        <v>0</v>
      </c>
      <c r="CO562" s="502">
        <f t="shared" ca="1" si="1586"/>
        <v>0</v>
      </c>
      <c r="CP562" s="502">
        <f t="shared" ca="1" si="1586"/>
        <v>0</v>
      </c>
      <c r="CQ562" s="502">
        <f t="shared" ca="1" si="1586"/>
        <v>0</v>
      </c>
      <c r="CR562" s="502">
        <f t="shared" ca="1" si="1586"/>
        <v>0</v>
      </c>
      <c r="CS562" s="502">
        <f t="shared" ca="1" si="1586"/>
        <v>0</v>
      </c>
      <c r="CT562" s="502">
        <f t="shared" ca="1" si="1586"/>
        <v>0</v>
      </c>
      <c r="CU562" s="502">
        <f t="shared" ca="1" si="1586"/>
        <v>0</v>
      </c>
      <c r="CV562" s="502">
        <f t="shared" ca="1" si="1586"/>
        <v>0</v>
      </c>
      <c r="CW562" s="502">
        <f t="shared" ca="1" si="1586"/>
        <v>0</v>
      </c>
      <c r="CX562" s="502">
        <f t="shared" ca="1" si="1586"/>
        <v>0</v>
      </c>
      <c r="CY562" s="502">
        <f t="shared" ca="1" si="1586"/>
        <v>0</v>
      </c>
      <c r="CZ562" s="502">
        <f t="shared" ca="1" si="1586"/>
        <v>0</v>
      </c>
      <c r="DA562" s="502">
        <f t="shared" ca="1" si="1586"/>
        <v>0</v>
      </c>
      <c r="DB562" s="502">
        <f t="shared" ca="1" si="1586"/>
        <v>0</v>
      </c>
      <c r="DC562" s="502">
        <f t="shared" ca="1" si="1586"/>
        <v>0</v>
      </c>
      <c r="DD562" s="502">
        <f t="shared" ca="1" si="1586"/>
        <v>0</v>
      </c>
      <c r="DE562" s="502">
        <f t="shared" ca="1" si="1586"/>
        <v>0</v>
      </c>
      <c r="DF562" s="502">
        <f t="shared" ca="1" si="1586"/>
        <v>0</v>
      </c>
      <c r="DG562" s="502">
        <f t="shared" ca="1" si="1586"/>
        <v>0</v>
      </c>
      <c r="DH562" s="502">
        <f t="shared" ca="1" si="1586"/>
        <v>0</v>
      </c>
      <c r="DI562" s="502">
        <f t="shared" ca="1" si="1586"/>
        <v>0</v>
      </c>
      <c r="DJ562" s="502">
        <f t="shared" ca="1" si="1586"/>
        <v>0</v>
      </c>
      <c r="DK562" s="502">
        <f t="shared" ca="1" si="1586"/>
        <v>0</v>
      </c>
      <c r="DL562" s="502">
        <f t="shared" ca="1" si="1586"/>
        <v>0</v>
      </c>
      <c r="DM562" s="502">
        <f t="shared" ca="1" si="1586"/>
        <v>0</v>
      </c>
      <c r="DN562" s="502">
        <f t="shared" ca="1" si="1586"/>
        <v>0</v>
      </c>
      <c r="DO562" s="502">
        <f t="shared" ca="1" si="1586"/>
        <v>0</v>
      </c>
      <c r="DP562" s="502">
        <f t="shared" ca="1" si="1586"/>
        <v>0</v>
      </c>
    </row>
    <row r="563" spans="1:120" s="27" customFormat="1" ht="15.75" thickBot="1">
      <c r="A563" s="28" t="s">
        <v>45</v>
      </c>
      <c r="B563" s="29" t="s">
        <v>47</v>
      </c>
      <c r="C563" s="2559"/>
      <c r="D563" s="2561"/>
      <c r="E563" s="2563"/>
      <c r="F563" s="30" t="str">
        <f>F7</f>
        <v>MON/EX</v>
      </c>
      <c r="G563" s="1249" t="str">
        <f>G7</f>
        <v>USD</v>
      </c>
      <c r="H563" s="31" t="str">
        <f>H7</f>
        <v>TRM CIERRE</v>
      </c>
      <c r="I563" s="32" t="str">
        <f>I7</f>
        <v>SALDO PESOS</v>
      </c>
      <c r="J563" s="1423" t="str">
        <f>J7</f>
        <v>Inicial</v>
      </c>
      <c r="K563" s="1338" t="str">
        <f t="shared" ref="K563:X563" si="1587">K7</f>
        <v>Pago</v>
      </c>
      <c r="L563" s="33" t="str">
        <f t="shared" si="1587"/>
        <v>ENTRADAS MON/EX</v>
      </c>
      <c r="M563" s="1297" t="str">
        <f t="shared" si="1587"/>
        <v>USD</v>
      </c>
      <c r="N563" s="34" t="str">
        <f t="shared" si="1587"/>
        <v>TRM INICIAL</v>
      </c>
      <c r="O563" s="35" t="str">
        <f t="shared" si="1587"/>
        <v>ENTRADAS PESOS</v>
      </c>
      <c r="P563" s="36" t="str">
        <f t="shared" si="1587"/>
        <v>PAGOS MON/EX</v>
      </c>
      <c r="Q563" s="1338" t="str">
        <f t="shared" si="1587"/>
        <v>USD</v>
      </c>
      <c r="R563" s="37" t="str">
        <f t="shared" si="1587"/>
        <v>TRM INICIAL</v>
      </c>
      <c r="S563" s="37" t="str">
        <f t="shared" si="1587"/>
        <v>TRM PAGO</v>
      </c>
      <c r="T563" s="38" t="str">
        <f t="shared" si="1587"/>
        <v>PAGO EN PESOS</v>
      </c>
      <c r="U563" s="39" t="str">
        <f t="shared" si="1587"/>
        <v xml:space="preserve"> SALDO MON/EX</v>
      </c>
      <c r="V563" s="40" t="str">
        <f t="shared" si="1587"/>
        <v>SALDO  PESOS</v>
      </c>
      <c r="W563" s="41" t="str">
        <f t="shared" si="1587"/>
        <v>GASTO</v>
      </c>
      <c r="X563" s="42" t="str">
        <f t="shared" si="1587"/>
        <v>INGRESO</v>
      </c>
      <c r="Y563" s="43"/>
      <c r="Z563" s="14"/>
      <c r="AA563" s="45" t="str">
        <f>AA7</f>
        <v>SI JPM1</v>
      </c>
      <c r="AB563" s="1847" t="str">
        <f t="shared" ref="AB563:AG563" si="1588">AB7</f>
        <v>SI JPM1</v>
      </c>
      <c r="AC563" s="2336" t="str">
        <f t="shared" si="1588"/>
        <v>SI BNP PARIBAS</v>
      </c>
      <c r="AD563" s="2336" t="str">
        <f t="shared" si="1588"/>
        <v>SI BNP PARIBAS</v>
      </c>
      <c r="AE563" s="505" t="str">
        <f t="shared" si="1588"/>
        <v>SI CITI BANK</v>
      </c>
      <c r="AF563" s="686">
        <f t="shared" si="1588"/>
        <v>0</v>
      </c>
      <c r="AG563" s="686">
        <f t="shared" si="1588"/>
        <v>0</v>
      </c>
      <c r="AH563" s="686"/>
      <c r="AI563" s="686"/>
      <c r="AJ563" s="686"/>
      <c r="AK563" s="686"/>
      <c r="AL563" s="1576"/>
      <c r="AM563" s="686"/>
      <c r="AN563" s="686"/>
      <c r="AO563" s="686"/>
      <c r="AP563" s="686"/>
      <c r="AQ563" s="686"/>
      <c r="AR563" s="686" t="s">
        <v>189</v>
      </c>
      <c r="AS563" s="686" t="s">
        <v>189</v>
      </c>
      <c r="AT563" s="686" t="s">
        <v>189</v>
      </c>
      <c r="AU563" s="686" t="s">
        <v>189</v>
      </c>
      <c r="AV563" s="686" t="s">
        <v>189</v>
      </c>
      <c r="AW563" s="686" t="s">
        <v>189</v>
      </c>
      <c r="AX563" s="686" t="s">
        <v>189</v>
      </c>
      <c r="AY563" s="686"/>
      <c r="AZ563" s="686"/>
      <c r="BA563" s="686" t="s">
        <v>189</v>
      </c>
      <c r="BB563" s="686" t="s">
        <v>189</v>
      </c>
      <c r="BC563" s="686"/>
      <c r="BD563" s="686"/>
      <c r="BE563" s="686"/>
      <c r="BF563" s="686"/>
      <c r="BG563" s="686"/>
      <c r="BH563" s="686"/>
      <c r="BI563" s="686"/>
      <c r="BJ563" s="686"/>
      <c r="BK563" s="686"/>
      <c r="BL563" s="686"/>
      <c r="BM563" s="686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  <c r="BX563" s="686"/>
      <c r="BY563" s="686"/>
      <c r="BZ563" s="686"/>
      <c r="CA563" s="686"/>
      <c r="CB563" s="686"/>
      <c r="CC563" s="686"/>
      <c r="CD563" s="686"/>
      <c r="CE563" s="686"/>
      <c r="CF563" s="686"/>
      <c r="CG563" s="686"/>
      <c r="CH563" s="686"/>
      <c r="CI563" s="686"/>
      <c r="CJ563" s="686"/>
      <c r="CK563" s="686"/>
      <c r="CL563" s="686"/>
      <c r="CM563" s="686"/>
      <c r="CN563" s="686"/>
      <c r="CO563" s="686"/>
      <c r="CP563" s="686"/>
      <c r="CQ563" s="686"/>
      <c r="CR563" s="686"/>
      <c r="CS563" s="686"/>
      <c r="CT563" s="686"/>
      <c r="CU563" s="686"/>
      <c r="CV563" s="686"/>
      <c r="CW563" s="686"/>
      <c r="CX563" s="686"/>
      <c r="CY563" s="686"/>
      <c r="CZ563" s="686"/>
      <c r="DA563" s="686"/>
      <c r="DB563" s="686"/>
      <c r="DC563" s="686"/>
      <c r="DD563" s="686"/>
      <c r="DE563" s="686"/>
      <c r="DF563" s="686"/>
      <c r="DG563" s="686"/>
      <c r="DH563" s="686"/>
      <c r="DI563" s="686"/>
      <c r="DJ563" s="686"/>
      <c r="DK563" s="686"/>
      <c r="DL563" s="686"/>
      <c r="DM563" s="686"/>
      <c r="DN563" s="686"/>
      <c r="DO563" s="686"/>
      <c r="DP563" s="686"/>
    </row>
    <row r="564" spans="1:120" ht="15.75" hidden="1" outlineLevel="1">
      <c r="A564" s="961">
        <v>1110052090</v>
      </c>
      <c r="B564" s="962" t="s">
        <v>77</v>
      </c>
      <c r="C564" s="963" t="s">
        <v>64</v>
      </c>
      <c r="D564" s="963"/>
      <c r="E564" s="159">
        <v>44866</v>
      </c>
      <c r="F564" s="160">
        <v>510089.50999999978</v>
      </c>
      <c r="G564" s="1250">
        <f>+F564*J564</f>
        <v>510089.50999999978</v>
      </c>
      <c r="H564" s="47">
        <v>4898.74</v>
      </c>
      <c r="I564" s="965">
        <f>+F564*J564*H564</f>
        <v>2498795886.2173986</v>
      </c>
      <c r="J564" s="1241">
        <v>1</v>
      </c>
      <c r="K564" s="1241">
        <v>1</v>
      </c>
      <c r="L564" s="49"/>
      <c r="M564" s="1244">
        <f>+L564*J564</f>
        <v>0</v>
      </c>
      <c r="N564" s="47"/>
      <c r="O564" s="50">
        <f>+L564*J564*N564</f>
        <v>0</v>
      </c>
      <c r="P564" s="51"/>
      <c r="Q564" s="1250">
        <f>+P564*K564</f>
        <v>0</v>
      </c>
      <c r="R564" s="47"/>
      <c r="S564" s="47"/>
      <c r="T564" s="48">
        <f>+P564*K564*S564</f>
        <v>0</v>
      </c>
      <c r="U564" s="964">
        <f>+L564+P564+F564</f>
        <v>510089.50999999978</v>
      </c>
      <c r="V564" s="965">
        <f>+P564*J564*R564+L564*J564*N564+F564*K564*H564</f>
        <v>2498795886.2173986</v>
      </c>
      <c r="W564" s="52">
        <f>IF((-P564*J564*R564)-(-P564*K564*S564)&gt;0,(-P564*J564*R564)-(-P564*K564*S564),0)</f>
        <v>0</v>
      </c>
      <c r="X564" s="966">
        <f>IF((-P564*J564*R564)-(-P564*K564*S564)&lt;0,(-P564*J564*R564)-(-P564*K564*S564),0)</f>
        <v>0</v>
      </c>
      <c r="Y564" s="967"/>
      <c r="Z564" s="1055"/>
      <c r="AA564" s="54"/>
      <c r="AB564" s="508"/>
      <c r="AC564" s="508">
        <f>+G564</f>
        <v>510089.50999999978</v>
      </c>
      <c r="AD564" s="508"/>
      <c r="AE564" s="508"/>
      <c r="AF564" s="561"/>
      <c r="AG564" s="561"/>
      <c r="AH564" s="561"/>
      <c r="AI564" s="561"/>
      <c r="AJ564" s="561"/>
      <c r="AK564" s="561"/>
      <c r="AL564" s="1542"/>
      <c r="AM564" s="561"/>
      <c r="AN564" s="561"/>
      <c r="AO564" s="561"/>
      <c r="AP564" s="561"/>
      <c r="AQ564" s="561"/>
      <c r="AR564" s="561"/>
      <c r="AS564" s="561"/>
      <c r="AT564" s="561"/>
      <c r="AU564" s="561"/>
      <c r="AV564" s="561"/>
      <c r="AW564" s="561"/>
      <c r="AX564" s="561"/>
      <c r="AY564" s="561"/>
      <c r="AZ564" s="561"/>
      <c r="BA564" s="561"/>
      <c r="BB564" s="561"/>
      <c r="BC564" s="561"/>
      <c r="BD564" s="561"/>
      <c r="BE564" s="561"/>
      <c r="BF564" s="561"/>
      <c r="BG564" s="561"/>
      <c r="BH564" s="561"/>
      <c r="BI564" s="561"/>
      <c r="BJ564" s="561"/>
      <c r="BK564" s="561"/>
      <c r="BL564" s="561"/>
      <c r="BM564" s="561"/>
      <c r="BN564" s="561"/>
      <c r="BO564" s="561"/>
      <c r="BP564" s="561"/>
      <c r="BQ564" s="561"/>
      <c r="BR564" s="561"/>
      <c r="BS564" s="561"/>
      <c r="BT564" s="561"/>
      <c r="BU564" s="561"/>
      <c r="BV564" s="561"/>
      <c r="BW564" s="561"/>
      <c r="BX564" s="561"/>
      <c r="BY564" s="561"/>
      <c r="BZ564" s="561"/>
      <c r="CA564" s="561"/>
      <c r="CB564" s="561"/>
      <c r="CC564" s="561"/>
      <c r="CD564" s="561"/>
      <c r="CE564" s="561"/>
      <c r="CF564" s="561"/>
      <c r="CG564" s="561"/>
      <c r="CH564" s="561"/>
      <c r="CI564" s="561"/>
      <c r="CJ564" s="561"/>
      <c r="CK564" s="561"/>
      <c r="CL564" s="561"/>
      <c r="CM564" s="561"/>
      <c r="CN564" s="561"/>
      <c r="CO564" s="561"/>
      <c r="CP564" s="561"/>
      <c r="CQ564" s="561"/>
      <c r="CR564" s="561"/>
      <c r="CS564" s="561"/>
      <c r="CT564" s="561"/>
      <c r="CU564" s="561"/>
      <c r="CV564" s="561"/>
      <c r="CW564" s="561"/>
      <c r="CX564" s="561"/>
      <c r="CY564" s="561"/>
      <c r="CZ564" s="561"/>
      <c r="DA564" s="561"/>
      <c r="DB564" s="561"/>
      <c r="DC564" s="561"/>
      <c r="DD564" s="561"/>
      <c r="DE564" s="561"/>
      <c r="DF564" s="561"/>
      <c r="DG564" s="561"/>
      <c r="DH564" s="561"/>
      <c r="DI564" s="561"/>
      <c r="DJ564" s="561"/>
      <c r="DK564" s="561"/>
      <c r="DL564" s="561"/>
      <c r="DM564" s="561"/>
      <c r="DN564" s="561"/>
      <c r="DO564" s="561"/>
      <c r="DP564" s="561"/>
    </row>
    <row r="565" spans="1:120" ht="15.75" hidden="1" outlineLevel="1">
      <c r="A565" s="961">
        <v>1110052090</v>
      </c>
      <c r="B565" s="962" t="s">
        <v>77</v>
      </c>
      <c r="C565" s="963" t="s">
        <v>64</v>
      </c>
      <c r="D565" s="963"/>
      <c r="E565" s="159">
        <v>44896</v>
      </c>
      <c r="F565" s="160">
        <v>57414.1</v>
      </c>
      <c r="G565" s="1250">
        <f t="shared" ref="G565" si="1589">+F565*J565</f>
        <v>57414.1</v>
      </c>
      <c r="H565" s="47">
        <v>4815.59</v>
      </c>
      <c r="I565" s="965">
        <f t="shared" ref="I565" si="1590">+F565*J565*H565</f>
        <v>276482765.81900001</v>
      </c>
      <c r="J565" s="1241">
        <v>1</v>
      </c>
      <c r="K565" s="1241">
        <v>1</v>
      </c>
      <c r="L565" s="161"/>
      <c r="M565" s="1244">
        <f t="shared" ref="M565:M589" si="1591">+L565*J565</f>
        <v>0</v>
      </c>
      <c r="N565" s="47"/>
      <c r="O565" s="50">
        <f t="shared" ref="O565:O589" si="1592">+L565*J565*N565</f>
        <v>0</v>
      </c>
      <c r="P565" s="160"/>
      <c r="Q565" s="1250">
        <f t="shared" ref="Q565:Q589" si="1593">+P565*K565</f>
        <v>0</v>
      </c>
      <c r="R565" s="47"/>
      <c r="S565" s="47"/>
      <c r="T565" s="48">
        <f t="shared" ref="T565:T589" si="1594">+P565*K565*S565</f>
        <v>0</v>
      </c>
      <c r="U565" s="160">
        <f t="shared" ref="U565:U589" si="1595">+L565+P565+F565</f>
        <v>57414.1</v>
      </c>
      <c r="V565" s="966">
        <f t="shared" ref="V565:V589" si="1596">+P565*J565*R565+L565*J565*N565+F565*K565*H565</f>
        <v>276482765.81900001</v>
      </c>
      <c r="W565" s="52">
        <f t="shared" ref="W565:W589" si="1597">IF((-P565*J565*R565)-(-P565*K565*S565)&gt;0,(-P565*J565*R565)-(-P565*K565*S565),0)</f>
        <v>0</v>
      </c>
      <c r="X565" s="966">
        <f t="shared" ref="X565:X589" si="1598">IF((-P565*J565*R565)-(-P565*K565*S565)&lt;0,(-P565*J565*R565)-(-P565*K565*S565),0)</f>
        <v>0</v>
      </c>
      <c r="Y565" s="967"/>
      <c r="Z565" s="1055"/>
      <c r="AA565" s="54"/>
      <c r="AB565" s="508"/>
      <c r="AC565" s="508"/>
      <c r="AD565" s="508">
        <f>+G565</f>
        <v>57414.1</v>
      </c>
      <c r="AE565" s="508"/>
      <c r="AF565" s="561"/>
      <c r="AG565" s="561"/>
      <c r="AH565" s="561"/>
      <c r="AI565" s="561"/>
      <c r="AJ565" s="561"/>
      <c r="AK565" s="561"/>
      <c r="AL565" s="1542"/>
      <c r="AM565" s="561"/>
      <c r="AN565" s="561"/>
      <c r="AO565" s="561"/>
      <c r="AP565" s="561"/>
      <c r="AQ565" s="561"/>
      <c r="AR565" s="561"/>
      <c r="AS565" s="561"/>
      <c r="AT565" s="561"/>
      <c r="AU565" s="561"/>
      <c r="AV565" s="561"/>
      <c r="AW565" s="561"/>
      <c r="AX565" s="561"/>
      <c r="AY565" s="561"/>
      <c r="AZ565" s="561"/>
      <c r="BA565" s="561"/>
      <c r="BB565" s="561"/>
      <c r="BC565" s="561"/>
      <c r="BD565" s="561"/>
      <c r="BE565" s="561"/>
      <c r="BF565" s="561"/>
      <c r="BG565" s="561"/>
      <c r="BH565" s="561"/>
      <c r="BI565" s="561"/>
      <c r="BJ565" s="561"/>
      <c r="BK565" s="561"/>
      <c r="BL565" s="561"/>
      <c r="BM565" s="561"/>
      <c r="BN565" s="561"/>
      <c r="BO565" s="561"/>
      <c r="BP565" s="561"/>
      <c r="BQ565" s="561"/>
      <c r="BR565" s="561"/>
      <c r="BS565" s="561"/>
      <c r="BT565" s="561"/>
      <c r="BU565" s="561"/>
      <c r="BV565" s="561"/>
      <c r="BW565" s="561"/>
      <c r="BX565" s="561"/>
      <c r="BY565" s="561"/>
      <c r="BZ565" s="561"/>
      <c r="CA565" s="561"/>
      <c r="CB565" s="561"/>
      <c r="CC565" s="561"/>
      <c r="CD565" s="561"/>
      <c r="CE565" s="561"/>
      <c r="CF565" s="561"/>
      <c r="CG565" s="561"/>
      <c r="CH565" s="561"/>
      <c r="CI565" s="561"/>
      <c r="CJ565" s="561"/>
      <c r="CK565" s="561"/>
      <c r="CL565" s="561"/>
      <c r="CM565" s="561"/>
      <c r="CN565" s="561"/>
      <c r="CO565" s="561"/>
      <c r="CP565" s="561"/>
      <c r="CQ565" s="561"/>
      <c r="CR565" s="561"/>
      <c r="CS565" s="561"/>
      <c r="CT565" s="561"/>
      <c r="CU565" s="561"/>
      <c r="CV565" s="561"/>
      <c r="CW565" s="561"/>
      <c r="CX565" s="561"/>
      <c r="CY565" s="561"/>
      <c r="CZ565" s="561"/>
      <c r="DA565" s="561"/>
      <c r="DB565" s="561"/>
      <c r="DC565" s="561"/>
      <c r="DD565" s="561"/>
      <c r="DE565" s="561"/>
      <c r="DF565" s="561"/>
      <c r="DG565" s="561"/>
      <c r="DH565" s="561"/>
      <c r="DI565" s="561"/>
      <c r="DJ565" s="561"/>
      <c r="DK565" s="561"/>
      <c r="DL565" s="561"/>
      <c r="DM565" s="561"/>
      <c r="DN565" s="561"/>
      <c r="DO565" s="561"/>
      <c r="DP565" s="561"/>
    </row>
    <row r="566" spans="1:120" ht="16.5" collapsed="1" thickBot="1">
      <c r="A566" s="961"/>
      <c r="B566" s="962"/>
      <c r="C566" s="963"/>
      <c r="D566" s="963"/>
      <c r="E566" s="159"/>
      <c r="F566" s="160"/>
      <c r="G566" s="1241"/>
      <c r="H566" s="47"/>
      <c r="I566" s="965"/>
      <c r="J566" s="1243"/>
      <c r="K566" s="1243"/>
      <c r="L566" s="161"/>
      <c r="M566" s="1244">
        <f t="shared" si="1591"/>
        <v>0</v>
      </c>
      <c r="N566" s="47"/>
      <c r="O566" s="50">
        <f t="shared" si="1592"/>
        <v>0</v>
      </c>
      <c r="P566" s="160"/>
      <c r="Q566" s="1250">
        <f t="shared" si="1593"/>
        <v>0</v>
      </c>
      <c r="R566" s="47"/>
      <c r="S566" s="47"/>
      <c r="T566" s="48">
        <f t="shared" si="1594"/>
        <v>0</v>
      </c>
      <c r="U566" s="160">
        <f t="shared" si="1595"/>
        <v>0</v>
      </c>
      <c r="V566" s="966">
        <f t="shared" si="1596"/>
        <v>0</v>
      </c>
      <c r="W566" s="52">
        <f t="shared" si="1597"/>
        <v>0</v>
      </c>
      <c r="X566" s="966">
        <f t="shared" si="1598"/>
        <v>0</v>
      </c>
      <c r="Y566" s="967"/>
      <c r="Z566" s="1055"/>
      <c r="AA566" s="54"/>
      <c r="AB566" s="508"/>
      <c r="AC566" s="508"/>
      <c r="AD566" s="508"/>
      <c r="AE566" s="508"/>
      <c r="AF566" s="561"/>
      <c r="AG566" s="561"/>
      <c r="AH566" s="561"/>
      <c r="AI566" s="561"/>
      <c r="AJ566" s="561"/>
      <c r="AK566" s="561"/>
      <c r="AL566" s="1542"/>
      <c r="AM566" s="561"/>
      <c r="AN566" s="561"/>
      <c r="AO566" s="561"/>
      <c r="AP566" s="561"/>
      <c r="AQ566" s="561"/>
      <c r="AR566" s="561"/>
      <c r="AS566" s="561"/>
      <c r="AT566" s="561"/>
      <c r="AU566" s="561"/>
      <c r="AV566" s="561"/>
      <c r="AW566" s="561"/>
      <c r="AX566" s="561"/>
      <c r="AY566" s="561"/>
      <c r="AZ566" s="561"/>
      <c r="BA566" s="561"/>
      <c r="BB566" s="561"/>
      <c r="BC566" s="561"/>
      <c r="BD566" s="561"/>
      <c r="BE566" s="561"/>
      <c r="BF566" s="561"/>
      <c r="BG566" s="561"/>
      <c r="BH566" s="561"/>
      <c r="BI566" s="561"/>
      <c r="BJ566" s="561"/>
      <c r="BK566" s="561"/>
      <c r="BL566" s="561"/>
      <c r="BM566" s="561"/>
      <c r="BN566" s="561"/>
      <c r="BO566" s="561"/>
      <c r="BP566" s="561"/>
      <c r="BQ566" s="561"/>
      <c r="BR566" s="561"/>
      <c r="BS566" s="561"/>
      <c r="BT566" s="561"/>
      <c r="BU566" s="561"/>
      <c r="BV566" s="561"/>
      <c r="BW566" s="561"/>
      <c r="BX566" s="561"/>
      <c r="BY566" s="561"/>
      <c r="BZ566" s="561"/>
      <c r="CA566" s="561"/>
      <c r="CB566" s="561"/>
      <c r="CC566" s="561"/>
      <c r="CD566" s="561"/>
      <c r="CE566" s="561"/>
      <c r="CF566" s="561"/>
      <c r="CG566" s="561"/>
      <c r="CH566" s="561"/>
      <c r="CI566" s="561"/>
      <c r="CJ566" s="561"/>
      <c r="CK566" s="561"/>
      <c r="CL566" s="561"/>
      <c r="CM566" s="561"/>
      <c r="CN566" s="561"/>
      <c r="CO566" s="561"/>
      <c r="CP566" s="561"/>
      <c r="CQ566" s="561"/>
      <c r="CR566" s="561"/>
      <c r="CS566" s="561"/>
      <c r="CT566" s="561"/>
      <c r="CU566" s="561"/>
      <c r="CV566" s="561"/>
      <c r="CW566" s="561"/>
      <c r="CX566" s="561"/>
      <c r="CY566" s="561"/>
      <c r="CZ566" s="561"/>
      <c r="DA566" s="561"/>
      <c r="DB566" s="561"/>
      <c r="DC566" s="561"/>
      <c r="DD566" s="561"/>
      <c r="DE566" s="561"/>
      <c r="DF566" s="561"/>
      <c r="DG566" s="561"/>
      <c r="DH566" s="561"/>
      <c r="DI566" s="561"/>
      <c r="DJ566" s="561"/>
      <c r="DK566" s="561"/>
      <c r="DL566" s="561"/>
      <c r="DM566" s="561"/>
      <c r="DN566" s="561"/>
      <c r="DO566" s="561"/>
      <c r="DP566" s="561"/>
    </row>
    <row r="567" spans="1:120" outlineLevel="1">
      <c r="A567" s="640">
        <v>1110052095</v>
      </c>
      <c r="B567" s="573" t="s">
        <v>78</v>
      </c>
      <c r="C567" s="1488" t="s">
        <v>64</v>
      </c>
      <c r="D567" s="1489"/>
      <c r="E567" s="1490">
        <v>44927</v>
      </c>
      <c r="F567" s="643"/>
      <c r="G567" s="1262"/>
      <c r="H567" s="644"/>
      <c r="I567" s="645"/>
      <c r="J567" s="1425">
        <v>1</v>
      </c>
      <c r="K567" s="1426">
        <v>1</v>
      </c>
      <c r="L567" s="646"/>
      <c r="M567" s="1428">
        <f t="shared" si="1591"/>
        <v>0</v>
      </c>
      <c r="N567" s="647">
        <f ca="1">IF(OR(E567="",E567&gt;TODAY()),0,IF(ISERROR(VLOOKUP($E567,'TRM BanRep'!$A:$G,7,0)),0,VLOOKUP($E567,'TRM BanRep'!$A:$G,7,0)))</f>
        <v>4810.2</v>
      </c>
      <c r="O567" s="648">
        <f t="shared" ca="1" si="1592"/>
        <v>0</v>
      </c>
      <c r="P567" s="649"/>
      <c r="Q567" s="649">
        <f t="shared" si="1593"/>
        <v>0</v>
      </c>
      <c r="R567" s="650"/>
      <c r="S567" s="650">
        <f ca="1">IF(OR(E567="",E567&gt;TODAY()),0,IF(ISERROR(VLOOKUP($E567,'TRM BanRep'!$A:$G,7,0)),0,VLOOKUP($E567,'TRM BanRep'!$A:$G,7,0)))</f>
        <v>4810.2</v>
      </c>
      <c r="T567" s="651">
        <f t="shared" ca="1" si="1594"/>
        <v>0</v>
      </c>
      <c r="U567" s="652">
        <f t="shared" si="1595"/>
        <v>0</v>
      </c>
      <c r="V567" s="648">
        <f t="shared" ca="1" si="1596"/>
        <v>0</v>
      </c>
      <c r="W567" s="653">
        <f t="shared" ca="1" si="1597"/>
        <v>0</v>
      </c>
      <c r="X567" s="654">
        <f t="shared" ca="1" si="1598"/>
        <v>0</v>
      </c>
      <c r="Y567" s="655"/>
      <c r="Z567" s="1055"/>
      <c r="AA567" s="2309">
        <f t="shared" ref="AA567:AP589" si="1599">IF($L567="",IF(OR($P567="",$R567=""),0,IF($R567=AA$6,$Q567,0)),IF($E567=AA$5,$M567,))</f>
        <v>0</v>
      </c>
      <c r="AB567" s="2310">
        <f t="shared" si="1599"/>
        <v>0</v>
      </c>
      <c r="AC567" s="2310">
        <f t="shared" si="1599"/>
        <v>0</v>
      </c>
      <c r="AD567" s="2310">
        <f t="shared" si="1599"/>
        <v>0</v>
      </c>
      <c r="AE567" s="2310">
        <f t="shared" si="1599"/>
        <v>0</v>
      </c>
      <c r="AF567" s="2327">
        <f t="shared" si="1599"/>
        <v>0</v>
      </c>
      <c r="AG567" s="2327">
        <f t="shared" si="1599"/>
        <v>0</v>
      </c>
      <c r="AH567" s="2327">
        <f t="shared" si="1599"/>
        <v>0</v>
      </c>
      <c r="AI567" s="2327">
        <f t="shared" si="1599"/>
        <v>0</v>
      </c>
      <c r="AJ567" s="2327">
        <f t="shared" ref="AJ567:AJ581" si="1600">IF($L567="",IF(OR($P567="",$R567=""),0,IF($R567=AJ$6,$Q567,0)),IF($E567=AJ$5,$M567,))</f>
        <v>0</v>
      </c>
      <c r="AK567" s="2327">
        <f t="shared" si="1599"/>
        <v>0</v>
      </c>
      <c r="AL567" s="2328">
        <f t="shared" si="1599"/>
        <v>0</v>
      </c>
      <c r="AM567" s="2327">
        <f t="shared" si="1599"/>
        <v>0</v>
      </c>
      <c r="AN567" s="2327">
        <f t="shared" si="1599"/>
        <v>0</v>
      </c>
      <c r="AO567" s="2327">
        <f t="shared" si="1599"/>
        <v>0</v>
      </c>
      <c r="AP567" s="2327">
        <f t="shared" si="1599"/>
        <v>0</v>
      </c>
      <c r="AQ567" s="2327">
        <f t="shared" ref="AQ567:BF586" si="1601">IF($L567="",IF(OR($P567="",$R567=""),0,IF($R567=AQ$6,$Q567,0)),IF($E567=AQ$5,$M567,))</f>
        <v>0</v>
      </c>
      <c r="AR567" s="2327">
        <f t="shared" si="1601"/>
        <v>0</v>
      </c>
      <c r="AS567" s="2327">
        <f t="shared" si="1601"/>
        <v>0</v>
      </c>
      <c r="AT567" s="2327">
        <f t="shared" si="1601"/>
        <v>0</v>
      </c>
      <c r="AU567" s="2327">
        <f t="shared" si="1601"/>
        <v>0</v>
      </c>
      <c r="AV567" s="2327">
        <f t="shared" si="1601"/>
        <v>0</v>
      </c>
      <c r="AW567" s="2327">
        <f t="shared" si="1601"/>
        <v>0</v>
      </c>
      <c r="AX567" s="2327">
        <f t="shared" si="1601"/>
        <v>0</v>
      </c>
      <c r="AY567" s="2327">
        <f t="shared" si="1601"/>
        <v>0</v>
      </c>
      <c r="AZ567" s="2327">
        <f t="shared" si="1601"/>
        <v>0</v>
      </c>
      <c r="BA567" s="2327">
        <f t="shared" si="1601"/>
        <v>0</v>
      </c>
      <c r="BB567" s="2327">
        <f t="shared" si="1601"/>
        <v>0</v>
      </c>
      <c r="BC567" s="2327">
        <f t="shared" si="1601"/>
        <v>0</v>
      </c>
      <c r="BD567" s="2327">
        <f t="shared" si="1601"/>
        <v>0</v>
      </c>
      <c r="BE567" s="2327">
        <f t="shared" si="1601"/>
        <v>0</v>
      </c>
      <c r="BF567" s="2327">
        <f t="shared" si="1601"/>
        <v>0</v>
      </c>
      <c r="BG567" s="2327">
        <f t="shared" ref="BG567:BV589" si="1602">IF($L567="",IF(OR($P567="",$R567=""),0,IF($R567=BG$6,$Q567,0)),IF($E567=BG$5,$M567,))</f>
        <v>0</v>
      </c>
      <c r="BH567" s="2327">
        <f t="shared" si="1602"/>
        <v>0</v>
      </c>
      <c r="BI567" s="2327">
        <f t="shared" si="1602"/>
        <v>0</v>
      </c>
      <c r="BJ567" s="2327">
        <f t="shared" si="1602"/>
        <v>0</v>
      </c>
      <c r="BK567" s="2327">
        <f t="shared" si="1602"/>
        <v>0</v>
      </c>
      <c r="BL567" s="2327">
        <f t="shared" si="1602"/>
        <v>0</v>
      </c>
      <c r="BM567" s="2327">
        <f t="shared" si="1602"/>
        <v>0</v>
      </c>
      <c r="BN567" s="2327">
        <f t="shared" si="1602"/>
        <v>0</v>
      </c>
      <c r="BO567" s="2327">
        <f t="shared" si="1602"/>
        <v>0</v>
      </c>
      <c r="BP567" s="2327">
        <f t="shared" si="1602"/>
        <v>0</v>
      </c>
      <c r="BQ567" s="2327">
        <f t="shared" si="1602"/>
        <v>0</v>
      </c>
      <c r="BR567" s="2327">
        <f t="shared" si="1602"/>
        <v>0</v>
      </c>
      <c r="BS567" s="2327">
        <f t="shared" si="1602"/>
        <v>0</v>
      </c>
      <c r="BT567" s="2327">
        <f t="shared" si="1602"/>
        <v>0</v>
      </c>
      <c r="BU567" s="2327">
        <f t="shared" si="1602"/>
        <v>0</v>
      </c>
      <c r="BV567" s="2327">
        <f t="shared" si="1602"/>
        <v>0</v>
      </c>
      <c r="BW567" s="2327">
        <f t="shared" ref="BW567:CL589" si="1603">IF($L567="",IF(OR($P567="",$R567=""),0,IF($R567=BW$6,$Q567,0)),IF($E567=BW$5,$M567,))</f>
        <v>0</v>
      </c>
      <c r="BX567" s="2327">
        <f t="shared" si="1603"/>
        <v>0</v>
      </c>
      <c r="BY567" s="2327">
        <f t="shared" si="1603"/>
        <v>0</v>
      </c>
      <c r="BZ567" s="2327">
        <f t="shared" si="1603"/>
        <v>0</v>
      </c>
      <c r="CA567" s="2327">
        <f t="shared" si="1603"/>
        <v>0</v>
      </c>
      <c r="CB567" s="2327">
        <f t="shared" si="1603"/>
        <v>0</v>
      </c>
      <c r="CC567" s="2327">
        <f t="shared" si="1603"/>
        <v>0</v>
      </c>
      <c r="CD567" s="2327">
        <f t="shared" si="1603"/>
        <v>0</v>
      </c>
      <c r="CE567" s="2327">
        <f t="shared" si="1603"/>
        <v>0</v>
      </c>
      <c r="CF567" s="2327">
        <f t="shared" si="1603"/>
        <v>0</v>
      </c>
      <c r="CG567" s="2327">
        <f t="shared" si="1603"/>
        <v>0</v>
      </c>
      <c r="CH567" s="2327">
        <f t="shared" si="1603"/>
        <v>0</v>
      </c>
      <c r="CI567" s="2327">
        <f t="shared" si="1603"/>
        <v>0</v>
      </c>
      <c r="CJ567" s="2327">
        <f t="shared" si="1603"/>
        <v>0</v>
      </c>
      <c r="CK567" s="2327">
        <f t="shared" si="1603"/>
        <v>0</v>
      </c>
      <c r="CL567" s="2327">
        <f t="shared" si="1603"/>
        <v>0</v>
      </c>
      <c r="CM567" s="2327">
        <f t="shared" ref="CM567:DB589" si="1604">IF($L567="",IF(OR($P567="",$R567=""),0,IF($R567=CM$6,$Q567,0)),IF($E567=CM$5,$M567,))</f>
        <v>0</v>
      </c>
      <c r="CN567" s="2327">
        <f t="shared" si="1604"/>
        <v>0</v>
      </c>
      <c r="CO567" s="2327">
        <f t="shared" si="1604"/>
        <v>0</v>
      </c>
      <c r="CP567" s="2327">
        <f t="shared" si="1604"/>
        <v>0</v>
      </c>
      <c r="CQ567" s="2327">
        <f t="shared" si="1604"/>
        <v>0</v>
      </c>
      <c r="CR567" s="2327">
        <f t="shared" si="1604"/>
        <v>0</v>
      </c>
      <c r="CS567" s="2327">
        <f t="shared" si="1604"/>
        <v>0</v>
      </c>
      <c r="CT567" s="2327">
        <f t="shared" si="1604"/>
        <v>0</v>
      </c>
      <c r="CU567" s="2327">
        <f t="shared" si="1604"/>
        <v>0</v>
      </c>
      <c r="CV567" s="2327">
        <f t="shared" si="1604"/>
        <v>0</v>
      </c>
      <c r="CW567" s="2327">
        <f t="shared" si="1604"/>
        <v>0</v>
      </c>
      <c r="CX567" s="2327">
        <f t="shared" si="1604"/>
        <v>0</v>
      </c>
      <c r="CY567" s="2327">
        <f t="shared" si="1604"/>
        <v>0</v>
      </c>
      <c r="CZ567" s="2327">
        <f t="shared" si="1604"/>
        <v>0</v>
      </c>
      <c r="DA567" s="2327">
        <f t="shared" si="1604"/>
        <v>0</v>
      </c>
      <c r="DB567" s="2327">
        <f t="shared" si="1604"/>
        <v>0</v>
      </c>
      <c r="DC567" s="2327">
        <f t="shared" ref="DC567:DP585" si="1605">IF($L567="",IF(OR($P567="",$R567=""),0,IF($R567=DC$6,$Q567,0)),IF($E567=DC$5,$M567,))</f>
        <v>0</v>
      </c>
      <c r="DD567" s="2327">
        <f t="shared" si="1605"/>
        <v>0</v>
      </c>
      <c r="DE567" s="2327">
        <f t="shared" si="1605"/>
        <v>0</v>
      </c>
      <c r="DF567" s="2327">
        <f t="shared" si="1605"/>
        <v>0</v>
      </c>
      <c r="DG567" s="2327">
        <f t="shared" si="1605"/>
        <v>0</v>
      </c>
      <c r="DH567" s="2327">
        <f t="shared" si="1605"/>
        <v>0</v>
      </c>
      <c r="DI567" s="2327">
        <f t="shared" si="1605"/>
        <v>0</v>
      </c>
      <c r="DJ567" s="2327">
        <f t="shared" si="1605"/>
        <v>0</v>
      </c>
      <c r="DK567" s="2327">
        <f t="shared" si="1605"/>
        <v>0</v>
      </c>
      <c r="DL567" s="2327">
        <f t="shared" si="1605"/>
        <v>0</v>
      </c>
      <c r="DM567" s="2327">
        <f t="shared" si="1605"/>
        <v>0</v>
      </c>
      <c r="DN567" s="2327">
        <f t="shared" si="1605"/>
        <v>0</v>
      </c>
      <c r="DO567" s="2327">
        <f t="shared" si="1605"/>
        <v>0</v>
      </c>
      <c r="DP567" s="2327">
        <f t="shared" si="1605"/>
        <v>0</v>
      </c>
    </row>
    <row r="568" spans="1:120" s="165" customFormat="1" outlineLevel="1">
      <c r="A568" s="2422">
        <v>1110052090</v>
      </c>
      <c r="B568" s="2423" t="s">
        <v>2211</v>
      </c>
      <c r="C568" s="2424" t="s">
        <v>64</v>
      </c>
      <c r="D568" s="2425">
        <v>1100000045</v>
      </c>
      <c r="E568" s="2426">
        <v>44927</v>
      </c>
      <c r="F568" s="2427"/>
      <c r="G568" s="2428"/>
      <c r="H568" s="2429"/>
      <c r="I568" s="2430"/>
      <c r="J568" s="2431">
        <v>1</v>
      </c>
      <c r="K568" s="2432">
        <v>1</v>
      </c>
      <c r="L568" s="2433"/>
      <c r="M568" s="2434">
        <f t="shared" si="1591"/>
        <v>0</v>
      </c>
      <c r="N568" s="2435">
        <f ca="1">IF(OR(E568="",E568&gt;TODAY()),0,IF(ISERROR(VLOOKUP($E568,'TRM BanRep'!$A:$G,7,0)),0,VLOOKUP($E568,'TRM BanRep'!$A:$G,7,0)))</f>
        <v>4810.2</v>
      </c>
      <c r="O568" s="2436">
        <f t="shared" ca="1" si="1592"/>
        <v>0</v>
      </c>
      <c r="P568" s="2437">
        <v>-5</v>
      </c>
      <c r="Q568" s="2437">
        <f t="shared" si="1593"/>
        <v>-5</v>
      </c>
      <c r="R568" s="2438">
        <v>4898.74</v>
      </c>
      <c r="S568" s="2438">
        <f ca="1">IF(OR(E568="",E568&gt;TODAY()),0,IF(ISERROR(VLOOKUP($E568,'TRM BanRep'!$A:$G,7,0)),0,VLOOKUP($E568,'TRM BanRep'!$A:$G,7,0)))</f>
        <v>4810.2</v>
      </c>
      <c r="T568" s="2439">
        <f t="shared" ca="1" si="1594"/>
        <v>-24051</v>
      </c>
      <c r="U568" s="1158">
        <f t="shared" si="1595"/>
        <v>-5</v>
      </c>
      <c r="V568" s="2440">
        <f t="shared" ca="1" si="1596"/>
        <v>-24493.699999999997</v>
      </c>
      <c r="W568" s="2441">
        <f t="shared" ca="1" si="1597"/>
        <v>442.69999999999709</v>
      </c>
      <c r="X568" s="2442">
        <f t="shared" ca="1" si="1598"/>
        <v>0</v>
      </c>
      <c r="Y568" s="636"/>
      <c r="Z568" s="1055"/>
      <c r="AA568" s="2329">
        <f t="shared" ca="1" si="1599"/>
        <v>0</v>
      </c>
      <c r="AB568" s="2158">
        <f t="shared" ca="1" si="1599"/>
        <v>0</v>
      </c>
      <c r="AC568" s="2158">
        <f t="shared" ca="1" si="1599"/>
        <v>-5</v>
      </c>
      <c r="AD568" s="2158">
        <f t="shared" ca="1" si="1599"/>
        <v>0</v>
      </c>
      <c r="AE568" s="2158">
        <f t="shared" ca="1" si="1599"/>
        <v>0</v>
      </c>
      <c r="AF568" s="2120">
        <f t="shared" ca="1" si="1599"/>
        <v>0</v>
      </c>
      <c r="AG568" s="2120">
        <f t="shared" ca="1" si="1599"/>
        <v>0</v>
      </c>
      <c r="AH568" s="2120">
        <f t="shared" ca="1" si="1599"/>
        <v>0</v>
      </c>
      <c r="AI568" s="2120">
        <f t="shared" ca="1" si="1599"/>
        <v>0</v>
      </c>
      <c r="AJ568" s="2120">
        <f t="shared" ca="1" si="1600"/>
        <v>0</v>
      </c>
      <c r="AK568" s="2120">
        <f t="shared" ca="1" si="1599"/>
        <v>0</v>
      </c>
      <c r="AL568" s="2314">
        <f t="shared" ca="1" si="1599"/>
        <v>0</v>
      </c>
      <c r="AM568" s="2120">
        <f t="shared" ca="1" si="1599"/>
        <v>0</v>
      </c>
      <c r="AN568" s="2120">
        <f t="shared" ca="1" si="1599"/>
        <v>0</v>
      </c>
      <c r="AO568" s="2120">
        <f t="shared" ca="1" si="1599"/>
        <v>0</v>
      </c>
      <c r="AP568" s="2120">
        <f t="shared" ca="1" si="1599"/>
        <v>0</v>
      </c>
      <c r="AQ568" s="2120">
        <f t="shared" ca="1" si="1601"/>
        <v>0</v>
      </c>
      <c r="AR568" s="2120">
        <f t="shared" ca="1" si="1601"/>
        <v>0</v>
      </c>
      <c r="AS568" s="2120">
        <f t="shared" ca="1" si="1601"/>
        <v>0</v>
      </c>
      <c r="AT568" s="2120">
        <f t="shared" ca="1" si="1601"/>
        <v>0</v>
      </c>
      <c r="AU568" s="2120">
        <f t="shared" ca="1" si="1601"/>
        <v>0</v>
      </c>
      <c r="AV568" s="2120">
        <f t="shared" ca="1" si="1601"/>
        <v>0</v>
      </c>
      <c r="AW568" s="2120">
        <f t="shared" ca="1" si="1601"/>
        <v>0</v>
      </c>
      <c r="AX568" s="2120">
        <f t="shared" ca="1" si="1601"/>
        <v>0</v>
      </c>
      <c r="AY568" s="2120">
        <f t="shared" ca="1" si="1601"/>
        <v>0</v>
      </c>
      <c r="AZ568" s="2120">
        <f t="shared" ca="1" si="1601"/>
        <v>0</v>
      </c>
      <c r="BA568" s="2120">
        <f t="shared" ca="1" si="1601"/>
        <v>0</v>
      </c>
      <c r="BB568" s="2120">
        <f t="shared" ca="1" si="1601"/>
        <v>0</v>
      </c>
      <c r="BC568" s="2120">
        <f t="shared" ca="1" si="1601"/>
        <v>0</v>
      </c>
      <c r="BD568" s="2120">
        <f t="shared" ca="1" si="1601"/>
        <v>0</v>
      </c>
      <c r="BE568" s="2120">
        <f t="shared" ca="1" si="1601"/>
        <v>0</v>
      </c>
      <c r="BF568" s="2120">
        <f t="shared" ca="1" si="1601"/>
        <v>0</v>
      </c>
      <c r="BG568" s="2120">
        <f t="shared" ca="1" si="1602"/>
        <v>0</v>
      </c>
      <c r="BH568" s="2120">
        <f t="shared" ca="1" si="1602"/>
        <v>0</v>
      </c>
      <c r="BI568" s="2120">
        <f t="shared" ca="1" si="1602"/>
        <v>0</v>
      </c>
      <c r="BJ568" s="2120">
        <f t="shared" ca="1" si="1602"/>
        <v>0</v>
      </c>
      <c r="BK568" s="2120">
        <f t="shared" ca="1" si="1602"/>
        <v>0</v>
      </c>
      <c r="BL568" s="2120">
        <f t="shared" ca="1" si="1602"/>
        <v>0</v>
      </c>
      <c r="BM568" s="2120">
        <f t="shared" ca="1" si="1602"/>
        <v>0</v>
      </c>
      <c r="BN568" s="2120">
        <f t="shared" ca="1" si="1602"/>
        <v>0</v>
      </c>
      <c r="BO568" s="2120">
        <f t="shared" ca="1" si="1602"/>
        <v>0</v>
      </c>
      <c r="BP568" s="2120">
        <f t="shared" ca="1" si="1602"/>
        <v>0</v>
      </c>
      <c r="BQ568" s="2120">
        <f t="shared" ca="1" si="1602"/>
        <v>0</v>
      </c>
      <c r="BR568" s="2120">
        <f t="shared" ca="1" si="1602"/>
        <v>0</v>
      </c>
      <c r="BS568" s="2120">
        <f t="shared" ca="1" si="1602"/>
        <v>0</v>
      </c>
      <c r="BT568" s="2120">
        <f t="shared" ca="1" si="1602"/>
        <v>0</v>
      </c>
      <c r="BU568" s="2120">
        <f t="shared" ca="1" si="1602"/>
        <v>0</v>
      </c>
      <c r="BV568" s="2120">
        <f t="shared" ca="1" si="1602"/>
        <v>0</v>
      </c>
      <c r="BW568" s="2120">
        <f t="shared" ca="1" si="1603"/>
        <v>0</v>
      </c>
      <c r="BX568" s="2120">
        <f t="shared" ca="1" si="1603"/>
        <v>0</v>
      </c>
      <c r="BY568" s="2120">
        <f t="shared" ca="1" si="1603"/>
        <v>0</v>
      </c>
      <c r="BZ568" s="2120">
        <f t="shared" ca="1" si="1603"/>
        <v>0</v>
      </c>
      <c r="CA568" s="2120">
        <f t="shared" ca="1" si="1603"/>
        <v>0</v>
      </c>
      <c r="CB568" s="2120">
        <f t="shared" ca="1" si="1603"/>
        <v>0</v>
      </c>
      <c r="CC568" s="2120">
        <f t="shared" ca="1" si="1603"/>
        <v>0</v>
      </c>
      <c r="CD568" s="2120">
        <f t="shared" ca="1" si="1603"/>
        <v>0</v>
      </c>
      <c r="CE568" s="2120">
        <f t="shared" ca="1" si="1603"/>
        <v>0</v>
      </c>
      <c r="CF568" s="2120">
        <f t="shared" ca="1" si="1603"/>
        <v>0</v>
      </c>
      <c r="CG568" s="2120">
        <f t="shared" ca="1" si="1603"/>
        <v>0</v>
      </c>
      <c r="CH568" s="2120">
        <f t="shared" ca="1" si="1603"/>
        <v>0</v>
      </c>
      <c r="CI568" s="2120">
        <f t="shared" ca="1" si="1603"/>
        <v>0</v>
      </c>
      <c r="CJ568" s="2120">
        <f t="shared" ca="1" si="1603"/>
        <v>0</v>
      </c>
      <c r="CK568" s="2120">
        <f t="shared" ca="1" si="1603"/>
        <v>0</v>
      </c>
      <c r="CL568" s="2120">
        <f t="shared" ca="1" si="1603"/>
        <v>0</v>
      </c>
      <c r="CM568" s="2120">
        <f t="shared" ca="1" si="1604"/>
        <v>0</v>
      </c>
      <c r="CN568" s="2120">
        <f t="shared" ca="1" si="1604"/>
        <v>0</v>
      </c>
      <c r="CO568" s="2120">
        <f t="shared" ca="1" si="1604"/>
        <v>0</v>
      </c>
      <c r="CP568" s="2120">
        <f t="shared" ca="1" si="1604"/>
        <v>0</v>
      </c>
      <c r="CQ568" s="2120">
        <f t="shared" ca="1" si="1604"/>
        <v>0</v>
      </c>
      <c r="CR568" s="2120">
        <f t="shared" ca="1" si="1604"/>
        <v>0</v>
      </c>
      <c r="CS568" s="2120">
        <f t="shared" ca="1" si="1604"/>
        <v>0</v>
      </c>
      <c r="CT568" s="2120">
        <f t="shared" ca="1" si="1604"/>
        <v>0</v>
      </c>
      <c r="CU568" s="2120">
        <f t="shared" ca="1" si="1604"/>
        <v>0</v>
      </c>
      <c r="CV568" s="2120">
        <f t="shared" ca="1" si="1604"/>
        <v>0</v>
      </c>
      <c r="CW568" s="2120">
        <f t="shared" ca="1" si="1604"/>
        <v>0</v>
      </c>
      <c r="CX568" s="2120">
        <f t="shared" ca="1" si="1604"/>
        <v>0</v>
      </c>
      <c r="CY568" s="2120">
        <f t="shared" ca="1" si="1604"/>
        <v>0</v>
      </c>
      <c r="CZ568" s="2120">
        <f t="shared" ca="1" si="1604"/>
        <v>0</v>
      </c>
      <c r="DA568" s="2120">
        <f t="shared" ca="1" si="1604"/>
        <v>0</v>
      </c>
      <c r="DB568" s="2120">
        <f t="shared" ca="1" si="1604"/>
        <v>0</v>
      </c>
      <c r="DC568" s="2120">
        <f t="shared" ca="1" si="1605"/>
        <v>0</v>
      </c>
      <c r="DD568" s="2120">
        <f t="shared" ca="1" si="1605"/>
        <v>0</v>
      </c>
      <c r="DE568" s="2120">
        <f t="shared" ca="1" si="1605"/>
        <v>0</v>
      </c>
      <c r="DF568" s="2120">
        <f t="shared" ca="1" si="1605"/>
        <v>0</v>
      </c>
      <c r="DG568" s="2120">
        <f t="shared" ca="1" si="1605"/>
        <v>0</v>
      </c>
      <c r="DH568" s="2120">
        <f t="shared" ca="1" si="1605"/>
        <v>0</v>
      </c>
      <c r="DI568" s="2120">
        <f t="shared" ca="1" si="1605"/>
        <v>0</v>
      </c>
      <c r="DJ568" s="2120">
        <f t="shared" ca="1" si="1605"/>
        <v>0</v>
      </c>
      <c r="DK568" s="2120">
        <f t="shared" ca="1" si="1605"/>
        <v>0</v>
      </c>
      <c r="DL568" s="2120">
        <f t="shared" ca="1" si="1605"/>
        <v>0</v>
      </c>
      <c r="DM568" s="2120">
        <f t="shared" ca="1" si="1605"/>
        <v>0</v>
      </c>
      <c r="DN568" s="2120">
        <f t="shared" ca="1" si="1605"/>
        <v>0</v>
      </c>
      <c r="DO568" s="2120">
        <f t="shared" ca="1" si="1605"/>
        <v>0</v>
      </c>
      <c r="DP568" s="2120">
        <f t="shared" ca="1" si="1605"/>
        <v>0</v>
      </c>
    </row>
    <row r="569" spans="1:120" s="165" customFormat="1" outlineLevel="1">
      <c r="A569" s="2422">
        <v>1110052090</v>
      </c>
      <c r="B569" s="2423" t="s">
        <v>2217</v>
      </c>
      <c r="C569" s="2424" t="s">
        <v>64</v>
      </c>
      <c r="D569" s="2425">
        <v>1100003407</v>
      </c>
      <c r="E569" s="2426">
        <v>44957</v>
      </c>
      <c r="F569" s="2427"/>
      <c r="G569" s="2428"/>
      <c r="H569" s="2429"/>
      <c r="I569" s="2430"/>
      <c r="J569" s="2431">
        <v>1</v>
      </c>
      <c r="K569" s="2432">
        <v>1</v>
      </c>
      <c r="L569" s="2433">
        <v>2005.74</v>
      </c>
      <c r="M569" s="2434">
        <f t="shared" ref="M569:M571" si="1606">+L569*J569</f>
        <v>2005.74</v>
      </c>
      <c r="N569" s="2435">
        <f ca="1">IF(OR(E569="",E569&gt;TODAY()),0,IF(ISERROR(VLOOKUP($E569,'TRM BanRep'!$A:$G,7,0)),0,VLOOKUP($E569,'TRM BanRep'!$A:$G,7,0)))</f>
        <v>4632.2</v>
      </c>
      <c r="O569" s="2436">
        <f t="shared" ref="O569:O571" ca="1" si="1607">+L569*J569*N569</f>
        <v>9290988.8279999997</v>
      </c>
      <c r="P569" s="2437"/>
      <c r="Q569" s="2437">
        <f t="shared" ref="Q569:Q571" si="1608">+P569*K569</f>
        <v>0</v>
      </c>
      <c r="R569" s="2438"/>
      <c r="S569" s="2438">
        <f ca="1">IF(OR(E569="",E569&gt;TODAY()),0,IF(ISERROR(VLOOKUP($E569,'TRM BanRep'!$A:$G,7,0)),0,VLOOKUP($E569,'TRM BanRep'!$A:$G,7,0)))</f>
        <v>4632.2</v>
      </c>
      <c r="T569" s="2439">
        <f t="shared" ref="T569:T571" ca="1" si="1609">+P569*K569*S569</f>
        <v>0</v>
      </c>
      <c r="U569" s="1158">
        <f t="shared" ref="U569:U571" si="1610">+L569+P569+F569</f>
        <v>2005.74</v>
      </c>
      <c r="V569" s="2440">
        <f t="shared" ref="V569:V571" ca="1" si="1611">+P569*J569*R569+L569*J569*N569+F569*K569*H569</f>
        <v>9290988.8279999997</v>
      </c>
      <c r="W569" s="2441">
        <f t="shared" ref="W569:W571" ca="1" si="1612">IF((-P569*J569*R569)-(-P569*K569*S569)&gt;0,(-P569*J569*R569)-(-P569*K569*S569),0)</f>
        <v>0</v>
      </c>
      <c r="X569" s="2442">
        <f t="shared" ref="X569:X571" ca="1" si="1613">IF((-P569*J569*R569)-(-P569*K569*S569)&lt;0,(-P569*J569*R569)-(-P569*K569*S569),0)</f>
        <v>0</v>
      </c>
      <c r="Y569" s="636"/>
      <c r="Z569" s="1055"/>
      <c r="AA569" s="2329">
        <f t="shared" si="1599"/>
        <v>0</v>
      </c>
      <c r="AB569" s="2158">
        <f t="shared" si="1599"/>
        <v>0</v>
      </c>
      <c r="AC569" s="2158">
        <f t="shared" si="1599"/>
        <v>0</v>
      </c>
      <c r="AD569" s="2158">
        <f t="shared" si="1599"/>
        <v>0</v>
      </c>
      <c r="AE569" s="2158">
        <f t="shared" si="1599"/>
        <v>0</v>
      </c>
      <c r="AF569" s="2120">
        <f t="shared" si="1599"/>
        <v>0</v>
      </c>
      <c r="AG569" s="2120">
        <f t="shared" si="1599"/>
        <v>0</v>
      </c>
      <c r="AH569" s="2120">
        <f t="shared" si="1599"/>
        <v>0</v>
      </c>
      <c r="AI569" s="2120">
        <f t="shared" si="1599"/>
        <v>0</v>
      </c>
      <c r="AJ569" s="2120">
        <f t="shared" si="1600"/>
        <v>0</v>
      </c>
      <c r="AK569" s="2120">
        <f t="shared" si="1599"/>
        <v>0</v>
      </c>
      <c r="AL569" s="2314">
        <f t="shared" si="1599"/>
        <v>0</v>
      </c>
      <c r="AM569" s="2120">
        <f t="shared" si="1599"/>
        <v>2005.74</v>
      </c>
      <c r="AN569" s="2120">
        <f t="shared" si="1599"/>
        <v>0</v>
      </c>
      <c r="AO569" s="2120">
        <f t="shared" si="1599"/>
        <v>0</v>
      </c>
      <c r="AP569" s="2120">
        <f t="shared" si="1599"/>
        <v>0</v>
      </c>
      <c r="AQ569" s="2120">
        <f t="shared" si="1601"/>
        <v>0</v>
      </c>
      <c r="AR569" s="2120">
        <f t="shared" si="1601"/>
        <v>0</v>
      </c>
      <c r="AS569" s="2120">
        <f t="shared" si="1601"/>
        <v>0</v>
      </c>
      <c r="AT569" s="2120">
        <f t="shared" si="1601"/>
        <v>0</v>
      </c>
      <c r="AU569" s="2120">
        <f t="shared" si="1601"/>
        <v>0</v>
      </c>
      <c r="AV569" s="2120">
        <f t="shared" si="1601"/>
        <v>0</v>
      </c>
      <c r="AW569" s="2120">
        <f t="shared" si="1601"/>
        <v>0</v>
      </c>
      <c r="AX569" s="2120">
        <f t="shared" si="1601"/>
        <v>0</v>
      </c>
      <c r="AY569" s="2120">
        <f t="shared" si="1601"/>
        <v>0</v>
      </c>
      <c r="AZ569" s="2120">
        <f t="shared" si="1601"/>
        <v>0</v>
      </c>
      <c r="BA569" s="2120">
        <f t="shared" si="1601"/>
        <v>0</v>
      </c>
      <c r="BB569" s="2120">
        <f t="shared" si="1601"/>
        <v>0</v>
      </c>
      <c r="BC569" s="2120">
        <f t="shared" si="1601"/>
        <v>0</v>
      </c>
      <c r="BD569" s="2120">
        <f t="shared" si="1601"/>
        <v>0</v>
      </c>
      <c r="BE569" s="2120">
        <f t="shared" si="1601"/>
        <v>0</v>
      </c>
      <c r="BF569" s="2120">
        <f t="shared" si="1601"/>
        <v>0</v>
      </c>
      <c r="BG569" s="2120">
        <f t="shared" si="1602"/>
        <v>0</v>
      </c>
      <c r="BH569" s="2120">
        <f t="shared" si="1602"/>
        <v>0</v>
      </c>
      <c r="BI569" s="2120">
        <f t="shared" si="1602"/>
        <v>0</v>
      </c>
      <c r="BJ569" s="2120">
        <f t="shared" si="1602"/>
        <v>0</v>
      </c>
      <c r="BK569" s="2120">
        <f t="shared" si="1602"/>
        <v>0</v>
      </c>
      <c r="BL569" s="2120">
        <f t="shared" si="1602"/>
        <v>0</v>
      </c>
      <c r="BM569" s="2120">
        <f t="shared" si="1602"/>
        <v>0</v>
      </c>
      <c r="BN569" s="2120">
        <f t="shared" si="1602"/>
        <v>0</v>
      </c>
      <c r="BO569" s="2120">
        <f t="shared" si="1602"/>
        <v>0</v>
      </c>
      <c r="BP569" s="2120">
        <f t="shared" si="1602"/>
        <v>0</v>
      </c>
      <c r="BQ569" s="2120">
        <f t="shared" si="1602"/>
        <v>0</v>
      </c>
      <c r="BR569" s="2120">
        <f t="shared" si="1602"/>
        <v>0</v>
      </c>
      <c r="BS569" s="2120">
        <f t="shared" si="1602"/>
        <v>0</v>
      </c>
      <c r="BT569" s="2120">
        <f t="shared" si="1602"/>
        <v>0</v>
      </c>
      <c r="BU569" s="2120">
        <f t="shared" si="1602"/>
        <v>0</v>
      </c>
      <c r="BV569" s="2120">
        <f t="shared" si="1602"/>
        <v>0</v>
      </c>
      <c r="BW569" s="2120">
        <f t="shared" si="1603"/>
        <v>0</v>
      </c>
      <c r="BX569" s="2120">
        <f t="shared" si="1603"/>
        <v>0</v>
      </c>
      <c r="BY569" s="2120">
        <f t="shared" si="1603"/>
        <v>0</v>
      </c>
      <c r="BZ569" s="2120">
        <f t="shared" si="1603"/>
        <v>0</v>
      </c>
      <c r="CA569" s="2120">
        <f t="shared" si="1603"/>
        <v>0</v>
      </c>
      <c r="CB569" s="2120">
        <f t="shared" si="1603"/>
        <v>0</v>
      </c>
      <c r="CC569" s="2120">
        <f t="shared" si="1603"/>
        <v>0</v>
      </c>
      <c r="CD569" s="2120">
        <f t="shared" si="1603"/>
        <v>0</v>
      </c>
      <c r="CE569" s="2120">
        <f t="shared" si="1603"/>
        <v>0</v>
      </c>
      <c r="CF569" s="2120">
        <f t="shared" si="1603"/>
        <v>0</v>
      </c>
      <c r="CG569" s="2120">
        <f t="shared" si="1603"/>
        <v>0</v>
      </c>
      <c r="CH569" s="2120">
        <f t="shared" si="1603"/>
        <v>0</v>
      </c>
      <c r="CI569" s="2120">
        <f t="shared" si="1603"/>
        <v>0</v>
      </c>
      <c r="CJ569" s="2120">
        <f t="shared" si="1603"/>
        <v>0</v>
      </c>
      <c r="CK569" s="2120">
        <f t="shared" si="1603"/>
        <v>0</v>
      </c>
      <c r="CL569" s="2120">
        <f t="shared" si="1603"/>
        <v>0</v>
      </c>
      <c r="CM569" s="2120">
        <f t="shared" si="1604"/>
        <v>0</v>
      </c>
      <c r="CN569" s="2120">
        <f t="shared" si="1604"/>
        <v>0</v>
      </c>
      <c r="CO569" s="2120">
        <f t="shared" si="1604"/>
        <v>0</v>
      </c>
      <c r="CP569" s="2120">
        <f t="shared" si="1604"/>
        <v>0</v>
      </c>
      <c r="CQ569" s="2120">
        <f t="shared" si="1604"/>
        <v>0</v>
      </c>
      <c r="CR569" s="2120">
        <f t="shared" si="1604"/>
        <v>0</v>
      </c>
      <c r="CS569" s="2120">
        <f t="shared" si="1604"/>
        <v>0</v>
      </c>
      <c r="CT569" s="2120">
        <f t="shared" si="1604"/>
        <v>0</v>
      </c>
      <c r="CU569" s="2120">
        <f t="shared" si="1604"/>
        <v>0</v>
      </c>
      <c r="CV569" s="2120">
        <f t="shared" si="1604"/>
        <v>0</v>
      </c>
      <c r="CW569" s="2120">
        <f t="shared" si="1604"/>
        <v>0</v>
      </c>
      <c r="CX569" s="2120">
        <f t="shared" si="1604"/>
        <v>0</v>
      </c>
      <c r="CY569" s="2120">
        <f t="shared" si="1604"/>
        <v>0</v>
      </c>
      <c r="CZ569" s="2120">
        <f t="shared" si="1604"/>
        <v>0</v>
      </c>
      <c r="DA569" s="2120">
        <f t="shared" si="1604"/>
        <v>0</v>
      </c>
      <c r="DB569" s="2120">
        <f t="shared" si="1604"/>
        <v>0</v>
      </c>
      <c r="DC569" s="2120">
        <f t="shared" si="1605"/>
        <v>0</v>
      </c>
      <c r="DD569" s="2120">
        <f t="shared" si="1605"/>
        <v>0</v>
      </c>
      <c r="DE569" s="2120">
        <f t="shared" si="1605"/>
        <v>0</v>
      </c>
      <c r="DF569" s="2120">
        <f t="shared" si="1605"/>
        <v>0</v>
      </c>
      <c r="DG569" s="2120">
        <f t="shared" si="1605"/>
        <v>0</v>
      </c>
      <c r="DH569" s="2120">
        <f t="shared" si="1605"/>
        <v>0</v>
      </c>
      <c r="DI569" s="2120">
        <f t="shared" si="1605"/>
        <v>0</v>
      </c>
      <c r="DJ569" s="2120">
        <f t="shared" si="1605"/>
        <v>0</v>
      </c>
      <c r="DK569" s="2120">
        <f t="shared" si="1605"/>
        <v>0</v>
      </c>
      <c r="DL569" s="2120">
        <f t="shared" si="1605"/>
        <v>0</v>
      </c>
      <c r="DM569" s="2120">
        <f t="shared" si="1605"/>
        <v>0</v>
      </c>
      <c r="DN569" s="2120">
        <f t="shared" si="1605"/>
        <v>0</v>
      </c>
      <c r="DO569" s="2120">
        <f t="shared" si="1605"/>
        <v>0</v>
      </c>
      <c r="DP569" s="2120">
        <f t="shared" si="1605"/>
        <v>0</v>
      </c>
    </row>
    <row r="570" spans="1:120" s="165" customFormat="1" outlineLevel="1">
      <c r="A570" s="1221">
        <v>1110052090</v>
      </c>
      <c r="B570" s="1222" t="s">
        <v>2226</v>
      </c>
      <c r="C570" s="2390" t="s">
        <v>64</v>
      </c>
      <c r="D570" s="1712">
        <v>1100003408</v>
      </c>
      <c r="E570" s="2418">
        <v>44918</v>
      </c>
      <c r="F570" s="1224"/>
      <c r="G570" s="1266"/>
      <c r="H570" s="1225"/>
      <c r="I570" s="1226"/>
      <c r="J570" s="1604">
        <v>1</v>
      </c>
      <c r="K570" s="1605">
        <v>1</v>
      </c>
      <c r="L570" s="1606">
        <v>2500000</v>
      </c>
      <c r="M570" s="1631">
        <f t="shared" si="1606"/>
        <v>2500000</v>
      </c>
      <c r="N570" s="1228">
        <v>4760.6099999999997</v>
      </c>
      <c r="O570" s="1229">
        <f t="shared" si="1607"/>
        <v>11901525000</v>
      </c>
      <c r="P570" s="1230"/>
      <c r="Q570" s="1230">
        <f t="shared" si="1608"/>
        <v>0</v>
      </c>
      <c r="R570" s="1231"/>
      <c r="S570" s="1231">
        <f ca="1">IF(OR(E570="",E570&gt;TODAY()),0,IF(ISERROR(VLOOKUP($E570,'TRM BanRep'!$A:$G,7,0)),0,VLOOKUP($E570,'TRM BanRep'!$A:$G,7,0)))</f>
        <v>4760.6099999999997</v>
      </c>
      <c r="T570" s="2388">
        <f t="shared" ca="1" si="1609"/>
        <v>0</v>
      </c>
      <c r="U570" s="2012">
        <f t="shared" si="1610"/>
        <v>2500000</v>
      </c>
      <c r="V570" s="566">
        <f t="shared" si="1611"/>
        <v>11901525000</v>
      </c>
      <c r="W570" s="2389">
        <f t="shared" ca="1" si="1612"/>
        <v>0</v>
      </c>
      <c r="X570" s="1236">
        <f t="shared" ca="1" si="1613"/>
        <v>0</v>
      </c>
      <c r="Y570" s="1237"/>
      <c r="Z570" s="1055"/>
      <c r="AA570" s="2329">
        <f t="shared" si="1599"/>
        <v>2500000</v>
      </c>
      <c r="AB570" s="2158">
        <f t="shared" si="1599"/>
        <v>0</v>
      </c>
      <c r="AC570" s="2158">
        <f t="shared" si="1599"/>
        <v>0</v>
      </c>
      <c r="AD570" s="2158">
        <f t="shared" si="1599"/>
        <v>0</v>
      </c>
      <c r="AE570" s="2158">
        <f t="shared" si="1599"/>
        <v>0</v>
      </c>
      <c r="AF570" s="2120">
        <f t="shared" si="1599"/>
        <v>0</v>
      </c>
      <c r="AG570" s="2120">
        <f t="shared" si="1599"/>
        <v>0</v>
      </c>
      <c r="AH570" s="2120">
        <f t="shared" si="1599"/>
        <v>0</v>
      </c>
      <c r="AI570" s="2120">
        <f t="shared" si="1599"/>
        <v>0</v>
      </c>
      <c r="AJ570" s="2120">
        <f t="shared" si="1600"/>
        <v>0</v>
      </c>
      <c r="AK570" s="2120">
        <f t="shared" si="1599"/>
        <v>0</v>
      </c>
      <c r="AL570" s="2314">
        <f t="shared" si="1599"/>
        <v>0</v>
      </c>
      <c r="AM570" s="2120">
        <f t="shared" si="1599"/>
        <v>0</v>
      </c>
      <c r="AN570" s="2120">
        <f t="shared" si="1599"/>
        <v>0</v>
      </c>
      <c r="AO570" s="2120">
        <f t="shared" si="1599"/>
        <v>0</v>
      </c>
      <c r="AP570" s="2120">
        <f t="shared" si="1599"/>
        <v>0</v>
      </c>
      <c r="AQ570" s="2120">
        <f t="shared" si="1601"/>
        <v>0</v>
      </c>
      <c r="AR570" s="2120">
        <f t="shared" si="1601"/>
        <v>0</v>
      </c>
      <c r="AS570" s="2120">
        <f t="shared" si="1601"/>
        <v>0</v>
      </c>
      <c r="AT570" s="2120">
        <f t="shared" si="1601"/>
        <v>0</v>
      </c>
      <c r="AU570" s="2120">
        <f t="shared" si="1601"/>
        <v>0</v>
      </c>
      <c r="AV570" s="2120">
        <f t="shared" si="1601"/>
        <v>0</v>
      </c>
      <c r="AW570" s="2120">
        <f t="shared" si="1601"/>
        <v>0</v>
      </c>
      <c r="AX570" s="2120">
        <f t="shared" si="1601"/>
        <v>0</v>
      </c>
      <c r="AY570" s="2120">
        <f t="shared" si="1601"/>
        <v>0</v>
      </c>
      <c r="AZ570" s="2120">
        <f t="shared" si="1601"/>
        <v>0</v>
      </c>
      <c r="BA570" s="2120">
        <f t="shared" si="1601"/>
        <v>0</v>
      </c>
      <c r="BB570" s="2120">
        <f t="shared" si="1601"/>
        <v>0</v>
      </c>
      <c r="BC570" s="2120">
        <f t="shared" si="1601"/>
        <v>0</v>
      </c>
      <c r="BD570" s="2120">
        <f t="shared" si="1601"/>
        <v>0</v>
      </c>
      <c r="BE570" s="2120">
        <f t="shared" si="1601"/>
        <v>0</v>
      </c>
      <c r="BF570" s="2120">
        <f t="shared" si="1601"/>
        <v>0</v>
      </c>
      <c r="BG570" s="2120">
        <f t="shared" si="1602"/>
        <v>0</v>
      </c>
      <c r="BH570" s="2120">
        <f t="shared" si="1602"/>
        <v>0</v>
      </c>
      <c r="BI570" s="2120">
        <f t="shared" si="1602"/>
        <v>0</v>
      </c>
      <c r="BJ570" s="2120">
        <f t="shared" si="1602"/>
        <v>0</v>
      </c>
      <c r="BK570" s="2120">
        <f t="shared" si="1602"/>
        <v>0</v>
      </c>
      <c r="BL570" s="2120">
        <f t="shared" si="1602"/>
        <v>0</v>
      </c>
      <c r="BM570" s="2120">
        <f t="shared" si="1602"/>
        <v>0</v>
      </c>
      <c r="BN570" s="2120">
        <f t="shared" si="1602"/>
        <v>0</v>
      </c>
      <c r="BO570" s="2120">
        <f t="shared" si="1602"/>
        <v>0</v>
      </c>
      <c r="BP570" s="2120">
        <f t="shared" si="1602"/>
        <v>0</v>
      </c>
      <c r="BQ570" s="2120">
        <f t="shared" si="1602"/>
        <v>0</v>
      </c>
      <c r="BR570" s="2120">
        <f t="shared" si="1602"/>
        <v>0</v>
      </c>
      <c r="BS570" s="2120">
        <f t="shared" si="1602"/>
        <v>0</v>
      </c>
      <c r="BT570" s="2120">
        <f t="shared" si="1602"/>
        <v>0</v>
      </c>
      <c r="BU570" s="2120">
        <f t="shared" si="1602"/>
        <v>0</v>
      </c>
      <c r="BV570" s="2120">
        <f t="shared" si="1602"/>
        <v>0</v>
      </c>
      <c r="BW570" s="2120">
        <f t="shared" si="1603"/>
        <v>0</v>
      </c>
      <c r="BX570" s="2120">
        <f t="shared" si="1603"/>
        <v>0</v>
      </c>
      <c r="BY570" s="2120">
        <f t="shared" si="1603"/>
        <v>0</v>
      </c>
      <c r="BZ570" s="2120">
        <f t="shared" si="1603"/>
        <v>0</v>
      </c>
      <c r="CA570" s="2120">
        <f t="shared" si="1603"/>
        <v>0</v>
      </c>
      <c r="CB570" s="2120">
        <f t="shared" si="1603"/>
        <v>0</v>
      </c>
      <c r="CC570" s="2120">
        <f t="shared" si="1603"/>
        <v>0</v>
      </c>
      <c r="CD570" s="2120">
        <f t="shared" si="1603"/>
        <v>0</v>
      </c>
      <c r="CE570" s="2120">
        <f t="shared" si="1603"/>
        <v>0</v>
      </c>
      <c r="CF570" s="2120">
        <f t="shared" si="1603"/>
        <v>0</v>
      </c>
      <c r="CG570" s="2120">
        <f t="shared" si="1603"/>
        <v>0</v>
      </c>
      <c r="CH570" s="2120">
        <f t="shared" si="1603"/>
        <v>0</v>
      </c>
      <c r="CI570" s="2120">
        <f t="shared" si="1603"/>
        <v>0</v>
      </c>
      <c r="CJ570" s="2120">
        <f t="shared" si="1603"/>
        <v>0</v>
      </c>
      <c r="CK570" s="2120">
        <f t="shared" si="1603"/>
        <v>0</v>
      </c>
      <c r="CL570" s="2120">
        <f t="shared" si="1603"/>
        <v>0</v>
      </c>
      <c r="CM570" s="2120">
        <f t="shared" si="1604"/>
        <v>0</v>
      </c>
      <c r="CN570" s="2120">
        <f t="shared" si="1604"/>
        <v>0</v>
      </c>
      <c r="CO570" s="2120">
        <f t="shared" si="1604"/>
        <v>0</v>
      </c>
      <c r="CP570" s="2120">
        <f t="shared" si="1604"/>
        <v>0</v>
      </c>
      <c r="CQ570" s="2120">
        <f t="shared" si="1604"/>
        <v>0</v>
      </c>
      <c r="CR570" s="2120">
        <f t="shared" si="1604"/>
        <v>0</v>
      </c>
      <c r="CS570" s="2120">
        <f t="shared" si="1604"/>
        <v>0</v>
      </c>
      <c r="CT570" s="2120">
        <f t="shared" si="1604"/>
        <v>0</v>
      </c>
      <c r="CU570" s="2120">
        <f t="shared" si="1604"/>
        <v>0</v>
      </c>
      <c r="CV570" s="2120">
        <f t="shared" si="1604"/>
        <v>0</v>
      </c>
      <c r="CW570" s="2120">
        <f t="shared" si="1604"/>
        <v>0</v>
      </c>
      <c r="CX570" s="2120">
        <f t="shared" si="1604"/>
        <v>0</v>
      </c>
      <c r="CY570" s="2120">
        <f t="shared" si="1604"/>
        <v>0</v>
      </c>
      <c r="CZ570" s="2120">
        <f t="shared" si="1604"/>
        <v>0</v>
      </c>
      <c r="DA570" s="2120">
        <f t="shared" si="1604"/>
        <v>0</v>
      </c>
      <c r="DB570" s="2120">
        <f t="shared" si="1604"/>
        <v>0</v>
      </c>
      <c r="DC570" s="2120">
        <f t="shared" si="1605"/>
        <v>0</v>
      </c>
      <c r="DD570" s="2120">
        <f t="shared" si="1605"/>
        <v>0</v>
      </c>
      <c r="DE570" s="2120">
        <f t="shared" si="1605"/>
        <v>0</v>
      </c>
      <c r="DF570" s="2120">
        <f t="shared" si="1605"/>
        <v>0</v>
      </c>
      <c r="DG570" s="2120">
        <f t="shared" si="1605"/>
        <v>0</v>
      </c>
      <c r="DH570" s="2120">
        <f t="shared" si="1605"/>
        <v>0</v>
      </c>
      <c r="DI570" s="2120">
        <f t="shared" si="1605"/>
        <v>0</v>
      </c>
      <c r="DJ570" s="2120">
        <f t="shared" si="1605"/>
        <v>0</v>
      </c>
      <c r="DK570" s="2120">
        <f t="shared" si="1605"/>
        <v>0</v>
      </c>
      <c r="DL570" s="2120">
        <f t="shared" si="1605"/>
        <v>0</v>
      </c>
      <c r="DM570" s="2120">
        <f t="shared" si="1605"/>
        <v>0</v>
      </c>
      <c r="DN570" s="2120">
        <f t="shared" si="1605"/>
        <v>0</v>
      </c>
      <c r="DO570" s="2120">
        <f t="shared" si="1605"/>
        <v>0</v>
      </c>
      <c r="DP570" s="2120">
        <f t="shared" si="1605"/>
        <v>0</v>
      </c>
    </row>
    <row r="571" spans="1:120" s="165" customFormat="1" outlineLevel="1">
      <c r="A571" s="1221">
        <v>1110052090</v>
      </c>
      <c r="B571" s="1222" t="s">
        <v>2227</v>
      </c>
      <c r="C571" s="2390" t="s">
        <v>64</v>
      </c>
      <c r="D571" s="1712">
        <v>1100003409</v>
      </c>
      <c r="E571" s="2418">
        <v>44938</v>
      </c>
      <c r="F571" s="1224"/>
      <c r="G571" s="1266"/>
      <c r="H571" s="1225"/>
      <c r="I571" s="1226"/>
      <c r="J571" s="1604">
        <v>1</v>
      </c>
      <c r="K571" s="1605">
        <v>1</v>
      </c>
      <c r="L571" s="1606">
        <v>28000000</v>
      </c>
      <c r="M571" s="1631">
        <f t="shared" si="1606"/>
        <v>28000000</v>
      </c>
      <c r="N571" s="1228">
        <v>4748.54</v>
      </c>
      <c r="O571" s="1229">
        <f t="shared" si="1607"/>
        <v>132959120000</v>
      </c>
      <c r="P571" s="1230"/>
      <c r="Q571" s="1230">
        <f t="shared" si="1608"/>
        <v>0</v>
      </c>
      <c r="R571" s="1231"/>
      <c r="S571" s="1231">
        <f ca="1">IF(OR(E571="",E571&gt;TODAY()),0,IF(ISERROR(VLOOKUP($E571,'TRM BanRep'!$A:$G,7,0)),0,VLOOKUP($E571,'TRM BanRep'!$A:$G,7,0)))</f>
        <v>4748.54</v>
      </c>
      <c r="T571" s="2388">
        <f t="shared" ca="1" si="1609"/>
        <v>0</v>
      </c>
      <c r="U571" s="2012">
        <f t="shared" si="1610"/>
        <v>28000000</v>
      </c>
      <c r="V571" s="566">
        <f t="shared" si="1611"/>
        <v>132959120000</v>
      </c>
      <c r="W571" s="2389">
        <f t="shared" ca="1" si="1612"/>
        <v>0</v>
      </c>
      <c r="X571" s="1236">
        <f t="shared" ca="1" si="1613"/>
        <v>0</v>
      </c>
      <c r="Y571" s="1237"/>
      <c r="Z571" s="1055"/>
      <c r="AA571" s="2329">
        <f t="shared" si="1599"/>
        <v>0</v>
      </c>
      <c r="AB571" s="2158">
        <f t="shared" si="1599"/>
        <v>0</v>
      </c>
      <c r="AC571" s="2158">
        <f t="shared" si="1599"/>
        <v>0</v>
      </c>
      <c r="AD571" s="2158">
        <f t="shared" si="1599"/>
        <v>0</v>
      </c>
      <c r="AE571" s="2158">
        <f t="shared" si="1599"/>
        <v>0</v>
      </c>
      <c r="AF571" s="2120">
        <f t="shared" si="1599"/>
        <v>0</v>
      </c>
      <c r="AG571" s="2120">
        <f t="shared" si="1599"/>
        <v>0</v>
      </c>
      <c r="AH571" s="2120">
        <f t="shared" si="1599"/>
        <v>0</v>
      </c>
      <c r="AI571" s="2120">
        <f t="shared" si="1599"/>
        <v>28000000</v>
      </c>
      <c r="AJ571" s="2120">
        <f t="shared" si="1600"/>
        <v>0</v>
      </c>
      <c r="AK571" s="2120">
        <f t="shared" si="1599"/>
        <v>0</v>
      </c>
      <c r="AL571" s="2314">
        <f t="shared" si="1599"/>
        <v>0</v>
      </c>
      <c r="AM571" s="2120">
        <f t="shared" si="1599"/>
        <v>0</v>
      </c>
      <c r="AN571" s="2120">
        <f t="shared" si="1599"/>
        <v>0</v>
      </c>
      <c r="AO571" s="2120">
        <f t="shared" si="1599"/>
        <v>0</v>
      </c>
      <c r="AP571" s="2120">
        <f t="shared" si="1599"/>
        <v>0</v>
      </c>
      <c r="AQ571" s="2120">
        <f t="shared" si="1601"/>
        <v>0</v>
      </c>
      <c r="AR571" s="2120">
        <f t="shared" si="1601"/>
        <v>0</v>
      </c>
      <c r="AS571" s="2120">
        <f t="shared" si="1601"/>
        <v>0</v>
      </c>
      <c r="AT571" s="2120">
        <f t="shared" si="1601"/>
        <v>0</v>
      </c>
      <c r="AU571" s="2120">
        <f t="shared" si="1601"/>
        <v>0</v>
      </c>
      <c r="AV571" s="2120">
        <f t="shared" si="1601"/>
        <v>0</v>
      </c>
      <c r="AW571" s="2120">
        <f t="shared" si="1601"/>
        <v>0</v>
      </c>
      <c r="AX571" s="2120">
        <f t="shared" si="1601"/>
        <v>0</v>
      </c>
      <c r="AY571" s="2120">
        <f t="shared" si="1601"/>
        <v>0</v>
      </c>
      <c r="AZ571" s="2120">
        <f t="shared" si="1601"/>
        <v>0</v>
      </c>
      <c r="BA571" s="2120">
        <f t="shared" si="1601"/>
        <v>0</v>
      </c>
      <c r="BB571" s="2120">
        <f t="shared" si="1601"/>
        <v>0</v>
      </c>
      <c r="BC571" s="2120">
        <f t="shared" si="1601"/>
        <v>0</v>
      </c>
      <c r="BD571" s="2120">
        <f t="shared" si="1601"/>
        <v>0</v>
      </c>
      <c r="BE571" s="2120">
        <f t="shared" si="1601"/>
        <v>0</v>
      </c>
      <c r="BF571" s="2120">
        <f t="shared" si="1601"/>
        <v>0</v>
      </c>
      <c r="BG571" s="2120">
        <f t="shared" si="1602"/>
        <v>0</v>
      </c>
      <c r="BH571" s="2120">
        <f t="shared" si="1602"/>
        <v>0</v>
      </c>
      <c r="BI571" s="2120">
        <f t="shared" si="1602"/>
        <v>0</v>
      </c>
      <c r="BJ571" s="2120">
        <f t="shared" si="1602"/>
        <v>0</v>
      </c>
      <c r="BK571" s="2120">
        <f t="shared" si="1602"/>
        <v>0</v>
      </c>
      <c r="BL571" s="2120">
        <f t="shared" si="1602"/>
        <v>0</v>
      </c>
      <c r="BM571" s="2120">
        <f t="shared" si="1602"/>
        <v>0</v>
      </c>
      <c r="BN571" s="2120">
        <f t="shared" si="1602"/>
        <v>0</v>
      </c>
      <c r="BO571" s="2120">
        <f t="shared" si="1602"/>
        <v>0</v>
      </c>
      <c r="BP571" s="2120">
        <f t="shared" si="1602"/>
        <v>0</v>
      </c>
      <c r="BQ571" s="2120">
        <f t="shared" si="1602"/>
        <v>0</v>
      </c>
      <c r="BR571" s="2120">
        <f t="shared" si="1602"/>
        <v>0</v>
      </c>
      <c r="BS571" s="2120">
        <f t="shared" si="1602"/>
        <v>0</v>
      </c>
      <c r="BT571" s="2120">
        <f t="shared" si="1602"/>
        <v>0</v>
      </c>
      <c r="BU571" s="2120">
        <f t="shared" si="1602"/>
        <v>0</v>
      </c>
      <c r="BV571" s="2120">
        <f t="shared" si="1602"/>
        <v>0</v>
      </c>
      <c r="BW571" s="2120">
        <f t="shared" si="1603"/>
        <v>0</v>
      </c>
      <c r="BX571" s="2120">
        <f t="shared" si="1603"/>
        <v>0</v>
      </c>
      <c r="BY571" s="2120">
        <f t="shared" si="1603"/>
        <v>0</v>
      </c>
      <c r="BZ571" s="2120">
        <f t="shared" si="1603"/>
        <v>0</v>
      </c>
      <c r="CA571" s="2120">
        <f t="shared" si="1603"/>
        <v>0</v>
      </c>
      <c r="CB571" s="2120">
        <f t="shared" si="1603"/>
        <v>0</v>
      </c>
      <c r="CC571" s="2120">
        <f t="shared" si="1603"/>
        <v>0</v>
      </c>
      <c r="CD571" s="2120">
        <f t="shared" si="1603"/>
        <v>0</v>
      </c>
      <c r="CE571" s="2120">
        <f t="shared" si="1603"/>
        <v>0</v>
      </c>
      <c r="CF571" s="2120">
        <f t="shared" si="1603"/>
        <v>0</v>
      </c>
      <c r="CG571" s="2120">
        <f t="shared" si="1603"/>
        <v>0</v>
      </c>
      <c r="CH571" s="2120">
        <f t="shared" si="1603"/>
        <v>0</v>
      </c>
      <c r="CI571" s="2120">
        <f t="shared" si="1603"/>
        <v>0</v>
      </c>
      <c r="CJ571" s="2120">
        <f t="shared" si="1603"/>
        <v>0</v>
      </c>
      <c r="CK571" s="2120">
        <f t="shared" si="1603"/>
        <v>0</v>
      </c>
      <c r="CL571" s="2120">
        <f t="shared" si="1603"/>
        <v>0</v>
      </c>
      <c r="CM571" s="2120">
        <f t="shared" si="1604"/>
        <v>0</v>
      </c>
      <c r="CN571" s="2120">
        <f t="shared" si="1604"/>
        <v>0</v>
      </c>
      <c r="CO571" s="2120">
        <f t="shared" si="1604"/>
        <v>0</v>
      </c>
      <c r="CP571" s="2120">
        <f t="shared" si="1604"/>
        <v>0</v>
      </c>
      <c r="CQ571" s="2120">
        <f t="shared" si="1604"/>
        <v>0</v>
      </c>
      <c r="CR571" s="2120">
        <f t="shared" si="1604"/>
        <v>0</v>
      </c>
      <c r="CS571" s="2120">
        <f t="shared" si="1604"/>
        <v>0</v>
      </c>
      <c r="CT571" s="2120">
        <f t="shared" si="1604"/>
        <v>0</v>
      </c>
      <c r="CU571" s="2120">
        <f t="shared" si="1604"/>
        <v>0</v>
      </c>
      <c r="CV571" s="2120">
        <f t="shared" si="1604"/>
        <v>0</v>
      </c>
      <c r="CW571" s="2120">
        <f t="shared" si="1604"/>
        <v>0</v>
      </c>
      <c r="CX571" s="2120">
        <f t="shared" si="1604"/>
        <v>0</v>
      </c>
      <c r="CY571" s="2120">
        <f t="shared" si="1604"/>
        <v>0</v>
      </c>
      <c r="CZ571" s="2120">
        <f t="shared" si="1604"/>
        <v>0</v>
      </c>
      <c r="DA571" s="2120">
        <f t="shared" si="1604"/>
        <v>0</v>
      </c>
      <c r="DB571" s="2120">
        <f t="shared" si="1604"/>
        <v>0</v>
      </c>
      <c r="DC571" s="2120">
        <f t="shared" si="1605"/>
        <v>0</v>
      </c>
      <c r="DD571" s="2120">
        <f t="shared" si="1605"/>
        <v>0</v>
      </c>
      <c r="DE571" s="2120">
        <f t="shared" si="1605"/>
        <v>0</v>
      </c>
      <c r="DF571" s="2120">
        <f t="shared" si="1605"/>
        <v>0</v>
      </c>
      <c r="DG571" s="2120">
        <f t="shared" si="1605"/>
        <v>0</v>
      </c>
      <c r="DH571" s="2120">
        <f t="shared" si="1605"/>
        <v>0</v>
      </c>
      <c r="DI571" s="2120">
        <f t="shared" si="1605"/>
        <v>0</v>
      </c>
      <c r="DJ571" s="2120">
        <f t="shared" si="1605"/>
        <v>0</v>
      </c>
      <c r="DK571" s="2120">
        <f t="shared" si="1605"/>
        <v>0</v>
      </c>
      <c r="DL571" s="2120">
        <f t="shared" si="1605"/>
        <v>0</v>
      </c>
      <c r="DM571" s="2120">
        <f t="shared" si="1605"/>
        <v>0</v>
      </c>
      <c r="DN571" s="2120">
        <f t="shared" si="1605"/>
        <v>0</v>
      </c>
      <c r="DO571" s="2120">
        <f t="shared" si="1605"/>
        <v>0</v>
      </c>
      <c r="DP571" s="2120">
        <f t="shared" si="1605"/>
        <v>0</v>
      </c>
    </row>
    <row r="572" spans="1:120" s="165" customFormat="1" outlineLevel="1">
      <c r="A572" s="162">
        <v>1110052090</v>
      </c>
      <c r="B572" s="627" t="s">
        <v>2216</v>
      </c>
      <c r="C572" s="1556" t="s">
        <v>64</v>
      </c>
      <c r="D572" s="1557">
        <v>1100003403</v>
      </c>
      <c r="E572" s="1558">
        <v>44939</v>
      </c>
      <c r="F572" s="163"/>
      <c r="G572" s="1264"/>
      <c r="H572" s="628"/>
      <c r="I572" s="629"/>
      <c r="J572" s="1425">
        <v>1</v>
      </c>
      <c r="K572" s="1426">
        <v>1</v>
      </c>
      <c r="L572" s="1892"/>
      <c r="M572" s="1429">
        <f>+L572*J572</f>
        <v>0</v>
      </c>
      <c r="N572" s="630">
        <f ca="1">IF(OR(E572="",E572&gt;TODAY()),0,IF(ISERROR(VLOOKUP($E572,'TRM BanRep'!$A:$G,7,0)),0,VLOOKUP($E572,'TRM BanRep'!$A:$G,7,0)))</f>
        <v>4692.04</v>
      </c>
      <c r="O572" s="631">
        <f ca="1">+L572*J572*N572</f>
        <v>0</v>
      </c>
      <c r="P572" s="632">
        <v>-2500000</v>
      </c>
      <c r="Q572" s="632">
        <f>+P572*K572</f>
        <v>-2500000</v>
      </c>
      <c r="R572" s="633">
        <v>4760.6099999999997</v>
      </c>
      <c r="S572" s="633">
        <f ca="1">IF(OR(E572="",E572&gt;TODAY()),0,IF(ISERROR(VLOOKUP($E572,'TRM BanRep'!$A:$G,7,0)),0,VLOOKUP($E572,'TRM BanRep'!$A:$G,7,0)))</f>
        <v>4692.04</v>
      </c>
      <c r="T572" s="687">
        <f ca="1">+P572*K572*S572</f>
        <v>-11730100000</v>
      </c>
      <c r="U572" s="1121">
        <f>+L572+P572+F572</f>
        <v>-2500000</v>
      </c>
      <c r="V572" s="688">
        <f ca="1">+P572*J572*R572+L572*J572*N572+F572*K572*H572</f>
        <v>-11901525000</v>
      </c>
      <c r="W572" s="689">
        <f ca="1">IF((-P572*J572*R572)-(-P572*K572*S572)&gt;0,(-P572*J572*R572)-(-P572*K572*S572),0)</f>
        <v>171425000</v>
      </c>
      <c r="X572" s="635">
        <f ca="1">IF((-P572*J572*R572)-(-P572*K572*S572)&lt;0,(-P572*J572*R572)-(-P572*K572*S572),0)</f>
        <v>0</v>
      </c>
      <c r="Y572" s="636"/>
      <c r="Z572" s="1055"/>
      <c r="AA572" s="2329">
        <f t="shared" ref="AA572:AI575" ca="1" si="1614">IF($L572="",IF(OR($P572="",$R572=""),0,IF($R572=AA$6,$Q572,0)),IF($E572=AA$5,$M572,))</f>
        <v>-2500000</v>
      </c>
      <c r="AB572" s="2158">
        <f t="shared" ca="1" si="1614"/>
        <v>0</v>
      </c>
      <c r="AC572" s="2158">
        <f t="shared" ca="1" si="1614"/>
        <v>0</v>
      </c>
      <c r="AD572" s="2158">
        <f t="shared" ca="1" si="1614"/>
        <v>0</v>
      </c>
      <c r="AE572" s="2158">
        <f t="shared" ca="1" si="1614"/>
        <v>0</v>
      </c>
      <c r="AF572" s="2120">
        <f t="shared" ca="1" si="1614"/>
        <v>0</v>
      </c>
      <c r="AG572" s="2120">
        <f t="shared" ca="1" si="1614"/>
        <v>0</v>
      </c>
      <c r="AH572" s="2120">
        <f t="shared" ca="1" si="1614"/>
        <v>0</v>
      </c>
      <c r="AI572" s="2120">
        <f t="shared" ca="1" si="1614"/>
        <v>0</v>
      </c>
      <c r="AJ572" s="2120">
        <f t="shared" ca="1" si="1600"/>
        <v>0</v>
      </c>
      <c r="AK572" s="2120">
        <f t="shared" ref="AK572:AT575" ca="1" si="1615">IF($L572="",IF(OR($P572="",$R572=""),0,IF($R572=AK$6,$Q572,0)),IF($E572=AK$5,$M572,))</f>
        <v>0</v>
      </c>
      <c r="AL572" s="2314">
        <f t="shared" ca="1" si="1615"/>
        <v>0</v>
      </c>
      <c r="AM572" s="2120">
        <f t="shared" ca="1" si="1615"/>
        <v>0</v>
      </c>
      <c r="AN572" s="2120">
        <f t="shared" ca="1" si="1615"/>
        <v>0</v>
      </c>
      <c r="AO572" s="2120">
        <f t="shared" ca="1" si="1615"/>
        <v>0</v>
      </c>
      <c r="AP572" s="2120">
        <f t="shared" ca="1" si="1615"/>
        <v>0</v>
      </c>
      <c r="AQ572" s="2120">
        <f t="shared" ca="1" si="1615"/>
        <v>0</v>
      </c>
      <c r="AR572" s="2120">
        <f t="shared" ca="1" si="1615"/>
        <v>0</v>
      </c>
      <c r="AS572" s="2120">
        <f t="shared" ca="1" si="1615"/>
        <v>0</v>
      </c>
      <c r="AT572" s="2120">
        <f t="shared" ca="1" si="1615"/>
        <v>0</v>
      </c>
      <c r="AU572" s="2120">
        <f t="shared" ca="1" si="1601"/>
        <v>0</v>
      </c>
      <c r="AV572" s="2120">
        <f t="shared" ca="1" si="1601"/>
        <v>0</v>
      </c>
      <c r="AW572" s="2120">
        <f t="shared" ca="1" si="1601"/>
        <v>0</v>
      </c>
      <c r="AX572" s="2120">
        <f t="shared" ca="1" si="1601"/>
        <v>0</v>
      </c>
      <c r="AY572" s="2120">
        <f t="shared" ca="1" si="1601"/>
        <v>0</v>
      </c>
      <c r="AZ572" s="2120">
        <f t="shared" ca="1" si="1601"/>
        <v>0</v>
      </c>
      <c r="BA572" s="2120">
        <f t="shared" ca="1" si="1601"/>
        <v>0</v>
      </c>
      <c r="BB572" s="2120">
        <f t="shared" ca="1" si="1601"/>
        <v>0</v>
      </c>
      <c r="BC572" s="2120">
        <f t="shared" ca="1" si="1601"/>
        <v>0</v>
      </c>
      <c r="BD572" s="2120">
        <f t="shared" ca="1" si="1601"/>
        <v>0</v>
      </c>
      <c r="BE572" s="2120">
        <f t="shared" ca="1" si="1601"/>
        <v>0</v>
      </c>
      <c r="BF572" s="2120">
        <f t="shared" ca="1" si="1601"/>
        <v>0</v>
      </c>
      <c r="BG572" s="2120">
        <f t="shared" ca="1" si="1602"/>
        <v>0</v>
      </c>
      <c r="BH572" s="2120">
        <f t="shared" ca="1" si="1602"/>
        <v>0</v>
      </c>
      <c r="BI572" s="2120">
        <f t="shared" ca="1" si="1602"/>
        <v>0</v>
      </c>
      <c r="BJ572" s="2120">
        <f t="shared" ca="1" si="1602"/>
        <v>0</v>
      </c>
      <c r="BK572" s="2120">
        <f t="shared" ca="1" si="1602"/>
        <v>0</v>
      </c>
      <c r="BL572" s="2120">
        <f t="shared" ca="1" si="1602"/>
        <v>0</v>
      </c>
      <c r="BM572" s="2120">
        <f t="shared" ca="1" si="1602"/>
        <v>0</v>
      </c>
      <c r="BN572" s="2120">
        <f t="shared" ca="1" si="1602"/>
        <v>0</v>
      </c>
      <c r="BO572" s="2120">
        <f t="shared" ca="1" si="1602"/>
        <v>0</v>
      </c>
      <c r="BP572" s="2120">
        <f t="shared" ca="1" si="1602"/>
        <v>0</v>
      </c>
      <c r="BQ572" s="2120">
        <f t="shared" ca="1" si="1602"/>
        <v>0</v>
      </c>
      <c r="BR572" s="2120">
        <f t="shared" ca="1" si="1602"/>
        <v>0</v>
      </c>
      <c r="BS572" s="2120">
        <f t="shared" ca="1" si="1602"/>
        <v>0</v>
      </c>
      <c r="BT572" s="2120">
        <f t="shared" ca="1" si="1602"/>
        <v>0</v>
      </c>
      <c r="BU572" s="2120">
        <f t="shared" ca="1" si="1602"/>
        <v>0</v>
      </c>
      <c r="BV572" s="2120">
        <f t="shared" ca="1" si="1602"/>
        <v>0</v>
      </c>
      <c r="BW572" s="2120">
        <f t="shared" ca="1" si="1603"/>
        <v>0</v>
      </c>
      <c r="BX572" s="2120">
        <f t="shared" ca="1" si="1603"/>
        <v>0</v>
      </c>
      <c r="BY572" s="2120">
        <f t="shared" ca="1" si="1603"/>
        <v>0</v>
      </c>
      <c r="BZ572" s="2120">
        <f t="shared" ca="1" si="1603"/>
        <v>0</v>
      </c>
      <c r="CA572" s="2120">
        <f t="shared" ca="1" si="1603"/>
        <v>0</v>
      </c>
      <c r="CB572" s="2120">
        <f t="shared" ca="1" si="1603"/>
        <v>0</v>
      </c>
      <c r="CC572" s="2120">
        <f t="shared" ca="1" si="1603"/>
        <v>0</v>
      </c>
      <c r="CD572" s="2120">
        <f t="shared" ca="1" si="1603"/>
        <v>0</v>
      </c>
      <c r="CE572" s="2120">
        <f t="shared" ca="1" si="1603"/>
        <v>0</v>
      </c>
      <c r="CF572" s="2120">
        <f t="shared" ca="1" si="1603"/>
        <v>0</v>
      </c>
      <c r="CG572" s="2120">
        <f t="shared" ca="1" si="1603"/>
        <v>0</v>
      </c>
      <c r="CH572" s="2120">
        <f t="shared" ca="1" si="1603"/>
        <v>0</v>
      </c>
      <c r="CI572" s="2120">
        <f t="shared" ca="1" si="1603"/>
        <v>0</v>
      </c>
      <c r="CJ572" s="2120">
        <f t="shared" ca="1" si="1603"/>
        <v>0</v>
      </c>
      <c r="CK572" s="2120">
        <f t="shared" ca="1" si="1603"/>
        <v>0</v>
      </c>
      <c r="CL572" s="2120">
        <f t="shared" ca="1" si="1603"/>
        <v>0</v>
      </c>
      <c r="CM572" s="2120">
        <f t="shared" ca="1" si="1604"/>
        <v>0</v>
      </c>
      <c r="CN572" s="2120">
        <f t="shared" ca="1" si="1604"/>
        <v>0</v>
      </c>
      <c r="CO572" s="2120">
        <f t="shared" ca="1" si="1604"/>
        <v>0</v>
      </c>
      <c r="CP572" s="2120">
        <f t="shared" ca="1" si="1604"/>
        <v>0</v>
      </c>
      <c r="CQ572" s="2120">
        <f t="shared" ca="1" si="1604"/>
        <v>0</v>
      </c>
      <c r="CR572" s="2120">
        <f t="shared" ca="1" si="1604"/>
        <v>0</v>
      </c>
      <c r="CS572" s="2120">
        <f t="shared" ca="1" si="1604"/>
        <v>0</v>
      </c>
      <c r="CT572" s="2120">
        <f t="shared" ca="1" si="1604"/>
        <v>0</v>
      </c>
      <c r="CU572" s="2120">
        <f t="shared" ca="1" si="1604"/>
        <v>0</v>
      </c>
      <c r="CV572" s="2120">
        <f t="shared" ca="1" si="1604"/>
        <v>0</v>
      </c>
      <c r="CW572" s="2120">
        <f t="shared" ca="1" si="1604"/>
        <v>0</v>
      </c>
      <c r="CX572" s="2120">
        <f t="shared" ca="1" si="1604"/>
        <v>0</v>
      </c>
      <c r="CY572" s="2120">
        <f t="shared" ca="1" si="1604"/>
        <v>0</v>
      </c>
      <c r="CZ572" s="2120">
        <f t="shared" ca="1" si="1604"/>
        <v>0</v>
      </c>
      <c r="DA572" s="2120">
        <f t="shared" ca="1" si="1604"/>
        <v>0</v>
      </c>
      <c r="DB572" s="2120">
        <f t="shared" ca="1" si="1604"/>
        <v>0</v>
      </c>
      <c r="DC572" s="2120">
        <f t="shared" ca="1" si="1605"/>
        <v>0</v>
      </c>
      <c r="DD572" s="2120">
        <f t="shared" ca="1" si="1605"/>
        <v>0</v>
      </c>
      <c r="DE572" s="2120">
        <f t="shared" ca="1" si="1605"/>
        <v>0</v>
      </c>
      <c r="DF572" s="2120">
        <f t="shared" ca="1" si="1605"/>
        <v>0</v>
      </c>
      <c r="DG572" s="2120">
        <f t="shared" ca="1" si="1605"/>
        <v>0</v>
      </c>
      <c r="DH572" s="2120">
        <f t="shared" ca="1" si="1605"/>
        <v>0</v>
      </c>
      <c r="DI572" s="2120">
        <f t="shared" ca="1" si="1605"/>
        <v>0</v>
      </c>
      <c r="DJ572" s="2120">
        <f t="shared" ca="1" si="1605"/>
        <v>0</v>
      </c>
      <c r="DK572" s="2120">
        <f t="shared" ca="1" si="1605"/>
        <v>0</v>
      </c>
      <c r="DL572" s="2120">
        <f t="shared" ca="1" si="1605"/>
        <v>0</v>
      </c>
      <c r="DM572" s="2120">
        <f t="shared" ca="1" si="1605"/>
        <v>0</v>
      </c>
      <c r="DN572" s="2120">
        <f t="shared" ca="1" si="1605"/>
        <v>0</v>
      </c>
      <c r="DO572" s="2120">
        <f t="shared" ca="1" si="1605"/>
        <v>0</v>
      </c>
      <c r="DP572" s="2120">
        <f t="shared" ca="1" si="1605"/>
        <v>0</v>
      </c>
    </row>
    <row r="573" spans="1:120" s="165" customFormat="1" outlineLevel="1">
      <c r="A573" s="162">
        <v>1110052090</v>
      </c>
      <c r="B573" s="627" t="s">
        <v>2216</v>
      </c>
      <c r="C573" s="1556" t="s">
        <v>64</v>
      </c>
      <c r="D573" s="1557">
        <v>1100003403</v>
      </c>
      <c r="E573" s="1558">
        <v>44939</v>
      </c>
      <c r="F573" s="163"/>
      <c r="G573" s="1264"/>
      <c r="H573" s="628"/>
      <c r="I573" s="629"/>
      <c r="J573" s="1425">
        <v>1</v>
      </c>
      <c r="K573" s="1426">
        <v>1</v>
      </c>
      <c r="L573" s="1892"/>
      <c r="M573" s="1429">
        <f>+L573*J573</f>
        <v>0</v>
      </c>
      <c r="N573" s="630">
        <f ca="1">IF(OR(E573="",E573&gt;TODAY()),0,IF(ISERROR(VLOOKUP($E573,'TRM BanRep'!$A:$G,7,0)),0,VLOOKUP($E573,'TRM BanRep'!$A:$G,7,0)))</f>
        <v>4692.04</v>
      </c>
      <c r="O573" s="631">
        <f ca="1">+L573*J573*N573</f>
        <v>0</v>
      </c>
      <c r="P573" s="632">
        <v>-510084.51</v>
      </c>
      <c r="Q573" s="632">
        <f>+P573*K573</f>
        <v>-510084.51</v>
      </c>
      <c r="R573" s="633">
        <v>4898.74</v>
      </c>
      <c r="S573" s="633">
        <f ca="1">IF(OR(E573="",E573&gt;TODAY()),0,IF(ISERROR(VLOOKUP($E573,'TRM BanRep'!$A:$G,7,0)),0,VLOOKUP($E573,'TRM BanRep'!$A:$G,7,0)))</f>
        <v>4692.04</v>
      </c>
      <c r="T573" s="687">
        <f ca="1">+P573*K573*S573</f>
        <v>-2393336924.3004003</v>
      </c>
      <c r="U573" s="1121">
        <f>+L573+P573+F573</f>
        <v>-510084.51</v>
      </c>
      <c r="V573" s="688">
        <f ca="1">+P573*J573*R573+L573*J573*N573+F573*K573*H573</f>
        <v>-2498771392.5173998</v>
      </c>
      <c r="W573" s="689">
        <f ca="1">IF((-P573*J573*R573)-(-P573*K573*S573)&gt;0,(-P573*J573*R573)-(-P573*K573*S573),0)</f>
        <v>105434468.21699953</v>
      </c>
      <c r="X573" s="635">
        <f ca="1">IF((-P573*J573*R573)-(-P573*K573*S573)&lt;0,(-P573*J573*R573)-(-P573*K573*S573),0)</f>
        <v>0</v>
      </c>
      <c r="Y573" s="636"/>
      <c r="Z573" s="1055"/>
      <c r="AA573" s="2329">
        <f t="shared" ca="1" si="1614"/>
        <v>0</v>
      </c>
      <c r="AB573" s="2158">
        <f t="shared" ca="1" si="1614"/>
        <v>0</v>
      </c>
      <c r="AC573" s="2158">
        <f t="shared" ca="1" si="1614"/>
        <v>-510084.51</v>
      </c>
      <c r="AD573" s="2158">
        <f t="shared" ca="1" si="1614"/>
        <v>0</v>
      </c>
      <c r="AE573" s="2158">
        <f t="shared" ca="1" si="1614"/>
        <v>0</v>
      </c>
      <c r="AF573" s="2120">
        <f t="shared" ca="1" si="1614"/>
        <v>0</v>
      </c>
      <c r="AG573" s="2120">
        <f t="shared" ca="1" si="1614"/>
        <v>0</v>
      </c>
      <c r="AH573" s="2120">
        <f t="shared" ca="1" si="1614"/>
        <v>0</v>
      </c>
      <c r="AI573" s="2120">
        <f t="shared" ca="1" si="1614"/>
        <v>0</v>
      </c>
      <c r="AJ573" s="2120">
        <f t="shared" ca="1" si="1600"/>
        <v>0</v>
      </c>
      <c r="AK573" s="2120">
        <f t="shared" ca="1" si="1615"/>
        <v>0</v>
      </c>
      <c r="AL573" s="2314">
        <f t="shared" ca="1" si="1615"/>
        <v>0</v>
      </c>
      <c r="AM573" s="2120">
        <f t="shared" ca="1" si="1615"/>
        <v>0</v>
      </c>
      <c r="AN573" s="2120">
        <f t="shared" ca="1" si="1615"/>
        <v>0</v>
      </c>
      <c r="AO573" s="2120">
        <f t="shared" ca="1" si="1615"/>
        <v>0</v>
      </c>
      <c r="AP573" s="2120">
        <f t="shared" ca="1" si="1615"/>
        <v>0</v>
      </c>
      <c r="AQ573" s="2120">
        <f t="shared" ca="1" si="1615"/>
        <v>0</v>
      </c>
      <c r="AR573" s="2120">
        <f t="shared" ca="1" si="1615"/>
        <v>0</v>
      </c>
      <c r="AS573" s="2120">
        <f t="shared" ca="1" si="1615"/>
        <v>0</v>
      </c>
      <c r="AT573" s="2120">
        <f t="shared" ca="1" si="1615"/>
        <v>0</v>
      </c>
      <c r="AU573" s="2120">
        <f t="shared" ca="1" si="1601"/>
        <v>0</v>
      </c>
      <c r="AV573" s="2120">
        <f t="shared" ca="1" si="1601"/>
        <v>0</v>
      </c>
      <c r="AW573" s="2120">
        <f t="shared" ca="1" si="1601"/>
        <v>0</v>
      </c>
      <c r="AX573" s="2120">
        <f t="shared" ca="1" si="1601"/>
        <v>0</v>
      </c>
      <c r="AY573" s="2120">
        <f t="shared" ca="1" si="1601"/>
        <v>0</v>
      </c>
      <c r="AZ573" s="2120">
        <f t="shared" ca="1" si="1601"/>
        <v>0</v>
      </c>
      <c r="BA573" s="2120">
        <f t="shared" ca="1" si="1601"/>
        <v>0</v>
      </c>
      <c r="BB573" s="2120">
        <f t="shared" ca="1" si="1601"/>
        <v>0</v>
      </c>
      <c r="BC573" s="2120">
        <f t="shared" ca="1" si="1601"/>
        <v>0</v>
      </c>
      <c r="BD573" s="2120">
        <f t="shared" ca="1" si="1601"/>
        <v>0</v>
      </c>
      <c r="BE573" s="2120">
        <f t="shared" ca="1" si="1601"/>
        <v>0</v>
      </c>
      <c r="BF573" s="2120">
        <f t="shared" ca="1" si="1601"/>
        <v>0</v>
      </c>
      <c r="BG573" s="2120">
        <f t="shared" ca="1" si="1602"/>
        <v>0</v>
      </c>
      <c r="BH573" s="2120">
        <f t="shared" ca="1" si="1602"/>
        <v>0</v>
      </c>
      <c r="BI573" s="2120">
        <f t="shared" ca="1" si="1602"/>
        <v>0</v>
      </c>
      <c r="BJ573" s="2120">
        <f t="shared" ca="1" si="1602"/>
        <v>0</v>
      </c>
      <c r="BK573" s="2120">
        <f t="shared" ca="1" si="1602"/>
        <v>0</v>
      </c>
      <c r="BL573" s="2120">
        <f t="shared" ca="1" si="1602"/>
        <v>0</v>
      </c>
      <c r="BM573" s="2120">
        <f t="shared" ca="1" si="1602"/>
        <v>0</v>
      </c>
      <c r="BN573" s="2120">
        <f t="shared" ca="1" si="1602"/>
        <v>0</v>
      </c>
      <c r="BO573" s="2120">
        <f t="shared" ca="1" si="1602"/>
        <v>0</v>
      </c>
      <c r="BP573" s="2120">
        <f t="shared" ca="1" si="1602"/>
        <v>0</v>
      </c>
      <c r="BQ573" s="2120">
        <f t="shared" ca="1" si="1602"/>
        <v>0</v>
      </c>
      <c r="BR573" s="2120">
        <f t="shared" ca="1" si="1602"/>
        <v>0</v>
      </c>
      <c r="BS573" s="2120">
        <f t="shared" ca="1" si="1602"/>
        <v>0</v>
      </c>
      <c r="BT573" s="2120">
        <f t="shared" ca="1" si="1602"/>
        <v>0</v>
      </c>
      <c r="BU573" s="2120">
        <f t="shared" ca="1" si="1602"/>
        <v>0</v>
      </c>
      <c r="BV573" s="2120">
        <f t="shared" ca="1" si="1602"/>
        <v>0</v>
      </c>
      <c r="BW573" s="2120">
        <f t="shared" ca="1" si="1603"/>
        <v>0</v>
      </c>
      <c r="BX573" s="2120">
        <f t="shared" ca="1" si="1603"/>
        <v>0</v>
      </c>
      <c r="BY573" s="2120">
        <f t="shared" ca="1" si="1603"/>
        <v>0</v>
      </c>
      <c r="BZ573" s="2120">
        <f t="shared" ca="1" si="1603"/>
        <v>0</v>
      </c>
      <c r="CA573" s="2120">
        <f t="shared" ca="1" si="1603"/>
        <v>0</v>
      </c>
      <c r="CB573" s="2120">
        <f t="shared" ca="1" si="1603"/>
        <v>0</v>
      </c>
      <c r="CC573" s="2120">
        <f t="shared" ca="1" si="1603"/>
        <v>0</v>
      </c>
      <c r="CD573" s="2120">
        <f t="shared" ca="1" si="1603"/>
        <v>0</v>
      </c>
      <c r="CE573" s="2120">
        <f t="shared" ca="1" si="1603"/>
        <v>0</v>
      </c>
      <c r="CF573" s="2120">
        <f t="shared" ca="1" si="1603"/>
        <v>0</v>
      </c>
      <c r="CG573" s="2120">
        <f t="shared" ca="1" si="1603"/>
        <v>0</v>
      </c>
      <c r="CH573" s="2120">
        <f t="shared" ca="1" si="1603"/>
        <v>0</v>
      </c>
      <c r="CI573" s="2120">
        <f t="shared" ca="1" si="1603"/>
        <v>0</v>
      </c>
      <c r="CJ573" s="2120">
        <f t="shared" ca="1" si="1603"/>
        <v>0</v>
      </c>
      <c r="CK573" s="2120">
        <f t="shared" ca="1" si="1603"/>
        <v>0</v>
      </c>
      <c r="CL573" s="2120">
        <f t="shared" ca="1" si="1603"/>
        <v>0</v>
      </c>
      <c r="CM573" s="2120">
        <f t="shared" ca="1" si="1604"/>
        <v>0</v>
      </c>
      <c r="CN573" s="2120">
        <f t="shared" ca="1" si="1604"/>
        <v>0</v>
      </c>
      <c r="CO573" s="2120">
        <f t="shared" ca="1" si="1604"/>
        <v>0</v>
      </c>
      <c r="CP573" s="2120">
        <f t="shared" ca="1" si="1604"/>
        <v>0</v>
      </c>
      <c r="CQ573" s="2120">
        <f t="shared" ca="1" si="1604"/>
        <v>0</v>
      </c>
      <c r="CR573" s="2120">
        <f t="shared" ca="1" si="1604"/>
        <v>0</v>
      </c>
      <c r="CS573" s="2120">
        <f t="shared" ca="1" si="1604"/>
        <v>0</v>
      </c>
      <c r="CT573" s="2120">
        <f t="shared" ca="1" si="1604"/>
        <v>0</v>
      </c>
      <c r="CU573" s="2120">
        <f t="shared" ca="1" si="1604"/>
        <v>0</v>
      </c>
      <c r="CV573" s="2120">
        <f t="shared" ca="1" si="1604"/>
        <v>0</v>
      </c>
      <c r="CW573" s="2120">
        <f t="shared" ca="1" si="1604"/>
        <v>0</v>
      </c>
      <c r="CX573" s="2120">
        <f t="shared" ca="1" si="1604"/>
        <v>0</v>
      </c>
      <c r="CY573" s="2120">
        <f t="shared" ca="1" si="1604"/>
        <v>0</v>
      </c>
      <c r="CZ573" s="2120">
        <f t="shared" ca="1" si="1604"/>
        <v>0</v>
      </c>
      <c r="DA573" s="2120">
        <f t="shared" ca="1" si="1604"/>
        <v>0</v>
      </c>
      <c r="DB573" s="2120">
        <f t="shared" ca="1" si="1604"/>
        <v>0</v>
      </c>
      <c r="DC573" s="2120">
        <f t="shared" ca="1" si="1605"/>
        <v>0</v>
      </c>
      <c r="DD573" s="2120">
        <f t="shared" ca="1" si="1605"/>
        <v>0</v>
      </c>
      <c r="DE573" s="2120">
        <f t="shared" ca="1" si="1605"/>
        <v>0</v>
      </c>
      <c r="DF573" s="2120">
        <f t="shared" ca="1" si="1605"/>
        <v>0</v>
      </c>
      <c r="DG573" s="2120">
        <f t="shared" ca="1" si="1605"/>
        <v>0</v>
      </c>
      <c r="DH573" s="2120">
        <f t="shared" ca="1" si="1605"/>
        <v>0</v>
      </c>
      <c r="DI573" s="2120">
        <f t="shared" ca="1" si="1605"/>
        <v>0</v>
      </c>
      <c r="DJ573" s="2120">
        <f t="shared" ca="1" si="1605"/>
        <v>0</v>
      </c>
      <c r="DK573" s="2120">
        <f t="shared" ca="1" si="1605"/>
        <v>0</v>
      </c>
      <c r="DL573" s="2120">
        <f t="shared" ca="1" si="1605"/>
        <v>0</v>
      </c>
      <c r="DM573" s="2120">
        <f t="shared" ca="1" si="1605"/>
        <v>0</v>
      </c>
      <c r="DN573" s="2120">
        <f t="shared" ca="1" si="1605"/>
        <v>0</v>
      </c>
      <c r="DO573" s="2120">
        <f t="shared" ca="1" si="1605"/>
        <v>0</v>
      </c>
      <c r="DP573" s="2120">
        <f t="shared" ca="1" si="1605"/>
        <v>0</v>
      </c>
    </row>
    <row r="574" spans="1:120" s="165" customFormat="1" outlineLevel="1">
      <c r="A574" s="162">
        <v>1110052090</v>
      </c>
      <c r="B574" s="627" t="s">
        <v>2216</v>
      </c>
      <c r="C574" s="1556" t="s">
        <v>64</v>
      </c>
      <c r="D574" s="1557">
        <v>1100003403</v>
      </c>
      <c r="E574" s="1558">
        <v>44939</v>
      </c>
      <c r="F574" s="163"/>
      <c r="G574" s="1264"/>
      <c r="H574" s="628"/>
      <c r="I574" s="629"/>
      <c r="J574" s="1425">
        <v>1</v>
      </c>
      <c r="K574" s="1426">
        <v>1</v>
      </c>
      <c r="L574" s="1892"/>
      <c r="M574" s="1429">
        <f>+L574*J574</f>
        <v>0</v>
      </c>
      <c r="N574" s="630">
        <f ca="1">IF(OR(E574="",E574&gt;TODAY()),0,IF(ISERROR(VLOOKUP($E574,'TRM BanRep'!$A:$G,7,0)),0,VLOOKUP($E574,'TRM BanRep'!$A:$G,7,0)))</f>
        <v>4692.04</v>
      </c>
      <c r="O574" s="631">
        <f ca="1">+L574*J574*N574</f>
        <v>0</v>
      </c>
      <c r="P574" s="632">
        <v>-57414.1</v>
      </c>
      <c r="Q574" s="632">
        <f>+P574*K574</f>
        <v>-57414.1</v>
      </c>
      <c r="R574" s="633">
        <v>4815.59</v>
      </c>
      <c r="S574" s="633">
        <f ca="1">IF(OR(E574="",E574&gt;TODAY()),0,IF(ISERROR(VLOOKUP($E574,'TRM BanRep'!$A:$G,7,0)),0,VLOOKUP($E574,'TRM BanRep'!$A:$G,7,0)))</f>
        <v>4692.04</v>
      </c>
      <c r="T574" s="687">
        <f ca="1">+P574*K574*S574</f>
        <v>-269389253.764</v>
      </c>
      <c r="U574" s="1121">
        <f>+L574+P574+F574</f>
        <v>-57414.1</v>
      </c>
      <c r="V574" s="688">
        <f ca="1">+P574*J574*R574+L574*J574*N574+F574*K574*H574</f>
        <v>-276482765.81900001</v>
      </c>
      <c r="W574" s="689">
        <f ca="1">IF((-P574*J574*R574)-(-P574*K574*S574)&gt;0,(-P574*J574*R574)-(-P574*K574*S574),0)</f>
        <v>7093512.0550000072</v>
      </c>
      <c r="X574" s="635">
        <f ca="1">IF((-P574*J574*R574)-(-P574*K574*S574)&lt;0,(-P574*J574*R574)-(-P574*K574*S574),0)</f>
        <v>0</v>
      </c>
      <c r="Y574" s="636"/>
      <c r="Z574" s="1055"/>
      <c r="AA574" s="2329">
        <f t="shared" ca="1" si="1614"/>
        <v>0</v>
      </c>
      <c r="AB574" s="2158">
        <f t="shared" ca="1" si="1614"/>
        <v>0</v>
      </c>
      <c r="AC574" s="2158">
        <f t="shared" ca="1" si="1614"/>
        <v>0</v>
      </c>
      <c r="AD574" s="2158">
        <f t="shared" ca="1" si="1614"/>
        <v>-57414.1</v>
      </c>
      <c r="AE574" s="2158">
        <f t="shared" ca="1" si="1614"/>
        <v>0</v>
      </c>
      <c r="AF574" s="2120">
        <f t="shared" ca="1" si="1614"/>
        <v>0</v>
      </c>
      <c r="AG574" s="2120">
        <f t="shared" ca="1" si="1614"/>
        <v>0</v>
      </c>
      <c r="AH574" s="2120">
        <f t="shared" ca="1" si="1614"/>
        <v>0</v>
      </c>
      <c r="AI574" s="2120">
        <f t="shared" ca="1" si="1614"/>
        <v>0</v>
      </c>
      <c r="AJ574" s="2120">
        <f t="shared" ca="1" si="1600"/>
        <v>0</v>
      </c>
      <c r="AK574" s="2120">
        <f t="shared" ca="1" si="1615"/>
        <v>0</v>
      </c>
      <c r="AL574" s="2314">
        <f t="shared" ca="1" si="1615"/>
        <v>0</v>
      </c>
      <c r="AM574" s="2120">
        <f t="shared" ca="1" si="1615"/>
        <v>0</v>
      </c>
      <c r="AN574" s="2120">
        <f t="shared" ca="1" si="1615"/>
        <v>0</v>
      </c>
      <c r="AO574" s="2120">
        <f t="shared" ca="1" si="1615"/>
        <v>0</v>
      </c>
      <c r="AP574" s="2120">
        <f t="shared" ca="1" si="1615"/>
        <v>0</v>
      </c>
      <c r="AQ574" s="2120">
        <f t="shared" ca="1" si="1615"/>
        <v>0</v>
      </c>
      <c r="AR574" s="2120">
        <f t="shared" ca="1" si="1615"/>
        <v>0</v>
      </c>
      <c r="AS574" s="2120">
        <f t="shared" ca="1" si="1615"/>
        <v>0</v>
      </c>
      <c r="AT574" s="2120">
        <f t="shared" ca="1" si="1615"/>
        <v>0</v>
      </c>
      <c r="AU574" s="2120">
        <f t="shared" ca="1" si="1601"/>
        <v>0</v>
      </c>
      <c r="AV574" s="2120">
        <f t="shared" ca="1" si="1601"/>
        <v>0</v>
      </c>
      <c r="AW574" s="2120">
        <f t="shared" ca="1" si="1601"/>
        <v>0</v>
      </c>
      <c r="AX574" s="2120">
        <f t="shared" ca="1" si="1601"/>
        <v>0</v>
      </c>
      <c r="AY574" s="2120">
        <f t="shared" ca="1" si="1601"/>
        <v>0</v>
      </c>
      <c r="AZ574" s="2120">
        <f t="shared" ca="1" si="1601"/>
        <v>0</v>
      </c>
      <c r="BA574" s="2120">
        <f t="shared" ca="1" si="1601"/>
        <v>0</v>
      </c>
      <c r="BB574" s="2120">
        <f t="shared" ca="1" si="1601"/>
        <v>0</v>
      </c>
      <c r="BC574" s="2120">
        <f t="shared" ca="1" si="1601"/>
        <v>0</v>
      </c>
      <c r="BD574" s="2120">
        <f t="shared" ca="1" si="1601"/>
        <v>0</v>
      </c>
      <c r="BE574" s="2120">
        <f t="shared" ca="1" si="1601"/>
        <v>0</v>
      </c>
      <c r="BF574" s="2120">
        <f t="shared" ca="1" si="1601"/>
        <v>0</v>
      </c>
      <c r="BG574" s="2120">
        <f t="shared" ca="1" si="1602"/>
        <v>0</v>
      </c>
      <c r="BH574" s="2120">
        <f t="shared" ca="1" si="1602"/>
        <v>0</v>
      </c>
      <c r="BI574" s="2120">
        <f t="shared" ca="1" si="1602"/>
        <v>0</v>
      </c>
      <c r="BJ574" s="2120">
        <f t="shared" ca="1" si="1602"/>
        <v>0</v>
      </c>
      <c r="BK574" s="2120">
        <f t="shared" ca="1" si="1602"/>
        <v>0</v>
      </c>
      <c r="BL574" s="2120">
        <f t="shared" ca="1" si="1602"/>
        <v>0</v>
      </c>
      <c r="BM574" s="2120">
        <f t="shared" ca="1" si="1602"/>
        <v>0</v>
      </c>
      <c r="BN574" s="2120">
        <f t="shared" ca="1" si="1602"/>
        <v>0</v>
      </c>
      <c r="BO574" s="2120">
        <f t="shared" ca="1" si="1602"/>
        <v>0</v>
      </c>
      <c r="BP574" s="2120">
        <f t="shared" ca="1" si="1602"/>
        <v>0</v>
      </c>
      <c r="BQ574" s="2120">
        <f t="shared" ca="1" si="1602"/>
        <v>0</v>
      </c>
      <c r="BR574" s="2120">
        <f t="shared" ca="1" si="1602"/>
        <v>0</v>
      </c>
      <c r="BS574" s="2120">
        <f t="shared" ca="1" si="1602"/>
        <v>0</v>
      </c>
      <c r="BT574" s="2120">
        <f t="shared" ca="1" si="1602"/>
        <v>0</v>
      </c>
      <c r="BU574" s="2120">
        <f t="shared" ca="1" si="1602"/>
        <v>0</v>
      </c>
      <c r="BV574" s="2120">
        <f t="shared" ca="1" si="1602"/>
        <v>0</v>
      </c>
      <c r="BW574" s="2120">
        <f t="shared" ca="1" si="1603"/>
        <v>0</v>
      </c>
      <c r="BX574" s="2120">
        <f t="shared" ca="1" si="1603"/>
        <v>0</v>
      </c>
      <c r="BY574" s="2120">
        <f t="shared" ca="1" si="1603"/>
        <v>0</v>
      </c>
      <c r="BZ574" s="2120">
        <f t="shared" ca="1" si="1603"/>
        <v>0</v>
      </c>
      <c r="CA574" s="2120">
        <f t="shared" ca="1" si="1603"/>
        <v>0</v>
      </c>
      <c r="CB574" s="2120">
        <f t="shared" ca="1" si="1603"/>
        <v>0</v>
      </c>
      <c r="CC574" s="2120">
        <f t="shared" ca="1" si="1603"/>
        <v>0</v>
      </c>
      <c r="CD574" s="2120">
        <f t="shared" ca="1" si="1603"/>
        <v>0</v>
      </c>
      <c r="CE574" s="2120">
        <f t="shared" ca="1" si="1603"/>
        <v>0</v>
      </c>
      <c r="CF574" s="2120">
        <f t="shared" ca="1" si="1603"/>
        <v>0</v>
      </c>
      <c r="CG574" s="2120">
        <f t="shared" ca="1" si="1603"/>
        <v>0</v>
      </c>
      <c r="CH574" s="2120">
        <f t="shared" ca="1" si="1603"/>
        <v>0</v>
      </c>
      <c r="CI574" s="2120">
        <f t="shared" ca="1" si="1603"/>
        <v>0</v>
      </c>
      <c r="CJ574" s="2120">
        <f t="shared" ca="1" si="1603"/>
        <v>0</v>
      </c>
      <c r="CK574" s="2120">
        <f t="shared" ca="1" si="1603"/>
        <v>0</v>
      </c>
      <c r="CL574" s="2120">
        <f t="shared" ca="1" si="1603"/>
        <v>0</v>
      </c>
      <c r="CM574" s="2120">
        <f t="shared" ca="1" si="1604"/>
        <v>0</v>
      </c>
      <c r="CN574" s="2120">
        <f t="shared" ca="1" si="1604"/>
        <v>0</v>
      </c>
      <c r="CO574" s="2120">
        <f t="shared" ca="1" si="1604"/>
        <v>0</v>
      </c>
      <c r="CP574" s="2120">
        <f t="shared" ca="1" si="1604"/>
        <v>0</v>
      </c>
      <c r="CQ574" s="2120">
        <f t="shared" ca="1" si="1604"/>
        <v>0</v>
      </c>
      <c r="CR574" s="2120">
        <f t="shared" ca="1" si="1604"/>
        <v>0</v>
      </c>
      <c r="CS574" s="2120">
        <f t="shared" ca="1" si="1604"/>
        <v>0</v>
      </c>
      <c r="CT574" s="2120">
        <f t="shared" ca="1" si="1604"/>
        <v>0</v>
      </c>
      <c r="CU574" s="2120">
        <f t="shared" ca="1" si="1604"/>
        <v>0</v>
      </c>
      <c r="CV574" s="2120">
        <f t="shared" ca="1" si="1604"/>
        <v>0</v>
      </c>
      <c r="CW574" s="2120">
        <f t="shared" ca="1" si="1604"/>
        <v>0</v>
      </c>
      <c r="CX574" s="2120">
        <f t="shared" ca="1" si="1604"/>
        <v>0</v>
      </c>
      <c r="CY574" s="2120">
        <f t="shared" ca="1" si="1604"/>
        <v>0</v>
      </c>
      <c r="CZ574" s="2120">
        <f t="shared" ca="1" si="1604"/>
        <v>0</v>
      </c>
      <c r="DA574" s="2120">
        <f t="shared" ca="1" si="1604"/>
        <v>0</v>
      </c>
      <c r="DB574" s="2120">
        <f t="shared" ca="1" si="1604"/>
        <v>0</v>
      </c>
      <c r="DC574" s="2120">
        <f t="shared" ca="1" si="1605"/>
        <v>0</v>
      </c>
      <c r="DD574" s="2120">
        <f t="shared" ca="1" si="1605"/>
        <v>0</v>
      </c>
      <c r="DE574" s="2120">
        <f t="shared" ca="1" si="1605"/>
        <v>0</v>
      </c>
      <c r="DF574" s="2120">
        <f t="shared" ca="1" si="1605"/>
        <v>0</v>
      </c>
      <c r="DG574" s="2120">
        <f t="shared" ca="1" si="1605"/>
        <v>0</v>
      </c>
      <c r="DH574" s="2120">
        <f t="shared" ca="1" si="1605"/>
        <v>0</v>
      </c>
      <c r="DI574" s="2120">
        <f t="shared" ca="1" si="1605"/>
        <v>0</v>
      </c>
      <c r="DJ574" s="2120">
        <f t="shared" ca="1" si="1605"/>
        <v>0</v>
      </c>
      <c r="DK574" s="2120">
        <f t="shared" ca="1" si="1605"/>
        <v>0</v>
      </c>
      <c r="DL574" s="2120">
        <f t="shared" ca="1" si="1605"/>
        <v>0</v>
      </c>
      <c r="DM574" s="2120">
        <f t="shared" ca="1" si="1605"/>
        <v>0</v>
      </c>
      <c r="DN574" s="2120">
        <f t="shared" ca="1" si="1605"/>
        <v>0</v>
      </c>
      <c r="DO574" s="2120">
        <f t="shared" ca="1" si="1605"/>
        <v>0</v>
      </c>
      <c r="DP574" s="2120">
        <f t="shared" ca="1" si="1605"/>
        <v>0</v>
      </c>
    </row>
    <row r="575" spans="1:120" s="165" customFormat="1" outlineLevel="1">
      <c r="A575" s="162">
        <v>1110052090</v>
      </c>
      <c r="B575" s="627" t="s">
        <v>2216</v>
      </c>
      <c r="C575" s="1556" t="s">
        <v>64</v>
      </c>
      <c r="D575" s="1557">
        <v>1100003403</v>
      </c>
      <c r="E575" s="1558">
        <v>44939</v>
      </c>
      <c r="F575" s="163"/>
      <c r="G575" s="1264"/>
      <c r="H575" s="628"/>
      <c r="I575" s="629"/>
      <c r="J575" s="1425">
        <v>1</v>
      </c>
      <c r="K575" s="1426">
        <v>1</v>
      </c>
      <c r="L575" s="1892"/>
      <c r="M575" s="1429">
        <f>+L575*J575</f>
        <v>0</v>
      </c>
      <c r="N575" s="630">
        <f ca="1">IF(OR(E575="",E575&gt;TODAY()),0,IF(ISERROR(VLOOKUP($E575,'TRM BanRep'!$A:$G,7,0)),0,VLOOKUP($E575,'TRM BanRep'!$A:$G,7,0)))</f>
        <v>4692.04</v>
      </c>
      <c r="O575" s="631">
        <f ca="1">+L575*J575*N575</f>
        <v>0</v>
      </c>
      <c r="P575" s="632">
        <v>-24932501.390000001</v>
      </c>
      <c r="Q575" s="632">
        <f>+P575*K575</f>
        <v>-24932501.390000001</v>
      </c>
      <c r="R575" s="633">
        <v>4748.54</v>
      </c>
      <c r="S575" s="633">
        <f ca="1">IF(OR(E575="",E575&gt;TODAY()),0,IF(ISERROR(VLOOKUP($E575,'TRM BanRep'!$A:$G,7,0)),0,VLOOKUP($E575,'TRM BanRep'!$A:$G,7,0)))</f>
        <v>4692.04</v>
      </c>
      <c r="T575" s="687">
        <f ca="1">+P575*K575*S575</f>
        <v>-116984293821.93561</v>
      </c>
      <c r="U575" s="1121">
        <f>+L575+P575+F575</f>
        <v>-24932501.390000001</v>
      </c>
      <c r="V575" s="688">
        <f ca="1">+P575*J575*R575+L575*J575*N575+F575*K575*H575</f>
        <v>-118392980150.4706</v>
      </c>
      <c r="W575" s="689">
        <f ca="1">IF((-P575*J575*R575)-(-P575*K575*S575)&gt;0,(-P575*J575*R575)-(-P575*K575*S575),0)</f>
        <v>1408686328.5349884</v>
      </c>
      <c r="X575" s="635">
        <f ca="1">IF((-P575*J575*R575)-(-P575*K575*S575)&lt;0,(-P575*J575*R575)-(-P575*K575*S575),0)</f>
        <v>0</v>
      </c>
      <c r="Y575" s="636"/>
      <c r="Z575" s="1055"/>
      <c r="AA575" s="2329">
        <f t="shared" ca="1" si="1614"/>
        <v>0</v>
      </c>
      <c r="AB575" s="2158">
        <f t="shared" ca="1" si="1614"/>
        <v>0</v>
      </c>
      <c r="AC575" s="2158">
        <f t="shared" ca="1" si="1614"/>
        <v>0</v>
      </c>
      <c r="AD575" s="2158">
        <f t="shared" ca="1" si="1614"/>
        <v>0</v>
      </c>
      <c r="AE575" s="2158">
        <f t="shared" ca="1" si="1614"/>
        <v>0</v>
      </c>
      <c r="AF575" s="2120">
        <f t="shared" ca="1" si="1614"/>
        <v>0</v>
      </c>
      <c r="AG575" s="2120">
        <f t="shared" ca="1" si="1614"/>
        <v>0</v>
      </c>
      <c r="AH575" s="2120">
        <f t="shared" ca="1" si="1614"/>
        <v>0</v>
      </c>
      <c r="AI575" s="2120">
        <f t="shared" ca="1" si="1614"/>
        <v>-24932501.390000001</v>
      </c>
      <c r="AJ575" s="2120">
        <f t="shared" ca="1" si="1600"/>
        <v>0</v>
      </c>
      <c r="AK575" s="2120">
        <f t="shared" ca="1" si="1615"/>
        <v>0</v>
      </c>
      <c r="AL575" s="2314">
        <f t="shared" ca="1" si="1615"/>
        <v>0</v>
      </c>
      <c r="AM575" s="2120">
        <f t="shared" ca="1" si="1615"/>
        <v>0</v>
      </c>
      <c r="AN575" s="2120">
        <f t="shared" ca="1" si="1615"/>
        <v>0</v>
      </c>
      <c r="AO575" s="2120">
        <f t="shared" ca="1" si="1615"/>
        <v>0</v>
      </c>
      <c r="AP575" s="2120">
        <f t="shared" ca="1" si="1615"/>
        <v>0</v>
      </c>
      <c r="AQ575" s="2120">
        <f t="shared" ca="1" si="1615"/>
        <v>0</v>
      </c>
      <c r="AR575" s="2120">
        <f t="shared" ca="1" si="1615"/>
        <v>0</v>
      </c>
      <c r="AS575" s="2120">
        <f t="shared" ca="1" si="1615"/>
        <v>0</v>
      </c>
      <c r="AT575" s="2120">
        <f t="shared" ca="1" si="1615"/>
        <v>0</v>
      </c>
      <c r="AU575" s="2120">
        <f t="shared" ca="1" si="1601"/>
        <v>0</v>
      </c>
      <c r="AV575" s="2120">
        <f t="shared" ca="1" si="1601"/>
        <v>0</v>
      </c>
      <c r="AW575" s="2120">
        <f t="shared" ca="1" si="1601"/>
        <v>0</v>
      </c>
      <c r="AX575" s="2120">
        <f t="shared" ca="1" si="1601"/>
        <v>0</v>
      </c>
      <c r="AY575" s="2120">
        <f t="shared" ca="1" si="1601"/>
        <v>0</v>
      </c>
      <c r="AZ575" s="2120">
        <f t="shared" ca="1" si="1601"/>
        <v>0</v>
      </c>
      <c r="BA575" s="2120">
        <f t="shared" ca="1" si="1601"/>
        <v>0</v>
      </c>
      <c r="BB575" s="2120">
        <f t="shared" ca="1" si="1601"/>
        <v>0</v>
      </c>
      <c r="BC575" s="2120">
        <f t="shared" ca="1" si="1601"/>
        <v>0</v>
      </c>
      <c r="BD575" s="2120">
        <f t="shared" ca="1" si="1601"/>
        <v>0</v>
      </c>
      <c r="BE575" s="2120">
        <f t="shared" ca="1" si="1601"/>
        <v>0</v>
      </c>
      <c r="BF575" s="2120">
        <f t="shared" ca="1" si="1601"/>
        <v>0</v>
      </c>
      <c r="BG575" s="2120">
        <f t="shared" ca="1" si="1602"/>
        <v>0</v>
      </c>
      <c r="BH575" s="2120">
        <f t="shared" ca="1" si="1602"/>
        <v>0</v>
      </c>
      <c r="BI575" s="2120">
        <f t="shared" ca="1" si="1602"/>
        <v>0</v>
      </c>
      <c r="BJ575" s="2120">
        <f t="shared" ca="1" si="1602"/>
        <v>0</v>
      </c>
      <c r="BK575" s="2120">
        <f t="shared" ca="1" si="1602"/>
        <v>0</v>
      </c>
      <c r="BL575" s="2120">
        <f t="shared" ca="1" si="1602"/>
        <v>0</v>
      </c>
      <c r="BM575" s="2120">
        <f t="shared" ca="1" si="1602"/>
        <v>0</v>
      </c>
      <c r="BN575" s="2120">
        <f t="shared" ca="1" si="1602"/>
        <v>0</v>
      </c>
      <c r="BO575" s="2120">
        <f t="shared" ca="1" si="1602"/>
        <v>0</v>
      </c>
      <c r="BP575" s="2120">
        <f t="shared" ca="1" si="1602"/>
        <v>0</v>
      </c>
      <c r="BQ575" s="2120">
        <f t="shared" ca="1" si="1602"/>
        <v>0</v>
      </c>
      <c r="BR575" s="2120">
        <f t="shared" ca="1" si="1602"/>
        <v>0</v>
      </c>
      <c r="BS575" s="2120">
        <f t="shared" ca="1" si="1602"/>
        <v>0</v>
      </c>
      <c r="BT575" s="2120">
        <f t="shared" ca="1" si="1602"/>
        <v>0</v>
      </c>
      <c r="BU575" s="2120">
        <f t="shared" ca="1" si="1602"/>
        <v>0</v>
      </c>
      <c r="BV575" s="2120">
        <f t="shared" ca="1" si="1602"/>
        <v>0</v>
      </c>
      <c r="BW575" s="2120">
        <f t="shared" ca="1" si="1603"/>
        <v>0</v>
      </c>
      <c r="BX575" s="2120">
        <f t="shared" ca="1" si="1603"/>
        <v>0</v>
      </c>
      <c r="BY575" s="2120">
        <f t="shared" ca="1" si="1603"/>
        <v>0</v>
      </c>
      <c r="BZ575" s="2120">
        <f t="shared" ca="1" si="1603"/>
        <v>0</v>
      </c>
      <c r="CA575" s="2120">
        <f t="shared" ca="1" si="1603"/>
        <v>0</v>
      </c>
      <c r="CB575" s="2120">
        <f t="shared" ca="1" si="1603"/>
        <v>0</v>
      </c>
      <c r="CC575" s="2120">
        <f t="shared" ca="1" si="1603"/>
        <v>0</v>
      </c>
      <c r="CD575" s="2120">
        <f t="shared" ca="1" si="1603"/>
        <v>0</v>
      </c>
      <c r="CE575" s="2120">
        <f t="shared" ca="1" si="1603"/>
        <v>0</v>
      </c>
      <c r="CF575" s="2120">
        <f t="shared" ca="1" si="1603"/>
        <v>0</v>
      </c>
      <c r="CG575" s="2120">
        <f t="shared" ca="1" si="1603"/>
        <v>0</v>
      </c>
      <c r="CH575" s="2120">
        <f t="shared" ca="1" si="1603"/>
        <v>0</v>
      </c>
      <c r="CI575" s="2120">
        <f t="shared" ca="1" si="1603"/>
        <v>0</v>
      </c>
      <c r="CJ575" s="2120">
        <f t="shared" ca="1" si="1603"/>
        <v>0</v>
      </c>
      <c r="CK575" s="2120">
        <f t="shared" ca="1" si="1603"/>
        <v>0</v>
      </c>
      <c r="CL575" s="2120">
        <f t="shared" ca="1" si="1603"/>
        <v>0</v>
      </c>
      <c r="CM575" s="2120">
        <f t="shared" ca="1" si="1604"/>
        <v>0</v>
      </c>
      <c r="CN575" s="2120">
        <f t="shared" ca="1" si="1604"/>
        <v>0</v>
      </c>
      <c r="CO575" s="2120">
        <f t="shared" ca="1" si="1604"/>
        <v>0</v>
      </c>
      <c r="CP575" s="2120">
        <f t="shared" ca="1" si="1604"/>
        <v>0</v>
      </c>
      <c r="CQ575" s="2120">
        <f t="shared" ca="1" si="1604"/>
        <v>0</v>
      </c>
      <c r="CR575" s="2120">
        <f t="shared" ca="1" si="1604"/>
        <v>0</v>
      </c>
      <c r="CS575" s="2120">
        <f t="shared" ca="1" si="1604"/>
        <v>0</v>
      </c>
      <c r="CT575" s="2120">
        <f t="shared" ca="1" si="1604"/>
        <v>0</v>
      </c>
      <c r="CU575" s="2120">
        <f t="shared" ca="1" si="1604"/>
        <v>0</v>
      </c>
      <c r="CV575" s="2120">
        <f t="shared" ca="1" si="1604"/>
        <v>0</v>
      </c>
      <c r="CW575" s="2120">
        <f t="shared" ca="1" si="1604"/>
        <v>0</v>
      </c>
      <c r="CX575" s="2120">
        <f t="shared" ca="1" si="1604"/>
        <v>0</v>
      </c>
      <c r="CY575" s="2120">
        <f t="shared" ca="1" si="1604"/>
        <v>0</v>
      </c>
      <c r="CZ575" s="2120">
        <f t="shared" ca="1" si="1604"/>
        <v>0</v>
      </c>
      <c r="DA575" s="2120">
        <f t="shared" ca="1" si="1604"/>
        <v>0</v>
      </c>
      <c r="DB575" s="2120">
        <f t="shared" ca="1" si="1604"/>
        <v>0</v>
      </c>
      <c r="DC575" s="2120">
        <f t="shared" ca="1" si="1605"/>
        <v>0</v>
      </c>
      <c r="DD575" s="2120">
        <f t="shared" ca="1" si="1605"/>
        <v>0</v>
      </c>
      <c r="DE575" s="2120">
        <f t="shared" ca="1" si="1605"/>
        <v>0</v>
      </c>
      <c r="DF575" s="2120">
        <f t="shared" ca="1" si="1605"/>
        <v>0</v>
      </c>
      <c r="DG575" s="2120">
        <f t="shared" ca="1" si="1605"/>
        <v>0</v>
      </c>
      <c r="DH575" s="2120">
        <f t="shared" ca="1" si="1605"/>
        <v>0</v>
      </c>
      <c r="DI575" s="2120">
        <f t="shared" ca="1" si="1605"/>
        <v>0</v>
      </c>
      <c r="DJ575" s="2120">
        <f t="shared" ca="1" si="1605"/>
        <v>0</v>
      </c>
      <c r="DK575" s="2120">
        <f t="shared" ca="1" si="1605"/>
        <v>0</v>
      </c>
      <c r="DL575" s="2120">
        <f t="shared" ca="1" si="1605"/>
        <v>0</v>
      </c>
      <c r="DM575" s="2120">
        <f t="shared" ca="1" si="1605"/>
        <v>0</v>
      </c>
      <c r="DN575" s="2120">
        <f t="shared" ca="1" si="1605"/>
        <v>0</v>
      </c>
      <c r="DO575" s="2120">
        <f t="shared" ca="1" si="1605"/>
        <v>0</v>
      </c>
      <c r="DP575" s="2120">
        <f t="shared" ca="1" si="1605"/>
        <v>0</v>
      </c>
    </row>
    <row r="576" spans="1:120" s="165" customFormat="1" outlineLevel="1">
      <c r="A576" s="2422">
        <v>1110052090</v>
      </c>
      <c r="B576" s="2423" t="s">
        <v>2218</v>
      </c>
      <c r="C576" s="2424" t="s">
        <v>64</v>
      </c>
      <c r="D576" s="2425">
        <v>1100003410</v>
      </c>
      <c r="E576" s="2426">
        <v>44943</v>
      </c>
      <c r="F576" s="2427"/>
      <c r="G576" s="2428"/>
      <c r="H576" s="2429"/>
      <c r="I576" s="2430"/>
      <c r="J576" s="2431">
        <v>1</v>
      </c>
      <c r="K576" s="2432">
        <v>1</v>
      </c>
      <c r="L576" s="2433">
        <v>2500000</v>
      </c>
      <c r="M576" s="2434">
        <f t="shared" ref="M576:M588" si="1616">+L576*J576</f>
        <v>2500000</v>
      </c>
      <c r="N576" s="2435">
        <f ca="1">IF(OR(E576="",E576&gt;TODAY()),0,IF(ISERROR(VLOOKUP($E576,'TRM BanRep'!$A:$G,7,0)),0,VLOOKUP($E576,'TRM BanRep'!$A:$G,7,0)))</f>
        <v>4693.99</v>
      </c>
      <c r="O576" s="2436">
        <f t="shared" ref="O576:O588" ca="1" si="1617">+L576*J576*N576</f>
        <v>11734975000</v>
      </c>
      <c r="P576" s="2437"/>
      <c r="Q576" s="2437">
        <f t="shared" ref="Q576:Q588" si="1618">+P576*K576</f>
        <v>0</v>
      </c>
      <c r="R576" s="2438"/>
      <c r="S576" s="2438">
        <f ca="1">IF(OR(E576="",E576&gt;TODAY()),0,IF(ISERROR(VLOOKUP($E576,'TRM BanRep'!$A:$G,7,0)),0,VLOOKUP($E576,'TRM BanRep'!$A:$G,7,0)))</f>
        <v>4693.99</v>
      </c>
      <c r="T576" s="2439">
        <f t="shared" ref="T576:T588" ca="1" si="1619">+P576*K576*S576</f>
        <v>0</v>
      </c>
      <c r="U576" s="1158">
        <f t="shared" ref="U576:U588" si="1620">+L576+P576+F576</f>
        <v>2500000</v>
      </c>
      <c r="V576" s="2440">
        <f t="shared" ref="V576:V588" ca="1" si="1621">+P576*J576*R576+L576*J576*N576+F576*K576*H576</f>
        <v>11734975000</v>
      </c>
      <c r="W576" s="2441">
        <f t="shared" ref="W576:W588" ca="1" si="1622">IF((-P576*J576*R576)-(-P576*K576*S576)&gt;0,(-P576*J576*R576)-(-P576*K576*S576),0)</f>
        <v>0</v>
      </c>
      <c r="X576" s="2442">
        <f t="shared" ref="X576:X588" ca="1" si="1623">IF((-P576*J576*R576)-(-P576*K576*S576)&lt;0,(-P576*J576*R576)-(-P576*K576*S576),0)</f>
        <v>0</v>
      </c>
      <c r="Y576" s="2443"/>
      <c r="Z576" s="1055"/>
      <c r="AA576" s="2329">
        <f t="shared" si="1599"/>
        <v>0</v>
      </c>
      <c r="AB576" s="2158">
        <f t="shared" si="1599"/>
        <v>0</v>
      </c>
      <c r="AC576" s="2158">
        <f t="shared" si="1599"/>
        <v>0</v>
      </c>
      <c r="AD576" s="2158">
        <f t="shared" si="1599"/>
        <v>0</v>
      </c>
      <c r="AE576" s="2158">
        <f t="shared" si="1599"/>
        <v>0</v>
      </c>
      <c r="AF576" s="2120">
        <f t="shared" si="1599"/>
        <v>0</v>
      </c>
      <c r="AG576" s="2120">
        <f t="shared" si="1599"/>
        <v>0</v>
      </c>
      <c r="AH576" s="2120">
        <f t="shared" si="1599"/>
        <v>0</v>
      </c>
      <c r="AI576" s="2120">
        <f t="shared" si="1599"/>
        <v>0</v>
      </c>
      <c r="AJ576" s="2120">
        <f t="shared" si="1600"/>
        <v>2500000</v>
      </c>
      <c r="AK576" s="2120">
        <f t="shared" si="1599"/>
        <v>0</v>
      </c>
      <c r="AL576" s="2314">
        <f t="shared" si="1599"/>
        <v>0</v>
      </c>
      <c r="AM576" s="2120">
        <f t="shared" si="1599"/>
        <v>0</v>
      </c>
      <c r="AN576" s="2120">
        <f t="shared" si="1599"/>
        <v>0</v>
      </c>
      <c r="AO576" s="2120">
        <f t="shared" si="1599"/>
        <v>0</v>
      </c>
      <c r="AP576" s="2120">
        <f t="shared" si="1599"/>
        <v>0</v>
      </c>
      <c r="AQ576" s="2120">
        <f t="shared" si="1601"/>
        <v>0</v>
      </c>
      <c r="AR576" s="2120">
        <f t="shared" si="1601"/>
        <v>0</v>
      </c>
      <c r="AS576" s="2120">
        <f t="shared" si="1601"/>
        <v>0</v>
      </c>
      <c r="AT576" s="2120">
        <f t="shared" si="1601"/>
        <v>0</v>
      </c>
      <c r="AU576" s="2120">
        <f t="shared" si="1601"/>
        <v>0</v>
      </c>
      <c r="AV576" s="2120">
        <f t="shared" si="1601"/>
        <v>0</v>
      </c>
      <c r="AW576" s="2120">
        <f t="shared" si="1601"/>
        <v>0</v>
      </c>
      <c r="AX576" s="2120">
        <f t="shared" si="1601"/>
        <v>0</v>
      </c>
      <c r="AY576" s="2120">
        <f t="shared" si="1601"/>
        <v>0</v>
      </c>
      <c r="AZ576" s="2120">
        <f t="shared" si="1601"/>
        <v>0</v>
      </c>
      <c r="BA576" s="2120">
        <f t="shared" si="1601"/>
        <v>0</v>
      </c>
      <c r="BB576" s="2120">
        <f t="shared" si="1601"/>
        <v>0</v>
      </c>
      <c r="BC576" s="2120">
        <f t="shared" si="1601"/>
        <v>0</v>
      </c>
      <c r="BD576" s="2120">
        <f t="shared" si="1601"/>
        <v>0</v>
      </c>
      <c r="BE576" s="2120">
        <f t="shared" si="1601"/>
        <v>0</v>
      </c>
      <c r="BF576" s="2120">
        <f t="shared" si="1601"/>
        <v>0</v>
      </c>
      <c r="BG576" s="2120">
        <f t="shared" si="1602"/>
        <v>0</v>
      </c>
      <c r="BH576" s="2120">
        <f t="shared" si="1602"/>
        <v>0</v>
      </c>
      <c r="BI576" s="2120">
        <f t="shared" si="1602"/>
        <v>0</v>
      </c>
      <c r="BJ576" s="2120">
        <f t="shared" si="1602"/>
        <v>0</v>
      </c>
      <c r="BK576" s="2120">
        <f t="shared" si="1602"/>
        <v>0</v>
      </c>
      <c r="BL576" s="2120">
        <f t="shared" si="1602"/>
        <v>0</v>
      </c>
      <c r="BM576" s="2120">
        <f t="shared" si="1602"/>
        <v>0</v>
      </c>
      <c r="BN576" s="2120">
        <f t="shared" si="1602"/>
        <v>0</v>
      </c>
      <c r="BO576" s="2120">
        <f t="shared" si="1602"/>
        <v>0</v>
      </c>
      <c r="BP576" s="2120">
        <f t="shared" si="1602"/>
        <v>0</v>
      </c>
      <c r="BQ576" s="2120">
        <f t="shared" si="1602"/>
        <v>0</v>
      </c>
      <c r="BR576" s="2120">
        <f t="shared" si="1602"/>
        <v>0</v>
      </c>
      <c r="BS576" s="2120">
        <f t="shared" si="1602"/>
        <v>0</v>
      </c>
      <c r="BT576" s="2120">
        <f t="shared" si="1602"/>
        <v>0</v>
      </c>
      <c r="BU576" s="2120">
        <f t="shared" si="1602"/>
        <v>0</v>
      </c>
      <c r="BV576" s="2120">
        <f t="shared" si="1602"/>
        <v>0</v>
      </c>
      <c r="BW576" s="2120">
        <f t="shared" si="1603"/>
        <v>0</v>
      </c>
      <c r="BX576" s="2120">
        <f t="shared" si="1603"/>
        <v>0</v>
      </c>
      <c r="BY576" s="2120">
        <f t="shared" si="1603"/>
        <v>0</v>
      </c>
      <c r="BZ576" s="2120">
        <f t="shared" si="1603"/>
        <v>0</v>
      </c>
      <c r="CA576" s="2120">
        <f t="shared" si="1603"/>
        <v>0</v>
      </c>
      <c r="CB576" s="2120">
        <f t="shared" si="1603"/>
        <v>0</v>
      </c>
      <c r="CC576" s="2120">
        <f t="shared" si="1603"/>
        <v>0</v>
      </c>
      <c r="CD576" s="2120">
        <f t="shared" si="1603"/>
        <v>0</v>
      </c>
      <c r="CE576" s="2120">
        <f t="shared" si="1603"/>
        <v>0</v>
      </c>
      <c r="CF576" s="2120">
        <f t="shared" si="1603"/>
        <v>0</v>
      </c>
      <c r="CG576" s="2120">
        <f t="shared" si="1603"/>
        <v>0</v>
      </c>
      <c r="CH576" s="2120">
        <f t="shared" si="1603"/>
        <v>0</v>
      </c>
      <c r="CI576" s="2120">
        <f t="shared" si="1603"/>
        <v>0</v>
      </c>
      <c r="CJ576" s="2120">
        <f t="shared" si="1603"/>
        <v>0</v>
      </c>
      <c r="CK576" s="2120">
        <f t="shared" si="1603"/>
        <v>0</v>
      </c>
      <c r="CL576" s="2120">
        <f t="shared" si="1603"/>
        <v>0</v>
      </c>
      <c r="CM576" s="2120">
        <f t="shared" si="1604"/>
        <v>0</v>
      </c>
      <c r="CN576" s="2120">
        <f t="shared" si="1604"/>
        <v>0</v>
      </c>
      <c r="CO576" s="2120">
        <f t="shared" si="1604"/>
        <v>0</v>
      </c>
      <c r="CP576" s="2120">
        <f t="shared" si="1604"/>
        <v>0</v>
      </c>
      <c r="CQ576" s="2120">
        <f t="shared" si="1604"/>
        <v>0</v>
      </c>
      <c r="CR576" s="2120">
        <f t="shared" si="1604"/>
        <v>0</v>
      </c>
      <c r="CS576" s="2120">
        <f t="shared" si="1604"/>
        <v>0</v>
      </c>
      <c r="CT576" s="2120">
        <f t="shared" si="1604"/>
        <v>0</v>
      </c>
      <c r="CU576" s="2120">
        <f t="shared" si="1604"/>
        <v>0</v>
      </c>
      <c r="CV576" s="2120">
        <f t="shared" si="1604"/>
        <v>0</v>
      </c>
      <c r="CW576" s="2120">
        <f t="shared" si="1604"/>
        <v>0</v>
      </c>
      <c r="CX576" s="2120">
        <f t="shared" si="1604"/>
        <v>0</v>
      </c>
      <c r="CY576" s="2120">
        <f t="shared" si="1604"/>
        <v>0</v>
      </c>
      <c r="CZ576" s="2120">
        <f t="shared" si="1604"/>
        <v>0</v>
      </c>
      <c r="DA576" s="2120">
        <f t="shared" si="1604"/>
        <v>0</v>
      </c>
      <c r="DB576" s="2120">
        <f t="shared" si="1604"/>
        <v>0</v>
      </c>
      <c r="DC576" s="2120">
        <f t="shared" si="1605"/>
        <v>0</v>
      </c>
      <c r="DD576" s="2120">
        <f t="shared" si="1605"/>
        <v>0</v>
      </c>
      <c r="DE576" s="2120">
        <f t="shared" si="1605"/>
        <v>0</v>
      </c>
      <c r="DF576" s="2120">
        <f t="shared" si="1605"/>
        <v>0</v>
      </c>
      <c r="DG576" s="2120">
        <f t="shared" si="1605"/>
        <v>0</v>
      </c>
      <c r="DH576" s="2120">
        <f t="shared" si="1605"/>
        <v>0</v>
      </c>
      <c r="DI576" s="2120">
        <f t="shared" si="1605"/>
        <v>0</v>
      </c>
      <c r="DJ576" s="2120">
        <f t="shared" si="1605"/>
        <v>0</v>
      </c>
      <c r="DK576" s="2120">
        <f t="shared" si="1605"/>
        <v>0</v>
      </c>
      <c r="DL576" s="2120">
        <f t="shared" si="1605"/>
        <v>0</v>
      </c>
      <c r="DM576" s="2120">
        <f t="shared" si="1605"/>
        <v>0</v>
      </c>
      <c r="DN576" s="2120">
        <f t="shared" si="1605"/>
        <v>0</v>
      </c>
      <c r="DO576" s="2120">
        <f t="shared" si="1605"/>
        <v>0</v>
      </c>
      <c r="DP576" s="2120">
        <f t="shared" si="1605"/>
        <v>0</v>
      </c>
    </row>
    <row r="577" spans="1:120" s="165" customFormat="1" outlineLevel="1">
      <c r="A577" s="2422">
        <v>1110052090</v>
      </c>
      <c r="B577" s="2423" t="s">
        <v>2205</v>
      </c>
      <c r="C577" s="2424" t="s">
        <v>64</v>
      </c>
      <c r="D577" s="2425">
        <v>1100003411</v>
      </c>
      <c r="E577" s="2426">
        <v>44943</v>
      </c>
      <c r="F577" s="2427"/>
      <c r="G577" s="2428"/>
      <c r="H577" s="2429"/>
      <c r="I577" s="2430"/>
      <c r="J577" s="2431">
        <v>1</v>
      </c>
      <c r="K577" s="2432">
        <v>1</v>
      </c>
      <c r="L577" s="2433">
        <v>2830000</v>
      </c>
      <c r="M577" s="2444">
        <f t="shared" ref="M577:M581" si="1624">+L577*J577</f>
        <v>2830000</v>
      </c>
      <c r="N577" s="2435">
        <f ca="1">IF(OR(E577="",E577&gt;TODAY()),0,IF(ISERROR(VLOOKUP($E577,'TRM BanRep'!$A:$G,7,0)),0,VLOOKUP($E577,'TRM BanRep'!$A:$G,7,0)))</f>
        <v>4693.99</v>
      </c>
      <c r="O577" s="2436">
        <f t="shared" ref="O577:O581" ca="1" si="1625">+L577*J577*N577</f>
        <v>13283991700</v>
      </c>
      <c r="P577" s="2437"/>
      <c r="Q577" s="2437">
        <f t="shared" ref="Q577:Q581" si="1626">+P577*K577</f>
        <v>0</v>
      </c>
      <c r="R577" s="2438"/>
      <c r="S577" s="2438">
        <f ca="1">IF(OR(E577="",E577&gt;TODAY()),0,IF(ISERROR(VLOOKUP($E577,'TRM BanRep'!$A:$G,7,0)),0,VLOOKUP($E577,'TRM BanRep'!$A:$G,7,0)))</f>
        <v>4693.99</v>
      </c>
      <c r="T577" s="2439">
        <f t="shared" ref="T577:T581" ca="1" si="1627">+P577*K577*S577</f>
        <v>0</v>
      </c>
      <c r="U577" s="1158">
        <f t="shared" ref="U577:U581" si="1628">+L577+P577+F577</f>
        <v>2830000</v>
      </c>
      <c r="V577" s="2440">
        <f t="shared" ref="V577:V581" ca="1" si="1629">+P577*J577*R577+L577*J577*N577+F577*K577*H577</f>
        <v>13283991700</v>
      </c>
      <c r="W577" s="2441">
        <f t="shared" ref="W577:W581" ca="1" si="1630">IF((-P577*J577*R577)-(-P577*K577*S577)&gt;0,(-P577*J577*R577)-(-P577*K577*S577),0)</f>
        <v>0</v>
      </c>
      <c r="X577" s="2442">
        <f t="shared" ref="X577:X581" ca="1" si="1631">IF((-P577*J577*R577)-(-P577*K577*S577)&lt;0,(-P577*J577*R577)-(-P577*K577*S577),0)</f>
        <v>0</v>
      </c>
      <c r="Y577" s="2443"/>
      <c r="Z577" s="1055"/>
      <c r="AA577" s="2329">
        <f t="shared" si="1599"/>
        <v>0</v>
      </c>
      <c r="AB577" s="2158">
        <f t="shared" si="1599"/>
        <v>0</v>
      </c>
      <c r="AC577" s="2158">
        <f t="shared" si="1599"/>
        <v>0</v>
      </c>
      <c r="AD577" s="2158">
        <f t="shared" si="1599"/>
        <v>0</v>
      </c>
      <c r="AE577" s="2158">
        <f t="shared" si="1599"/>
        <v>0</v>
      </c>
      <c r="AF577" s="2120">
        <f t="shared" si="1599"/>
        <v>0</v>
      </c>
      <c r="AG577" s="2120">
        <f t="shared" si="1599"/>
        <v>0</v>
      </c>
      <c r="AH577" s="2120">
        <f t="shared" si="1599"/>
        <v>0</v>
      </c>
      <c r="AI577" s="2120">
        <f t="shared" si="1599"/>
        <v>0</v>
      </c>
      <c r="AJ577" s="2120">
        <f t="shared" si="1600"/>
        <v>2830000</v>
      </c>
      <c r="AK577" s="2120">
        <f t="shared" si="1599"/>
        <v>0</v>
      </c>
      <c r="AL577" s="2314">
        <f t="shared" si="1599"/>
        <v>0</v>
      </c>
      <c r="AM577" s="2120">
        <f t="shared" si="1599"/>
        <v>0</v>
      </c>
      <c r="AN577" s="2120">
        <f t="shared" si="1599"/>
        <v>0</v>
      </c>
      <c r="AO577" s="2120">
        <f t="shared" si="1599"/>
        <v>0</v>
      </c>
      <c r="AP577" s="2120">
        <f t="shared" si="1599"/>
        <v>0</v>
      </c>
      <c r="AQ577" s="2120">
        <f t="shared" si="1601"/>
        <v>0</v>
      </c>
      <c r="AR577" s="2120">
        <f t="shared" si="1601"/>
        <v>0</v>
      </c>
      <c r="AS577" s="2120">
        <f t="shared" si="1601"/>
        <v>0</v>
      </c>
      <c r="AT577" s="2120">
        <f t="shared" si="1601"/>
        <v>0</v>
      </c>
      <c r="AU577" s="2120">
        <f t="shared" si="1601"/>
        <v>0</v>
      </c>
      <c r="AV577" s="2120">
        <f t="shared" si="1601"/>
        <v>0</v>
      </c>
      <c r="AW577" s="2120">
        <f t="shared" si="1601"/>
        <v>0</v>
      </c>
      <c r="AX577" s="2120">
        <f t="shared" si="1601"/>
        <v>0</v>
      </c>
      <c r="AY577" s="2120">
        <f t="shared" si="1601"/>
        <v>0</v>
      </c>
      <c r="AZ577" s="2120">
        <f t="shared" si="1601"/>
        <v>0</v>
      </c>
      <c r="BA577" s="2120">
        <f t="shared" si="1601"/>
        <v>0</v>
      </c>
      <c r="BB577" s="2120">
        <f t="shared" si="1601"/>
        <v>0</v>
      </c>
      <c r="BC577" s="2120">
        <f t="shared" si="1601"/>
        <v>0</v>
      </c>
      <c r="BD577" s="2120">
        <f t="shared" si="1601"/>
        <v>0</v>
      </c>
      <c r="BE577" s="2120">
        <f t="shared" si="1601"/>
        <v>0</v>
      </c>
      <c r="BF577" s="2120">
        <f t="shared" si="1601"/>
        <v>0</v>
      </c>
      <c r="BG577" s="2120">
        <f t="shared" si="1602"/>
        <v>0</v>
      </c>
      <c r="BH577" s="2120">
        <f t="shared" si="1602"/>
        <v>0</v>
      </c>
      <c r="BI577" s="2120">
        <f t="shared" si="1602"/>
        <v>0</v>
      </c>
      <c r="BJ577" s="2120">
        <f t="shared" si="1602"/>
        <v>0</v>
      </c>
      <c r="BK577" s="2120">
        <f t="shared" si="1602"/>
        <v>0</v>
      </c>
      <c r="BL577" s="2120">
        <f t="shared" si="1602"/>
        <v>0</v>
      </c>
      <c r="BM577" s="2120">
        <f t="shared" si="1602"/>
        <v>0</v>
      </c>
      <c r="BN577" s="2120">
        <f t="shared" si="1602"/>
        <v>0</v>
      </c>
      <c r="BO577" s="2120">
        <f t="shared" si="1602"/>
        <v>0</v>
      </c>
      <c r="BP577" s="2120">
        <f t="shared" si="1602"/>
        <v>0</v>
      </c>
      <c r="BQ577" s="2120">
        <f t="shared" si="1602"/>
        <v>0</v>
      </c>
      <c r="BR577" s="2120">
        <f t="shared" si="1602"/>
        <v>0</v>
      </c>
      <c r="BS577" s="2120">
        <f t="shared" si="1602"/>
        <v>0</v>
      </c>
      <c r="BT577" s="2120">
        <f t="shared" si="1602"/>
        <v>0</v>
      </c>
      <c r="BU577" s="2120">
        <f t="shared" si="1602"/>
        <v>0</v>
      </c>
      <c r="BV577" s="2120">
        <f t="shared" si="1602"/>
        <v>0</v>
      </c>
      <c r="BW577" s="2120">
        <f t="shared" si="1603"/>
        <v>0</v>
      </c>
      <c r="BX577" s="2120">
        <f t="shared" si="1603"/>
        <v>0</v>
      </c>
      <c r="BY577" s="2120">
        <f t="shared" si="1603"/>
        <v>0</v>
      </c>
      <c r="BZ577" s="2120">
        <f t="shared" si="1603"/>
        <v>0</v>
      </c>
      <c r="CA577" s="2120">
        <f t="shared" si="1603"/>
        <v>0</v>
      </c>
      <c r="CB577" s="2120">
        <f t="shared" si="1603"/>
        <v>0</v>
      </c>
      <c r="CC577" s="2120">
        <f t="shared" si="1603"/>
        <v>0</v>
      </c>
      <c r="CD577" s="2120">
        <f t="shared" si="1603"/>
        <v>0</v>
      </c>
      <c r="CE577" s="2120">
        <f t="shared" si="1603"/>
        <v>0</v>
      </c>
      <c r="CF577" s="2120">
        <f t="shared" si="1603"/>
        <v>0</v>
      </c>
      <c r="CG577" s="2120">
        <f t="shared" si="1603"/>
        <v>0</v>
      </c>
      <c r="CH577" s="2120">
        <f t="shared" si="1603"/>
        <v>0</v>
      </c>
      <c r="CI577" s="2120">
        <f t="shared" si="1603"/>
        <v>0</v>
      </c>
      <c r="CJ577" s="2120">
        <f t="shared" si="1603"/>
        <v>0</v>
      </c>
      <c r="CK577" s="2120">
        <f t="shared" si="1603"/>
        <v>0</v>
      </c>
      <c r="CL577" s="2120">
        <f t="shared" si="1603"/>
        <v>0</v>
      </c>
      <c r="CM577" s="2120">
        <f t="shared" si="1604"/>
        <v>0</v>
      </c>
      <c r="CN577" s="2120">
        <f t="shared" si="1604"/>
        <v>0</v>
      </c>
      <c r="CO577" s="2120">
        <f t="shared" si="1604"/>
        <v>0</v>
      </c>
      <c r="CP577" s="2120">
        <f t="shared" si="1604"/>
        <v>0</v>
      </c>
      <c r="CQ577" s="2120">
        <f t="shared" si="1604"/>
        <v>0</v>
      </c>
      <c r="CR577" s="2120">
        <f t="shared" si="1604"/>
        <v>0</v>
      </c>
      <c r="CS577" s="2120">
        <f t="shared" si="1604"/>
        <v>0</v>
      </c>
      <c r="CT577" s="2120">
        <f t="shared" si="1604"/>
        <v>0</v>
      </c>
      <c r="CU577" s="2120">
        <f t="shared" si="1604"/>
        <v>0</v>
      </c>
      <c r="CV577" s="2120">
        <f t="shared" si="1604"/>
        <v>0</v>
      </c>
      <c r="CW577" s="2120">
        <f t="shared" si="1604"/>
        <v>0</v>
      </c>
      <c r="CX577" s="2120">
        <f t="shared" si="1604"/>
        <v>0</v>
      </c>
      <c r="CY577" s="2120">
        <f t="shared" si="1604"/>
        <v>0</v>
      </c>
      <c r="CZ577" s="2120">
        <f t="shared" si="1604"/>
        <v>0</v>
      </c>
      <c r="DA577" s="2120">
        <f t="shared" si="1604"/>
        <v>0</v>
      </c>
      <c r="DB577" s="2120">
        <f t="shared" si="1604"/>
        <v>0</v>
      </c>
      <c r="DC577" s="2120">
        <f t="shared" si="1605"/>
        <v>0</v>
      </c>
      <c r="DD577" s="2120">
        <f t="shared" si="1605"/>
        <v>0</v>
      </c>
      <c r="DE577" s="2120">
        <f t="shared" si="1605"/>
        <v>0</v>
      </c>
      <c r="DF577" s="2120">
        <f t="shared" si="1605"/>
        <v>0</v>
      </c>
      <c r="DG577" s="2120">
        <f t="shared" si="1605"/>
        <v>0</v>
      </c>
      <c r="DH577" s="2120">
        <f t="shared" si="1605"/>
        <v>0</v>
      </c>
      <c r="DI577" s="2120">
        <f t="shared" si="1605"/>
        <v>0</v>
      </c>
      <c r="DJ577" s="2120">
        <f t="shared" si="1605"/>
        <v>0</v>
      </c>
      <c r="DK577" s="2120">
        <f t="shared" si="1605"/>
        <v>0</v>
      </c>
      <c r="DL577" s="2120">
        <f t="shared" si="1605"/>
        <v>0</v>
      </c>
      <c r="DM577" s="2120">
        <f t="shared" si="1605"/>
        <v>0</v>
      </c>
      <c r="DN577" s="2120">
        <f t="shared" si="1605"/>
        <v>0</v>
      </c>
      <c r="DO577" s="2120">
        <f t="shared" si="1605"/>
        <v>0</v>
      </c>
      <c r="DP577" s="2120">
        <f t="shared" si="1605"/>
        <v>0</v>
      </c>
    </row>
    <row r="578" spans="1:120" s="165" customFormat="1" outlineLevel="1">
      <c r="A578" s="162">
        <v>1110052090</v>
      </c>
      <c r="B578" s="627" t="s">
        <v>2216</v>
      </c>
      <c r="C578" s="1556" t="s">
        <v>64</v>
      </c>
      <c r="D578" s="1557">
        <v>1100003404</v>
      </c>
      <c r="E578" s="1558">
        <v>44945</v>
      </c>
      <c r="F578" s="163"/>
      <c r="G578" s="1264"/>
      <c r="H578" s="628"/>
      <c r="I578" s="629"/>
      <c r="J578" s="1425">
        <v>1</v>
      </c>
      <c r="K578" s="1426">
        <v>1</v>
      </c>
      <c r="L578" s="1892"/>
      <c r="M578" s="1893">
        <f>+L578*J578</f>
        <v>0</v>
      </c>
      <c r="N578" s="630">
        <f ca="1">IF(OR(E578="",E578&gt;TODAY()),0,IF(ISERROR(VLOOKUP($E578,'TRM BanRep'!$A:$G,7,0)),0,VLOOKUP($E578,'TRM BanRep'!$A:$G,7,0)))</f>
        <v>4702.67</v>
      </c>
      <c r="O578" s="631">
        <f ca="1">+L578*J578*N578</f>
        <v>0</v>
      </c>
      <c r="P578" s="632">
        <v>-2560000</v>
      </c>
      <c r="Q578" s="632">
        <f>+P578*K578</f>
        <v>-2560000</v>
      </c>
      <c r="R578" s="633">
        <v>4748.54</v>
      </c>
      <c r="S578" s="633">
        <f ca="1">IF(OR(E578="",E578&gt;TODAY()),0,IF(ISERROR(VLOOKUP($E578,'TRM BanRep'!$A:$G,7,0)),0,VLOOKUP($E578,'TRM BanRep'!$A:$G,7,0)))</f>
        <v>4702.67</v>
      </c>
      <c r="T578" s="687">
        <f ca="1">+P578*K578*S578</f>
        <v>-12038835200</v>
      </c>
      <c r="U578" s="1121">
        <f>+L578+P578+F578</f>
        <v>-2560000</v>
      </c>
      <c r="V578" s="688">
        <f ca="1">+P578*J578*R578+L578*J578*N578+F578*K578*H578</f>
        <v>-12156262400</v>
      </c>
      <c r="W578" s="689">
        <f ca="1">IF((-P578*J578*R578)-(-P578*K578*S578)&gt;0,(-P578*J578*R578)-(-P578*K578*S578),0)</f>
        <v>117427200</v>
      </c>
      <c r="X578" s="635">
        <f ca="1">IF((-P578*J578*R578)-(-P578*K578*S578)&lt;0,(-P578*J578*R578)-(-P578*K578*S578),0)</f>
        <v>0</v>
      </c>
      <c r="Y578" s="636"/>
      <c r="Z578" s="1055"/>
      <c r="AA578" s="2329">
        <f t="shared" ref="AA578:AI580" ca="1" si="1632">IF($L578="",IF(OR($P578="",$R578=""),0,IF($R578=AA$6,$Q578,0)),IF($E578=AA$5,$M578,))</f>
        <v>0</v>
      </c>
      <c r="AB578" s="2158">
        <f t="shared" ca="1" si="1632"/>
        <v>0</v>
      </c>
      <c r="AC578" s="2158">
        <f t="shared" ca="1" si="1632"/>
        <v>0</v>
      </c>
      <c r="AD578" s="2158">
        <f t="shared" ca="1" si="1632"/>
        <v>0</v>
      </c>
      <c r="AE578" s="2158">
        <f t="shared" ca="1" si="1632"/>
        <v>0</v>
      </c>
      <c r="AF578" s="2120">
        <f t="shared" ca="1" si="1632"/>
        <v>0</v>
      </c>
      <c r="AG578" s="2120">
        <f t="shared" ca="1" si="1632"/>
        <v>0</v>
      </c>
      <c r="AH578" s="2120">
        <f t="shared" ca="1" si="1632"/>
        <v>0</v>
      </c>
      <c r="AI578" s="2120">
        <f t="shared" ca="1" si="1632"/>
        <v>-2560000</v>
      </c>
      <c r="AJ578" s="2120">
        <f t="shared" ca="1" si="1600"/>
        <v>0</v>
      </c>
      <c r="AK578" s="2120">
        <f t="shared" ref="AK578:AT580" ca="1" si="1633">IF($L578="",IF(OR($P578="",$R578=""),0,IF($R578=AK$6,$Q578,0)),IF($E578=AK$5,$M578,))</f>
        <v>0</v>
      </c>
      <c r="AL578" s="2314">
        <f t="shared" ca="1" si="1633"/>
        <v>0</v>
      </c>
      <c r="AM578" s="2120">
        <f t="shared" ca="1" si="1633"/>
        <v>0</v>
      </c>
      <c r="AN578" s="2120">
        <f t="shared" ca="1" si="1633"/>
        <v>0</v>
      </c>
      <c r="AO578" s="2120">
        <f t="shared" ca="1" si="1633"/>
        <v>0</v>
      </c>
      <c r="AP578" s="2120">
        <f t="shared" ca="1" si="1633"/>
        <v>0</v>
      </c>
      <c r="AQ578" s="2120">
        <f t="shared" ca="1" si="1633"/>
        <v>0</v>
      </c>
      <c r="AR578" s="2120">
        <f t="shared" ca="1" si="1633"/>
        <v>0</v>
      </c>
      <c r="AS578" s="2120">
        <f t="shared" ca="1" si="1633"/>
        <v>0</v>
      </c>
      <c r="AT578" s="2120">
        <f t="shared" ca="1" si="1633"/>
        <v>0</v>
      </c>
      <c r="AU578" s="2120">
        <f t="shared" ca="1" si="1601"/>
        <v>0</v>
      </c>
      <c r="AV578" s="2120">
        <f t="shared" ca="1" si="1601"/>
        <v>0</v>
      </c>
      <c r="AW578" s="2120">
        <f t="shared" ca="1" si="1601"/>
        <v>0</v>
      </c>
      <c r="AX578" s="2120">
        <f t="shared" ca="1" si="1601"/>
        <v>0</v>
      </c>
      <c r="AY578" s="2120">
        <f t="shared" ca="1" si="1601"/>
        <v>0</v>
      </c>
      <c r="AZ578" s="2120">
        <f t="shared" ca="1" si="1601"/>
        <v>0</v>
      </c>
      <c r="BA578" s="2120">
        <f t="shared" ca="1" si="1601"/>
        <v>0</v>
      </c>
      <c r="BB578" s="2120">
        <f t="shared" ca="1" si="1601"/>
        <v>0</v>
      </c>
      <c r="BC578" s="2120">
        <f t="shared" ca="1" si="1601"/>
        <v>0</v>
      </c>
      <c r="BD578" s="2120">
        <f t="shared" ca="1" si="1601"/>
        <v>0</v>
      </c>
      <c r="BE578" s="2120">
        <f t="shared" ca="1" si="1601"/>
        <v>0</v>
      </c>
      <c r="BF578" s="2120">
        <f t="shared" ca="1" si="1601"/>
        <v>0</v>
      </c>
      <c r="BG578" s="2120">
        <f t="shared" ref="BG578:BP580" ca="1" si="1634">IF($L578="",IF(OR($P578="",$R578=""),0,IF($R578=BG$6,$Q578,0)),IF($E578=BG$5,$M578,))</f>
        <v>0</v>
      </c>
      <c r="BH578" s="2120">
        <f t="shared" ca="1" si="1634"/>
        <v>0</v>
      </c>
      <c r="BI578" s="2120">
        <f t="shared" ca="1" si="1634"/>
        <v>0</v>
      </c>
      <c r="BJ578" s="2120">
        <f t="shared" ca="1" si="1634"/>
        <v>0</v>
      </c>
      <c r="BK578" s="2120">
        <f t="shared" ca="1" si="1634"/>
        <v>0</v>
      </c>
      <c r="BL578" s="2120">
        <f t="shared" ca="1" si="1634"/>
        <v>0</v>
      </c>
      <c r="BM578" s="2120">
        <f t="shared" ca="1" si="1634"/>
        <v>0</v>
      </c>
      <c r="BN578" s="2120">
        <f t="shared" ca="1" si="1634"/>
        <v>0</v>
      </c>
      <c r="BO578" s="2120">
        <f t="shared" ca="1" si="1634"/>
        <v>0</v>
      </c>
      <c r="BP578" s="2120">
        <f t="shared" ca="1" si="1634"/>
        <v>0</v>
      </c>
      <c r="BQ578" s="2120">
        <f t="shared" ref="BQ578:BZ580" ca="1" si="1635">IF($L578="",IF(OR($P578="",$R578=""),0,IF($R578=BQ$6,$Q578,0)),IF($E578=BQ$5,$M578,))</f>
        <v>0</v>
      </c>
      <c r="BR578" s="2120">
        <f t="shared" ca="1" si="1635"/>
        <v>0</v>
      </c>
      <c r="BS578" s="2120">
        <f t="shared" ca="1" si="1635"/>
        <v>0</v>
      </c>
      <c r="BT578" s="2120">
        <f t="shared" ca="1" si="1635"/>
        <v>0</v>
      </c>
      <c r="BU578" s="2120">
        <f t="shared" ca="1" si="1635"/>
        <v>0</v>
      </c>
      <c r="BV578" s="2120">
        <f t="shared" ca="1" si="1635"/>
        <v>0</v>
      </c>
      <c r="BW578" s="2120">
        <f t="shared" ca="1" si="1635"/>
        <v>0</v>
      </c>
      <c r="BX578" s="2120">
        <f t="shared" ca="1" si="1635"/>
        <v>0</v>
      </c>
      <c r="BY578" s="2120">
        <f t="shared" ca="1" si="1635"/>
        <v>0</v>
      </c>
      <c r="BZ578" s="2120">
        <f t="shared" ca="1" si="1635"/>
        <v>0</v>
      </c>
      <c r="CA578" s="2120">
        <f t="shared" ref="CA578:CJ580" ca="1" si="1636">IF($L578="",IF(OR($P578="",$R578=""),0,IF($R578=CA$6,$Q578,0)),IF($E578=CA$5,$M578,))</f>
        <v>0</v>
      </c>
      <c r="CB578" s="2120">
        <f t="shared" ca="1" si="1636"/>
        <v>0</v>
      </c>
      <c r="CC578" s="2120">
        <f t="shared" ca="1" si="1636"/>
        <v>0</v>
      </c>
      <c r="CD578" s="2120">
        <f t="shared" ca="1" si="1636"/>
        <v>0</v>
      </c>
      <c r="CE578" s="2120">
        <f t="shared" ca="1" si="1636"/>
        <v>0</v>
      </c>
      <c r="CF578" s="2120">
        <f t="shared" ca="1" si="1636"/>
        <v>0</v>
      </c>
      <c r="CG578" s="2120">
        <f t="shared" ca="1" si="1636"/>
        <v>0</v>
      </c>
      <c r="CH578" s="2120">
        <f t="shared" ca="1" si="1636"/>
        <v>0</v>
      </c>
      <c r="CI578" s="2120">
        <f t="shared" ca="1" si="1636"/>
        <v>0</v>
      </c>
      <c r="CJ578" s="2120">
        <f t="shared" ca="1" si="1636"/>
        <v>0</v>
      </c>
      <c r="CK578" s="2120">
        <f t="shared" ref="CK578:CT580" ca="1" si="1637">IF($L578="",IF(OR($P578="",$R578=""),0,IF($R578=CK$6,$Q578,0)),IF($E578=CK$5,$M578,))</f>
        <v>0</v>
      </c>
      <c r="CL578" s="2120">
        <f t="shared" ca="1" si="1637"/>
        <v>0</v>
      </c>
      <c r="CM578" s="2120">
        <f t="shared" ca="1" si="1637"/>
        <v>0</v>
      </c>
      <c r="CN578" s="2120">
        <f t="shared" ca="1" si="1637"/>
        <v>0</v>
      </c>
      <c r="CO578" s="2120">
        <f t="shared" ca="1" si="1637"/>
        <v>0</v>
      </c>
      <c r="CP578" s="2120">
        <f t="shared" ca="1" si="1637"/>
        <v>0</v>
      </c>
      <c r="CQ578" s="2120">
        <f t="shared" ca="1" si="1637"/>
        <v>0</v>
      </c>
      <c r="CR578" s="2120">
        <f t="shared" ca="1" si="1637"/>
        <v>0</v>
      </c>
      <c r="CS578" s="2120">
        <f t="shared" ca="1" si="1637"/>
        <v>0</v>
      </c>
      <c r="CT578" s="2120">
        <f t="shared" ca="1" si="1637"/>
        <v>0</v>
      </c>
      <c r="CU578" s="2120">
        <f t="shared" ref="CU578:DD580" ca="1" si="1638">IF($L578="",IF(OR($P578="",$R578=""),0,IF($R578=CU$6,$Q578,0)),IF($E578=CU$5,$M578,))</f>
        <v>0</v>
      </c>
      <c r="CV578" s="2120">
        <f t="shared" ca="1" si="1638"/>
        <v>0</v>
      </c>
      <c r="CW578" s="2120">
        <f t="shared" ca="1" si="1638"/>
        <v>0</v>
      </c>
      <c r="CX578" s="2120">
        <f t="shared" ca="1" si="1638"/>
        <v>0</v>
      </c>
      <c r="CY578" s="2120">
        <f t="shared" ca="1" si="1638"/>
        <v>0</v>
      </c>
      <c r="CZ578" s="2120">
        <f t="shared" ca="1" si="1638"/>
        <v>0</v>
      </c>
      <c r="DA578" s="2120">
        <f t="shared" ca="1" si="1638"/>
        <v>0</v>
      </c>
      <c r="DB578" s="2120">
        <f t="shared" ca="1" si="1638"/>
        <v>0</v>
      </c>
      <c r="DC578" s="2120">
        <f t="shared" ca="1" si="1638"/>
        <v>0</v>
      </c>
      <c r="DD578" s="2120">
        <f t="shared" ca="1" si="1638"/>
        <v>0</v>
      </c>
      <c r="DE578" s="2120">
        <f t="shared" ca="1" si="1605"/>
        <v>0</v>
      </c>
      <c r="DF578" s="2120">
        <f t="shared" ca="1" si="1605"/>
        <v>0</v>
      </c>
      <c r="DG578" s="2120">
        <f t="shared" ca="1" si="1605"/>
        <v>0</v>
      </c>
      <c r="DH578" s="2120">
        <f t="shared" ca="1" si="1605"/>
        <v>0</v>
      </c>
      <c r="DI578" s="2120">
        <f t="shared" ca="1" si="1605"/>
        <v>0</v>
      </c>
      <c r="DJ578" s="2120">
        <f t="shared" ca="1" si="1605"/>
        <v>0</v>
      </c>
      <c r="DK578" s="2120">
        <f t="shared" ca="1" si="1605"/>
        <v>0</v>
      </c>
      <c r="DL578" s="2120">
        <f t="shared" ca="1" si="1605"/>
        <v>0</v>
      </c>
      <c r="DM578" s="2120">
        <f t="shared" ca="1" si="1605"/>
        <v>0</v>
      </c>
      <c r="DN578" s="2120">
        <f t="shared" ca="1" si="1605"/>
        <v>0</v>
      </c>
      <c r="DO578" s="2120">
        <f t="shared" ca="1" si="1605"/>
        <v>0</v>
      </c>
      <c r="DP578" s="2120">
        <f t="shared" ca="1" si="1605"/>
        <v>0</v>
      </c>
    </row>
    <row r="579" spans="1:120" s="165" customFormat="1" outlineLevel="1">
      <c r="A579" s="162">
        <v>1110052090</v>
      </c>
      <c r="B579" s="627" t="s">
        <v>2216</v>
      </c>
      <c r="C579" s="1556" t="s">
        <v>64</v>
      </c>
      <c r="D579" s="1557">
        <v>1100003405</v>
      </c>
      <c r="E579" s="1558">
        <v>44945</v>
      </c>
      <c r="F579" s="163"/>
      <c r="G579" s="1264"/>
      <c r="H579" s="628"/>
      <c r="I579" s="629"/>
      <c r="J579" s="1425">
        <v>1</v>
      </c>
      <c r="K579" s="1426">
        <v>1</v>
      </c>
      <c r="L579" s="1892"/>
      <c r="M579" s="1429">
        <f>+L579*J579</f>
        <v>0</v>
      </c>
      <c r="N579" s="630">
        <f ca="1">IF(OR(E579="",E579&gt;TODAY()),0,IF(ISERROR(VLOOKUP($E579,'TRM BanRep'!$A:$G,7,0)),0,VLOOKUP($E579,'TRM BanRep'!$A:$G,7,0)))</f>
        <v>4702.67</v>
      </c>
      <c r="O579" s="631">
        <f ca="1">+L579*J579*N579</f>
        <v>0</v>
      </c>
      <c r="P579" s="632">
        <v>-507498.61</v>
      </c>
      <c r="Q579" s="632">
        <f>+P579*K579</f>
        <v>-507498.61</v>
      </c>
      <c r="R579" s="633">
        <v>4748.54</v>
      </c>
      <c r="S579" s="633">
        <f ca="1">IF(OR(E579="",E579&gt;TODAY()),0,IF(ISERROR(VLOOKUP($E579,'TRM BanRep'!$A:$G,7,0)),0,VLOOKUP($E579,'TRM BanRep'!$A:$G,7,0)))</f>
        <v>4702.67</v>
      </c>
      <c r="T579" s="687">
        <f ca="1">+P579*K579*S579</f>
        <v>-2386598488.2887001</v>
      </c>
      <c r="U579" s="1121">
        <f>+L579+P579+F579</f>
        <v>-507498.61</v>
      </c>
      <c r="V579" s="688">
        <f ca="1">+P579*J579*R579+L579*J579*N579+F579*K579*H579</f>
        <v>-2409877449.5293999</v>
      </c>
      <c r="W579" s="689">
        <f ca="1">IF((-P579*J579*R579)-(-P579*K579*S579)&gt;0,(-P579*J579*R579)-(-P579*K579*S579),0)</f>
        <v>23278961.240699768</v>
      </c>
      <c r="X579" s="635">
        <f ca="1">IF((-P579*J579*R579)-(-P579*K579*S579)&lt;0,(-P579*J579*R579)-(-P579*K579*S579),0)</f>
        <v>0</v>
      </c>
      <c r="Y579" s="636"/>
      <c r="Z579" s="1055"/>
      <c r="AA579" s="2329">
        <f t="shared" ca="1" si="1632"/>
        <v>0</v>
      </c>
      <c r="AB579" s="2158">
        <f t="shared" ca="1" si="1632"/>
        <v>0</v>
      </c>
      <c r="AC579" s="2158">
        <f t="shared" ca="1" si="1632"/>
        <v>0</v>
      </c>
      <c r="AD579" s="2158">
        <f t="shared" ca="1" si="1632"/>
        <v>0</v>
      </c>
      <c r="AE579" s="2158">
        <f t="shared" ca="1" si="1632"/>
        <v>0</v>
      </c>
      <c r="AF579" s="2120">
        <f t="shared" ca="1" si="1632"/>
        <v>0</v>
      </c>
      <c r="AG579" s="2120">
        <f t="shared" ca="1" si="1632"/>
        <v>0</v>
      </c>
      <c r="AH579" s="2120">
        <f t="shared" ca="1" si="1632"/>
        <v>0</v>
      </c>
      <c r="AI579" s="2120">
        <f t="shared" ca="1" si="1632"/>
        <v>-507498.61</v>
      </c>
      <c r="AJ579" s="2120">
        <f t="shared" ca="1" si="1600"/>
        <v>0</v>
      </c>
      <c r="AK579" s="2120">
        <f t="shared" ca="1" si="1633"/>
        <v>0</v>
      </c>
      <c r="AL579" s="2314">
        <f t="shared" ca="1" si="1633"/>
        <v>0</v>
      </c>
      <c r="AM579" s="2120">
        <f t="shared" ca="1" si="1633"/>
        <v>0</v>
      </c>
      <c r="AN579" s="2120">
        <f t="shared" ca="1" si="1633"/>
        <v>0</v>
      </c>
      <c r="AO579" s="2120">
        <f t="shared" ca="1" si="1633"/>
        <v>0</v>
      </c>
      <c r="AP579" s="2120">
        <f t="shared" ca="1" si="1633"/>
        <v>0</v>
      </c>
      <c r="AQ579" s="2120">
        <f t="shared" ca="1" si="1633"/>
        <v>0</v>
      </c>
      <c r="AR579" s="2120">
        <f t="shared" ca="1" si="1633"/>
        <v>0</v>
      </c>
      <c r="AS579" s="2120">
        <f t="shared" ca="1" si="1633"/>
        <v>0</v>
      </c>
      <c r="AT579" s="2120">
        <f t="shared" ca="1" si="1633"/>
        <v>0</v>
      </c>
      <c r="AU579" s="2120">
        <f t="shared" ca="1" si="1601"/>
        <v>0</v>
      </c>
      <c r="AV579" s="2120">
        <f t="shared" ca="1" si="1601"/>
        <v>0</v>
      </c>
      <c r="AW579" s="2120">
        <f t="shared" ca="1" si="1601"/>
        <v>0</v>
      </c>
      <c r="AX579" s="2120">
        <f t="shared" ca="1" si="1601"/>
        <v>0</v>
      </c>
      <c r="AY579" s="2120">
        <f t="shared" ca="1" si="1601"/>
        <v>0</v>
      </c>
      <c r="AZ579" s="2120">
        <f t="shared" ca="1" si="1601"/>
        <v>0</v>
      </c>
      <c r="BA579" s="2120">
        <f t="shared" ca="1" si="1601"/>
        <v>0</v>
      </c>
      <c r="BB579" s="2120">
        <f t="shared" ca="1" si="1601"/>
        <v>0</v>
      </c>
      <c r="BC579" s="2120">
        <f t="shared" ca="1" si="1601"/>
        <v>0</v>
      </c>
      <c r="BD579" s="2120">
        <f t="shared" ca="1" si="1601"/>
        <v>0</v>
      </c>
      <c r="BE579" s="2120">
        <f t="shared" ca="1" si="1601"/>
        <v>0</v>
      </c>
      <c r="BF579" s="2120">
        <f t="shared" ca="1" si="1601"/>
        <v>0</v>
      </c>
      <c r="BG579" s="2120">
        <f t="shared" ca="1" si="1634"/>
        <v>0</v>
      </c>
      <c r="BH579" s="2120">
        <f t="shared" ca="1" si="1634"/>
        <v>0</v>
      </c>
      <c r="BI579" s="2120">
        <f t="shared" ca="1" si="1634"/>
        <v>0</v>
      </c>
      <c r="BJ579" s="2120">
        <f t="shared" ca="1" si="1634"/>
        <v>0</v>
      </c>
      <c r="BK579" s="2120">
        <f t="shared" ca="1" si="1634"/>
        <v>0</v>
      </c>
      <c r="BL579" s="2120">
        <f t="shared" ca="1" si="1634"/>
        <v>0</v>
      </c>
      <c r="BM579" s="2120">
        <f t="shared" ca="1" si="1634"/>
        <v>0</v>
      </c>
      <c r="BN579" s="2120">
        <f t="shared" ca="1" si="1634"/>
        <v>0</v>
      </c>
      <c r="BO579" s="2120">
        <f t="shared" ca="1" si="1634"/>
        <v>0</v>
      </c>
      <c r="BP579" s="2120">
        <f t="shared" ca="1" si="1634"/>
        <v>0</v>
      </c>
      <c r="BQ579" s="2120">
        <f t="shared" ca="1" si="1635"/>
        <v>0</v>
      </c>
      <c r="BR579" s="2120">
        <f t="shared" ca="1" si="1635"/>
        <v>0</v>
      </c>
      <c r="BS579" s="2120">
        <f t="shared" ca="1" si="1635"/>
        <v>0</v>
      </c>
      <c r="BT579" s="2120">
        <f t="shared" ca="1" si="1635"/>
        <v>0</v>
      </c>
      <c r="BU579" s="2120">
        <f t="shared" ca="1" si="1635"/>
        <v>0</v>
      </c>
      <c r="BV579" s="2120">
        <f t="shared" ca="1" si="1635"/>
        <v>0</v>
      </c>
      <c r="BW579" s="2120">
        <f t="shared" ca="1" si="1635"/>
        <v>0</v>
      </c>
      <c r="BX579" s="2120">
        <f t="shared" ca="1" si="1635"/>
        <v>0</v>
      </c>
      <c r="BY579" s="2120">
        <f t="shared" ca="1" si="1635"/>
        <v>0</v>
      </c>
      <c r="BZ579" s="2120">
        <f t="shared" ca="1" si="1635"/>
        <v>0</v>
      </c>
      <c r="CA579" s="2120">
        <f t="shared" ca="1" si="1636"/>
        <v>0</v>
      </c>
      <c r="CB579" s="2120">
        <f t="shared" ca="1" si="1636"/>
        <v>0</v>
      </c>
      <c r="CC579" s="2120">
        <f t="shared" ca="1" si="1636"/>
        <v>0</v>
      </c>
      <c r="CD579" s="2120">
        <f t="shared" ca="1" si="1636"/>
        <v>0</v>
      </c>
      <c r="CE579" s="2120">
        <f t="shared" ca="1" si="1636"/>
        <v>0</v>
      </c>
      <c r="CF579" s="2120">
        <f t="shared" ca="1" si="1636"/>
        <v>0</v>
      </c>
      <c r="CG579" s="2120">
        <f t="shared" ca="1" si="1636"/>
        <v>0</v>
      </c>
      <c r="CH579" s="2120">
        <f t="shared" ca="1" si="1636"/>
        <v>0</v>
      </c>
      <c r="CI579" s="2120">
        <f t="shared" ca="1" si="1636"/>
        <v>0</v>
      </c>
      <c r="CJ579" s="2120">
        <f t="shared" ca="1" si="1636"/>
        <v>0</v>
      </c>
      <c r="CK579" s="2120">
        <f t="shared" ca="1" si="1637"/>
        <v>0</v>
      </c>
      <c r="CL579" s="2120">
        <f t="shared" ca="1" si="1637"/>
        <v>0</v>
      </c>
      <c r="CM579" s="2120">
        <f t="shared" ca="1" si="1637"/>
        <v>0</v>
      </c>
      <c r="CN579" s="2120">
        <f t="shared" ca="1" si="1637"/>
        <v>0</v>
      </c>
      <c r="CO579" s="2120">
        <f t="shared" ca="1" si="1637"/>
        <v>0</v>
      </c>
      <c r="CP579" s="2120">
        <f t="shared" ca="1" si="1637"/>
        <v>0</v>
      </c>
      <c r="CQ579" s="2120">
        <f t="shared" ca="1" si="1637"/>
        <v>0</v>
      </c>
      <c r="CR579" s="2120">
        <f t="shared" ca="1" si="1637"/>
        <v>0</v>
      </c>
      <c r="CS579" s="2120">
        <f t="shared" ca="1" si="1637"/>
        <v>0</v>
      </c>
      <c r="CT579" s="2120">
        <f t="shared" ca="1" si="1637"/>
        <v>0</v>
      </c>
      <c r="CU579" s="2120">
        <f t="shared" ca="1" si="1638"/>
        <v>0</v>
      </c>
      <c r="CV579" s="2120">
        <f t="shared" ca="1" si="1638"/>
        <v>0</v>
      </c>
      <c r="CW579" s="2120">
        <f t="shared" ca="1" si="1638"/>
        <v>0</v>
      </c>
      <c r="CX579" s="2120">
        <f t="shared" ca="1" si="1638"/>
        <v>0</v>
      </c>
      <c r="CY579" s="2120">
        <f t="shared" ca="1" si="1638"/>
        <v>0</v>
      </c>
      <c r="CZ579" s="2120">
        <f t="shared" ca="1" si="1638"/>
        <v>0</v>
      </c>
      <c r="DA579" s="2120">
        <f t="shared" ca="1" si="1638"/>
        <v>0</v>
      </c>
      <c r="DB579" s="2120">
        <f t="shared" ca="1" si="1638"/>
        <v>0</v>
      </c>
      <c r="DC579" s="2120">
        <f t="shared" ca="1" si="1638"/>
        <v>0</v>
      </c>
      <c r="DD579" s="2120">
        <f t="shared" ca="1" si="1638"/>
        <v>0</v>
      </c>
      <c r="DE579" s="2120">
        <f t="shared" ca="1" si="1605"/>
        <v>0</v>
      </c>
      <c r="DF579" s="2120">
        <f t="shared" ca="1" si="1605"/>
        <v>0</v>
      </c>
      <c r="DG579" s="2120">
        <f t="shared" ca="1" si="1605"/>
        <v>0</v>
      </c>
      <c r="DH579" s="2120">
        <f t="shared" ca="1" si="1605"/>
        <v>0</v>
      </c>
      <c r="DI579" s="2120">
        <f t="shared" ca="1" si="1605"/>
        <v>0</v>
      </c>
      <c r="DJ579" s="2120">
        <f t="shared" ca="1" si="1605"/>
        <v>0</v>
      </c>
      <c r="DK579" s="2120">
        <f t="shared" ca="1" si="1605"/>
        <v>0</v>
      </c>
      <c r="DL579" s="2120">
        <f t="shared" ca="1" si="1605"/>
        <v>0</v>
      </c>
      <c r="DM579" s="2120">
        <f t="shared" ca="1" si="1605"/>
        <v>0</v>
      </c>
      <c r="DN579" s="2120">
        <f t="shared" ca="1" si="1605"/>
        <v>0</v>
      </c>
      <c r="DO579" s="2120">
        <f t="shared" ca="1" si="1605"/>
        <v>0</v>
      </c>
      <c r="DP579" s="2120">
        <f t="shared" ca="1" si="1605"/>
        <v>0</v>
      </c>
    </row>
    <row r="580" spans="1:120" s="165" customFormat="1" outlineLevel="1">
      <c r="A580" s="162">
        <v>1110052090</v>
      </c>
      <c r="B580" s="627" t="s">
        <v>2216</v>
      </c>
      <c r="C580" s="1556" t="s">
        <v>64</v>
      </c>
      <c r="D580" s="1557">
        <v>1100003405</v>
      </c>
      <c r="E580" s="1558">
        <v>44945</v>
      </c>
      <c r="F580" s="163"/>
      <c r="G580" s="1264"/>
      <c r="H580" s="628"/>
      <c r="I580" s="629"/>
      <c r="J580" s="1425">
        <v>1</v>
      </c>
      <c r="K580" s="1426">
        <v>1</v>
      </c>
      <c r="L580" s="1892"/>
      <c r="M580" s="1429">
        <f>+L580*J580</f>
        <v>0</v>
      </c>
      <c r="N580" s="630">
        <f ca="1">IF(OR(E580="",E580&gt;TODAY()),0,IF(ISERROR(VLOOKUP($E580,'TRM BanRep'!$A:$G,7,0)),0,VLOOKUP($E580,'TRM BanRep'!$A:$G,7,0)))</f>
        <v>4702.67</v>
      </c>
      <c r="O580" s="631">
        <f ca="1">+L580*J580*N580</f>
        <v>0</v>
      </c>
      <c r="P580" s="632">
        <v>-2252501.39</v>
      </c>
      <c r="Q580" s="632">
        <f>+P580*K580</f>
        <v>-2252501.39</v>
      </c>
      <c r="R580" s="633">
        <v>4693.99</v>
      </c>
      <c r="S580" s="633">
        <f ca="1">IF(OR(E580="",E580&gt;TODAY()),0,IF(ISERROR(VLOOKUP($E580,'TRM BanRep'!$A:$G,7,0)),0,VLOOKUP($E580,'TRM BanRep'!$A:$G,7,0)))</f>
        <v>4702.67</v>
      </c>
      <c r="T580" s="687">
        <f ca="1">+P580*K580*S580</f>
        <v>-10592770711.7113</v>
      </c>
      <c r="U580" s="1121">
        <f>+L580+P580+F580</f>
        <v>-2252501.39</v>
      </c>
      <c r="V580" s="688">
        <f ca="1">+P580*J580*R580+L580*J580*N580+F580*K580*H580</f>
        <v>-10573218999.646101</v>
      </c>
      <c r="W580" s="689">
        <f ca="1">IF((-P580*J580*R580)-(-P580*K580*S580)&gt;0,(-P580*J580*R580)-(-P580*K580*S580),0)</f>
        <v>0</v>
      </c>
      <c r="X580" s="635">
        <f ca="1">IF((-P580*J580*R580)-(-P580*K580*S580)&lt;0,(-P580*J580*R580)-(-P580*K580*S580),0)</f>
        <v>-19551712.065198898</v>
      </c>
      <c r="Y580" s="636"/>
      <c r="Z580" s="1055"/>
      <c r="AA580" s="2329">
        <f t="shared" ca="1" si="1632"/>
        <v>0</v>
      </c>
      <c r="AB580" s="2158">
        <f t="shared" ca="1" si="1632"/>
        <v>0</v>
      </c>
      <c r="AC580" s="2158">
        <f t="shared" ca="1" si="1632"/>
        <v>0</v>
      </c>
      <c r="AD580" s="2158">
        <f t="shared" ca="1" si="1632"/>
        <v>0</v>
      </c>
      <c r="AE580" s="2158">
        <f t="shared" ca="1" si="1632"/>
        <v>0</v>
      </c>
      <c r="AF580" s="2120">
        <f t="shared" ca="1" si="1632"/>
        <v>0</v>
      </c>
      <c r="AG580" s="2120">
        <f t="shared" ca="1" si="1632"/>
        <v>0</v>
      </c>
      <c r="AH580" s="2120">
        <f t="shared" ca="1" si="1632"/>
        <v>0</v>
      </c>
      <c r="AI580" s="2120">
        <f t="shared" ca="1" si="1632"/>
        <v>0</v>
      </c>
      <c r="AJ580" s="2120">
        <f t="shared" ca="1" si="1600"/>
        <v>-2252501.39</v>
      </c>
      <c r="AK580" s="2120">
        <f t="shared" ca="1" si="1633"/>
        <v>0</v>
      </c>
      <c r="AL580" s="2314">
        <f t="shared" ca="1" si="1633"/>
        <v>0</v>
      </c>
      <c r="AM580" s="2120">
        <f t="shared" ca="1" si="1633"/>
        <v>0</v>
      </c>
      <c r="AN580" s="2120">
        <f t="shared" ca="1" si="1633"/>
        <v>0</v>
      </c>
      <c r="AO580" s="2120">
        <f t="shared" ca="1" si="1633"/>
        <v>0</v>
      </c>
      <c r="AP580" s="2120">
        <f t="shared" ca="1" si="1633"/>
        <v>0</v>
      </c>
      <c r="AQ580" s="2120">
        <f t="shared" ca="1" si="1633"/>
        <v>0</v>
      </c>
      <c r="AR580" s="2120">
        <f t="shared" ca="1" si="1633"/>
        <v>0</v>
      </c>
      <c r="AS580" s="2120">
        <f t="shared" ca="1" si="1633"/>
        <v>0</v>
      </c>
      <c r="AT580" s="2120">
        <f t="shared" ca="1" si="1633"/>
        <v>0</v>
      </c>
      <c r="AU580" s="2120">
        <f t="shared" ca="1" si="1601"/>
        <v>0</v>
      </c>
      <c r="AV580" s="2120">
        <f t="shared" ca="1" si="1601"/>
        <v>0</v>
      </c>
      <c r="AW580" s="2120">
        <f t="shared" ca="1" si="1601"/>
        <v>0</v>
      </c>
      <c r="AX580" s="2120">
        <f t="shared" ca="1" si="1601"/>
        <v>0</v>
      </c>
      <c r="AY580" s="2120">
        <f t="shared" ca="1" si="1601"/>
        <v>0</v>
      </c>
      <c r="AZ580" s="2120">
        <f t="shared" ca="1" si="1601"/>
        <v>0</v>
      </c>
      <c r="BA580" s="2120">
        <f t="shared" ca="1" si="1601"/>
        <v>0</v>
      </c>
      <c r="BB580" s="2120">
        <f t="shared" ca="1" si="1601"/>
        <v>0</v>
      </c>
      <c r="BC580" s="2120">
        <f t="shared" ca="1" si="1601"/>
        <v>0</v>
      </c>
      <c r="BD580" s="2120">
        <f t="shared" ca="1" si="1601"/>
        <v>0</v>
      </c>
      <c r="BE580" s="2120">
        <f t="shared" ca="1" si="1601"/>
        <v>0</v>
      </c>
      <c r="BF580" s="2120">
        <f t="shared" ca="1" si="1601"/>
        <v>0</v>
      </c>
      <c r="BG580" s="2120">
        <f t="shared" ca="1" si="1634"/>
        <v>0</v>
      </c>
      <c r="BH580" s="2120">
        <f t="shared" ca="1" si="1634"/>
        <v>0</v>
      </c>
      <c r="BI580" s="2120">
        <f t="shared" ca="1" si="1634"/>
        <v>0</v>
      </c>
      <c r="BJ580" s="2120">
        <f t="shared" ca="1" si="1634"/>
        <v>0</v>
      </c>
      <c r="BK580" s="2120">
        <f t="shared" ca="1" si="1634"/>
        <v>0</v>
      </c>
      <c r="BL580" s="2120">
        <f t="shared" ca="1" si="1634"/>
        <v>0</v>
      </c>
      <c r="BM580" s="2120">
        <f t="shared" ca="1" si="1634"/>
        <v>0</v>
      </c>
      <c r="BN580" s="2120">
        <f t="shared" ca="1" si="1634"/>
        <v>0</v>
      </c>
      <c r="BO580" s="2120">
        <f t="shared" ca="1" si="1634"/>
        <v>0</v>
      </c>
      <c r="BP580" s="2120">
        <f t="shared" ca="1" si="1634"/>
        <v>0</v>
      </c>
      <c r="BQ580" s="2120">
        <f t="shared" ca="1" si="1635"/>
        <v>0</v>
      </c>
      <c r="BR580" s="2120">
        <f t="shared" ca="1" si="1635"/>
        <v>0</v>
      </c>
      <c r="BS580" s="2120">
        <f t="shared" ca="1" si="1635"/>
        <v>0</v>
      </c>
      <c r="BT580" s="2120">
        <f t="shared" ca="1" si="1635"/>
        <v>0</v>
      </c>
      <c r="BU580" s="2120">
        <f t="shared" ca="1" si="1635"/>
        <v>0</v>
      </c>
      <c r="BV580" s="2120">
        <f t="shared" ca="1" si="1635"/>
        <v>0</v>
      </c>
      <c r="BW580" s="2120">
        <f t="shared" ca="1" si="1635"/>
        <v>0</v>
      </c>
      <c r="BX580" s="2120">
        <f t="shared" ca="1" si="1635"/>
        <v>0</v>
      </c>
      <c r="BY580" s="2120">
        <f t="shared" ca="1" si="1635"/>
        <v>0</v>
      </c>
      <c r="BZ580" s="2120">
        <f t="shared" ca="1" si="1635"/>
        <v>0</v>
      </c>
      <c r="CA580" s="2120">
        <f t="shared" ca="1" si="1636"/>
        <v>0</v>
      </c>
      <c r="CB580" s="2120">
        <f t="shared" ca="1" si="1636"/>
        <v>0</v>
      </c>
      <c r="CC580" s="2120">
        <f t="shared" ca="1" si="1636"/>
        <v>0</v>
      </c>
      <c r="CD580" s="2120">
        <f t="shared" ca="1" si="1636"/>
        <v>0</v>
      </c>
      <c r="CE580" s="2120">
        <f t="shared" ca="1" si="1636"/>
        <v>0</v>
      </c>
      <c r="CF580" s="2120">
        <f t="shared" ca="1" si="1636"/>
        <v>0</v>
      </c>
      <c r="CG580" s="2120">
        <f t="shared" ca="1" si="1636"/>
        <v>0</v>
      </c>
      <c r="CH580" s="2120">
        <f t="shared" ca="1" si="1636"/>
        <v>0</v>
      </c>
      <c r="CI580" s="2120">
        <f t="shared" ca="1" si="1636"/>
        <v>0</v>
      </c>
      <c r="CJ580" s="2120">
        <f t="shared" ca="1" si="1636"/>
        <v>0</v>
      </c>
      <c r="CK580" s="2120">
        <f t="shared" ca="1" si="1637"/>
        <v>0</v>
      </c>
      <c r="CL580" s="2120">
        <f t="shared" ca="1" si="1637"/>
        <v>0</v>
      </c>
      <c r="CM580" s="2120">
        <f t="shared" ca="1" si="1637"/>
        <v>0</v>
      </c>
      <c r="CN580" s="2120">
        <f t="shared" ca="1" si="1637"/>
        <v>0</v>
      </c>
      <c r="CO580" s="2120">
        <f t="shared" ca="1" si="1637"/>
        <v>0</v>
      </c>
      <c r="CP580" s="2120">
        <f t="shared" ca="1" si="1637"/>
        <v>0</v>
      </c>
      <c r="CQ580" s="2120">
        <f t="shared" ca="1" si="1637"/>
        <v>0</v>
      </c>
      <c r="CR580" s="2120">
        <f t="shared" ca="1" si="1637"/>
        <v>0</v>
      </c>
      <c r="CS580" s="2120">
        <f t="shared" ca="1" si="1637"/>
        <v>0</v>
      </c>
      <c r="CT580" s="2120">
        <f t="shared" ca="1" si="1637"/>
        <v>0</v>
      </c>
      <c r="CU580" s="2120">
        <f t="shared" ca="1" si="1638"/>
        <v>0</v>
      </c>
      <c r="CV580" s="2120">
        <f t="shared" ca="1" si="1638"/>
        <v>0</v>
      </c>
      <c r="CW580" s="2120">
        <f t="shared" ca="1" si="1638"/>
        <v>0</v>
      </c>
      <c r="CX580" s="2120">
        <f t="shared" ca="1" si="1638"/>
        <v>0</v>
      </c>
      <c r="CY580" s="2120">
        <f t="shared" ca="1" si="1638"/>
        <v>0</v>
      </c>
      <c r="CZ580" s="2120">
        <f t="shared" ca="1" si="1638"/>
        <v>0</v>
      </c>
      <c r="DA580" s="2120">
        <f t="shared" ca="1" si="1638"/>
        <v>0</v>
      </c>
      <c r="DB580" s="2120">
        <f t="shared" ca="1" si="1638"/>
        <v>0</v>
      </c>
      <c r="DC580" s="2120">
        <f t="shared" ca="1" si="1638"/>
        <v>0</v>
      </c>
      <c r="DD580" s="2120">
        <f t="shared" ca="1" si="1638"/>
        <v>0</v>
      </c>
      <c r="DE580" s="2120">
        <f t="shared" ca="1" si="1605"/>
        <v>0</v>
      </c>
      <c r="DF580" s="2120">
        <f t="shared" ca="1" si="1605"/>
        <v>0</v>
      </c>
      <c r="DG580" s="2120">
        <f t="shared" ca="1" si="1605"/>
        <v>0</v>
      </c>
      <c r="DH580" s="2120">
        <f t="shared" ca="1" si="1605"/>
        <v>0</v>
      </c>
      <c r="DI580" s="2120">
        <f t="shared" ca="1" si="1605"/>
        <v>0</v>
      </c>
      <c r="DJ580" s="2120">
        <f t="shared" ca="1" si="1605"/>
        <v>0</v>
      </c>
      <c r="DK580" s="2120">
        <f t="shared" ca="1" si="1605"/>
        <v>0</v>
      </c>
      <c r="DL580" s="2120">
        <f t="shared" ca="1" si="1605"/>
        <v>0</v>
      </c>
      <c r="DM580" s="2120">
        <f t="shared" ca="1" si="1605"/>
        <v>0</v>
      </c>
      <c r="DN580" s="2120">
        <f t="shared" ca="1" si="1605"/>
        <v>0</v>
      </c>
      <c r="DO580" s="2120">
        <f t="shared" ca="1" si="1605"/>
        <v>0</v>
      </c>
      <c r="DP580" s="2120">
        <f t="shared" ca="1" si="1605"/>
        <v>0</v>
      </c>
    </row>
    <row r="581" spans="1:120" s="165" customFormat="1" outlineLevel="1">
      <c r="A581" s="1221">
        <v>1110052090</v>
      </c>
      <c r="B581" s="1222" t="s">
        <v>2228</v>
      </c>
      <c r="C581" s="2390" t="s">
        <v>64</v>
      </c>
      <c r="D581" s="1712">
        <v>1100003412</v>
      </c>
      <c r="E581" s="2418">
        <v>44918</v>
      </c>
      <c r="F581" s="1224"/>
      <c r="G581" s="1266"/>
      <c r="H581" s="1225"/>
      <c r="I581" s="1226"/>
      <c r="J581" s="1604">
        <v>1</v>
      </c>
      <c r="K581" s="1605">
        <v>1</v>
      </c>
      <c r="L581" s="1606">
        <v>7488276.1900000004</v>
      </c>
      <c r="M581" s="1631">
        <f t="shared" si="1624"/>
        <v>7488276.1900000004</v>
      </c>
      <c r="N581" s="1228">
        <v>4760.6099999999997</v>
      </c>
      <c r="O581" s="1229">
        <f t="shared" si="1625"/>
        <v>35648762512.8759</v>
      </c>
      <c r="P581" s="1230"/>
      <c r="Q581" s="1230">
        <f t="shared" si="1626"/>
        <v>0</v>
      </c>
      <c r="R581" s="1231"/>
      <c r="S581" s="1231">
        <f ca="1">IF(OR(E581="",E581&gt;TODAY()),0,IF(ISERROR(VLOOKUP($E581,'TRM BanRep'!$A:$G,7,0)),0,VLOOKUP($E581,'TRM BanRep'!$A:$G,7,0)))</f>
        <v>4760.6099999999997</v>
      </c>
      <c r="T581" s="2388">
        <f t="shared" ca="1" si="1627"/>
        <v>0</v>
      </c>
      <c r="U581" s="2012">
        <f t="shared" si="1628"/>
        <v>7488276.1900000004</v>
      </c>
      <c r="V581" s="566">
        <f t="shared" si="1629"/>
        <v>35648762512.8759</v>
      </c>
      <c r="W581" s="2389">
        <f t="shared" ca="1" si="1630"/>
        <v>0</v>
      </c>
      <c r="X581" s="1236">
        <f t="shared" ca="1" si="1631"/>
        <v>0</v>
      </c>
      <c r="Y581" s="1237"/>
      <c r="Z581" s="1055"/>
      <c r="AA581" s="2329">
        <f t="shared" si="1599"/>
        <v>7488276.1900000004</v>
      </c>
      <c r="AB581" s="2158">
        <f t="shared" si="1599"/>
        <v>0</v>
      </c>
      <c r="AC581" s="2158">
        <f t="shared" si="1599"/>
        <v>0</v>
      </c>
      <c r="AD581" s="2158">
        <f t="shared" si="1599"/>
        <v>0</v>
      </c>
      <c r="AE581" s="2158">
        <f t="shared" si="1599"/>
        <v>0</v>
      </c>
      <c r="AF581" s="2120">
        <f t="shared" si="1599"/>
        <v>0</v>
      </c>
      <c r="AG581" s="2120">
        <f t="shared" si="1599"/>
        <v>0</v>
      </c>
      <c r="AH581" s="2120">
        <f t="shared" si="1599"/>
        <v>0</v>
      </c>
      <c r="AI581" s="2120">
        <f t="shared" si="1599"/>
        <v>0</v>
      </c>
      <c r="AJ581" s="2120">
        <f t="shared" si="1600"/>
        <v>0</v>
      </c>
      <c r="AK581" s="2120">
        <f t="shared" si="1599"/>
        <v>0</v>
      </c>
      <c r="AL581" s="2314">
        <f t="shared" si="1599"/>
        <v>0</v>
      </c>
      <c r="AM581" s="2120">
        <f t="shared" si="1599"/>
        <v>0</v>
      </c>
      <c r="AN581" s="2120">
        <f t="shared" si="1599"/>
        <v>0</v>
      </c>
      <c r="AO581" s="2120">
        <f t="shared" si="1599"/>
        <v>0</v>
      </c>
      <c r="AP581" s="2120">
        <f t="shared" si="1599"/>
        <v>0</v>
      </c>
      <c r="AQ581" s="2120">
        <f t="shared" si="1601"/>
        <v>0</v>
      </c>
      <c r="AR581" s="2120">
        <f t="shared" si="1601"/>
        <v>0</v>
      </c>
      <c r="AS581" s="2120">
        <f t="shared" si="1601"/>
        <v>0</v>
      </c>
      <c r="AT581" s="2120">
        <f t="shared" si="1601"/>
        <v>0</v>
      </c>
      <c r="AU581" s="2120">
        <f t="shared" si="1601"/>
        <v>0</v>
      </c>
      <c r="AV581" s="2120">
        <f t="shared" si="1601"/>
        <v>0</v>
      </c>
      <c r="AW581" s="2120">
        <f t="shared" si="1601"/>
        <v>0</v>
      </c>
      <c r="AX581" s="2120">
        <f t="shared" si="1601"/>
        <v>0</v>
      </c>
      <c r="AY581" s="2120">
        <f t="shared" si="1601"/>
        <v>0</v>
      </c>
      <c r="AZ581" s="2120">
        <f t="shared" si="1601"/>
        <v>0</v>
      </c>
      <c r="BA581" s="2120">
        <f t="shared" si="1601"/>
        <v>0</v>
      </c>
      <c r="BB581" s="2120">
        <f t="shared" si="1601"/>
        <v>0</v>
      </c>
      <c r="BC581" s="2120">
        <f t="shared" si="1601"/>
        <v>0</v>
      </c>
      <c r="BD581" s="2120">
        <f t="shared" si="1601"/>
        <v>0</v>
      </c>
      <c r="BE581" s="2120">
        <f t="shared" si="1601"/>
        <v>0</v>
      </c>
      <c r="BF581" s="2120">
        <f t="shared" si="1601"/>
        <v>0</v>
      </c>
      <c r="BG581" s="2120">
        <f t="shared" si="1602"/>
        <v>0</v>
      </c>
      <c r="BH581" s="2120">
        <f t="shared" si="1602"/>
        <v>0</v>
      </c>
      <c r="BI581" s="2120">
        <f t="shared" si="1602"/>
        <v>0</v>
      </c>
      <c r="BJ581" s="2120">
        <f t="shared" si="1602"/>
        <v>0</v>
      </c>
      <c r="BK581" s="2120">
        <f t="shared" si="1602"/>
        <v>0</v>
      </c>
      <c r="BL581" s="2120">
        <f t="shared" si="1602"/>
        <v>0</v>
      </c>
      <c r="BM581" s="2120">
        <f t="shared" si="1602"/>
        <v>0</v>
      </c>
      <c r="BN581" s="2120">
        <f t="shared" si="1602"/>
        <v>0</v>
      </c>
      <c r="BO581" s="2120">
        <f t="shared" si="1602"/>
        <v>0</v>
      </c>
      <c r="BP581" s="2120">
        <f t="shared" si="1602"/>
        <v>0</v>
      </c>
      <c r="BQ581" s="2120">
        <f t="shared" si="1602"/>
        <v>0</v>
      </c>
      <c r="BR581" s="2120">
        <f t="shared" si="1602"/>
        <v>0</v>
      </c>
      <c r="BS581" s="2120">
        <f t="shared" si="1602"/>
        <v>0</v>
      </c>
      <c r="BT581" s="2120">
        <f t="shared" si="1602"/>
        <v>0</v>
      </c>
      <c r="BU581" s="2120">
        <f t="shared" si="1602"/>
        <v>0</v>
      </c>
      <c r="BV581" s="2120">
        <f t="shared" si="1602"/>
        <v>0</v>
      </c>
      <c r="BW581" s="2120">
        <f t="shared" si="1603"/>
        <v>0</v>
      </c>
      <c r="BX581" s="2120">
        <f t="shared" si="1603"/>
        <v>0</v>
      </c>
      <c r="BY581" s="2120">
        <f t="shared" si="1603"/>
        <v>0</v>
      </c>
      <c r="BZ581" s="2120">
        <f t="shared" si="1603"/>
        <v>0</v>
      </c>
      <c r="CA581" s="2120">
        <f t="shared" si="1603"/>
        <v>0</v>
      </c>
      <c r="CB581" s="2120">
        <f t="shared" si="1603"/>
        <v>0</v>
      </c>
      <c r="CC581" s="2120">
        <f t="shared" si="1603"/>
        <v>0</v>
      </c>
      <c r="CD581" s="2120">
        <f t="shared" si="1603"/>
        <v>0</v>
      </c>
      <c r="CE581" s="2120">
        <f t="shared" si="1603"/>
        <v>0</v>
      </c>
      <c r="CF581" s="2120">
        <f t="shared" si="1603"/>
        <v>0</v>
      </c>
      <c r="CG581" s="2120">
        <f t="shared" si="1603"/>
        <v>0</v>
      </c>
      <c r="CH581" s="2120">
        <f t="shared" si="1603"/>
        <v>0</v>
      </c>
      <c r="CI581" s="2120">
        <f t="shared" si="1603"/>
        <v>0</v>
      </c>
      <c r="CJ581" s="2120">
        <f t="shared" si="1603"/>
        <v>0</v>
      </c>
      <c r="CK581" s="2120">
        <f t="shared" si="1603"/>
        <v>0</v>
      </c>
      <c r="CL581" s="2120">
        <f t="shared" si="1603"/>
        <v>0</v>
      </c>
      <c r="CM581" s="2120">
        <f t="shared" si="1604"/>
        <v>0</v>
      </c>
      <c r="CN581" s="2120">
        <f t="shared" si="1604"/>
        <v>0</v>
      </c>
      <c r="CO581" s="2120">
        <f t="shared" si="1604"/>
        <v>0</v>
      </c>
      <c r="CP581" s="2120">
        <f t="shared" si="1604"/>
        <v>0</v>
      </c>
      <c r="CQ581" s="2120">
        <f t="shared" si="1604"/>
        <v>0</v>
      </c>
      <c r="CR581" s="2120">
        <f t="shared" si="1604"/>
        <v>0</v>
      </c>
      <c r="CS581" s="2120">
        <f t="shared" si="1604"/>
        <v>0</v>
      </c>
      <c r="CT581" s="2120">
        <f t="shared" si="1604"/>
        <v>0</v>
      </c>
      <c r="CU581" s="2120">
        <f t="shared" si="1604"/>
        <v>0</v>
      </c>
      <c r="CV581" s="2120">
        <f t="shared" si="1604"/>
        <v>0</v>
      </c>
      <c r="CW581" s="2120">
        <f t="shared" si="1604"/>
        <v>0</v>
      </c>
      <c r="CX581" s="2120">
        <f t="shared" si="1604"/>
        <v>0</v>
      </c>
      <c r="CY581" s="2120">
        <f t="shared" si="1604"/>
        <v>0</v>
      </c>
      <c r="CZ581" s="2120">
        <f t="shared" si="1604"/>
        <v>0</v>
      </c>
      <c r="DA581" s="2120">
        <f t="shared" si="1604"/>
        <v>0</v>
      </c>
      <c r="DB581" s="2120">
        <f t="shared" si="1604"/>
        <v>0</v>
      </c>
      <c r="DC581" s="2120">
        <f t="shared" si="1605"/>
        <v>0</v>
      </c>
      <c r="DD581" s="2120">
        <f t="shared" si="1605"/>
        <v>0</v>
      </c>
      <c r="DE581" s="2120">
        <f t="shared" si="1605"/>
        <v>0</v>
      </c>
      <c r="DF581" s="2120">
        <f t="shared" si="1605"/>
        <v>0</v>
      </c>
      <c r="DG581" s="2120">
        <f t="shared" si="1605"/>
        <v>0</v>
      </c>
      <c r="DH581" s="2120">
        <f t="shared" si="1605"/>
        <v>0</v>
      </c>
      <c r="DI581" s="2120">
        <f t="shared" si="1605"/>
        <v>0</v>
      </c>
      <c r="DJ581" s="2120">
        <f t="shared" si="1605"/>
        <v>0</v>
      </c>
      <c r="DK581" s="2120">
        <f t="shared" si="1605"/>
        <v>0</v>
      </c>
      <c r="DL581" s="2120">
        <f t="shared" si="1605"/>
        <v>0</v>
      </c>
      <c r="DM581" s="2120">
        <f t="shared" si="1605"/>
        <v>0</v>
      </c>
      <c r="DN581" s="2120">
        <f t="shared" si="1605"/>
        <v>0</v>
      </c>
      <c r="DO581" s="2120">
        <f t="shared" si="1605"/>
        <v>0</v>
      </c>
      <c r="DP581" s="2120">
        <f t="shared" si="1605"/>
        <v>0</v>
      </c>
    </row>
    <row r="582" spans="1:120" s="165" customFormat="1" outlineLevel="1">
      <c r="A582" s="1221">
        <v>1110052090</v>
      </c>
      <c r="B582" s="1222" t="s">
        <v>2228</v>
      </c>
      <c r="C582" s="2390" t="s">
        <v>64</v>
      </c>
      <c r="D582" s="1712">
        <v>1100003412</v>
      </c>
      <c r="E582" s="2418">
        <v>44922</v>
      </c>
      <c r="F582" s="1224"/>
      <c r="G582" s="1266"/>
      <c r="H582" s="1225"/>
      <c r="I582" s="1226"/>
      <c r="J582" s="1604">
        <v>1</v>
      </c>
      <c r="K582" s="1605">
        <v>1</v>
      </c>
      <c r="L582" s="1606">
        <v>7422.84</v>
      </c>
      <c r="M582" s="1631">
        <f t="shared" ref="M582:M583" si="1639">+L582*J582</f>
        <v>7422.84</v>
      </c>
      <c r="N582" s="1228">
        <v>4745.04</v>
      </c>
      <c r="O582" s="1229">
        <f t="shared" ref="O582:O583" si="1640">+L582*J582*N582</f>
        <v>35221672.713600002</v>
      </c>
      <c r="P582" s="1230"/>
      <c r="Q582" s="1230">
        <f t="shared" ref="Q582:Q583" si="1641">+P582*K582</f>
        <v>0</v>
      </c>
      <c r="R582" s="1231"/>
      <c r="S582" s="1231">
        <f ca="1">IF(OR(E582="",E582&gt;TODAY()),0,IF(ISERROR(VLOOKUP($E582,'TRM BanRep'!$A:$G,7,0)),0,VLOOKUP($E582,'TRM BanRep'!$A:$G,7,0)))</f>
        <v>4745.04</v>
      </c>
      <c r="T582" s="2388">
        <f t="shared" ref="T582:T583" ca="1" si="1642">+P582*K582*S582</f>
        <v>0</v>
      </c>
      <c r="U582" s="2012">
        <f t="shared" ref="U582:U583" si="1643">+L582+P582+F582</f>
        <v>7422.84</v>
      </c>
      <c r="V582" s="566">
        <f t="shared" ref="V582:V583" si="1644">+P582*J582*R582+L582*J582*N582+F582*K582*H582</f>
        <v>35221672.713600002</v>
      </c>
      <c r="W582" s="2389">
        <f t="shared" ref="W582:W583" ca="1" si="1645">IF((-P582*J582*R582)-(-P582*K582*S582)&gt;0,(-P582*J582*R582)-(-P582*K582*S582),0)</f>
        <v>0</v>
      </c>
      <c r="X582" s="1236">
        <f t="shared" ref="X582:X583" ca="1" si="1646">IF((-P582*J582*R582)-(-P582*K582*S582)&lt;0,(-P582*J582*R582)-(-P582*K582*S582),0)</f>
        <v>0</v>
      </c>
      <c r="Y582" s="1237"/>
      <c r="Z582" s="1055"/>
      <c r="AA582" s="2329">
        <f t="shared" si="1599"/>
        <v>0</v>
      </c>
      <c r="AB582" s="2158">
        <f t="shared" si="1599"/>
        <v>7422.84</v>
      </c>
      <c r="AC582" s="2158">
        <f t="shared" si="1599"/>
        <v>0</v>
      </c>
      <c r="AD582" s="2158">
        <f t="shared" si="1599"/>
        <v>0</v>
      </c>
      <c r="AE582" s="2158">
        <f t="shared" si="1599"/>
        <v>0</v>
      </c>
      <c r="AF582" s="2120">
        <f t="shared" si="1599"/>
        <v>0</v>
      </c>
      <c r="AG582" s="2120">
        <f t="shared" si="1599"/>
        <v>0</v>
      </c>
      <c r="AH582" s="2120">
        <f t="shared" si="1599"/>
        <v>0</v>
      </c>
      <c r="AI582" s="2120">
        <f t="shared" si="1599"/>
        <v>0</v>
      </c>
      <c r="AJ582" s="2120">
        <f t="shared" si="1599"/>
        <v>0</v>
      </c>
      <c r="AK582" s="2120">
        <f t="shared" si="1599"/>
        <v>0</v>
      </c>
      <c r="AL582" s="2314">
        <f t="shared" si="1599"/>
        <v>0</v>
      </c>
      <c r="AM582" s="2120">
        <f t="shared" si="1599"/>
        <v>0</v>
      </c>
      <c r="AN582" s="2120">
        <f t="shared" si="1599"/>
        <v>0</v>
      </c>
      <c r="AO582" s="2120">
        <f t="shared" si="1599"/>
        <v>0</v>
      </c>
      <c r="AP582" s="2120">
        <f t="shared" si="1599"/>
        <v>0</v>
      </c>
      <c r="AQ582" s="2120">
        <f t="shared" si="1601"/>
        <v>0</v>
      </c>
      <c r="AR582" s="2120">
        <f t="shared" si="1601"/>
        <v>0</v>
      </c>
      <c r="AS582" s="2120">
        <f t="shared" si="1601"/>
        <v>0</v>
      </c>
      <c r="AT582" s="2120">
        <f t="shared" si="1601"/>
        <v>0</v>
      </c>
      <c r="AU582" s="2120">
        <f t="shared" si="1601"/>
        <v>0</v>
      </c>
      <c r="AV582" s="2120">
        <f t="shared" si="1601"/>
        <v>0</v>
      </c>
      <c r="AW582" s="2120">
        <f t="shared" si="1601"/>
        <v>0</v>
      </c>
      <c r="AX582" s="2120">
        <f t="shared" si="1601"/>
        <v>0</v>
      </c>
      <c r="AY582" s="2120">
        <f t="shared" si="1601"/>
        <v>0</v>
      </c>
      <c r="AZ582" s="2120">
        <f t="shared" si="1601"/>
        <v>0</v>
      </c>
      <c r="BA582" s="2120">
        <f t="shared" si="1601"/>
        <v>0</v>
      </c>
      <c r="BB582" s="2120">
        <f t="shared" si="1601"/>
        <v>0</v>
      </c>
      <c r="BC582" s="2120">
        <f t="shared" si="1601"/>
        <v>0</v>
      </c>
      <c r="BD582" s="2120">
        <f t="shared" si="1601"/>
        <v>0</v>
      </c>
      <c r="BE582" s="2120">
        <f t="shared" si="1601"/>
        <v>0</v>
      </c>
      <c r="BF582" s="2120">
        <f t="shared" si="1601"/>
        <v>0</v>
      </c>
      <c r="BG582" s="2120">
        <f t="shared" si="1602"/>
        <v>0</v>
      </c>
      <c r="BH582" s="2120">
        <f t="shared" si="1602"/>
        <v>0</v>
      </c>
      <c r="BI582" s="2120">
        <f t="shared" si="1602"/>
        <v>0</v>
      </c>
      <c r="BJ582" s="2120">
        <f t="shared" si="1602"/>
        <v>0</v>
      </c>
      <c r="BK582" s="2120">
        <f t="shared" si="1602"/>
        <v>0</v>
      </c>
      <c r="BL582" s="2120">
        <f t="shared" si="1602"/>
        <v>0</v>
      </c>
      <c r="BM582" s="2120">
        <f t="shared" si="1602"/>
        <v>0</v>
      </c>
      <c r="BN582" s="2120">
        <f t="shared" si="1602"/>
        <v>0</v>
      </c>
      <c r="BO582" s="2120">
        <f t="shared" si="1602"/>
        <v>0</v>
      </c>
      <c r="BP582" s="2120">
        <f t="shared" si="1602"/>
        <v>0</v>
      </c>
      <c r="BQ582" s="2120">
        <f t="shared" si="1602"/>
        <v>0</v>
      </c>
      <c r="BR582" s="2120">
        <f t="shared" si="1602"/>
        <v>0</v>
      </c>
      <c r="BS582" s="2120">
        <f t="shared" si="1602"/>
        <v>0</v>
      </c>
      <c r="BT582" s="2120">
        <f t="shared" si="1602"/>
        <v>0</v>
      </c>
      <c r="BU582" s="2120">
        <f t="shared" si="1602"/>
        <v>0</v>
      </c>
      <c r="BV582" s="2120">
        <f t="shared" si="1602"/>
        <v>0</v>
      </c>
      <c r="BW582" s="2120">
        <f t="shared" si="1603"/>
        <v>0</v>
      </c>
      <c r="BX582" s="2120">
        <f t="shared" si="1603"/>
        <v>0</v>
      </c>
      <c r="BY582" s="2120">
        <f t="shared" si="1603"/>
        <v>0</v>
      </c>
      <c r="BZ582" s="2120">
        <f t="shared" si="1603"/>
        <v>0</v>
      </c>
      <c r="CA582" s="2120">
        <f t="shared" si="1603"/>
        <v>0</v>
      </c>
      <c r="CB582" s="2120">
        <f t="shared" si="1603"/>
        <v>0</v>
      </c>
      <c r="CC582" s="2120">
        <f t="shared" si="1603"/>
        <v>0</v>
      </c>
      <c r="CD582" s="2120">
        <f t="shared" si="1603"/>
        <v>0</v>
      </c>
      <c r="CE582" s="2120">
        <f t="shared" si="1603"/>
        <v>0</v>
      </c>
      <c r="CF582" s="2120">
        <f t="shared" si="1603"/>
        <v>0</v>
      </c>
      <c r="CG582" s="2120">
        <f t="shared" si="1603"/>
        <v>0</v>
      </c>
      <c r="CH582" s="2120">
        <f t="shared" si="1603"/>
        <v>0</v>
      </c>
      <c r="CI582" s="2120">
        <f t="shared" si="1603"/>
        <v>0</v>
      </c>
      <c r="CJ582" s="2120">
        <f t="shared" si="1603"/>
        <v>0</v>
      </c>
      <c r="CK582" s="2120">
        <f t="shared" si="1603"/>
        <v>0</v>
      </c>
      <c r="CL582" s="2120">
        <f t="shared" si="1603"/>
        <v>0</v>
      </c>
      <c r="CM582" s="2120">
        <f t="shared" si="1604"/>
        <v>0</v>
      </c>
      <c r="CN582" s="2120">
        <f t="shared" si="1604"/>
        <v>0</v>
      </c>
      <c r="CO582" s="2120">
        <f t="shared" si="1604"/>
        <v>0</v>
      </c>
      <c r="CP582" s="2120">
        <f t="shared" si="1604"/>
        <v>0</v>
      </c>
      <c r="CQ582" s="2120">
        <f t="shared" si="1604"/>
        <v>0</v>
      </c>
      <c r="CR582" s="2120">
        <f t="shared" si="1604"/>
        <v>0</v>
      </c>
      <c r="CS582" s="2120">
        <f t="shared" si="1604"/>
        <v>0</v>
      </c>
      <c r="CT582" s="2120">
        <f t="shared" si="1604"/>
        <v>0</v>
      </c>
      <c r="CU582" s="2120">
        <f t="shared" si="1604"/>
        <v>0</v>
      </c>
      <c r="CV582" s="2120">
        <f t="shared" si="1604"/>
        <v>0</v>
      </c>
      <c r="CW582" s="2120">
        <f t="shared" si="1604"/>
        <v>0</v>
      </c>
      <c r="CX582" s="2120">
        <f t="shared" si="1604"/>
        <v>0</v>
      </c>
      <c r="CY582" s="2120">
        <f t="shared" si="1604"/>
        <v>0</v>
      </c>
      <c r="CZ582" s="2120">
        <f t="shared" si="1604"/>
        <v>0</v>
      </c>
      <c r="DA582" s="2120">
        <f t="shared" si="1604"/>
        <v>0</v>
      </c>
      <c r="DB582" s="2120">
        <f t="shared" si="1604"/>
        <v>0</v>
      </c>
      <c r="DC582" s="2120">
        <f t="shared" si="1605"/>
        <v>0</v>
      </c>
      <c r="DD582" s="2120">
        <f t="shared" si="1605"/>
        <v>0</v>
      </c>
      <c r="DE582" s="2120">
        <f t="shared" si="1605"/>
        <v>0</v>
      </c>
      <c r="DF582" s="2120">
        <f t="shared" si="1605"/>
        <v>0</v>
      </c>
      <c r="DG582" s="2120">
        <f t="shared" si="1605"/>
        <v>0</v>
      </c>
      <c r="DH582" s="2120">
        <f t="shared" si="1605"/>
        <v>0</v>
      </c>
      <c r="DI582" s="2120">
        <f t="shared" si="1605"/>
        <v>0</v>
      </c>
      <c r="DJ582" s="2120">
        <f t="shared" si="1605"/>
        <v>0</v>
      </c>
      <c r="DK582" s="2120">
        <f t="shared" si="1605"/>
        <v>0</v>
      </c>
      <c r="DL582" s="2120">
        <f t="shared" si="1605"/>
        <v>0</v>
      </c>
      <c r="DM582" s="2120">
        <f t="shared" si="1605"/>
        <v>0</v>
      </c>
      <c r="DN582" s="2120">
        <f t="shared" si="1605"/>
        <v>0</v>
      </c>
      <c r="DO582" s="2120">
        <f t="shared" si="1605"/>
        <v>0</v>
      </c>
      <c r="DP582" s="2120">
        <f t="shared" si="1605"/>
        <v>0</v>
      </c>
    </row>
    <row r="583" spans="1:120" s="165" customFormat="1" outlineLevel="1">
      <c r="A583" s="1221">
        <v>1110052090</v>
      </c>
      <c r="B583" s="1222" t="s">
        <v>2228</v>
      </c>
      <c r="C583" s="2390" t="s">
        <v>64</v>
      </c>
      <c r="D583" s="1712">
        <v>1100003412</v>
      </c>
      <c r="E583" s="2418">
        <v>44929</v>
      </c>
      <c r="F583" s="1224"/>
      <c r="G583" s="1266"/>
      <c r="H583" s="1225"/>
      <c r="I583" s="1226"/>
      <c r="J583" s="1604">
        <v>1</v>
      </c>
      <c r="K583" s="1605">
        <v>1</v>
      </c>
      <c r="L583" s="1606">
        <v>79310.679999999993</v>
      </c>
      <c r="M583" s="1631">
        <f t="shared" si="1639"/>
        <v>79310.679999999993</v>
      </c>
      <c r="N583" s="1228">
        <v>4810.2</v>
      </c>
      <c r="O583" s="1229">
        <f t="shared" si="1640"/>
        <v>381500232.93599993</v>
      </c>
      <c r="P583" s="1230"/>
      <c r="Q583" s="1230">
        <f t="shared" si="1641"/>
        <v>0</v>
      </c>
      <c r="R583" s="1231"/>
      <c r="S583" s="1231">
        <f ca="1">IF(OR(E583="",E583&gt;TODAY()),0,IF(ISERROR(VLOOKUP($E583,'TRM BanRep'!$A:$G,7,0)),0,VLOOKUP($E583,'TRM BanRep'!$A:$G,7,0)))</f>
        <v>4810.2</v>
      </c>
      <c r="T583" s="2388">
        <f t="shared" ca="1" si="1642"/>
        <v>0</v>
      </c>
      <c r="U583" s="2012">
        <f t="shared" si="1643"/>
        <v>79310.679999999993</v>
      </c>
      <c r="V583" s="566">
        <f t="shared" si="1644"/>
        <v>381500232.93599993</v>
      </c>
      <c r="W583" s="2389">
        <f t="shared" ca="1" si="1645"/>
        <v>0</v>
      </c>
      <c r="X583" s="1236">
        <f t="shared" ca="1" si="1646"/>
        <v>0</v>
      </c>
      <c r="Y583" s="1237"/>
      <c r="Z583" s="1055"/>
      <c r="AA583" s="2329">
        <f t="shared" ref="AA583:AP584" si="1647">IF($L583="",IF(OR($P583="",$R583=""),0,IF($R583=AA$6,$Q583,0)),IF($E583=AA$5,$M583,))</f>
        <v>0</v>
      </c>
      <c r="AB583" s="2158">
        <f t="shared" si="1647"/>
        <v>0</v>
      </c>
      <c r="AC583" s="2158">
        <f t="shared" si="1647"/>
        <v>0</v>
      </c>
      <c r="AD583" s="2158">
        <f t="shared" si="1647"/>
        <v>0</v>
      </c>
      <c r="AE583" s="2158">
        <f t="shared" si="1647"/>
        <v>0</v>
      </c>
      <c r="AF583" s="2120">
        <f t="shared" si="1647"/>
        <v>0</v>
      </c>
      <c r="AG583" s="2120">
        <f t="shared" si="1647"/>
        <v>79310.679999999993</v>
      </c>
      <c r="AH583" s="2120">
        <f t="shared" si="1647"/>
        <v>0</v>
      </c>
      <c r="AI583" s="2120">
        <f t="shared" si="1647"/>
        <v>0</v>
      </c>
      <c r="AJ583" s="2120">
        <f t="shared" si="1647"/>
        <v>0</v>
      </c>
      <c r="AK583" s="2120">
        <f t="shared" si="1647"/>
        <v>0</v>
      </c>
      <c r="AL583" s="2314">
        <f t="shared" si="1647"/>
        <v>0</v>
      </c>
      <c r="AM583" s="2120">
        <f t="shared" si="1647"/>
        <v>0</v>
      </c>
      <c r="AN583" s="2120">
        <f t="shared" si="1647"/>
        <v>0</v>
      </c>
      <c r="AO583" s="2120">
        <f t="shared" si="1647"/>
        <v>0</v>
      </c>
      <c r="AP583" s="2120">
        <f t="shared" si="1647"/>
        <v>0</v>
      </c>
      <c r="AQ583" s="2120">
        <f t="shared" ref="AQ583:BF584" si="1648">IF($L583="",IF(OR($P583="",$R583=""),0,IF($R583=AQ$6,$Q583,0)),IF($E583=AQ$5,$M583,))</f>
        <v>0</v>
      </c>
      <c r="AR583" s="2120">
        <f t="shared" si="1648"/>
        <v>0</v>
      </c>
      <c r="AS583" s="2120">
        <f t="shared" si="1648"/>
        <v>0</v>
      </c>
      <c r="AT583" s="2120">
        <f t="shared" si="1648"/>
        <v>0</v>
      </c>
      <c r="AU583" s="2120">
        <f t="shared" si="1648"/>
        <v>0</v>
      </c>
      <c r="AV583" s="2120">
        <f t="shared" si="1648"/>
        <v>0</v>
      </c>
      <c r="AW583" s="2120">
        <f t="shared" si="1648"/>
        <v>0</v>
      </c>
      <c r="AX583" s="2120">
        <f t="shared" si="1648"/>
        <v>0</v>
      </c>
      <c r="AY583" s="2120">
        <f t="shared" si="1648"/>
        <v>0</v>
      </c>
      <c r="AZ583" s="2120">
        <f t="shared" si="1648"/>
        <v>0</v>
      </c>
      <c r="BA583" s="2120">
        <f t="shared" si="1648"/>
        <v>0</v>
      </c>
      <c r="BB583" s="2120">
        <f t="shared" si="1648"/>
        <v>0</v>
      </c>
      <c r="BC583" s="2120">
        <f t="shared" si="1648"/>
        <v>0</v>
      </c>
      <c r="BD583" s="2120">
        <f t="shared" si="1648"/>
        <v>0</v>
      </c>
      <c r="BE583" s="2120">
        <f t="shared" si="1648"/>
        <v>0</v>
      </c>
      <c r="BF583" s="2120">
        <f t="shared" si="1648"/>
        <v>0</v>
      </c>
      <c r="BG583" s="2120">
        <f t="shared" ref="BG583:BV584" si="1649">IF($L583="",IF(OR($P583="",$R583=""),0,IF($R583=BG$6,$Q583,0)),IF($E583=BG$5,$M583,))</f>
        <v>0</v>
      </c>
      <c r="BH583" s="2120">
        <f t="shared" si="1649"/>
        <v>0</v>
      </c>
      <c r="BI583" s="2120">
        <f t="shared" si="1649"/>
        <v>0</v>
      </c>
      <c r="BJ583" s="2120">
        <f t="shared" si="1649"/>
        <v>0</v>
      </c>
      <c r="BK583" s="2120">
        <f t="shared" si="1649"/>
        <v>0</v>
      </c>
      <c r="BL583" s="2120">
        <f t="shared" si="1649"/>
        <v>0</v>
      </c>
      <c r="BM583" s="2120">
        <f t="shared" si="1649"/>
        <v>0</v>
      </c>
      <c r="BN583" s="2120">
        <f t="shared" si="1649"/>
        <v>0</v>
      </c>
      <c r="BO583" s="2120">
        <f t="shared" si="1649"/>
        <v>0</v>
      </c>
      <c r="BP583" s="2120">
        <f t="shared" si="1649"/>
        <v>0</v>
      </c>
      <c r="BQ583" s="2120">
        <f t="shared" si="1649"/>
        <v>0</v>
      </c>
      <c r="BR583" s="2120">
        <f t="shared" si="1649"/>
        <v>0</v>
      </c>
      <c r="BS583" s="2120">
        <f t="shared" si="1649"/>
        <v>0</v>
      </c>
      <c r="BT583" s="2120">
        <f t="shared" si="1649"/>
        <v>0</v>
      </c>
      <c r="BU583" s="2120">
        <f t="shared" si="1649"/>
        <v>0</v>
      </c>
      <c r="BV583" s="2120">
        <f t="shared" si="1649"/>
        <v>0</v>
      </c>
      <c r="BW583" s="2120">
        <f t="shared" ref="BW583:CL584" si="1650">IF($L583="",IF(OR($P583="",$R583=""),0,IF($R583=BW$6,$Q583,0)),IF($E583=BW$5,$M583,))</f>
        <v>0</v>
      </c>
      <c r="BX583" s="2120">
        <f t="shared" si="1650"/>
        <v>0</v>
      </c>
      <c r="BY583" s="2120">
        <f t="shared" si="1650"/>
        <v>0</v>
      </c>
      <c r="BZ583" s="2120">
        <f t="shared" si="1650"/>
        <v>0</v>
      </c>
      <c r="CA583" s="2120">
        <f t="shared" si="1650"/>
        <v>0</v>
      </c>
      <c r="CB583" s="2120">
        <f t="shared" si="1650"/>
        <v>0</v>
      </c>
      <c r="CC583" s="2120">
        <f t="shared" si="1650"/>
        <v>0</v>
      </c>
      <c r="CD583" s="2120">
        <f t="shared" si="1650"/>
        <v>0</v>
      </c>
      <c r="CE583" s="2120">
        <f t="shared" si="1650"/>
        <v>0</v>
      </c>
      <c r="CF583" s="2120">
        <f t="shared" si="1650"/>
        <v>0</v>
      </c>
      <c r="CG583" s="2120">
        <f t="shared" si="1650"/>
        <v>0</v>
      </c>
      <c r="CH583" s="2120">
        <f t="shared" si="1650"/>
        <v>0</v>
      </c>
      <c r="CI583" s="2120">
        <f t="shared" si="1650"/>
        <v>0</v>
      </c>
      <c r="CJ583" s="2120">
        <f t="shared" si="1650"/>
        <v>0</v>
      </c>
      <c r="CK583" s="2120">
        <f t="shared" si="1650"/>
        <v>0</v>
      </c>
      <c r="CL583" s="2120">
        <f t="shared" si="1650"/>
        <v>0</v>
      </c>
      <c r="CM583" s="2120">
        <f t="shared" ref="CM583:DB584" si="1651">IF($L583="",IF(OR($P583="",$R583=""),0,IF($R583=CM$6,$Q583,0)),IF($E583=CM$5,$M583,))</f>
        <v>0</v>
      </c>
      <c r="CN583" s="2120">
        <f t="shared" si="1651"/>
        <v>0</v>
      </c>
      <c r="CO583" s="2120">
        <f t="shared" si="1651"/>
        <v>0</v>
      </c>
      <c r="CP583" s="2120">
        <f t="shared" si="1651"/>
        <v>0</v>
      </c>
      <c r="CQ583" s="2120">
        <f t="shared" si="1651"/>
        <v>0</v>
      </c>
      <c r="CR583" s="2120">
        <f t="shared" si="1651"/>
        <v>0</v>
      </c>
      <c r="CS583" s="2120">
        <f t="shared" si="1651"/>
        <v>0</v>
      </c>
      <c r="CT583" s="2120">
        <f t="shared" si="1651"/>
        <v>0</v>
      </c>
      <c r="CU583" s="2120">
        <f t="shared" si="1651"/>
        <v>0</v>
      </c>
      <c r="CV583" s="2120">
        <f t="shared" si="1651"/>
        <v>0</v>
      </c>
      <c r="CW583" s="2120">
        <f t="shared" si="1651"/>
        <v>0</v>
      </c>
      <c r="CX583" s="2120">
        <f t="shared" si="1651"/>
        <v>0</v>
      </c>
      <c r="CY583" s="2120">
        <f t="shared" si="1651"/>
        <v>0</v>
      </c>
      <c r="CZ583" s="2120">
        <f t="shared" si="1651"/>
        <v>0</v>
      </c>
      <c r="DA583" s="2120">
        <f t="shared" si="1651"/>
        <v>0</v>
      </c>
      <c r="DB583" s="2120">
        <f t="shared" si="1651"/>
        <v>0</v>
      </c>
      <c r="DC583" s="2120">
        <f t="shared" si="1605"/>
        <v>0</v>
      </c>
      <c r="DD583" s="2120">
        <f t="shared" si="1605"/>
        <v>0</v>
      </c>
      <c r="DE583" s="2120">
        <f t="shared" si="1605"/>
        <v>0</v>
      </c>
      <c r="DF583" s="2120">
        <f t="shared" si="1605"/>
        <v>0</v>
      </c>
      <c r="DG583" s="2120">
        <f t="shared" si="1605"/>
        <v>0</v>
      </c>
      <c r="DH583" s="2120">
        <f t="shared" si="1605"/>
        <v>0</v>
      </c>
      <c r="DI583" s="2120">
        <f t="shared" si="1605"/>
        <v>0</v>
      </c>
      <c r="DJ583" s="2120">
        <f t="shared" si="1605"/>
        <v>0</v>
      </c>
      <c r="DK583" s="2120">
        <f t="shared" si="1605"/>
        <v>0</v>
      </c>
      <c r="DL583" s="2120">
        <f t="shared" si="1605"/>
        <v>0</v>
      </c>
      <c r="DM583" s="2120">
        <f t="shared" si="1605"/>
        <v>0</v>
      </c>
      <c r="DN583" s="2120">
        <f t="shared" si="1605"/>
        <v>0</v>
      </c>
      <c r="DO583" s="2120">
        <f t="shared" si="1605"/>
        <v>0</v>
      </c>
      <c r="DP583" s="2120">
        <f t="shared" si="1605"/>
        <v>0</v>
      </c>
    </row>
    <row r="584" spans="1:120" s="165" customFormat="1" outlineLevel="1">
      <c r="A584" s="1221">
        <v>1110052090</v>
      </c>
      <c r="B584" s="1222" t="s">
        <v>2228</v>
      </c>
      <c r="C584" s="2390" t="s">
        <v>64</v>
      </c>
      <c r="D584" s="1712">
        <v>1100003412</v>
      </c>
      <c r="E584" s="2418">
        <v>44931</v>
      </c>
      <c r="F584" s="1224"/>
      <c r="G584" s="1266"/>
      <c r="H584" s="1225"/>
      <c r="I584" s="1226"/>
      <c r="J584" s="1604">
        <v>1</v>
      </c>
      <c r="K584" s="1605">
        <v>1</v>
      </c>
      <c r="L584" s="1606">
        <v>424990.29</v>
      </c>
      <c r="M584" s="1631">
        <f t="shared" ref="M584" si="1652">+L584*J584</f>
        <v>424990.29</v>
      </c>
      <c r="N584" s="1228">
        <v>4924</v>
      </c>
      <c r="O584" s="1229">
        <f t="shared" ref="O584" si="1653">+L584*J584*N584</f>
        <v>2092652187.9599998</v>
      </c>
      <c r="P584" s="1230"/>
      <c r="Q584" s="1230">
        <f t="shared" ref="Q584" si="1654">+P584*K584</f>
        <v>0</v>
      </c>
      <c r="R584" s="1231"/>
      <c r="S584" s="1231">
        <f ca="1">IF(OR(E584="",E584&gt;TODAY()),0,IF(ISERROR(VLOOKUP($E584,'TRM BanRep'!$A:$G,7,0)),0,VLOOKUP($E584,'TRM BanRep'!$A:$G,7,0)))</f>
        <v>4924</v>
      </c>
      <c r="T584" s="2388">
        <f t="shared" ref="T584" ca="1" si="1655">+P584*K584*S584</f>
        <v>0</v>
      </c>
      <c r="U584" s="2012">
        <f t="shared" ref="U584" si="1656">+L584+P584+F584</f>
        <v>424990.29</v>
      </c>
      <c r="V584" s="566">
        <f t="shared" ref="V584" si="1657">+P584*J584*R584+L584*J584*N584+F584*K584*H584</f>
        <v>2092652187.9599998</v>
      </c>
      <c r="W584" s="2389">
        <f t="shared" ref="W584" ca="1" si="1658">IF((-P584*J584*R584)-(-P584*K584*S584)&gt;0,(-P584*J584*R584)-(-P584*K584*S584),0)</f>
        <v>0</v>
      </c>
      <c r="X584" s="1236">
        <f t="shared" ref="X584" ca="1" si="1659">IF((-P584*J584*R584)-(-P584*K584*S584)&lt;0,(-P584*J584*R584)-(-P584*K584*S584),0)</f>
        <v>0</v>
      </c>
      <c r="Y584" s="1237"/>
      <c r="Z584" s="1055"/>
      <c r="AA584" s="2329">
        <f t="shared" si="1647"/>
        <v>0</v>
      </c>
      <c r="AB584" s="2158">
        <f t="shared" si="1647"/>
        <v>0</v>
      </c>
      <c r="AC584" s="2158">
        <f t="shared" si="1647"/>
        <v>0</v>
      </c>
      <c r="AD584" s="2158">
        <f t="shared" si="1647"/>
        <v>0</v>
      </c>
      <c r="AE584" s="2158">
        <f t="shared" si="1647"/>
        <v>0</v>
      </c>
      <c r="AF584" s="2120">
        <f t="shared" si="1647"/>
        <v>0</v>
      </c>
      <c r="AG584" s="2120">
        <f t="shared" si="1647"/>
        <v>0</v>
      </c>
      <c r="AH584" s="2120">
        <f t="shared" si="1647"/>
        <v>424990.29</v>
      </c>
      <c r="AI584" s="2120">
        <f t="shared" si="1647"/>
        <v>0</v>
      </c>
      <c r="AJ584" s="2120">
        <f t="shared" si="1647"/>
        <v>0</v>
      </c>
      <c r="AK584" s="2120">
        <f t="shared" si="1647"/>
        <v>0</v>
      </c>
      <c r="AL584" s="2314">
        <f t="shared" si="1647"/>
        <v>0</v>
      </c>
      <c r="AM584" s="2120">
        <f t="shared" si="1647"/>
        <v>0</v>
      </c>
      <c r="AN584" s="2120">
        <f t="shared" si="1647"/>
        <v>0</v>
      </c>
      <c r="AO584" s="2120">
        <f t="shared" si="1647"/>
        <v>0</v>
      </c>
      <c r="AP584" s="2120">
        <f t="shared" si="1647"/>
        <v>0</v>
      </c>
      <c r="AQ584" s="2120">
        <f t="shared" si="1648"/>
        <v>0</v>
      </c>
      <c r="AR584" s="2120">
        <f t="shared" si="1648"/>
        <v>0</v>
      </c>
      <c r="AS584" s="2120">
        <f t="shared" si="1648"/>
        <v>0</v>
      </c>
      <c r="AT584" s="2120">
        <f t="shared" si="1648"/>
        <v>0</v>
      </c>
      <c r="AU584" s="2120">
        <f t="shared" si="1648"/>
        <v>0</v>
      </c>
      <c r="AV584" s="2120">
        <f t="shared" si="1648"/>
        <v>0</v>
      </c>
      <c r="AW584" s="2120">
        <f t="shared" si="1648"/>
        <v>0</v>
      </c>
      <c r="AX584" s="2120">
        <f t="shared" si="1648"/>
        <v>0</v>
      </c>
      <c r="AY584" s="2120">
        <f t="shared" si="1648"/>
        <v>0</v>
      </c>
      <c r="AZ584" s="2120">
        <f t="shared" si="1648"/>
        <v>0</v>
      </c>
      <c r="BA584" s="2120">
        <f t="shared" si="1648"/>
        <v>0</v>
      </c>
      <c r="BB584" s="2120">
        <f t="shared" si="1648"/>
        <v>0</v>
      </c>
      <c r="BC584" s="2120">
        <f t="shared" si="1648"/>
        <v>0</v>
      </c>
      <c r="BD584" s="2120">
        <f t="shared" si="1648"/>
        <v>0</v>
      </c>
      <c r="BE584" s="2120">
        <f t="shared" si="1648"/>
        <v>0</v>
      </c>
      <c r="BF584" s="2120">
        <f t="shared" si="1648"/>
        <v>0</v>
      </c>
      <c r="BG584" s="2120">
        <f t="shared" si="1649"/>
        <v>0</v>
      </c>
      <c r="BH584" s="2120">
        <f t="shared" si="1649"/>
        <v>0</v>
      </c>
      <c r="BI584" s="2120">
        <f t="shared" si="1649"/>
        <v>0</v>
      </c>
      <c r="BJ584" s="2120">
        <f t="shared" si="1649"/>
        <v>0</v>
      </c>
      <c r="BK584" s="2120">
        <f t="shared" si="1649"/>
        <v>0</v>
      </c>
      <c r="BL584" s="2120">
        <f t="shared" si="1649"/>
        <v>0</v>
      </c>
      <c r="BM584" s="2120">
        <f t="shared" si="1649"/>
        <v>0</v>
      </c>
      <c r="BN584" s="2120">
        <f t="shared" si="1649"/>
        <v>0</v>
      </c>
      <c r="BO584" s="2120">
        <f t="shared" si="1649"/>
        <v>0</v>
      </c>
      <c r="BP584" s="2120">
        <f t="shared" si="1649"/>
        <v>0</v>
      </c>
      <c r="BQ584" s="2120">
        <f t="shared" si="1649"/>
        <v>0</v>
      </c>
      <c r="BR584" s="2120">
        <f t="shared" si="1649"/>
        <v>0</v>
      </c>
      <c r="BS584" s="2120">
        <f t="shared" si="1649"/>
        <v>0</v>
      </c>
      <c r="BT584" s="2120">
        <f t="shared" si="1649"/>
        <v>0</v>
      </c>
      <c r="BU584" s="2120">
        <f t="shared" si="1649"/>
        <v>0</v>
      </c>
      <c r="BV584" s="2120">
        <f t="shared" si="1649"/>
        <v>0</v>
      </c>
      <c r="BW584" s="2120">
        <f t="shared" si="1650"/>
        <v>0</v>
      </c>
      <c r="BX584" s="2120">
        <f t="shared" si="1650"/>
        <v>0</v>
      </c>
      <c r="BY584" s="2120">
        <f t="shared" si="1650"/>
        <v>0</v>
      </c>
      <c r="BZ584" s="2120">
        <f t="shared" si="1650"/>
        <v>0</v>
      </c>
      <c r="CA584" s="2120">
        <f t="shared" si="1650"/>
        <v>0</v>
      </c>
      <c r="CB584" s="2120">
        <f t="shared" si="1650"/>
        <v>0</v>
      </c>
      <c r="CC584" s="2120">
        <f t="shared" si="1650"/>
        <v>0</v>
      </c>
      <c r="CD584" s="2120">
        <f t="shared" si="1650"/>
        <v>0</v>
      </c>
      <c r="CE584" s="2120">
        <f t="shared" si="1650"/>
        <v>0</v>
      </c>
      <c r="CF584" s="2120">
        <f t="shared" si="1650"/>
        <v>0</v>
      </c>
      <c r="CG584" s="2120">
        <f t="shared" si="1650"/>
        <v>0</v>
      </c>
      <c r="CH584" s="2120">
        <f t="shared" si="1650"/>
        <v>0</v>
      </c>
      <c r="CI584" s="2120">
        <f t="shared" si="1650"/>
        <v>0</v>
      </c>
      <c r="CJ584" s="2120">
        <f t="shared" si="1650"/>
        <v>0</v>
      </c>
      <c r="CK584" s="2120">
        <f t="shared" si="1650"/>
        <v>0</v>
      </c>
      <c r="CL584" s="2120">
        <f t="shared" si="1650"/>
        <v>0</v>
      </c>
      <c r="CM584" s="2120">
        <f t="shared" si="1651"/>
        <v>0</v>
      </c>
      <c r="CN584" s="2120">
        <f t="shared" si="1651"/>
        <v>0</v>
      </c>
      <c r="CO584" s="2120">
        <f t="shared" si="1651"/>
        <v>0</v>
      </c>
      <c r="CP584" s="2120">
        <f t="shared" si="1651"/>
        <v>0</v>
      </c>
      <c r="CQ584" s="2120">
        <f t="shared" si="1651"/>
        <v>0</v>
      </c>
      <c r="CR584" s="2120">
        <f t="shared" si="1651"/>
        <v>0</v>
      </c>
      <c r="CS584" s="2120">
        <f t="shared" si="1651"/>
        <v>0</v>
      </c>
      <c r="CT584" s="2120">
        <f t="shared" si="1651"/>
        <v>0</v>
      </c>
      <c r="CU584" s="2120">
        <f t="shared" si="1651"/>
        <v>0</v>
      </c>
      <c r="CV584" s="2120">
        <f t="shared" si="1651"/>
        <v>0</v>
      </c>
      <c r="CW584" s="2120">
        <f t="shared" si="1651"/>
        <v>0</v>
      </c>
      <c r="CX584" s="2120">
        <f t="shared" si="1651"/>
        <v>0</v>
      </c>
      <c r="CY584" s="2120">
        <f t="shared" si="1651"/>
        <v>0</v>
      </c>
      <c r="CZ584" s="2120">
        <f t="shared" si="1651"/>
        <v>0</v>
      </c>
      <c r="DA584" s="2120">
        <f t="shared" si="1651"/>
        <v>0</v>
      </c>
      <c r="DB584" s="2120">
        <f t="shared" si="1651"/>
        <v>0</v>
      </c>
      <c r="DC584" s="2120">
        <f t="shared" si="1605"/>
        <v>0</v>
      </c>
      <c r="DD584" s="2120">
        <f t="shared" si="1605"/>
        <v>0</v>
      </c>
      <c r="DE584" s="2120">
        <f t="shared" si="1605"/>
        <v>0</v>
      </c>
      <c r="DF584" s="2120">
        <f t="shared" si="1605"/>
        <v>0</v>
      </c>
      <c r="DG584" s="2120">
        <f t="shared" si="1605"/>
        <v>0</v>
      </c>
      <c r="DH584" s="2120">
        <f t="shared" si="1605"/>
        <v>0</v>
      </c>
      <c r="DI584" s="2120">
        <f t="shared" si="1605"/>
        <v>0</v>
      </c>
      <c r="DJ584" s="2120">
        <f t="shared" si="1605"/>
        <v>0</v>
      </c>
      <c r="DK584" s="2120">
        <f t="shared" si="1605"/>
        <v>0</v>
      </c>
      <c r="DL584" s="2120">
        <f t="shared" si="1605"/>
        <v>0</v>
      </c>
      <c r="DM584" s="2120">
        <f t="shared" si="1605"/>
        <v>0</v>
      </c>
      <c r="DN584" s="2120">
        <f t="shared" si="1605"/>
        <v>0</v>
      </c>
      <c r="DO584" s="2120">
        <f t="shared" si="1605"/>
        <v>0</v>
      </c>
      <c r="DP584" s="2120">
        <f t="shared" si="1605"/>
        <v>0</v>
      </c>
    </row>
    <row r="585" spans="1:120" s="165" customFormat="1" outlineLevel="1">
      <c r="A585" s="57">
        <v>1110052090</v>
      </c>
      <c r="B585" s="521" t="s">
        <v>2219</v>
      </c>
      <c r="C585" s="2419" t="s">
        <v>64</v>
      </c>
      <c r="D585" s="2420">
        <v>1100003413</v>
      </c>
      <c r="E585" s="2421">
        <v>44953</v>
      </c>
      <c r="F585" s="58"/>
      <c r="G585" s="1252"/>
      <c r="H585" s="522"/>
      <c r="I585" s="523"/>
      <c r="J585" s="2416">
        <v>1</v>
      </c>
      <c r="K585" s="2417">
        <v>1</v>
      </c>
      <c r="L585" s="1191">
        <v>28048128.890000001</v>
      </c>
      <c r="M585" s="1464">
        <f t="shared" si="1616"/>
        <v>28048128.890000001</v>
      </c>
      <c r="N585" s="524">
        <f ca="1">IF(OR(E585="",E585&gt;TODAY()),0,IF(ISERROR(VLOOKUP($E585,'TRM BanRep'!$A:$G,7,0)),0,VLOOKUP($E585,'TRM BanRep'!$A:$G,7,0)))</f>
        <v>4531.75</v>
      </c>
      <c r="O585" s="525">
        <f t="shared" ca="1" si="1617"/>
        <v>127107108097.25751</v>
      </c>
      <c r="P585" s="526"/>
      <c r="Q585" s="526">
        <f t="shared" si="1618"/>
        <v>0</v>
      </c>
      <c r="R585" s="527"/>
      <c r="S585" s="527">
        <f ca="1">IF(OR(E585="",E585&gt;TODAY()),0,IF(ISERROR(VLOOKUP($E585,'TRM BanRep'!$A:$G,7,0)),0,VLOOKUP($E585,'TRM BanRep'!$A:$G,7,0)))</f>
        <v>4531.75</v>
      </c>
      <c r="T585" s="528">
        <f t="shared" ca="1" si="1619"/>
        <v>0</v>
      </c>
      <c r="U585" s="1121">
        <f t="shared" si="1620"/>
        <v>28048128.890000001</v>
      </c>
      <c r="V585" s="529">
        <f t="shared" ca="1" si="1621"/>
        <v>127107108097.25751</v>
      </c>
      <c r="W585" s="1453">
        <f t="shared" ca="1" si="1622"/>
        <v>0</v>
      </c>
      <c r="X585" s="530">
        <f t="shared" ca="1" si="1623"/>
        <v>0</v>
      </c>
      <c r="Y585" s="531"/>
      <c r="Z585" s="1055"/>
      <c r="AA585" s="2329">
        <f t="shared" si="1599"/>
        <v>0</v>
      </c>
      <c r="AB585" s="2158">
        <f t="shared" si="1599"/>
        <v>0</v>
      </c>
      <c r="AC585" s="2158">
        <f t="shared" si="1599"/>
        <v>0</v>
      </c>
      <c r="AD585" s="2158">
        <f t="shared" si="1599"/>
        <v>0</v>
      </c>
      <c r="AE585" s="2158">
        <f t="shared" si="1599"/>
        <v>0</v>
      </c>
      <c r="AF585" s="2120">
        <f t="shared" si="1599"/>
        <v>0</v>
      </c>
      <c r="AG585" s="2120">
        <f t="shared" si="1599"/>
        <v>0</v>
      </c>
      <c r="AH585" s="2120">
        <f t="shared" si="1599"/>
        <v>0</v>
      </c>
      <c r="AI585" s="2120">
        <f t="shared" si="1599"/>
        <v>0</v>
      </c>
      <c r="AJ585" s="2120">
        <f t="shared" si="1599"/>
        <v>0</v>
      </c>
      <c r="AK585" s="2120">
        <f t="shared" si="1599"/>
        <v>28048128.890000001</v>
      </c>
      <c r="AL585" s="2314">
        <f t="shared" si="1599"/>
        <v>0</v>
      </c>
      <c r="AM585" s="2120">
        <f t="shared" si="1599"/>
        <v>0</v>
      </c>
      <c r="AN585" s="2120">
        <f t="shared" si="1599"/>
        <v>0</v>
      </c>
      <c r="AO585" s="2120">
        <f t="shared" si="1599"/>
        <v>0</v>
      </c>
      <c r="AP585" s="2120">
        <f t="shared" si="1599"/>
        <v>0</v>
      </c>
      <c r="AQ585" s="2120">
        <f t="shared" si="1601"/>
        <v>0</v>
      </c>
      <c r="AR585" s="2120">
        <f t="shared" si="1601"/>
        <v>0</v>
      </c>
      <c r="AS585" s="2120">
        <f t="shared" si="1601"/>
        <v>0</v>
      </c>
      <c r="AT585" s="2120">
        <f t="shared" si="1601"/>
        <v>0</v>
      </c>
      <c r="AU585" s="2120">
        <f t="shared" si="1601"/>
        <v>0</v>
      </c>
      <c r="AV585" s="2120">
        <f t="shared" si="1601"/>
        <v>0</v>
      </c>
      <c r="AW585" s="2120">
        <f t="shared" si="1601"/>
        <v>0</v>
      </c>
      <c r="AX585" s="2120">
        <f t="shared" si="1601"/>
        <v>0</v>
      </c>
      <c r="AY585" s="2120">
        <f t="shared" si="1601"/>
        <v>0</v>
      </c>
      <c r="AZ585" s="2120">
        <f t="shared" si="1601"/>
        <v>0</v>
      </c>
      <c r="BA585" s="2120">
        <f t="shared" si="1601"/>
        <v>0</v>
      </c>
      <c r="BB585" s="2120">
        <f t="shared" si="1601"/>
        <v>0</v>
      </c>
      <c r="BC585" s="2120">
        <f t="shared" si="1601"/>
        <v>0</v>
      </c>
      <c r="BD585" s="2120">
        <f t="shared" si="1601"/>
        <v>0</v>
      </c>
      <c r="BE585" s="2120">
        <f t="shared" si="1601"/>
        <v>0</v>
      </c>
      <c r="BF585" s="2120">
        <f t="shared" si="1601"/>
        <v>0</v>
      </c>
      <c r="BG585" s="2120">
        <f t="shared" si="1602"/>
        <v>0</v>
      </c>
      <c r="BH585" s="2120">
        <f t="shared" si="1602"/>
        <v>0</v>
      </c>
      <c r="BI585" s="2120">
        <f t="shared" si="1602"/>
        <v>0</v>
      </c>
      <c r="BJ585" s="2120">
        <f t="shared" si="1602"/>
        <v>0</v>
      </c>
      <c r="BK585" s="2120">
        <f t="shared" si="1602"/>
        <v>0</v>
      </c>
      <c r="BL585" s="2120">
        <f t="shared" si="1602"/>
        <v>0</v>
      </c>
      <c r="BM585" s="2120">
        <f t="shared" si="1602"/>
        <v>0</v>
      </c>
      <c r="BN585" s="2120">
        <f t="shared" si="1602"/>
        <v>0</v>
      </c>
      <c r="BO585" s="2120">
        <f t="shared" si="1602"/>
        <v>0</v>
      </c>
      <c r="BP585" s="2120">
        <f t="shared" si="1602"/>
        <v>0</v>
      </c>
      <c r="BQ585" s="2120">
        <f t="shared" si="1602"/>
        <v>0</v>
      </c>
      <c r="BR585" s="2120">
        <f t="shared" si="1602"/>
        <v>0</v>
      </c>
      <c r="BS585" s="2120">
        <f t="shared" si="1602"/>
        <v>0</v>
      </c>
      <c r="BT585" s="2120">
        <f t="shared" si="1602"/>
        <v>0</v>
      </c>
      <c r="BU585" s="2120">
        <f t="shared" si="1602"/>
        <v>0</v>
      </c>
      <c r="BV585" s="2120">
        <f t="shared" si="1602"/>
        <v>0</v>
      </c>
      <c r="BW585" s="2120">
        <f t="shared" si="1603"/>
        <v>0</v>
      </c>
      <c r="BX585" s="2120">
        <f t="shared" si="1603"/>
        <v>0</v>
      </c>
      <c r="BY585" s="2120">
        <f t="shared" si="1603"/>
        <v>0</v>
      </c>
      <c r="BZ585" s="2120">
        <f t="shared" si="1603"/>
        <v>0</v>
      </c>
      <c r="CA585" s="2120">
        <f t="shared" si="1603"/>
        <v>0</v>
      </c>
      <c r="CB585" s="2120">
        <f t="shared" si="1603"/>
        <v>0</v>
      </c>
      <c r="CC585" s="2120">
        <f t="shared" si="1603"/>
        <v>0</v>
      </c>
      <c r="CD585" s="2120">
        <f t="shared" si="1603"/>
        <v>0</v>
      </c>
      <c r="CE585" s="2120">
        <f t="shared" si="1603"/>
        <v>0</v>
      </c>
      <c r="CF585" s="2120">
        <f t="shared" si="1603"/>
        <v>0</v>
      </c>
      <c r="CG585" s="2120">
        <f t="shared" si="1603"/>
        <v>0</v>
      </c>
      <c r="CH585" s="2120">
        <f t="shared" si="1603"/>
        <v>0</v>
      </c>
      <c r="CI585" s="2120">
        <f t="shared" si="1603"/>
        <v>0</v>
      </c>
      <c r="CJ585" s="2120">
        <f t="shared" si="1603"/>
        <v>0</v>
      </c>
      <c r="CK585" s="2120">
        <f t="shared" si="1603"/>
        <v>0</v>
      </c>
      <c r="CL585" s="2120">
        <f t="shared" si="1603"/>
        <v>0</v>
      </c>
      <c r="CM585" s="2120">
        <f t="shared" si="1604"/>
        <v>0</v>
      </c>
      <c r="CN585" s="2120">
        <f t="shared" si="1604"/>
        <v>0</v>
      </c>
      <c r="CO585" s="2120">
        <f t="shared" si="1604"/>
        <v>0</v>
      </c>
      <c r="CP585" s="2120">
        <f t="shared" si="1604"/>
        <v>0</v>
      </c>
      <c r="CQ585" s="2120">
        <f t="shared" si="1604"/>
        <v>0</v>
      </c>
      <c r="CR585" s="2120">
        <f t="shared" si="1604"/>
        <v>0</v>
      </c>
      <c r="CS585" s="2120">
        <f t="shared" si="1604"/>
        <v>0</v>
      </c>
      <c r="CT585" s="2120">
        <f t="shared" si="1604"/>
        <v>0</v>
      </c>
      <c r="CU585" s="2120">
        <f t="shared" si="1604"/>
        <v>0</v>
      </c>
      <c r="CV585" s="2120">
        <f t="shared" si="1604"/>
        <v>0</v>
      </c>
      <c r="CW585" s="2120">
        <f t="shared" si="1604"/>
        <v>0</v>
      </c>
      <c r="CX585" s="2120">
        <f t="shared" si="1604"/>
        <v>0</v>
      </c>
      <c r="CY585" s="2120">
        <f t="shared" si="1604"/>
        <v>0</v>
      </c>
      <c r="CZ585" s="2120">
        <f t="shared" si="1604"/>
        <v>0</v>
      </c>
      <c r="DA585" s="2120">
        <f t="shared" si="1604"/>
        <v>0</v>
      </c>
      <c r="DB585" s="2120">
        <f t="shared" si="1604"/>
        <v>0</v>
      </c>
      <c r="DC585" s="2120">
        <f t="shared" si="1605"/>
        <v>0</v>
      </c>
      <c r="DD585" s="2120">
        <f t="shared" si="1605"/>
        <v>0</v>
      </c>
      <c r="DE585" s="2120">
        <f t="shared" si="1605"/>
        <v>0</v>
      </c>
      <c r="DF585" s="2120">
        <f t="shared" si="1605"/>
        <v>0</v>
      </c>
      <c r="DG585" s="2120">
        <f t="shared" si="1605"/>
        <v>0</v>
      </c>
      <c r="DH585" s="2120">
        <f t="shared" si="1605"/>
        <v>0</v>
      </c>
      <c r="DI585" s="2120">
        <f t="shared" si="1605"/>
        <v>0</v>
      </c>
      <c r="DJ585" s="2120">
        <f t="shared" si="1605"/>
        <v>0</v>
      </c>
      <c r="DK585" s="2120">
        <f t="shared" si="1605"/>
        <v>0</v>
      </c>
      <c r="DL585" s="2120">
        <f t="shared" ref="DC585:DP589" si="1660">IF($L585="",IF(OR($P585="",$R585=""),0,IF($R585=DL$6,$Q585,0)),IF($E585=DL$5,$M585,))</f>
        <v>0</v>
      </c>
      <c r="DM585" s="2120">
        <f t="shared" si="1660"/>
        <v>0</v>
      </c>
      <c r="DN585" s="2120">
        <f t="shared" si="1660"/>
        <v>0</v>
      </c>
      <c r="DO585" s="2120">
        <f t="shared" si="1660"/>
        <v>0</v>
      </c>
      <c r="DP585" s="2120">
        <f t="shared" si="1660"/>
        <v>0</v>
      </c>
    </row>
    <row r="586" spans="1:120" s="165" customFormat="1" outlineLevel="1">
      <c r="A586" s="1221">
        <v>1110052090</v>
      </c>
      <c r="B586" s="1222" t="s">
        <v>2221</v>
      </c>
      <c r="C586" s="2390" t="s">
        <v>64</v>
      </c>
      <c r="D586" s="1712">
        <v>1100003406</v>
      </c>
      <c r="E586" s="1642">
        <v>44956</v>
      </c>
      <c r="F586" s="1224"/>
      <c r="G586" s="1266"/>
      <c r="H586" s="1225"/>
      <c r="I586" s="1226"/>
      <c r="J586" s="1604">
        <v>1</v>
      </c>
      <c r="K586" s="1605">
        <v>1</v>
      </c>
      <c r="L586" s="1606"/>
      <c r="M586" s="1631">
        <f>+L586*J586</f>
        <v>0</v>
      </c>
      <c r="N586" s="1228">
        <f ca="1">IF(OR(E586="",E586&gt;TODAY()),0,IF(ISERROR(VLOOKUP($E586,'TRM BanRep'!$A:$G,7,0)),0,VLOOKUP($E586,'TRM BanRep'!$A:$G,7,0)))</f>
        <v>4548.5</v>
      </c>
      <c r="O586" s="1229">
        <f ca="1">+L586*J586*N586</f>
        <v>0</v>
      </c>
      <c r="P586" s="1230">
        <v>-3077498.61</v>
      </c>
      <c r="Q586" s="1230">
        <f>+P586*K586</f>
        <v>-3077498.61</v>
      </c>
      <c r="R586" s="1231">
        <v>4693.99</v>
      </c>
      <c r="S586" s="1231">
        <v>4693.99</v>
      </c>
      <c r="T586" s="2388">
        <f>+P586*K586*S586</f>
        <v>-14445747700.353899</v>
      </c>
      <c r="U586" s="2012">
        <f>+L586+P586+F586</f>
        <v>-3077498.61</v>
      </c>
      <c r="V586" s="566">
        <f ca="1">+P586*J586*R586+L586*J586*N586+F586*K586*H586</f>
        <v>-14445747700.353899</v>
      </c>
      <c r="W586" s="2389">
        <f>IF((-P586*J586*R586)-(-P586*K586*S586)&gt;0,(-P586*J586*R586)-(-P586*K586*S586),0)</f>
        <v>0</v>
      </c>
      <c r="X586" s="1236">
        <f>IF((-P586*J586*R586)-(-P586*K586*S586)&lt;0,(-P586*J586*R586)-(-P586*K586*S586),0)</f>
        <v>0</v>
      </c>
      <c r="Y586" s="1237"/>
      <c r="Z586" s="1055"/>
      <c r="AA586" s="2329">
        <f t="shared" ref="AA586:AJ587" ca="1" si="1661">IF($L586="",IF(OR($P586="",$R586=""),0,IF($R586=AA$6,$Q586,0)),IF($E586=AA$5,$M586,))</f>
        <v>0</v>
      </c>
      <c r="AB586" s="2158">
        <f t="shared" ca="1" si="1661"/>
        <v>0</v>
      </c>
      <c r="AC586" s="2158">
        <f t="shared" ca="1" si="1661"/>
        <v>0</v>
      </c>
      <c r="AD586" s="2158">
        <f t="shared" ca="1" si="1661"/>
        <v>0</v>
      </c>
      <c r="AE586" s="2158">
        <f t="shared" ca="1" si="1661"/>
        <v>0</v>
      </c>
      <c r="AF586" s="2120">
        <f t="shared" ca="1" si="1661"/>
        <v>0</v>
      </c>
      <c r="AG586" s="2120">
        <f t="shared" ca="1" si="1661"/>
        <v>0</v>
      </c>
      <c r="AH586" s="2120">
        <f t="shared" ca="1" si="1661"/>
        <v>0</v>
      </c>
      <c r="AI586" s="2120">
        <f t="shared" ca="1" si="1661"/>
        <v>0</v>
      </c>
      <c r="AJ586" s="2120">
        <f t="shared" ca="1" si="1661"/>
        <v>-3077498.61</v>
      </c>
      <c r="AK586" s="2120">
        <f t="shared" ca="1" si="1599"/>
        <v>0</v>
      </c>
      <c r="AL586" s="2314">
        <f t="shared" ca="1" si="1599"/>
        <v>0</v>
      </c>
      <c r="AM586" s="2120">
        <f t="shared" ca="1" si="1599"/>
        <v>0</v>
      </c>
      <c r="AN586" s="2120">
        <f t="shared" ca="1" si="1599"/>
        <v>0</v>
      </c>
      <c r="AO586" s="2120">
        <f t="shared" ca="1" si="1599"/>
        <v>0</v>
      </c>
      <c r="AP586" s="2120">
        <f t="shared" ca="1" si="1599"/>
        <v>0</v>
      </c>
      <c r="AQ586" s="2120">
        <f t="shared" ca="1" si="1601"/>
        <v>0</v>
      </c>
      <c r="AR586" s="2120">
        <f t="shared" ca="1" si="1601"/>
        <v>0</v>
      </c>
      <c r="AS586" s="2120">
        <f t="shared" ca="1" si="1601"/>
        <v>0</v>
      </c>
      <c r="AT586" s="2120">
        <f t="shared" ca="1" si="1601"/>
        <v>0</v>
      </c>
      <c r="AU586" s="2120">
        <f t="shared" ca="1" si="1601"/>
        <v>0</v>
      </c>
      <c r="AV586" s="2120">
        <f t="shared" ca="1" si="1601"/>
        <v>0</v>
      </c>
      <c r="AW586" s="2120">
        <f t="shared" ca="1" si="1601"/>
        <v>0</v>
      </c>
      <c r="AX586" s="2120">
        <f t="shared" ca="1" si="1601"/>
        <v>0</v>
      </c>
      <c r="AY586" s="2120">
        <f t="shared" ca="1" si="1601"/>
        <v>0</v>
      </c>
      <c r="AZ586" s="2120">
        <f t="shared" ca="1" si="1601"/>
        <v>0</v>
      </c>
      <c r="BA586" s="2120">
        <f t="shared" ca="1" si="1601"/>
        <v>0</v>
      </c>
      <c r="BB586" s="2120">
        <f t="shared" ref="AQ586:BF589" ca="1" si="1662">IF($L586="",IF(OR($P586="",$R586=""),0,IF($R586=BB$6,$Q586,0)),IF($E586=BB$5,$M586,))</f>
        <v>0</v>
      </c>
      <c r="BC586" s="2120">
        <f t="shared" ca="1" si="1662"/>
        <v>0</v>
      </c>
      <c r="BD586" s="2120">
        <f t="shared" ca="1" si="1662"/>
        <v>0</v>
      </c>
      <c r="BE586" s="2120">
        <f t="shared" ca="1" si="1662"/>
        <v>0</v>
      </c>
      <c r="BF586" s="2120">
        <f t="shared" ca="1" si="1662"/>
        <v>0</v>
      </c>
      <c r="BG586" s="2120">
        <f t="shared" ref="BG586:BP587" ca="1" si="1663">IF($L586="",IF(OR($P586="",$R586=""),0,IF($R586=BG$6,$Q586,0)),IF($E586=BG$5,$M586,))</f>
        <v>0</v>
      </c>
      <c r="BH586" s="2120">
        <f t="shared" ca="1" si="1663"/>
        <v>0</v>
      </c>
      <c r="BI586" s="2120">
        <f t="shared" ca="1" si="1663"/>
        <v>0</v>
      </c>
      <c r="BJ586" s="2120">
        <f t="shared" ca="1" si="1663"/>
        <v>0</v>
      </c>
      <c r="BK586" s="2120">
        <f t="shared" ca="1" si="1663"/>
        <v>0</v>
      </c>
      <c r="BL586" s="2120">
        <f t="shared" ca="1" si="1663"/>
        <v>0</v>
      </c>
      <c r="BM586" s="2120">
        <f t="shared" ca="1" si="1663"/>
        <v>0</v>
      </c>
      <c r="BN586" s="2120">
        <f t="shared" ca="1" si="1663"/>
        <v>0</v>
      </c>
      <c r="BO586" s="2120">
        <f t="shared" ca="1" si="1663"/>
        <v>0</v>
      </c>
      <c r="BP586" s="2120">
        <f t="shared" ca="1" si="1663"/>
        <v>0</v>
      </c>
      <c r="BQ586" s="2120">
        <f t="shared" ref="BQ586:BZ587" ca="1" si="1664">IF($L586="",IF(OR($P586="",$R586=""),0,IF($R586=BQ$6,$Q586,0)),IF($E586=BQ$5,$M586,))</f>
        <v>0</v>
      </c>
      <c r="BR586" s="2120">
        <f t="shared" ca="1" si="1664"/>
        <v>0</v>
      </c>
      <c r="BS586" s="2120">
        <f t="shared" ca="1" si="1664"/>
        <v>0</v>
      </c>
      <c r="BT586" s="2120">
        <f t="shared" ca="1" si="1664"/>
        <v>0</v>
      </c>
      <c r="BU586" s="2120">
        <f t="shared" ca="1" si="1664"/>
        <v>0</v>
      </c>
      <c r="BV586" s="2120">
        <f t="shared" ca="1" si="1664"/>
        <v>0</v>
      </c>
      <c r="BW586" s="2120">
        <f t="shared" ca="1" si="1664"/>
        <v>0</v>
      </c>
      <c r="BX586" s="2120">
        <f t="shared" ca="1" si="1664"/>
        <v>0</v>
      </c>
      <c r="BY586" s="2120">
        <f t="shared" ca="1" si="1664"/>
        <v>0</v>
      </c>
      <c r="BZ586" s="2120">
        <f t="shared" ca="1" si="1664"/>
        <v>0</v>
      </c>
      <c r="CA586" s="2120">
        <f t="shared" ref="CA586:CJ587" ca="1" si="1665">IF($L586="",IF(OR($P586="",$R586=""),0,IF($R586=CA$6,$Q586,0)),IF($E586=CA$5,$M586,))</f>
        <v>0</v>
      </c>
      <c r="CB586" s="2120">
        <f t="shared" ca="1" si="1665"/>
        <v>0</v>
      </c>
      <c r="CC586" s="2120">
        <f t="shared" ca="1" si="1665"/>
        <v>0</v>
      </c>
      <c r="CD586" s="2120">
        <f t="shared" ca="1" si="1665"/>
        <v>0</v>
      </c>
      <c r="CE586" s="2120">
        <f t="shared" ca="1" si="1665"/>
        <v>0</v>
      </c>
      <c r="CF586" s="2120">
        <f t="shared" ca="1" si="1665"/>
        <v>0</v>
      </c>
      <c r="CG586" s="2120">
        <f t="shared" ca="1" si="1665"/>
        <v>0</v>
      </c>
      <c r="CH586" s="2120">
        <f t="shared" ca="1" si="1665"/>
        <v>0</v>
      </c>
      <c r="CI586" s="2120">
        <f t="shared" ca="1" si="1665"/>
        <v>0</v>
      </c>
      <c r="CJ586" s="2120">
        <f t="shared" ca="1" si="1665"/>
        <v>0</v>
      </c>
      <c r="CK586" s="2120">
        <f t="shared" ref="CK586:CT587" ca="1" si="1666">IF($L586="",IF(OR($P586="",$R586=""),0,IF($R586=CK$6,$Q586,0)),IF($E586=CK$5,$M586,))</f>
        <v>0</v>
      </c>
      <c r="CL586" s="2120">
        <f t="shared" ca="1" si="1666"/>
        <v>0</v>
      </c>
      <c r="CM586" s="2120">
        <f t="shared" ca="1" si="1666"/>
        <v>0</v>
      </c>
      <c r="CN586" s="2120">
        <f t="shared" ca="1" si="1666"/>
        <v>0</v>
      </c>
      <c r="CO586" s="2120">
        <f t="shared" ca="1" si="1666"/>
        <v>0</v>
      </c>
      <c r="CP586" s="2120">
        <f t="shared" ca="1" si="1666"/>
        <v>0</v>
      </c>
      <c r="CQ586" s="2120">
        <f t="shared" ca="1" si="1666"/>
        <v>0</v>
      </c>
      <c r="CR586" s="2120">
        <f t="shared" ca="1" si="1666"/>
        <v>0</v>
      </c>
      <c r="CS586" s="2120">
        <f t="shared" ca="1" si="1666"/>
        <v>0</v>
      </c>
      <c r="CT586" s="2120">
        <f t="shared" ca="1" si="1666"/>
        <v>0</v>
      </c>
      <c r="CU586" s="2120">
        <f t="shared" ref="CU586:DD587" ca="1" si="1667">IF($L586="",IF(OR($P586="",$R586=""),0,IF($R586=CU$6,$Q586,0)),IF($E586=CU$5,$M586,))</f>
        <v>0</v>
      </c>
      <c r="CV586" s="2120">
        <f t="shared" ca="1" si="1667"/>
        <v>0</v>
      </c>
      <c r="CW586" s="2120">
        <f t="shared" ca="1" si="1667"/>
        <v>0</v>
      </c>
      <c r="CX586" s="2120">
        <f t="shared" ca="1" si="1667"/>
        <v>0</v>
      </c>
      <c r="CY586" s="2120">
        <f t="shared" ca="1" si="1667"/>
        <v>0</v>
      </c>
      <c r="CZ586" s="2120">
        <f t="shared" ca="1" si="1667"/>
        <v>0</v>
      </c>
      <c r="DA586" s="2120">
        <f t="shared" ca="1" si="1667"/>
        <v>0</v>
      </c>
      <c r="DB586" s="2120">
        <f t="shared" ca="1" si="1667"/>
        <v>0</v>
      </c>
      <c r="DC586" s="2120">
        <f t="shared" ca="1" si="1667"/>
        <v>0</v>
      </c>
      <c r="DD586" s="2120">
        <f t="shared" ca="1" si="1667"/>
        <v>0</v>
      </c>
      <c r="DE586" s="2120">
        <f t="shared" ca="1" si="1660"/>
        <v>0</v>
      </c>
      <c r="DF586" s="2120">
        <f t="shared" ca="1" si="1660"/>
        <v>0</v>
      </c>
      <c r="DG586" s="2120">
        <f t="shared" ca="1" si="1660"/>
        <v>0</v>
      </c>
      <c r="DH586" s="2120">
        <f t="shared" ca="1" si="1660"/>
        <v>0</v>
      </c>
      <c r="DI586" s="2120">
        <f t="shared" ca="1" si="1660"/>
        <v>0</v>
      </c>
      <c r="DJ586" s="2120">
        <f t="shared" ca="1" si="1660"/>
        <v>0</v>
      </c>
      <c r="DK586" s="2120">
        <f t="shared" ca="1" si="1660"/>
        <v>0</v>
      </c>
      <c r="DL586" s="2120">
        <f t="shared" ca="1" si="1660"/>
        <v>0</v>
      </c>
      <c r="DM586" s="2120">
        <f t="shared" ca="1" si="1660"/>
        <v>0</v>
      </c>
      <c r="DN586" s="2120">
        <f t="shared" ca="1" si="1660"/>
        <v>0</v>
      </c>
      <c r="DO586" s="2120">
        <f t="shared" ca="1" si="1660"/>
        <v>0</v>
      </c>
      <c r="DP586" s="2120">
        <f t="shared" ca="1" si="1660"/>
        <v>0</v>
      </c>
    </row>
    <row r="587" spans="1:120" s="165" customFormat="1" outlineLevel="1">
      <c r="A587" s="1221">
        <v>1110052090</v>
      </c>
      <c r="B587" s="1222" t="s">
        <v>2221</v>
      </c>
      <c r="C587" s="2390" t="s">
        <v>64</v>
      </c>
      <c r="D587" s="1712">
        <v>1100003406</v>
      </c>
      <c r="E587" s="1642">
        <v>44956</v>
      </c>
      <c r="F587" s="1224"/>
      <c r="G587" s="1266"/>
      <c r="H587" s="1225"/>
      <c r="I587" s="1226"/>
      <c r="J587" s="1604">
        <v>1</v>
      </c>
      <c r="K587" s="1605">
        <v>1</v>
      </c>
      <c r="L587" s="1606"/>
      <c r="M587" s="1631">
        <f>+L587*J587</f>
        <v>0</v>
      </c>
      <c r="N587" s="1228">
        <f ca="1">IF(OR(E587="",E587&gt;TODAY()),0,IF(ISERROR(VLOOKUP($E587,'TRM BanRep'!$A:$G,7,0)),0,VLOOKUP($E587,'TRM BanRep'!$A:$G,7,0)))</f>
        <v>4548.5</v>
      </c>
      <c r="O587" s="1229">
        <f ca="1">+L587*J587*N587</f>
        <v>0</v>
      </c>
      <c r="P587" s="1230">
        <v>-6782501.3899999997</v>
      </c>
      <c r="Q587" s="1230">
        <f>+P587*K587</f>
        <v>-6782501.3899999997</v>
      </c>
      <c r="R587" s="1231">
        <v>4760.6099999999997</v>
      </c>
      <c r="S587" s="1231">
        <v>4760.6099999999997</v>
      </c>
      <c r="T587" s="2388">
        <f>+P587*K587*S587</f>
        <v>-32288843942.247894</v>
      </c>
      <c r="U587" s="2012">
        <f>+L587+P587+F587</f>
        <v>-6782501.3899999997</v>
      </c>
      <c r="V587" s="566">
        <f ca="1">+P587*J587*R587+L587*J587*N587+F587*K587*H587</f>
        <v>-32288843942.247894</v>
      </c>
      <c r="W587" s="2389">
        <f>IF((-P587*J587*R587)-(-P587*K587*S587)&gt;0,(-P587*J587*R587)-(-P587*K587*S587),0)</f>
        <v>0</v>
      </c>
      <c r="X587" s="1236">
        <f>IF((-P587*J587*R587)-(-P587*K587*S587)&lt;0,(-P587*J587*R587)-(-P587*K587*S587),0)</f>
        <v>0</v>
      </c>
      <c r="Y587" s="1237"/>
      <c r="Z587" s="1055"/>
      <c r="AA587" s="2329">
        <f t="shared" ca="1" si="1661"/>
        <v>-6782501.3899999997</v>
      </c>
      <c r="AB587" s="2158">
        <f t="shared" ca="1" si="1661"/>
        <v>0</v>
      </c>
      <c r="AC587" s="2158">
        <f t="shared" ca="1" si="1661"/>
        <v>0</v>
      </c>
      <c r="AD587" s="2158">
        <f t="shared" ca="1" si="1661"/>
        <v>0</v>
      </c>
      <c r="AE587" s="2158">
        <f t="shared" ca="1" si="1661"/>
        <v>0</v>
      </c>
      <c r="AF587" s="2120">
        <f t="shared" ca="1" si="1661"/>
        <v>0</v>
      </c>
      <c r="AG587" s="2120">
        <f t="shared" ca="1" si="1661"/>
        <v>0</v>
      </c>
      <c r="AH587" s="2120">
        <f t="shared" ca="1" si="1661"/>
        <v>0</v>
      </c>
      <c r="AI587" s="2120">
        <f t="shared" ca="1" si="1661"/>
        <v>0</v>
      </c>
      <c r="AJ587" s="2120">
        <f t="shared" ca="1" si="1661"/>
        <v>0</v>
      </c>
      <c r="AK587" s="2120">
        <f t="shared" ca="1" si="1599"/>
        <v>0</v>
      </c>
      <c r="AL587" s="2314">
        <f t="shared" ca="1" si="1599"/>
        <v>0</v>
      </c>
      <c r="AM587" s="2120">
        <f t="shared" ca="1" si="1599"/>
        <v>0</v>
      </c>
      <c r="AN587" s="2120">
        <f t="shared" ca="1" si="1599"/>
        <v>0</v>
      </c>
      <c r="AO587" s="2120">
        <f t="shared" ca="1" si="1599"/>
        <v>0</v>
      </c>
      <c r="AP587" s="2120">
        <f t="shared" ca="1" si="1599"/>
        <v>0</v>
      </c>
      <c r="AQ587" s="2120">
        <f t="shared" ca="1" si="1662"/>
        <v>0</v>
      </c>
      <c r="AR587" s="2120">
        <f t="shared" ca="1" si="1662"/>
        <v>0</v>
      </c>
      <c r="AS587" s="2120">
        <f t="shared" ca="1" si="1662"/>
        <v>0</v>
      </c>
      <c r="AT587" s="2120">
        <f t="shared" ca="1" si="1662"/>
        <v>0</v>
      </c>
      <c r="AU587" s="2120">
        <f t="shared" ca="1" si="1662"/>
        <v>0</v>
      </c>
      <c r="AV587" s="2120">
        <f t="shared" ca="1" si="1662"/>
        <v>0</v>
      </c>
      <c r="AW587" s="2120">
        <f t="shared" ca="1" si="1662"/>
        <v>0</v>
      </c>
      <c r="AX587" s="2120">
        <f t="shared" ca="1" si="1662"/>
        <v>0</v>
      </c>
      <c r="AY587" s="2120">
        <f t="shared" ca="1" si="1662"/>
        <v>0</v>
      </c>
      <c r="AZ587" s="2120">
        <f t="shared" ca="1" si="1662"/>
        <v>0</v>
      </c>
      <c r="BA587" s="2120">
        <f t="shared" ca="1" si="1662"/>
        <v>0</v>
      </c>
      <c r="BB587" s="2120">
        <f t="shared" ca="1" si="1662"/>
        <v>0</v>
      </c>
      <c r="BC587" s="2120">
        <f t="shared" ca="1" si="1662"/>
        <v>0</v>
      </c>
      <c r="BD587" s="2120">
        <f t="shared" ca="1" si="1662"/>
        <v>0</v>
      </c>
      <c r="BE587" s="2120">
        <f t="shared" ca="1" si="1662"/>
        <v>0</v>
      </c>
      <c r="BF587" s="2120">
        <f t="shared" ca="1" si="1662"/>
        <v>0</v>
      </c>
      <c r="BG587" s="2120">
        <f t="shared" ca="1" si="1663"/>
        <v>0</v>
      </c>
      <c r="BH587" s="2120">
        <f t="shared" ca="1" si="1663"/>
        <v>0</v>
      </c>
      <c r="BI587" s="2120">
        <f t="shared" ca="1" si="1663"/>
        <v>0</v>
      </c>
      <c r="BJ587" s="2120">
        <f t="shared" ca="1" si="1663"/>
        <v>0</v>
      </c>
      <c r="BK587" s="2120">
        <f t="shared" ca="1" si="1663"/>
        <v>0</v>
      </c>
      <c r="BL587" s="2120">
        <f t="shared" ca="1" si="1663"/>
        <v>0</v>
      </c>
      <c r="BM587" s="2120">
        <f t="shared" ca="1" si="1663"/>
        <v>0</v>
      </c>
      <c r="BN587" s="2120">
        <f t="shared" ca="1" si="1663"/>
        <v>0</v>
      </c>
      <c r="BO587" s="2120">
        <f t="shared" ca="1" si="1663"/>
        <v>0</v>
      </c>
      <c r="BP587" s="2120">
        <f t="shared" ca="1" si="1663"/>
        <v>0</v>
      </c>
      <c r="BQ587" s="2120">
        <f t="shared" ca="1" si="1664"/>
        <v>0</v>
      </c>
      <c r="BR587" s="2120">
        <f t="shared" ca="1" si="1664"/>
        <v>0</v>
      </c>
      <c r="BS587" s="2120">
        <f t="shared" ca="1" si="1664"/>
        <v>0</v>
      </c>
      <c r="BT587" s="2120">
        <f t="shared" ca="1" si="1664"/>
        <v>0</v>
      </c>
      <c r="BU587" s="2120">
        <f t="shared" ca="1" si="1664"/>
        <v>0</v>
      </c>
      <c r="BV587" s="2120">
        <f t="shared" ca="1" si="1664"/>
        <v>0</v>
      </c>
      <c r="BW587" s="2120">
        <f t="shared" ca="1" si="1664"/>
        <v>0</v>
      </c>
      <c r="BX587" s="2120">
        <f t="shared" ca="1" si="1664"/>
        <v>0</v>
      </c>
      <c r="BY587" s="2120">
        <f t="shared" ca="1" si="1664"/>
        <v>0</v>
      </c>
      <c r="BZ587" s="2120">
        <f t="shared" ca="1" si="1664"/>
        <v>0</v>
      </c>
      <c r="CA587" s="2120">
        <f t="shared" ca="1" si="1665"/>
        <v>0</v>
      </c>
      <c r="CB587" s="2120">
        <f t="shared" ca="1" si="1665"/>
        <v>0</v>
      </c>
      <c r="CC587" s="2120">
        <f t="shared" ca="1" si="1665"/>
        <v>0</v>
      </c>
      <c r="CD587" s="2120">
        <f t="shared" ca="1" si="1665"/>
        <v>0</v>
      </c>
      <c r="CE587" s="2120">
        <f t="shared" ca="1" si="1665"/>
        <v>0</v>
      </c>
      <c r="CF587" s="2120">
        <f t="shared" ca="1" si="1665"/>
        <v>0</v>
      </c>
      <c r="CG587" s="2120">
        <f t="shared" ca="1" si="1665"/>
        <v>0</v>
      </c>
      <c r="CH587" s="2120">
        <f t="shared" ca="1" si="1665"/>
        <v>0</v>
      </c>
      <c r="CI587" s="2120">
        <f t="shared" ca="1" si="1665"/>
        <v>0</v>
      </c>
      <c r="CJ587" s="2120">
        <f t="shared" ca="1" si="1665"/>
        <v>0</v>
      </c>
      <c r="CK587" s="2120">
        <f t="shared" ca="1" si="1666"/>
        <v>0</v>
      </c>
      <c r="CL587" s="2120">
        <f t="shared" ca="1" si="1666"/>
        <v>0</v>
      </c>
      <c r="CM587" s="2120">
        <f t="shared" ca="1" si="1666"/>
        <v>0</v>
      </c>
      <c r="CN587" s="2120">
        <f t="shared" ca="1" si="1666"/>
        <v>0</v>
      </c>
      <c r="CO587" s="2120">
        <f t="shared" ca="1" si="1666"/>
        <v>0</v>
      </c>
      <c r="CP587" s="2120">
        <f t="shared" ca="1" si="1666"/>
        <v>0</v>
      </c>
      <c r="CQ587" s="2120">
        <f t="shared" ca="1" si="1666"/>
        <v>0</v>
      </c>
      <c r="CR587" s="2120">
        <f t="shared" ca="1" si="1666"/>
        <v>0</v>
      </c>
      <c r="CS587" s="2120">
        <f t="shared" ca="1" si="1666"/>
        <v>0</v>
      </c>
      <c r="CT587" s="2120">
        <f t="shared" ca="1" si="1666"/>
        <v>0</v>
      </c>
      <c r="CU587" s="2120">
        <f t="shared" ca="1" si="1667"/>
        <v>0</v>
      </c>
      <c r="CV587" s="2120">
        <f t="shared" ca="1" si="1667"/>
        <v>0</v>
      </c>
      <c r="CW587" s="2120">
        <f t="shared" ca="1" si="1667"/>
        <v>0</v>
      </c>
      <c r="CX587" s="2120">
        <f t="shared" ca="1" si="1667"/>
        <v>0</v>
      </c>
      <c r="CY587" s="2120">
        <f t="shared" ca="1" si="1667"/>
        <v>0</v>
      </c>
      <c r="CZ587" s="2120">
        <f t="shared" ca="1" si="1667"/>
        <v>0</v>
      </c>
      <c r="DA587" s="2120">
        <f t="shared" ca="1" si="1667"/>
        <v>0</v>
      </c>
      <c r="DB587" s="2120">
        <f t="shared" ca="1" si="1667"/>
        <v>0</v>
      </c>
      <c r="DC587" s="2120">
        <f t="shared" ca="1" si="1667"/>
        <v>0</v>
      </c>
      <c r="DD587" s="2120">
        <f t="shared" ca="1" si="1667"/>
        <v>0</v>
      </c>
      <c r="DE587" s="2120">
        <f t="shared" ca="1" si="1660"/>
        <v>0</v>
      </c>
      <c r="DF587" s="2120">
        <f t="shared" ca="1" si="1660"/>
        <v>0</v>
      </c>
      <c r="DG587" s="2120">
        <f t="shared" ca="1" si="1660"/>
        <v>0</v>
      </c>
      <c r="DH587" s="2120">
        <f t="shared" ca="1" si="1660"/>
        <v>0</v>
      </c>
      <c r="DI587" s="2120">
        <f t="shared" ca="1" si="1660"/>
        <v>0</v>
      </c>
      <c r="DJ587" s="2120">
        <f t="shared" ca="1" si="1660"/>
        <v>0</v>
      </c>
      <c r="DK587" s="2120">
        <f t="shared" ca="1" si="1660"/>
        <v>0</v>
      </c>
      <c r="DL587" s="2120">
        <f t="shared" ca="1" si="1660"/>
        <v>0</v>
      </c>
      <c r="DM587" s="2120">
        <f t="shared" ca="1" si="1660"/>
        <v>0</v>
      </c>
      <c r="DN587" s="2120">
        <f t="shared" ca="1" si="1660"/>
        <v>0</v>
      </c>
      <c r="DO587" s="2120">
        <f t="shared" ca="1" si="1660"/>
        <v>0</v>
      </c>
      <c r="DP587" s="2120">
        <f t="shared" ca="1" si="1660"/>
        <v>0</v>
      </c>
    </row>
    <row r="588" spans="1:120" s="165" customFormat="1" outlineLevel="1">
      <c r="A588" s="2422">
        <v>1110052090</v>
      </c>
      <c r="B588" s="2445" t="s">
        <v>2220</v>
      </c>
      <c r="C588" s="2424" t="s">
        <v>64</v>
      </c>
      <c r="D588" s="2425">
        <v>1100003414</v>
      </c>
      <c r="E588" s="2426">
        <v>44957</v>
      </c>
      <c r="F588" s="2427"/>
      <c r="G588" s="2428"/>
      <c r="H588" s="2429"/>
      <c r="I588" s="2430"/>
      <c r="J588" s="2431">
        <v>1</v>
      </c>
      <c r="K588" s="2432">
        <v>1</v>
      </c>
      <c r="L588" s="2433">
        <v>4800000</v>
      </c>
      <c r="M588" s="2434">
        <f t="shared" si="1616"/>
        <v>4800000</v>
      </c>
      <c r="N588" s="2435">
        <f ca="1">IF(OR(E588="",E588&gt;TODAY()),0,IF(ISERROR(VLOOKUP($E588,'TRM BanRep'!$A:$G,7,0)),0,VLOOKUP($E588,'TRM BanRep'!$A:$G,7,0)))</f>
        <v>4632.2</v>
      </c>
      <c r="O588" s="2436">
        <f t="shared" ca="1" si="1617"/>
        <v>22234560000</v>
      </c>
      <c r="P588" s="2437"/>
      <c r="Q588" s="2437">
        <f t="shared" si="1618"/>
        <v>0</v>
      </c>
      <c r="R588" s="2438"/>
      <c r="S588" s="2438">
        <f ca="1">IF(OR(E588="",E588&gt;TODAY()),0,IF(ISERROR(VLOOKUP($E588,'TRM BanRep'!$A:$G,7,0)),0,VLOOKUP($E588,'TRM BanRep'!$A:$G,7,0)))</f>
        <v>4632.2</v>
      </c>
      <c r="T588" s="2439">
        <f t="shared" ca="1" si="1619"/>
        <v>0</v>
      </c>
      <c r="U588" s="1158">
        <f t="shared" si="1620"/>
        <v>4800000</v>
      </c>
      <c r="V588" s="2440">
        <f t="shared" ca="1" si="1621"/>
        <v>22234560000</v>
      </c>
      <c r="W588" s="2441">
        <f t="shared" ca="1" si="1622"/>
        <v>0</v>
      </c>
      <c r="X588" s="2442">
        <f t="shared" ca="1" si="1623"/>
        <v>0</v>
      </c>
      <c r="Y588" s="2443"/>
      <c r="Z588" s="1055"/>
      <c r="AA588" s="2329">
        <f t="shared" si="1599"/>
        <v>0</v>
      </c>
      <c r="AB588" s="2158">
        <f t="shared" si="1599"/>
        <v>0</v>
      </c>
      <c r="AC588" s="2158">
        <f t="shared" si="1599"/>
        <v>0</v>
      </c>
      <c r="AD588" s="2158">
        <f t="shared" si="1599"/>
        <v>0</v>
      </c>
      <c r="AE588" s="2158">
        <f t="shared" si="1599"/>
        <v>0</v>
      </c>
      <c r="AF588" s="2120">
        <f t="shared" si="1599"/>
        <v>0</v>
      </c>
      <c r="AG588" s="2120">
        <f t="shared" si="1599"/>
        <v>0</v>
      </c>
      <c r="AH588" s="2120">
        <f t="shared" si="1599"/>
        <v>0</v>
      </c>
      <c r="AI588" s="2120">
        <f t="shared" si="1599"/>
        <v>0</v>
      </c>
      <c r="AJ588" s="2120">
        <f t="shared" si="1599"/>
        <v>0</v>
      </c>
      <c r="AK588" s="2120">
        <f t="shared" si="1599"/>
        <v>0</v>
      </c>
      <c r="AL588" s="2314">
        <f t="shared" si="1599"/>
        <v>0</v>
      </c>
      <c r="AM588" s="2120">
        <f t="shared" si="1599"/>
        <v>4800000</v>
      </c>
      <c r="AN588" s="2120">
        <f t="shared" si="1599"/>
        <v>0</v>
      </c>
      <c r="AO588" s="2120">
        <f t="shared" si="1599"/>
        <v>0</v>
      </c>
      <c r="AP588" s="2120">
        <f t="shared" si="1599"/>
        <v>0</v>
      </c>
      <c r="AQ588" s="2120">
        <f t="shared" si="1662"/>
        <v>0</v>
      </c>
      <c r="AR588" s="2120">
        <f t="shared" si="1662"/>
        <v>0</v>
      </c>
      <c r="AS588" s="2120">
        <f t="shared" si="1662"/>
        <v>0</v>
      </c>
      <c r="AT588" s="2120">
        <f t="shared" si="1662"/>
        <v>0</v>
      </c>
      <c r="AU588" s="2120">
        <f t="shared" si="1662"/>
        <v>0</v>
      </c>
      <c r="AV588" s="2120">
        <f t="shared" si="1662"/>
        <v>0</v>
      </c>
      <c r="AW588" s="2120">
        <f t="shared" si="1662"/>
        <v>0</v>
      </c>
      <c r="AX588" s="2120">
        <f t="shared" si="1662"/>
        <v>0</v>
      </c>
      <c r="AY588" s="2120">
        <f t="shared" si="1662"/>
        <v>0</v>
      </c>
      <c r="AZ588" s="2120">
        <f t="shared" si="1662"/>
        <v>0</v>
      </c>
      <c r="BA588" s="2120">
        <f t="shared" si="1662"/>
        <v>0</v>
      </c>
      <c r="BB588" s="2120">
        <f t="shared" si="1662"/>
        <v>0</v>
      </c>
      <c r="BC588" s="2120">
        <f t="shared" si="1662"/>
        <v>0</v>
      </c>
      <c r="BD588" s="2120">
        <f t="shared" si="1662"/>
        <v>0</v>
      </c>
      <c r="BE588" s="2120">
        <f t="shared" si="1662"/>
        <v>0</v>
      </c>
      <c r="BF588" s="2120">
        <f t="shared" si="1662"/>
        <v>0</v>
      </c>
      <c r="BG588" s="2120">
        <f t="shared" si="1602"/>
        <v>0</v>
      </c>
      <c r="BH588" s="2120">
        <f t="shared" si="1602"/>
        <v>0</v>
      </c>
      <c r="BI588" s="2120">
        <f t="shared" si="1602"/>
        <v>0</v>
      </c>
      <c r="BJ588" s="2120">
        <f t="shared" si="1602"/>
        <v>0</v>
      </c>
      <c r="BK588" s="2120">
        <f t="shared" si="1602"/>
        <v>0</v>
      </c>
      <c r="BL588" s="2120">
        <f t="shared" si="1602"/>
        <v>0</v>
      </c>
      <c r="BM588" s="2120">
        <f t="shared" si="1602"/>
        <v>0</v>
      </c>
      <c r="BN588" s="2120">
        <f t="shared" si="1602"/>
        <v>0</v>
      </c>
      <c r="BO588" s="2120">
        <f t="shared" si="1602"/>
        <v>0</v>
      </c>
      <c r="BP588" s="2120">
        <f t="shared" si="1602"/>
        <v>0</v>
      </c>
      <c r="BQ588" s="2120">
        <f t="shared" si="1602"/>
        <v>0</v>
      </c>
      <c r="BR588" s="2120">
        <f t="shared" si="1602"/>
        <v>0</v>
      </c>
      <c r="BS588" s="2120">
        <f t="shared" si="1602"/>
        <v>0</v>
      </c>
      <c r="BT588" s="2120">
        <f t="shared" si="1602"/>
        <v>0</v>
      </c>
      <c r="BU588" s="2120">
        <f t="shared" si="1602"/>
        <v>0</v>
      </c>
      <c r="BV588" s="2120">
        <f t="shared" si="1602"/>
        <v>0</v>
      </c>
      <c r="BW588" s="2120">
        <f t="shared" si="1603"/>
        <v>0</v>
      </c>
      <c r="BX588" s="2120">
        <f t="shared" si="1603"/>
        <v>0</v>
      </c>
      <c r="BY588" s="2120">
        <f t="shared" si="1603"/>
        <v>0</v>
      </c>
      <c r="BZ588" s="2120">
        <f t="shared" si="1603"/>
        <v>0</v>
      </c>
      <c r="CA588" s="2120">
        <f t="shared" si="1603"/>
        <v>0</v>
      </c>
      <c r="CB588" s="2120">
        <f t="shared" si="1603"/>
        <v>0</v>
      </c>
      <c r="CC588" s="2120">
        <f t="shared" si="1603"/>
        <v>0</v>
      </c>
      <c r="CD588" s="2120">
        <f t="shared" si="1603"/>
        <v>0</v>
      </c>
      <c r="CE588" s="2120">
        <f t="shared" si="1603"/>
        <v>0</v>
      </c>
      <c r="CF588" s="2120">
        <f t="shared" si="1603"/>
        <v>0</v>
      </c>
      <c r="CG588" s="2120">
        <f t="shared" si="1603"/>
        <v>0</v>
      </c>
      <c r="CH588" s="2120">
        <f t="shared" si="1603"/>
        <v>0</v>
      </c>
      <c r="CI588" s="2120">
        <f t="shared" si="1603"/>
        <v>0</v>
      </c>
      <c r="CJ588" s="2120">
        <f t="shared" si="1603"/>
        <v>0</v>
      </c>
      <c r="CK588" s="2120">
        <f t="shared" si="1603"/>
        <v>0</v>
      </c>
      <c r="CL588" s="2120">
        <f t="shared" si="1603"/>
        <v>0</v>
      </c>
      <c r="CM588" s="2120">
        <f t="shared" si="1604"/>
        <v>0</v>
      </c>
      <c r="CN588" s="2120">
        <f t="shared" si="1604"/>
        <v>0</v>
      </c>
      <c r="CO588" s="2120">
        <f t="shared" si="1604"/>
        <v>0</v>
      </c>
      <c r="CP588" s="2120">
        <f t="shared" si="1604"/>
        <v>0</v>
      </c>
      <c r="CQ588" s="2120">
        <f t="shared" si="1604"/>
        <v>0</v>
      </c>
      <c r="CR588" s="2120">
        <f t="shared" si="1604"/>
        <v>0</v>
      </c>
      <c r="CS588" s="2120">
        <f t="shared" si="1604"/>
        <v>0</v>
      </c>
      <c r="CT588" s="2120">
        <f t="shared" si="1604"/>
        <v>0</v>
      </c>
      <c r="CU588" s="2120">
        <f t="shared" si="1604"/>
        <v>0</v>
      </c>
      <c r="CV588" s="2120">
        <f t="shared" si="1604"/>
        <v>0</v>
      </c>
      <c r="CW588" s="2120">
        <f t="shared" si="1604"/>
        <v>0</v>
      </c>
      <c r="CX588" s="2120">
        <f t="shared" si="1604"/>
        <v>0</v>
      </c>
      <c r="CY588" s="2120">
        <f t="shared" si="1604"/>
        <v>0</v>
      </c>
      <c r="CZ588" s="2120">
        <f t="shared" si="1604"/>
        <v>0</v>
      </c>
      <c r="DA588" s="2120">
        <f t="shared" si="1604"/>
        <v>0</v>
      </c>
      <c r="DB588" s="2120">
        <f t="shared" si="1604"/>
        <v>0</v>
      </c>
      <c r="DC588" s="2120">
        <f t="shared" si="1660"/>
        <v>0</v>
      </c>
      <c r="DD588" s="2120">
        <f t="shared" si="1660"/>
        <v>0</v>
      </c>
      <c r="DE588" s="2120">
        <f t="shared" si="1660"/>
        <v>0</v>
      </c>
      <c r="DF588" s="2120">
        <f t="shared" si="1660"/>
        <v>0</v>
      </c>
      <c r="DG588" s="2120">
        <f t="shared" si="1660"/>
        <v>0</v>
      </c>
      <c r="DH588" s="2120">
        <f t="shared" si="1660"/>
        <v>0</v>
      </c>
      <c r="DI588" s="2120">
        <f t="shared" si="1660"/>
        <v>0</v>
      </c>
      <c r="DJ588" s="2120">
        <f t="shared" si="1660"/>
        <v>0</v>
      </c>
      <c r="DK588" s="2120">
        <f t="shared" si="1660"/>
        <v>0</v>
      </c>
      <c r="DL588" s="2120">
        <f t="shared" si="1660"/>
        <v>0</v>
      </c>
      <c r="DM588" s="2120">
        <f t="shared" si="1660"/>
        <v>0</v>
      </c>
      <c r="DN588" s="2120">
        <f t="shared" si="1660"/>
        <v>0</v>
      </c>
      <c r="DO588" s="2120">
        <f t="shared" si="1660"/>
        <v>0</v>
      </c>
      <c r="DP588" s="2120">
        <f t="shared" si="1660"/>
        <v>0</v>
      </c>
    </row>
    <row r="589" spans="1:120" outlineLevel="1">
      <c r="A589" s="55"/>
      <c r="B589" s="509"/>
      <c r="C589" s="1512"/>
      <c r="D589" s="1538"/>
      <c r="E589" s="1539"/>
      <c r="F589" s="416"/>
      <c r="G589" s="1251"/>
      <c r="H589" s="511"/>
      <c r="I589" s="512"/>
      <c r="J589" s="1425"/>
      <c r="K589" s="1426"/>
      <c r="L589" s="419"/>
      <c r="M589" s="1336">
        <f t="shared" si="1591"/>
        <v>0</v>
      </c>
      <c r="N589" s="504"/>
      <c r="O589" s="513">
        <f t="shared" si="1592"/>
        <v>0</v>
      </c>
      <c r="P589" s="431"/>
      <c r="Q589" s="514">
        <f t="shared" si="1593"/>
        <v>0</v>
      </c>
      <c r="R589" s="515"/>
      <c r="S589" s="515">
        <f ca="1">IF(OR(E589="",E589&gt;TODAY()),0,IF(ISERROR(VLOOKUP($E589,'TRM BanRep'!$A:$G,7,0)),0,VLOOKUP($E589,'TRM BanRep'!$A:$G,7,0)))</f>
        <v>0</v>
      </c>
      <c r="T589" s="562">
        <f t="shared" ca="1" si="1594"/>
        <v>0</v>
      </c>
      <c r="U589" s="1121">
        <f t="shared" si="1595"/>
        <v>0</v>
      </c>
      <c r="V589" s="517">
        <f t="shared" si="1596"/>
        <v>0</v>
      </c>
      <c r="W589" s="976">
        <f t="shared" ca="1" si="1597"/>
        <v>0</v>
      </c>
      <c r="X589" s="975">
        <f t="shared" ca="1" si="1598"/>
        <v>0</v>
      </c>
      <c r="Y589" s="519"/>
      <c r="Z589" s="1055"/>
      <c r="AA589" s="2309">
        <f t="shared" si="1599"/>
        <v>0</v>
      </c>
      <c r="AB589" s="2310">
        <f t="shared" si="1599"/>
        <v>0</v>
      </c>
      <c r="AC589" s="2310">
        <f t="shared" si="1599"/>
        <v>0</v>
      </c>
      <c r="AD589" s="2310">
        <f t="shared" si="1599"/>
        <v>0</v>
      </c>
      <c r="AE589" s="2310">
        <f t="shared" si="1599"/>
        <v>0</v>
      </c>
      <c r="AF589" s="2327">
        <f t="shared" si="1599"/>
        <v>0</v>
      </c>
      <c r="AG589" s="2327">
        <f t="shared" si="1599"/>
        <v>0</v>
      </c>
      <c r="AH589" s="2327">
        <f t="shared" si="1599"/>
        <v>0</v>
      </c>
      <c r="AI589" s="2327">
        <f t="shared" si="1599"/>
        <v>0</v>
      </c>
      <c r="AJ589" s="2327">
        <f t="shared" si="1599"/>
        <v>0</v>
      </c>
      <c r="AK589" s="2327">
        <f t="shared" si="1599"/>
        <v>0</v>
      </c>
      <c r="AL589" s="2328">
        <f t="shared" si="1599"/>
        <v>0</v>
      </c>
      <c r="AM589" s="2327">
        <f t="shared" si="1599"/>
        <v>0</v>
      </c>
      <c r="AN589" s="2327">
        <f t="shared" si="1599"/>
        <v>0</v>
      </c>
      <c r="AO589" s="2327">
        <f t="shared" si="1599"/>
        <v>0</v>
      </c>
      <c r="AP589" s="2327">
        <f t="shared" si="1599"/>
        <v>0</v>
      </c>
      <c r="AQ589" s="2327">
        <f t="shared" si="1662"/>
        <v>0</v>
      </c>
      <c r="AR589" s="2327">
        <f t="shared" si="1662"/>
        <v>0</v>
      </c>
      <c r="AS589" s="2327">
        <f t="shared" si="1662"/>
        <v>0</v>
      </c>
      <c r="AT589" s="2327">
        <f t="shared" si="1662"/>
        <v>0</v>
      </c>
      <c r="AU589" s="2327">
        <f t="shared" si="1662"/>
        <v>0</v>
      </c>
      <c r="AV589" s="2327">
        <f t="shared" si="1662"/>
        <v>0</v>
      </c>
      <c r="AW589" s="2327">
        <f t="shared" si="1662"/>
        <v>0</v>
      </c>
      <c r="AX589" s="2327">
        <f t="shared" si="1662"/>
        <v>0</v>
      </c>
      <c r="AY589" s="2327">
        <f t="shared" si="1662"/>
        <v>0</v>
      </c>
      <c r="AZ589" s="2327">
        <f t="shared" si="1662"/>
        <v>0</v>
      </c>
      <c r="BA589" s="2327">
        <f t="shared" si="1662"/>
        <v>0</v>
      </c>
      <c r="BB589" s="2327">
        <f t="shared" si="1662"/>
        <v>0</v>
      </c>
      <c r="BC589" s="2327">
        <f t="shared" si="1662"/>
        <v>0</v>
      </c>
      <c r="BD589" s="2327">
        <f t="shared" si="1662"/>
        <v>0</v>
      </c>
      <c r="BE589" s="2327">
        <f t="shared" si="1662"/>
        <v>0</v>
      </c>
      <c r="BF589" s="2327">
        <f t="shared" ref="BF589" si="1668">IF($L589="",IF(OR($P589="",$R589=""),0,IF($R589=BF$6,$Q589,0)),IF($E589=BF$5,$M589,))</f>
        <v>0</v>
      </c>
      <c r="BG589" s="2327">
        <f t="shared" si="1602"/>
        <v>0</v>
      </c>
      <c r="BH589" s="2327">
        <f t="shared" si="1602"/>
        <v>0</v>
      </c>
      <c r="BI589" s="2327">
        <f t="shared" si="1602"/>
        <v>0</v>
      </c>
      <c r="BJ589" s="2327">
        <f t="shared" si="1602"/>
        <v>0</v>
      </c>
      <c r="BK589" s="2327">
        <f t="shared" si="1602"/>
        <v>0</v>
      </c>
      <c r="BL589" s="2327">
        <f t="shared" si="1602"/>
        <v>0</v>
      </c>
      <c r="BM589" s="2327">
        <f t="shared" si="1602"/>
        <v>0</v>
      </c>
      <c r="BN589" s="2327">
        <f t="shared" si="1602"/>
        <v>0</v>
      </c>
      <c r="BO589" s="2327">
        <f t="shared" si="1602"/>
        <v>0</v>
      </c>
      <c r="BP589" s="2327">
        <f t="shared" si="1602"/>
        <v>0</v>
      </c>
      <c r="BQ589" s="2327">
        <f t="shared" si="1602"/>
        <v>0</v>
      </c>
      <c r="BR589" s="2327">
        <f t="shared" si="1602"/>
        <v>0</v>
      </c>
      <c r="BS589" s="2327">
        <f t="shared" si="1602"/>
        <v>0</v>
      </c>
      <c r="BT589" s="2327">
        <f t="shared" si="1602"/>
        <v>0</v>
      </c>
      <c r="BU589" s="2327">
        <f t="shared" si="1602"/>
        <v>0</v>
      </c>
      <c r="BV589" s="2327">
        <f t="shared" ref="BV589" si="1669">IF($L589="",IF(OR($P589="",$R589=""),0,IF($R589=BV$6,$Q589,0)),IF($E589=BV$5,$M589,))</f>
        <v>0</v>
      </c>
      <c r="BW589" s="2327">
        <f t="shared" si="1603"/>
        <v>0</v>
      </c>
      <c r="BX589" s="2327">
        <f t="shared" si="1603"/>
        <v>0</v>
      </c>
      <c r="BY589" s="2327">
        <f t="shared" si="1603"/>
        <v>0</v>
      </c>
      <c r="BZ589" s="2327">
        <f t="shared" si="1603"/>
        <v>0</v>
      </c>
      <c r="CA589" s="2327">
        <f t="shared" si="1603"/>
        <v>0</v>
      </c>
      <c r="CB589" s="2327">
        <f t="shared" si="1603"/>
        <v>0</v>
      </c>
      <c r="CC589" s="2327">
        <f t="shared" si="1603"/>
        <v>0</v>
      </c>
      <c r="CD589" s="2327">
        <f t="shared" si="1603"/>
        <v>0</v>
      </c>
      <c r="CE589" s="2327">
        <f t="shared" si="1603"/>
        <v>0</v>
      </c>
      <c r="CF589" s="2327">
        <f t="shared" si="1603"/>
        <v>0</v>
      </c>
      <c r="CG589" s="2327">
        <f t="shared" si="1603"/>
        <v>0</v>
      </c>
      <c r="CH589" s="2327">
        <f t="shared" si="1603"/>
        <v>0</v>
      </c>
      <c r="CI589" s="2327">
        <f t="shared" si="1603"/>
        <v>0</v>
      </c>
      <c r="CJ589" s="2327">
        <f t="shared" si="1603"/>
        <v>0</v>
      </c>
      <c r="CK589" s="2327">
        <f t="shared" si="1603"/>
        <v>0</v>
      </c>
      <c r="CL589" s="2327">
        <f t="shared" ref="CL589" si="1670">IF($L589="",IF(OR($P589="",$R589=""),0,IF($R589=CL$6,$Q589,0)),IF($E589=CL$5,$M589,))</f>
        <v>0</v>
      </c>
      <c r="CM589" s="2327">
        <f t="shared" si="1604"/>
        <v>0</v>
      </c>
      <c r="CN589" s="2327">
        <f t="shared" si="1604"/>
        <v>0</v>
      </c>
      <c r="CO589" s="2327">
        <f t="shared" si="1604"/>
        <v>0</v>
      </c>
      <c r="CP589" s="2327">
        <f t="shared" si="1604"/>
        <v>0</v>
      </c>
      <c r="CQ589" s="2327">
        <f t="shared" si="1604"/>
        <v>0</v>
      </c>
      <c r="CR589" s="2327">
        <f t="shared" si="1604"/>
        <v>0</v>
      </c>
      <c r="CS589" s="2327">
        <f t="shared" si="1604"/>
        <v>0</v>
      </c>
      <c r="CT589" s="2327">
        <f t="shared" si="1604"/>
        <v>0</v>
      </c>
      <c r="CU589" s="2327">
        <f t="shared" si="1604"/>
        <v>0</v>
      </c>
      <c r="CV589" s="2327">
        <f t="shared" si="1604"/>
        <v>0</v>
      </c>
      <c r="CW589" s="2327">
        <f t="shared" si="1604"/>
        <v>0</v>
      </c>
      <c r="CX589" s="2327">
        <f t="shared" si="1604"/>
        <v>0</v>
      </c>
      <c r="CY589" s="2327">
        <f t="shared" si="1604"/>
        <v>0</v>
      </c>
      <c r="CZ589" s="2327">
        <f t="shared" si="1604"/>
        <v>0</v>
      </c>
      <c r="DA589" s="2327">
        <f t="shared" si="1604"/>
        <v>0</v>
      </c>
      <c r="DB589" s="2327">
        <f t="shared" ref="DB589" si="1671">IF($L589="",IF(OR($P589="",$R589=""),0,IF($R589=DB$6,$Q589,0)),IF($E589=DB$5,$M589,))</f>
        <v>0</v>
      </c>
      <c r="DC589" s="2327">
        <f t="shared" si="1660"/>
        <v>0</v>
      </c>
      <c r="DD589" s="2327">
        <f t="shared" si="1660"/>
        <v>0</v>
      </c>
      <c r="DE589" s="2327">
        <f t="shared" si="1660"/>
        <v>0</v>
      </c>
      <c r="DF589" s="2327">
        <f t="shared" si="1660"/>
        <v>0</v>
      </c>
      <c r="DG589" s="2327">
        <f t="shared" si="1660"/>
        <v>0</v>
      </c>
      <c r="DH589" s="2327">
        <f t="shared" si="1660"/>
        <v>0</v>
      </c>
      <c r="DI589" s="2327">
        <f t="shared" si="1660"/>
        <v>0</v>
      </c>
      <c r="DJ589" s="2327">
        <f t="shared" si="1660"/>
        <v>0</v>
      </c>
      <c r="DK589" s="2327">
        <f t="shared" si="1660"/>
        <v>0</v>
      </c>
      <c r="DL589" s="2327">
        <f t="shared" si="1660"/>
        <v>0</v>
      </c>
      <c r="DM589" s="2327">
        <f t="shared" si="1660"/>
        <v>0</v>
      </c>
      <c r="DN589" s="2327">
        <f t="shared" si="1660"/>
        <v>0</v>
      </c>
      <c r="DO589" s="2327">
        <f t="shared" si="1660"/>
        <v>0</v>
      </c>
      <c r="DP589" s="2327">
        <f t="shared" si="1660"/>
        <v>0</v>
      </c>
    </row>
    <row r="590" spans="1:120" ht="16.5" thickBot="1">
      <c r="A590" s="62" t="s">
        <v>226</v>
      </c>
      <c r="B590" s="63"/>
      <c r="C590" s="184"/>
      <c r="D590" s="1473"/>
      <c r="E590" s="1474"/>
      <c r="F590" s="66">
        <f>SUM(F567:F589)</f>
        <v>0</v>
      </c>
      <c r="G590" s="1253"/>
      <c r="H590" s="67"/>
      <c r="I590" s="68">
        <f>SUM(I567:I589)</f>
        <v>0</v>
      </c>
      <c r="J590" s="1376"/>
      <c r="K590" s="76"/>
      <c r="L590" s="1051">
        <f>SUM(L567:L589)</f>
        <v>76680134.629999995</v>
      </c>
      <c r="M590" s="168"/>
      <c r="N590" s="70"/>
      <c r="O590" s="71">
        <f ca="1">SUM(O567:O589)</f>
        <v>357388707392.57104</v>
      </c>
      <c r="P590" s="72">
        <f>SUM(P567:P589)</f>
        <v>-43180005</v>
      </c>
      <c r="Q590" s="1339"/>
      <c r="R590" s="73"/>
      <c r="S590" s="73"/>
      <c r="T590" s="96">
        <f ca="1">SUM(T567:T589)</f>
        <v>-203129940093.60181</v>
      </c>
      <c r="U590" s="173">
        <f>SUM(U567:U589)</f>
        <v>33500129.629999995</v>
      </c>
      <c r="V590" s="174">
        <f ca="1">SUM(V567:V589)</f>
        <v>152444973098.28668</v>
      </c>
      <c r="W590" s="191">
        <f ca="1">SUM(W567:W589)</f>
        <v>1833345912.7476878</v>
      </c>
      <c r="X590" s="78">
        <f ca="1">SUM(X567:X589)</f>
        <v>-19551712.065198898</v>
      </c>
      <c r="Y590" s="43"/>
      <c r="AA590" s="192">
        <f t="shared" ref="AA590:BU590" ca="1" si="1672">SUM(AA564:AA589)</f>
        <v>705774.80000000075</v>
      </c>
      <c r="AB590" s="193">
        <f t="shared" ca="1" si="1672"/>
        <v>7422.84</v>
      </c>
      <c r="AC590" s="193">
        <f t="shared" ca="1" si="1672"/>
        <v>-2.3283064365386963E-10</v>
      </c>
      <c r="AD590" s="193">
        <f t="shared" ca="1" si="1672"/>
        <v>0</v>
      </c>
      <c r="AE590" s="193">
        <f t="shared" ca="1" si="1672"/>
        <v>0</v>
      </c>
      <c r="AF590" s="193">
        <f t="shared" ca="1" si="1672"/>
        <v>0</v>
      </c>
      <c r="AG590" s="193">
        <f t="shared" ca="1" si="1672"/>
        <v>79310.679999999993</v>
      </c>
      <c r="AH590" s="193">
        <f t="shared" ca="1" si="1672"/>
        <v>424990.29</v>
      </c>
      <c r="AI590" s="193">
        <f t="shared" ca="1" si="1672"/>
        <v>-5.8207660913467407E-10</v>
      </c>
      <c r="AJ590" s="193">
        <f t="shared" ca="1" si="1672"/>
        <v>0</v>
      </c>
      <c r="AK590" s="193">
        <f t="shared" ca="1" si="1672"/>
        <v>28048128.890000001</v>
      </c>
      <c r="AL590" s="193">
        <f t="shared" ca="1" si="1672"/>
        <v>0</v>
      </c>
      <c r="AM590" s="193">
        <f t="shared" ca="1" si="1672"/>
        <v>4802005.74</v>
      </c>
      <c r="AN590" s="193">
        <f t="shared" ca="1" si="1672"/>
        <v>0</v>
      </c>
      <c r="AO590" s="193">
        <f t="shared" ca="1" si="1672"/>
        <v>0</v>
      </c>
      <c r="AP590" s="193">
        <f t="shared" ca="1" si="1672"/>
        <v>0</v>
      </c>
      <c r="AQ590" s="193">
        <f t="shared" ca="1" si="1672"/>
        <v>0</v>
      </c>
      <c r="AR590" s="193">
        <f t="shared" ca="1" si="1672"/>
        <v>0</v>
      </c>
      <c r="AS590" s="193">
        <f t="shared" ca="1" si="1672"/>
        <v>0</v>
      </c>
      <c r="AT590" s="193">
        <f t="shared" ca="1" si="1672"/>
        <v>0</v>
      </c>
      <c r="AU590" s="193">
        <f t="shared" ca="1" si="1672"/>
        <v>0</v>
      </c>
      <c r="AV590" s="193">
        <f t="shared" ca="1" si="1672"/>
        <v>0</v>
      </c>
      <c r="AW590" s="193">
        <f t="shared" ca="1" si="1672"/>
        <v>0</v>
      </c>
      <c r="AX590" s="193">
        <f t="shared" ca="1" si="1672"/>
        <v>0</v>
      </c>
      <c r="AY590" s="193">
        <f t="shared" ca="1" si="1672"/>
        <v>0</v>
      </c>
      <c r="AZ590" s="193">
        <f t="shared" ca="1" si="1672"/>
        <v>0</v>
      </c>
      <c r="BA590" s="193">
        <f t="shared" ca="1" si="1672"/>
        <v>0</v>
      </c>
      <c r="BB590" s="193">
        <f t="shared" ca="1" si="1672"/>
        <v>0</v>
      </c>
      <c r="BC590" s="193">
        <f t="shared" ca="1" si="1672"/>
        <v>0</v>
      </c>
      <c r="BD590" s="193">
        <f t="shared" ca="1" si="1672"/>
        <v>0</v>
      </c>
      <c r="BE590" s="193">
        <f t="shared" ca="1" si="1672"/>
        <v>0</v>
      </c>
      <c r="BF590" s="193">
        <f t="shared" ca="1" si="1672"/>
        <v>0</v>
      </c>
      <c r="BG590" s="193">
        <f t="shared" ca="1" si="1672"/>
        <v>0</v>
      </c>
      <c r="BH590" s="193">
        <f t="shared" ca="1" si="1672"/>
        <v>0</v>
      </c>
      <c r="BI590" s="193">
        <f t="shared" ca="1" si="1672"/>
        <v>0</v>
      </c>
      <c r="BJ590" s="193">
        <f t="shared" ca="1" si="1672"/>
        <v>0</v>
      </c>
      <c r="BK590" s="193">
        <f t="shared" ca="1" si="1672"/>
        <v>0</v>
      </c>
      <c r="BL590" s="193">
        <f t="shared" ca="1" si="1672"/>
        <v>0</v>
      </c>
      <c r="BM590" s="193">
        <f t="shared" ca="1" si="1672"/>
        <v>0</v>
      </c>
      <c r="BN590" s="193">
        <f t="shared" ca="1" si="1672"/>
        <v>0</v>
      </c>
      <c r="BO590" s="193">
        <f t="shared" ca="1" si="1672"/>
        <v>0</v>
      </c>
      <c r="BP590" s="193">
        <f t="shared" ca="1" si="1672"/>
        <v>0</v>
      </c>
      <c r="BQ590" s="193">
        <f t="shared" ca="1" si="1672"/>
        <v>0</v>
      </c>
      <c r="BR590" s="193">
        <f t="shared" ca="1" si="1672"/>
        <v>0</v>
      </c>
      <c r="BS590" s="193">
        <f t="shared" ca="1" si="1672"/>
        <v>0</v>
      </c>
      <c r="BT590" s="193">
        <f t="shared" ca="1" si="1672"/>
        <v>0</v>
      </c>
      <c r="BU590" s="193">
        <f t="shared" ca="1" si="1672"/>
        <v>0</v>
      </c>
      <c r="BV590" s="193"/>
      <c r="BW590" s="193"/>
      <c r="BX590" s="193"/>
      <c r="BY590" s="193"/>
      <c r="BZ590" s="193"/>
      <c r="CA590" s="193"/>
      <c r="CB590" s="193"/>
      <c r="CC590" s="193"/>
      <c r="CD590" s="193"/>
      <c r="CE590" s="193"/>
      <c r="CF590" s="193"/>
      <c r="CG590" s="193"/>
      <c r="CH590" s="193"/>
      <c r="CI590" s="193"/>
      <c r="CJ590" s="193"/>
      <c r="CK590" s="193"/>
      <c r="CL590" s="193"/>
      <c r="CM590" s="193"/>
      <c r="CN590" s="193"/>
      <c r="CO590" s="193"/>
      <c r="CP590" s="193"/>
      <c r="CQ590" s="193"/>
      <c r="CR590" s="193"/>
      <c r="CS590" s="193"/>
      <c r="CT590" s="193"/>
      <c r="CU590" s="193"/>
      <c r="CV590" s="193"/>
      <c r="CW590" s="193"/>
      <c r="CX590" s="193"/>
      <c r="CY590" s="193"/>
      <c r="CZ590" s="193"/>
      <c r="DA590" s="193"/>
      <c r="DB590" s="193"/>
      <c r="DC590" s="193"/>
      <c r="DD590" s="193"/>
      <c r="DE590" s="193"/>
      <c r="DF590" s="193"/>
      <c r="DG590" s="193"/>
      <c r="DH590" s="193"/>
      <c r="DI590" s="193"/>
      <c r="DJ590" s="193"/>
      <c r="DK590" s="193"/>
      <c r="DL590" s="193"/>
      <c r="DM590" s="193"/>
      <c r="DN590" s="193"/>
      <c r="DO590" s="193"/>
      <c r="DP590" s="193"/>
    </row>
    <row r="591" spans="1:120"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24"/>
      <c r="DC591" s="24"/>
      <c r="DD591" s="24"/>
      <c r="DE591" s="24"/>
      <c r="DF591" s="24"/>
      <c r="DG591" s="24"/>
      <c r="DH591" s="24"/>
      <c r="DI591" s="24"/>
      <c r="DJ591" s="24"/>
      <c r="DK591" s="24"/>
      <c r="DL591" s="24"/>
      <c r="DM591" s="24"/>
      <c r="DN591" s="24"/>
      <c r="DO591" s="24"/>
      <c r="DP591" s="24"/>
    </row>
    <row r="592" spans="1:120" s="194" customFormat="1" hidden="1" outlineLevel="1">
      <c r="A592" s="690">
        <v>1110052095</v>
      </c>
      <c r="B592" s="691" t="s">
        <v>78</v>
      </c>
      <c r="C592" s="692" t="s">
        <v>64</v>
      </c>
      <c r="D592" s="1489"/>
      <c r="E592" s="1490">
        <v>44958</v>
      </c>
      <c r="F592" s="693"/>
      <c r="G592" s="1268"/>
      <c r="H592" s="694"/>
      <c r="I592" s="695"/>
      <c r="J592" s="1483">
        <v>1</v>
      </c>
      <c r="K592" s="1484">
        <v>1</v>
      </c>
      <c r="L592" s="696">
        <v>36656.480000000003</v>
      </c>
      <c r="M592" s="1428">
        <f t="shared" ref="M592:M594" si="1673">+L592*J592</f>
        <v>36656.480000000003</v>
      </c>
      <c r="N592" s="647">
        <f ca="1">IF(OR(E592="",E592&gt;TODAY()),0,IF(ISERROR(VLOOKUP($E592,'TRM BanRep'!$A:$G,7,0)),0,VLOOKUP($E592,'TRM BanRep'!$A:$G,7,0)))</f>
        <v>4648.7</v>
      </c>
      <c r="O592" s="697">
        <f t="shared" ref="O592" ca="1" si="1674">+L592*N592</f>
        <v>170404978.57600001</v>
      </c>
      <c r="P592" s="698"/>
      <c r="Q592" s="698"/>
      <c r="R592" s="699"/>
      <c r="S592" s="699"/>
      <c r="T592" s="700">
        <f t="shared" ref="T592" si="1675">+P592*S592</f>
        <v>0</v>
      </c>
      <c r="U592" s="701">
        <f t="shared" ref="U592:U594" si="1676">+L592+P592+F592</f>
        <v>36656.480000000003</v>
      </c>
      <c r="V592" s="697">
        <f t="shared" ref="V592" ca="1" si="1677">+P592*R592+L592*N592+F592*H592</f>
        <v>170404978.57600001</v>
      </c>
      <c r="W592" s="702">
        <f t="shared" ref="W592" si="1678">IF((-P592*R592)-(-P592*S592)&gt;0,(-P592*R592)-(-P592*S592),0)</f>
        <v>0</v>
      </c>
      <c r="X592" s="703">
        <f t="shared" ref="X592" si="1679">IF((-P592*R592)-(-P592*S592)&lt;0,(-P592*R592)-(-P592*S592),0)</f>
        <v>0</v>
      </c>
      <c r="Y592" s="704"/>
      <c r="Z592" s="1055"/>
      <c r="AA592" s="705">
        <f t="shared" ref="AA592:AP599" si="1680">IF($L592="",IF(OR($P592="",$R592=""),0,IF($R592=AA$6,$Q592,0)),IF($E592=AA$5,$M592,))</f>
        <v>0</v>
      </c>
      <c r="AB592" s="706">
        <f t="shared" si="1680"/>
        <v>0</v>
      </c>
      <c r="AC592" s="706">
        <f t="shared" si="1680"/>
        <v>0</v>
      </c>
      <c r="AD592" s="706">
        <f t="shared" si="1680"/>
        <v>0</v>
      </c>
      <c r="AE592" s="706">
        <f t="shared" si="1680"/>
        <v>0</v>
      </c>
      <c r="AF592" s="706">
        <f t="shared" si="1680"/>
        <v>0</v>
      </c>
      <c r="AG592" s="706">
        <f t="shared" si="1680"/>
        <v>0</v>
      </c>
      <c r="AH592" s="706">
        <f t="shared" si="1680"/>
        <v>0</v>
      </c>
      <c r="AI592" s="706">
        <f t="shared" si="1680"/>
        <v>0</v>
      </c>
      <c r="AJ592" s="706">
        <f t="shared" si="1680"/>
        <v>0</v>
      </c>
      <c r="AK592" s="706">
        <f t="shared" si="1680"/>
        <v>0</v>
      </c>
      <c r="AL592" s="731">
        <f t="shared" si="1680"/>
        <v>0</v>
      </c>
      <c r="AM592" s="706">
        <f t="shared" si="1680"/>
        <v>0</v>
      </c>
      <c r="AN592" s="706">
        <f t="shared" si="1680"/>
        <v>36656.480000000003</v>
      </c>
      <c r="AO592" s="706">
        <f t="shared" si="1680"/>
        <v>0</v>
      </c>
      <c r="AP592" s="706">
        <f t="shared" si="1680"/>
        <v>0</v>
      </c>
      <c r="AQ592" s="706">
        <f t="shared" ref="AQ592:BF599" si="1681">IF($L592="",IF(OR($P592="",$R592=""),0,IF($R592=AQ$6,$Q592,0)),IF($E592=AQ$5,$M592,))</f>
        <v>0</v>
      </c>
      <c r="AR592" s="706">
        <f t="shared" si="1681"/>
        <v>0</v>
      </c>
      <c r="AS592" s="706">
        <f t="shared" si="1681"/>
        <v>0</v>
      </c>
      <c r="AT592" s="706">
        <f t="shared" si="1681"/>
        <v>0</v>
      </c>
      <c r="AU592" s="706">
        <f t="shared" si="1681"/>
        <v>0</v>
      </c>
      <c r="AV592" s="706">
        <f t="shared" si="1681"/>
        <v>0</v>
      </c>
      <c r="AW592" s="706">
        <f t="shared" si="1681"/>
        <v>0</v>
      </c>
      <c r="AX592" s="706">
        <f t="shared" si="1681"/>
        <v>0</v>
      </c>
      <c r="AY592" s="706">
        <f t="shared" si="1681"/>
        <v>0</v>
      </c>
      <c r="AZ592" s="706">
        <f t="shared" si="1681"/>
        <v>0</v>
      </c>
      <c r="BA592" s="706">
        <f t="shared" si="1681"/>
        <v>0</v>
      </c>
      <c r="BB592" s="706">
        <f t="shared" si="1681"/>
        <v>0</v>
      </c>
      <c r="BC592" s="706">
        <f t="shared" si="1681"/>
        <v>0</v>
      </c>
      <c r="BD592" s="706">
        <f t="shared" si="1681"/>
        <v>0</v>
      </c>
      <c r="BE592" s="706">
        <f t="shared" si="1681"/>
        <v>0</v>
      </c>
      <c r="BF592" s="706">
        <f t="shared" si="1681"/>
        <v>0</v>
      </c>
      <c r="BG592" s="706">
        <f t="shared" ref="BG592:BV599" si="1682">IF($L592="",IF(OR($P592="",$R592=""),0,IF($R592=BG$6,$Q592,0)),IF($E592=BG$5,$M592,))</f>
        <v>0</v>
      </c>
      <c r="BH592" s="706">
        <f t="shared" si="1682"/>
        <v>0</v>
      </c>
      <c r="BI592" s="706">
        <f t="shared" si="1682"/>
        <v>0</v>
      </c>
      <c r="BJ592" s="706">
        <f t="shared" si="1682"/>
        <v>0</v>
      </c>
      <c r="BK592" s="706">
        <f t="shared" si="1682"/>
        <v>0</v>
      </c>
      <c r="BL592" s="706">
        <f t="shared" si="1682"/>
        <v>0</v>
      </c>
      <c r="BM592" s="706">
        <f t="shared" si="1682"/>
        <v>0</v>
      </c>
      <c r="BN592" s="706">
        <f t="shared" si="1682"/>
        <v>0</v>
      </c>
      <c r="BO592" s="706">
        <f t="shared" si="1682"/>
        <v>0</v>
      </c>
      <c r="BP592" s="706">
        <f t="shared" si="1682"/>
        <v>0</v>
      </c>
      <c r="BQ592" s="706">
        <f t="shared" si="1682"/>
        <v>0</v>
      </c>
      <c r="BR592" s="706">
        <f t="shared" si="1682"/>
        <v>0</v>
      </c>
      <c r="BS592" s="706">
        <f t="shared" si="1682"/>
        <v>0</v>
      </c>
      <c r="BT592" s="706">
        <f t="shared" si="1682"/>
        <v>0</v>
      </c>
      <c r="BU592" s="706">
        <f t="shared" si="1682"/>
        <v>0</v>
      </c>
      <c r="BV592" s="706">
        <f t="shared" si="1682"/>
        <v>0</v>
      </c>
      <c r="BW592" s="706">
        <f t="shared" ref="BW592:CL599" si="1683">IF($L592="",IF(OR($P592="",$R592=""),0,IF($R592=BW$6,$Q592,0)),IF($E592=BW$5,$M592,))</f>
        <v>0</v>
      </c>
      <c r="BX592" s="706">
        <f t="shared" si="1683"/>
        <v>0</v>
      </c>
      <c r="BY592" s="706">
        <f t="shared" si="1683"/>
        <v>0</v>
      </c>
      <c r="BZ592" s="706">
        <f t="shared" si="1683"/>
        <v>0</v>
      </c>
      <c r="CA592" s="706">
        <f t="shared" si="1683"/>
        <v>0</v>
      </c>
      <c r="CB592" s="706">
        <f t="shared" si="1683"/>
        <v>0</v>
      </c>
      <c r="CC592" s="706">
        <f t="shared" si="1683"/>
        <v>0</v>
      </c>
      <c r="CD592" s="706">
        <f t="shared" si="1683"/>
        <v>0</v>
      </c>
      <c r="CE592" s="706">
        <f t="shared" si="1683"/>
        <v>0</v>
      </c>
      <c r="CF592" s="706">
        <f t="shared" si="1683"/>
        <v>0</v>
      </c>
      <c r="CG592" s="706">
        <f t="shared" si="1683"/>
        <v>0</v>
      </c>
      <c r="CH592" s="706">
        <f t="shared" si="1683"/>
        <v>0</v>
      </c>
      <c r="CI592" s="706">
        <f t="shared" si="1683"/>
        <v>0</v>
      </c>
      <c r="CJ592" s="706">
        <f t="shared" si="1683"/>
        <v>0</v>
      </c>
      <c r="CK592" s="706">
        <f t="shared" si="1683"/>
        <v>0</v>
      </c>
      <c r="CL592" s="706">
        <f t="shared" si="1683"/>
        <v>0</v>
      </c>
      <c r="CM592" s="706">
        <f t="shared" ref="CM592:DB599" si="1684">IF($L592="",IF(OR($P592="",$R592=""),0,IF($R592=CM$6,$Q592,0)),IF($E592=CM$5,$M592,))</f>
        <v>0</v>
      </c>
      <c r="CN592" s="706">
        <f t="shared" si="1684"/>
        <v>0</v>
      </c>
      <c r="CO592" s="706">
        <f t="shared" si="1684"/>
        <v>0</v>
      </c>
      <c r="CP592" s="706">
        <f t="shared" si="1684"/>
        <v>0</v>
      </c>
      <c r="CQ592" s="706">
        <f t="shared" si="1684"/>
        <v>0</v>
      </c>
      <c r="CR592" s="706">
        <f t="shared" si="1684"/>
        <v>0</v>
      </c>
      <c r="CS592" s="706">
        <f t="shared" si="1684"/>
        <v>0</v>
      </c>
      <c r="CT592" s="706">
        <f t="shared" si="1684"/>
        <v>0</v>
      </c>
      <c r="CU592" s="706">
        <f t="shared" si="1684"/>
        <v>0</v>
      </c>
      <c r="CV592" s="706">
        <f t="shared" si="1684"/>
        <v>0</v>
      </c>
      <c r="CW592" s="706">
        <f t="shared" si="1684"/>
        <v>0</v>
      </c>
      <c r="CX592" s="706">
        <f t="shared" si="1684"/>
        <v>0</v>
      </c>
      <c r="CY592" s="706">
        <f t="shared" si="1684"/>
        <v>0</v>
      </c>
      <c r="CZ592" s="706">
        <f t="shared" si="1684"/>
        <v>0</v>
      </c>
      <c r="DA592" s="706">
        <f t="shared" si="1684"/>
        <v>0</v>
      </c>
      <c r="DB592" s="706">
        <f t="shared" si="1684"/>
        <v>0</v>
      </c>
      <c r="DC592" s="706">
        <f t="shared" ref="DC592:DP599" si="1685">IF($L592="",IF(OR($P592="",$R592=""),0,IF($R592=DC$6,$Q592,0)),IF($E592=DC$5,$M592,))</f>
        <v>0</v>
      </c>
      <c r="DD592" s="706">
        <f t="shared" si="1685"/>
        <v>0</v>
      </c>
      <c r="DE592" s="706">
        <f t="shared" si="1685"/>
        <v>0</v>
      </c>
      <c r="DF592" s="706">
        <f t="shared" si="1685"/>
        <v>0</v>
      </c>
      <c r="DG592" s="706">
        <f t="shared" si="1685"/>
        <v>0</v>
      </c>
      <c r="DH592" s="706">
        <f t="shared" si="1685"/>
        <v>0</v>
      </c>
      <c r="DI592" s="706">
        <f t="shared" si="1685"/>
        <v>0</v>
      </c>
      <c r="DJ592" s="706">
        <f t="shared" si="1685"/>
        <v>0</v>
      </c>
      <c r="DK592" s="706">
        <f t="shared" si="1685"/>
        <v>0</v>
      </c>
      <c r="DL592" s="706">
        <f t="shared" si="1685"/>
        <v>0</v>
      </c>
      <c r="DM592" s="706">
        <f t="shared" si="1685"/>
        <v>0</v>
      </c>
      <c r="DN592" s="706">
        <f t="shared" si="1685"/>
        <v>0</v>
      </c>
      <c r="DO592" s="706">
        <f t="shared" si="1685"/>
        <v>0</v>
      </c>
      <c r="DP592" s="706">
        <f t="shared" si="1685"/>
        <v>0</v>
      </c>
    </row>
    <row r="593" spans="1:120" s="165" customFormat="1" hidden="1" outlineLevel="1">
      <c r="A593" s="2422">
        <v>1110052090</v>
      </c>
      <c r="B593" s="2423" t="s">
        <v>2211</v>
      </c>
      <c r="C593" s="2424" t="s">
        <v>64</v>
      </c>
      <c r="D593" s="2425"/>
      <c r="E593" s="2426">
        <v>44973</v>
      </c>
      <c r="F593" s="2427"/>
      <c r="G593" s="2428"/>
      <c r="H593" s="2429"/>
      <c r="I593" s="2430"/>
      <c r="J593" s="2431">
        <v>1</v>
      </c>
      <c r="K593" s="2432">
        <v>1</v>
      </c>
      <c r="L593" s="2433"/>
      <c r="M593" s="2434">
        <f t="shared" si="1673"/>
        <v>0</v>
      </c>
      <c r="N593" s="2435">
        <f ca="1">IF(OR(E593="",E593&gt;TODAY()),0,IF(ISERROR(VLOOKUP($E593,'TRM BanRep'!$A:$G,7,0)),0,VLOOKUP($E593,'TRM BanRep'!$A:$G,7,0)))</f>
        <v>4878.24</v>
      </c>
      <c r="O593" s="2436">
        <f t="shared" ref="O593:O594" ca="1" si="1686">+L593*J593*N593</f>
        <v>0</v>
      </c>
      <c r="P593" s="2437">
        <v>-23</v>
      </c>
      <c r="Q593" s="2437">
        <f t="shared" ref="Q593:Q594" si="1687">+P593*K593</f>
        <v>-23</v>
      </c>
      <c r="R593" s="2438">
        <v>4760.6099999999997</v>
      </c>
      <c r="S593" s="2438">
        <f ca="1">IF(OR(E593="",E593&gt;TODAY()),0,IF(ISERROR(VLOOKUP($E593,'TRM BanRep'!$A:$G,7,0)),0,VLOOKUP($E593,'TRM BanRep'!$A:$G,7,0)))</f>
        <v>4878.24</v>
      </c>
      <c r="T593" s="2439">
        <f t="shared" ref="T593:T594" ca="1" si="1688">+P593*K593*S593</f>
        <v>-112199.51999999999</v>
      </c>
      <c r="U593" s="1158">
        <f t="shared" si="1676"/>
        <v>-23</v>
      </c>
      <c r="V593" s="2440">
        <f t="shared" ref="V593:V594" ca="1" si="1689">+P593*J593*R593+L593*J593*N593+F593*K593*H593</f>
        <v>-109494.03</v>
      </c>
      <c r="W593" s="2441">
        <f t="shared" ref="W593:W594" ca="1" si="1690">IF((-P593*J593*R593)-(-P593*K593*S593)&gt;0,(-P593*J593*R593)-(-P593*K593*S593),0)</f>
        <v>0</v>
      </c>
      <c r="X593" s="2442">
        <f t="shared" ref="X593:X594" ca="1" si="1691">IF((-P593*J593*R593)-(-P593*K593*S593)&lt;0,(-P593*J593*R593)-(-P593*K593*S593),0)</f>
        <v>-2705.4899999999907</v>
      </c>
      <c r="Y593" s="636"/>
      <c r="Z593" s="1055"/>
      <c r="AA593" s="2329">
        <f t="shared" ca="1" si="1680"/>
        <v>-23</v>
      </c>
      <c r="AB593" s="2158">
        <f t="shared" ca="1" si="1680"/>
        <v>0</v>
      </c>
      <c r="AC593" s="2158">
        <f t="shared" ca="1" si="1680"/>
        <v>0</v>
      </c>
      <c r="AD593" s="2158">
        <f t="shared" ca="1" si="1680"/>
        <v>0</v>
      </c>
      <c r="AE593" s="2158">
        <f t="shared" ca="1" si="1680"/>
        <v>0</v>
      </c>
      <c r="AF593" s="2120">
        <f t="shared" ca="1" si="1680"/>
        <v>0</v>
      </c>
      <c r="AG593" s="2120">
        <f t="shared" ca="1" si="1680"/>
        <v>0</v>
      </c>
      <c r="AH593" s="2120">
        <f t="shared" ca="1" si="1680"/>
        <v>0</v>
      </c>
      <c r="AI593" s="2120">
        <f t="shared" ca="1" si="1680"/>
        <v>0</v>
      </c>
      <c r="AJ593" s="2120">
        <f t="shared" ca="1" si="1680"/>
        <v>0</v>
      </c>
      <c r="AK593" s="2120">
        <f t="shared" ca="1" si="1680"/>
        <v>0</v>
      </c>
      <c r="AL593" s="2314">
        <f t="shared" ca="1" si="1680"/>
        <v>0</v>
      </c>
      <c r="AM593" s="2120">
        <f t="shared" ca="1" si="1680"/>
        <v>0</v>
      </c>
      <c r="AN593" s="2120">
        <f t="shared" ca="1" si="1680"/>
        <v>0</v>
      </c>
      <c r="AO593" s="2120">
        <f t="shared" ca="1" si="1680"/>
        <v>0</v>
      </c>
      <c r="AP593" s="2120">
        <f t="shared" ca="1" si="1680"/>
        <v>0</v>
      </c>
      <c r="AQ593" s="2120">
        <f t="shared" ca="1" si="1681"/>
        <v>0</v>
      </c>
      <c r="AR593" s="2120">
        <f t="shared" ca="1" si="1681"/>
        <v>0</v>
      </c>
      <c r="AS593" s="2120">
        <f t="shared" ca="1" si="1681"/>
        <v>0</v>
      </c>
      <c r="AT593" s="2120">
        <f t="shared" ca="1" si="1681"/>
        <v>0</v>
      </c>
      <c r="AU593" s="2120">
        <f t="shared" ca="1" si="1681"/>
        <v>0</v>
      </c>
      <c r="AV593" s="2120">
        <f t="shared" ca="1" si="1681"/>
        <v>0</v>
      </c>
      <c r="AW593" s="2120">
        <f t="shared" ca="1" si="1681"/>
        <v>0</v>
      </c>
      <c r="AX593" s="2120">
        <f t="shared" ca="1" si="1681"/>
        <v>0</v>
      </c>
      <c r="AY593" s="2120">
        <f t="shared" ca="1" si="1681"/>
        <v>0</v>
      </c>
      <c r="AZ593" s="2120">
        <f t="shared" ca="1" si="1681"/>
        <v>0</v>
      </c>
      <c r="BA593" s="2120">
        <f t="shared" ca="1" si="1681"/>
        <v>0</v>
      </c>
      <c r="BB593" s="2120">
        <f t="shared" ca="1" si="1681"/>
        <v>0</v>
      </c>
      <c r="BC593" s="2120">
        <f t="shared" ca="1" si="1681"/>
        <v>0</v>
      </c>
      <c r="BD593" s="2120">
        <f t="shared" ca="1" si="1681"/>
        <v>0</v>
      </c>
      <c r="BE593" s="2120">
        <f t="shared" ca="1" si="1681"/>
        <v>0</v>
      </c>
      <c r="BF593" s="2120">
        <f t="shared" ca="1" si="1681"/>
        <v>0</v>
      </c>
      <c r="BG593" s="2120">
        <f t="shared" ca="1" si="1682"/>
        <v>0</v>
      </c>
      <c r="BH593" s="2120">
        <f t="shared" ca="1" si="1682"/>
        <v>0</v>
      </c>
      <c r="BI593" s="2120">
        <f t="shared" ca="1" si="1682"/>
        <v>0</v>
      </c>
      <c r="BJ593" s="2120">
        <f t="shared" ca="1" si="1682"/>
        <v>0</v>
      </c>
      <c r="BK593" s="2120">
        <f t="shared" ca="1" si="1682"/>
        <v>0</v>
      </c>
      <c r="BL593" s="2120">
        <f t="shared" ca="1" si="1682"/>
        <v>0</v>
      </c>
      <c r="BM593" s="2120">
        <f t="shared" ca="1" si="1682"/>
        <v>0</v>
      </c>
      <c r="BN593" s="2120">
        <f t="shared" ca="1" si="1682"/>
        <v>0</v>
      </c>
      <c r="BO593" s="2120">
        <f t="shared" ca="1" si="1682"/>
        <v>0</v>
      </c>
      <c r="BP593" s="2120">
        <f t="shared" ca="1" si="1682"/>
        <v>0</v>
      </c>
      <c r="BQ593" s="2120">
        <f t="shared" ca="1" si="1682"/>
        <v>0</v>
      </c>
      <c r="BR593" s="2120">
        <f t="shared" ca="1" si="1682"/>
        <v>0</v>
      </c>
      <c r="BS593" s="2120">
        <f t="shared" ca="1" si="1682"/>
        <v>0</v>
      </c>
      <c r="BT593" s="2120">
        <f t="shared" ca="1" si="1682"/>
        <v>0</v>
      </c>
      <c r="BU593" s="2120">
        <f t="shared" ca="1" si="1682"/>
        <v>0</v>
      </c>
      <c r="BV593" s="2120">
        <f t="shared" ca="1" si="1682"/>
        <v>0</v>
      </c>
      <c r="BW593" s="2120">
        <f t="shared" ca="1" si="1683"/>
        <v>0</v>
      </c>
      <c r="BX593" s="2120">
        <f t="shared" ca="1" si="1683"/>
        <v>0</v>
      </c>
      <c r="BY593" s="2120">
        <f t="shared" ca="1" si="1683"/>
        <v>0</v>
      </c>
      <c r="BZ593" s="2120">
        <f t="shared" ca="1" si="1683"/>
        <v>0</v>
      </c>
      <c r="CA593" s="2120">
        <f t="shared" ca="1" si="1683"/>
        <v>0</v>
      </c>
      <c r="CB593" s="2120">
        <f t="shared" ca="1" si="1683"/>
        <v>0</v>
      </c>
      <c r="CC593" s="2120">
        <f t="shared" ca="1" si="1683"/>
        <v>0</v>
      </c>
      <c r="CD593" s="2120">
        <f t="shared" ca="1" si="1683"/>
        <v>0</v>
      </c>
      <c r="CE593" s="2120">
        <f t="shared" ca="1" si="1683"/>
        <v>0</v>
      </c>
      <c r="CF593" s="2120">
        <f t="shared" ca="1" si="1683"/>
        <v>0</v>
      </c>
      <c r="CG593" s="2120">
        <f t="shared" ca="1" si="1683"/>
        <v>0</v>
      </c>
      <c r="CH593" s="2120">
        <f t="shared" ca="1" si="1683"/>
        <v>0</v>
      </c>
      <c r="CI593" s="2120">
        <f t="shared" ca="1" si="1683"/>
        <v>0</v>
      </c>
      <c r="CJ593" s="2120">
        <f t="shared" ca="1" si="1683"/>
        <v>0</v>
      </c>
      <c r="CK593" s="2120">
        <f t="shared" ca="1" si="1683"/>
        <v>0</v>
      </c>
      <c r="CL593" s="2120">
        <f t="shared" ca="1" si="1683"/>
        <v>0</v>
      </c>
      <c r="CM593" s="2120">
        <f t="shared" ca="1" si="1684"/>
        <v>0</v>
      </c>
      <c r="CN593" s="2120">
        <f t="shared" ca="1" si="1684"/>
        <v>0</v>
      </c>
      <c r="CO593" s="2120">
        <f t="shared" ca="1" si="1684"/>
        <v>0</v>
      </c>
      <c r="CP593" s="2120">
        <f t="shared" ca="1" si="1684"/>
        <v>0</v>
      </c>
      <c r="CQ593" s="2120">
        <f t="shared" ca="1" si="1684"/>
        <v>0</v>
      </c>
      <c r="CR593" s="2120">
        <f t="shared" ca="1" si="1684"/>
        <v>0</v>
      </c>
      <c r="CS593" s="2120">
        <f t="shared" ca="1" si="1684"/>
        <v>0</v>
      </c>
      <c r="CT593" s="2120">
        <f t="shared" ca="1" si="1684"/>
        <v>0</v>
      </c>
      <c r="CU593" s="2120">
        <f t="shared" ca="1" si="1684"/>
        <v>0</v>
      </c>
      <c r="CV593" s="2120">
        <f t="shared" ca="1" si="1684"/>
        <v>0</v>
      </c>
      <c r="CW593" s="2120">
        <f t="shared" ca="1" si="1684"/>
        <v>0</v>
      </c>
      <c r="CX593" s="2120">
        <f t="shared" ca="1" si="1684"/>
        <v>0</v>
      </c>
      <c r="CY593" s="2120">
        <f t="shared" ca="1" si="1684"/>
        <v>0</v>
      </c>
      <c r="CZ593" s="2120">
        <f t="shared" ca="1" si="1684"/>
        <v>0</v>
      </c>
      <c r="DA593" s="2120">
        <f t="shared" ca="1" si="1684"/>
        <v>0</v>
      </c>
      <c r="DB593" s="2120">
        <f t="shared" ca="1" si="1684"/>
        <v>0</v>
      </c>
      <c r="DC593" s="2120">
        <f t="shared" ca="1" si="1685"/>
        <v>0</v>
      </c>
      <c r="DD593" s="2120">
        <f t="shared" ca="1" si="1685"/>
        <v>0</v>
      </c>
      <c r="DE593" s="2120">
        <f t="shared" ca="1" si="1685"/>
        <v>0</v>
      </c>
      <c r="DF593" s="2120">
        <f t="shared" ca="1" si="1685"/>
        <v>0</v>
      </c>
      <c r="DG593" s="2120">
        <f t="shared" ca="1" si="1685"/>
        <v>0</v>
      </c>
      <c r="DH593" s="2120">
        <f t="shared" ca="1" si="1685"/>
        <v>0</v>
      </c>
      <c r="DI593" s="2120">
        <f t="shared" ca="1" si="1685"/>
        <v>0</v>
      </c>
      <c r="DJ593" s="2120">
        <f t="shared" ca="1" si="1685"/>
        <v>0</v>
      </c>
      <c r="DK593" s="2120">
        <f t="shared" ca="1" si="1685"/>
        <v>0</v>
      </c>
      <c r="DL593" s="2120">
        <f t="shared" ca="1" si="1685"/>
        <v>0</v>
      </c>
      <c r="DM593" s="2120">
        <f t="shared" ca="1" si="1685"/>
        <v>0</v>
      </c>
      <c r="DN593" s="2120">
        <f t="shared" ca="1" si="1685"/>
        <v>0</v>
      </c>
      <c r="DO593" s="2120">
        <f t="shared" ca="1" si="1685"/>
        <v>0</v>
      </c>
      <c r="DP593" s="2120">
        <f t="shared" ca="1" si="1685"/>
        <v>0</v>
      </c>
    </row>
    <row r="594" spans="1:120" s="165" customFormat="1" hidden="1" outlineLevel="1">
      <c r="A594" s="57">
        <v>1110052090</v>
      </c>
      <c r="B594" s="521" t="s">
        <v>2219</v>
      </c>
      <c r="C594" s="2419" t="s">
        <v>64</v>
      </c>
      <c r="D594" s="2420"/>
      <c r="E594" s="2421">
        <v>44981</v>
      </c>
      <c r="F594" s="58"/>
      <c r="G594" s="1252"/>
      <c r="H594" s="522"/>
      <c r="I594" s="523"/>
      <c r="J594" s="2416">
        <v>1</v>
      </c>
      <c r="K594" s="2417">
        <v>1</v>
      </c>
      <c r="L594" s="1191">
        <v>2772999.6</v>
      </c>
      <c r="M594" s="1464">
        <f t="shared" si="1673"/>
        <v>2772999.6</v>
      </c>
      <c r="N594" s="524">
        <f ca="1">IF(OR(E594="",E594&gt;TODAY()),0,IF(ISERROR(VLOOKUP($E594,'TRM BanRep'!$A:$G,7,0)),0,VLOOKUP($E594,'TRM BanRep'!$A:$G,7,0)))</f>
        <v>4853.8999999999996</v>
      </c>
      <c r="O594" s="525">
        <f t="shared" ca="1" si="1686"/>
        <v>13459862758.439999</v>
      </c>
      <c r="P594" s="526"/>
      <c r="Q594" s="526">
        <f t="shared" si="1687"/>
        <v>0</v>
      </c>
      <c r="R594" s="527"/>
      <c r="S594" s="527">
        <f ca="1">IF(OR(E594="",E594&gt;TODAY()),0,IF(ISERROR(VLOOKUP($E594,'TRM BanRep'!$A:$G,7,0)),0,VLOOKUP($E594,'TRM BanRep'!$A:$G,7,0)))</f>
        <v>4853.8999999999996</v>
      </c>
      <c r="T594" s="528">
        <f t="shared" ca="1" si="1688"/>
        <v>0</v>
      </c>
      <c r="U594" s="1121">
        <f t="shared" si="1676"/>
        <v>2772999.6</v>
      </c>
      <c r="V594" s="529">
        <f t="shared" ca="1" si="1689"/>
        <v>13459862758.439999</v>
      </c>
      <c r="W594" s="1453">
        <f t="shared" ca="1" si="1690"/>
        <v>0</v>
      </c>
      <c r="X594" s="530">
        <f t="shared" ca="1" si="1691"/>
        <v>0</v>
      </c>
      <c r="Y594" s="531"/>
      <c r="Z594" s="1055"/>
      <c r="AA594" s="2329">
        <f t="shared" si="1680"/>
        <v>0</v>
      </c>
      <c r="AB594" s="2158">
        <f t="shared" si="1680"/>
        <v>0</v>
      </c>
      <c r="AC594" s="2158">
        <f t="shared" si="1680"/>
        <v>0</v>
      </c>
      <c r="AD594" s="2158">
        <f t="shared" si="1680"/>
        <v>0</v>
      </c>
      <c r="AE594" s="2158">
        <f t="shared" si="1680"/>
        <v>0</v>
      </c>
      <c r="AF594" s="2120">
        <f t="shared" si="1680"/>
        <v>0</v>
      </c>
      <c r="AG594" s="2120">
        <f t="shared" si="1680"/>
        <v>0</v>
      </c>
      <c r="AH594" s="2120">
        <f t="shared" si="1680"/>
        <v>0</v>
      </c>
      <c r="AI594" s="2120">
        <f t="shared" si="1680"/>
        <v>0</v>
      </c>
      <c r="AJ594" s="2120">
        <f t="shared" si="1680"/>
        <v>0</v>
      </c>
      <c r="AK594" s="2120">
        <f t="shared" si="1680"/>
        <v>0</v>
      </c>
      <c r="AL594" s="2314">
        <f t="shared" si="1680"/>
        <v>0</v>
      </c>
      <c r="AM594" s="2120">
        <f t="shared" si="1680"/>
        <v>0</v>
      </c>
      <c r="AN594" s="2120">
        <f t="shared" si="1680"/>
        <v>0</v>
      </c>
      <c r="AO594" s="2120">
        <f t="shared" si="1680"/>
        <v>2772999.6</v>
      </c>
      <c r="AP594" s="2120">
        <f t="shared" si="1680"/>
        <v>0</v>
      </c>
      <c r="AQ594" s="2120">
        <f t="shared" si="1681"/>
        <v>0</v>
      </c>
      <c r="AR594" s="2120">
        <f t="shared" si="1681"/>
        <v>0</v>
      </c>
      <c r="AS594" s="2120">
        <f t="shared" si="1681"/>
        <v>0</v>
      </c>
      <c r="AT594" s="2120">
        <f t="shared" si="1681"/>
        <v>0</v>
      </c>
      <c r="AU594" s="2120">
        <f t="shared" si="1681"/>
        <v>0</v>
      </c>
      <c r="AV594" s="2120">
        <f t="shared" si="1681"/>
        <v>0</v>
      </c>
      <c r="AW594" s="2120">
        <f t="shared" si="1681"/>
        <v>0</v>
      </c>
      <c r="AX594" s="2120">
        <f t="shared" si="1681"/>
        <v>0</v>
      </c>
      <c r="AY594" s="2120">
        <f t="shared" si="1681"/>
        <v>0</v>
      </c>
      <c r="AZ594" s="2120">
        <f t="shared" si="1681"/>
        <v>0</v>
      </c>
      <c r="BA594" s="2120">
        <f t="shared" si="1681"/>
        <v>0</v>
      </c>
      <c r="BB594" s="2120">
        <f t="shared" si="1681"/>
        <v>0</v>
      </c>
      <c r="BC594" s="2120">
        <f t="shared" si="1681"/>
        <v>0</v>
      </c>
      <c r="BD594" s="2120">
        <f t="shared" si="1681"/>
        <v>0</v>
      </c>
      <c r="BE594" s="2120">
        <f t="shared" si="1681"/>
        <v>0</v>
      </c>
      <c r="BF594" s="2120">
        <f t="shared" si="1681"/>
        <v>0</v>
      </c>
      <c r="BG594" s="2120">
        <f t="shared" si="1682"/>
        <v>0</v>
      </c>
      <c r="BH594" s="2120">
        <f t="shared" si="1682"/>
        <v>0</v>
      </c>
      <c r="BI594" s="2120">
        <f t="shared" si="1682"/>
        <v>0</v>
      </c>
      <c r="BJ594" s="2120">
        <f t="shared" si="1682"/>
        <v>0</v>
      </c>
      <c r="BK594" s="2120">
        <f t="shared" si="1682"/>
        <v>0</v>
      </c>
      <c r="BL594" s="2120">
        <f t="shared" si="1682"/>
        <v>0</v>
      </c>
      <c r="BM594" s="2120">
        <f t="shared" si="1682"/>
        <v>0</v>
      </c>
      <c r="BN594" s="2120">
        <f t="shared" si="1682"/>
        <v>0</v>
      </c>
      <c r="BO594" s="2120">
        <f t="shared" si="1682"/>
        <v>0</v>
      </c>
      <c r="BP594" s="2120">
        <f t="shared" si="1682"/>
        <v>0</v>
      </c>
      <c r="BQ594" s="2120">
        <f t="shared" si="1682"/>
        <v>0</v>
      </c>
      <c r="BR594" s="2120">
        <f t="shared" si="1682"/>
        <v>0</v>
      </c>
      <c r="BS594" s="2120">
        <f t="shared" si="1682"/>
        <v>0</v>
      </c>
      <c r="BT594" s="2120">
        <f t="shared" si="1682"/>
        <v>0</v>
      </c>
      <c r="BU594" s="2120">
        <f t="shared" si="1682"/>
        <v>0</v>
      </c>
      <c r="BV594" s="2120">
        <f t="shared" si="1682"/>
        <v>0</v>
      </c>
      <c r="BW594" s="2120">
        <f t="shared" si="1683"/>
        <v>0</v>
      </c>
      <c r="BX594" s="2120">
        <f t="shared" si="1683"/>
        <v>0</v>
      </c>
      <c r="BY594" s="2120">
        <f t="shared" si="1683"/>
        <v>0</v>
      </c>
      <c r="BZ594" s="2120">
        <f t="shared" si="1683"/>
        <v>0</v>
      </c>
      <c r="CA594" s="2120">
        <f t="shared" si="1683"/>
        <v>0</v>
      </c>
      <c r="CB594" s="2120">
        <f t="shared" si="1683"/>
        <v>0</v>
      </c>
      <c r="CC594" s="2120">
        <f t="shared" si="1683"/>
        <v>0</v>
      </c>
      <c r="CD594" s="2120">
        <f t="shared" si="1683"/>
        <v>0</v>
      </c>
      <c r="CE594" s="2120">
        <f t="shared" si="1683"/>
        <v>0</v>
      </c>
      <c r="CF594" s="2120">
        <f t="shared" si="1683"/>
        <v>0</v>
      </c>
      <c r="CG594" s="2120">
        <f t="shared" si="1683"/>
        <v>0</v>
      </c>
      <c r="CH594" s="2120">
        <f t="shared" si="1683"/>
        <v>0</v>
      </c>
      <c r="CI594" s="2120">
        <f t="shared" si="1683"/>
        <v>0</v>
      </c>
      <c r="CJ594" s="2120">
        <f t="shared" si="1683"/>
        <v>0</v>
      </c>
      <c r="CK594" s="2120">
        <f t="shared" si="1683"/>
        <v>0</v>
      </c>
      <c r="CL594" s="2120">
        <f t="shared" si="1683"/>
        <v>0</v>
      </c>
      <c r="CM594" s="2120">
        <f t="shared" si="1684"/>
        <v>0</v>
      </c>
      <c r="CN594" s="2120">
        <f t="shared" si="1684"/>
        <v>0</v>
      </c>
      <c r="CO594" s="2120">
        <f t="shared" si="1684"/>
        <v>0</v>
      </c>
      <c r="CP594" s="2120">
        <f t="shared" si="1684"/>
        <v>0</v>
      </c>
      <c r="CQ594" s="2120">
        <f t="shared" si="1684"/>
        <v>0</v>
      </c>
      <c r="CR594" s="2120">
        <f t="shared" si="1684"/>
        <v>0</v>
      </c>
      <c r="CS594" s="2120">
        <f t="shared" si="1684"/>
        <v>0</v>
      </c>
      <c r="CT594" s="2120">
        <f t="shared" si="1684"/>
        <v>0</v>
      </c>
      <c r="CU594" s="2120">
        <f t="shared" si="1684"/>
        <v>0</v>
      </c>
      <c r="CV594" s="2120">
        <f t="shared" si="1684"/>
        <v>0</v>
      </c>
      <c r="CW594" s="2120">
        <f t="shared" si="1684"/>
        <v>0</v>
      </c>
      <c r="CX594" s="2120">
        <f t="shared" si="1684"/>
        <v>0</v>
      </c>
      <c r="CY594" s="2120">
        <f t="shared" si="1684"/>
        <v>0</v>
      </c>
      <c r="CZ594" s="2120">
        <f t="shared" si="1684"/>
        <v>0</v>
      </c>
      <c r="DA594" s="2120">
        <f t="shared" si="1684"/>
        <v>0</v>
      </c>
      <c r="DB594" s="2120">
        <f t="shared" si="1684"/>
        <v>0</v>
      </c>
      <c r="DC594" s="2120">
        <f t="shared" si="1685"/>
        <v>0</v>
      </c>
      <c r="DD594" s="2120">
        <f t="shared" si="1685"/>
        <v>0</v>
      </c>
      <c r="DE594" s="2120">
        <f t="shared" si="1685"/>
        <v>0</v>
      </c>
      <c r="DF594" s="2120">
        <f t="shared" si="1685"/>
        <v>0</v>
      </c>
      <c r="DG594" s="2120">
        <f t="shared" si="1685"/>
        <v>0</v>
      </c>
      <c r="DH594" s="2120">
        <f t="shared" si="1685"/>
        <v>0</v>
      </c>
      <c r="DI594" s="2120">
        <f t="shared" si="1685"/>
        <v>0</v>
      </c>
      <c r="DJ594" s="2120">
        <f t="shared" si="1685"/>
        <v>0</v>
      </c>
      <c r="DK594" s="2120">
        <f t="shared" si="1685"/>
        <v>0</v>
      </c>
      <c r="DL594" s="2120">
        <f t="shared" si="1685"/>
        <v>0</v>
      </c>
      <c r="DM594" s="2120">
        <f t="shared" si="1685"/>
        <v>0</v>
      </c>
      <c r="DN594" s="2120">
        <f t="shared" si="1685"/>
        <v>0</v>
      </c>
      <c r="DO594" s="2120">
        <f t="shared" si="1685"/>
        <v>0</v>
      </c>
      <c r="DP594" s="2120">
        <f t="shared" si="1685"/>
        <v>0</v>
      </c>
    </row>
    <row r="595" spans="1:120" s="165" customFormat="1" hidden="1" outlineLevel="1">
      <c r="A595" s="1221">
        <v>1110052090</v>
      </c>
      <c r="B595" s="1222" t="s">
        <v>2351</v>
      </c>
      <c r="C595" s="2390" t="s">
        <v>64</v>
      </c>
      <c r="D595" s="1712"/>
      <c r="E595" s="1642">
        <v>44985</v>
      </c>
      <c r="F595" s="1224"/>
      <c r="G595" s="1266"/>
      <c r="H595" s="1225"/>
      <c r="I595" s="1226"/>
      <c r="J595" s="1604">
        <v>1</v>
      </c>
      <c r="K595" s="1605">
        <v>1</v>
      </c>
      <c r="L595" s="1606"/>
      <c r="M595" s="1631">
        <f t="shared" ref="M595" si="1692">+L595*J595</f>
        <v>0</v>
      </c>
      <c r="N595" s="1228">
        <f ca="1">IF(OR(E595="",E595&gt;TODAY()),0,IF(ISERROR(VLOOKUP($E595,'TRM BanRep'!$A:$G,7,0)),0,VLOOKUP($E595,'TRM BanRep'!$A:$G,7,0)))</f>
        <v>4808.1400000000003</v>
      </c>
      <c r="O595" s="1229">
        <f t="shared" ref="O595" ca="1" si="1693">+L595*J595*N595</f>
        <v>0</v>
      </c>
      <c r="P595" s="1230">
        <v>-705751.8</v>
      </c>
      <c r="Q595" s="1230">
        <f t="shared" ref="Q595" si="1694">+P595*K595</f>
        <v>-705751.8</v>
      </c>
      <c r="R595" s="1231">
        <v>4760.6099999999997</v>
      </c>
      <c r="S595" s="1231">
        <v>4760.6099999999997</v>
      </c>
      <c r="T595" s="2388">
        <f t="shared" ref="T595" si="1695">+P595*K595*S595</f>
        <v>-3359809076.598</v>
      </c>
      <c r="U595" s="2012">
        <f t="shared" ref="U595" si="1696">+L595+P595+F595</f>
        <v>-705751.8</v>
      </c>
      <c r="V595" s="566">
        <f t="shared" ref="V595" ca="1" si="1697">+P595*J595*R595+L595*J595*N595+F595*K595*H595</f>
        <v>-3359809076.598</v>
      </c>
      <c r="W595" s="2389">
        <f t="shared" ref="W595" si="1698">IF((-P595*J595*R595)-(-P595*K595*S595)&gt;0,(-P595*J595*R595)-(-P595*K595*S595),0)</f>
        <v>0</v>
      </c>
      <c r="X595" s="1236">
        <f t="shared" ref="X595" si="1699">IF((-P595*J595*R595)-(-P595*K595*S595)&lt;0,(-P595*J595*R595)-(-P595*K595*S595),0)</f>
        <v>0</v>
      </c>
      <c r="Y595" s="1237"/>
      <c r="Z595" s="1055"/>
      <c r="AA595" s="2329">
        <f t="shared" ca="1" si="1680"/>
        <v>-705751.8</v>
      </c>
      <c r="AB595" s="2158">
        <f t="shared" ca="1" si="1680"/>
        <v>0</v>
      </c>
      <c r="AC595" s="2158">
        <f t="shared" ca="1" si="1680"/>
        <v>0</v>
      </c>
      <c r="AD595" s="2158">
        <f t="shared" ca="1" si="1680"/>
        <v>0</v>
      </c>
      <c r="AE595" s="2158">
        <f t="shared" ca="1" si="1680"/>
        <v>0</v>
      </c>
      <c r="AF595" s="2120">
        <f t="shared" ca="1" si="1680"/>
        <v>0</v>
      </c>
      <c r="AG595" s="2120">
        <f t="shared" ca="1" si="1680"/>
        <v>0</v>
      </c>
      <c r="AH595" s="2120">
        <f t="shared" ca="1" si="1680"/>
        <v>0</v>
      </c>
      <c r="AI595" s="2120">
        <f t="shared" ca="1" si="1680"/>
        <v>0</v>
      </c>
      <c r="AJ595" s="2120">
        <f t="shared" ca="1" si="1680"/>
        <v>0</v>
      </c>
      <c r="AK595" s="2120">
        <f t="shared" ca="1" si="1680"/>
        <v>0</v>
      </c>
      <c r="AL595" s="2314">
        <f t="shared" ca="1" si="1680"/>
        <v>0</v>
      </c>
      <c r="AM595" s="2120">
        <f t="shared" ca="1" si="1680"/>
        <v>0</v>
      </c>
      <c r="AN595" s="2120">
        <f t="shared" ca="1" si="1680"/>
        <v>0</v>
      </c>
      <c r="AO595" s="2120">
        <f t="shared" ca="1" si="1680"/>
        <v>0</v>
      </c>
      <c r="AP595" s="2120">
        <f t="shared" ca="1" si="1680"/>
        <v>0</v>
      </c>
      <c r="AQ595" s="2120">
        <f t="shared" ca="1" si="1681"/>
        <v>0</v>
      </c>
      <c r="AR595" s="2120">
        <f t="shared" ca="1" si="1681"/>
        <v>0</v>
      </c>
      <c r="AS595" s="2120">
        <f t="shared" ca="1" si="1681"/>
        <v>0</v>
      </c>
      <c r="AT595" s="2120">
        <f t="shared" ca="1" si="1681"/>
        <v>0</v>
      </c>
      <c r="AU595" s="2120">
        <f t="shared" ca="1" si="1681"/>
        <v>0</v>
      </c>
      <c r="AV595" s="2120">
        <f t="shared" ca="1" si="1681"/>
        <v>0</v>
      </c>
      <c r="AW595" s="2120">
        <f t="shared" ca="1" si="1681"/>
        <v>0</v>
      </c>
      <c r="AX595" s="2120">
        <f t="shared" ca="1" si="1681"/>
        <v>0</v>
      </c>
      <c r="AY595" s="2120">
        <f t="shared" ca="1" si="1681"/>
        <v>0</v>
      </c>
      <c r="AZ595" s="2120">
        <f t="shared" ca="1" si="1681"/>
        <v>0</v>
      </c>
      <c r="BA595" s="2120">
        <f t="shared" ca="1" si="1681"/>
        <v>0</v>
      </c>
      <c r="BB595" s="2120">
        <f t="shared" ca="1" si="1681"/>
        <v>0</v>
      </c>
      <c r="BC595" s="2120">
        <f t="shared" ca="1" si="1681"/>
        <v>0</v>
      </c>
      <c r="BD595" s="2120">
        <f t="shared" ca="1" si="1681"/>
        <v>0</v>
      </c>
      <c r="BE595" s="2120">
        <f t="shared" ca="1" si="1681"/>
        <v>0</v>
      </c>
      <c r="BF595" s="2120">
        <f t="shared" ca="1" si="1681"/>
        <v>0</v>
      </c>
      <c r="BG595" s="2120">
        <f t="shared" ca="1" si="1682"/>
        <v>0</v>
      </c>
      <c r="BH595" s="2120">
        <f t="shared" ca="1" si="1682"/>
        <v>0</v>
      </c>
      <c r="BI595" s="2120">
        <f t="shared" ca="1" si="1682"/>
        <v>0</v>
      </c>
      <c r="BJ595" s="2120">
        <f t="shared" ca="1" si="1682"/>
        <v>0</v>
      </c>
      <c r="BK595" s="2120">
        <f t="shared" ca="1" si="1682"/>
        <v>0</v>
      </c>
      <c r="BL595" s="2120">
        <f t="shared" ca="1" si="1682"/>
        <v>0</v>
      </c>
      <c r="BM595" s="2120">
        <f t="shared" ca="1" si="1682"/>
        <v>0</v>
      </c>
      <c r="BN595" s="2120">
        <f t="shared" ca="1" si="1682"/>
        <v>0</v>
      </c>
      <c r="BO595" s="2120">
        <f t="shared" ca="1" si="1682"/>
        <v>0</v>
      </c>
      <c r="BP595" s="2120">
        <f t="shared" ca="1" si="1682"/>
        <v>0</v>
      </c>
      <c r="BQ595" s="2120">
        <f t="shared" ca="1" si="1682"/>
        <v>0</v>
      </c>
      <c r="BR595" s="2120">
        <f t="shared" ca="1" si="1682"/>
        <v>0</v>
      </c>
      <c r="BS595" s="2120">
        <f t="shared" ca="1" si="1682"/>
        <v>0</v>
      </c>
      <c r="BT595" s="2120">
        <f t="shared" ca="1" si="1682"/>
        <v>0</v>
      </c>
      <c r="BU595" s="2120">
        <f t="shared" ca="1" si="1682"/>
        <v>0</v>
      </c>
      <c r="BV595" s="2120">
        <f t="shared" ca="1" si="1682"/>
        <v>0</v>
      </c>
      <c r="BW595" s="2120">
        <f t="shared" ca="1" si="1683"/>
        <v>0</v>
      </c>
      <c r="BX595" s="2120">
        <f t="shared" ca="1" si="1683"/>
        <v>0</v>
      </c>
      <c r="BY595" s="2120">
        <f t="shared" ca="1" si="1683"/>
        <v>0</v>
      </c>
      <c r="BZ595" s="2120">
        <f t="shared" ca="1" si="1683"/>
        <v>0</v>
      </c>
      <c r="CA595" s="2120">
        <f t="shared" ca="1" si="1683"/>
        <v>0</v>
      </c>
      <c r="CB595" s="2120">
        <f t="shared" ca="1" si="1683"/>
        <v>0</v>
      </c>
      <c r="CC595" s="2120">
        <f t="shared" ca="1" si="1683"/>
        <v>0</v>
      </c>
      <c r="CD595" s="2120">
        <f t="shared" ca="1" si="1683"/>
        <v>0</v>
      </c>
      <c r="CE595" s="2120">
        <f t="shared" ca="1" si="1683"/>
        <v>0</v>
      </c>
      <c r="CF595" s="2120">
        <f t="shared" ca="1" si="1683"/>
        <v>0</v>
      </c>
      <c r="CG595" s="2120">
        <f t="shared" ca="1" si="1683"/>
        <v>0</v>
      </c>
      <c r="CH595" s="2120">
        <f t="shared" ca="1" si="1683"/>
        <v>0</v>
      </c>
      <c r="CI595" s="2120">
        <f t="shared" ca="1" si="1683"/>
        <v>0</v>
      </c>
      <c r="CJ595" s="2120">
        <f t="shared" ca="1" si="1683"/>
        <v>0</v>
      </c>
      <c r="CK595" s="2120">
        <f t="shared" ca="1" si="1683"/>
        <v>0</v>
      </c>
      <c r="CL595" s="2120">
        <f t="shared" ca="1" si="1683"/>
        <v>0</v>
      </c>
      <c r="CM595" s="2120">
        <f t="shared" ca="1" si="1684"/>
        <v>0</v>
      </c>
      <c r="CN595" s="2120">
        <f t="shared" ca="1" si="1684"/>
        <v>0</v>
      </c>
      <c r="CO595" s="2120">
        <f t="shared" ca="1" si="1684"/>
        <v>0</v>
      </c>
      <c r="CP595" s="2120">
        <f t="shared" ca="1" si="1684"/>
        <v>0</v>
      </c>
      <c r="CQ595" s="2120">
        <f t="shared" ca="1" si="1684"/>
        <v>0</v>
      </c>
      <c r="CR595" s="2120">
        <f t="shared" ca="1" si="1684"/>
        <v>0</v>
      </c>
      <c r="CS595" s="2120">
        <f t="shared" ca="1" si="1684"/>
        <v>0</v>
      </c>
      <c r="CT595" s="2120">
        <f t="shared" ca="1" si="1684"/>
        <v>0</v>
      </c>
      <c r="CU595" s="2120">
        <f t="shared" ca="1" si="1684"/>
        <v>0</v>
      </c>
      <c r="CV595" s="2120">
        <f t="shared" ca="1" si="1684"/>
        <v>0</v>
      </c>
      <c r="CW595" s="2120">
        <f t="shared" ca="1" si="1684"/>
        <v>0</v>
      </c>
      <c r="CX595" s="2120">
        <f t="shared" ca="1" si="1684"/>
        <v>0</v>
      </c>
      <c r="CY595" s="2120">
        <f t="shared" ca="1" si="1684"/>
        <v>0</v>
      </c>
      <c r="CZ595" s="2120">
        <f t="shared" ca="1" si="1684"/>
        <v>0</v>
      </c>
      <c r="DA595" s="2120">
        <f t="shared" ca="1" si="1684"/>
        <v>0</v>
      </c>
      <c r="DB595" s="2120">
        <f t="shared" ca="1" si="1684"/>
        <v>0</v>
      </c>
      <c r="DC595" s="2120">
        <f t="shared" ca="1" si="1685"/>
        <v>0</v>
      </c>
      <c r="DD595" s="2120">
        <f t="shared" ca="1" si="1685"/>
        <v>0</v>
      </c>
      <c r="DE595" s="2120">
        <f t="shared" ca="1" si="1685"/>
        <v>0</v>
      </c>
      <c r="DF595" s="2120">
        <f t="shared" ca="1" si="1685"/>
        <v>0</v>
      </c>
      <c r="DG595" s="2120">
        <f t="shared" ca="1" si="1685"/>
        <v>0</v>
      </c>
      <c r="DH595" s="2120">
        <f t="shared" ca="1" si="1685"/>
        <v>0</v>
      </c>
      <c r="DI595" s="2120">
        <f t="shared" ca="1" si="1685"/>
        <v>0</v>
      </c>
      <c r="DJ595" s="2120">
        <f t="shared" ca="1" si="1685"/>
        <v>0</v>
      </c>
      <c r="DK595" s="2120">
        <f t="shared" ca="1" si="1685"/>
        <v>0</v>
      </c>
      <c r="DL595" s="2120">
        <f t="shared" ca="1" si="1685"/>
        <v>0</v>
      </c>
      <c r="DM595" s="2120">
        <f t="shared" ca="1" si="1685"/>
        <v>0</v>
      </c>
      <c r="DN595" s="2120">
        <f t="shared" ca="1" si="1685"/>
        <v>0</v>
      </c>
      <c r="DO595" s="2120">
        <f t="shared" ca="1" si="1685"/>
        <v>0</v>
      </c>
      <c r="DP595" s="2120">
        <f t="shared" ca="1" si="1685"/>
        <v>0</v>
      </c>
    </row>
    <row r="596" spans="1:120" s="165" customFormat="1" hidden="1" outlineLevel="1">
      <c r="A596" s="1221">
        <v>1110052090</v>
      </c>
      <c r="B596" s="1222" t="s">
        <v>2351</v>
      </c>
      <c r="C596" s="2390" t="s">
        <v>64</v>
      </c>
      <c r="D596" s="1712"/>
      <c r="E596" s="1642">
        <v>44985</v>
      </c>
      <c r="F596" s="1224"/>
      <c r="G596" s="1266"/>
      <c r="H596" s="1225"/>
      <c r="I596" s="1226"/>
      <c r="J596" s="1604">
        <v>1</v>
      </c>
      <c r="K596" s="1605">
        <v>1</v>
      </c>
      <c r="L596" s="1606"/>
      <c r="M596" s="1631">
        <f t="shared" ref="M596:M599" si="1700">+L596*J596</f>
        <v>0</v>
      </c>
      <c r="N596" s="1228">
        <f ca="1">IF(OR(E596="",E596&gt;TODAY()),0,IF(ISERROR(VLOOKUP($E596,'TRM BanRep'!$A:$G,7,0)),0,VLOOKUP($E596,'TRM BanRep'!$A:$G,7,0)))</f>
        <v>4808.1400000000003</v>
      </c>
      <c r="O596" s="1229">
        <f t="shared" ref="O596:O599" ca="1" si="1701">+L596*J596*N596</f>
        <v>0</v>
      </c>
      <c r="P596" s="1230">
        <v>-7422.84</v>
      </c>
      <c r="Q596" s="1230">
        <f t="shared" ref="Q596:Q599" si="1702">+P596*K596</f>
        <v>-7422.84</v>
      </c>
      <c r="R596" s="1231">
        <v>4745.04</v>
      </c>
      <c r="S596" s="1231">
        <v>4745.04</v>
      </c>
      <c r="T596" s="2388">
        <f t="shared" ref="T596:T599" si="1703">+P596*K596*S596</f>
        <v>-35221672.713600002</v>
      </c>
      <c r="U596" s="2012">
        <f t="shared" ref="U596:U599" si="1704">+L596+P596+F596</f>
        <v>-7422.84</v>
      </c>
      <c r="V596" s="566">
        <f t="shared" ref="V596:V599" ca="1" si="1705">+P596*J596*R596+L596*J596*N596+F596*K596*H596</f>
        <v>-35221672.713600002</v>
      </c>
      <c r="W596" s="2389">
        <f t="shared" ref="W596:W599" si="1706">IF((-P596*J596*R596)-(-P596*K596*S596)&gt;0,(-P596*J596*R596)-(-P596*K596*S596),0)</f>
        <v>0</v>
      </c>
      <c r="X596" s="1236">
        <f t="shared" ref="X596:X599" si="1707">IF((-P596*J596*R596)-(-P596*K596*S596)&lt;0,(-P596*J596*R596)-(-P596*K596*S596),0)</f>
        <v>0</v>
      </c>
      <c r="Y596" s="1237"/>
      <c r="Z596" s="1055"/>
      <c r="AA596" s="2329">
        <f t="shared" ca="1" si="1680"/>
        <v>0</v>
      </c>
      <c r="AB596" s="2158">
        <f t="shared" ca="1" si="1680"/>
        <v>-7422.84</v>
      </c>
      <c r="AC596" s="2158">
        <f t="shared" ca="1" si="1680"/>
        <v>0</v>
      </c>
      <c r="AD596" s="2158">
        <f t="shared" ca="1" si="1680"/>
        <v>0</v>
      </c>
      <c r="AE596" s="2158">
        <f t="shared" ca="1" si="1680"/>
        <v>0</v>
      </c>
      <c r="AF596" s="2120">
        <f t="shared" ca="1" si="1680"/>
        <v>0</v>
      </c>
      <c r="AG596" s="2120">
        <f t="shared" ca="1" si="1680"/>
        <v>0</v>
      </c>
      <c r="AH596" s="2120">
        <f t="shared" ca="1" si="1680"/>
        <v>0</v>
      </c>
      <c r="AI596" s="2120">
        <f t="shared" ca="1" si="1680"/>
        <v>0</v>
      </c>
      <c r="AJ596" s="2120">
        <f t="shared" ca="1" si="1680"/>
        <v>0</v>
      </c>
      <c r="AK596" s="2120">
        <f t="shared" ca="1" si="1680"/>
        <v>0</v>
      </c>
      <c r="AL596" s="2314">
        <f t="shared" ca="1" si="1680"/>
        <v>0</v>
      </c>
      <c r="AM596" s="2120">
        <f t="shared" ca="1" si="1680"/>
        <v>0</v>
      </c>
      <c r="AN596" s="2120">
        <f t="shared" ca="1" si="1680"/>
        <v>0</v>
      </c>
      <c r="AO596" s="2120">
        <f t="shared" ca="1" si="1680"/>
        <v>0</v>
      </c>
      <c r="AP596" s="2120">
        <f t="shared" ca="1" si="1680"/>
        <v>0</v>
      </c>
      <c r="AQ596" s="2120">
        <f t="shared" ca="1" si="1681"/>
        <v>0</v>
      </c>
      <c r="AR596" s="2120">
        <f t="shared" ca="1" si="1681"/>
        <v>0</v>
      </c>
      <c r="AS596" s="2120">
        <f t="shared" ca="1" si="1681"/>
        <v>0</v>
      </c>
      <c r="AT596" s="2120">
        <f t="shared" ca="1" si="1681"/>
        <v>0</v>
      </c>
      <c r="AU596" s="2120">
        <f t="shared" ca="1" si="1681"/>
        <v>0</v>
      </c>
      <c r="AV596" s="2120">
        <f t="shared" ca="1" si="1681"/>
        <v>0</v>
      </c>
      <c r="AW596" s="2120">
        <f t="shared" ca="1" si="1681"/>
        <v>0</v>
      </c>
      <c r="AX596" s="2120">
        <f t="shared" ca="1" si="1681"/>
        <v>0</v>
      </c>
      <c r="AY596" s="2120">
        <f t="shared" ca="1" si="1681"/>
        <v>0</v>
      </c>
      <c r="AZ596" s="2120">
        <f t="shared" ca="1" si="1681"/>
        <v>0</v>
      </c>
      <c r="BA596" s="2120">
        <f t="shared" ca="1" si="1681"/>
        <v>0</v>
      </c>
      <c r="BB596" s="2120">
        <f t="shared" ca="1" si="1681"/>
        <v>0</v>
      </c>
      <c r="BC596" s="2120">
        <f t="shared" ca="1" si="1681"/>
        <v>0</v>
      </c>
      <c r="BD596" s="2120">
        <f t="shared" ca="1" si="1681"/>
        <v>0</v>
      </c>
      <c r="BE596" s="2120">
        <f t="shared" ca="1" si="1681"/>
        <v>0</v>
      </c>
      <c r="BF596" s="2120">
        <f t="shared" ca="1" si="1681"/>
        <v>0</v>
      </c>
      <c r="BG596" s="2120">
        <f t="shared" ca="1" si="1682"/>
        <v>0</v>
      </c>
      <c r="BH596" s="2120">
        <f t="shared" ca="1" si="1682"/>
        <v>0</v>
      </c>
      <c r="BI596" s="2120">
        <f t="shared" ca="1" si="1682"/>
        <v>0</v>
      </c>
      <c r="BJ596" s="2120">
        <f t="shared" ca="1" si="1682"/>
        <v>0</v>
      </c>
      <c r="BK596" s="2120">
        <f t="shared" ca="1" si="1682"/>
        <v>0</v>
      </c>
      <c r="BL596" s="2120">
        <f t="shared" ca="1" si="1682"/>
        <v>0</v>
      </c>
      <c r="BM596" s="2120">
        <f t="shared" ca="1" si="1682"/>
        <v>0</v>
      </c>
      <c r="BN596" s="2120">
        <f t="shared" ca="1" si="1682"/>
        <v>0</v>
      </c>
      <c r="BO596" s="2120">
        <f t="shared" ca="1" si="1682"/>
        <v>0</v>
      </c>
      <c r="BP596" s="2120">
        <f t="shared" ca="1" si="1682"/>
        <v>0</v>
      </c>
      <c r="BQ596" s="2120">
        <f t="shared" ca="1" si="1682"/>
        <v>0</v>
      </c>
      <c r="BR596" s="2120">
        <f t="shared" ca="1" si="1682"/>
        <v>0</v>
      </c>
      <c r="BS596" s="2120">
        <f t="shared" ca="1" si="1682"/>
        <v>0</v>
      </c>
      <c r="BT596" s="2120">
        <f t="shared" ca="1" si="1682"/>
        <v>0</v>
      </c>
      <c r="BU596" s="2120">
        <f t="shared" ca="1" si="1682"/>
        <v>0</v>
      </c>
      <c r="BV596" s="2120">
        <f t="shared" ca="1" si="1682"/>
        <v>0</v>
      </c>
      <c r="BW596" s="2120">
        <f t="shared" ca="1" si="1683"/>
        <v>0</v>
      </c>
      <c r="BX596" s="2120">
        <f t="shared" ca="1" si="1683"/>
        <v>0</v>
      </c>
      <c r="BY596" s="2120">
        <f t="shared" ca="1" si="1683"/>
        <v>0</v>
      </c>
      <c r="BZ596" s="2120">
        <f t="shared" ca="1" si="1683"/>
        <v>0</v>
      </c>
      <c r="CA596" s="2120">
        <f t="shared" ca="1" si="1683"/>
        <v>0</v>
      </c>
      <c r="CB596" s="2120">
        <f t="shared" ca="1" si="1683"/>
        <v>0</v>
      </c>
      <c r="CC596" s="2120">
        <f t="shared" ca="1" si="1683"/>
        <v>0</v>
      </c>
      <c r="CD596" s="2120">
        <f t="shared" ca="1" si="1683"/>
        <v>0</v>
      </c>
      <c r="CE596" s="2120">
        <f t="shared" ca="1" si="1683"/>
        <v>0</v>
      </c>
      <c r="CF596" s="2120">
        <f t="shared" ca="1" si="1683"/>
        <v>0</v>
      </c>
      <c r="CG596" s="2120">
        <f t="shared" ca="1" si="1683"/>
        <v>0</v>
      </c>
      <c r="CH596" s="2120">
        <f t="shared" ca="1" si="1683"/>
        <v>0</v>
      </c>
      <c r="CI596" s="2120">
        <f t="shared" ca="1" si="1683"/>
        <v>0</v>
      </c>
      <c r="CJ596" s="2120">
        <f t="shared" ca="1" si="1683"/>
        <v>0</v>
      </c>
      <c r="CK596" s="2120">
        <f t="shared" ca="1" si="1683"/>
        <v>0</v>
      </c>
      <c r="CL596" s="2120">
        <f t="shared" ca="1" si="1683"/>
        <v>0</v>
      </c>
      <c r="CM596" s="2120">
        <f t="shared" ca="1" si="1684"/>
        <v>0</v>
      </c>
      <c r="CN596" s="2120">
        <f t="shared" ca="1" si="1684"/>
        <v>0</v>
      </c>
      <c r="CO596" s="2120">
        <f t="shared" ca="1" si="1684"/>
        <v>0</v>
      </c>
      <c r="CP596" s="2120">
        <f t="shared" ca="1" si="1684"/>
        <v>0</v>
      </c>
      <c r="CQ596" s="2120">
        <f t="shared" ca="1" si="1684"/>
        <v>0</v>
      </c>
      <c r="CR596" s="2120">
        <f t="shared" ca="1" si="1684"/>
        <v>0</v>
      </c>
      <c r="CS596" s="2120">
        <f t="shared" ca="1" si="1684"/>
        <v>0</v>
      </c>
      <c r="CT596" s="2120">
        <f t="shared" ca="1" si="1684"/>
        <v>0</v>
      </c>
      <c r="CU596" s="2120">
        <f t="shared" ca="1" si="1684"/>
        <v>0</v>
      </c>
      <c r="CV596" s="2120">
        <f t="shared" ca="1" si="1684"/>
        <v>0</v>
      </c>
      <c r="CW596" s="2120">
        <f t="shared" ca="1" si="1684"/>
        <v>0</v>
      </c>
      <c r="CX596" s="2120">
        <f t="shared" ca="1" si="1684"/>
        <v>0</v>
      </c>
      <c r="CY596" s="2120">
        <f t="shared" ca="1" si="1684"/>
        <v>0</v>
      </c>
      <c r="CZ596" s="2120">
        <f t="shared" ca="1" si="1684"/>
        <v>0</v>
      </c>
      <c r="DA596" s="2120">
        <f t="shared" ca="1" si="1684"/>
        <v>0</v>
      </c>
      <c r="DB596" s="2120">
        <f t="shared" ca="1" si="1684"/>
        <v>0</v>
      </c>
      <c r="DC596" s="2120">
        <f t="shared" ca="1" si="1685"/>
        <v>0</v>
      </c>
      <c r="DD596" s="2120">
        <f t="shared" ca="1" si="1685"/>
        <v>0</v>
      </c>
      <c r="DE596" s="2120">
        <f t="shared" ca="1" si="1685"/>
        <v>0</v>
      </c>
      <c r="DF596" s="2120">
        <f t="shared" ca="1" si="1685"/>
        <v>0</v>
      </c>
      <c r="DG596" s="2120">
        <f t="shared" ca="1" si="1685"/>
        <v>0</v>
      </c>
      <c r="DH596" s="2120">
        <f t="shared" ca="1" si="1685"/>
        <v>0</v>
      </c>
      <c r="DI596" s="2120">
        <f t="shared" ca="1" si="1685"/>
        <v>0</v>
      </c>
      <c r="DJ596" s="2120">
        <f t="shared" ca="1" si="1685"/>
        <v>0</v>
      </c>
      <c r="DK596" s="2120">
        <f t="shared" ca="1" si="1685"/>
        <v>0</v>
      </c>
      <c r="DL596" s="2120">
        <f t="shared" ca="1" si="1685"/>
        <v>0</v>
      </c>
      <c r="DM596" s="2120">
        <f t="shared" ca="1" si="1685"/>
        <v>0</v>
      </c>
      <c r="DN596" s="2120">
        <f t="shared" ca="1" si="1685"/>
        <v>0</v>
      </c>
      <c r="DO596" s="2120">
        <f t="shared" ca="1" si="1685"/>
        <v>0</v>
      </c>
      <c r="DP596" s="2120">
        <f t="shared" ca="1" si="1685"/>
        <v>0</v>
      </c>
    </row>
    <row r="597" spans="1:120" s="165" customFormat="1" hidden="1" outlineLevel="1">
      <c r="A597" s="1221">
        <v>1110052090</v>
      </c>
      <c r="B597" s="1222" t="s">
        <v>2351</v>
      </c>
      <c r="C597" s="2390" t="s">
        <v>64</v>
      </c>
      <c r="D597" s="1712"/>
      <c r="E597" s="1642">
        <v>44985</v>
      </c>
      <c r="F597" s="1224"/>
      <c r="G597" s="1266"/>
      <c r="H597" s="1225"/>
      <c r="I597" s="1226"/>
      <c r="J597" s="1604">
        <v>1</v>
      </c>
      <c r="K597" s="1605">
        <v>1</v>
      </c>
      <c r="L597" s="1606"/>
      <c r="M597" s="1631">
        <f t="shared" ref="M597:M598" si="1708">+L597*J597</f>
        <v>0</v>
      </c>
      <c r="N597" s="1228">
        <f ca="1">IF(OR(E597="",E597&gt;TODAY()),0,IF(ISERROR(VLOOKUP($E597,'TRM BanRep'!$A:$G,7,0)),0,VLOOKUP($E597,'TRM BanRep'!$A:$G,7,0)))</f>
        <v>4808.1400000000003</v>
      </c>
      <c r="O597" s="1229">
        <f t="shared" ref="O597:O598" ca="1" si="1709">+L597*J597*N597</f>
        <v>0</v>
      </c>
      <c r="P597" s="1230">
        <v>-79310.679999999993</v>
      </c>
      <c r="Q597" s="1230">
        <f t="shared" ref="Q597:Q598" si="1710">+P597*K597</f>
        <v>-79310.679999999993</v>
      </c>
      <c r="R597" s="1231">
        <v>4810.2</v>
      </c>
      <c r="S597" s="1231">
        <v>4810.2</v>
      </c>
      <c r="T597" s="2388">
        <f t="shared" ref="T597:T598" si="1711">+P597*K597*S597</f>
        <v>-381500232.93599993</v>
      </c>
      <c r="U597" s="2012">
        <f t="shared" ref="U597:U598" si="1712">+L597+P597+F597</f>
        <v>-79310.679999999993</v>
      </c>
      <c r="V597" s="566">
        <f t="shared" ref="V597:V598" ca="1" si="1713">+P597*J597*R597+L597*J597*N597+F597*K597*H597</f>
        <v>-381500232.93599993</v>
      </c>
      <c r="W597" s="2389">
        <f t="shared" ref="W597:W598" si="1714">IF((-P597*J597*R597)-(-P597*K597*S597)&gt;0,(-P597*J597*R597)-(-P597*K597*S597),0)</f>
        <v>0</v>
      </c>
      <c r="X597" s="1236">
        <f t="shared" ref="X597:X598" si="1715">IF((-P597*J597*R597)-(-P597*K597*S597)&lt;0,(-P597*J597*R597)-(-P597*K597*S597),0)</f>
        <v>0</v>
      </c>
      <c r="Y597" s="1237"/>
      <c r="Z597" s="1055"/>
      <c r="AA597" s="2329">
        <f t="shared" ca="1" si="1680"/>
        <v>0</v>
      </c>
      <c r="AB597" s="2158">
        <f t="shared" ca="1" si="1680"/>
        <v>0</v>
      </c>
      <c r="AC597" s="2158">
        <f t="shared" ca="1" si="1680"/>
        <v>0</v>
      </c>
      <c r="AD597" s="2158">
        <f t="shared" ca="1" si="1680"/>
        <v>0</v>
      </c>
      <c r="AE597" s="2158">
        <f t="shared" ca="1" si="1680"/>
        <v>0</v>
      </c>
      <c r="AF597" s="2461">
        <v>0</v>
      </c>
      <c r="AG597" s="2120">
        <f t="shared" ca="1" si="1680"/>
        <v>-79310.679999999993</v>
      </c>
      <c r="AH597" s="2120">
        <f t="shared" ca="1" si="1680"/>
        <v>0</v>
      </c>
      <c r="AI597" s="2120">
        <f t="shared" ca="1" si="1680"/>
        <v>0</v>
      </c>
      <c r="AJ597" s="2120">
        <f t="shared" ca="1" si="1680"/>
        <v>0</v>
      </c>
      <c r="AK597" s="2120">
        <f t="shared" ca="1" si="1680"/>
        <v>0</v>
      </c>
      <c r="AL597" s="2314">
        <f t="shared" ca="1" si="1680"/>
        <v>0</v>
      </c>
      <c r="AM597" s="2120">
        <f t="shared" ca="1" si="1680"/>
        <v>0</v>
      </c>
      <c r="AN597" s="2120">
        <f t="shared" ca="1" si="1680"/>
        <v>0</v>
      </c>
      <c r="AO597" s="2120">
        <f t="shared" ca="1" si="1680"/>
        <v>0</v>
      </c>
      <c r="AP597" s="2120">
        <f t="shared" ca="1" si="1680"/>
        <v>0</v>
      </c>
      <c r="AQ597" s="2120">
        <f t="shared" ca="1" si="1681"/>
        <v>0</v>
      </c>
      <c r="AR597" s="2120">
        <f t="shared" ca="1" si="1681"/>
        <v>0</v>
      </c>
      <c r="AS597" s="2120">
        <f t="shared" ca="1" si="1681"/>
        <v>0</v>
      </c>
      <c r="AT597" s="2120">
        <f t="shared" ca="1" si="1681"/>
        <v>0</v>
      </c>
      <c r="AU597" s="2120">
        <f t="shared" ca="1" si="1681"/>
        <v>0</v>
      </c>
      <c r="AV597" s="2120">
        <f t="shared" ca="1" si="1681"/>
        <v>0</v>
      </c>
      <c r="AW597" s="2120">
        <f t="shared" ca="1" si="1681"/>
        <v>0</v>
      </c>
      <c r="AX597" s="2120">
        <f t="shared" ca="1" si="1681"/>
        <v>0</v>
      </c>
      <c r="AY597" s="2120">
        <f t="shared" ca="1" si="1681"/>
        <v>0</v>
      </c>
      <c r="AZ597" s="2120">
        <f t="shared" ca="1" si="1681"/>
        <v>0</v>
      </c>
      <c r="BA597" s="2120">
        <f t="shared" ca="1" si="1681"/>
        <v>0</v>
      </c>
      <c r="BB597" s="2120">
        <f t="shared" ca="1" si="1681"/>
        <v>0</v>
      </c>
      <c r="BC597" s="2120">
        <f t="shared" ca="1" si="1681"/>
        <v>0</v>
      </c>
      <c r="BD597" s="2120">
        <f t="shared" ca="1" si="1681"/>
        <v>0</v>
      </c>
      <c r="BE597" s="2120">
        <f t="shared" ca="1" si="1681"/>
        <v>0</v>
      </c>
      <c r="BF597" s="2120">
        <f t="shared" ca="1" si="1681"/>
        <v>0</v>
      </c>
      <c r="BG597" s="2120">
        <f t="shared" ca="1" si="1682"/>
        <v>0</v>
      </c>
      <c r="BH597" s="2120">
        <f t="shared" ca="1" si="1682"/>
        <v>0</v>
      </c>
      <c r="BI597" s="2120">
        <f t="shared" ca="1" si="1682"/>
        <v>0</v>
      </c>
      <c r="BJ597" s="2120">
        <f t="shared" ca="1" si="1682"/>
        <v>0</v>
      </c>
      <c r="BK597" s="2120">
        <f t="shared" ca="1" si="1682"/>
        <v>0</v>
      </c>
      <c r="BL597" s="2120">
        <f t="shared" ca="1" si="1682"/>
        <v>0</v>
      </c>
      <c r="BM597" s="2120">
        <f t="shared" ca="1" si="1682"/>
        <v>0</v>
      </c>
      <c r="BN597" s="2120">
        <f t="shared" ca="1" si="1682"/>
        <v>0</v>
      </c>
      <c r="BO597" s="2120">
        <f t="shared" ca="1" si="1682"/>
        <v>0</v>
      </c>
      <c r="BP597" s="2120">
        <f t="shared" ca="1" si="1682"/>
        <v>0</v>
      </c>
      <c r="BQ597" s="2120">
        <f t="shared" ca="1" si="1682"/>
        <v>0</v>
      </c>
      <c r="BR597" s="2120">
        <f t="shared" ca="1" si="1682"/>
        <v>0</v>
      </c>
      <c r="BS597" s="2120">
        <f t="shared" ca="1" si="1682"/>
        <v>0</v>
      </c>
      <c r="BT597" s="2120">
        <f t="shared" ca="1" si="1682"/>
        <v>0</v>
      </c>
      <c r="BU597" s="2120">
        <f t="shared" ca="1" si="1682"/>
        <v>0</v>
      </c>
      <c r="BV597" s="2120">
        <f t="shared" ca="1" si="1682"/>
        <v>0</v>
      </c>
      <c r="BW597" s="2120">
        <f t="shared" ca="1" si="1683"/>
        <v>0</v>
      </c>
      <c r="BX597" s="2120">
        <f t="shared" ca="1" si="1683"/>
        <v>0</v>
      </c>
      <c r="BY597" s="2120">
        <f t="shared" ca="1" si="1683"/>
        <v>0</v>
      </c>
      <c r="BZ597" s="2120">
        <f t="shared" ca="1" si="1683"/>
        <v>0</v>
      </c>
      <c r="CA597" s="2120">
        <f t="shared" ca="1" si="1683"/>
        <v>0</v>
      </c>
      <c r="CB597" s="2120">
        <f t="shared" ca="1" si="1683"/>
        <v>0</v>
      </c>
      <c r="CC597" s="2120">
        <f t="shared" ca="1" si="1683"/>
        <v>0</v>
      </c>
      <c r="CD597" s="2120">
        <f t="shared" ca="1" si="1683"/>
        <v>0</v>
      </c>
      <c r="CE597" s="2120">
        <f t="shared" ca="1" si="1683"/>
        <v>0</v>
      </c>
      <c r="CF597" s="2120">
        <f t="shared" ca="1" si="1683"/>
        <v>0</v>
      </c>
      <c r="CG597" s="2120">
        <f t="shared" ca="1" si="1683"/>
        <v>0</v>
      </c>
      <c r="CH597" s="2120">
        <f t="shared" ca="1" si="1683"/>
        <v>0</v>
      </c>
      <c r="CI597" s="2120">
        <f t="shared" ca="1" si="1683"/>
        <v>0</v>
      </c>
      <c r="CJ597" s="2120">
        <f t="shared" ca="1" si="1683"/>
        <v>0</v>
      </c>
      <c r="CK597" s="2120">
        <f t="shared" ca="1" si="1683"/>
        <v>0</v>
      </c>
      <c r="CL597" s="2120">
        <f t="shared" ca="1" si="1683"/>
        <v>0</v>
      </c>
      <c r="CM597" s="2120">
        <f t="shared" ca="1" si="1684"/>
        <v>0</v>
      </c>
      <c r="CN597" s="2120">
        <f t="shared" ca="1" si="1684"/>
        <v>0</v>
      </c>
      <c r="CO597" s="2120">
        <f t="shared" ca="1" si="1684"/>
        <v>0</v>
      </c>
      <c r="CP597" s="2120">
        <f t="shared" ca="1" si="1684"/>
        <v>0</v>
      </c>
      <c r="CQ597" s="2120">
        <f t="shared" ca="1" si="1684"/>
        <v>0</v>
      </c>
      <c r="CR597" s="2120">
        <f t="shared" ca="1" si="1684"/>
        <v>0</v>
      </c>
      <c r="CS597" s="2120">
        <f t="shared" ca="1" si="1684"/>
        <v>0</v>
      </c>
      <c r="CT597" s="2120">
        <f t="shared" ca="1" si="1684"/>
        <v>0</v>
      </c>
      <c r="CU597" s="2120">
        <f t="shared" ca="1" si="1684"/>
        <v>0</v>
      </c>
      <c r="CV597" s="2120">
        <f t="shared" ca="1" si="1684"/>
        <v>0</v>
      </c>
      <c r="CW597" s="2120">
        <f t="shared" ca="1" si="1684"/>
        <v>0</v>
      </c>
      <c r="CX597" s="2120">
        <f t="shared" ca="1" si="1684"/>
        <v>0</v>
      </c>
      <c r="CY597" s="2120">
        <f t="shared" ca="1" si="1684"/>
        <v>0</v>
      </c>
      <c r="CZ597" s="2120">
        <f t="shared" ca="1" si="1684"/>
        <v>0</v>
      </c>
      <c r="DA597" s="2120">
        <f t="shared" ca="1" si="1684"/>
        <v>0</v>
      </c>
      <c r="DB597" s="2120">
        <f t="shared" ca="1" si="1684"/>
        <v>0</v>
      </c>
      <c r="DC597" s="2120">
        <f t="shared" ca="1" si="1685"/>
        <v>0</v>
      </c>
      <c r="DD597" s="2120">
        <f t="shared" ca="1" si="1685"/>
        <v>0</v>
      </c>
      <c r="DE597" s="2120">
        <f t="shared" ca="1" si="1685"/>
        <v>0</v>
      </c>
      <c r="DF597" s="2120">
        <f t="shared" ca="1" si="1685"/>
        <v>0</v>
      </c>
      <c r="DG597" s="2120">
        <f t="shared" ca="1" si="1685"/>
        <v>0</v>
      </c>
      <c r="DH597" s="2120">
        <f t="shared" ca="1" si="1685"/>
        <v>0</v>
      </c>
      <c r="DI597" s="2120">
        <f t="shared" ca="1" si="1685"/>
        <v>0</v>
      </c>
      <c r="DJ597" s="2120">
        <f t="shared" ca="1" si="1685"/>
        <v>0</v>
      </c>
      <c r="DK597" s="2120">
        <f t="shared" ca="1" si="1685"/>
        <v>0</v>
      </c>
      <c r="DL597" s="2120">
        <f t="shared" ca="1" si="1685"/>
        <v>0</v>
      </c>
      <c r="DM597" s="2120">
        <f t="shared" ca="1" si="1685"/>
        <v>0</v>
      </c>
      <c r="DN597" s="2120">
        <f t="shared" ca="1" si="1685"/>
        <v>0</v>
      </c>
      <c r="DO597" s="2120">
        <f t="shared" ca="1" si="1685"/>
        <v>0</v>
      </c>
      <c r="DP597" s="2120">
        <f t="shared" ca="1" si="1685"/>
        <v>0</v>
      </c>
    </row>
    <row r="598" spans="1:120" s="165" customFormat="1" hidden="1" outlineLevel="1">
      <c r="A598" s="1221">
        <v>1110052090</v>
      </c>
      <c r="B598" s="1222" t="s">
        <v>2351</v>
      </c>
      <c r="C598" s="2390" t="s">
        <v>64</v>
      </c>
      <c r="D598" s="1712"/>
      <c r="E598" s="1642">
        <v>44985</v>
      </c>
      <c r="F598" s="1224"/>
      <c r="G598" s="1266"/>
      <c r="H598" s="1225"/>
      <c r="I598" s="1226"/>
      <c r="J598" s="1604">
        <v>1</v>
      </c>
      <c r="K598" s="1605">
        <v>1</v>
      </c>
      <c r="L598" s="1606"/>
      <c r="M598" s="1631">
        <f t="shared" si="1708"/>
        <v>0</v>
      </c>
      <c r="N598" s="1228">
        <f ca="1">IF(OR(E598="",E598&gt;TODAY()),0,IF(ISERROR(VLOOKUP($E598,'TRM BanRep'!$A:$G,7,0)),0,VLOOKUP($E598,'TRM BanRep'!$A:$G,7,0)))</f>
        <v>4808.1400000000003</v>
      </c>
      <c r="O598" s="1229">
        <f t="shared" ca="1" si="1709"/>
        <v>0</v>
      </c>
      <c r="P598" s="1230">
        <v>-424990.29</v>
      </c>
      <c r="Q598" s="1230">
        <f t="shared" si="1710"/>
        <v>-424990.29</v>
      </c>
      <c r="R598" s="1231">
        <v>4924</v>
      </c>
      <c r="S598" s="1231">
        <v>4924</v>
      </c>
      <c r="T598" s="2388">
        <f t="shared" si="1711"/>
        <v>-2092652187.9599998</v>
      </c>
      <c r="U598" s="2012">
        <f t="shared" si="1712"/>
        <v>-424990.29</v>
      </c>
      <c r="V598" s="566">
        <f t="shared" ca="1" si="1713"/>
        <v>-2092652187.9599998</v>
      </c>
      <c r="W598" s="2389">
        <f t="shared" si="1714"/>
        <v>0</v>
      </c>
      <c r="X598" s="1236">
        <f t="shared" si="1715"/>
        <v>0</v>
      </c>
      <c r="Y598" s="1237"/>
      <c r="Z598" s="1055"/>
      <c r="AA598" s="2329">
        <f t="shared" ca="1" si="1680"/>
        <v>0</v>
      </c>
      <c r="AB598" s="2158">
        <f t="shared" ca="1" si="1680"/>
        <v>0</v>
      </c>
      <c r="AC598" s="2158">
        <f t="shared" ca="1" si="1680"/>
        <v>0</v>
      </c>
      <c r="AD598" s="2158">
        <f t="shared" ca="1" si="1680"/>
        <v>0</v>
      </c>
      <c r="AE598" s="2158">
        <f t="shared" ca="1" si="1680"/>
        <v>0</v>
      </c>
      <c r="AF598" s="2120">
        <f t="shared" ca="1" si="1680"/>
        <v>0</v>
      </c>
      <c r="AG598" s="2120">
        <f t="shared" ca="1" si="1680"/>
        <v>0</v>
      </c>
      <c r="AH598" s="2120">
        <f t="shared" ca="1" si="1680"/>
        <v>-424990.29</v>
      </c>
      <c r="AI598" s="2120">
        <f t="shared" ca="1" si="1680"/>
        <v>0</v>
      </c>
      <c r="AJ598" s="2120">
        <f t="shared" ca="1" si="1680"/>
        <v>0</v>
      </c>
      <c r="AK598" s="2120">
        <f t="shared" ca="1" si="1680"/>
        <v>0</v>
      </c>
      <c r="AL598" s="2314">
        <f t="shared" ca="1" si="1680"/>
        <v>0</v>
      </c>
      <c r="AM598" s="2120">
        <f t="shared" ca="1" si="1680"/>
        <v>0</v>
      </c>
      <c r="AN598" s="2120">
        <f t="shared" ca="1" si="1680"/>
        <v>0</v>
      </c>
      <c r="AO598" s="2120">
        <f t="shared" ca="1" si="1680"/>
        <v>0</v>
      </c>
      <c r="AP598" s="2120">
        <f t="shared" ca="1" si="1680"/>
        <v>0</v>
      </c>
      <c r="AQ598" s="2120">
        <f t="shared" ca="1" si="1681"/>
        <v>0</v>
      </c>
      <c r="AR598" s="2120">
        <f t="shared" ca="1" si="1681"/>
        <v>0</v>
      </c>
      <c r="AS598" s="2120">
        <f t="shared" ca="1" si="1681"/>
        <v>0</v>
      </c>
      <c r="AT598" s="2120">
        <f t="shared" ca="1" si="1681"/>
        <v>0</v>
      </c>
      <c r="AU598" s="2120">
        <f t="shared" ca="1" si="1681"/>
        <v>0</v>
      </c>
      <c r="AV598" s="2120">
        <f t="shared" ca="1" si="1681"/>
        <v>0</v>
      </c>
      <c r="AW598" s="2120">
        <f t="shared" ca="1" si="1681"/>
        <v>0</v>
      </c>
      <c r="AX598" s="2120">
        <f t="shared" ca="1" si="1681"/>
        <v>0</v>
      </c>
      <c r="AY598" s="2120">
        <f t="shared" ca="1" si="1681"/>
        <v>0</v>
      </c>
      <c r="AZ598" s="2120">
        <f t="shared" ca="1" si="1681"/>
        <v>0</v>
      </c>
      <c r="BA598" s="2120">
        <f t="shared" ca="1" si="1681"/>
        <v>0</v>
      </c>
      <c r="BB598" s="2120">
        <f t="shared" ca="1" si="1681"/>
        <v>0</v>
      </c>
      <c r="BC598" s="2120">
        <f t="shared" ca="1" si="1681"/>
        <v>0</v>
      </c>
      <c r="BD598" s="2120">
        <f t="shared" ca="1" si="1681"/>
        <v>0</v>
      </c>
      <c r="BE598" s="2120">
        <f t="shared" ca="1" si="1681"/>
        <v>0</v>
      </c>
      <c r="BF598" s="2120">
        <f t="shared" ca="1" si="1681"/>
        <v>0</v>
      </c>
      <c r="BG598" s="2120">
        <f t="shared" ca="1" si="1682"/>
        <v>0</v>
      </c>
      <c r="BH598" s="2120">
        <f t="shared" ca="1" si="1682"/>
        <v>0</v>
      </c>
      <c r="BI598" s="2120">
        <f t="shared" ca="1" si="1682"/>
        <v>0</v>
      </c>
      <c r="BJ598" s="2120">
        <f t="shared" ca="1" si="1682"/>
        <v>0</v>
      </c>
      <c r="BK598" s="2120">
        <f t="shared" ca="1" si="1682"/>
        <v>0</v>
      </c>
      <c r="BL598" s="2120">
        <f t="shared" ca="1" si="1682"/>
        <v>0</v>
      </c>
      <c r="BM598" s="2120">
        <f t="shared" ca="1" si="1682"/>
        <v>0</v>
      </c>
      <c r="BN598" s="2120">
        <f t="shared" ca="1" si="1682"/>
        <v>0</v>
      </c>
      <c r="BO598" s="2120">
        <f t="shared" ca="1" si="1682"/>
        <v>0</v>
      </c>
      <c r="BP598" s="2120">
        <f t="shared" ca="1" si="1682"/>
        <v>0</v>
      </c>
      <c r="BQ598" s="2120">
        <f t="shared" ca="1" si="1682"/>
        <v>0</v>
      </c>
      <c r="BR598" s="2120">
        <f t="shared" ca="1" si="1682"/>
        <v>0</v>
      </c>
      <c r="BS598" s="2120">
        <f t="shared" ca="1" si="1682"/>
        <v>0</v>
      </c>
      <c r="BT598" s="2120">
        <f t="shared" ca="1" si="1682"/>
        <v>0</v>
      </c>
      <c r="BU598" s="2120">
        <f t="shared" ca="1" si="1682"/>
        <v>0</v>
      </c>
      <c r="BV598" s="2120">
        <f t="shared" ca="1" si="1682"/>
        <v>0</v>
      </c>
      <c r="BW598" s="2120">
        <f t="shared" ca="1" si="1683"/>
        <v>0</v>
      </c>
      <c r="BX598" s="2120">
        <f t="shared" ca="1" si="1683"/>
        <v>0</v>
      </c>
      <c r="BY598" s="2120">
        <f t="shared" ca="1" si="1683"/>
        <v>0</v>
      </c>
      <c r="BZ598" s="2120">
        <f t="shared" ca="1" si="1683"/>
        <v>0</v>
      </c>
      <c r="CA598" s="2120">
        <f t="shared" ca="1" si="1683"/>
        <v>0</v>
      </c>
      <c r="CB598" s="2120">
        <f t="shared" ca="1" si="1683"/>
        <v>0</v>
      </c>
      <c r="CC598" s="2120">
        <f t="shared" ca="1" si="1683"/>
        <v>0</v>
      </c>
      <c r="CD598" s="2120">
        <f t="shared" ca="1" si="1683"/>
        <v>0</v>
      </c>
      <c r="CE598" s="2120">
        <f t="shared" ca="1" si="1683"/>
        <v>0</v>
      </c>
      <c r="CF598" s="2120">
        <f t="shared" ca="1" si="1683"/>
        <v>0</v>
      </c>
      <c r="CG598" s="2120">
        <f t="shared" ca="1" si="1683"/>
        <v>0</v>
      </c>
      <c r="CH598" s="2120">
        <f t="shared" ca="1" si="1683"/>
        <v>0</v>
      </c>
      <c r="CI598" s="2120">
        <f t="shared" ca="1" si="1683"/>
        <v>0</v>
      </c>
      <c r="CJ598" s="2120">
        <f t="shared" ca="1" si="1683"/>
        <v>0</v>
      </c>
      <c r="CK598" s="2120">
        <f t="shared" ca="1" si="1683"/>
        <v>0</v>
      </c>
      <c r="CL598" s="2120">
        <f t="shared" ca="1" si="1683"/>
        <v>0</v>
      </c>
      <c r="CM598" s="2120">
        <f t="shared" ca="1" si="1684"/>
        <v>0</v>
      </c>
      <c r="CN598" s="2120">
        <f t="shared" ca="1" si="1684"/>
        <v>0</v>
      </c>
      <c r="CO598" s="2120">
        <f t="shared" ca="1" si="1684"/>
        <v>0</v>
      </c>
      <c r="CP598" s="2120">
        <f t="shared" ca="1" si="1684"/>
        <v>0</v>
      </c>
      <c r="CQ598" s="2120">
        <f t="shared" ca="1" si="1684"/>
        <v>0</v>
      </c>
      <c r="CR598" s="2120">
        <f t="shared" ca="1" si="1684"/>
        <v>0</v>
      </c>
      <c r="CS598" s="2120">
        <f t="shared" ca="1" si="1684"/>
        <v>0</v>
      </c>
      <c r="CT598" s="2120">
        <f t="shared" ca="1" si="1684"/>
        <v>0</v>
      </c>
      <c r="CU598" s="2120">
        <f t="shared" ca="1" si="1684"/>
        <v>0</v>
      </c>
      <c r="CV598" s="2120">
        <f t="shared" ca="1" si="1684"/>
        <v>0</v>
      </c>
      <c r="CW598" s="2120">
        <f t="shared" ca="1" si="1684"/>
        <v>0</v>
      </c>
      <c r="CX598" s="2120">
        <f t="shared" ca="1" si="1684"/>
        <v>0</v>
      </c>
      <c r="CY598" s="2120">
        <f t="shared" ca="1" si="1684"/>
        <v>0</v>
      </c>
      <c r="CZ598" s="2120">
        <f t="shared" ca="1" si="1684"/>
        <v>0</v>
      </c>
      <c r="DA598" s="2120">
        <f t="shared" ca="1" si="1684"/>
        <v>0</v>
      </c>
      <c r="DB598" s="2120">
        <f t="shared" ca="1" si="1684"/>
        <v>0</v>
      </c>
      <c r="DC598" s="2120">
        <f t="shared" ca="1" si="1685"/>
        <v>0</v>
      </c>
      <c r="DD598" s="2120">
        <f t="shared" ca="1" si="1685"/>
        <v>0</v>
      </c>
      <c r="DE598" s="2120">
        <f t="shared" ca="1" si="1685"/>
        <v>0</v>
      </c>
      <c r="DF598" s="2120">
        <f t="shared" ca="1" si="1685"/>
        <v>0</v>
      </c>
      <c r="DG598" s="2120">
        <f t="shared" ca="1" si="1685"/>
        <v>0</v>
      </c>
      <c r="DH598" s="2120">
        <f t="shared" ca="1" si="1685"/>
        <v>0</v>
      </c>
      <c r="DI598" s="2120">
        <f t="shared" ca="1" si="1685"/>
        <v>0</v>
      </c>
      <c r="DJ598" s="2120">
        <f t="shared" ca="1" si="1685"/>
        <v>0</v>
      </c>
      <c r="DK598" s="2120">
        <f t="shared" ca="1" si="1685"/>
        <v>0</v>
      </c>
      <c r="DL598" s="2120">
        <f t="shared" ca="1" si="1685"/>
        <v>0</v>
      </c>
      <c r="DM598" s="2120">
        <f t="shared" ca="1" si="1685"/>
        <v>0</v>
      </c>
      <c r="DN598" s="2120">
        <f t="shared" ca="1" si="1685"/>
        <v>0</v>
      </c>
      <c r="DO598" s="2120">
        <f t="shared" ca="1" si="1685"/>
        <v>0</v>
      </c>
      <c r="DP598" s="2120">
        <f t="shared" ca="1" si="1685"/>
        <v>0</v>
      </c>
    </row>
    <row r="599" spans="1:120" s="165" customFormat="1" hidden="1" outlineLevel="1">
      <c r="A599" s="1221">
        <v>1110052090</v>
      </c>
      <c r="B599" s="1222" t="s">
        <v>2351</v>
      </c>
      <c r="C599" s="2390" t="s">
        <v>64</v>
      </c>
      <c r="D599" s="1712"/>
      <c r="E599" s="1642">
        <v>44985</v>
      </c>
      <c r="F599" s="1224"/>
      <c r="G599" s="1266"/>
      <c r="H599" s="1225"/>
      <c r="I599" s="1226"/>
      <c r="J599" s="1604">
        <v>1</v>
      </c>
      <c r="K599" s="1605">
        <v>1</v>
      </c>
      <c r="L599" s="1606"/>
      <c r="M599" s="1631">
        <f t="shared" si="1700"/>
        <v>0</v>
      </c>
      <c r="N599" s="1228">
        <f ca="1">IF(OR(E599="",E599&gt;TODAY()),0,IF(ISERROR(VLOOKUP($E599,'TRM BanRep'!$A:$G,7,0)),0,VLOOKUP($E599,'TRM BanRep'!$A:$G,7,0)))</f>
        <v>4808.1400000000003</v>
      </c>
      <c r="O599" s="1229">
        <f t="shared" ca="1" si="1701"/>
        <v>0</v>
      </c>
      <c r="P599" s="1230">
        <v>-6782524.3899999997</v>
      </c>
      <c r="Q599" s="1230">
        <f t="shared" si="1702"/>
        <v>-6782524.3899999997</v>
      </c>
      <c r="R599" s="1231">
        <v>4531.75</v>
      </c>
      <c r="S599" s="1231">
        <v>4531.75</v>
      </c>
      <c r="T599" s="2388">
        <f t="shared" si="1703"/>
        <v>-30736704904.3825</v>
      </c>
      <c r="U599" s="2012">
        <f t="shared" si="1704"/>
        <v>-6782524.3899999997</v>
      </c>
      <c r="V599" s="566">
        <f t="shared" ca="1" si="1705"/>
        <v>-30736704904.3825</v>
      </c>
      <c r="W599" s="2389">
        <f t="shared" si="1706"/>
        <v>0</v>
      </c>
      <c r="X599" s="1236">
        <f t="shared" si="1707"/>
        <v>0</v>
      </c>
      <c r="Y599" s="1237"/>
      <c r="Z599" s="1055"/>
      <c r="AA599" s="2329">
        <f t="shared" ca="1" si="1680"/>
        <v>0</v>
      </c>
      <c r="AB599" s="2158">
        <f t="shared" ca="1" si="1680"/>
        <v>0</v>
      </c>
      <c r="AC599" s="2158">
        <f t="shared" ca="1" si="1680"/>
        <v>0</v>
      </c>
      <c r="AD599" s="2158">
        <f t="shared" ca="1" si="1680"/>
        <v>0</v>
      </c>
      <c r="AE599" s="2158">
        <f t="shared" ca="1" si="1680"/>
        <v>0</v>
      </c>
      <c r="AF599" s="2120">
        <f t="shared" ca="1" si="1680"/>
        <v>0</v>
      </c>
      <c r="AG599" s="2120">
        <f t="shared" ca="1" si="1680"/>
        <v>0</v>
      </c>
      <c r="AH599" s="2120">
        <f t="shared" ca="1" si="1680"/>
        <v>0</v>
      </c>
      <c r="AI599" s="2120">
        <f t="shared" ca="1" si="1680"/>
        <v>0</v>
      </c>
      <c r="AJ599" s="2120">
        <f t="shared" ca="1" si="1680"/>
        <v>0</v>
      </c>
      <c r="AK599" s="2120">
        <f t="shared" ca="1" si="1680"/>
        <v>-6782524.3899999997</v>
      </c>
      <c r="AL599" s="2314">
        <f t="shared" ca="1" si="1680"/>
        <v>0</v>
      </c>
      <c r="AM599" s="2120">
        <f t="shared" ca="1" si="1680"/>
        <v>0</v>
      </c>
      <c r="AN599" s="2120">
        <f t="shared" ca="1" si="1680"/>
        <v>0</v>
      </c>
      <c r="AO599" s="2120">
        <f t="shared" ca="1" si="1680"/>
        <v>0</v>
      </c>
      <c r="AP599" s="2120">
        <f t="shared" ca="1" si="1680"/>
        <v>0</v>
      </c>
      <c r="AQ599" s="2120">
        <f t="shared" ca="1" si="1681"/>
        <v>0</v>
      </c>
      <c r="AR599" s="2120">
        <f t="shared" ca="1" si="1681"/>
        <v>0</v>
      </c>
      <c r="AS599" s="2120">
        <f t="shared" ca="1" si="1681"/>
        <v>0</v>
      </c>
      <c r="AT599" s="2120">
        <f t="shared" ca="1" si="1681"/>
        <v>0</v>
      </c>
      <c r="AU599" s="2120">
        <f t="shared" ca="1" si="1681"/>
        <v>0</v>
      </c>
      <c r="AV599" s="2120">
        <f t="shared" ca="1" si="1681"/>
        <v>0</v>
      </c>
      <c r="AW599" s="2120">
        <f t="shared" ca="1" si="1681"/>
        <v>0</v>
      </c>
      <c r="AX599" s="2120">
        <f t="shared" ca="1" si="1681"/>
        <v>0</v>
      </c>
      <c r="AY599" s="2120">
        <f t="shared" ca="1" si="1681"/>
        <v>0</v>
      </c>
      <c r="AZ599" s="2120">
        <f t="shared" ca="1" si="1681"/>
        <v>0</v>
      </c>
      <c r="BA599" s="2120">
        <f t="shared" ca="1" si="1681"/>
        <v>0</v>
      </c>
      <c r="BB599" s="2120">
        <f t="shared" ca="1" si="1681"/>
        <v>0</v>
      </c>
      <c r="BC599" s="2120">
        <f t="shared" ca="1" si="1681"/>
        <v>0</v>
      </c>
      <c r="BD599" s="2120">
        <f t="shared" ca="1" si="1681"/>
        <v>0</v>
      </c>
      <c r="BE599" s="2120">
        <f t="shared" ca="1" si="1681"/>
        <v>0</v>
      </c>
      <c r="BF599" s="2120">
        <f t="shared" ca="1" si="1681"/>
        <v>0</v>
      </c>
      <c r="BG599" s="2120">
        <f t="shared" ca="1" si="1682"/>
        <v>0</v>
      </c>
      <c r="BH599" s="2120">
        <f t="shared" ca="1" si="1682"/>
        <v>0</v>
      </c>
      <c r="BI599" s="2120">
        <f t="shared" ca="1" si="1682"/>
        <v>0</v>
      </c>
      <c r="BJ599" s="2120">
        <f t="shared" ca="1" si="1682"/>
        <v>0</v>
      </c>
      <c r="BK599" s="2120">
        <f t="shared" ca="1" si="1682"/>
        <v>0</v>
      </c>
      <c r="BL599" s="2120">
        <f t="shared" ca="1" si="1682"/>
        <v>0</v>
      </c>
      <c r="BM599" s="2120">
        <f t="shared" ca="1" si="1682"/>
        <v>0</v>
      </c>
      <c r="BN599" s="2120">
        <f t="shared" ca="1" si="1682"/>
        <v>0</v>
      </c>
      <c r="BO599" s="2120">
        <f t="shared" ca="1" si="1682"/>
        <v>0</v>
      </c>
      <c r="BP599" s="2120">
        <f t="shared" ca="1" si="1682"/>
        <v>0</v>
      </c>
      <c r="BQ599" s="2120">
        <f t="shared" ca="1" si="1682"/>
        <v>0</v>
      </c>
      <c r="BR599" s="2120">
        <f t="shared" ca="1" si="1682"/>
        <v>0</v>
      </c>
      <c r="BS599" s="2120">
        <f t="shared" ca="1" si="1682"/>
        <v>0</v>
      </c>
      <c r="BT599" s="2120">
        <f t="shared" ca="1" si="1682"/>
        <v>0</v>
      </c>
      <c r="BU599" s="2120">
        <f t="shared" ca="1" si="1682"/>
        <v>0</v>
      </c>
      <c r="BV599" s="2120">
        <f t="shared" ca="1" si="1682"/>
        <v>0</v>
      </c>
      <c r="BW599" s="2120">
        <f t="shared" ca="1" si="1683"/>
        <v>0</v>
      </c>
      <c r="BX599" s="2120">
        <f t="shared" ca="1" si="1683"/>
        <v>0</v>
      </c>
      <c r="BY599" s="2120">
        <f t="shared" ca="1" si="1683"/>
        <v>0</v>
      </c>
      <c r="BZ599" s="2120">
        <f t="shared" ca="1" si="1683"/>
        <v>0</v>
      </c>
      <c r="CA599" s="2120">
        <f t="shared" ca="1" si="1683"/>
        <v>0</v>
      </c>
      <c r="CB599" s="2120">
        <f t="shared" ca="1" si="1683"/>
        <v>0</v>
      </c>
      <c r="CC599" s="2120">
        <f t="shared" ca="1" si="1683"/>
        <v>0</v>
      </c>
      <c r="CD599" s="2120">
        <f t="shared" ca="1" si="1683"/>
        <v>0</v>
      </c>
      <c r="CE599" s="2120">
        <f t="shared" ca="1" si="1683"/>
        <v>0</v>
      </c>
      <c r="CF599" s="2120">
        <f t="shared" ca="1" si="1683"/>
        <v>0</v>
      </c>
      <c r="CG599" s="2120">
        <f t="shared" ca="1" si="1683"/>
        <v>0</v>
      </c>
      <c r="CH599" s="2120">
        <f t="shared" ca="1" si="1683"/>
        <v>0</v>
      </c>
      <c r="CI599" s="2120">
        <f t="shared" ca="1" si="1683"/>
        <v>0</v>
      </c>
      <c r="CJ599" s="2120">
        <f t="shared" ca="1" si="1683"/>
        <v>0</v>
      </c>
      <c r="CK599" s="2120">
        <f t="shared" ca="1" si="1683"/>
        <v>0</v>
      </c>
      <c r="CL599" s="2120">
        <f t="shared" ca="1" si="1683"/>
        <v>0</v>
      </c>
      <c r="CM599" s="2120">
        <f t="shared" ca="1" si="1684"/>
        <v>0</v>
      </c>
      <c r="CN599" s="2120">
        <f t="shared" ca="1" si="1684"/>
        <v>0</v>
      </c>
      <c r="CO599" s="2120">
        <f t="shared" ca="1" si="1684"/>
        <v>0</v>
      </c>
      <c r="CP599" s="2120">
        <f t="shared" ca="1" si="1684"/>
        <v>0</v>
      </c>
      <c r="CQ599" s="2120">
        <f t="shared" ca="1" si="1684"/>
        <v>0</v>
      </c>
      <c r="CR599" s="2120">
        <f t="shared" ca="1" si="1684"/>
        <v>0</v>
      </c>
      <c r="CS599" s="2120">
        <f t="shared" ca="1" si="1684"/>
        <v>0</v>
      </c>
      <c r="CT599" s="2120">
        <f t="shared" ca="1" si="1684"/>
        <v>0</v>
      </c>
      <c r="CU599" s="2120">
        <f t="shared" ca="1" si="1684"/>
        <v>0</v>
      </c>
      <c r="CV599" s="2120">
        <f t="shared" ca="1" si="1684"/>
        <v>0</v>
      </c>
      <c r="CW599" s="2120">
        <f t="shared" ca="1" si="1684"/>
        <v>0</v>
      </c>
      <c r="CX599" s="2120">
        <f t="shared" ca="1" si="1684"/>
        <v>0</v>
      </c>
      <c r="CY599" s="2120">
        <f t="shared" ca="1" si="1684"/>
        <v>0</v>
      </c>
      <c r="CZ599" s="2120">
        <f t="shared" ca="1" si="1684"/>
        <v>0</v>
      </c>
      <c r="DA599" s="2120">
        <f t="shared" ca="1" si="1684"/>
        <v>0</v>
      </c>
      <c r="DB599" s="2120">
        <f t="shared" ca="1" si="1684"/>
        <v>0</v>
      </c>
      <c r="DC599" s="2120">
        <f t="shared" ca="1" si="1685"/>
        <v>0</v>
      </c>
      <c r="DD599" s="2120">
        <f t="shared" ca="1" si="1685"/>
        <v>0</v>
      </c>
      <c r="DE599" s="2120">
        <f t="shared" ca="1" si="1685"/>
        <v>0</v>
      </c>
      <c r="DF599" s="2120">
        <f t="shared" ca="1" si="1685"/>
        <v>0</v>
      </c>
      <c r="DG599" s="2120">
        <f t="shared" ca="1" si="1685"/>
        <v>0</v>
      </c>
      <c r="DH599" s="2120">
        <f t="shared" ca="1" si="1685"/>
        <v>0</v>
      </c>
      <c r="DI599" s="2120">
        <f t="shared" ca="1" si="1685"/>
        <v>0</v>
      </c>
      <c r="DJ599" s="2120">
        <f t="shared" ca="1" si="1685"/>
        <v>0</v>
      </c>
      <c r="DK599" s="2120">
        <f t="shared" ca="1" si="1685"/>
        <v>0</v>
      </c>
      <c r="DL599" s="2120">
        <f t="shared" ca="1" si="1685"/>
        <v>0</v>
      </c>
      <c r="DM599" s="2120">
        <f t="shared" ca="1" si="1685"/>
        <v>0</v>
      </c>
      <c r="DN599" s="2120">
        <f t="shared" ca="1" si="1685"/>
        <v>0</v>
      </c>
      <c r="DO599" s="2120">
        <f t="shared" ca="1" si="1685"/>
        <v>0</v>
      </c>
      <c r="DP599" s="2120">
        <f t="shared" ca="1" si="1685"/>
        <v>0</v>
      </c>
    </row>
    <row r="600" spans="1:120" s="61" customFormat="1" hidden="1" outlineLevel="1">
      <c r="A600" s="57">
        <v>1110052090</v>
      </c>
      <c r="B600" s="195"/>
      <c r="C600" s="196" t="s">
        <v>64</v>
      </c>
      <c r="D600" s="1557"/>
      <c r="E600" s="1558"/>
      <c r="F600" s="58"/>
      <c r="G600" s="1252"/>
      <c r="H600" s="522"/>
      <c r="I600" s="523"/>
      <c r="J600" s="1425">
        <v>1</v>
      </c>
      <c r="K600" s="1426">
        <v>1</v>
      </c>
      <c r="L600" s="59"/>
      <c r="M600" s="1541">
        <f t="shared" ref="M600" si="1716">+L600*J600</f>
        <v>0</v>
      </c>
      <c r="N600" s="524"/>
      <c r="O600" s="525">
        <f>+L600*N600</f>
        <v>0</v>
      </c>
      <c r="P600" s="197"/>
      <c r="Q600" s="526">
        <f t="shared" ref="Q600" si="1717">+P600*K600</f>
        <v>0</v>
      </c>
      <c r="R600" s="527"/>
      <c r="S600" s="527"/>
      <c r="T600" s="564">
        <f>+P600*S600</f>
        <v>0</v>
      </c>
      <c r="U600" s="1121">
        <f>+L600+P600+F600</f>
        <v>0</v>
      </c>
      <c r="V600" s="529">
        <f>+P600*R600+L600*N600+F600*H600</f>
        <v>0</v>
      </c>
      <c r="W600" s="94">
        <f>IF((-P600*R600)-(-P600*S600)&gt;0,(-P600*R600)-(-P600*S600),0)</f>
        <v>0</v>
      </c>
      <c r="X600" s="530">
        <f>IF((-P600*R600)-(-P600*S600)&lt;0,(-P600*R600)-(-P600*S600),0)</f>
        <v>0</v>
      </c>
      <c r="Y600" s="531"/>
      <c r="Z600" s="1055"/>
      <c r="AA600" s="198"/>
      <c r="AB600" s="707"/>
      <c r="AC600" s="707"/>
      <c r="AD600" s="707"/>
      <c r="AE600" s="707"/>
      <c r="AF600" s="707">
        <f>+Q600</f>
        <v>0</v>
      </c>
      <c r="AG600" s="707"/>
      <c r="AH600" s="707"/>
      <c r="AI600" s="707"/>
      <c r="AJ600" s="707"/>
      <c r="AK600" s="707"/>
      <c r="AL600" s="1577"/>
      <c r="AM600" s="707"/>
      <c r="AN600" s="707"/>
      <c r="AO600" s="707"/>
      <c r="AP600" s="707"/>
      <c r="AQ600" s="707"/>
      <c r="AR600" s="707"/>
      <c r="AS600" s="707"/>
      <c r="AT600" s="707"/>
      <c r="AU600" s="707"/>
      <c r="AV600" s="707"/>
      <c r="AW600" s="707"/>
      <c r="AX600" s="707">
        <f>+L600</f>
        <v>0</v>
      </c>
      <c r="AY600" s="707"/>
      <c r="AZ600" s="707"/>
      <c r="BA600" s="707"/>
      <c r="BB600" s="707"/>
      <c r="BC600" s="707"/>
      <c r="BD600" s="707"/>
      <c r="BE600" s="707"/>
      <c r="BF600" s="707"/>
      <c r="BG600" s="707"/>
      <c r="BH600" s="707"/>
      <c r="BI600" s="707"/>
      <c r="BJ600" s="707"/>
      <c r="BK600" s="707"/>
      <c r="BL600" s="707"/>
      <c r="BM600" s="707"/>
      <c r="BN600" s="707"/>
      <c r="BO600" s="707"/>
      <c r="BP600" s="707"/>
      <c r="BQ600" s="707"/>
      <c r="BR600" s="707"/>
      <c r="BS600" s="707"/>
      <c r="BT600" s="707"/>
      <c r="BU600" s="707"/>
      <c r="BV600" s="707"/>
      <c r="BW600" s="707"/>
      <c r="BX600" s="707"/>
      <c r="BY600" s="707"/>
      <c r="BZ600" s="707"/>
      <c r="CA600" s="707"/>
      <c r="CB600" s="707"/>
      <c r="CC600" s="707"/>
      <c r="CD600" s="707"/>
      <c r="CE600" s="707"/>
      <c r="CF600" s="707"/>
      <c r="CG600" s="707"/>
      <c r="CH600" s="707"/>
      <c r="CI600" s="707"/>
      <c r="CJ600" s="707"/>
      <c r="CK600" s="707"/>
      <c r="CL600" s="707"/>
      <c r="CM600" s="707"/>
      <c r="CN600" s="707"/>
      <c r="CO600" s="707"/>
      <c r="CP600" s="707"/>
      <c r="CQ600" s="707"/>
      <c r="CR600" s="707"/>
      <c r="CS600" s="707"/>
      <c r="CT600" s="707"/>
      <c r="CU600" s="707"/>
      <c r="CV600" s="707"/>
      <c r="CW600" s="707"/>
      <c r="CX600" s="707"/>
      <c r="CY600" s="707"/>
      <c r="CZ600" s="707"/>
      <c r="DA600" s="707"/>
      <c r="DB600" s="707"/>
      <c r="DC600" s="707"/>
      <c r="DD600" s="707"/>
      <c r="DE600" s="707"/>
      <c r="DF600" s="707"/>
      <c r="DG600" s="707"/>
      <c r="DH600" s="707"/>
      <c r="DI600" s="707"/>
      <c r="DJ600" s="707"/>
      <c r="DK600" s="707"/>
      <c r="DL600" s="707"/>
      <c r="DM600" s="707"/>
      <c r="DN600" s="707"/>
      <c r="DO600" s="707"/>
      <c r="DP600" s="707"/>
    </row>
    <row r="601" spans="1:120" hidden="1" outlineLevel="1">
      <c r="A601" s="55"/>
      <c r="B601" s="90"/>
      <c r="C601" s="91"/>
      <c r="D601" s="1538"/>
      <c r="E601" s="1539"/>
      <c r="F601" s="416"/>
      <c r="G601" s="1251"/>
      <c r="H601" s="511"/>
      <c r="I601" s="512"/>
      <c r="J601" s="1559"/>
      <c r="K601" s="1560"/>
      <c r="L601" s="417"/>
      <c r="M601" s="1540"/>
      <c r="N601" s="504"/>
      <c r="O601" s="513">
        <f>+L601*N601</f>
        <v>0</v>
      </c>
      <c r="P601" s="431"/>
      <c r="Q601" s="514"/>
      <c r="R601" s="515"/>
      <c r="S601" s="515"/>
      <c r="T601" s="562">
        <f>+P601*S601</f>
        <v>0</v>
      </c>
      <c r="U601" s="1121">
        <f>+L601+P601+F601</f>
        <v>0</v>
      </c>
      <c r="V601" s="517">
        <f>+P601*R601+L601*N601+F601*H601</f>
        <v>0</v>
      </c>
      <c r="W601" s="976"/>
      <c r="X601" s="975"/>
      <c r="Y601" s="519"/>
      <c r="Z601" s="1055"/>
      <c r="AA601" s="199"/>
      <c r="AB601" s="561"/>
      <c r="AC601" s="561"/>
      <c r="AD601" s="561"/>
      <c r="AE601" s="561"/>
      <c r="AF601" s="561"/>
      <c r="AG601" s="561"/>
      <c r="AH601" s="561"/>
      <c r="AI601" s="561"/>
      <c r="AJ601" s="561"/>
      <c r="AK601" s="561"/>
      <c r="AL601" s="1542"/>
      <c r="AM601" s="561"/>
      <c r="AN601" s="561"/>
      <c r="AO601" s="561"/>
      <c r="AP601" s="561"/>
      <c r="AQ601" s="561"/>
      <c r="AR601" s="561"/>
      <c r="AS601" s="561"/>
      <c r="AT601" s="561"/>
      <c r="AU601" s="561"/>
      <c r="AV601" s="561"/>
      <c r="AW601" s="561"/>
      <c r="AX601" s="561"/>
      <c r="AY601" s="561"/>
      <c r="AZ601" s="561"/>
      <c r="BA601" s="561"/>
      <c r="BB601" s="561"/>
      <c r="BC601" s="561"/>
      <c r="BD601" s="561"/>
      <c r="BE601" s="561"/>
      <c r="BF601" s="561"/>
      <c r="BG601" s="561"/>
      <c r="BH601" s="561"/>
      <c r="BI601" s="561"/>
      <c r="BJ601" s="561"/>
      <c r="BK601" s="561"/>
      <c r="BL601" s="561"/>
      <c r="BM601" s="561"/>
      <c r="BN601" s="561"/>
      <c r="BO601" s="561"/>
      <c r="BP601" s="561"/>
      <c r="BQ601" s="561"/>
      <c r="BR601" s="561"/>
      <c r="BS601" s="561"/>
      <c r="BT601" s="561"/>
      <c r="BU601" s="561"/>
      <c r="BV601" s="561"/>
      <c r="BW601" s="561"/>
      <c r="BX601" s="561"/>
      <c r="BY601" s="561"/>
      <c r="BZ601" s="561"/>
      <c r="CA601" s="561"/>
      <c r="CB601" s="561"/>
      <c r="CC601" s="561"/>
      <c r="CD601" s="561"/>
      <c r="CE601" s="561"/>
      <c r="CF601" s="561"/>
      <c r="CG601" s="561"/>
      <c r="CH601" s="561"/>
      <c r="CI601" s="561"/>
      <c r="CJ601" s="561"/>
      <c r="CK601" s="561"/>
      <c r="CL601" s="561"/>
      <c r="CM601" s="561"/>
      <c r="CN601" s="561"/>
      <c r="CO601" s="561"/>
      <c r="CP601" s="561"/>
      <c r="CQ601" s="561"/>
      <c r="CR601" s="561"/>
      <c r="CS601" s="561"/>
      <c r="CT601" s="561"/>
      <c r="CU601" s="561"/>
      <c r="CV601" s="561"/>
      <c r="CW601" s="561"/>
      <c r="CX601" s="561"/>
      <c r="CY601" s="561"/>
      <c r="CZ601" s="561"/>
      <c r="DA601" s="561"/>
      <c r="DB601" s="561"/>
      <c r="DC601" s="561"/>
      <c r="DD601" s="561"/>
      <c r="DE601" s="561"/>
      <c r="DF601" s="561"/>
      <c r="DG601" s="561"/>
      <c r="DH601" s="561"/>
      <c r="DI601" s="561"/>
      <c r="DJ601" s="561"/>
      <c r="DK601" s="561"/>
      <c r="DL601" s="561"/>
      <c r="DM601" s="561"/>
      <c r="DN601" s="561"/>
      <c r="DO601" s="561"/>
      <c r="DP601" s="561"/>
    </row>
    <row r="602" spans="1:120" ht="16.5" collapsed="1" thickBot="1">
      <c r="A602" s="62" t="s">
        <v>227</v>
      </c>
      <c r="B602" s="63"/>
      <c r="C602" s="64"/>
      <c r="D602" s="1473"/>
      <c r="E602" s="1474"/>
      <c r="F602" s="66">
        <f>SUM(F592:F601)</f>
        <v>0</v>
      </c>
      <c r="G602" s="1253"/>
      <c r="H602" s="67"/>
      <c r="I602" s="68">
        <f>SUM(I592:I601)</f>
        <v>0</v>
      </c>
      <c r="J602" s="1376"/>
      <c r="K602" s="76"/>
      <c r="L602" s="1051">
        <f>SUM(L592:L601)</f>
        <v>2809656.08</v>
      </c>
      <c r="M602" s="168"/>
      <c r="N602" s="70"/>
      <c r="O602" s="71">
        <f ca="1">SUM(O592:O601)</f>
        <v>13630267737.015999</v>
      </c>
      <c r="P602" s="72">
        <f>SUM(P592:P601)</f>
        <v>-8000023</v>
      </c>
      <c r="Q602" s="1339"/>
      <c r="R602" s="73"/>
      <c r="S602" s="73"/>
      <c r="T602" s="96">
        <f ca="1">SUM(T592:T601)</f>
        <v>-36606000274.1101</v>
      </c>
      <c r="U602" s="173">
        <f>SUM(U592:U601)</f>
        <v>-5190366.92</v>
      </c>
      <c r="V602" s="174">
        <f ca="1">SUM(V592:V601)</f>
        <v>-22975729831.604103</v>
      </c>
      <c r="W602" s="191">
        <f ca="1">SUM(W592:W601)</f>
        <v>0</v>
      </c>
      <c r="X602" s="78">
        <f ca="1">SUM(X592:X601)</f>
        <v>-2705.4899999999907</v>
      </c>
      <c r="Y602" s="43"/>
      <c r="AA602" s="192">
        <f t="shared" ref="AA602:BU602" ca="1" si="1718">SUM(AA590:AA601)</f>
        <v>6.9849193096160889E-10</v>
      </c>
      <c r="AB602" s="193">
        <f t="shared" ca="1" si="1718"/>
        <v>0</v>
      </c>
      <c r="AC602" s="193">
        <f t="shared" ca="1" si="1718"/>
        <v>-2.3283064365386963E-10</v>
      </c>
      <c r="AD602" s="193">
        <f t="shared" ca="1" si="1718"/>
        <v>0</v>
      </c>
      <c r="AE602" s="193">
        <f t="shared" ca="1" si="1718"/>
        <v>0</v>
      </c>
      <c r="AF602" s="193">
        <f t="shared" ca="1" si="1718"/>
        <v>0</v>
      </c>
      <c r="AG602" s="193">
        <f t="shared" ca="1" si="1718"/>
        <v>0</v>
      </c>
      <c r="AH602" s="193">
        <f t="shared" ca="1" si="1718"/>
        <v>0</v>
      </c>
      <c r="AI602" s="193">
        <f t="shared" ca="1" si="1718"/>
        <v>-5.8207660913467407E-10</v>
      </c>
      <c r="AJ602" s="193">
        <f t="shared" ca="1" si="1718"/>
        <v>0</v>
      </c>
      <c r="AK602" s="193">
        <f t="shared" ca="1" si="1718"/>
        <v>21265604.5</v>
      </c>
      <c r="AL602" s="193">
        <f t="shared" ca="1" si="1718"/>
        <v>0</v>
      </c>
      <c r="AM602" s="193">
        <f t="shared" ca="1" si="1718"/>
        <v>4802005.74</v>
      </c>
      <c r="AN602" s="193">
        <f t="shared" ca="1" si="1718"/>
        <v>36656.480000000003</v>
      </c>
      <c r="AO602" s="193">
        <f t="shared" ca="1" si="1718"/>
        <v>2772999.6</v>
      </c>
      <c r="AP602" s="193">
        <f t="shared" ca="1" si="1718"/>
        <v>0</v>
      </c>
      <c r="AQ602" s="193">
        <f t="shared" ca="1" si="1718"/>
        <v>0</v>
      </c>
      <c r="AR602" s="193">
        <f t="shared" ca="1" si="1718"/>
        <v>0</v>
      </c>
      <c r="AS602" s="193">
        <f t="shared" ca="1" si="1718"/>
        <v>0</v>
      </c>
      <c r="AT602" s="193">
        <f t="shared" ca="1" si="1718"/>
        <v>0</v>
      </c>
      <c r="AU602" s="193">
        <f t="shared" ca="1" si="1718"/>
        <v>0</v>
      </c>
      <c r="AV602" s="193">
        <f t="shared" ca="1" si="1718"/>
        <v>0</v>
      </c>
      <c r="AW602" s="193">
        <f t="shared" ca="1" si="1718"/>
        <v>0</v>
      </c>
      <c r="AX602" s="193">
        <f t="shared" ca="1" si="1718"/>
        <v>0</v>
      </c>
      <c r="AY602" s="193">
        <f t="shared" ca="1" si="1718"/>
        <v>0</v>
      </c>
      <c r="AZ602" s="193">
        <f t="shared" ca="1" si="1718"/>
        <v>0</v>
      </c>
      <c r="BA602" s="193">
        <f t="shared" ca="1" si="1718"/>
        <v>0</v>
      </c>
      <c r="BB602" s="193">
        <f t="shared" ca="1" si="1718"/>
        <v>0</v>
      </c>
      <c r="BC602" s="193">
        <f t="shared" ca="1" si="1718"/>
        <v>0</v>
      </c>
      <c r="BD602" s="193">
        <f t="shared" ca="1" si="1718"/>
        <v>0</v>
      </c>
      <c r="BE602" s="193">
        <f t="shared" ca="1" si="1718"/>
        <v>0</v>
      </c>
      <c r="BF602" s="193">
        <f t="shared" ca="1" si="1718"/>
        <v>0</v>
      </c>
      <c r="BG602" s="193">
        <f t="shared" ca="1" si="1718"/>
        <v>0</v>
      </c>
      <c r="BH602" s="193">
        <f t="shared" ca="1" si="1718"/>
        <v>0</v>
      </c>
      <c r="BI602" s="193">
        <f t="shared" ca="1" si="1718"/>
        <v>0</v>
      </c>
      <c r="BJ602" s="193">
        <f t="shared" ca="1" si="1718"/>
        <v>0</v>
      </c>
      <c r="BK602" s="193">
        <f t="shared" ca="1" si="1718"/>
        <v>0</v>
      </c>
      <c r="BL602" s="193">
        <f t="shared" ca="1" si="1718"/>
        <v>0</v>
      </c>
      <c r="BM602" s="193">
        <f t="shared" ca="1" si="1718"/>
        <v>0</v>
      </c>
      <c r="BN602" s="193">
        <f t="shared" ca="1" si="1718"/>
        <v>0</v>
      </c>
      <c r="BO602" s="193">
        <f t="shared" ca="1" si="1718"/>
        <v>0</v>
      </c>
      <c r="BP602" s="193">
        <f t="shared" ca="1" si="1718"/>
        <v>0</v>
      </c>
      <c r="BQ602" s="193">
        <f t="shared" ca="1" si="1718"/>
        <v>0</v>
      </c>
      <c r="BR602" s="193">
        <f t="shared" ca="1" si="1718"/>
        <v>0</v>
      </c>
      <c r="BS602" s="193">
        <f t="shared" ca="1" si="1718"/>
        <v>0</v>
      </c>
      <c r="BT602" s="193">
        <f t="shared" ca="1" si="1718"/>
        <v>0</v>
      </c>
      <c r="BU602" s="193">
        <f t="shared" ca="1" si="1718"/>
        <v>0</v>
      </c>
      <c r="BV602" s="193"/>
      <c r="BW602" s="193"/>
      <c r="BX602" s="193"/>
      <c r="BY602" s="193"/>
      <c r="BZ602" s="193"/>
      <c r="CA602" s="193"/>
      <c r="CB602" s="193"/>
      <c r="CC602" s="193"/>
      <c r="CD602" s="193"/>
      <c r="CE602" s="193"/>
      <c r="CF602" s="193"/>
      <c r="CG602" s="193"/>
      <c r="CH602" s="193"/>
      <c r="CI602" s="193"/>
      <c r="CJ602" s="193"/>
      <c r="CK602" s="193"/>
      <c r="CL602" s="193"/>
      <c r="CM602" s="193"/>
      <c r="CN602" s="193"/>
      <c r="CO602" s="193"/>
      <c r="CP602" s="193"/>
      <c r="CQ602" s="193"/>
      <c r="CR602" s="193"/>
      <c r="CS602" s="193"/>
      <c r="CT602" s="193"/>
      <c r="CU602" s="193"/>
      <c r="CV602" s="193"/>
      <c r="CW602" s="193"/>
      <c r="CX602" s="193"/>
      <c r="CY602" s="193"/>
      <c r="CZ602" s="193"/>
      <c r="DA602" s="193"/>
      <c r="DB602" s="193"/>
      <c r="DC602" s="193"/>
      <c r="DD602" s="193"/>
      <c r="DE602" s="193"/>
      <c r="DF602" s="193"/>
      <c r="DG602" s="193"/>
      <c r="DH602" s="193"/>
      <c r="DI602" s="193"/>
      <c r="DJ602" s="193"/>
      <c r="DK602" s="193"/>
      <c r="DL602" s="193"/>
      <c r="DM602" s="193"/>
      <c r="DN602" s="193"/>
      <c r="DO602" s="193"/>
      <c r="DP602" s="193"/>
    </row>
    <row r="603" spans="1:120"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  <c r="CG603" s="24"/>
      <c r="CH603" s="24"/>
      <c r="CI603" s="24"/>
      <c r="CJ603" s="24"/>
      <c r="CK603" s="24"/>
      <c r="CL603" s="24"/>
      <c r="CM603" s="24"/>
      <c r="CN603" s="24"/>
      <c r="CO603" s="24"/>
      <c r="CP603" s="24"/>
      <c r="CQ603" s="24"/>
      <c r="CR603" s="24"/>
      <c r="CS603" s="24"/>
      <c r="CT603" s="24"/>
      <c r="CU603" s="24"/>
      <c r="CV603" s="24"/>
      <c r="CW603" s="24"/>
      <c r="CX603" s="24"/>
      <c r="CY603" s="24"/>
      <c r="CZ603" s="24"/>
      <c r="DA603" s="24"/>
      <c r="DB603" s="24"/>
      <c r="DC603" s="24"/>
      <c r="DD603" s="24"/>
      <c r="DE603" s="24"/>
      <c r="DF603" s="24"/>
      <c r="DG603" s="24"/>
      <c r="DH603" s="24"/>
      <c r="DI603" s="24"/>
      <c r="DJ603" s="24"/>
      <c r="DK603" s="24"/>
      <c r="DL603" s="24"/>
      <c r="DM603" s="24"/>
      <c r="DN603" s="24"/>
      <c r="DO603" s="24"/>
      <c r="DP603" s="24"/>
    </row>
    <row r="604" spans="1:120" s="86" customFormat="1" hidden="1" outlineLevel="1">
      <c r="A604" s="708">
        <v>1110052090</v>
      </c>
      <c r="B604" s="709" t="s">
        <v>78</v>
      </c>
      <c r="C604" s="710" t="s">
        <v>64</v>
      </c>
      <c r="D604" s="1489"/>
      <c r="E604" s="1490">
        <v>44986</v>
      </c>
      <c r="F604" s="711"/>
      <c r="G604" s="1269"/>
      <c r="H604" s="712"/>
      <c r="I604" s="713"/>
      <c r="J604" s="1483">
        <v>1</v>
      </c>
      <c r="K604" s="1484">
        <v>1</v>
      </c>
      <c r="L604" s="2007">
        <v>128726.02</v>
      </c>
      <c r="M604" s="1428">
        <f t="shared" ref="M604" si="1719">+L604*J604</f>
        <v>128726.02</v>
      </c>
      <c r="N604" s="647">
        <f ca="1">IF(OR(E604="",E604&gt;TODAY()),0,IF(ISERROR(VLOOKUP($E604,'TRM BanRep'!$A:$G,7,0)),0,VLOOKUP($E604,'TRM BanRep'!$A:$G,7,0)))</f>
        <v>4814.1099999999997</v>
      </c>
      <c r="O604" s="714">
        <f t="shared" ref="O604:O625" ca="1" si="1720">+L604*N604</f>
        <v>619701220.14219999</v>
      </c>
      <c r="P604" s="715"/>
      <c r="Q604" s="715">
        <f t="shared" ref="Q604:Q625" si="1721">+P604*K604</f>
        <v>0</v>
      </c>
      <c r="R604" s="716"/>
      <c r="S604" s="716">
        <f ca="1">IF(OR(E604="",E604&gt;TODAY()),0,IF(ISERROR(VLOOKUP($E604,'TRM BanRep'!$A:$G,7,0)),0,VLOOKUP($E604,'TRM BanRep'!$A:$G,7,0)))</f>
        <v>4814.1099999999997</v>
      </c>
      <c r="T604" s="717">
        <f t="shared" ref="T604:T627" ca="1" si="1722">+P604*S604</f>
        <v>0</v>
      </c>
      <c r="U604" s="718">
        <f t="shared" ref="U604:U627" si="1723">+L604+P604+F604</f>
        <v>128726.02</v>
      </c>
      <c r="V604" s="714">
        <f t="shared" ref="V604:V625" ca="1" si="1724">+P604*R604+L604*N604+F604*H604</f>
        <v>619701220.14219999</v>
      </c>
      <c r="W604" s="719">
        <f t="shared" ref="W604:W625" ca="1" si="1725">IF((-P604*R604)-(-P604*S604)&gt;0,(-P604*R604)-(-P604*S604),0)</f>
        <v>0</v>
      </c>
      <c r="X604" s="720">
        <f t="shared" ref="X604:X625" ca="1" si="1726">IF((-P604*R604)-(-P604*S604)&lt;0,(-P604*R604)-(-P604*S604),0)</f>
        <v>0</v>
      </c>
      <c r="Y604" s="721"/>
      <c r="Z604" s="1055"/>
      <c r="AA604" s="705">
        <f t="shared" ref="AA604:AP625" si="1727">IF($L604="",IF(OR($P604="",$R604=""),0,IF($R604=AA$6,$Q604,0)),IF($E604=AA$5,$M604,))</f>
        <v>0</v>
      </c>
      <c r="AB604" s="706">
        <f t="shared" si="1727"/>
        <v>0</v>
      </c>
      <c r="AC604" s="706">
        <f t="shared" si="1727"/>
        <v>0</v>
      </c>
      <c r="AD604" s="706">
        <f t="shared" si="1727"/>
        <v>0</v>
      </c>
      <c r="AE604" s="706">
        <f t="shared" si="1727"/>
        <v>0</v>
      </c>
      <c r="AF604" s="706">
        <f t="shared" si="1727"/>
        <v>0</v>
      </c>
      <c r="AG604" s="706">
        <f t="shared" si="1727"/>
        <v>0</v>
      </c>
      <c r="AH604" s="706">
        <f t="shared" si="1727"/>
        <v>0</v>
      </c>
      <c r="AI604" s="706">
        <f t="shared" si="1727"/>
        <v>0</v>
      </c>
      <c r="AJ604" s="706">
        <f t="shared" si="1727"/>
        <v>0</v>
      </c>
      <c r="AK604" s="706">
        <f t="shared" si="1727"/>
        <v>0</v>
      </c>
      <c r="AL604" s="731">
        <f t="shared" si="1727"/>
        <v>0</v>
      </c>
      <c r="AM604" s="706">
        <f t="shared" si="1727"/>
        <v>0</v>
      </c>
      <c r="AN604" s="706">
        <f t="shared" si="1727"/>
        <v>0</v>
      </c>
      <c r="AO604" s="706">
        <f t="shared" si="1727"/>
        <v>0</v>
      </c>
      <c r="AP604" s="706">
        <f t="shared" si="1727"/>
        <v>0</v>
      </c>
      <c r="AQ604" s="706">
        <f t="shared" ref="AQ604:BF625" si="1728">IF($L604="",IF(OR($P604="",$R604=""),0,IF($R604=AQ$6,$Q604,0)),IF($E604=AQ$5,$M604,))</f>
        <v>0</v>
      </c>
      <c r="AR604" s="706">
        <f t="shared" si="1728"/>
        <v>128726.02</v>
      </c>
      <c r="AS604" s="706">
        <f t="shared" si="1728"/>
        <v>0</v>
      </c>
      <c r="AT604" s="706">
        <f t="shared" si="1728"/>
        <v>0</v>
      </c>
      <c r="AU604" s="706">
        <f t="shared" si="1728"/>
        <v>0</v>
      </c>
      <c r="AV604" s="706">
        <f t="shared" si="1728"/>
        <v>0</v>
      </c>
      <c r="AW604" s="706">
        <f t="shared" si="1728"/>
        <v>0</v>
      </c>
      <c r="AX604" s="706">
        <f t="shared" si="1728"/>
        <v>0</v>
      </c>
      <c r="AY604" s="706">
        <f t="shared" si="1728"/>
        <v>0</v>
      </c>
      <c r="AZ604" s="706">
        <f t="shared" si="1728"/>
        <v>0</v>
      </c>
      <c r="BA604" s="706">
        <f t="shared" si="1728"/>
        <v>0</v>
      </c>
      <c r="BB604" s="706">
        <f t="shared" si="1728"/>
        <v>0</v>
      </c>
      <c r="BC604" s="706">
        <f t="shared" si="1728"/>
        <v>0</v>
      </c>
      <c r="BD604" s="706">
        <f t="shared" si="1728"/>
        <v>0</v>
      </c>
      <c r="BE604" s="706">
        <f t="shared" si="1728"/>
        <v>0</v>
      </c>
      <c r="BF604" s="706">
        <f t="shared" si="1728"/>
        <v>0</v>
      </c>
      <c r="BG604" s="706">
        <f t="shared" ref="BG604:BV625" si="1729">IF($L604="",IF(OR($P604="",$R604=""),0,IF($R604=BG$6,$Q604,0)),IF($E604=BG$5,$M604,))</f>
        <v>0</v>
      </c>
      <c r="BH604" s="706">
        <f t="shared" si="1729"/>
        <v>0</v>
      </c>
      <c r="BI604" s="706">
        <f t="shared" si="1729"/>
        <v>0</v>
      </c>
      <c r="BJ604" s="706">
        <f t="shared" si="1729"/>
        <v>0</v>
      </c>
      <c r="BK604" s="706">
        <f t="shared" si="1729"/>
        <v>0</v>
      </c>
      <c r="BL604" s="706">
        <f t="shared" si="1729"/>
        <v>0</v>
      </c>
      <c r="BM604" s="706">
        <f t="shared" si="1729"/>
        <v>0</v>
      </c>
      <c r="BN604" s="706">
        <f t="shared" si="1729"/>
        <v>0</v>
      </c>
      <c r="BO604" s="706">
        <f t="shared" si="1729"/>
        <v>0</v>
      </c>
      <c r="BP604" s="706">
        <f t="shared" si="1729"/>
        <v>0</v>
      </c>
      <c r="BQ604" s="706">
        <f t="shared" si="1729"/>
        <v>0</v>
      </c>
      <c r="BR604" s="706">
        <f t="shared" si="1729"/>
        <v>0</v>
      </c>
      <c r="BS604" s="706">
        <f t="shared" si="1729"/>
        <v>0</v>
      </c>
      <c r="BT604" s="706">
        <f t="shared" si="1729"/>
        <v>0</v>
      </c>
      <c r="BU604" s="706">
        <f t="shared" si="1729"/>
        <v>0</v>
      </c>
      <c r="BV604" s="706">
        <f t="shared" si="1729"/>
        <v>0</v>
      </c>
      <c r="BW604" s="706">
        <f t="shared" ref="BW604:CL625" si="1730">IF($L604="",IF(OR($P604="",$R604=""),0,IF($R604=BW$6,$Q604,0)),IF($E604=BW$5,$M604,))</f>
        <v>0</v>
      </c>
      <c r="BX604" s="706">
        <f t="shared" si="1730"/>
        <v>0</v>
      </c>
      <c r="BY604" s="706">
        <f t="shared" si="1730"/>
        <v>0</v>
      </c>
      <c r="BZ604" s="706">
        <f t="shared" si="1730"/>
        <v>0</v>
      </c>
      <c r="CA604" s="706">
        <f t="shared" si="1730"/>
        <v>0</v>
      </c>
      <c r="CB604" s="706">
        <f t="shared" si="1730"/>
        <v>0</v>
      </c>
      <c r="CC604" s="706">
        <f t="shared" si="1730"/>
        <v>0</v>
      </c>
      <c r="CD604" s="706">
        <f t="shared" si="1730"/>
        <v>0</v>
      </c>
      <c r="CE604" s="706">
        <f t="shared" si="1730"/>
        <v>0</v>
      </c>
      <c r="CF604" s="706">
        <f t="shared" si="1730"/>
        <v>0</v>
      </c>
      <c r="CG604" s="706">
        <f t="shared" si="1730"/>
        <v>0</v>
      </c>
      <c r="CH604" s="706">
        <f t="shared" si="1730"/>
        <v>0</v>
      </c>
      <c r="CI604" s="706">
        <f t="shared" si="1730"/>
        <v>0</v>
      </c>
      <c r="CJ604" s="706">
        <f t="shared" si="1730"/>
        <v>0</v>
      </c>
      <c r="CK604" s="706">
        <f t="shared" si="1730"/>
        <v>0</v>
      </c>
      <c r="CL604" s="706">
        <f t="shared" si="1730"/>
        <v>0</v>
      </c>
      <c r="CM604" s="706">
        <f t="shared" ref="CM604:DB625" si="1731">IF($L604="",IF(OR($P604="",$R604=""),0,IF($R604=CM$6,$Q604,0)),IF($E604=CM$5,$M604,))</f>
        <v>0</v>
      </c>
      <c r="CN604" s="706">
        <f t="shared" si="1731"/>
        <v>0</v>
      </c>
      <c r="CO604" s="706">
        <f t="shared" si="1731"/>
        <v>0</v>
      </c>
      <c r="CP604" s="706">
        <f t="shared" si="1731"/>
        <v>0</v>
      </c>
      <c r="CQ604" s="706">
        <f t="shared" si="1731"/>
        <v>0</v>
      </c>
      <c r="CR604" s="706">
        <f t="shared" si="1731"/>
        <v>0</v>
      </c>
      <c r="CS604" s="706">
        <f t="shared" si="1731"/>
        <v>0</v>
      </c>
      <c r="CT604" s="706">
        <f t="shared" si="1731"/>
        <v>0</v>
      </c>
      <c r="CU604" s="706">
        <f t="shared" si="1731"/>
        <v>0</v>
      </c>
      <c r="CV604" s="706">
        <f t="shared" si="1731"/>
        <v>0</v>
      </c>
      <c r="CW604" s="706">
        <f t="shared" si="1731"/>
        <v>0</v>
      </c>
      <c r="CX604" s="706">
        <f t="shared" si="1731"/>
        <v>0</v>
      </c>
      <c r="CY604" s="706">
        <f t="shared" si="1731"/>
        <v>0</v>
      </c>
      <c r="CZ604" s="706">
        <f t="shared" si="1731"/>
        <v>0</v>
      </c>
      <c r="DA604" s="706">
        <f t="shared" si="1731"/>
        <v>0</v>
      </c>
      <c r="DB604" s="706">
        <f t="shared" si="1731"/>
        <v>0</v>
      </c>
      <c r="DC604" s="706">
        <f t="shared" ref="DC604:DP625" si="1732">IF($L604="",IF(OR($P604="",$R604=""),0,IF($R604=DC$6,$Q604,0)),IF($E604=DC$5,$M604,))</f>
        <v>0</v>
      </c>
      <c r="DD604" s="706">
        <f t="shared" si="1732"/>
        <v>0</v>
      </c>
      <c r="DE604" s="706">
        <f t="shared" si="1732"/>
        <v>0</v>
      </c>
      <c r="DF604" s="706">
        <f t="shared" si="1732"/>
        <v>0</v>
      </c>
      <c r="DG604" s="706">
        <f t="shared" si="1732"/>
        <v>0</v>
      </c>
      <c r="DH604" s="706">
        <f t="shared" si="1732"/>
        <v>0</v>
      </c>
      <c r="DI604" s="706">
        <f t="shared" si="1732"/>
        <v>0</v>
      </c>
      <c r="DJ604" s="706">
        <f t="shared" si="1732"/>
        <v>0</v>
      </c>
      <c r="DK604" s="706">
        <f t="shared" si="1732"/>
        <v>0</v>
      </c>
      <c r="DL604" s="706">
        <f t="shared" si="1732"/>
        <v>0</v>
      </c>
      <c r="DM604" s="706">
        <f t="shared" si="1732"/>
        <v>0</v>
      </c>
      <c r="DN604" s="706">
        <f t="shared" si="1732"/>
        <v>0</v>
      </c>
      <c r="DO604" s="706">
        <f t="shared" si="1732"/>
        <v>0</v>
      </c>
      <c r="DP604" s="706">
        <f t="shared" si="1732"/>
        <v>0</v>
      </c>
    </row>
    <row r="605" spans="1:120" s="86" customFormat="1" hidden="1" outlineLevel="1">
      <c r="A605" s="200">
        <v>1110052090</v>
      </c>
      <c r="B605" s="87" t="s">
        <v>2439</v>
      </c>
      <c r="C605" s="88" t="s">
        <v>64</v>
      </c>
      <c r="D605" s="1557"/>
      <c r="E605" s="1558">
        <v>44991</v>
      </c>
      <c r="F605" s="201"/>
      <c r="G605" s="1270"/>
      <c r="H605" s="722"/>
      <c r="I605" s="723"/>
      <c r="J605" s="1425">
        <v>1</v>
      </c>
      <c r="K605" s="1426">
        <v>1</v>
      </c>
      <c r="L605" s="2014"/>
      <c r="M605" s="2015">
        <f t="shared" ref="M605:M625" si="1733">+L605*J605</f>
        <v>0</v>
      </c>
      <c r="N605" s="724">
        <f ca="1">IF(OR(E605="",E605&gt;TODAY()),0,IF(ISERROR(VLOOKUP($E605,'TRM BanRep'!$A:$G,7,0)),0,VLOOKUP($E605,'TRM BanRep'!$A:$G,7,0)))</f>
        <v>4780.8900000000003</v>
      </c>
      <c r="O605" s="725">
        <f t="shared" ca="1" si="1720"/>
        <v>0</v>
      </c>
      <c r="P605" s="202">
        <v>-21265604.5</v>
      </c>
      <c r="Q605" s="1345">
        <f t="shared" si="1721"/>
        <v>-21265604.5</v>
      </c>
      <c r="R605" s="726">
        <v>4531.75</v>
      </c>
      <c r="S605" s="726">
        <f ca="1">IF(OR(E605="",E605&gt;TODAY()),0,IF(ISERROR(VLOOKUP($E605,'TRM BanRep'!$A:$G,7,0)),0,VLOOKUP($E605,'TRM BanRep'!$A:$G,7,0)))</f>
        <v>4780.8900000000003</v>
      </c>
      <c r="T605" s="727">
        <f t="shared" ca="1" si="1722"/>
        <v>-101668515898.005</v>
      </c>
      <c r="U605" s="1121">
        <f t="shared" si="1723"/>
        <v>-21265604.5</v>
      </c>
      <c r="V605" s="560">
        <f t="shared" ca="1" si="1724"/>
        <v>-96370403192.875</v>
      </c>
      <c r="W605" s="203">
        <f t="shared" ca="1" si="1725"/>
        <v>0</v>
      </c>
      <c r="X605" s="728">
        <f t="shared" ca="1" si="1726"/>
        <v>-5298112705.1300049</v>
      </c>
      <c r="Y605" s="729"/>
      <c r="Z605" s="1055"/>
      <c r="AA605" s="2329">
        <f t="shared" ca="1" si="1727"/>
        <v>0</v>
      </c>
      <c r="AB605" s="2158">
        <f t="shared" ca="1" si="1727"/>
        <v>0</v>
      </c>
      <c r="AC605" s="2158">
        <f t="shared" ca="1" si="1727"/>
        <v>0</v>
      </c>
      <c r="AD605" s="2158">
        <f t="shared" ca="1" si="1727"/>
        <v>0</v>
      </c>
      <c r="AE605" s="2158">
        <f t="shared" ca="1" si="1727"/>
        <v>0</v>
      </c>
      <c r="AF605" s="2120">
        <f t="shared" ca="1" si="1727"/>
        <v>0</v>
      </c>
      <c r="AG605" s="2120">
        <f t="shared" ca="1" si="1727"/>
        <v>0</v>
      </c>
      <c r="AH605" s="2120">
        <f t="shared" ca="1" si="1727"/>
        <v>0</v>
      </c>
      <c r="AI605" s="2120">
        <f t="shared" ca="1" si="1727"/>
        <v>0</v>
      </c>
      <c r="AJ605" s="2120">
        <f t="shared" ca="1" si="1727"/>
        <v>0</v>
      </c>
      <c r="AK605" s="2120">
        <f t="shared" ca="1" si="1727"/>
        <v>-21265604.5</v>
      </c>
      <c r="AL605" s="2314">
        <f t="shared" ca="1" si="1727"/>
        <v>0</v>
      </c>
      <c r="AM605" s="2120">
        <f t="shared" ca="1" si="1727"/>
        <v>0</v>
      </c>
      <c r="AN605" s="2120">
        <f t="shared" ca="1" si="1727"/>
        <v>0</v>
      </c>
      <c r="AO605" s="2120">
        <f t="shared" ca="1" si="1727"/>
        <v>0</v>
      </c>
      <c r="AP605" s="2120">
        <f t="shared" ca="1" si="1727"/>
        <v>0</v>
      </c>
      <c r="AQ605" s="2120">
        <f t="shared" ca="1" si="1728"/>
        <v>0</v>
      </c>
      <c r="AR605" s="2120">
        <f t="shared" ca="1" si="1728"/>
        <v>0</v>
      </c>
      <c r="AS605" s="2120">
        <f t="shared" ca="1" si="1728"/>
        <v>0</v>
      </c>
      <c r="AT605" s="2120">
        <f t="shared" ca="1" si="1728"/>
        <v>0</v>
      </c>
      <c r="AU605" s="2120">
        <f t="shared" ca="1" si="1728"/>
        <v>0</v>
      </c>
      <c r="AV605" s="2120">
        <f t="shared" ca="1" si="1728"/>
        <v>0</v>
      </c>
      <c r="AW605" s="2120">
        <f t="shared" ca="1" si="1728"/>
        <v>0</v>
      </c>
      <c r="AX605" s="2120">
        <f t="shared" ca="1" si="1728"/>
        <v>0</v>
      </c>
      <c r="AY605" s="2120">
        <f t="shared" ca="1" si="1728"/>
        <v>0</v>
      </c>
      <c r="AZ605" s="2120">
        <f t="shared" ca="1" si="1728"/>
        <v>0</v>
      </c>
      <c r="BA605" s="2120">
        <f t="shared" ca="1" si="1728"/>
        <v>0</v>
      </c>
      <c r="BB605" s="2120">
        <f t="shared" ca="1" si="1728"/>
        <v>0</v>
      </c>
      <c r="BC605" s="2120">
        <f t="shared" ca="1" si="1728"/>
        <v>0</v>
      </c>
      <c r="BD605" s="2120">
        <f t="shared" ca="1" si="1728"/>
        <v>0</v>
      </c>
      <c r="BE605" s="2120">
        <f t="shared" ca="1" si="1728"/>
        <v>0</v>
      </c>
      <c r="BF605" s="2120">
        <f t="shared" ca="1" si="1728"/>
        <v>0</v>
      </c>
      <c r="BG605" s="2120">
        <f t="shared" ca="1" si="1729"/>
        <v>0</v>
      </c>
      <c r="BH605" s="2120">
        <f t="shared" ca="1" si="1729"/>
        <v>0</v>
      </c>
      <c r="BI605" s="2120">
        <f t="shared" ca="1" si="1729"/>
        <v>0</v>
      </c>
      <c r="BJ605" s="2120">
        <f t="shared" ca="1" si="1729"/>
        <v>0</v>
      </c>
      <c r="BK605" s="2120">
        <f t="shared" ca="1" si="1729"/>
        <v>0</v>
      </c>
      <c r="BL605" s="2120">
        <f t="shared" ca="1" si="1729"/>
        <v>0</v>
      </c>
      <c r="BM605" s="2120">
        <f t="shared" ca="1" si="1729"/>
        <v>0</v>
      </c>
      <c r="BN605" s="2120">
        <f t="shared" ca="1" si="1729"/>
        <v>0</v>
      </c>
      <c r="BO605" s="2120">
        <f t="shared" ca="1" si="1729"/>
        <v>0</v>
      </c>
      <c r="BP605" s="2120">
        <f t="shared" ca="1" si="1729"/>
        <v>0</v>
      </c>
      <c r="BQ605" s="2120">
        <f t="shared" ca="1" si="1729"/>
        <v>0</v>
      </c>
      <c r="BR605" s="2120">
        <f t="shared" ca="1" si="1729"/>
        <v>0</v>
      </c>
      <c r="BS605" s="2120">
        <f t="shared" ca="1" si="1729"/>
        <v>0</v>
      </c>
      <c r="BT605" s="2120">
        <f t="shared" ca="1" si="1729"/>
        <v>0</v>
      </c>
      <c r="BU605" s="2120">
        <f t="shared" ca="1" si="1729"/>
        <v>0</v>
      </c>
      <c r="BV605" s="2120">
        <f t="shared" ca="1" si="1729"/>
        <v>0</v>
      </c>
      <c r="BW605" s="2120">
        <f t="shared" ca="1" si="1730"/>
        <v>0</v>
      </c>
      <c r="BX605" s="2120">
        <f t="shared" ca="1" si="1730"/>
        <v>0</v>
      </c>
      <c r="BY605" s="2120">
        <f t="shared" ca="1" si="1730"/>
        <v>0</v>
      </c>
      <c r="BZ605" s="2120">
        <f t="shared" ca="1" si="1730"/>
        <v>0</v>
      </c>
      <c r="CA605" s="2120">
        <f t="shared" ca="1" si="1730"/>
        <v>0</v>
      </c>
      <c r="CB605" s="2120">
        <f t="shared" ca="1" si="1730"/>
        <v>0</v>
      </c>
      <c r="CC605" s="2120">
        <f t="shared" ca="1" si="1730"/>
        <v>0</v>
      </c>
      <c r="CD605" s="2120">
        <f t="shared" ca="1" si="1730"/>
        <v>0</v>
      </c>
      <c r="CE605" s="2120">
        <f t="shared" ca="1" si="1730"/>
        <v>0</v>
      </c>
      <c r="CF605" s="2120">
        <f t="shared" ca="1" si="1730"/>
        <v>0</v>
      </c>
      <c r="CG605" s="2120">
        <f t="shared" ca="1" si="1730"/>
        <v>0</v>
      </c>
      <c r="CH605" s="2120">
        <f t="shared" ca="1" si="1730"/>
        <v>0</v>
      </c>
      <c r="CI605" s="2120">
        <f t="shared" ca="1" si="1730"/>
        <v>0</v>
      </c>
      <c r="CJ605" s="2120">
        <f t="shared" ca="1" si="1730"/>
        <v>0</v>
      </c>
      <c r="CK605" s="2120">
        <f t="shared" ca="1" si="1730"/>
        <v>0</v>
      </c>
      <c r="CL605" s="2120">
        <f t="shared" ca="1" si="1730"/>
        <v>0</v>
      </c>
      <c r="CM605" s="2120">
        <f t="shared" ca="1" si="1731"/>
        <v>0</v>
      </c>
      <c r="CN605" s="2120">
        <f t="shared" ca="1" si="1731"/>
        <v>0</v>
      </c>
      <c r="CO605" s="2120">
        <f t="shared" ca="1" si="1731"/>
        <v>0</v>
      </c>
      <c r="CP605" s="2120">
        <f t="shared" ca="1" si="1731"/>
        <v>0</v>
      </c>
      <c r="CQ605" s="2120">
        <f t="shared" ca="1" si="1731"/>
        <v>0</v>
      </c>
      <c r="CR605" s="2120">
        <f t="shared" ca="1" si="1731"/>
        <v>0</v>
      </c>
      <c r="CS605" s="2120">
        <f t="shared" ca="1" si="1731"/>
        <v>0</v>
      </c>
      <c r="CT605" s="2120">
        <f t="shared" ca="1" si="1731"/>
        <v>0</v>
      </c>
      <c r="CU605" s="2120">
        <f t="shared" ca="1" si="1731"/>
        <v>0</v>
      </c>
      <c r="CV605" s="2120">
        <f t="shared" ca="1" si="1731"/>
        <v>0</v>
      </c>
      <c r="CW605" s="2120">
        <f t="shared" ca="1" si="1731"/>
        <v>0</v>
      </c>
      <c r="CX605" s="2120">
        <f t="shared" ca="1" si="1731"/>
        <v>0</v>
      </c>
      <c r="CY605" s="2120">
        <f t="shared" ca="1" si="1731"/>
        <v>0</v>
      </c>
      <c r="CZ605" s="2120">
        <f t="shared" ca="1" si="1731"/>
        <v>0</v>
      </c>
      <c r="DA605" s="2120">
        <f t="shared" ca="1" si="1731"/>
        <v>0</v>
      </c>
      <c r="DB605" s="2120">
        <f t="shared" ca="1" si="1731"/>
        <v>0</v>
      </c>
      <c r="DC605" s="2120">
        <f t="shared" ca="1" si="1732"/>
        <v>0</v>
      </c>
      <c r="DD605" s="2120">
        <f t="shared" ca="1" si="1732"/>
        <v>0</v>
      </c>
      <c r="DE605" s="2120">
        <f t="shared" ca="1" si="1732"/>
        <v>0</v>
      </c>
      <c r="DF605" s="2120">
        <f t="shared" ca="1" si="1732"/>
        <v>0</v>
      </c>
      <c r="DG605" s="2120">
        <f t="shared" ca="1" si="1732"/>
        <v>0</v>
      </c>
      <c r="DH605" s="2120">
        <f t="shared" ca="1" si="1732"/>
        <v>0</v>
      </c>
      <c r="DI605" s="2120">
        <f t="shared" ca="1" si="1732"/>
        <v>0</v>
      </c>
      <c r="DJ605" s="2120">
        <f t="shared" ca="1" si="1732"/>
        <v>0</v>
      </c>
      <c r="DK605" s="2120">
        <f t="shared" ca="1" si="1732"/>
        <v>0</v>
      </c>
      <c r="DL605" s="2120">
        <f t="shared" ca="1" si="1732"/>
        <v>0</v>
      </c>
      <c r="DM605" s="2120">
        <f t="shared" ca="1" si="1732"/>
        <v>0</v>
      </c>
      <c r="DN605" s="2120">
        <f t="shared" ca="1" si="1732"/>
        <v>0</v>
      </c>
      <c r="DO605" s="2120">
        <f t="shared" ca="1" si="1732"/>
        <v>0</v>
      </c>
      <c r="DP605" s="2120">
        <f t="shared" ca="1" si="1732"/>
        <v>0</v>
      </c>
    </row>
    <row r="606" spans="1:120" s="86" customFormat="1" hidden="1" outlineLevel="1">
      <c r="A606" s="200">
        <v>1110052090</v>
      </c>
      <c r="B606" s="87" t="s">
        <v>2439</v>
      </c>
      <c r="C606" s="88" t="s">
        <v>64</v>
      </c>
      <c r="D606" s="1557"/>
      <c r="E606" s="1558">
        <v>44991</v>
      </c>
      <c r="F606" s="201"/>
      <c r="G606" s="1270"/>
      <c r="H606" s="722"/>
      <c r="I606" s="723"/>
      <c r="J606" s="1425">
        <v>1</v>
      </c>
      <c r="K606" s="1426">
        <v>1</v>
      </c>
      <c r="L606" s="2014"/>
      <c r="M606" s="2015">
        <f t="shared" ref="M606" si="1734">+L606*J606</f>
        <v>0</v>
      </c>
      <c r="N606" s="724">
        <f ca="1">IF(OR(E606="",E606&gt;TODAY()),0,IF(ISERROR(VLOOKUP($E606,'TRM BanRep'!$A:$G,7,0)),0,VLOOKUP($E606,'TRM BanRep'!$A:$G,7,0)))</f>
        <v>4780.8900000000003</v>
      </c>
      <c r="O606" s="725">
        <f t="shared" ref="O606" ca="1" si="1735">+L606*N606</f>
        <v>0</v>
      </c>
      <c r="P606" s="202">
        <v>-1542119.5</v>
      </c>
      <c r="Q606" s="1345">
        <f t="shared" ref="Q606" si="1736">+P606*K606</f>
        <v>-1542119.5</v>
      </c>
      <c r="R606" s="726">
        <v>4632.2</v>
      </c>
      <c r="S606" s="726">
        <f ca="1">IF(OR(E606="",E606&gt;TODAY()),0,IF(ISERROR(VLOOKUP($E606,'TRM BanRep'!$A:$G,7,0)),0,VLOOKUP($E606,'TRM BanRep'!$A:$G,7,0)))</f>
        <v>4780.8900000000003</v>
      </c>
      <c r="T606" s="727">
        <f t="shared" ref="T606" ca="1" si="1737">+P606*S606</f>
        <v>-7372703696.3550005</v>
      </c>
      <c r="U606" s="1121">
        <f t="shared" ref="U606" si="1738">+L606+P606+F606</f>
        <v>-1542119.5</v>
      </c>
      <c r="V606" s="560">
        <f t="shared" ref="V606" ca="1" si="1739">+P606*R606+L606*N606+F606*H606</f>
        <v>-7143405947.8999996</v>
      </c>
      <c r="W606" s="203">
        <f t="shared" ref="W606" ca="1" si="1740">IF((-P606*R606)-(-P606*S606)&gt;0,(-P606*R606)-(-P606*S606),0)</f>
        <v>0</v>
      </c>
      <c r="X606" s="728">
        <f t="shared" ref="X606" ca="1" si="1741">IF((-P606*R606)-(-P606*S606)&lt;0,(-P606*R606)-(-P606*S606),0)</f>
        <v>-229297748.45500088</v>
      </c>
      <c r="Y606" s="729"/>
      <c r="Z606" s="1055"/>
      <c r="AA606" s="2329">
        <f t="shared" ref="AA606:CL606" ca="1" si="1742">IF($L606="",IF(OR($P606="",$R606=""),0,IF($R606=AA$6,$Q606,0)),IF($E606=AA$5,$M606,))</f>
        <v>0</v>
      </c>
      <c r="AB606" s="2158">
        <f t="shared" ca="1" si="1742"/>
        <v>0</v>
      </c>
      <c r="AC606" s="2158">
        <f t="shared" ca="1" si="1742"/>
        <v>0</v>
      </c>
      <c r="AD606" s="2158">
        <f t="shared" ca="1" si="1742"/>
        <v>0</v>
      </c>
      <c r="AE606" s="2158">
        <f t="shared" ca="1" si="1742"/>
        <v>0</v>
      </c>
      <c r="AF606" s="2120">
        <f t="shared" ca="1" si="1742"/>
        <v>0</v>
      </c>
      <c r="AG606" s="2120">
        <f t="shared" ca="1" si="1742"/>
        <v>0</v>
      </c>
      <c r="AH606" s="2120">
        <f t="shared" ca="1" si="1742"/>
        <v>0</v>
      </c>
      <c r="AI606" s="2120">
        <f t="shared" ca="1" si="1742"/>
        <v>0</v>
      </c>
      <c r="AJ606" s="2120">
        <f t="shared" ca="1" si="1742"/>
        <v>0</v>
      </c>
      <c r="AK606" s="2120">
        <f t="shared" ca="1" si="1742"/>
        <v>0</v>
      </c>
      <c r="AL606" s="2314">
        <f t="shared" ca="1" si="1742"/>
        <v>0</v>
      </c>
      <c r="AM606" s="2120">
        <f t="shared" ca="1" si="1742"/>
        <v>-1542119.5</v>
      </c>
      <c r="AN606" s="2120">
        <f t="shared" ca="1" si="1742"/>
        <v>0</v>
      </c>
      <c r="AO606" s="2120">
        <f t="shared" ca="1" si="1742"/>
        <v>0</v>
      </c>
      <c r="AP606" s="2120">
        <f t="shared" ca="1" si="1742"/>
        <v>0</v>
      </c>
      <c r="AQ606" s="2120">
        <f t="shared" ca="1" si="1742"/>
        <v>0</v>
      </c>
      <c r="AR606" s="2120">
        <f t="shared" ca="1" si="1742"/>
        <v>0</v>
      </c>
      <c r="AS606" s="2120">
        <f t="shared" ca="1" si="1742"/>
        <v>0</v>
      </c>
      <c r="AT606" s="2120">
        <f t="shared" ca="1" si="1742"/>
        <v>0</v>
      </c>
      <c r="AU606" s="2120">
        <f t="shared" ca="1" si="1742"/>
        <v>0</v>
      </c>
      <c r="AV606" s="2120">
        <f t="shared" ca="1" si="1742"/>
        <v>0</v>
      </c>
      <c r="AW606" s="2120">
        <f t="shared" ca="1" si="1742"/>
        <v>0</v>
      </c>
      <c r="AX606" s="2120">
        <f t="shared" ca="1" si="1742"/>
        <v>0</v>
      </c>
      <c r="AY606" s="2120">
        <f t="shared" ca="1" si="1742"/>
        <v>0</v>
      </c>
      <c r="AZ606" s="2120">
        <f t="shared" ca="1" si="1742"/>
        <v>0</v>
      </c>
      <c r="BA606" s="2120">
        <f t="shared" ca="1" si="1742"/>
        <v>0</v>
      </c>
      <c r="BB606" s="2120">
        <f t="shared" ca="1" si="1742"/>
        <v>0</v>
      </c>
      <c r="BC606" s="2120">
        <f t="shared" ca="1" si="1742"/>
        <v>0</v>
      </c>
      <c r="BD606" s="2120">
        <f t="shared" ca="1" si="1742"/>
        <v>0</v>
      </c>
      <c r="BE606" s="2120">
        <f t="shared" ca="1" si="1742"/>
        <v>0</v>
      </c>
      <c r="BF606" s="2120">
        <f t="shared" ca="1" si="1742"/>
        <v>0</v>
      </c>
      <c r="BG606" s="2120">
        <f t="shared" ca="1" si="1742"/>
        <v>0</v>
      </c>
      <c r="BH606" s="2120">
        <f t="shared" ca="1" si="1742"/>
        <v>0</v>
      </c>
      <c r="BI606" s="2120">
        <f t="shared" ca="1" si="1742"/>
        <v>0</v>
      </c>
      <c r="BJ606" s="2120">
        <f t="shared" ca="1" si="1742"/>
        <v>0</v>
      </c>
      <c r="BK606" s="2120">
        <f t="shared" ca="1" si="1742"/>
        <v>0</v>
      </c>
      <c r="BL606" s="2120">
        <f t="shared" ca="1" si="1742"/>
        <v>0</v>
      </c>
      <c r="BM606" s="2120">
        <f t="shared" ca="1" si="1742"/>
        <v>0</v>
      </c>
      <c r="BN606" s="2120">
        <f t="shared" ca="1" si="1742"/>
        <v>0</v>
      </c>
      <c r="BO606" s="2120">
        <f t="shared" ca="1" si="1742"/>
        <v>0</v>
      </c>
      <c r="BP606" s="2120">
        <f t="shared" ca="1" si="1742"/>
        <v>0</v>
      </c>
      <c r="BQ606" s="2120">
        <f t="shared" ca="1" si="1742"/>
        <v>0</v>
      </c>
      <c r="BR606" s="2120">
        <f t="shared" ca="1" si="1742"/>
        <v>0</v>
      </c>
      <c r="BS606" s="2120">
        <f t="shared" ca="1" si="1742"/>
        <v>0</v>
      </c>
      <c r="BT606" s="2120">
        <f t="shared" ca="1" si="1742"/>
        <v>0</v>
      </c>
      <c r="BU606" s="2120">
        <f t="shared" ca="1" si="1742"/>
        <v>0</v>
      </c>
      <c r="BV606" s="2120">
        <f t="shared" ca="1" si="1742"/>
        <v>0</v>
      </c>
      <c r="BW606" s="2120">
        <f t="shared" ca="1" si="1742"/>
        <v>0</v>
      </c>
      <c r="BX606" s="2120">
        <f t="shared" ca="1" si="1742"/>
        <v>0</v>
      </c>
      <c r="BY606" s="2120">
        <f t="shared" ca="1" si="1742"/>
        <v>0</v>
      </c>
      <c r="BZ606" s="2120">
        <f t="shared" ca="1" si="1742"/>
        <v>0</v>
      </c>
      <c r="CA606" s="2120">
        <f t="shared" ca="1" si="1742"/>
        <v>0</v>
      </c>
      <c r="CB606" s="2120">
        <f t="shared" ca="1" si="1742"/>
        <v>0</v>
      </c>
      <c r="CC606" s="2120">
        <f t="shared" ca="1" si="1742"/>
        <v>0</v>
      </c>
      <c r="CD606" s="2120">
        <f t="shared" ca="1" si="1742"/>
        <v>0</v>
      </c>
      <c r="CE606" s="2120">
        <f t="shared" ca="1" si="1742"/>
        <v>0</v>
      </c>
      <c r="CF606" s="2120">
        <f t="shared" ca="1" si="1742"/>
        <v>0</v>
      </c>
      <c r="CG606" s="2120">
        <f t="shared" ca="1" si="1742"/>
        <v>0</v>
      </c>
      <c r="CH606" s="2120">
        <f t="shared" ca="1" si="1742"/>
        <v>0</v>
      </c>
      <c r="CI606" s="2120">
        <f t="shared" ca="1" si="1742"/>
        <v>0</v>
      </c>
      <c r="CJ606" s="2120">
        <f t="shared" ca="1" si="1742"/>
        <v>0</v>
      </c>
      <c r="CK606" s="2120">
        <f t="shared" ca="1" si="1742"/>
        <v>0</v>
      </c>
      <c r="CL606" s="2120">
        <f t="shared" ca="1" si="1742"/>
        <v>0</v>
      </c>
      <c r="CM606" s="2120">
        <f t="shared" ref="CM606:DB606" ca="1" si="1743">IF($L606="",IF(OR($P606="",$R606=""),0,IF($R606=CM$6,$Q606,0)),IF($E606=CM$5,$M606,))</f>
        <v>0</v>
      </c>
      <c r="CN606" s="2120">
        <f t="shared" ca="1" si="1743"/>
        <v>0</v>
      </c>
      <c r="CO606" s="2120">
        <f t="shared" ca="1" si="1743"/>
        <v>0</v>
      </c>
      <c r="CP606" s="2120">
        <f t="shared" ca="1" si="1743"/>
        <v>0</v>
      </c>
      <c r="CQ606" s="2120">
        <f t="shared" ca="1" si="1743"/>
        <v>0</v>
      </c>
      <c r="CR606" s="2120">
        <f t="shared" ca="1" si="1743"/>
        <v>0</v>
      </c>
      <c r="CS606" s="2120">
        <f t="shared" ca="1" si="1743"/>
        <v>0</v>
      </c>
      <c r="CT606" s="2120">
        <f t="shared" ca="1" si="1743"/>
        <v>0</v>
      </c>
      <c r="CU606" s="2120">
        <f t="shared" ca="1" si="1743"/>
        <v>0</v>
      </c>
      <c r="CV606" s="2120">
        <f t="shared" ca="1" si="1743"/>
        <v>0</v>
      </c>
      <c r="CW606" s="2120">
        <f t="shared" ca="1" si="1743"/>
        <v>0</v>
      </c>
      <c r="CX606" s="2120">
        <f t="shared" ca="1" si="1743"/>
        <v>0</v>
      </c>
      <c r="CY606" s="2120">
        <f t="shared" ca="1" si="1743"/>
        <v>0</v>
      </c>
      <c r="CZ606" s="2120">
        <f t="shared" ca="1" si="1743"/>
        <v>0</v>
      </c>
      <c r="DA606" s="2120">
        <f t="shared" ca="1" si="1743"/>
        <v>0</v>
      </c>
      <c r="DB606" s="2120">
        <f t="shared" ca="1" si="1743"/>
        <v>0</v>
      </c>
      <c r="DC606" s="2120">
        <f t="shared" ca="1" si="1732"/>
        <v>0</v>
      </c>
      <c r="DD606" s="2120">
        <f t="shared" ca="1" si="1732"/>
        <v>0</v>
      </c>
      <c r="DE606" s="2120">
        <f t="shared" ca="1" si="1732"/>
        <v>0</v>
      </c>
      <c r="DF606" s="2120">
        <f t="shared" ca="1" si="1732"/>
        <v>0</v>
      </c>
      <c r="DG606" s="2120">
        <f t="shared" ca="1" si="1732"/>
        <v>0</v>
      </c>
      <c r="DH606" s="2120">
        <f t="shared" ca="1" si="1732"/>
        <v>0</v>
      </c>
      <c r="DI606" s="2120">
        <f t="shared" ca="1" si="1732"/>
        <v>0</v>
      </c>
      <c r="DJ606" s="2120">
        <f t="shared" ca="1" si="1732"/>
        <v>0</v>
      </c>
      <c r="DK606" s="2120">
        <f t="shared" ca="1" si="1732"/>
        <v>0</v>
      </c>
      <c r="DL606" s="2120">
        <f t="shared" ca="1" si="1732"/>
        <v>0</v>
      </c>
      <c r="DM606" s="2120">
        <f t="shared" ca="1" si="1732"/>
        <v>0</v>
      </c>
      <c r="DN606" s="2120">
        <f t="shared" ca="1" si="1732"/>
        <v>0</v>
      </c>
      <c r="DO606" s="2120">
        <f t="shared" ca="1" si="1732"/>
        <v>0</v>
      </c>
      <c r="DP606" s="2120">
        <f t="shared" ca="1" si="1732"/>
        <v>0</v>
      </c>
    </row>
    <row r="607" spans="1:120" s="86" customFormat="1" hidden="1" outlineLevel="1">
      <c r="A607" s="200">
        <v>1110052090</v>
      </c>
      <c r="B607" s="87" t="s">
        <v>2440</v>
      </c>
      <c r="C607" s="88" t="s">
        <v>64</v>
      </c>
      <c r="D607" s="1557"/>
      <c r="E607" s="1558">
        <v>44993</v>
      </c>
      <c r="F607" s="201"/>
      <c r="G607" s="1270"/>
      <c r="H607" s="722"/>
      <c r="I607" s="723"/>
      <c r="J607" s="1425">
        <v>1</v>
      </c>
      <c r="K607" s="1426">
        <v>1</v>
      </c>
      <c r="L607" s="2014"/>
      <c r="M607" s="2015">
        <f t="shared" si="1733"/>
        <v>0</v>
      </c>
      <c r="N607" s="724">
        <f ca="1">IF(OR(E607="",E607&gt;TODAY()),0,IF(ISERROR(VLOOKUP($E607,'TRM BanRep'!$A:$G,7,0)),0,VLOOKUP($E607,'TRM BanRep'!$A:$G,7,0)))</f>
        <v>4744.95</v>
      </c>
      <c r="O607" s="725">
        <f t="shared" ca="1" si="1720"/>
        <v>0</v>
      </c>
      <c r="P607" s="202">
        <v>-128726.02</v>
      </c>
      <c r="Q607" s="1345">
        <f t="shared" si="1721"/>
        <v>-128726.02</v>
      </c>
      <c r="R607" s="726">
        <v>4632.2</v>
      </c>
      <c r="S607" s="726">
        <f ca="1">IF(OR(E607="",E607&gt;TODAY()),0,IF(ISERROR(VLOOKUP($E607,'TRM BanRep'!$A:$G,7,0)),0,VLOOKUP($E607,'TRM BanRep'!$A:$G,7,0)))</f>
        <v>4744.95</v>
      </c>
      <c r="T607" s="727">
        <f t="shared" ca="1" si="1722"/>
        <v>-610798528.59899998</v>
      </c>
      <c r="U607" s="1121">
        <f t="shared" si="1723"/>
        <v>-128726.02</v>
      </c>
      <c r="V607" s="560">
        <f t="shared" ca="1" si="1724"/>
        <v>-596284669.84399998</v>
      </c>
      <c r="W607" s="203">
        <f t="shared" ca="1" si="1725"/>
        <v>0</v>
      </c>
      <c r="X607" s="728">
        <f t="shared" ca="1" si="1726"/>
        <v>-14513858.754999995</v>
      </c>
      <c r="Y607" s="729"/>
      <c r="Z607" s="1055"/>
      <c r="AA607" s="2329">
        <f t="shared" ca="1" si="1727"/>
        <v>0</v>
      </c>
      <c r="AB607" s="2158">
        <f t="shared" ca="1" si="1727"/>
        <v>0</v>
      </c>
      <c r="AC607" s="2158">
        <f t="shared" ca="1" si="1727"/>
        <v>0</v>
      </c>
      <c r="AD607" s="2158">
        <f t="shared" ca="1" si="1727"/>
        <v>0</v>
      </c>
      <c r="AE607" s="2158">
        <f t="shared" ca="1" si="1727"/>
        <v>0</v>
      </c>
      <c r="AF607" s="2120">
        <f t="shared" ca="1" si="1727"/>
        <v>0</v>
      </c>
      <c r="AG607" s="2120">
        <f t="shared" ca="1" si="1727"/>
        <v>0</v>
      </c>
      <c r="AH607" s="2120">
        <f t="shared" ca="1" si="1727"/>
        <v>0</v>
      </c>
      <c r="AI607" s="2120">
        <f t="shared" ca="1" si="1727"/>
        <v>0</v>
      </c>
      <c r="AJ607" s="2120">
        <f t="shared" ca="1" si="1727"/>
        <v>0</v>
      </c>
      <c r="AK607" s="2120">
        <f t="shared" ca="1" si="1727"/>
        <v>0</v>
      </c>
      <c r="AL607" s="2314">
        <f t="shared" ca="1" si="1727"/>
        <v>0</v>
      </c>
      <c r="AM607" s="2120">
        <f t="shared" ca="1" si="1727"/>
        <v>-128726.02</v>
      </c>
      <c r="AN607" s="2120">
        <f t="shared" ca="1" si="1727"/>
        <v>0</v>
      </c>
      <c r="AO607" s="2120">
        <f t="shared" ca="1" si="1727"/>
        <v>0</v>
      </c>
      <c r="AP607" s="2120">
        <f t="shared" ca="1" si="1727"/>
        <v>0</v>
      </c>
      <c r="AQ607" s="2120">
        <f t="shared" ca="1" si="1728"/>
        <v>0</v>
      </c>
      <c r="AR607" s="2120">
        <f t="shared" ca="1" si="1728"/>
        <v>0</v>
      </c>
      <c r="AS607" s="2120">
        <f t="shared" ca="1" si="1728"/>
        <v>0</v>
      </c>
      <c r="AT607" s="2120">
        <f t="shared" ca="1" si="1728"/>
        <v>0</v>
      </c>
      <c r="AU607" s="2120">
        <f t="shared" ca="1" si="1728"/>
        <v>0</v>
      </c>
      <c r="AV607" s="2120">
        <f t="shared" ca="1" si="1728"/>
        <v>0</v>
      </c>
      <c r="AW607" s="2120">
        <f t="shared" ca="1" si="1728"/>
        <v>0</v>
      </c>
      <c r="AX607" s="2120">
        <f t="shared" ca="1" si="1728"/>
        <v>0</v>
      </c>
      <c r="AY607" s="2120">
        <f t="shared" ca="1" si="1728"/>
        <v>0</v>
      </c>
      <c r="AZ607" s="2120">
        <f t="shared" ca="1" si="1728"/>
        <v>0</v>
      </c>
      <c r="BA607" s="2120">
        <f t="shared" ca="1" si="1728"/>
        <v>0</v>
      </c>
      <c r="BB607" s="2120">
        <f t="shared" ca="1" si="1728"/>
        <v>0</v>
      </c>
      <c r="BC607" s="2120">
        <f t="shared" ca="1" si="1728"/>
        <v>0</v>
      </c>
      <c r="BD607" s="2120">
        <f t="shared" ca="1" si="1728"/>
        <v>0</v>
      </c>
      <c r="BE607" s="2120">
        <f t="shared" ca="1" si="1728"/>
        <v>0</v>
      </c>
      <c r="BF607" s="2120">
        <f t="shared" ca="1" si="1728"/>
        <v>0</v>
      </c>
      <c r="BG607" s="2120">
        <f t="shared" ca="1" si="1729"/>
        <v>0</v>
      </c>
      <c r="BH607" s="2120">
        <f t="shared" ca="1" si="1729"/>
        <v>0</v>
      </c>
      <c r="BI607" s="2120">
        <f t="shared" ca="1" si="1729"/>
        <v>0</v>
      </c>
      <c r="BJ607" s="2120">
        <f t="shared" ca="1" si="1729"/>
        <v>0</v>
      </c>
      <c r="BK607" s="2120">
        <f t="shared" ca="1" si="1729"/>
        <v>0</v>
      </c>
      <c r="BL607" s="2120">
        <f t="shared" ca="1" si="1729"/>
        <v>0</v>
      </c>
      <c r="BM607" s="2120">
        <f t="shared" ca="1" si="1729"/>
        <v>0</v>
      </c>
      <c r="BN607" s="2120">
        <f t="shared" ca="1" si="1729"/>
        <v>0</v>
      </c>
      <c r="BO607" s="2120">
        <f t="shared" ca="1" si="1729"/>
        <v>0</v>
      </c>
      <c r="BP607" s="2120">
        <f t="shared" ca="1" si="1729"/>
        <v>0</v>
      </c>
      <c r="BQ607" s="2120">
        <f t="shared" ca="1" si="1729"/>
        <v>0</v>
      </c>
      <c r="BR607" s="2120">
        <f t="shared" ca="1" si="1729"/>
        <v>0</v>
      </c>
      <c r="BS607" s="2120">
        <f t="shared" ca="1" si="1729"/>
        <v>0</v>
      </c>
      <c r="BT607" s="2120">
        <f t="shared" ca="1" si="1729"/>
        <v>0</v>
      </c>
      <c r="BU607" s="2120">
        <f t="shared" ca="1" si="1729"/>
        <v>0</v>
      </c>
      <c r="BV607" s="2120">
        <f t="shared" ca="1" si="1729"/>
        <v>0</v>
      </c>
      <c r="BW607" s="2120">
        <f t="shared" ca="1" si="1730"/>
        <v>0</v>
      </c>
      <c r="BX607" s="2120">
        <f t="shared" ca="1" si="1730"/>
        <v>0</v>
      </c>
      <c r="BY607" s="2120">
        <f t="shared" ca="1" si="1730"/>
        <v>0</v>
      </c>
      <c r="BZ607" s="2120">
        <f t="shared" ca="1" si="1730"/>
        <v>0</v>
      </c>
      <c r="CA607" s="2120">
        <f t="shared" ca="1" si="1730"/>
        <v>0</v>
      </c>
      <c r="CB607" s="2120">
        <f t="shared" ca="1" si="1730"/>
        <v>0</v>
      </c>
      <c r="CC607" s="2120">
        <f t="shared" ca="1" si="1730"/>
        <v>0</v>
      </c>
      <c r="CD607" s="2120">
        <f t="shared" ca="1" si="1730"/>
        <v>0</v>
      </c>
      <c r="CE607" s="2120">
        <f t="shared" ca="1" si="1730"/>
        <v>0</v>
      </c>
      <c r="CF607" s="2120">
        <f t="shared" ca="1" si="1730"/>
        <v>0</v>
      </c>
      <c r="CG607" s="2120">
        <f t="shared" ca="1" si="1730"/>
        <v>0</v>
      </c>
      <c r="CH607" s="2120">
        <f t="shared" ca="1" si="1730"/>
        <v>0</v>
      </c>
      <c r="CI607" s="2120">
        <f t="shared" ca="1" si="1730"/>
        <v>0</v>
      </c>
      <c r="CJ607" s="2120">
        <f t="shared" ca="1" si="1730"/>
        <v>0</v>
      </c>
      <c r="CK607" s="2120">
        <f t="shared" ca="1" si="1730"/>
        <v>0</v>
      </c>
      <c r="CL607" s="2120">
        <f t="shared" ca="1" si="1730"/>
        <v>0</v>
      </c>
      <c r="CM607" s="2120">
        <f t="shared" ca="1" si="1731"/>
        <v>0</v>
      </c>
      <c r="CN607" s="2120">
        <f t="shared" ca="1" si="1731"/>
        <v>0</v>
      </c>
      <c r="CO607" s="2120">
        <f t="shared" ca="1" si="1731"/>
        <v>0</v>
      </c>
      <c r="CP607" s="2120">
        <f t="shared" ca="1" si="1731"/>
        <v>0</v>
      </c>
      <c r="CQ607" s="2120">
        <f t="shared" ca="1" si="1731"/>
        <v>0</v>
      </c>
      <c r="CR607" s="2120">
        <f t="shared" ca="1" si="1731"/>
        <v>0</v>
      </c>
      <c r="CS607" s="2120">
        <f t="shared" ca="1" si="1731"/>
        <v>0</v>
      </c>
      <c r="CT607" s="2120">
        <f t="shared" ca="1" si="1731"/>
        <v>0</v>
      </c>
      <c r="CU607" s="2120">
        <f t="shared" ca="1" si="1731"/>
        <v>0</v>
      </c>
      <c r="CV607" s="2120">
        <f t="shared" ca="1" si="1731"/>
        <v>0</v>
      </c>
      <c r="CW607" s="2120">
        <f t="shared" ca="1" si="1731"/>
        <v>0</v>
      </c>
      <c r="CX607" s="2120">
        <f t="shared" ca="1" si="1731"/>
        <v>0</v>
      </c>
      <c r="CY607" s="2120">
        <f t="shared" ca="1" si="1731"/>
        <v>0</v>
      </c>
      <c r="CZ607" s="2120">
        <f t="shared" ca="1" si="1731"/>
        <v>0</v>
      </c>
      <c r="DA607" s="2120">
        <f t="shared" ca="1" si="1731"/>
        <v>0</v>
      </c>
      <c r="DB607" s="2120">
        <f t="shared" ca="1" si="1731"/>
        <v>0</v>
      </c>
      <c r="DC607" s="2120">
        <f t="shared" ca="1" si="1732"/>
        <v>0</v>
      </c>
      <c r="DD607" s="2120">
        <f t="shared" ca="1" si="1732"/>
        <v>0</v>
      </c>
      <c r="DE607" s="2120">
        <f t="shared" ca="1" si="1732"/>
        <v>0</v>
      </c>
      <c r="DF607" s="2120">
        <f t="shared" ca="1" si="1732"/>
        <v>0</v>
      </c>
      <c r="DG607" s="2120">
        <f t="shared" ca="1" si="1732"/>
        <v>0</v>
      </c>
      <c r="DH607" s="2120">
        <f t="shared" ca="1" si="1732"/>
        <v>0</v>
      </c>
      <c r="DI607" s="2120">
        <f t="shared" ca="1" si="1732"/>
        <v>0</v>
      </c>
      <c r="DJ607" s="2120">
        <f t="shared" ca="1" si="1732"/>
        <v>0</v>
      </c>
      <c r="DK607" s="2120">
        <f t="shared" ca="1" si="1732"/>
        <v>0</v>
      </c>
      <c r="DL607" s="2120">
        <f t="shared" ca="1" si="1732"/>
        <v>0</v>
      </c>
      <c r="DM607" s="2120">
        <f t="shared" ca="1" si="1732"/>
        <v>0</v>
      </c>
      <c r="DN607" s="2120">
        <f t="shared" ca="1" si="1732"/>
        <v>0</v>
      </c>
      <c r="DO607" s="2120">
        <f t="shared" ca="1" si="1732"/>
        <v>0</v>
      </c>
      <c r="DP607" s="2120">
        <f t="shared" ca="1" si="1732"/>
        <v>0</v>
      </c>
    </row>
    <row r="608" spans="1:120" s="86" customFormat="1" hidden="1" outlineLevel="1">
      <c r="A608" s="200">
        <v>1110052090</v>
      </c>
      <c r="B608" s="87" t="s">
        <v>2441</v>
      </c>
      <c r="C608" s="88" t="s">
        <v>64</v>
      </c>
      <c r="D608" s="1557"/>
      <c r="E608" s="1558">
        <v>44993</v>
      </c>
      <c r="F608" s="201"/>
      <c r="G608" s="1270"/>
      <c r="H608" s="722"/>
      <c r="I608" s="723"/>
      <c r="J608" s="1425">
        <v>1</v>
      </c>
      <c r="K608" s="1426">
        <v>1</v>
      </c>
      <c r="L608" s="2014">
        <v>121968.56</v>
      </c>
      <c r="M608" s="2015">
        <f t="shared" si="1733"/>
        <v>121968.56</v>
      </c>
      <c r="N608" s="724">
        <f ca="1">IF(OR(E608="",E608&gt;TODAY()),0,IF(ISERROR(VLOOKUP($E608,'TRM BanRep'!$A:$G,7,0)),0,VLOOKUP($E608,'TRM BanRep'!$A:$G,7,0)))</f>
        <v>4744.95</v>
      </c>
      <c r="O608" s="725">
        <f t="shared" ca="1" si="1720"/>
        <v>578734718.77199996</v>
      </c>
      <c r="P608" s="202"/>
      <c r="Q608" s="1345">
        <f t="shared" si="1721"/>
        <v>0</v>
      </c>
      <c r="R608" s="726"/>
      <c r="S608" s="726">
        <f ca="1">IF(OR(E608="",E608&gt;TODAY()),0,IF(ISERROR(VLOOKUP($E608,'TRM BanRep'!$A:$G,7,0)),0,VLOOKUP($E608,'TRM BanRep'!$A:$G,7,0)))</f>
        <v>4744.95</v>
      </c>
      <c r="T608" s="727">
        <f t="shared" ca="1" si="1722"/>
        <v>0</v>
      </c>
      <c r="U608" s="1121">
        <f t="shared" si="1723"/>
        <v>121968.56</v>
      </c>
      <c r="V608" s="560">
        <f t="shared" ca="1" si="1724"/>
        <v>578734718.77199996</v>
      </c>
      <c r="W608" s="203">
        <f t="shared" ca="1" si="1725"/>
        <v>0</v>
      </c>
      <c r="X608" s="728">
        <f t="shared" ca="1" si="1726"/>
        <v>0</v>
      </c>
      <c r="Y608" s="729"/>
      <c r="Z608" s="1055"/>
      <c r="AA608" s="2329">
        <f t="shared" si="1727"/>
        <v>0</v>
      </c>
      <c r="AB608" s="2158">
        <f t="shared" si="1727"/>
        <v>0</v>
      </c>
      <c r="AC608" s="2158">
        <f t="shared" si="1727"/>
        <v>0</v>
      </c>
      <c r="AD608" s="2158">
        <f t="shared" si="1727"/>
        <v>0</v>
      </c>
      <c r="AE608" s="2158">
        <f t="shared" si="1727"/>
        <v>0</v>
      </c>
      <c r="AF608" s="2120">
        <f t="shared" si="1727"/>
        <v>0</v>
      </c>
      <c r="AG608" s="2120">
        <f t="shared" si="1727"/>
        <v>0</v>
      </c>
      <c r="AH608" s="2120">
        <f t="shared" si="1727"/>
        <v>0</v>
      </c>
      <c r="AI608" s="2120">
        <f t="shared" si="1727"/>
        <v>0</v>
      </c>
      <c r="AJ608" s="2120">
        <f t="shared" si="1727"/>
        <v>0</v>
      </c>
      <c r="AK608" s="2120">
        <f t="shared" si="1727"/>
        <v>0</v>
      </c>
      <c r="AL608" s="2314">
        <f t="shared" si="1727"/>
        <v>0</v>
      </c>
      <c r="AM608" s="2120">
        <f t="shared" si="1727"/>
        <v>0</v>
      </c>
      <c r="AN608" s="2120">
        <f t="shared" si="1727"/>
        <v>0</v>
      </c>
      <c r="AO608" s="2120">
        <f t="shared" si="1727"/>
        <v>0</v>
      </c>
      <c r="AP608" s="2120">
        <f t="shared" si="1727"/>
        <v>0</v>
      </c>
      <c r="AQ608" s="2120">
        <f t="shared" si="1728"/>
        <v>0</v>
      </c>
      <c r="AR608" s="2120">
        <f t="shared" si="1728"/>
        <v>0</v>
      </c>
      <c r="AS608" s="2120">
        <f t="shared" si="1728"/>
        <v>0</v>
      </c>
      <c r="AT608" s="2120">
        <f t="shared" si="1728"/>
        <v>0</v>
      </c>
      <c r="AU608" s="2120">
        <f t="shared" si="1728"/>
        <v>121968.56</v>
      </c>
      <c r="AV608" s="2120">
        <f t="shared" si="1728"/>
        <v>0</v>
      </c>
      <c r="AW608" s="2120">
        <f t="shared" si="1728"/>
        <v>0</v>
      </c>
      <c r="AX608" s="2120">
        <f t="shared" si="1728"/>
        <v>0</v>
      </c>
      <c r="AY608" s="2120">
        <f t="shared" si="1728"/>
        <v>0</v>
      </c>
      <c r="AZ608" s="2120">
        <f t="shared" si="1728"/>
        <v>0</v>
      </c>
      <c r="BA608" s="2120">
        <f t="shared" si="1728"/>
        <v>0</v>
      </c>
      <c r="BB608" s="2120">
        <f t="shared" si="1728"/>
        <v>0</v>
      </c>
      <c r="BC608" s="2120">
        <f t="shared" si="1728"/>
        <v>0</v>
      </c>
      <c r="BD608" s="2120">
        <f t="shared" si="1728"/>
        <v>0</v>
      </c>
      <c r="BE608" s="2120">
        <f t="shared" si="1728"/>
        <v>0</v>
      </c>
      <c r="BF608" s="2120">
        <f t="shared" si="1728"/>
        <v>0</v>
      </c>
      <c r="BG608" s="2120">
        <f t="shared" si="1729"/>
        <v>0</v>
      </c>
      <c r="BH608" s="2120">
        <f t="shared" si="1729"/>
        <v>0</v>
      </c>
      <c r="BI608" s="2120">
        <f t="shared" si="1729"/>
        <v>0</v>
      </c>
      <c r="BJ608" s="2120">
        <f t="shared" si="1729"/>
        <v>0</v>
      </c>
      <c r="BK608" s="2120">
        <f t="shared" si="1729"/>
        <v>0</v>
      </c>
      <c r="BL608" s="2120">
        <f t="shared" si="1729"/>
        <v>0</v>
      </c>
      <c r="BM608" s="2120">
        <f t="shared" si="1729"/>
        <v>0</v>
      </c>
      <c r="BN608" s="2120">
        <f t="shared" si="1729"/>
        <v>0</v>
      </c>
      <c r="BO608" s="2120">
        <f t="shared" si="1729"/>
        <v>0</v>
      </c>
      <c r="BP608" s="2120">
        <f t="shared" si="1729"/>
        <v>0</v>
      </c>
      <c r="BQ608" s="2120">
        <f t="shared" si="1729"/>
        <v>0</v>
      </c>
      <c r="BR608" s="2120">
        <f t="shared" si="1729"/>
        <v>0</v>
      </c>
      <c r="BS608" s="2120">
        <f t="shared" si="1729"/>
        <v>0</v>
      </c>
      <c r="BT608" s="2120">
        <f t="shared" si="1729"/>
        <v>0</v>
      </c>
      <c r="BU608" s="2120">
        <f t="shared" si="1729"/>
        <v>0</v>
      </c>
      <c r="BV608" s="2120">
        <f t="shared" si="1729"/>
        <v>0</v>
      </c>
      <c r="BW608" s="2120">
        <f t="shared" si="1730"/>
        <v>0</v>
      </c>
      <c r="BX608" s="2120">
        <f t="shared" si="1730"/>
        <v>0</v>
      </c>
      <c r="BY608" s="2120">
        <f t="shared" si="1730"/>
        <v>0</v>
      </c>
      <c r="BZ608" s="2120">
        <f t="shared" si="1730"/>
        <v>0</v>
      </c>
      <c r="CA608" s="2120">
        <f t="shared" si="1730"/>
        <v>0</v>
      </c>
      <c r="CB608" s="2120">
        <f t="shared" si="1730"/>
        <v>0</v>
      </c>
      <c r="CC608" s="2120">
        <f t="shared" si="1730"/>
        <v>0</v>
      </c>
      <c r="CD608" s="2120">
        <f t="shared" si="1730"/>
        <v>0</v>
      </c>
      <c r="CE608" s="2120">
        <f t="shared" si="1730"/>
        <v>0</v>
      </c>
      <c r="CF608" s="2120">
        <f t="shared" si="1730"/>
        <v>0</v>
      </c>
      <c r="CG608" s="2120">
        <f t="shared" si="1730"/>
        <v>0</v>
      </c>
      <c r="CH608" s="2120">
        <f t="shared" si="1730"/>
        <v>0</v>
      </c>
      <c r="CI608" s="2120">
        <f t="shared" si="1730"/>
        <v>0</v>
      </c>
      <c r="CJ608" s="2120">
        <f t="shared" si="1730"/>
        <v>0</v>
      </c>
      <c r="CK608" s="2120">
        <f t="shared" si="1730"/>
        <v>0</v>
      </c>
      <c r="CL608" s="2120">
        <f t="shared" si="1730"/>
        <v>0</v>
      </c>
      <c r="CM608" s="2120">
        <f t="shared" si="1731"/>
        <v>0</v>
      </c>
      <c r="CN608" s="2120">
        <f t="shared" si="1731"/>
        <v>0</v>
      </c>
      <c r="CO608" s="2120">
        <f t="shared" si="1731"/>
        <v>0</v>
      </c>
      <c r="CP608" s="2120">
        <f t="shared" si="1731"/>
        <v>0</v>
      </c>
      <c r="CQ608" s="2120">
        <f t="shared" si="1731"/>
        <v>0</v>
      </c>
      <c r="CR608" s="2120">
        <f t="shared" si="1731"/>
        <v>0</v>
      </c>
      <c r="CS608" s="2120">
        <f t="shared" si="1731"/>
        <v>0</v>
      </c>
      <c r="CT608" s="2120">
        <f t="shared" si="1731"/>
        <v>0</v>
      </c>
      <c r="CU608" s="2120">
        <f t="shared" si="1731"/>
        <v>0</v>
      </c>
      <c r="CV608" s="2120">
        <f t="shared" si="1731"/>
        <v>0</v>
      </c>
      <c r="CW608" s="2120">
        <f t="shared" si="1731"/>
        <v>0</v>
      </c>
      <c r="CX608" s="2120">
        <f t="shared" si="1731"/>
        <v>0</v>
      </c>
      <c r="CY608" s="2120">
        <f t="shared" si="1731"/>
        <v>0</v>
      </c>
      <c r="CZ608" s="2120">
        <f t="shared" si="1731"/>
        <v>0</v>
      </c>
      <c r="DA608" s="2120">
        <f t="shared" si="1731"/>
        <v>0</v>
      </c>
      <c r="DB608" s="2120">
        <f t="shared" si="1731"/>
        <v>0</v>
      </c>
      <c r="DC608" s="2120">
        <f t="shared" si="1732"/>
        <v>0</v>
      </c>
      <c r="DD608" s="2120">
        <f t="shared" si="1732"/>
        <v>0</v>
      </c>
      <c r="DE608" s="2120">
        <f t="shared" si="1732"/>
        <v>0</v>
      </c>
      <c r="DF608" s="2120">
        <f t="shared" si="1732"/>
        <v>0</v>
      </c>
      <c r="DG608" s="2120">
        <f t="shared" si="1732"/>
        <v>0</v>
      </c>
      <c r="DH608" s="2120">
        <f t="shared" si="1732"/>
        <v>0</v>
      </c>
      <c r="DI608" s="2120">
        <f t="shared" si="1732"/>
        <v>0</v>
      </c>
      <c r="DJ608" s="2120">
        <f t="shared" si="1732"/>
        <v>0</v>
      </c>
      <c r="DK608" s="2120">
        <f t="shared" si="1732"/>
        <v>0</v>
      </c>
      <c r="DL608" s="2120">
        <f t="shared" si="1732"/>
        <v>0</v>
      </c>
      <c r="DM608" s="2120">
        <f t="shared" si="1732"/>
        <v>0</v>
      </c>
      <c r="DN608" s="2120">
        <f t="shared" si="1732"/>
        <v>0</v>
      </c>
      <c r="DO608" s="2120">
        <f t="shared" si="1732"/>
        <v>0</v>
      </c>
      <c r="DP608" s="2120">
        <f t="shared" si="1732"/>
        <v>0</v>
      </c>
    </row>
    <row r="609" spans="1:120" s="116" customFormat="1" hidden="1" outlineLevel="1">
      <c r="A609" s="1221">
        <v>1110052090</v>
      </c>
      <c r="B609" s="1216" t="s">
        <v>2446</v>
      </c>
      <c r="C609" s="101" t="s">
        <v>64</v>
      </c>
      <c r="D609" s="1712"/>
      <c r="E609" s="1642">
        <v>44986</v>
      </c>
      <c r="F609" s="1224"/>
      <c r="G609" s="1266"/>
      <c r="H609" s="1225"/>
      <c r="I609" s="1226"/>
      <c r="J609" s="1604">
        <v>1</v>
      </c>
      <c r="K609" s="1605">
        <v>1</v>
      </c>
      <c r="L609" s="1606">
        <v>945598.2</v>
      </c>
      <c r="M609" s="1626">
        <f t="shared" si="1733"/>
        <v>945598.2</v>
      </c>
      <c r="N609" s="1228">
        <v>4814.1099999999997</v>
      </c>
      <c r="O609" s="1229">
        <f t="shared" si="1720"/>
        <v>4552213750.6019993</v>
      </c>
      <c r="P609" s="1713"/>
      <c r="Q609" s="1230">
        <f t="shared" si="1721"/>
        <v>0</v>
      </c>
      <c r="R609" s="1231"/>
      <c r="S609" s="1231">
        <f ca="1">IF(OR(E609="",E609&gt;TODAY()),0,IF(ISERROR(VLOOKUP($E609,'TRM BanRep'!$A:$G,7,0)),0,VLOOKUP($E609,'TRM BanRep'!$A:$G,7,0)))</f>
        <v>4814.1099999999997</v>
      </c>
      <c r="T609" s="1232">
        <f t="shared" ca="1" si="1722"/>
        <v>0</v>
      </c>
      <c r="U609" s="2012">
        <f t="shared" si="1723"/>
        <v>945598.2</v>
      </c>
      <c r="V609" s="566">
        <f t="shared" si="1724"/>
        <v>4552213750.6019993</v>
      </c>
      <c r="W609" s="1235">
        <f t="shared" ca="1" si="1725"/>
        <v>0</v>
      </c>
      <c r="X609" s="1236">
        <f t="shared" ca="1" si="1726"/>
        <v>0</v>
      </c>
      <c r="Y609" s="2013"/>
      <c r="Z609" s="115"/>
      <c r="AA609" s="2329">
        <f t="shared" si="1727"/>
        <v>0</v>
      </c>
      <c r="AB609" s="2158">
        <f t="shared" si="1727"/>
        <v>0</v>
      </c>
      <c r="AC609" s="2158">
        <f t="shared" si="1727"/>
        <v>0</v>
      </c>
      <c r="AD609" s="2158">
        <f t="shared" si="1727"/>
        <v>0</v>
      </c>
      <c r="AE609" s="2158">
        <f t="shared" si="1727"/>
        <v>0</v>
      </c>
      <c r="AF609" s="2120">
        <f t="shared" si="1727"/>
        <v>0</v>
      </c>
      <c r="AG609" s="2120">
        <f t="shared" si="1727"/>
        <v>0</v>
      </c>
      <c r="AH609" s="2120">
        <f t="shared" si="1727"/>
        <v>0</v>
      </c>
      <c r="AI609" s="2120">
        <f t="shared" si="1727"/>
        <v>0</v>
      </c>
      <c r="AJ609" s="2120">
        <f t="shared" si="1727"/>
        <v>0</v>
      </c>
      <c r="AK609" s="2120">
        <f t="shared" si="1727"/>
        <v>0</v>
      </c>
      <c r="AL609" s="2314">
        <f t="shared" si="1727"/>
        <v>0</v>
      </c>
      <c r="AM609" s="2120">
        <f t="shared" si="1727"/>
        <v>0</v>
      </c>
      <c r="AN609" s="2120">
        <f t="shared" si="1727"/>
        <v>0</v>
      </c>
      <c r="AO609" s="2120">
        <f t="shared" si="1727"/>
        <v>0</v>
      </c>
      <c r="AP609" s="2120">
        <f t="shared" si="1727"/>
        <v>0</v>
      </c>
      <c r="AQ609" s="2120">
        <f t="shared" si="1728"/>
        <v>0</v>
      </c>
      <c r="AR609" s="2120">
        <f t="shared" si="1728"/>
        <v>945598.2</v>
      </c>
      <c r="AS609" s="2120">
        <f t="shared" si="1728"/>
        <v>0</v>
      </c>
      <c r="AT609" s="2120">
        <f t="shared" si="1728"/>
        <v>0</v>
      </c>
      <c r="AU609" s="2120">
        <f t="shared" si="1728"/>
        <v>0</v>
      </c>
      <c r="AV609" s="2120">
        <f t="shared" si="1728"/>
        <v>0</v>
      </c>
      <c r="AW609" s="2120">
        <f t="shared" si="1728"/>
        <v>0</v>
      </c>
      <c r="AX609" s="2120">
        <f t="shared" si="1728"/>
        <v>0</v>
      </c>
      <c r="AY609" s="2120">
        <f t="shared" si="1728"/>
        <v>0</v>
      </c>
      <c r="AZ609" s="2120">
        <f t="shared" si="1728"/>
        <v>0</v>
      </c>
      <c r="BA609" s="2120">
        <f t="shared" si="1728"/>
        <v>0</v>
      </c>
      <c r="BB609" s="2120">
        <f t="shared" si="1728"/>
        <v>0</v>
      </c>
      <c r="BC609" s="2120">
        <f t="shared" si="1728"/>
        <v>0</v>
      </c>
      <c r="BD609" s="2120">
        <f t="shared" si="1728"/>
        <v>0</v>
      </c>
      <c r="BE609" s="2120">
        <f t="shared" si="1728"/>
        <v>0</v>
      </c>
      <c r="BF609" s="2120">
        <f t="shared" si="1728"/>
        <v>0</v>
      </c>
      <c r="BG609" s="2120">
        <f t="shared" si="1729"/>
        <v>0</v>
      </c>
      <c r="BH609" s="2120">
        <f t="shared" si="1729"/>
        <v>0</v>
      </c>
      <c r="BI609" s="2120">
        <f t="shared" si="1729"/>
        <v>0</v>
      </c>
      <c r="BJ609" s="2120">
        <f t="shared" si="1729"/>
        <v>0</v>
      </c>
      <c r="BK609" s="2120">
        <f t="shared" si="1729"/>
        <v>0</v>
      </c>
      <c r="BL609" s="2120">
        <f t="shared" si="1729"/>
        <v>0</v>
      </c>
      <c r="BM609" s="2120">
        <f t="shared" si="1729"/>
        <v>0</v>
      </c>
      <c r="BN609" s="2120">
        <f t="shared" si="1729"/>
        <v>0</v>
      </c>
      <c r="BO609" s="2120">
        <f t="shared" si="1729"/>
        <v>0</v>
      </c>
      <c r="BP609" s="2120">
        <f t="shared" si="1729"/>
        <v>0</v>
      </c>
      <c r="BQ609" s="2120">
        <f t="shared" si="1729"/>
        <v>0</v>
      </c>
      <c r="BR609" s="2120">
        <f t="shared" si="1729"/>
        <v>0</v>
      </c>
      <c r="BS609" s="2120">
        <f t="shared" si="1729"/>
        <v>0</v>
      </c>
      <c r="BT609" s="2120">
        <f t="shared" si="1729"/>
        <v>0</v>
      </c>
      <c r="BU609" s="2120">
        <f t="shared" si="1729"/>
        <v>0</v>
      </c>
      <c r="BV609" s="2120">
        <f t="shared" si="1729"/>
        <v>0</v>
      </c>
      <c r="BW609" s="2120">
        <f t="shared" si="1730"/>
        <v>0</v>
      </c>
      <c r="BX609" s="2120">
        <f t="shared" si="1730"/>
        <v>0</v>
      </c>
      <c r="BY609" s="2120">
        <f t="shared" si="1730"/>
        <v>0</v>
      </c>
      <c r="BZ609" s="2120">
        <f t="shared" si="1730"/>
        <v>0</v>
      </c>
      <c r="CA609" s="2120">
        <f t="shared" si="1730"/>
        <v>0</v>
      </c>
      <c r="CB609" s="2120">
        <f t="shared" si="1730"/>
        <v>0</v>
      </c>
      <c r="CC609" s="2120">
        <f t="shared" si="1730"/>
        <v>0</v>
      </c>
      <c r="CD609" s="2120">
        <f t="shared" si="1730"/>
        <v>0</v>
      </c>
      <c r="CE609" s="2120">
        <f t="shared" si="1730"/>
        <v>0</v>
      </c>
      <c r="CF609" s="2120">
        <f t="shared" si="1730"/>
        <v>0</v>
      </c>
      <c r="CG609" s="2120">
        <f t="shared" si="1730"/>
        <v>0</v>
      </c>
      <c r="CH609" s="2120">
        <f t="shared" si="1730"/>
        <v>0</v>
      </c>
      <c r="CI609" s="2120">
        <f t="shared" si="1730"/>
        <v>0</v>
      </c>
      <c r="CJ609" s="2120">
        <f t="shared" si="1730"/>
        <v>0</v>
      </c>
      <c r="CK609" s="2120">
        <f t="shared" si="1730"/>
        <v>0</v>
      </c>
      <c r="CL609" s="2120">
        <f t="shared" si="1730"/>
        <v>0</v>
      </c>
      <c r="CM609" s="2120">
        <f t="shared" si="1731"/>
        <v>0</v>
      </c>
      <c r="CN609" s="2120">
        <f t="shared" si="1731"/>
        <v>0</v>
      </c>
      <c r="CO609" s="2120">
        <f t="shared" si="1731"/>
        <v>0</v>
      </c>
      <c r="CP609" s="2120">
        <f t="shared" si="1731"/>
        <v>0</v>
      </c>
      <c r="CQ609" s="2120">
        <f t="shared" si="1731"/>
        <v>0</v>
      </c>
      <c r="CR609" s="2120">
        <f t="shared" si="1731"/>
        <v>0</v>
      </c>
      <c r="CS609" s="2120">
        <f t="shared" si="1731"/>
        <v>0</v>
      </c>
      <c r="CT609" s="2120">
        <f t="shared" si="1731"/>
        <v>0</v>
      </c>
      <c r="CU609" s="2120">
        <f t="shared" si="1731"/>
        <v>0</v>
      </c>
      <c r="CV609" s="2120">
        <f t="shared" si="1731"/>
        <v>0</v>
      </c>
      <c r="CW609" s="2120">
        <f t="shared" si="1731"/>
        <v>0</v>
      </c>
      <c r="CX609" s="2120">
        <f t="shared" si="1731"/>
        <v>0</v>
      </c>
      <c r="CY609" s="2120">
        <f t="shared" si="1731"/>
        <v>0</v>
      </c>
      <c r="CZ609" s="2120">
        <f t="shared" si="1731"/>
        <v>0</v>
      </c>
      <c r="DA609" s="2120">
        <f t="shared" si="1731"/>
        <v>0</v>
      </c>
      <c r="DB609" s="2120">
        <f t="shared" si="1731"/>
        <v>0</v>
      </c>
      <c r="DC609" s="2120">
        <f t="shared" si="1732"/>
        <v>0</v>
      </c>
      <c r="DD609" s="2120">
        <f t="shared" si="1732"/>
        <v>0</v>
      </c>
      <c r="DE609" s="2120">
        <f t="shared" si="1732"/>
        <v>0</v>
      </c>
      <c r="DF609" s="2120">
        <f t="shared" si="1732"/>
        <v>0</v>
      </c>
      <c r="DG609" s="2120">
        <f t="shared" si="1732"/>
        <v>0</v>
      </c>
      <c r="DH609" s="2120">
        <f t="shared" si="1732"/>
        <v>0</v>
      </c>
      <c r="DI609" s="2120">
        <f t="shared" si="1732"/>
        <v>0</v>
      </c>
      <c r="DJ609" s="2120">
        <f t="shared" si="1732"/>
        <v>0</v>
      </c>
      <c r="DK609" s="2120">
        <f t="shared" si="1732"/>
        <v>0</v>
      </c>
      <c r="DL609" s="2120">
        <f t="shared" si="1732"/>
        <v>0</v>
      </c>
      <c r="DM609" s="2120">
        <f t="shared" si="1732"/>
        <v>0</v>
      </c>
      <c r="DN609" s="2120">
        <f t="shared" si="1732"/>
        <v>0</v>
      </c>
      <c r="DO609" s="2120">
        <f t="shared" si="1732"/>
        <v>0</v>
      </c>
      <c r="DP609" s="2120">
        <f t="shared" si="1732"/>
        <v>0</v>
      </c>
    </row>
    <row r="610" spans="1:120" s="116" customFormat="1" hidden="1" outlineLevel="1">
      <c r="A610" s="1221">
        <v>1110052090</v>
      </c>
      <c r="B610" s="1216" t="s">
        <v>2446</v>
      </c>
      <c r="C610" s="101" t="s">
        <v>64</v>
      </c>
      <c r="D610" s="1712"/>
      <c r="E610" s="1642">
        <v>44987</v>
      </c>
      <c r="F610" s="1224"/>
      <c r="G610" s="1266"/>
      <c r="H610" s="1225"/>
      <c r="I610" s="1226"/>
      <c r="J610" s="1604">
        <v>1</v>
      </c>
      <c r="K610" s="1605">
        <v>1</v>
      </c>
      <c r="L610" s="1606">
        <v>1100000</v>
      </c>
      <c r="M610" s="1626">
        <f t="shared" si="1733"/>
        <v>1100000</v>
      </c>
      <c r="N610" s="1228">
        <v>4848.78</v>
      </c>
      <c r="O610" s="1229">
        <f t="shared" ref="O610" si="1744">+L610*N610</f>
        <v>5333658000</v>
      </c>
      <c r="P610" s="1713"/>
      <c r="Q610" s="1230">
        <f t="shared" ref="Q610" si="1745">+P610*K610</f>
        <v>0</v>
      </c>
      <c r="R610" s="1231"/>
      <c r="S610" s="1231">
        <f ca="1">IF(OR(E610="",E610&gt;TODAY()),0,IF(ISERROR(VLOOKUP($E610,'TRM BanRep'!$A:$G,7,0)),0,VLOOKUP($E610,'TRM BanRep'!$A:$G,7,0)))</f>
        <v>4848.78</v>
      </c>
      <c r="T610" s="1232">
        <f t="shared" ref="T610" ca="1" si="1746">+P610*S610</f>
        <v>0</v>
      </c>
      <c r="U610" s="2012">
        <f t="shared" ref="U610" si="1747">+L610+P610+F610</f>
        <v>1100000</v>
      </c>
      <c r="V610" s="566">
        <f t="shared" ref="V610" si="1748">+P610*R610+L610*N610+F610*H610</f>
        <v>5333658000</v>
      </c>
      <c r="W610" s="1235">
        <f t="shared" ref="W610" ca="1" si="1749">IF((-P610*R610)-(-P610*S610)&gt;0,(-P610*R610)-(-P610*S610),0)</f>
        <v>0</v>
      </c>
      <c r="X610" s="1236">
        <f t="shared" ref="X610" ca="1" si="1750">IF((-P610*R610)-(-P610*S610)&lt;0,(-P610*R610)-(-P610*S610),0)</f>
        <v>0</v>
      </c>
      <c r="Y610" s="2013"/>
      <c r="Z610" s="115"/>
      <c r="AA610" s="2329">
        <f t="shared" si="1727"/>
        <v>0</v>
      </c>
      <c r="AB610" s="2158">
        <f t="shared" si="1727"/>
        <v>0</v>
      </c>
      <c r="AC610" s="2158">
        <f t="shared" si="1727"/>
        <v>0</v>
      </c>
      <c r="AD610" s="2158">
        <f t="shared" si="1727"/>
        <v>0</v>
      </c>
      <c r="AE610" s="2158">
        <f t="shared" si="1727"/>
        <v>0</v>
      </c>
      <c r="AF610" s="2120">
        <f t="shared" si="1727"/>
        <v>0</v>
      </c>
      <c r="AG610" s="2120">
        <f t="shared" si="1727"/>
        <v>0</v>
      </c>
      <c r="AH610" s="2120">
        <f t="shared" si="1727"/>
        <v>0</v>
      </c>
      <c r="AI610" s="2120">
        <f t="shared" si="1727"/>
        <v>0</v>
      </c>
      <c r="AJ610" s="2120">
        <f t="shared" si="1727"/>
        <v>0</v>
      </c>
      <c r="AK610" s="2120">
        <f t="shared" si="1727"/>
        <v>0</v>
      </c>
      <c r="AL610" s="2314">
        <f t="shared" si="1727"/>
        <v>0</v>
      </c>
      <c r="AM610" s="2120">
        <f t="shared" si="1727"/>
        <v>0</v>
      </c>
      <c r="AN610" s="2120">
        <f t="shared" si="1727"/>
        <v>0</v>
      </c>
      <c r="AO610" s="2120">
        <f t="shared" si="1727"/>
        <v>0</v>
      </c>
      <c r="AP610" s="2120">
        <f t="shared" si="1727"/>
        <v>0</v>
      </c>
      <c r="AQ610" s="2120">
        <f t="shared" si="1728"/>
        <v>0</v>
      </c>
      <c r="AR610" s="2120">
        <f t="shared" si="1728"/>
        <v>0</v>
      </c>
      <c r="AS610" s="2120">
        <f t="shared" si="1728"/>
        <v>1100000</v>
      </c>
      <c r="AT610" s="2120">
        <f t="shared" si="1728"/>
        <v>0</v>
      </c>
      <c r="AU610" s="2120">
        <f t="shared" si="1728"/>
        <v>0</v>
      </c>
      <c r="AV610" s="2120">
        <f t="shared" si="1728"/>
        <v>0</v>
      </c>
      <c r="AW610" s="2120">
        <f t="shared" si="1728"/>
        <v>0</v>
      </c>
      <c r="AX610" s="2120">
        <f t="shared" si="1728"/>
        <v>0</v>
      </c>
      <c r="AY610" s="2120">
        <f t="shared" si="1728"/>
        <v>0</v>
      </c>
      <c r="AZ610" s="2120">
        <f t="shared" si="1728"/>
        <v>0</v>
      </c>
      <c r="BA610" s="2120">
        <f t="shared" si="1728"/>
        <v>0</v>
      </c>
      <c r="BB610" s="2120">
        <f t="shared" si="1728"/>
        <v>0</v>
      </c>
      <c r="BC610" s="2120">
        <f t="shared" si="1728"/>
        <v>0</v>
      </c>
      <c r="BD610" s="2120">
        <f t="shared" si="1728"/>
        <v>0</v>
      </c>
      <c r="BE610" s="2120">
        <f t="shared" si="1728"/>
        <v>0</v>
      </c>
      <c r="BF610" s="2120">
        <f t="shared" si="1728"/>
        <v>0</v>
      </c>
      <c r="BG610" s="2120">
        <f t="shared" si="1729"/>
        <v>0</v>
      </c>
      <c r="BH610" s="2120">
        <f t="shared" si="1729"/>
        <v>0</v>
      </c>
      <c r="BI610" s="2120">
        <f t="shared" si="1729"/>
        <v>0</v>
      </c>
      <c r="BJ610" s="2120">
        <f t="shared" si="1729"/>
        <v>0</v>
      </c>
      <c r="BK610" s="2120">
        <f t="shared" si="1729"/>
        <v>0</v>
      </c>
      <c r="BL610" s="2120">
        <f t="shared" si="1729"/>
        <v>0</v>
      </c>
      <c r="BM610" s="2120">
        <f t="shared" si="1729"/>
        <v>0</v>
      </c>
      <c r="BN610" s="2120">
        <f t="shared" si="1729"/>
        <v>0</v>
      </c>
      <c r="BO610" s="2120">
        <f t="shared" si="1729"/>
        <v>0</v>
      </c>
      <c r="BP610" s="2120">
        <f t="shared" si="1729"/>
        <v>0</v>
      </c>
      <c r="BQ610" s="2120">
        <f t="shared" si="1729"/>
        <v>0</v>
      </c>
      <c r="BR610" s="2120">
        <f t="shared" si="1729"/>
        <v>0</v>
      </c>
      <c r="BS610" s="2120">
        <f t="shared" si="1729"/>
        <v>0</v>
      </c>
      <c r="BT610" s="2120">
        <f t="shared" si="1729"/>
        <v>0</v>
      </c>
      <c r="BU610" s="2120">
        <f t="shared" si="1729"/>
        <v>0</v>
      </c>
      <c r="BV610" s="2120">
        <f t="shared" si="1729"/>
        <v>0</v>
      </c>
      <c r="BW610" s="2120">
        <f t="shared" si="1730"/>
        <v>0</v>
      </c>
      <c r="BX610" s="2120">
        <f t="shared" si="1730"/>
        <v>0</v>
      </c>
      <c r="BY610" s="2120">
        <f t="shared" si="1730"/>
        <v>0</v>
      </c>
      <c r="BZ610" s="2120">
        <f t="shared" si="1730"/>
        <v>0</v>
      </c>
      <c r="CA610" s="2120">
        <f t="shared" si="1730"/>
        <v>0</v>
      </c>
      <c r="CB610" s="2120">
        <f t="shared" si="1730"/>
        <v>0</v>
      </c>
      <c r="CC610" s="2120">
        <f t="shared" si="1730"/>
        <v>0</v>
      </c>
      <c r="CD610" s="2120">
        <f t="shared" si="1730"/>
        <v>0</v>
      </c>
      <c r="CE610" s="2120">
        <f t="shared" si="1730"/>
        <v>0</v>
      </c>
      <c r="CF610" s="2120">
        <f t="shared" si="1730"/>
        <v>0</v>
      </c>
      <c r="CG610" s="2120">
        <f t="shared" si="1730"/>
        <v>0</v>
      </c>
      <c r="CH610" s="2120">
        <f t="shared" si="1730"/>
        <v>0</v>
      </c>
      <c r="CI610" s="2120">
        <f t="shared" si="1730"/>
        <v>0</v>
      </c>
      <c r="CJ610" s="2120">
        <f t="shared" si="1730"/>
        <v>0</v>
      </c>
      <c r="CK610" s="2120">
        <f t="shared" si="1730"/>
        <v>0</v>
      </c>
      <c r="CL610" s="2120">
        <f t="shared" si="1730"/>
        <v>0</v>
      </c>
      <c r="CM610" s="2120">
        <f t="shared" si="1731"/>
        <v>0</v>
      </c>
      <c r="CN610" s="2120">
        <f t="shared" si="1731"/>
        <v>0</v>
      </c>
      <c r="CO610" s="2120">
        <f t="shared" si="1731"/>
        <v>0</v>
      </c>
      <c r="CP610" s="2120">
        <f t="shared" si="1731"/>
        <v>0</v>
      </c>
      <c r="CQ610" s="2120">
        <f t="shared" si="1731"/>
        <v>0</v>
      </c>
      <c r="CR610" s="2120">
        <f t="shared" si="1731"/>
        <v>0</v>
      </c>
      <c r="CS610" s="2120">
        <f t="shared" si="1731"/>
        <v>0</v>
      </c>
      <c r="CT610" s="2120">
        <f t="shared" si="1731"/>
        <v>0</v>
      </c>
      <c r="CU610" s="2120">
        <f t="shared" si="1731"/>
        <v>0</v>
      </c>
      <c r="CV610" s="2120">
        <f t="shared" si="1731"/>
        <v>0</v>
      </c>
      <c r="CW610" s="2120">
        <f t="shared" si="1731"/>
        <v>0</v>
      </c>
      <c r="CX610" s="2120">
        <f t="shared" si="1731"/>
        <v>0</v>
      </c>
      <c r="CY610" s="2120">
        <f t="shared" si="1731"/>
        <v>0</v>
      </c>
      <c r="CZ610" s="2120">
        <f t="shared" si="1731"/>
        <v>0</v>
      </c>
      <c r="DA610" s="2120">
        <f t="shared" si="1731"/>
        <v>0</v>
      </c>
      <c r="DB610" s="2120">
        <f t="shared" si="1731"/>
        <v>0</v>
      </c>
      <c r="DC610" s="2120">
        <f t="shared" si="1732"/>
        <v>0</v>
      </c>
      <c r="DD610" s="2120">
        <f t="shared" si="1732"/>
        <v>0</v>
      </c>
      <c r="DE610" s="2120">
        <f t="shared" si="1732"/>
        <v>0</v>
      </c>
      <c r="DF610" s="2120">
        <f t="shared" si="1732"/>
        <v>0</v>
      </c>
      <c r="DG610" s="2120">
        <f t="shared" si="1732"/>
        <v>0</v>
      </c>
      <c r="DH610" s="2120">
        <f t="shared" si="1732"/>
        <v>0</v>
      </c>
      <c r="DI610" s="2120">
        <f t="shared" si="1732"/>
        <v>0</v>
      </c>
      <c r="DJ610" s="2120">
        <f t="shared" si="1732"/>
        <v>0</v>
      </c>
      <c r="DK610" s="2120">
        <f t="shared" si="1732"/>
        <v>0</v>
      </c>
      <c r="DL610" s="2120">
        <f t="shared" si="1732"/>
        <v>0</v>
      </c>
      <c r="DM610" s="2120">
        <f t="shared" si="1732"/>
        <v>0</v>
      </c>
      <c r="DN610" s="2120">
        <f t="shared" si="1732"/>
        <v>0</v>
      </c>
      <c r="DO610" s="2120">
        <f t="shared" si="1732"/>
        <v>0</v>
      </c>
      <c r="DP610" s="2120">
        <f t="shared" si="1732"/>
        <v>0</v>
      </c>
    </row>
    <row r="611" spans="1:120" s="116" customFormat="1" hidden="1" outlineLevel="1">
      <c r="A611" s="1221">
        <v>1110052090</v>
      </c>
      <c r="B611" s="1216" t="s">
        <v>2446</v>
      </c>
      <c r="C611" s="101" t="s">
        <v>64</v>
      </c>
      <c r="D611" s="1712"/>
      <c r="E611" s="1642">
        <v>44991</v>
      </c>
      <c r="F611" s="1224"/>
      <c r="G611" s="1266"/>
      <c r="H611" s="1225"/>
      <c r="I611" s="1226"/>
      <c r="J611" s="1604">
        <v>1</v>
      </c>
      <c r="K611" s="1605">
        <v>1</v>
      </c>
      <c r="L611" s="1606">
        <v>1954401.8</v>
      </c>
      <c r="M611" s="1626">
        <f t="shared" si="1733"/>
        <v>1954401.8</v>
      </c>
      <c r="N611" s="1228">
        <v>4780.8900000000003</v>
      </c>
      <c r="O611" s="1229">
        <f t="shared" ref="O611" si="1751">+L611*N611</f>
        <v>9343780021.6020012</v>
      </c>
      <c r="P611" s="1713"/>
      <c r="Q611" s="1230">
        <f t="shared" ref="Q611" si="1752">+P611*K611</f>
        <v>0</v>
      </c>
      <c r="R611" s="1231"/>
      <c r="S611" s="1231">
        <f ca="1">IF(OR(E611="",E611&gt;TODAY()),0,IF(ISERROR(VLOOKUP($E611,'TRM BanRep'!$A:$G,7,0)),0,VLOOKUP($E611,'TRM BanRep'!$A:$G,7,0)))</f>
        <v>4780.8900000000003</v>
      </c>
      <c r="T611" s="1232">
        <f t="shared" ref="T611" ca="1" si="1753">+P611*S611</f>
        <v>0</v>
      </c>
      <c r="U611" s="2012">
        <f t="shared" ref="U611" si="1754">+L611+P611+F611</f>
        <v>1954401.8</v>
      </c>
      <c r="V611" s="566">
        <f t="shared" ref="V611" si="1755">+P611*R611+L611*N611+F611*H611</f>
        <v>9343780021.6020012</v>
      </c>
      <c r="W611" s="1235">
        <f t="shared" ref="W611" ca="1" si="1756">IF((-P611*R611)-(-P611*S611)&gt;0,(-P611*R611)-(-P611*S611),0)</f>
        <v>0</v>
      </c>
      <c r="X611" s="1236">
        <f t="shared" ref="X611" ca="1" si="1757">IF((-P611*R611)-(-P611*S611)&lt;0,(-P611*R611)-(-P611*S611),0)</f>
        <v>0</v>
      </c>
      <c r="Y611" s="2013"/>
      <c r="Z611" s="115"/>
      <c r="AA611" s="2329">
        <f t="shared" si="1727"/>
        <v>0</v>
      </c>
      <c r="AB611" s="2158">
        <f t="shared" si="1727"/>
        <v>0</v>
      </c>
      <c r="AC611" s="2158">
        <f t="shared" si="1727"/>
        <v>0</v>
      </c>
      <c r="AD611" s="2158">
        <f t="shared" si="1727"/>
        <v>0</v>
      </c>
      <c r="AE611" s="2158">
        <f t="shared" si="1727"/>
        <v>0</v>
      </c>
      <c r="AF611" s="2120">
        <f t="shared" si="1727"/>
        <v>0</v>
      </c>
      <c r="AG611" s="2120">
        <f t="shared" si="1727"/>
        <v>0</v>
      </c>
      <c r="AH611" s="2120">
        <f t="shared" si="1727"/>
        <v>0</v>
      </c>
      <c r="AI611" s="2120">
        <f t="shared" si="1727"/>
        <v>0</v>
      </c>
      <c r="AJ611" s="2120">
        <f t="shared" si="1727"/>
        <v>0</v>
      </c>
      <c r="AK611" s="2120">
        <f t="shared" si="1727"/>
        <v>0</v>
      </c>
      <c r="AL611" s="2314">
        <f t="shared" si="1727"/>
        <v>0</v>
      </c>
      <c r="AM611" s="2120">
        <f t="shared" si="1727"/>
        <v>0</v>
      </c>
      <c r="AN611" s="2120">
        <f t="shared" si="1727"/>
        <v>0</v>
      </c>
      <c r="AO611" s="2120">
        <f t="shared" si="1727"/>
        <v>0</v>
      </c>
      <c r="AP611" s="2120">
        <f t="shared" ref="AP611" si="1758">IF($L611="",IF(OR($P611="",$R611=""),0,IF($R611=AP$6,$Q611,0)),IF($E611=AP$5,$M611,))</f>
        <v>0</v>
      </c>
      <c r="AQ611" s="2120">
        <f t="shared" si="1728"/>
        <v>0</v>
      </c>
      <c r="AR611" s="2120">
        <f t="shared" si="1728"/>
        <v>0</v>
      </c>
      <c r="AS611" s="2120">
        <f t="shared" si="1728"/>
        <v>0</v>
      </c>
      <c r="AT611" s="2120">
        <f t="shared" si="1728"/>
        <v>1954401.8</v>
      </c>
      <c r="AU611" s="2120">
        <f t="shared" si="1728"/>
        <v>0</v>
      </c>
      <c r="AV611" s="2120">
        <f t="shared" si="1728"/>
        <v>0</v>
      </c>
      <c r="AW611" s="2120">
        <f t="shared" si="1728"/>
        <v>0</v>
      </c>
      <c r="AX611" s="2120">
        <f t="shared" si="1728"/>
        <v>0</v>
      </c>
      <c r="AY611" s="2120">
        <f t="shared" si="1728"/>
        <v>0</v>
      </c>
      <c r="AZ611" s="2120">
        <f t="shared" si="1728"/>
        <v>0</v>
      </c>
      <c r="BA611" s="2120">
        <f t="shared" si="1728"/>
        <v>0</v>
      </c>
      <c r="BB611" s="2120">
        <f t="shared" si="1728"/>
        <v>0</v>
      </c>
      <c r="BC611" s="2120">
        <f t="shared" si="1728"/>
        <v>0</v>
      </c>
      <c r="BD611" s="2120">
        <f t="shared" si="1728"/>
        <v>0</v>
      </c>
      <c r="BE611" s="2120">
        <f t="shared" si="1728"/>
        <v>0</v>
      </c>
      <c r="BF611" s="2120">
        <f t="shared" ref="BF611" si="1759">IF($L611="",IF(OR($P611="",$R611=""),0,IF($R611=BF$6,$Q611,0)),IF($E611=BF$5,$M611,))</f>
        <v>0</v>
      </c>
      <c r="BG611" s="2120">
        <f t="shared" si="1729"/>
        <v>0</v>
      </c>
      <c r="BH611" s="2120">
        <f t="shared" si="1729"/>
        <v>0</v>
      </c>
      <c r="BI611" s="2120">
        <f t="shared" si="1729"/>
        <v>0</v>
      </c>
      <c r="BJ611" s="2120">
        <f t="shared" si="1729"/>
        <v>0</v>
      </c>
      <c r="BK611" s="2120">
        <f t="shared" si="1729"/>
        <v>0</v>
      </c>
      <c r="BL611" s="2120">
        <f t="shared" si="1729"/>
        <v>0</v>
      </c>
      <c r="BM611" s="2120">
        <f t="shared" si="1729"/>
        <v>0</v>
      </c>
      <c r="BN611" s="2120">
        <f t="shared" si="1729"/>
        <v>0</v>
      </c>
      <c r="BO611" s="2120">
        <f t="shared" si="1729"/>
        <v>0</v>
      </c>
      <c r="BP611" s="2120">
        <f t="shared" si="1729"/>
        <v>0</v>
      </c>
      <c r="BQ611" s="2120">
        <f t="shared" si="1729"/>
        <v>0</v>
      </c>
      <c r="BR611" s="2120">
        <f t="shared" si="1729"/>
        <v>0</v>
      </c>
      <c r="BS611" s="2120">
        <f t="shared" si="1729"/>
        <v>0</v>
      </c>
      <c r="BT611" s="2120">
        <f t="shared" si="1729"/>
        <v>0</v>
      </c>
      <c r="BU611" s="2120">
        <f t="shared" si="1729"/>
        <v>0</v>
      </c>
      <c r="BV611" s="2120">
        <f t="shared" ref="BV611" si="1760">IF($L611="",IF(OR($P611="",$R611=""),0,IF($R611=BV$6,$Q611,0)),IF($E611=BV$5,$M611,))</f>
        <v>0</v>
      </c>
      <c r="BW611" s="2120">
        <f t="shared" si="1730"/>
        <v>0</v>
      </c>
      <c r="BX611" s="2120">
        <f t="shared" si="1730"/>
        <v>0</v>
      </c>
      <c r="BY611" s="2120">
        <f t="shared" si="1730"/>
        <v>0</v>
      </c>
      <c r="BZ611" s="2120">
        <f t="shared" si="1730"/>
        <v>0</v>
      </c>
      <c r="CA611" s="2120">
        <f t="shared" si="1730"/>
        <v>0</v>
      </c>
      <c r="CB611" s="2120">
        <f t="shared" si="1730"/>
        <v>0</v>
      </c>
      <c r="CC611" s="2120">
        <f t="shared" si="1730"/>
        <v>0</v>
      </c>
      <c r="CD611" s="2120">
        <f t="shared" si="1730"/>
        <v>0</v>
      </c>
      <c r="CE611" s="2120">
        <f t="shared" si="1730"/>
        <v>0</v>
      </c>
      <c r="CF611" s="2120">
        <f t="shared" si="1730"/>
        <v>0</v>
      </c>
      <c r="CG611" s="2120">
        <f t="shared" si="1730"/>
        <v>0</v>
      </c>
      <c r="CH611" s="2120">
        <f t="shared" si="1730"/>
        <v>0</v>
      </c>
      <c r="CI611" s="2120">
        <f t="shared" si="1730"/>
        <v>0</v>
      </c>
      <c r="CJ611" s="2120">
        <f t="shared" si="1730"/>
        <v>0</v>
      </c>
      <c r="CK611" s="2120">
        <f t="shared" si="1730"/>
        <v>0</v>
      </c>
      <c r="CL611" s="2120">
        <f t="shared" ref="CL611" si="1761">IF($L611="",IF(OR($P611="",$R611=""),0,IF($R611=CL$6,$Q611,0)),IF($E611=CL$5,$M611,))</f>
        <v>0</v>
      </c>
      <c r="CM611" s="2120">
        <f t="shared" si="1731"/>
        <v>0</v>
      </c>
      <c r="CN611" s="2120">
        <f t="shared" si="1731"/>
        <v>0</v>
      </c>
      <c r="CO611" s="2120">
        <f t="shared" si="1731"/>
        <v>0</v>
      </c>
      <c r="CP611" s="2120">
        <f t="shared" si="1731"/>
        <v>0</v>
      </c>
      <c r="CQ611" s="2120">
        <f t="shared" si="1731"/>
        <v>0</v>
      </c>
      <c r="CR611" s="2120">
        <f t="shared" si="1731"/>
        <v>0</v>
      </c>
      <c r="CS611" s="2120">
        <f t="shared" si="1731"/>
        <v>0</v>
      </c>
      <c r="CT611" s="2120">
        <f t="shared" si="1731"/>
        <v>0</v>
      </c>
      <c r="CU611" s="2120">
        <f t="shared" si="1731"/>
        <v>0</v>
      </c>
      <c r="CV611" s="2120">
        <f t="shared" si="1731"/>
        <v>0</v>
      </c>
      <c r="CW611" s="2120">
        <f t="shared" si="1731"/>
        <v>0</v>
      </c>
      <c r="CX611" s="2120">
        <f t="shared" si="1731"/>
        <v>0</v>
      </c>
      <c r="CY611" s="2120">
        <f t="shared" si="1731"/>
        <v>0</v>
      </c>
      <c r="CZ611" s="2120">
        <f t="shared" si="1731"/>
        <v>0</v>
      </c>
      <c r="DA611" s="2120">
        <f t="shared" si="1731"/>
        <v>0</v>
      </c>
      <c r="DB611" s="2120">
        <f t="shared" ref="DB611" si="1762">IF($L611="",IF(OR($P611="",$R611=""),0,IF($R611=DB$6,$Q611,0)),IF($E611=DB$5,$M611,))</f>
        <v>0</v>
      </c>
      <c r="DC611" s="2120">
        <f t="shared" si="1732"/>
        <v>0</v>
      </c>
      <c r="DD611" s="2120">
        <f t="shared" si="1732"/>
        <v>0</v>
      </c>
      <c r="DE611" s="2120">
        <f t="shared" si="1732"/>
        <v>0</v>
      </c>
      <c r="DF611" s="2120">
        <f t="shared" si="1732"/>
        <v>0</v>
      </c>
      <c r="DG611" s="2120">
        <f t="shared" si="1732"/>
        <v>0</v>
      </c>
      <c r="DH611" s="2120">
        <f t="shared" si="1732"/>
        <v>0</v>
      </c>
      <c r="DI611" s="2120">
        <f t="shared" si="1732"/>
        <v>0</v>
      </c>
      <c r="DJ611" s="2120">
        <f t="shared" si="1732"/>
        <v>0</v>
      </c>
      <c r="DK611" s="2120">
        <f t="shared" si="1732"/>
        <v>0</v>
      </c>
      <c r="DL611" s="2120">
        <f t="shared" si="1732"/>
        <v>0</v>
      </c>
      <c r="DM611" s="2120">
        <f t="shared" si="1732"/>
        <v>0</v>
      </c>
      <c r="DN611" s="2120">
        <f t="shared" si="1732"/>
        <v>0</v>
      </c>
      <c r="DO611" s="2120">
        <f t="shared" si="1732"/>
        <v>0</v>
      </c>
      <c r="DP611" s="2120">
        <f t="shared" si="1732"/>
        <v>0</v>
      </c>
    </row>
    <row r="612" spans="1:120" s="86" customFormat="1" hidden="1" outlineLevel="1">
      <c r="A612" s="200">
        <v>1110052090</v>
      </c>
      <c r="B612" s="87" t="s">
        <v>2211</v>
      </c>
      <c r="C612" s="88" t="s">
        <v>64</v>
      </c>
      <c r="D612" s="1557"/>
      <c r="E612" s="1558">
        <v>45001</v>
      </c>
      <c r="F612" s="201"/>
      <c r="G612" s="1270"/>
      <c r="H612" s="722"/>
      <c r="I612" s="723"/>
      <c r="J612" s="1425">
        <v>1</v>
      </c>
      <c r="K612" s="1426">
        <v>1</v>
      </c>
      <c r="L612" s="2014"/>
      <c r="M612" s="2015">
        <f t="shared" si="1733"/>
        <v>0</v>
      </c>
      <c r="N612" s="724">
        <f ca="1">IF(OR(E612="",E612&gt;TODAY()),0,IF(ISERROR(VLOOKUP($E612,'TRM BanRep'!$A:$G,7,0)),0,VLOOKUP($E612,'TRM BanRep'!$A:$G,7,0)))</f>
        <v>4835.51</v>
      </c>
      <c r="O612" s="725">
        <f t="shared" ca="1" si="1720"/>
        <v>0</v>
      </c>
      <c r="P612" s="202">
        <v>-5</v>
      </c>
      <c r="Q612" s="1345">
        <f t="shared" si="1721"/>
        <v>-5</v>
      </c>
      <c r="R612" s="726">
        <v>4632.2</v>
      </c>
      <c r="S612" s="726">
        <f ca="1">IF(OR(E612="",E612&gt;TODAY()),0,IF(ISERROR(VLOOKUP($E612,'TRM BanRep'!$A:$G,7,0)),0,VLOOKUP($E612,'TRM BanRep'!$A:$G,7,0)))</f>
        <v>4835.51</v>
      </c>
      <c r="T612" s="727">
        <f t="shared" ca="1" si="1722"/>
        <v>-24177.550000000003</v>
      </c>
      <c r="U612" s="1121">
        <f t="shared" si="1723"/>
        <v>-5</v>
      </c>
      <c r="V612" s="560">
        <f t="shared" ca="1" si="1724"/>
        <v>-23161</v>
      </c>
      <c r="W612" s="203">
        <f t="shared" ca="1" si="1725"/>
        <v>0</v>
      </c>
      <c r="X612" s="728">
        <f t="shared" ca="1" si="1726"/>
        <v>-1016.5500000000029</v>
      </c>
      <c r="Y612" s="729"/>
      <c r="Z612" s="1055"/>
      <c r="AA612" s="2329">
        <f t="shared" ca="1" si="1727"/>
        <v>0</v>
      </c>
      <c r="AB612" s="2158">
        <f t="shared" ca="1" si="1727"/>
        <v>0</v>
      </c>
      <c r="AC612" s="2158">
        <f t="shared" ca="1" si="1727"/>
        <v>0</v>
      </c>
      <c r="AD612" s="2158">
        <f t="shared" ca="1" si="1727"/>
        <v>0</v>
      </c>
      <c r="AE612" s="2158">
        <f t="shared" ca="1" si="1727"/>
        <v>0</v>
      </c>
      <c r="AF612" s="2120">
        <f t="shared" ca="1" si="1727"/>
        <v>0</v>
      </c>
      <c r="AG612" s="2120">
        <f t="shared" ca="1" si="1727"/>
        <v>0</v>
      </c>
      <c r="AH612" s="2120">
        <f t="shared" ca="1" si="1727"/>
        <v>0</v>
      </c>
      <c r="AI612" s="2120">
        <f t="shared" ca="1" si="1727"/>
        <v>0</v>
      </c>
      <c r="AJ612" s="2120">
        <f t="shared" ca="1" si="1727"/>
        <v>0</v>
      </c>
      <c r="AK612" s="2120">
        <f t="shared" ca="1" si="1727"/>
        <v>0</v>
      </c>
      <c r="AL612" s="2314">
        <f t="shared" ca="1" si="1727"/>
        <v>0</v>
      </c>
      <c r="AM612" s="2120">
        <f t="shared" ca="1" si="1727"/>
        <v>-5</v>
      </c>
      <c r="AN612" s="2120">
        <f t="shared" ca="1" si="1727"/>
        <v>0</v>
      </c>
      <c r="AO612" s="2120">
        <f t="shared" ca="1" si="1727"/>
        <v>0</v>
      </c>
      <c r="AP612" s="2120">
        <f t="shared" ca="1" si="1727"/>
        <v>0</v>
      </c>
      <c r="AQ612" s="2120">
        <f t="shared" ca="1" si="1728"/>
        <v>0</v>
      </c>
      <c r="AR612" s="2120">
        <f t="shared" ca="1" si="1728"/>
        <v>0</v>
      </c>
      <c r="AS612" s="2120">
        <f t="shared" ca="1" si="1728"/>
        <v>0</v>
      </c>
      <c r="AT612" s="2120">
        <f t="shared" ca="1" si="1728"/>
        <v>0</v>
      </c>
      <c r="AU612" s="2120">
        <f t="shared" ca="1" si="1728"/>
        <v>0</v>
      </c>
      <c r="AV612" s="2120">
        <f t="shared" ca="1" si="1728"/>
        <v>0</v>
      </c>
      <c r="AW612" s="2120">
        <f t="shared" ca="1" si="1728"/>
        <v>0</v>
      </c>
      <c r="AX612" s="2120">
        <f t="shared" ca="1" si="1728"/>
        <v>0</v>
      </c>
      <c r="AY612" s="2120">
        <f t="shared" ca="1" si="1728"/>
        <v>0</v>
      </c>
      <c r="AZ612" s="2120">
        <f t="shared" ca="1" si="1728"/>
        <v>0</v>
      </c>
      <c r="BA612" s="2120">
        <f t="shared" ca="1" si="1728"/>
        <v>0</v>
      </c>
      <c r="BB612" s="2120">
        <f t="shared" ca="1" si="1728"/>
        <v>0</v>
      </c>
      <c r="BC612" s="2120">
        <f t="shared" ca="1" si="1728"/>
        <v>0</v>
      </c>
      <c r="BD612" s="2120">
        <f t="shared" ca="1" si="1728"/>
        <v>0</v>
      </c>
      <c r="BE612" s="2120">
        <f t="shared" ca="1" si="1728"/>
        <v>0</v>
      </c>
      <c r="BF612" s="2120">
        <f t="shared" ca="1" si="1728"/>
        <v>0</v>
      </c>
      <c r="BG612" s="2120">
        <f t="shared" ca="1" si="1729"/>
        <v>0</v>
      </c>
      <c r="BH612" s="2120">
        <f t="shared" ca="1" si="1729"/>
        <v>0</v>
      </c>
      <c r="BI612" s="2120">
        <f t="shared" ca="1" si="1729"/>
        <v>0</v>
      </c>
      <c r="BJ612" s="2120">
        <f t="shared" ca="1" si="1729"/>
        <v>0</v>
      </c>
      <c r="BK612" s="2120">
        <f t="shared" ca="1" si="1729"/>
        <v>0</v>
      </c>
      <c r="BL612" s="2120">
        <f t="shared" ca="1" si="1729"/>
        <v>0</v>
      </c>
      <c r="BM612" s="2120">
        <f t="shared" ca="1" si="1729"/>
        <v>0</v>
      </c>
      <c r="BN612" s="2120">
        <f t="shared" ca="1" si="1729"/>
        <v>0</v>
      </c>
      <c r="BO612" s="2120">
        <f t="shared" ca="1" si="1729"/>
        <v>0</v>
      </c>
      <c r="BP612" s="2120">
        <f t="shared" ca="1" si="1729"/>
        <v>0</v>
      </c>
      <c r="BQ612" s="2120">
        <f t="shared" ca="1" si="1729"/>
        <v>0</v>
      </c>
      <c r="BR612" s="2120">
        <f t="shared" ca="1" si="1729"/>
        <v>0</v>
      </c>
      <c r="BS612" s="2120">
        <f t="shared" ca="1" si="1729"/>
        <v>0</v>
      </c>
      <c r="BT612" s="2120">
        <f t="shared" ca="1" si="1729"/>
        <v>0</v>
      </c>
      <c r="BU612" s="2120">
        <f t="shared" ca="1" si="1729"/>
        <v>0</v>
      </c>
      <c r="BV612" s="2120">
        <f t="shared" ca="1" si="1729"/>
        <v>0</v>
      </c>
      <c r="BW612" s="2120">
        <f t="shared" ca="1" si="1730"/>
        <v>0</v>
      </c>
      <c r="BX612" s="2120">
        <f t="shared" ca="1" si="1730"/>
        <v>0</v>
      </c>
      <c r="BY612" s="2120">
        <f t="shared" ca="1" si="1730"/>
        <v>0</v>
      </c>
      <c r="BZ612" s="2120">
        <f t="shared" ca="1" si="1730"/>
        <v>0</v>
      </c>
      <c r="CA612" s="2120">
        <f t="shared" ca="1" si="1730"/>
        <v>0</v>
      </c>
      <c r="CB612" s="2120">
        <f t="shared" ca="1" si="1730"/>
        <v>0</v>
      </c>
      <c r="CC612" s="2120">
        <f t="shared" ca="1" si="1730"/>
        <v>0</v>
      </c>
      <c r="CD612" s="2120">
        <f t="shared" ca="1" si="1730"/>
        <v>0</v>
      </c>
      <c r="CE612" s="2120">
        <f t="shared" ca="1" si="1730"/>
        <v>0</v>
      </c>
      <c r="CF612" s="2120">
        <f t="shared" ca="1" si="1730"/>
        <v>0</v>
      </c>
      <c r="CG612" s="2120">
        <f t="shared" ca="1" si="1730"/>
        <v>0</v>
      </c>
      <c r="CH612" s="2120">
        <f t="shared" ca="1" si="1730"/>
        <v>0</v>
      </c>
      <c r="CI612" s="2120">
        <f t="shared" ca="1" si="1730"/>
        <v>0</v>
      </c>
      <c r="CJ612" s="2120">
        <f t="shared" ca="1" si="1730"/>
        <v>0</v>
      </c>
      <c r="CK612" s="2120">
        <f t="shared" ca="1" si="1730"/>
        <v>0</v>
      </c>
      <c r="CL612" s="2120">
        <f t="shared" ca="1" si="1730"/>
        <v>0</v>
      </c>
      <c r="CM612" s="2120">
        <f t="shared" ca="1" si="1731"/>
        <v>0</v>
      </c>
      <c r="CN612" s="2120">
        <f t="shared" ca="1" si="1731"/>
        <v>0</v>
      </c>
      <c r="CO612" s="2120">
        <f t="shared" ca="1" si="1731"/>
        <v>0</v>
      </c>
      <c r="CP612" s="2120">
        <f t="shared" ca="1" si="1731"/>
        <v>0</v>
      </c>
      <c r="CQ612" s="2120">
        <f t="shared" ca="1" si="1731"/>
        <v>0</v>
      </c>
      <c r="CR612" s="2120">
        <f t="shared" ca="1" si="1731"/>
        <v>0</v>
      </c>
      <c r="CS612" s="2120">
        <f t="shared" ca="1" si="1731"/>
        <v>0</v>
      </c>
      <c r="CT612" s="2120">
        <f t="shared" ca="1" si="1731"/>
        <v>0</v>
      </c>
      <c r="CU612" s="2120">
        <f t="shared" ca="1" si="1731"/>
        <v>0</v>
      </c>
      <c r="CV612" s="2120">
        <f t="shared" ca="1" si="1731"/>
        <v>0</v>
      </c>
      <c r="CW612" s="2120">
        <f t="shared" ca="1" si="1731"/>
        <v>0</v>
      </c>
      <c r="CX612" s="2120">
        <f t="shared" ca="1" si="1731"/>
        <v>0</v>
      </c>
      <c r="CY612" s="2120">
        <f t="shared" ca="1" si="1731"/>
        <v>0</v>
      </c>
      <c r="CZ612" s="2120">
        <f t="shared" ca="1" si="1731"/>
        <v>0</v>
      </c>
      <c r="DA612" s="2120">
        <f t="shared" ca="1" si="1731"/>
        <v>0</v>
      </c>
      <c r="DB612" s="2120">
        <f t="shared" ca="1" si="1731"/>
        <v>0</v>
      </c>
      <c r="DC612" s="2120">
        <f t="shared" ca="1" si="1732"/>
        <v>0</v>
      </c>
      <c r="DD612" s="2120">
        <f t="shared" ca="1" si="1732"/>
        <v>0</v>
      </c>
      <c r="DE612" s="2120">
        <f t="shared" ca="1" si="1732"/>
        <v>0</v>
      </c>
      <c r="DF612" s="2120">
        <f t="shared" ca="1" si="1732"/>
        <v>0</v>
      </c>
      <c r="DG612" s="2120">
        <f t="shared" ca="1" si="1732"/>
        <v>0</v>
      </c>
      <c r="DH612" s="2120">
        <f t="shared" ca="1" si="1732"/>
        <v>0</v>
      </c>
      <c r="DI612" s="2120">
        <f t="shared" ca="1" si="1732"/>
        <v>0</v>
      </c>
      <c r="DJ612" s="2120">
        <f t="shared" ca="1" si="1732"/>
        <v>0</v>
      </c>
      <c r="DK612" s="2120">
        <f t="shared" ca="1" si="1732"/>
        <v>0</v>
      </c>
      <c r="DL612" s="2120">
        <f t="shared" ca="1" si="1732"/>
        <v>0</v>
      </c>
      <c r="DM612" s="2120">
        <f t="shared" ca="1" si="1732"/>
        <v>0</v>
      </c>
      <c r="DN612" s="2120">
        <f t="shared" ca="1" si="1732"/>
        <v>0</v>
      </c>
      <c r="DO612" s="2120">
        <f t="shared" ca="1" si="1732"/>
        <v>0</v>
      </c>
      <c r="DP612" s="2120">
        <f t="shared" ca="1" si="1732"/>
        <v>0</v>
      </c>
    </row>
    <row r="613" spans="1:120" s="116" customFormat="1" hidden="1" outlineLevel="1">
      <c r="A613" s="1221">
        <v>1110052090</v>
      </c>
      <c r="B613" s="1216" t="s">
        <v>2445</v>
      </c>
      <c r="C613" s="101" t="s">
        <v>64</v>
      </c>
      <c r="D613" s="1712"/>
      <c r="E613" s="1642">
        <v>45002</v>
      </c>
      <c r="F613" s="1224"/>
      <c r="G613" s="1266"/>
      <c r="H613" s="1225"/>
      <c r="I613" s="1226"/>
      <c r="J613" s="1604">
        <v>1</v>
      </c>
      <c r="K613" s="1605">
        <v>1</v>
      </c>
      <c r="L613" s="1606"/>
      <c r="M613" s="1626">
        <f t="shared" si="1733"/>
        <v>0</v>
      </c>
      <c r="N613" s="1228">
        <f ca="1">IF(OR(E613="",E613&gt;TODAY()),0,IF(ISERROR(VLOOKUP($E613,'TRM BanRep'!$A:$G,7,0)),0,VLOOKUP($E613,'TRM BanRep'!$A:$G,7,0)))</f>
        <v>4866.5</v>
      </c>
      <c r="O613" s="1229">
        <f t="shared" ca="1" si="1720"/>
        <v>0</v>
      </c>
      <c r="P613" s="1713">
        <v>-3131155.22</v>
      </c>
      <c r="Q613" s="1230">
        <f t="shared" si="1721"/>
        <v>-3131155.22</v>
      </c>
      <c r="R613" s="1231">
        <v>4632.2</v>
      </c>
      <c r="S613" s="1231">
        <v>4632.2</v>
      </c>
      <c r="T613" s="1232">
        <f t="shared" si="1722"/>
        <v>-14504137210.084</v>
      </c>
      <c r="U613" s="2012">
        <f t="shared" si="1723"/>
        <v>-3131155.22</v>
      </c>
      <c r="V613" s="566">
        <f t="shared" ca="1" si="1724"/>
        <v>-14504137210.084</v>
      </c>
      <c r="W613" s="1235">
        <f t="shared" si="1725"/>
        <v>0</v>
      </c>
      <c r="X613" s="1236">
        <f t="shared" si="1726"/>
        <v>0</v>
      </c>
      <c r="Y613" s="2013"/>
      <c r="Z613" s="115"/>
      <c r="AA613" s="2329">
        <f t="shared" ca="1" si="1727"/>
        <v>0</v>
      </c>
      <c r="AB613" s="2158">
        <f t="shared" ca="1" si="1727"/>
        <v>0</v>
      </c>
      <c r="AC613" s="2158">
        <f t="shared" ca="1" si="1727"/>
        <v>0</v>
      </c>
      <c r="AD613" s="2158">
        <f t="shared" ca="1" si="1727"/>
        <v>0</v>
      </c>
      <c r="AE613" s="2158">
        <f t="shared" ca="1" si="1727"/>
        <v>0</v>
      </c>
      <c r="AF613" s="2120">
        <f t="shared" ca="1" si="1727"/>
        <v>0</v>
      </c>
      <c r="AG613" s="2120">
        <f t="shared" ca="1" si="1727"/>
        <v>0</v>
      </c>
      <c r="AH613" s="2120">
        <f t="shared" ca="1" si="1727"/>
        <v>0</v>
      </c>
      <c r="AI613" s="2120">
        <f t="shared" ca="1" si="1727"/>
        <v>0</v>
      </c>
      <c r="AJ613" s="2120">
        <f t="shared" ca="1" si="1727"/>
        <v>0</v>
      </c>
      <c r="AK613" s="2120">
        <f t="shared" ca="1" si="1727"/>
        <v>0</v>
      </c>
      <c r="AL613" s="2314">
        <f t="shared" ca="1" si="1727"/>
        <v>0</v>
      </c>
      <c r="AM613" s="2120">
        <f t="shared" ca="1" si="1727"/>
        <v>-3131155.22</v>
      </c>
      <c r="AN613" s="2120">
        <f t="shared" ca="1" si="1727"/>
        <v>0</v>
      </c>
      <c r="AO613" s="2120">
        <f t="shared" ca="1" si="1727"/>
        <v>0</v>
      </c>
      <c r="AP613" s="2120">
        <f t="shared" ca="1" si="1727"/>
        <v>0</v>
      </c>
      <c r="AQ613" s="2120">
        <f t="shared" ca="1" si="1728"/>
        <v>0</v>
      </c>
      <c r="AR613" s="2120">
        <f t="shared" ca="1" si="1728"/>
        <v>0</v>
      </c>
      <c r="AS613" s="2120">
        <f t="shared" ca="1" si="1728"/>
        <v>0</v>
      </c>
      <c r="AT613" s="2120">
        <f t="shared" ca="1" si="1728"/>
        <v>0</v>
      </c>
      <c r="AU613" s="2120">
        <f t="shared" ca="1" si="1728"/>
        <v>0</v>
      </c>
      <c r="AV613" s="2120">
        <f t="shared" ca="1" si="1728"/>
        <v>0</v>
      </c>
      <c r="AW613" s="2120">
        <f t="shared" ca="1" si="1728"/>
        <v>0</v>
      </c>
      <c r="AX613" s="2120">
        <f t="shared" ca="1" si="1728"/>
        <v>0</v>
      </c>
      <c r="AY613" s="2120">
        <f t="shared" ca="1" si="1728"/>
        <v>0</v>
      </c>
      <c r="AZ613" s="2120">
        <f t="shared" ca="1" si="1728"/>
        <v>0</v>
      </c>
      <c r="BA613" s="2120">
        <f t="shared" ca="1" si="1728"/>
        <v>0</v>
      </c>
      <c r="BB613" s="2120">
        <f t="shared" ca="1" si="1728"/>
        <v>0</v>
      </c>
      <c r="BC613" s="2120">
        <f t="shared" ca="1" si="1728"/>
        <v>0</v>
      </c>
      <c r="BD613" s="2120">
        <f t="shared" ca="1" si="1728"/>
        <v>0</v>
      </c>
      <c r="BE613" s="2120">
        <f t="shared" ca="1" si="1728"/>
        <v>0</v>
      </c>
      <c r="BF613" s="2120">
        <f t="shared" ca="1" si="1728"/>
        <v>0</v>
      </c>
      <c r="BG613" s="2120">
        <f t="shared" ca="1" si="1729"/>
        <v>0</v>
      </c>
      <c r="BH613" s="2120">
        <f t="shared" ca="1" si="1729"/>
        <v>0</v>
      </c>
      <c r="BI613" s="2120">
        <f t="shared" ca="1" si="1729"/>
        <v>0</v>
      </c>
      <c r="BJ613" s="2120">
        <f t="shared" ca="1" si="1729"/>
        <v>0</v>
      </c>
      <c r="BK613" s="2120">
        <f t="shared" ca="1" si="1729"/>
        <v>0</v>
      </c>
      <c r="BL613" s="2120">
        <f t="shared" ca="1" si="1729"/>
        <v>0</v>
      </c>
      <c r="BM613" s="2120">
        <f t="shared" ca="1" si="1729"/>
        <v>0</v>
      </c>
      <c r="BN613" s="2120">
        <f t="shared" ca="1" si="1729"/>
        <v>0</v>
      </c>
      <c r="BO613" s="2120">
        <f t="shared" ca="1" si="1729"/>
        <v>0</v>
      </c>
      <c r="BP613" s="2120">
        <f t="shared" ca="1" si="1729"/>
        <v>0</v>
      </c>
      <c r="BQ613" s="2120">
        <f t="shared" ca="1" si="1729"/>
        <v>0</v>
      </c>
      <c r="BR613" s="2120">
        <f t="shared" ca="1" si="1729"/>
        <v>0</v>
      </c>
      <c r="BS613" s="2120">
        <f t="shared" ca="1" si="1729"/>
        <v>0</v>
      </c>
      <c r="BT613" s="2120">
        <f t="shared" ca="1" si="1729"/>
        <v>0</v>
      </c>
      <c r="BU613" s="2120">
        <f t="shared" ca="1" si="1729"/>
        <v>0</v>
      </c>
      <c r="BV613" s="2120">
        <f t="shared" ca="1" si="1729"/>
        <v>0</v>
      </c>
      <c r="BW613" s="2120">
        <f t="shared" ca="1" si="1730"/>
        <v>0</v>
      </c>
      <c r="BX613" s="2120">
        <f t="shared" ca="1" si="1730"/>
        <v>0</v>
      </c>
      <c r="BY613" s="2120">
        <f t="shared" ca="1" si="1730"/>
        <v>0</v>
      </c>
      <c r="BZ613" s="2120">
        <f t="shared" ca="1" si="1730"/>
        <v>0</v>
      </c>
      <c r="CA613" s="2120">
        <f t="shared" ca="1" si="1730"/>
        <v>0</v>
      </c>
      <c r="CB613" s="2120">
        <f t="shared" ca="1" si="1730"/>
        <v>0</v>
      </c>
      <c r="CC613" s="2120">
        <f t="shared" ca="1" si="1730"/>
        <v>0</v>
      </c>
      <c r="CD613" s="2120">
        <f t="shared" ca="1" si="1730"/>
        <v>0</v>
      </c>
      <c r="CE613" s="2120">
        <f t="shared" ca="1" si="1730"/>
        <v>0</v>
      </c>
      <c r="CF613" s="2120">
        <f t="shared" ca="1" si="1730"/>
        <v>0</v>
      </c>
      <c r="CG613" s="2120">
        <f t="shared" ca="1" si="1730"/>
        <v>0</v>
      </c>
      <c r="CH613" s="2120">
        <f t="shared" ca="1" si="1730"/>
        <v>0</v>
      </c>
      <c r="CI613" s="2120">
        <f t="shared" ca="1" si="1730"/>
        <v>0</v>
      </c>
      <c r="CJ613" s="2120">
        <f t="shared" ca="1" si="1730"/>
        <v>0</v>
      </c>
      <c r="CK613" s="2120">
        <f t="shared" ca="1" si="1730"/>
        <v>0</v>
      </c>
      <c r="CL613" s="2120">
        <f t="shared" ca="1" si="1730"/>
        <v>0</v>
      </c>
      <c r="CM613" s="2120">
        <f t="shared" ca="1" si="1731"/>
        <v>0</v>
      </c>
      <c r="CN613" s="2120">
        <f t="shared" ca="1" si="1731"/>
        <v>0</v>
      </c>
      <c r="CO613" s="2120">
        <f t="shared" ca="1" si="1731"/>
        <v>0</v>
      </c>
      <c r="CP613" s="2120">
        <f t="shared" ca="1" si="1731"/>
        <v>0</v>
      </c>
      <c r="CQ613" s="2120">
        <f t="shared" ca="1" si="1731"/>
        <v>0</v>
      </c>
      <c r="CR613" s="2120">
        <f t="shared" ca="1" si="1731"/>
        <v>0</v>
      </c>
      <c r="CS613" s="2120">
        <f t="shared" ca="1" si="1731"/>
        <v>0</v>
      </c>
      <c r="CT613" s="2120">
        <f t="shared" ca="1" si="1731"/>
        <v>0</v>
      </c>
      <c r="CU613" s="2120">
        <f t="shared" ca="1" si="1731"/>
        <v>0</v>
      </c>
      <c r="CV613" s="2120">
        <f t="shared" ca="1" si="1731"/>
        <v>0</v>
      </c>
      <c r="CW613" s="2120">
        <f t="shared" ca="1" si="1731"/>
        <v>0</v>
      </c>
      <c r="CX613" s="2120">
        <f t="shared" ca="1" si="1731"/>
        <v>0</v>
      </c>
      <c r="CY613" s="2120">
        <f t="shared" ca="1" si="1731"/>
        <v>0</v>
      </c>
      <c r="CZ613" s="2120">
        <f t="shared" ca="1" si="1731"/>
        <v>0</v>
      </c>
      <c r="DA613" s="2120">
        <f t="shared" ca="1" si="1731"/>
        <v>0</v>
      </c>
      <c r="DB613" s="2120">
        <f t="shared" ca="1" si="1731"/>
        <v>0</v>
      </c>
      <c r="DC613" s="2120">
        <f t="shared" ca="1" si="1732"/>
        <v>0</v>
      </c>
      <c r="DD613" s="2120">
        <f t="shared" ca="1" si="1732"/>
        <v>0</v>
      </c>
      <c r="DE613" s="2120">
        <f t="shared" ca="1" si="1732"/>
        <v>0</v>
      </c>
      <c r="DF613" s="2120">
        <f t="shared" ca="1" si="1732"/>
        <v>0</v>
      </c>
      <c r="DG613" s="2120">
        <f t="shared" ca="1" si="1732"/>
        <v>0</v>
      </c>
      <c r="DH613" s="2120">
        <f t="shared" ca="1" si="1732"/>
        <v>0</v>
      </c>
      <c r="DI613" s="2120">
        <f t="shared" ca="1" si="1732"/>
        <v>0</v>
      </c>
      <c r="DJ613" s="2120">
        <f t="shared" ca="1" si="1732"/>
        <v>0</v>
      </c>
      <c r="DK613" s="2120">
        <f t="shared" ca="1" si="1732"/>
        <v>0</v>
      </c>
      <c r="DL613" s="2120">
        <f t="shared" ca="1" si="1732"/>
        <v>0</v>
      </c>
      <c r="DM613" s="2120">
        <f t="shared" ca="1" si="1732"/>
        <v>0</v>
      </c>
      <c r="DN613" s="2120">
        <f t="shared" ca="1" si="1732"/>
        <v>0</v>
      </c>
      <c r="DO613" s="2120">
        <f t="shared" ca="1" si="1732"/>
        <v>0</v>
      </c>
      <c r="DP613" s="2120">
        <f t="shared" ca="1" si="1732"/>
        <v>0</v>
      </c>
    </row>
    <row r="614" spans="1:120" s="116" customFormat="1" hidden="1" outlineLevel="1">
      <c r="A614" s="1221">
        <v>1110052090</v>
      </c>
      <c r="B614" s="1216" t="s">
        <v>2445</v>
      </c>
      <c r="C614" s="101" t="s">
        <v>64</v>
      </c>
      <c r="D614" s="1712"/>
      <c r="E614" s="1642">
        <v>45002</v>
      </c>
      <c r="F614" s="1224"/>
      <c r="G614" s="1266"/>
      <c r="H614" s="1225"/>
      <c r="I614" s="1226"/>
      <c r="J614" s="1604">
        <v>1</v>
      </c>
      <c r="K614" s="1605">
        <v>1</v>
      </c>
      <c r="L614" s="1606"/>
      <c r="M614" s="1626">
        <f t="shared" ref="M614" si="1763">+L614*J614</f>
        <v>0</v>
      </c>
      <c r="N614" s="1228">
        <f ca="1">IF(OR(E614="",E614&gt;TODAY()),0,IF(ISERROR(VLOOKUP($E614,'TRM BanRep'!$A:$G,7,0)),0,VLOOKUP($E614,'TRM BanRep'!$A:$G,7,0)))</f>
        <v>4866.5</v>
      </c>
      <c r="O614" s="1229">
        <f t="shared" ref="O614" ca="1" si="1764">+L614*N614</f>
        <v>0</v>
      </c>
      <c r="P614" s="1713">
        <v>-36656.480000000003</v>
      </c>
      <c r="Q614" s="1230">
        <f t="shared" ref="Q614" si="1765">+P614*K614</f>
        <v>-36656.480000000003</v>
      </c>
      <c r="R614" s="1231">
        <v>4648.7</v>
      </c>
      <c r="S614" s="1231">
        <v>4648.7</v>
      </c>
      <c r="T614" s="1232">
        <f t="shared" ref="T614" si="1766">+P614*S614</f>
        <v>-170404978.57600001</v>
      </c>
      <c r="U614" s="2012">
        <f t="shared" ref="U614" si="1767">+L614+P614+F614</f>
        <v>-36656.480000000003</v>
      </c>
      <c r="V614" s="566">
        <f t="shared" ref="V614" ca="1" si="1768">+P614*R614+L614*N614+F614*H614</f>
        <v>-170404978.57600001</v>
      </c>
      <c r="W614" s="1235">
        <f t="shared" ref="W614" si="1769">IF((-P614*R614)-(-P614*S614)&gt;0,(-P614*R614)-(-P614*S614),0)</f>
        <v>0</v>
      </c>
      <c r="X614" s="1236">
        <f t="shared" ref="X614" si="1770">IF((-P614*R614)-(-P614*S614)&lt;0,(-P614*R614)-(-P614*S614),0)</f>
        <v>0</v>
      </c>
      <c r="Y614" s="2013"/>
      <c r="Z614" s="115"/>
      <c r="AA614" s="2329">
        <f t="shared" ref="AA614:CL615" ca="1" si="1771">IF($L614="",IF(OR($P614="",$R614=""),0,IF($R614=AA$6,$Q614,0)),IF($E614=AA$5,$M614,))</f>
        <v>0</v>
      </c>
      <c r="AB614" s="2158">
        <f t="shared" ca="1" si="1771"/>
        <v>0</v>
      </c>
      <c r="AC614" s="2158">
        <f t="shared" ca="1" si="1771"/>
        <v>0</v>
      </c>
      <c r="AD614" s="2158">
        <f t="shared" ca="1" si="1771"/>
        <v>0</v>
      </c>
      <c r="AE614" s="2158">
        <f t="shared" ca="1" si="1771"/>
        <v>0</v>
      </c>
      <c r="AF614" s="2120">
        <f t="shared" ca="1" si="1771"/>
        <v>0</v>
      </c>
      <c r="AG614" s="2120">
        <f t="shared" ca="1" si="1771"/>
        <v>0</v>
      </c>
      <c r="AH614" s="2120">
        <f t="shared" ca="1" si="1771"/>
        <v>0</v>
      </c>
      <c r="AI614" s="2120">
        <f t="shared" ca="1" si="1771"/>
        <v>0</v>
      </c>
      <c r="AJ614" s="2120">
        <f t="shared" ca="1" si="1771"/>
        <v>0</v>
      </c>
      <c r="AK614" s="2120">
        <f t="shared" ca="1" si="1771"/>
        <v>0</v>
      </c>
      <c r="AL614" s="2314">
        <f t="shared" ca="1" si="1771"/>
        <v>0</v>
      </c>
      <c r="AM614" s="2120">
        <f t="shared" ca="1" si="1771"/>
        <v>0</v>
      </c>
      <c r="AN614" s="2120">
        <f t="shared" ca="1" si="1771"/>
        <v>-36656.480000000003</v>
      </c>
      <c r="AO614" s="2120">
        <f t="shared" ca="1" si="1771"/>
        <v>0</v>
      </c>
      <c r="AP614" s="2120">
        <f t="shared" ca="1" si="1771"/>
        <v>0</v>
      </c>
      <c r="AQ614" s="2120">
        <f t="shared" ca="1" si="1771"/>
        <v>0</v>
      </c>
      <c r="AR614" s="2120">
        <f t="shared" ca="1" si="1771"/>
        <v>0</v>
      </c>
      <c r="AS614" s="2120">
        <f t="shared" ca="1" si="1771"/>
        <v>0</v>
      </c>
      <c r="AT614" s="2120">
        <f t="shared" ca="1" si="1771"/>
        <v>0</v>
      </c>
      <c r="AU614" s="2120">
        <f t="shared" ca="1" si="1771"/>
        <v>0</v>
      </c>
      <c r="AV614" s="2120">
        <f t="shared" ca="1" si="1771"/>
        <v>0</v>
      </c>
      <c r="AW614" s="2120">
        <f t="shared" ca="1" si="1771"/>
        <v>0</v>
      </c>
      <c r="AX614" s="2120">
        <f t="shared" ca="1" si="1771"/>
        <v>0</v>
      </c>
      <c r="AY614" s="2120">
        <f t="shared" ca="1" si="1771"/>
        <v>0</v>
      </c>
      <c r="AZ614" s="2120">
        <f t="shared" ca="1" si="1771"/>
        <v>0</v>
      </c>
      <c r="BA614" s="2120">
        <f t="shared" ca="1" si="1771"/>
        <v>0</v>
      </c>
      <c r="BB614" s="2120">
        <f t="shared" ca="1" si="1771"/>
        <v>0</v>
      </c>
      <c r="BC614" s="2120">
        <f t="shared" ca="1" si="1771"/>
        <v>0</v>
      </c>
      <c r="BD614" s="2120">
        <f t="shared" ca="1" si="1771"/>
        <v>0</v>
      </c>
      <c r="BE614" s="2120">
        <f t="shared" ca="1" si="1771"/>
        <v>0</v>
      </c>
      <c r="BF614" s="2120">
        <f t="shared" ca="1" si="1771"/>
        <v>0</v>
      </c>
      <c r="BG614" s="2120">
        <f t="shared" ca="1" si="1771"/>
        <v>0</v>
      </c>
      <c r="BH614" s="2120">
        <f t="shared" ca="1" si="1771"/>
        <v>0</v>
      </c>
      <c r="BI614" s="2120">
        <f t="shared" ca="1" si="1771"/>
        <v>0</v>
      </c>
      <c r="BJ614" s="2120">
        <f t="shared" ca="1" si="1771"/>
        <v>0</v>
      </c>
      <c r="BK614" s="2120">
        <f t="shared" ca="1" si="1771"/>
        <v>0</v>
      </c>
      <c r="BL614" s="2120">
        <f t="shared" ca="1" si="1771"/>
        <v>0</v>
      </c>
      <c r="BM614" s="2120">
        <f t="shared" ca="1" si="1771"/>
        <v>0</v>
      </c>
      <c r="BN614" s="2120">
        <f t="shared" ca="1" si="1771"/>
        <v>0</v>
      </c>
      <c r="BO614" s="2120">
        <f t="shared" ca="1" si="1771"/>
        <v>0</v>
      </c>
      <c r="BP614" s="2120">
        <f t="shared" ca="1" si="1771"/>
        <v>0</v>
      </c>
      <c r="BQ614" s="2120">
        <f t="shared" ca="1" si="1771"/>
        <v>0</v>
      </c>
      <c r="BR614" s="2120">
        <f t="shared" ca="1" si="1771"/>
        <v>0</v>
      </c>
      <c r="BS614" s="2120">
        <f t="shared" ca="1" si="1771"/>
        <v>0</v>
      </c>
      <c r="BT614" s="2120">
        <f t="shared" ca="1" si="1771"/>
        <v>0</v>
      </c>
      <c r="BU614" s="2120">
        <f t="shared" ca="1" si="1771"/>
        <v>0</v>
      </c>
      <c r="BV614" s="2120">
        <f t="shared" ca="1" si="1771"/>
        <v>0</v>
      </c>
      <c r="BW614" s="2120">
        <f t="shared" ca="1" si="1771"/>
        <v>0</v>
      </c>
      <c r="BX614" s="2120">
        <f t="shared" ca="1" si="1771"/>
        <v>0</v>
      </c>
      <c r="BY614" s="2120">
        <f t="shared" ca="1" si="1771"/>
        <v>0</v>
      </c>
      <c r="BZ614" s="2120">
        <f t="shared" ca="1" si="1771"/>
        <v>0</v>
      </c>
      <c r="CA614" s="2120">
        <f t="shared" ca="1" si="1771"/>
        <v>0</v>
      </c>
      <c r="CB614" s="2120">
        <f t="shared" ca="1" si="1771"/>
        <v>0</v>
      </c>
      <c r="CC614" s="2120">
        <f t="shared" ca="1" si="1771"/>
        <v>0</v>
      </c>
      <c r="CD614" s="2120">
        <f t="shared" ca="1" si="1771"/>
        <v>0</v>
      </c>
      <c r="CE614" s="2120">
        <f t="shared" ca="1" si="1771"/>
        <v>0</v>
      </c>
      <c r="CF614" s="2120">
        <f t="shared" ca="1" si="1771"/>
        <v>0</v>
      </c>
      <c r="CG614" s="2120">
        <f t="shared" ca="1" si="1771"/>
        <v>0</v>
      </c>
      <c r="CH614" s="2120">
        <f t="shared" ca="1" si="1771"/>
        <v>0</v>
      </c>
      <c r="CI614" s="2120">
        <f t="shared" ca="1" si="1771"/>
        <v>0</v>
      </c>
      <c r="CJ614" s="2120">
        <f t="shared" ca="1" si="1771"/>
        <v>0</v>
      </c>
      <c r="CK614" s="2120">
        <f t="shared" ca="1" si="1771"/>
        <v>0</v>
      </c>
      <c r="CL614" s="2120">
        <f t="shared" ca="1" si="1771"/>
        <v>0</v>
      </c>
      <c r="CM614" s="2120">
        <f t="shared" ref="CM614:DB615" ca="1" si="1772">IF($L614="",IF(OR($P614="",$R614=""),0,IF($R614=CM$6,$Q614,0)),IF($E614=CM$5,$M614,))</f>
        <v>0</v>
      </c>
      <c r="CN614" s="2120">
        <f t="shared" ca="1" si="1772"/>
        <v>0</v>
      </c>
      <c r="CO614" s="2120">
        <f t="shared" ca="1" si="1772"/>
        <v>0</v>
      </c>
      <c r="CP614" s="2120">
        <f t="shared" ca="1" si="1772"/>
        <v>0</v>
      </c>
      <c r="CQ614" s="2120">
        <f t="shared" ca="1" si="1772"/>
        <v>0</v>
      </c>
      <c r="CR614" s="2120">
        <f t="shared" ca="1" si="1772"/>
        <v>0</v>
      </c>
      <c r="CS614" s="2120">
        <f t="shared" ca="1" si="1772"/>
        <v>0</v>
      </c>
      <c r="CT614" s="2120">
        <f t="shared" ca="1" si="1772"/>
        <v>0</v>
      </c>
      <c r="CU614" s="2120">
        <f t="shared" ca="1" si="1772"/>
        <v>0</v>
      </c>
      <c r="CV614" s="2120">
        <f t="shared" ca="1" si="1772"/>
        <v>0</v>
      </c>
      <c r="CW614" s="2120">
        <f t="shared" ca="1" si="1772"/>
        <v>0</v>
      </c>
      <c r="CX614" s="2120">
        <f t="shared" ca="1" si="1772"/>
        <v>0</v>
      </c>
      <c r="CY614" s="2120">
        <f t="shared" ca="1" si="1772"/>
        <v>0</v>
      </c>
      <c r="CZ614" s="2120">
        <f t="shared" ca="1" si="1772"/>
        <v>0</v>
      </c>
      <c r="DA614" s="2120">
        <f t="shared" ca="1" si="1772"/>
        <v>0</v>
      </c>
      <c r="DB614" s="2120">
        <f t="shared" ca="1" si="1772"/>
        <v>0</v>
      </c>
      <c r="DC614" s="2120">
        <f t="shared" ca="1" si="1732"/>
        <v>0</v>
      </c>
      <c r="DD614" s="2120">
        <f t="shared" ca="1" si="1732"/>
        <v>0</v>
      </c>
      <c r="DE614" s="2120">
        <f t="shared" ca="1" si="1732"/>
        <v>0</v>
      </c>
      <c r="DF614" s="2120">
        <f t="shared" ca="1" si="1732"/>
        <v>0</v>
      </c>
      <c r="DG614" s="2120">
        <f t="shared" ca="1" si="1732"/>
        <v>0</v>
      </c>
      <c r="DH614" s="2120">
        <f t="shared" ca="1" si="1732"/>
        <v>0</v>
      </c>
      <c r="DI614" s="2120">
        <f t="shared" ca="1" si="1732"/>
        <v>0</v>
      </c>
      <c r="DJ614" s="2120">
        <f t="shared" ca="1" si="1732"/>
        <v>0</v>
      </c>
      <c r="DK614" s="2120">
        <f t="shared" ca="1" si="1732"/>
        <v>0</v>
      </c>
      <c r="DL614" s="2120">
        <f t="shared" ca="1" si="1732"/>
        <v>0</v>
      </c>
      <c r="DM614" s="2120">
        <f t="shared" ca="1" si="1732"/>
        <v>0</v>
      </c>
      <c r="DN614" s="2120">
        <f t="shared" ca="1" si="1732"/>
        <v>0</v>
      </c>
      <c r="DO614" s="2120">
        <f t="shared" ca="1" si="1732"/>
        <v>0</v>
      </c>
      <c r="DP614" s="2120">
        <f t="shared" ca="1" si="1732"/>
        <v>0</v>
      </c>
    </row>
    <row r="615" spans="1:120" s="116" customFormat="1" hidden="1" outlineLevel="1">
      <c r="A615" s="1221">
        <v>1110052090</v>
      </c>
      <c r="B615" s="1216" t="s">
        <v>2445</v>
      </c>
      <c r="C615" s="101" t="s">
        <v>64</v>
      </c>
      <c r="D615" s="1712"/>
      <c r="E615" s="1642">
        <v>45002</v>
      </c>
      <c r="F615" s="1224"/>
      <c r="G615" s="1266"/>
      <c r="H615" s="1225"/>
      <c r="I615" s="1226"/>
      <c r="J615" s="1604">
        <v>1</v>
      </c>
      <c r="K615" s="1605">
        <v>1</v>
      </c>
      <c r="L615" s="1606"/>
      <c r="M615" s="1626">
        <f t="shared" ref="M615" si="1773">+L615*J615</f>
        <v>0</v>
      </c>
      <c r="N615" s="1228">
        <f ca="1">IF(OR(E615="",E615&gt;TODAY()),0,IF(ISERROR(VLOOKUP($E615,'TRM BanRep'!$A:$G,7,0)),0,VLOOKUP($E615,'TRM BanRep'!$A:$G,7,0)))</f>
        <v>4866.5</v>
      </c>
      <c r="O615" s="1229">
        <f t="shared" ref="O615" ca="1" si="1774">+L615*N615</f>
        <v>0</v>
      </c>
      <c r="P615" s="1713">
        <v>-832188.3</v>
      </c>
      <c r="Q615" s="1230">
        <f t="shared" ref="Q615" si="1775">+P615*K615</f>
        <v>-832188.3</v>
      </c>
      <c r="R615" s="1231">
        <v>4853.8999999999996</v>
      </c>
      <c r="S615" s="1231">
        <v>4853.8999999999996</v>
      </c>
      <c r="T615" s="1232">
        <f t="shared" ref="T615" si="1776">+P615*S615</f>
        <v>-4039358789.3699999</v>
      </c>
      <c r="U615" s="2012">
        <f t="shared" ref="U615" si="1777">+L615+P615+F615</f>
        <v>-832188.3</v>
      </c>
      <c r="V615" s="566">
        <f t="shared" ref="V615" ca="1" si="1778">+P615*R615+L615*N615+F615*H615</f>
        <v>-4039358789.3699999</v>
      </c>
      <c r="W615" s="1235">
        <f t="shared" ref="W615" si="1779">IF((-P615*R615)-(-P615*S615)&gt;0,(-P615*R615)-(-P615*S615),0)</f>
        <v>0</v>
      </c>
      <c r="X615" s="1236">
        <f t="shared" ref="X615" si="1780">IF((-P615*R615)-(-P615*S615)&lt;0,(-P615*R615)-(-P615*S615),0)</f>
        <v>0</v>
      </c>
      <c r="Y615" s="2013"/>
      <c r="Z615" s="115"/>
      <c r="AA615" s="2329">
        <f t="shared" ca="1" si="1771"/>
        <v>0</v>
      </c>
      <c r="AB615" s="2158">
        <f t="shared" ca="1" si="1771"/>
        <v>0</v>
      </c>
      <c r="AC615" s="2158">
        <f t="shared" ca="1" si="1771"/>
        <v>0</v>
      </c>
      <c r="AD615" s="2158">
        <f t="shared" ca="1" si="1771"/>
        <v>0</v>
      </c>
      <c r="AE615" s="2158">
        <f t="shared" ca="1" si="1771"/>
        <v>0</v>
      </c>
      <c r="AF615" s="2120">
        <f t="shared" ca="1" si="1771"/>
        <v>0</v>
      </c>
      <c r="AG615" s="2120">
        <f t="shared" ca="1" si="1771"/>
        <v>0</v>
      </c>
      <c r="AH615" s="2120">
        <f t="shared" ca="1" si="1771"/>
        <v>0</v>
      </c>
      <c r="AI615" s="2120">
        <f t="shared" ca="1" si="1771"/>
        <v>0</v>
      </c>
      <c r="AJ615" s="2120">
        <f t="shared" ca="1" si="1771"/>
        <v>0</v>
      </c>
      <c r="AK615" s="2120">
        <f t="shared" ca="1" si="1771"/>
        <v>0</v>
      </c>
      <c r="AL615" s="2314">
        <f t="shared" ca="1" si="1771"/>
        <v>0</v>
      </c>
      <c r="AM615" s="2120">
        <f t="shared" ca="1" si="1771"/>
        <v>0</v>
      </c>
      <c r="AN615" s="2120">
        <f t="shared" ca="1" si="1771"/>
        <v>0</v>
      </c>
      <c r="AO615" s="2120">
        <f t="shared" ca="1" si="1771"/>
        <v>-832188.3</v>
      </c>
      <c r="AP615" s="2120">
        <f t="shared" ca="1" si="1771"/>
        <v>0</v>
      </c>
      <c r="AQ615" s="2120">
        <f t="shared" ca="1" si="1771"/>
        <v>0</v>
      </c>
      <c r="AR615" s="2120">
        <f t="shared" ca="1" si="1771"/>
        <v>0</v>
      </c>
      <c r="AS615" s="2120">
        <f t="shared" ca="1" si="1771"/>
        <v>0</v>
      </c>
      <c r="AT615" s="2120">
        <f t="shared" ca="1" si="1771"/>
        <v>0</v>
      </c>
      <c r="AU615" s="2120">
        <f t="shared" ca="1" si="1771"/>
        <v>0</v>
      </c>
      <c r="AV615" s="2120">
        <f t="shared" ca="1" si="1771"/>
        <v>0</v>
      </c>
      <c r="AW615" s="2120">
        <f t="shared" ca="1" si="1771"/>
        <v>0</v>
      </c>
      <c r="AX615" s="2120">
        <f t="shared" ca="1" si="1771"/>
        <v>0</v>
      </c>
      <c r="AY615" s="2120">
        <f t="shared" ca="1" si="1771"/>
        <v>0</v>
      </c>
      <c r="AZ615" s="2120">
        <f t="shared" ca="1" si="1771"/>
        <v>0</v>
      </c>
      <c r="BA615" s="2120">
        <f t="shared" ca="1" si="1771"/>
        <v>0</v>
      </c>
      <c r="BB615" s="2120">
        <f t="shared" ca="1" si="1771"/>
        <v>0</v>
      </c>
      <c r="BC615" s="2120">
        <f t="shared" ca="1" si="1771"/>
        <v>0</v>
      </c>
      <c r="BD615" s="2120">
        <f t="shared" ca="1" si="1771"/>
        <v>0</v>
      </c>
      <c r="BE615" s="2120">
        <f t="shared" ca="1" si="1771"/>
        <v>0</v>
      </c>
      <c r="BF615" s="2120">
        <f t="shared" ca="1" si="1771"/>
        <v>0</v>
      </c>
      <c r="BG615" s="2120">
        <f t="shared" ca="1" si="1771"/>
        <v>0</v>
      </c>
      <c r="BH615" s="2120">
        <f t="shared" ca="1" si="1771"/>
        <v>0</v>
      </c>
      <c r="BI615" s="2120">
        <f t="shared" ca="1" si="1771"/>
        <v>0</v>
      </c>
      <c r="BJ615" s="2120">
        <f t="shared" ca="1" si="1771"/>
        <v>0</v>
      </c>
      <c r="BK615" s="2120">
        <f t="shared" ca="1" si="1771"/>
        <v>0</v>
      </c>
      <c r="BL615" s="2120">
        <f t="shared" ca="1" si="1771"/>
        <v>0</v>
      </c>
      <c r="BM615" s="2120">
        <f t="shared" ca="1" si="1771"/>
        <v>0</v>
      </c>
      <c r="BN615" s="2120">
        <f t="shared" ca="1" si="1771"/>
        <v>0</v>
      </c>
      <c r="BO615" s="2120">
        <f t="shared" ca="1" si="1771"/>
        <v>0</v>
      </c>
      <c r="BP615" s="2120">
        <f t="shared" ca="1" si="1771"/>
        <v>0</v>
      </c>
      <c r="BQ615" s="2120">
        <f t="shared" ca="1" si="1771"/>
        <v>0</v>
      </c>
      <c r="BR615" s="2120">
        <f t="shared" ca="1" si="1771"/>
        <v>0</v>
      </c>
      <c r="BS615" s="2120">
        <f t="shared" ca="1" si="1771"/>
        <v>0</v>
      </c>
      <c r="BT615" s="2120">
        <f t="shared" ca="1" si="1771"/>
        <v>0</v>
      </c>
      <c r="BU615" s="2120">
        <f t="shared" ca="1" si="1771"/>
        <v>0</v>
      </c>
      <c r="BV615" s="2120">
        <f t="shared" ca="1" si="1771"/>
        <v>0</v>
      </c>
      <c r="BW615" s="2120">
        <f t="shared" ca="1" si="1771"/>
        <v>0</v>
      </c>
      <c r="BX615" s="2120">
        <f t="shared" ca="1" si="1771"/>
        <v>0</v>
      </c>
      <c r="BY615" s="2120">
        <f t="shared" ca="1" si="1771"/>
        <v>0</v>
      </c>
      <c r="BZ615" s="2120">
        <f t="shared" ca="1" si="1771"/>
        <v>0</v>
      </c>
      <c r="CA615" s="2120">
        <f t="shared" ca="1" si="1771"/>
        <v>0</v>
      </c>
      <c r="CB615" s="2120">
        <f t="shared" ca="1" si="1771"/>
        <v>0</v>
      </c>
      <c r="CC615" s="2120">
        <f t="shared" ca="1" si="1771"/>
        <v>0</v>
      </c>
      <c r="CD615" s="2120">
        <f t="shared" ca="1" si="1771"/>
        <v>0</v>
      </c>
      <c r="CE615" s="2120">
        <f t="shared" ca="1" si="1771"/>
        <v>0</v>
      </c>
      <c r="CF615" s="2120">
        <f t="shared" ca="1" si="1771"/>
        <v>0</v>
      </c>
      <c r="CG615" s="2120">
        <f t="shared" ca="1" si="1771"/>
        <v>0</v>
      </c>
      <c r="CH615" s="2120">
        <f t="shared" ca="1" si="1771"/>
        <v>0</v>
      </c>
      <c r="CI615" s="2120">
        <f t="shared" ca="1" si="1771"/>
        <v>0</v>
      </c>
      <c r="CJ615" s="2120">
        <f t="shared" ca="1" si="1771"/>
        <v>0</v>
      </c>
      <c r="CK615" s="2120">
        <f t="shared" ca="1" si="1771"/>
        <v>0</v>
      </c>
      <c r="CL615" s="2120">
        <f t="shared" ca="1" si="1771"/>
        <v>0</v>
      </c>
      <c r="CM615" s="2120">
        <f t="shared" ca="1" si="1772"/>
        <v>0</v>
      </c>
      <c r="CN615" s="2120">
        <f t="shared" ca="1" si="1772"/>
        <v>0</v>
      </c>
      <c r="CO615" s="2120">
        <f t="shared" ca="1" si="1772"/>
        <v>0</v>
      </c>
      <c r="CP615" s="2120">
        <f t="shared" ca="1" si="1772"/>
        <v>0</v>
      </c>
      <c r="CQ615" s="2120">
        <f t="shared" ca="1" si="1772"/>
        <v>0</v>
      </c>
      <c r="CR615" s="2120">
        <f t="shared" ca="1" si="1772"/>
        <v>0</v>
      </c>
      <c r="CS615" s="2120">
        <f t="shared" ca="1" si="1772"/>
        <v>0</v>
      </c>
      <c r="CT615" s="2120">
        <f t="shared" ca="1" si="1772"/>
        <v>0</v>
      </c>
      <c r="CU615" s="2120">
        <f t="shared" ca="1" si="1772"/>
        <v>0</v>
      </c>
      <c r="CV615" s="2120">
        <f t="shared" ca="1" si="1772"/>
        <v>0</v>
      </c>
      <c r="CW615" s="2120">
        <f t="shared" ca="1" si="1772"/>
        <v>0</v>
      </c>
      <c r="CX615" s="2120">
        <f t="shared" ca="1" si="1772"/>
        <v>0</v>
      </c>
      <c r="CY615" s="2120">
        <f t="shared" ca="1" si="1772"/>
        <v>0</v>
      </c>
      <c r="CZ615" s="2120">
        <f t="shared" ca="1" si="1772"/>
        <v>0</v>
      </c>
      <c r="DA615" s="2120">
        <f t="shared" ca="1" si="1772"/>
        <v>0</v>
      </c>
      <c r="DB615" s="2120">
        <f t="shared" ca="1" si="1772"/>
        <v>0</v>
      </c>
      <c r="DC615" s="2120">
        <f t="shared" ca="1" si="1732"/>
        <v>0</v>
      </c>
      <c r="DD615" s="2120">
        <f t="shared" ca="1" si="1732"/>
        <v>0</v>
      </c>
      <c r="DE615" s="2120">
        <f t="shared" ca="1" si="1732"/>
        <v>0</v>
      </c>
      <c r="DF615" s="2120">
        <f t="shared" ref="DF615:DP615" ca="1" si="1781">IF($L615="",IF(OR($P615="",$R615=""),0,IF($R615=DF$6,$Q615,0)),IF($E615=DF$5,$M615,))</f>
        <v>0</v>
      </c>
      <c r="DG615" s="2120">
        <f t="shared" ca="1" si="1781"/>
        <v>0</v>
      </c>
      <c r="DH615" s="2120">
        <f t="shared" ca="1" si="1781"/>
        <v>0</v>
      </c>
      <c r="DI615" s="2120">
        <f t="shared" ca="1" si="1781"/>
        <v>0</v>
      </c>
      <c r="DJ615" s="2120">
        <f t="shared" ca="1" si="1781"/>
        <v>0</v>
      </c>
      <c r="DK615" s="2120">
        <f t="shared" ca="1" si="1781"/>
        <v>0</v>
      </c>
      <c r="DL615" s="2120">
        <f t="shared" ca="1" si="1781"/>
        <v>0</v>
      </c>
      <c r="DM615" s="2120">
        <f t="shared" ca="1" si="1781"/>
        <v>0</v>
      </c>
      <c r="DN615" s="2120">
        <f t="shared" ca="1" si="1781"/>
        <v>0</v>
      </c>
      <c r="DO615" s="2120">
        <f t="shared" ca="1" si="1781"/>
        <v>0</v>
      </c>
      <c r="DP615" s="2120">
        <f t="shared" ca="1" si="1781"/>
        <v>0</v>
      </c>
    </row>
    <row r="616" spans="1:120" s="86" customFormat="1" hidden="1" outlineLevel="1">
      <c r="A616" s="200">
        <v>1110052090</v>
      </c>
      <c r="B616" s="87" t="s">
        <v>2442</v>
      </c>
      <c r="C616" s="88" t="s">
        <v>64</v>
      </c>
      <c r="D616" s="1557"/>
      <c r="E616" s="1558">
        <v>45009</v>
      </c>
      <c r="F616" s="201"/>
      <c r="G616" s="1270"/>
      <c r="H616" s="722"/>
      <c r="I616" s="723"/>
      <c r="J616" s="1425">
        <v>1</v>
      </c>
      <c r="K616" s="1426">
        <v>1</v>
      </c>
      <c r="L616" s="2014">
        <v>6841145.1500000004</v>
      </c>
      <c r="M616" s="2015">
        <f t="shared" si="1733"/>
        <v>6841145.1500000004</v>
      </c>
      <c r="N616" s="724">
        <f ca="1">IF(OR(E616="",E616&gt;TODAY()),0,IF(ISERROR(VLOOKUP($E616,'TRM BanRep'!$A:$G,7,0)),0,VLOOKUP($E616,'TRM BanRep'!$A:$G,7,0)))</f>
        <v>4755.12</v>
      </c>
      <c r="O616" s="725">
        <f t="shared" ca="1" si="1720"/>
        <v>32530466125.667999</v>
      </c>
      <c r="P616" s="202"/>
      <c r="Q616" s="1345">
        <f t="shared" si="1721"/>
        <v>0</v>
      </c>
      <c r="R616" s="726"/>
      <c r="S616" s="726">
        <f ca="1">IF(OR(E616="",E616&gt;TODAY()),0,IF(ISERROR(VLOOKUP($E616,'TRM BanRep'!$A:$G,7,0)),0,VLOOKUP($E616,'TRM BanRep'!$A:$G,7,0)))</f>
        <v>4755.12</v>
      </c>
      <c r="T616" s="727">
        <f t="shared" ca="1" si="1722"/>
        <v>0</v>
      </c>
      <c r="U616" s="1121">
        <f t="shared" si="1723"/>
        <v>6841145.1500000004</v>
      </c>
      <c r="V616" s="560">
        <f t="shared" ca="1" si="1724"/>
        <v>32530466125.667999</v>
      </c>
      <c r="W616" s="203">
        <f t="shared" ca="1" si="1725"/>
        <v>0</v>
      </c>
      <c r="X616" s="728">
        <f t="shared" ca="1" si="1726"/>
        <v>0</v>
      </c>
      <c r="Y616" s="729"/>
      <c r="Z616" s="1055"/>
      <c r="AA616" s="2329">
        <f t="shared" si="1727"/>
        <v>0</v>
      </c>
      <c r="AB616" s="2158">
        <f t="shared" si="1727"/>
        <v>0</v>
      </c>
      <c r="AC616" s="2158">
        <f t="shared" si="1727"/>
        <v>0</v>
      </c>
      <c r="AD616" s="2158">
        <f t="shared" si="1727"/>
        <v>0</v>
      </c>
      <c r="AE616" s="2158">
        <f t="shared" si="1727"/>
        <v>0</v>
      </c>
      <c r="AF616" s="2120">
        <f t="shared" si="1727"/>
        <v>0</v>
      </c>
      <c r="AG616" s="2120">
        <f t="shared" si="1727"/>
        <v>0</v>
      </c>
      <c r="AH616" s="2120">
        <f t="shared" si="1727"/>
        <v>0</v>
      </c>
      <c r="AI616" s="2120">
        <f t="shared" si="1727"/>
        <v>0</v>
      </c>
      <c r="AJ616" s="2120">
        <f t="shared" si="1727"/>
        <v>0</v>
      </c>
      <c r="AK616" s="2120">
        <f t="shared" si="1727"/>
        <v>0</v>
      </c>
      <c r="AL616" s="2314">
        <f t="shared" si="1727"/>
        <v>0</v>
      </c>
      <c r="AM616" s="2120">
        <f t="shared" si="1727"/>
        <v>0</v>
      </c>
      <c r="AN616" s="2120">
        <f t="shared" si="1727"/>
        <v>0</v>
      </c>
      <c r="AO616" s="2120">
        <f t="shared" si="1727"/>
        <v>0</v>
      </c>
      <c r="AP616" s="2120">
        <f t="shared" si="1727"/>
        <v>0</v>
      </c>
      <c r="AQ616" s="2120">
        <f t="shared" si="1728"/>
        <v>0</v>
      </c>
      <c r="AR616" s="2120">
        <f t="shared" si="1728"/>
        <v>0</v>
      </c>
      <c r="AS616" s="2120">
        <f t="shared" si="1728"/>
        <v>0</v>
      </c>
      <c r="AT616" s="2120">
        <f t="shared" si="1728"/>
        <v>0</v>
      </c>
      <c r="AU616" s="2120">
        <f t="shared" si="1728"/>
        <v>0</v>
      </c>
      <c r="AV616" s="2120">
        <f t="shared" si="1728"/>
        <v>6841145.1500000004</v>
      </c>
      <c r="AW616" s="2120">
        <f t="shared" si="1728"/>
        <v>0</v>
      </c>
      <c r="AX616" s="2120">
        <f t="shared" si="1728"/>
        <v>0</v>
      </c>
      <c r="AY616" s="2120">
        <f t="shared" si="1728"/>
        <v>0</v>
      </c>
      <c r="AZ616" s="2120">
        <f t="shared" si="1728"/>
        <v>0</v>
      </c>
      <c r="BA616" s="2120">
        <f t="shared" si="1728"/>
        <v>0</v>
      </c>
      <c r="BB616" s="2120">
        <f t="shared" si="1728"/>
        <v>0</v>
      </c>
      <c r="BC616" s="2120">
        <f t="shared" si="1728"/>
        <v>0</v>
      </c>
      <c r="BD616" s="2120">
        <f t="shared" si="1728"/>
        <v>0</v>
      </c>
      <c r="BE616" s="2120">
        <f t="shared" si="1728"/>
        <v>0</v>
      </c>
      <c r="BF616" s="2120">
        <f t="shared" si="1728"/>
        <v>0</v>
      </c>
      <c r="BG616" s="2120">
        <f t="shared" si="1729"/>
        <v>0</v>
      </c>
      <c r="BH616" s="2120">
        <f t="shared" si="1729"/>
        <v>0</v>
      </c>
      <c r="BI616" s="2120">
        <f t="shared" si="1729"/>
        <v>0</v>
      </c>
      <c r="BJ616" s="2120">
        <f t="shared" si="1729"/>
        <v>0</v>
      </c>
      <c r="BK616" s="2120">
        <f t="shared" si="1729"/>
        <v>0</v>
      </c>
      <c r="BL616" s="2120">
        <f t="shared" si="1729"/>
        <v>0</v>
      </c>
      <c r="BM616" s="2120">
        <f t="shared" si="1729"/>
        <v>0</v>
      </c>
      <c r="BN616" s="2120">
        <f t="shared" si="1729"/>
        <v>0</v>
      </c>
      <c r="BO616" s="2120">
        <f t="shared" si="1729"/>
        <v>0</v>
      </c>
      <c r="BP616" s="2120">
        <f t="shared" si="1729"/>
        <v>0</v>
      </c>
      <c r="BQ616" s="2120">
        <f t="shared" si="1729"/>
        <v>0</v>
      </c>
      <c r="BR616" s="2120">
        <f t="shared" si="1729"/>
        <v>0</v>
      </c>
      <c r="BS616" s="2120">
        <f t="shared" si="1729"/>
        <v>0</v>
      </c>
      <c r="BT616" s="2120">
        <f t="shared" si="1729"/>
        <v>0</v>
      </c>
      <c r="BU616" s="2120">
        <f t="shared" si="1729"/>
        <v>0</v>
      </c>
      <c r="BV616" s="2120">
        <f t="shared" si="1729"/>
        <v>0</v>
      </c>
      <c r="BW616" s="2120">
        <f t="shared" si="1730"/>
        <v>0</v>
      </c>
      <c r="BX616" s="2120">
        <f t="shared" si="1730"/>
        <v>0</v>
      </c>
      <c r="BY616" s="2120">
        <f t="shared" si="1730"/>
        <v>0</v>
      </c>
      <c r="BZ616" s="2120">
        <f t="shared" si="1730"/>
        <v>0</v>
      </c>
      <c r="CA616" s="2120">
        <f t="shared" si="1730"/>
        <v>0</v>
      </c>
      <c r="CB616" s="2120">
        <f t="shared" si="1730"/>
        <v>0</v>
      </c>
      <c r="CC616" s="2120">
        <f t="shared" si="1730"/>
        <v>0</v>
      </c>
      <c r="CD616" s="2120">
        <f t="shared" si="1730"/>
        <v>0</v>
      </c>
      <c r="CE616" s="2120">
        <f t="shared" si="1730"/>
        <v>0</v>
      </c>
      <c r="CF616" s="2120">
        <f t="shared" si="1730"/>
        <v>0</v>
      </c>
      <c r="CG616" s="2120">
        <f t="shared" si="1730"/>
        <v>0</v>
      </c>
      <c r="CH616" s="2120">
        <f t="shared" si="1730"/>
        <v>0</v>
      </c>
      <c r="CI616" s="2120">
        <f t="shared" si="1730"/>
        <v>0</v>
      </c>
      <c r="CJ616" s="2120">
        <f t="shared" si="1730"/>
        <v>0</v>
      </c>
      <c r="CK616" s="2120">
        <f t="shared" si="1730"/>
        <v>0</v>
      </c>
      <c r="CL616" s="2120">
        <f t="shared" si="1730"/>
        <v>0</v>
      </c>
      <c r="CM616" s="2120">
        <f t="shared" si="1731"/>
        <v>0</v>
      </c>
      <c r="CN616" s="2120">
        <f t="shared" si="1731"/>
        <v>0</v>
      </c>
      <c r="CO616" s="2120">
        <f t="shared" si="1731"/>
        <v>0</v>
      </c>
      <c r="CP616" s="2120">
        <f t="shared" si="1731"/>
        <v>0</v>
      </c>
      <c r="CQ616" s="2120">
        <f t="shared" si="1731"/>
        <v>0</v>
      </c>
      <c r="CR616" s="2120">
        <f t="shared" si="1731"/>
        <v>0</v>
      </c>
      <c r="CS616" s="2120">
        <f t="shared" si="1731"/>
        <v>0</v>
      </c>
      <c r="CT616" s="2120">
        <f t="shared" si="1731"/>
        <v>0</v>
      </c>
      <c r="CU616" s="2120">
        <f t="shared" si="1731"/>
        <v>0</v>
      </c>
      <c r="CV616" s="2120">
        <f t="shared" si="1731"/>
        <v>0</v>
      </c>
      <c r="CW616" s="2120">
        <f t="shared" si="1731"/>
        <v>0</v>
      </c>
      <c r="CX616" s="2120">
        <f t="shared" si="1731"/>
        <v>0</v>
      </c>
      <c r="CY616" s="2120">
        <f t="shared" si="1731"/>
        <v>0</v>
      </c>
      <c r="CZ616" s="2120">
        <f t="shared" si="1731"/>
        <v>0</v>
      </c>
      <c r="DA616" s="2120">
        <f t="shared" si="1731"/>
        <v>0</v>
      </c>
      <c r="DB616" s="2120">
        <f t="shared" si="1731"/>
        <v>0</v>
      </c>
      <c r="DC616" s="2120">
        <f t="shared" si="1732"/>
        <v>0</v>
      </c>
      <c r="DD616" s="2120">
        <f t="shared" si="1732"/>
        <v>0</v>
      </c>
      <c r="DE616" s="2120">
        <f t="shared" si="1732"/>
        <v>0</v>
      </c>
      <c r="DF616" s="2120">
        <f t="shared" si="1732"/>
        <v>0</v>
      </c>
      <c r="DG616" s="2120">
        <f t="shared" si="1732"/>
        <v>0</v>
      </c>
      <c r="DH616" s="2120">
        <f t="shared" si="1732"/>
        <v>0</v>
      </c>
      <c r="DI616" s="2120">
        <f t="shared" si="1732"/>
        <v>0</v>
      </c>
      <c r="DJ616" s="2120">
        <f t="shared" si="1732"/>
        <v>0</v>
      </c>
      <c r="DK616" s="2120">
        <f t="shared" si="1732"/>
        <v>0</v>
      </c>
      <c r="DL616" s="2120">
        <f t="shared" si="1732"/>
        <v>0</v>
      </c>
      <c r="DM616" s="2120">
        <f t="shared" si="1732"/>
        <v>0</v>
      </c>
      <c r="DN616" s="2120">
        <f t="shared" si="1732"/>
        <v>0</v>
      </c>
      <c r="DO616" s="2120">
        <f t="shared" si="1732"/>
        <v>0</v>
      </c>
      <c r="DP616" s="2120">
        <f t="shared" si="1732"/>
        <v>0</v>
      </c>
    </row>
    <row r="617" spans="1:120" s="116" customFormat="1" hidden="1" outlineLevel="1">
      <c r="A617" s="1221">
        <v>1110052090</v>
      </c>
      <c r="B617" s="1216" t="s">
        <v>2447</v>
      </c>
      <c r="C617" s="101" t="s">
        <v>64</v>
      </c>
      <c r="D617" s="1712"/>
      <c r="E617" s="1642">
        <v>45012</v>
      </c>
      <c r="F617" s="1224"/>
      <c r="G617" s="1266"/>
      <c r="H617" s="1225"/>
      <c r="I617" s="1226"/>
      <c r="J617" s="1604">
        <v>1</v>
      </c>
      <c r="K617" s="1605">
        <v>1</v>
      </c>
      <c r="L617" s="1606"/>
      <c r="M617" s="1626">
        <f t="shared" si="1733"/>
        <v>0</v>
      </c>
      <c r="N617" s="1228">
        <f ca="1">IF(OR(E617="",E617&gt;TODAY()),0,IF(ISERROR(VLOOKUP($E617,'TRM BanRep'!$A:$G,7,0)),0,VLOOKUP($E617,'TRM BanRep'!$A:$G,7,0)))</f>
        <v>4741.76</v>
      </c>
      <c r="O617" s="1229">
        <f t="shared" ca="1" si="1720"/>
        <v>0</v>
      </c>
      <c r="P617" s="1713">
        <v>-1940811.3</v>
      </c>
      <c r="Q617" s="1230">
        <f t="shared" si="1721"/>
        <v>-1940811.3</v>
      </c>
      <c r="R617" s="1231">
        <v>4853.8999999999996</v>
      </c>
      <c r="S617" s="1231">
        <v>4853.8999999999996</v>
      </c>
      <c r="T617" s="1232">
        <f t="shared" si="1722"/>
        <v>-9420503969.0699997</v>
      </c>
      <c r="U617" s="2012">
        <f t="shared" si="1723"/>
        <v>-1940811.3</v>
      </c>
      <c r="V617" s="566">
        <f t="shared" ca="1" si="1724"/>
        <v>-9420503969.0699997</v>
      </c>
      <c r="W617" s="1235">
        <f t="shared" si="1725"/>
        <v>0</v>
      </c>
      <c r="X617" s="1236">
        <f t="shared" si="1726"/>
        <v>0</v>
      </c>
      <c r="Y617" s="2013"/>
      <c r="Z617" s="115"/>
      <c r="AA617" s="2329">
        <f t="shared" ca="1" si="1727"/>
        <v>0</v>
      </c>
      <c r="AB617" s="2158">
        <f t="shared" ca="1" si="1727"/>
        <v>0</v>
      </c>
      <c r="AC617" s="2158">
        <f t="shared" ca="1" si="1727"/>
        <v>0</v>
      </c>
      <c r="AD617" s="2158">
        <f t="shared" ca="1" si="1727"/>
        <v>0</v>
      </c>
      <c r="AE617" s="2158">
        <f t="shared" ca="1" si="1727"/>
        <v>0</v>
      </c>
      <c r="AF617" s="2120">
        <f t="shared" ca="1" si="1727"/>
        <v>0</v>
      </c>
      <c r="AG617" s="2120">
        <f t="shared" ca="1" si="1727"/>
        <v>0</v>
      </c>
      <c r="AH617" s="2120">
        <f t="shared" ca="1" si="1727"/>
        <v>0</v>
      </c>
      <c r="AI617" s="2120">
        <f t="shared" ca="1" si="1727"/>
        <v>0</v>
      </c>
      <c r="AJ617" s="2120">
        <f t="shared" ca="1" si="1727"/>
        <v>0</v>
      </c>
      <c r="AK617" s="2120">
        <f t="shared" ca="1" si="1727"/>
        <v>0</v>
      </c>
      <c r="AL617" s="2314">
        <f t="shared" ca="1" si="1727"/>
        <v>0</v>
      </c>
      <c r="AM617" s="2120">
        <f t="shared" ca="1" si="1727"/>
        <v>0</v>
      </c>
      <c r="AN617" s="2120">
        <f t="shared" ca="1" si="1727"/>
        <v>0</v>
      </c>
      <c r="AO617" s="2120">
        <f t="shared" ca="1" si="1727"/>
        <v>-1940811.3</v>
      </c>
      <c r="AP617" s="2120">
        <f t="shared" ca="1" si="1727"/>
        <v>0</v>
      </c>
      <c r="AQ617" s="2120">
        <f t="shared" ca="1" si="1728"/>
        <v>0</v>
      </c>
      <c r="AR617" s="2120">
        <f t="shared" ca="1" si="1728"/>
        <v>0</v>
      </c>
      <c r="AS617" s="2120">
        <f t="shared" ca="1" si="1728"/>
        <v>0</v>
      </c>
      <c r="AT617" s="2120">
        <f t="shared" ca="1" si="1728"/>
        <v>0</v>
      </c>
      <c r="AU617" s="2120">
        <f t="shared" ca="1" si="1728"/>
        <v>0</v>
      </c>
      <c r="AV617" s="2120">
        <f t="shared" ca="1" si="1728"/>
        <v>0</v>
      </c>
      <c r="AW617" s="2120">
        <f t="shared" ca="1" si="1728"/>
        <v>0</v>
      </c>
      <c r="AX617" s="2120">
        <f t="shared" ca="1" si="1728"/>
        <v>0</v>
      </c>
      <c r="AY617" s="2120">
        <f t="shared" ca="1" si="1728"/>
        <v>0</v>
      </c>
      <c r="AZ617" s="2120">
        <f t="shared" ca="1" si="1728"/>
        <v>0</v>
      </c>
      <c r="BA617" s="2120">
        <f t="shared" ca="1" si="1728"/>
        <v>0</v>
      </c>
      <c r="BB617" s="2120">
        <f t="shared" ca="1" si="1728"/>
        <v>0</v>
      </c>
      <c r="BC617" s="2120">
        <f t="shared" ca="1" si="1728"/>
        <v>0</v>
      </c>
      <c r="BD617" s="2120">
        <f t="shared" ca="1" si="1728"/>
        <v>0</v>
      </c>
      <c r="BE617" s="2120">
        <f t="shared" ca="1" si="1728"/>
        <v>0</v>
      </c>
      <c r="BF617" s="2120">
        <f t="shared" ca="1" si="1728"/>
        <v>0</v>
      </c>
      <c r="BG617" s="2120">
        <f t="shared" ca="1" si="1729"/>
        <v>0</v>
      </c>
      <c r="BH617" s="2120">
        <f t="shared" ca="1" si="1729"/>
        <v>0</v>
      </c>
      <c r="BI617" s="2120">
        <f t="shared" ca="1" si="1729"/>
        <v>0</v>
      </c>
      <c r="BJ617" s="2120">
        <f t="shared" ca="1" si="1729"/>
        <v>0</v>
      </c>
      <c r="BK617" s="2120">
        <f t="shared" ca="1" si="1729"/>
        <v>0</v>
      </c>
      <c r="BL617" s="2120">
        <f t="shared" ca="1" si="1729"/>
        <v>0</v>
      </c>
      <c r="BM617" s="2120">
        <f t="shared" ca="1" si="1729"/>
        <v>0</v>
      </c>
      <c r="BN617" s="2120">
        <f t="shared" ca="1" si="1729"/>
        <v>0</v>
      </c>
      <c r="BO617" s="2120">
        <f t="shared" ca="1" si="1729"/>
        <v>0</v>
      </c>
      <c r="BP617" s="2120">
        <f t="shared" ca="1" si="1729"/>
        <v>0</v>
      </c>
      <c r="BQ617" s="2120">
        <f t="shared" ca="1" si="1729"/>
        <v>0</v>
      </c>
      <c r="BR617" s="2120">
        <f t="shared" ca="1" si="1729"/>
        <v>0</v>
      </c>
      <c r="BS617" s="2120">
        <f t="shared" ca="1" si="1729"/>
        <v>0</v>
      </c>
      <c r="BT617" s="2120">
        <f t="shared" ca="1" si="1729"/>
        <v>0</v>
      </c>
      <c r="BU617" s="2120">
        <f t="shared" ca="1" si="1729"/>
        <v>0</v>
      </c>
      <c r="BV617" s="2120">
        <f t="shared" ca="1" si="1729"/>
        <v>0</v>
      </c>
      <c r="BW617" s="2120">
        <f t="shared" ca="1" si="1730"/>
        <v>0</v>
      </c>
      <c r="BX617" s="2120">
        <f t="shared" ca="1" si="1730"/>
        <v>0</v>
      </c>
      <c r="BY617" s="2120">
        <f t="shared" ca="1" si="1730"/>
        <v>0</v>
      </c>
      <c r="BZ617" s="2120">
        <f t="shared" ca="1" si="1730"/>
        <v>0</v>
      </c>
      <c r="CA617" s="2120">
        <f t="shared" ca="1" si="1730"/>
        <v>0</v>
      </c>
      <c r="CB617" s="2120">
        <f t="shared" ca="1" si="1730"/>
        <v>0</v>
      </c>
      <c r="CC617" s="2120">
        <f t="shared" ca="1" si="1730"/>
        <v>0</v>
      </c>
      <c r="CD617" s="2120">
        <f t="shared" ca="1" si="1730"/>
        <v>0</v>
      </c>
      <c r="CE617" s="2120">
        <f t="shared" ca="1" si="1730"/>
        <v>0</v>
      </c>
      <c r="CF617" s="2120">
        <f t="shared" ca="1" si="1730"/>
        <v>0</v>
      </c>
      <c r="CG617" s="2120">
        <f t="shared" ca="1" si="1730"/>
        <v>0</v>
      </c>
      <c r="CH617" s="2120">
        <f t="shared" ca="1" si="1730"/>
        <v>0</v>
      </c>
      <c r="CI617" s="2120">
        <f t="shared" ca="1" si="1730"/>
        <v>0</v>
      </c>
      <c r="CJ617" s="2120">
        <f t="shared" ca="1" si="1730"/>
        <v>0</v>
      </c>
      <c r="CK617" s="2120">
        <f t="shared" ca="1" si="1730"/>
        <v>0</v>
      </c>
      <c r="CL617" s="2120">
        <f t="shared" ca="1" si="1730"/>
        <v>0</v>
      </c>
      <c r="CM617" s="2120">
        <f t="shared" ca="1" si="1731"/>
        <v>0</v>
      </c>
      <c r="CN617" s="2120">
        <f t="shared" ca="1" si="1731"/>
        <v>0</v>
      </c>
      <c r="CO617" s="2120">
        <f t="shared" ca="1" si="1731"/>
        <v>0</v>
      </c>
      <c r="CP617" s="2120">
        <f t="shared" ca="1" si="1731"/>
        <v>0</v>
      </c>
      <c r="CQ617" s="2120">
        <f t="shared" ca="1" si="1731"/>
        <v>0</v>
      </c>
      <c r="CR617" s="2120">
        <f t="shared" ca="1" si="1731"/>
        <v>0</v>
      </c>
      <c r="CS617" s="2120">
        <f t="shared" ca="1" si="1731"/>
        <v>0</v>
      </c>
      <c r="CT617" s="2120">
        <f t="shared" ca="1" si="1731"/>
        <v>0</v>
      </c>
      <c r="CU617" s="2120">
        <f t="shared" ca="1" si="1731"/>
        <v>0</v>
      </c>
      <c r="CV617" s="2120">
        <f t="shared" ca="1" si="1731"/>
        <v>0</v>
      </c>
      <c r="CW617" s="2120">
        <f t="shared" ca="1" si="1731"/>
        <v>0</v>
      </c>
      <c r="CX617" s="2120">
        <f t="shared" ca="1" si="1731"/>
        <v>0</v>
      </c>
      <c r="CY617" s="2120">
        <f t="shared" ca="1" si="1731"/>
        <v>0</v>
      </c>
      <c r="CZ617" s="2120">
        <f t="shared" ca="1" si="1731"/>
        <v>0</v>
      </c>
      <c r="DA617" s="2120">
        <f t="shared" ca="1" si="1731"/>
        <v>0</v>
      </c>
      <c r="DB617" s="2120">
        <f t="shared" ca="1" si="1731"/>
        <v>0</v>
      </c>
      <c r="DC617" s="2120">
        <f t="shared" ca="1" si="1732"/>
        <v>0</v>
      </c>
      <c r="DD617" s="2120">
        <f t="shared" ca="1" si="1732"/>
        <v>0</v>
      </c>
      <c r="DE617" s="2120">
        <f t="shared" ca="1" si="1732"/>
        <v>0</v>
      </c>
      <c r="DF617" s="2120">
        <f t="shared" ca="1" si="1732"/>
        <v>0</v>
      </c>
      <c r="DG617" s="2120">
        <f t="shared" ca="1" si="1732"/>
        <v>0</v>
      </c>
      <c r="DH617" s="2120">
        <f t="shared" ca="1" si="1732"/>
        <v>0</v>
      </c>
      <c r="DI617" s="2120">
        <f t="shared" ca="1" si="1732"/>
        <v>0</v>
      </c>
      <c r="DJ617" s="2120">
        <f t="shared" ca="1" si="1732"/>
        <v>0</v>
      </c>
      <c r="DK617" s="2120">
        <f t="shared" ca="1" si="1732"/>
        <v>0</v>
      </c>
      <c r="DL617" s="2120">
        <f t="shared" ca="1" si="1732"/>
        <v>0</v>
      </c>
      <c r="DM617" s="2120">
        <f t="shared" ca="1" si="1732"/>
        <v>0</v>
      </c>
      <c r="DN617" s="2120">
        <f t="shared" ca="1" si="1732"/>
        <v>0</v>
      </c>
      <c r="DO617" s="2120">
        <f t="shared" ca="1" si="1732"/>
        <v>0</v>
      </c>
      <c r="DP617" s="2120">
        <f t="shared" ca="1" si="1732"/>
        <v>0</v>
      </c>
    </row>
    <row r="618" spans="1:120" s="116" customFormat="1" hidden="1" outlineLevel="1">
      <c r="A618" s="1221">
        <v>1110052090</v>
      </c>
      <c r="B618" s="1216" t="s">
        <v>2447</v>
      </c>
      <c r="C618" s="101" t="s">
        <v>64</v>
      </c>
      <c r="D618" s="1712"/>
      <c r="E618" s="1642">
        <v>45012</v>
      </c>
      <c r="F618" s="1224"/>
      <c r="G618" s="1266"/>
      <c r="H618" s="1225"/>
      <c r="I618" s="1226"/>
      <c r="J618" s="1604">
        <v>1</v>
      </c>
      <c r="K618" s="1605">
        <v>1</v>
      </c>
      <c r="L618" s="1606"/>
      <c r="M618" s="1626">
        <f t="shared" ref="M618:M619" si="1782">+L618*J618</f>
        <v>0</v>
      </c>
      <c r="N618" s="1228">
        <f ca="1">IF(OR(E618="",E618&gt;TODAY()),0,IF(ISERROR(VLOOKUP($E618,'TRM BanRep'!$A:$G,7,0)),0,VLOOKUP($E618,'TRM BanRep'!$A:$G,7,0)))</f>
        <v>4741.76</v>
      </c>
      <c r="O618" s="1229">
        <f t="shared" ref="O618:O619" ca="1" si="1783">+L618*N618</f>
        <v>0</v>
      </c>
      <c r="P618" s="1713">
        <v>-1074324.22</v>
      </c>
      <c r="Q618" s="1230">
        <f t="shared" ref="Q618:Q619" si="1784">+P618*K618</f>
        <v>-1074324.22</v>
      </c>
      <c r="R618" s="1231">
        <v>4814.1099999999997</v>
      </c>
      <c r="S618" s="1231">
        <v>4814.1099999999997</v>
      </c>
      <c r="T618" s="1232">
        <f t="shared" ref="T618:T619" si="1785">+P618*S618</f>
        <v>-5171914970.7441998</v>
      </c>
      <c r="U618" s="2012">
        <f t="shared" ref="U618:U619" si="1786">+L618+P618+F618</f>
        <v>-1074324.22</v>
      </c>
      <c r="V618" s="566">
        <f t="shared" ref="V618:V619" ca="1" si="1787">+P618*R618+L618*N618+F618*H618</f>
        <v>-5171914970.7441998</v>
      </c>
      <c r="W618" s="1235">
        <f t="shared" ref="W618:W619" si="1788">IF((-P618*R618)-(-P618*S618)&gt;0,(-P618*R618)-(-P618*S618),0)</f>
        <v>0</v>
      </c>
      <c r="X618" s="1236">
        <f t="shared" ref="X618:X619" si="1789">IF((-P618*R618)-(-P618*S618)&lt;0,(-P618*R618)-(-P618*S618),0)</f>
        <v>0</v>
      </c>
      <c r="Y618" s="2013"/>
      <c r="Z618" s="115"/>
      <c r="AA618" s="2329">
        <f t="shared" ref="AA618:CL621" ca="1" si="1790">IF($L618="",IF(OR($P618="",$R618=""),0,IF($R618=AA$6,$Q618,0)),IF($E618=AA$5,$M618,))</f>
        <v>0</v>
      </c>
      <c r="AB618" s="2158">
        <f t="shared" ca="1" si="1790"/>
        <v>0</v>
      </c>
      <c r="AC618" s="2158">
        <f t="shared" ca="1" si="1790"/>
        <v>0</v>
      </c>
      <c r="AD618" s="2158">
        <f t="shared" ca="1" si="1790"/>
        <v>0</v>
      </c>
      <c r="AE618" s="2158">
        <f t="shared" ca="1" si="1790"/>
        <v>0</v>
      </c>
      <c r="AF618" s="2120">
        <f t="shared" ca="1" si="1790"/>
        <v>0</v>
      </c>
      <c r="AG618" s="2120">
        <f t="shared" ca="1" si="1790"/>
        <v>0</v>
      </c>
      <c r="AH618" s="2120">
        <f t="shared" ca="1" si="1790"/>
        <v>0</v>
      </c>
      <c r="AI618" s="2120">
        <f t="shared" ca="1" si="1790"/>
        <v>0</v>
      </c>
      <c r="AJ618" s="2120">
        <f t="shared" ca="1" si="1790"/>
        <v>0</v>
      </c>
      <c r="AK618" s="2120">
        <f t="shared" ca="1" si="1790"/>
        <v>0</v>
      </c>
      <c r="AL618" s="2314">
        <f t="shared" ca="1" si="1790"/>
        <v>0</v>
      </c>
      <c r="AM618" s="2120">
        <f t="shared" ca="1" si="1790"/>
        <v>0</v>
      </c>
      <c r="AN618" s="2120">
        <f t="shared" ca="1" si="1790"/>
        <v>0</v>
      </c>
      <c r="AO618" s="2120">
        <f t="shared" ca="1" si="1790"/>
        <v>0</v>
      </c>
      <c r="AP618" s="2120">
        <f t="shared" ca="1" si="1790"/>
        <v>0</v>
      </c>
      <c r="AQ618" s="2120">
        <f t="shared" ca="1" si="1790"/>
        <v>0</v>
      </c>
      <c r="AR618" s="2120">
        <f t="shared" ca="1" si="1790"/>
        <v>-1074324.22</v>
      </c>
      <c r="AS618" s="2120">
        <f t="shared" ca="1" si="1790"/>
        <v>0</v>
      </c>
      <c r="AT618" s="2120">
        <f t="shared" ca="1" si="1790"/>
        <v>0</v>
      </c>
      <c r="AU618" s="2120">
        <f t="shared" ca="1" si="1790"/>
        <v>0</v>
      </c>
      <c r="AV618" s="2120">
        <f t="shared" ca="1" si="1790"/>
        <v>0</v>
      </c>
      <c r="AW618" s="2120">
        <f t="shared" ca="1" si="1790"/>
        <v>0</v>
      </c>
      <c r="AX618" s="2120">
        <f t="shared" ca="1" si="1790"/>
        <v>0</v>
      </c>
      <c r="AY618" s="2120">
        <f t="shared" ca="1" si="1790"/>
        <v>0</v>
      </c>
      <c r="AZ618" s="2120">
        <f t="shared" ca="1" si="1790"/>
        <v>0</v>
      </c>
      <c r="BA618" s="2120">
        <f t="shared" ca="1" si="1790"/>
        <v>0</v>
      </c>
      <c r="BB618" s="2120">
        <f t="shared" ca="1" si="1790"/>
        <v>0</v>
      </c>
      <c r="BC618" s="2120">
        <f t="shared" ca="1" si="1790"/>
        <v>0</v>
      </c>
      <c r="BD618" s="2120">
        <f t="shared" ca="1" si="1790"/>
        <v>0</v>
      </c>
      <c r="BE618" s="2120">
        <f t="shared" ca="1" si="1790"/>
        <v>0</v>
      </c>
      <c r="BF618" s="2120">
        <f t="shared" ca="1" si="1790"/>
        <v>0</v>
      </c>
      <c r="BG618" s="2120">
        <f t="shared" ca="1" si="1790"/>
        <v>0</v>
      </c>
      <c r="BH618" s="2120">
        <f t="shared" ca="1" si="1790"/>
        <v>0</v>
      </c>
      <c r="BI618" s="2120">
        <f t="shared" ca="1" si="1790"/>
        <v>0</v>
      </c>
      <c r="BJ618" s="2120">
        <f t="shared" ca="1" si="1790"/>
        <v>0</v>
      </c>
      <c r="BK618" s="2120">
        <f t="shared" ca="1" si="1790"/>
        <v>0</v>
      </c>
      <c r="BL618" s="2120">
        <f t="shared" ca="1" si="1790"/>
        <v>0</v>
      </c>
      <c r="BM618" s="2120">
        <f t="shared" ca="1" si="1790"/>
        <v>0</v>
      </c>
      <c r="BN618" s="2120">
        <f t="shared" ca="1" si="1790"/>
        <v>0</v>
      </c>
      <c r="BO618" s="2120">
        <f t="shared" ca="1" si="1790"/>
        <v>0</v>
      </c>
      <c r="BP618" s="2120">
        <f t="shared" ca="1" si="1790"/>
        <v>0</v>
      </c>
      <c r="BQ618" s="2120">
        <f t="shared" ca="1" si="1790"/>
        <v>0</v>
      </c>
      <c r="BR618" s="2120">
        <f t="shared" ca="1" si="1790"/>
        <v>0</v>
      </c>
      <c r="BS618" s="2120">
        <f t="shared" ca="1" si="1790"/>
        <v>0</v>
      </c>
      <c r="BT618" s="2120">
        <f t="shared" ca="1" si="1790"/>
        <v>0</v>
      </c>
      <c r="BU618" s="2120">
        <f t="shared" ca="1" si="1790"/>
        <v>0</v>
      </c>
      <c r="BV618" s="2120">
        <f t="shared" ca="1" si="1790"/>
        <v>0</v>
      </c>
      <c r="BW618" s="2120">
        <f t="shared" ca="1" si="1790"/>
        <v>0</v>
      </c>
      <c r="BX618" s="2120">
        <f t="shared" ca="1" si="1790"/>
        <v>0</v>
      </c>
      <c r="BY618" s="2120">
        <f t="shared" ca="1" si="1790"/>
        <v>0</v>
      </c>
      <c r="BZ618" s="2120">
        <f t="shared" ca="1" si="1790"/>
        <v>0</v>
      </c>
      <c r="CA618" s="2120">
        <f t="shared" ca="1" si="1790"/>
        <v>0</v>
      </c>
      <c r="CB618" s="2120">
        <f t="shared" ca="1" si="1790"/>
        <v>0</v>
      </c>
      <c r="CC618" s="2120">
        <f t="shared" ca="1" si="1790"/>
        <v>0</v>
      </c>
      <c r="CD618" s="2120">
        <f t="shared" ca="1" si="1790"/>
        <v>0</v>
      </c>
      <c r="CE618" s="2120">
        <f t="shared" ca="1" si="1790"/>
        <v>0</v>
      </c>
      <c r="CF618" s="2120">
        <f t="shared" ca="1" si="1790"/>
        <v>0</v>
      </c>
      <c r="CG618" s="2120">
        <f t="shared" ca="1" si="1790"/>
        <v>0</v>
      </c>
      <c r="CH618" s="2120">
        <f t="shared" ca="1" si="1790"/>
        <v>0</v>
      </c>
      <c r="CI618" s="2120">
        <f t="shared" ca="1" si="1790"/>
        <v>0</v>
      </c>
      <c r="CJ618" s="2120">
        <f t="shared" ca="1" si="1790"/>
        <v>0</v>
      </c>
      <c r="CK618" s="2120">
        <f t="shared" ca="1" si="1790"/>
        <v>0</v>
      </c>
      <c r="CL618" s="2120">
        <f t="shared" ca="1" si="1790"/>
        <v>0</v>
      </c>
      <c r="CM618" s="2120">
        <f t="shared" ref="CM618:DP622" ca="1" si="1791">IF($L618="",IF(OR($P618="",$R618=""),0,IF($R618=CM$6,$Q618,0)),IF($E618=CM$5,$M618,))</f>
        <v>0</v>
      </c>
      <c r="CN618" s="2120">
        <f t="shared" ca="1" si="1791"/>
        <v>0</v>
      </c>
      <c r="CO618" s="2120">
        <f t="shared" ca="1" si="1791"/>
        <v>0</v>
      </c>
      <c r="CP618" s="2120">
        <f t="shared" ca="1" si="1791"/>
        <v>0</v>
      </c>
      <c r="CQ618" s="2120">
        <f t="shared" ca="1" si="1791"/>
        <v>0</v>
      </c>
      <c r="CR618" s="2120">
        <f t="shared" ca="1" si="1791"/>
        <v>0</v>
      </c>
      <c r="CS618" s="2120">
        <f t="shared" ca="1" si="1791"/>
        <v>0</v>
      </c>
      <c r="CT618" s="2120">
        <f t="shared" ca="1" si="1791"/>
        <v>0</v>
      </c>
      <c r="CU618" s="2120">
        <f t="shared" ca="1" si="1791"/>
        <v>0</v>
      </c>
      <c r="CV618" s="2120">
        <f t="shared" ca="1" si="1791"/>
        <v>0</v>
      </c>
      <c r="CW618" s="2120">
        <f t="shared" ca="1" si="1791"/>
        <v>0</v>
      </c>
      <c r="CX618" s="2120">
        <f t="shared" ca="1" si="1791"/>
        <v>0</v>
      </c>
      <c r="CY618" s="2120">
        <f t="shared" ca="1" si="1791"/>
        <v>0</v>
      </c>
      <c r="CZ618" s="2120">
        <f t="shared" ca="1" si="1791"/>
        <v>0</v>
      </c>
      <c r="DA618" s="2120">
        <f t="shared" ca="1" si="1791"/>
        <v>0</v>
      </c>
      <c r="DB618" s="2120">
        <f t="shared" ca="1" si="1791"/>
        <v>0</v>
      </c>
      <c r="DC618" s="2120">
        <f t="shared" ca="1" si="1791"/>
        <v>0</v>
      </c>
      <c r="DD618" s="2120">
        <f t="shared" ca="1" si="1791"/>
        <v>0</v>
      </c>
      <c r="DE618" s="2120">
        <f t="shared" ca="1" si="1791"/>
        <v>0</v>
      </c>
      <c r="DF618" s="2120">
        <f t="shared" ca="1" si="1791"/>
        <v>0</v>
      </c>
      <c r="DG618" s="2120">
        <f t="shared" ca="1" si="1791"/>
        <v>0</v>
      </c>
      <c r="DH618" s="2120">
        <f t="shared" ca="1" si="1791"/>
        <v>0</v>
      </c>
      <c r="DI618" s="2120">
        <f t="shared" ca="1" si="1791"/>
        <v>0</v>
      </c>
      <c r="DJ618" s="2120">
        <f t="shared" ca="1" si="1791"/>
        <v>0</v>
      </c>
      <c r="DK618" s="2120">
        <f t="shared" ca="1" si="1791"/>
        <v>0</v>
      </c>
      <c r="DL618" s="2120">
        <f t="shared" ca="1" si="1791"/>
        <v>0</v>
      </c>
      <c r="DM618" s="2120">
        <f t="shared" ca="1" si="1791"/>
        <v>0</v>
      </c>
      <c r="DN618" s="2120">
        <f t="shared" ca="1" si="1791"/>
        <v>0</v>
      </c>
      <c r="DO618" s="2120">
        <f t="shared" ca="1" si="1791"/>
        <v>0</v>
      </c>
      <c r="DP618" s="2120">
        <f t="shared" ca="1" si="1791"/>
        <v>0</v>
      </c>
    </row>
    <row r="619" spans="1:120" s="116" customFormat="1" hidden="1" outlineLevel="1">
      <c r="A619" s="1221">
        <v>1110052090</v>
      </c>
      <c r="B619" s="1216" t="s">
        <v>2447</v>
      </c>
      <c r="C619" s="101" t="s">
        <v>64</v>
      </c>
      <c r="D619" s="1712"/>
      <c r="E619" s="1642">
        <v>45012</v>
      </c>
      <c r="F619" s="1224"/>
      <c r="G619" s="1266"/>
      <c r="H619" s="1225"/>
      <c r="I619" s="1226"/>
      <c r="J619" s="1604">
        <v>1</v>
      </c>
      <c r="K619" s="1605">
        <v>1</v>
      </c>
      <c r="L619" s="1606"/>
      <c r="M619" s="1626">
        <f t="shared" si="1782"/>
        <v>0</v>
      </c>
      <c r="N619" s="1228">
        <f ca="1">IF(OR(E619="",E619&gt;TODAY()),0,IF(ISERROR(VLOOKUP($E619,'TRM BanRep'!$A:$G,7,0)),0,VLOOKUP($E619,'TRM BanRep'!$A:$G,7,0)))</f>
        <v>4741.76</v>
      </c>
      <c r="O619" s="1229">
        <f t="shared" ca="1" si="1783"/>
        <v>0</v>
      </c>
      <c r="P619" s="1713">
        <v>-1100000</v>
      </c>
      <c r="Q619" s="1230">
        <f t="shared" si="1784"/>
        <v>-1100000</v>
      </c>
      <c r="R619" s="1231">
        <v>4848.78</v>
      </c>
      <c r="S619" s="1231">
        <v>4848.78</v>
      </c>
      <c r="T619" s="1232">
        <f t="shared" si="1785"/>
        <v>-5333658000</v>
      </c>
      <c r="U619" s="2012">
        <f t="shared" si="1786"/>
        <v>-1100000</v>
      </c>
      <c r="V619" s="566">
        <f t="shared" ca="1" si="1787"/>
        <v>-5333658000</v>
      </c>
      <c r="W619" s="1235">
        <f t="shared" si="1788"/>
        <v>0</v>
      </c>
      <c r="X619" s="1236">
        <f t="shared" si="1789"/>
        <v>0</v>
      </c>
      <c r="Y619" s="2013"/>
      <c r="Z619" s="115"/>
      <c r="AA619" s="2329">
        <f t="shared" ca="1" si="1790"/>
        <v>0</v>
      </c>
      <c r="AB619" s="2158">
        <f t="shared" ca="1" si="1790"/>
        <v>0</v>
      </c>
      <c r="AC619" s="2158">
        <f t="shared" ca="1" si="1790"/>
        <v>0</v>
      </c>
      <c r="AD619" s="2158">
        <f t="shared" ca="1" si="1790"/>
        <v>0</v>
      </c>
      <c r="AE619" s="2158">
        <f t="shared" ca="1" si="1790"/>
        <v>0</v>
      </c>
      <c r="AF619" s="2120">
        <f t="shared" ca="1" si="1790"/>
        <v>0</v>
      </c>
      <c r="AG619" s="2120">
        <f t="shared" ca="1" si="1790"/>
        <v>0</v>
      </c>
      <c r="AH619" s="2120">
        <f t="shared" ca="1" si="1790"/>
        <v>0</v>
      </c>
      <c r="AI619" s="2120">
        <f t="shared" ca="1" si="1790"/>
        <v>0</v>
      </c>
      <c r="AJ619" s="2120">
        <f t="shared" ca="1" si="1790"/>
        <v>0</v>
      </c>
      <c r="AK619" s="2120">
        <f t="shared" ca="1" si="1790"/>
        <v>0</v>
      </c>
      <c r="AL619" s="2314">
        <f t="shared" ca="1" si="1790"/>
        <v>0</v>
      </c>
      <c r="AM619" s="2120">
        <f t="shared" ca="1" si="1790"/>
        <v>0</v>
      </c>
      <c r="AN619" s="2120">
        <f t="shared" ca="1" si="1790"/>
        <v>0</v>
      </c>
      <c r="AO619" s="2120">
        <f t="shared" ca="1" si="1790"/>
        <v>0</v>
      </c>
      <c r="AP619" s="2120">
        <f t="shared" ca="1" si="1790"/>
        <v>0</v>
      </c>
      <c r="AQ619" s="2120">
        <f t="shared" ca="1" si="1790"/>
        <v>0</v>
      </c>
      <c r="AR619" s="2120">
        <f t="shared" ca="1" si="1790"/>
        <v>0</v>
      </c>
      <c r="AS619" s="2120">
        <f t="shared" ca="1" si="1790"/>
        <v>-1100000</v>
      </c>
      <c r="AT619" s="2120">
        <f t="shared" ca="1" si="1790"/>
        <v>0</v>
      </c>
      <c r="AU619" s="2120">
        <f t="shared" ca="1" si="1790"/>
        <v>0</v>
      </c>
      <c r="AV619" s="2120">
        <f t="shared" ca="1" si="1790"/>
        <v>0</v>
      </c>
      <c r="AW619" s="2120">
        <f t="shared" ca="1" si="1790"/>
        <v>0</v>
      </c>
      <c r="AX619" s="2120">
        <f t="shared" ca="1" si="1790"/>
        <v>0</v>
      </c>
      <c r="AY619" s="2120">
        <f t="shared" ca="1" si="1790"/>
        <v>0</v>
      </c>
      <c r="AZ619" s="2120">
        <f t="shared" ca="1" si="1790"/>
        <v>0</v>
      </c>
      <c r="BA619" s="2120">
        <f t="shared" ca="1" si="1790"/>
        <v>0</v>
      </c>
      <c r="BB619" s="2120">
        <f t="shared" ca="1" si="1790"/>
        <v>0</v>
      </c>
      <c r="BC619" s="2120">
        <f t="shared" ca="1" si="1790"/>
        <v>0</v>
      </c>
      <c r="BD619" s="2120">
        <f t="shared" ca="1" si="1790"/>
        <v>0</v>
      </c>
      <c r="BE619" s="2120">
        <f t="shared" ca="1" si="1790"/>
        <v>0</v>
      </c>
      <c r="BF619" s="2120">
        <f t="shared" ca="1" si="1790"/>
        <v>0</v>
      </c>
      <c r="BG619" s="2120">
        <f t="shared" ca="1" si="1790"/>
        <v>0</v>
      </c>
      <c r="BH619" s="2120">
        <f t="shared" ca="1" si="1790"/>
        <v>0</v>
      </c>
      <c r="BI619" s="2120">
        <f t="shared" ca="1" si="1790"/>
        <v>0</v>
      </c>
      <c r="BJ619" s="2120">
        <f t="shared" ca="1" si="1790"/>
        <v>0</v>
      </c>
      <c r="BK619" s="2120">
        <f t="shared" ca="1" si="1790"/>
        <v>0</v>
      </c>
      <c r="BL619" s="2120">
        <f t="shared" ca="1" si="1790"/>
        <v>0</v>
      </c>
      <c r="BM619" s="2120">
        <f t="shared" ca="1" si="1790"/>
        <v>0</v>
      </c>
      <c r="BN619" s="2120">
        <f t="shared" ca="1" si="1790"/>
        <v>0</v>
      </c>
      <c r="BO619" s="2120">
        <f t="shared" ca="1" si="1790"/>
        <v>0</v>
      </c>
      <c r="BP619" s="2120">
        <f t="shared" ca="1" si="1790"/>
        <v>0</v>
      </c>
      <c r="BQ619" s="2120">
        <f t="shared" ca="1" si="1790"/>
        <v>0</v>
      </c>
      <c r="BR619" s="2120">
        <f t="shared" ca="1" si="1790"/>
        <v>0</v>
      </c>
      <c r="BS619" s="2120">
        <f t="shared" ca="1" si="1790"/>
        <v>0</v>
      </c>
      <c r="BT619" s="2120">
        <f t="shared" ca="1" si="1790"/>
        <v>0</v>
      </c>
      <c r="BU619" s="2120">
        <f t="shared" ca="1" si="1790"/>
        <v>0</v>
      </c>
      <c r="BV619" s="2120">
        <f t="shared" ca="1" si="1790"/>
        <v>0</v>
      </c>
      <c r="BW619" s="2120">
        <f t="shared" ca="1" si="1790"/>
        <v>0</v>
      </c>
      <c r="BX619" s="2120">
        <f t="shared" ca="1" si="1790"/>
        <v>0</v>
      </c>
      <c r="BY619" s="2120">
        <f t="shared" ca="1" si="1790"/>
        <v>0</v>
      </c>
      <c r="BZ619" s="2120">
        <f t="shared" ca="1" si="1790"/>
        <v>0</v>
      </c>
      <c r="CA619" s="2120">
        <f t="shared" ca="1" si="1790"/>
        <v>0</v>
      </c>
      <c r="CB619" s="2120">
        <f t="shared" ca="1" si="1790"/>
        <v>0</v>
      </c>
      <c r="CC619" s="2120">
        <f t="shared" ca="1" si="1790"/>
        <v>0</v>
      </c>
      <c r="CD619" s="2120">
        <f t="shared" ca="1" si="1790"/>
        <v>0</v>
      </c>
      <c r="CE619" s="2120">
        <f t="shared" ca="1" si="1790"/>
        <v>0</v>
      </c>
      <c r="CF619" s="2120">
        <f t="shared" ca="1" si="1790"/>
        <v>0</v>
      </c>
      <c r="CG619" s="2120">
        <f t="shared" ca="1" si="1790"/>
        <v>0</v>
      </c>
      <c r="CH619" s="2120">
        <f t="shared" ca="1" si="1790"/>
        <v>0</v>
      </c>
      <c r="CI619" s="2120">
        <f t="shared" ca="1" si="1790"/>
        <v>0</v>
      </c>
      <c r="CJ619" s="2120">
        <f t="shared" ca="1" si="1790"/>
        <v>0</v>
      </c>
      <c r="CK619" s="2120">
        <f t="shared" ca="1" si="1790"/>
        <v>0</v>
      </c>
      <c r="CL619" s="2120">
        <f t="shared" ca="1" si="1790"/>
        <v>0</v>
      </c>
      <c r="CM619" s="2120">
        <f t="shared" ca="1" si="1791"/>
        <v>0</v>
      </c>
      <c r="CN619" s="2120">
        <f t="shared" ca="1" si="1791"/>
        <v>0</v>
      </c>
      <c r="CO619" s="2120">
        <f t="shared" ca="1" si="1791"/>
        <v>0</v>
      </c>
      <c r="CP619" s="2120">
        <f t="shared" ca="1" si="1791"/>
        <v>0</v>
      </c>
      <c r="CQ619" s="2120">
        <f t="shared" ca="1" si="1791"/>
        <v>0</v>
      </c>
      <c r="CR619" s="2120">
        <f t="shared" ca="1" si="1791"/>
        <v>0</v>
      </c>
      <c r="CS619" s="2120">
        <f t="shared" ca="1" si="1791"/>
        <v>0</v>
      </c>
      <c r="CT619" s="2120">
        <f t="shared" ca="1" si="1791"/>
        <v>0</v>
      </c>
      <c r="CU619" s="2120">
        <f t="shared" ca="1" si="1791"/>
        <v>0</v>
      </c>
      <c r="CV619" s="2120">
        <f t="shared" ca="1" si="1791"/>
        <v>0</v>
      </c>
      <c r="CW619" s="2120">
        <f t="shared" ca="1" si="1791"/>
        <v>0</v>
      </c>
      <c r="CX619" s="2120">
        <f t="shared" ca="1" si="1791"/>
        <v>0</v>
      </c>
      <c r="CY619" s="2120">
        <f t="shared" ca="1" si="1791"/>
        <v>0</v>
      </c>
      <c r="CZ619" s="2120">
        <f t="shared" ca="1" si="1791"/>
        <v>0</v>
      </c>
      <c r="DA619" s="2120">
        <f t="shared" ca="1" si="1791"/>
        <v>0</v>
      </c>
      <c r="DB619" s="2120">
        <f t="shared" ca="1" si="1791"/>
        <v>0</v>
      </c>
      <c r="DC619" s="2120">
        <f t="shared" ca="1" si="1791"/>
        <v>0</v>
      </c>
      <c r="DD619" s="2120">
        <f t="shared" ca="1" si="1791"/>
        <v>0</v>
      </c>
      <c r="DE619" s="2120">
        <f t="shared" ca="1" si="1791"/>
        <v>0</v>
      </c>
      <c r="DF619" s="2120">
        <f t="shared" ca="1" si="1791"/>
        <v>0</v>
      </c>
      <c r="DG619" s="2120">
        <f t="shared" ca="1" si="1791"/>
        <v>0</v>
      </c>
      <c r="DH619" s="2120">
        <f t="shared" ca="1" si="1791"/>
        <v>0</v>
      </c>
      <c r="DI619" s="2120">
        <f t="shared" ca="1" si="1791"/>
        <v>0</v>
      </c>
      <c r="DJ619" s="2120">
        <f t="shared" ca="1" si="1791"/>
        <v>0</v>
      </c>
      <c r="DK619" s="2120">
        <f t="shared" ca="1" si="1791"/>
        <v>0</v>
      </c>
      <c r="DL619" s="2120">
        <f t="shared" ca="1" si="1791"/>
        <v>0</v>
      </c>
      <c r="DM619" s="2120">
        <f t="shared" ca="1" si="1791"/>
        <v>0</v>
      </c>
      <c r="DN619" s="2120">
        <f t="shared" ca="1" si="1791"/>
        <v>0</v>
      </c>
      <c r="DO619" s="2120">
        <f t="shared" ca="1" si="1791"/>
        <v>0</v>
      </c>
      <c r="DP619" s="2120">
        <f t="shared" ca="1" si="1791"/>
        <v>0</v>
      </c>
    </row>
    <row r="620" spans="1:120" s="116" customFormat="1" hidden="1" outlineLevel="1">
      <c r="A620" s="1221">
        <v>1110052090</v>
      </c>
      <c r="B620" s="1216" t="s">
        <v>2447</v>
      </c>
      <c r="C620" s="101" t="s">
        <v>64</v>
      </c>
      <c r="D620" s="1712"/>
      <c r="E620" s="1642">
        <v>45012</v>
      </c>
      <c r="F620" s="1224"/>
      <c r="G620" s="1266"/>
      <c r="H620" s="1225"/>
      <c r="I620" s="1226"/>
      <c r="J620" s="1604">
        <v>1</v>
      </c>
      <c r="K620" s="1605">
        <v>1</v>
      </c>
      <c r="L620" s="1606"/>
      <c r="M620" s="1626">
        <f t="shared" ref="M620:M621" si="1792">+L620*J620</f>
        <v>0</v>
      </c>
      <c r="N620" s="1228">
        <f ca="1">IF(OR(E620="",E620&gt;TODAY()),0,IF(ISERROR(VLOOKUP($E620,'TRM BanRep'!$A:$G,7,0)),0,VLOOKUP($E620,'TRM BanRep'!$A:$G,7,0)))</f>
        <v>4741.76</v>
      </c>
      <c r="O620" s="1229">
        <f t="shared" ref="O620:O621" ca="1" si="1793">+L620*N620</f>
        <v>0</v>
      </c>
      <c r="P620" s="1713">
        <v>-1954401.8</v>
      </c>
      <c r="Q620" s="1230">
        <f t="shared" ref="Q620:Q621" si="1794">+P620*K620</f>
        <v>-1954401.8</v>
      </c>
      <c r="R620" s="1231">
        <v>4780.8900000000003</v>
      </c>
      <c r="S620" s="1231">
        <v>4780.8900000000003</v>
      </c>
      <c r="T620" s="1232">
        <f t="shared" ref="T620:T621" si="1795">+P620*S620</f>
        <v>-9343780021.6020012</v>
      </c>
      <c r="U620" s="2012">
        <f t="shared" ref="U620:U621" si="1796">+L620+P620+F620</f>
        <v>-1954401.8</v>
      </c>
      <c r="V620" s="566">
        <f t="shared" ref="V620:V621" ca="1" si="1797">+P620*R620+L620*N620+F620*H620</f>
        <v>-9343780021.6020012</v>
      </c>
      <c r="W620" s="1235">
        <f t="shared" ref="W620:W621" si="1798">IF((-P620*R620)-(-P620*S620)&gt;0,(-P620*R620)-(-P620*S620),0)</f>
        <v>0</v>
      </c>
      <c r="X620" s="1236">
        <f t="shared" ref="X620:X621" si="1799">IF((-P620*R620)-(-P620*S620)&lt;0,(-P620*R620)-(-P620*S620),0)</f>
        <v>0</v>
      </c>
      <c r="Y620" s="2013"/>
      <c r="Z620" s="115"/>
      <c r="AA620" s="2329">
        <f t="shared" ca="1" si="1790"/>
        <v>0</v>
      </c>
      <c r="AB620" s="2158">
        <f t="shared" ca="1" si="1790"/>
        <v>0</v>
      </c>
      <c r="AC620" s="2158">
        <f t="shared" ca="1" si="1790"/>
        <v>0</v>
      </c>
      <c r="AD620" s="2158">
        <f t="shared" ca="1" si="1790"/>
        <v>0</v>
      </c>
      <c r="AE620" s="2158">
        <f t="shared" ca="1" si="1790"/>
        <v>0</v>
      </c>
      <c r="AF620" s="2120">
        <f t="shared" ca="1" si="1790"/>
        <v>0</v>
      </c>
      <c r="AG620" s="2120">
        <f t="shared" ca="1" si="1790"/>
        <v>0</v>
      </c>
      <c r="AH620" s="2120">
        <f t="shared" ca="1" si="1790"/>
        <v>0</v>
      </c>
      <c r="AI620" s="2120">
        <f t="shared" ca="1" si="1790"/>
        <v>0</v>
      </c>
      <c r="AJ620" s="2120">
        <f t="shared" ca="1" si="1790"/>
        <v>0</v>
      </c>
      <c r="AK620" s="2120">
        <f t="shared" ca="1" si="1790"/>
        <v>0</v>
      </c>
      <c r="AL620" s="2314">
        <f t="shared" ca="1" si="1790"/>
        <v>0</v>
      </c>
      <c r="AM620" s="2120">
        <f t="shared" ca="1" si="1790"/>
        <v>0</v>
      </c>
      <c r="AN620" s="2120">
        <f t="shared" ca="1" si="1790"/>
        <v>0</v>
      </c>
      <c r="AO620" s="2120">
        <f t="shared" ca="1" si="1790"/>
        <v>0</v>
      </c>
      <c r="AP620" s="2120">
        <f t="shared" ca="1" si="1790"/>
        <v>0</v>
      </c>
      <c r="AQ620" s="2120">
        <f t="shared" ca="1" si="1790"/>
        <v>0</v>
      </c>
      <c r="AR620" s="2120">
        <f t="shared" ca="1" si="1790"/>
        <v>0</v>
      </c>
      <c r="AS620" s="2120">
        <f t="shared" ca="1" si="1790"/>
        <v>0</v>
      </c>
      <c r="AT620" s="2120">
        <f t="shared" ca="1" si="1790"/>
        <v>-1954401.8</v>
      </c>
      <c r="AU620" s="2120">
        <f t="shared" ca="1" si="1790"/>
        <v>0</v>
      </c>
      <c r="AV620" s="2120">
        <f t="shared" ca="1" si="1790"/>
        <v>0</v>
      </c>
      <c r="AW620" s="2120">
        <f t="shared" ca="1" si="1790"/>
        <v>0</v>
      </c>
      <c r="AX620" s="2120">
        <f t="shared" ca="1" si="1790"/>
        <v>0</v>
      </c>
      <c r="AY620" s="2120">
        <f t="shared" ca="1" si="1790"/>
        <v>0</v>
      </c>
      <c r="AZ620" s="2120">
        <f t="shared" ca="1" si="1790"/>
        <v>0</v>
      </c>
      <c r="BA620" s="2120">
        <f t="shared" ca="1" si="1790"/>
        <v>0</v>
      </c>
      <c r="BB620" s="2120">
        <f t="shared" ca="1" si="1790"/>
        <v>0</v>
      </c>
      <c r="BC620" s="2120">
        <f t="shared" ca="1" si="1790"/>
        <v>0</v>
      </c>
      <c r="BD620" s="2120">
        <f t="shared" ca="1" si="1790"/>
        <v>0</v>
      </c>
      <c r="BE620" s="2120">
        <f t="shared" ca="1" si="1790"/>
        <v>0</v>
      </c>
      <c r="BF620" s="2120">
        <f t="shared" ca="1" si="1790"/>
        <v>0</v>
      </c>
      <c r="BG620" s="2120">
        <f t="shared" ca="1" si="1790"/>
        <v>0</v>
      </c>
      <c r="BH620" s="2120">
        <f t="shared" ca="1" si="1790"/>
        <v>0</v>
      </c>
      <c r="BI620" s="2120">
        <f t="shared" ca="1" si="1790"/>
        <v>0</v>
      </c>
      <c r="BJ620" s="2120">
        <f t="shared" ca="1" si="1790"/>
        <v>0</v>
      </c>
      <c r="BK620" s="2120">
        <f t="shared" ca="1" si="1790"/>
        <v>0</v>
      </c>
      <c r="BL620" s="2120">
        <f t="shared" ca="1" si="1790"/>
        <v>0</v>
      </c>
      <c r="BM620" s="2120">
        <f t="shared" ca="1" si="1790"/>
        <v>0</v>
      </c>
      <c r="BN620" s="2120">
        <f t="shared" ca="1" si="1790"/>
        <v>0</v>
      </c>
      <c r="BO620" s="2120">
        <f t="shared" ca="1" si="1790"/>
        <v>0</v>
      </c>
      <c r="BP620" s="2120">
        <f t="shared" ca="1" si="1790"/>
        <v>0</v>
      </c>
      <c r="BQ620" s="2120">
        <f t="shared" ca="1" si="1790"/>
        <v>0</v>
      </c>
      <c r="BR620" s="2120">
        <f t="shared" ca="1" si="1790"/>
        <v>0</v>
      </c>
      <c r="BS620" s="2120">
        <f t="shared" ca="1" si="1790"/>
        <v>0</v>
      </c>
      <c r="BT620" s="2120">
        <f t="shared" ca="1" si="1790"/>
        <v>0</v>
      </c>
      <c r="BU620" s="2120">
        <f t="shared" ca="1" si="1790"/>
        <v>0</v>
      </c>
      <c r="BV620" s="2120">
        <f t="shared" ca="1" si="1790"/>
        <v>0</v>
      </c>
      <c r="BW620" s="2120">
        <f t="shared" ca="1" si="1790"/>
        <v>0</v>
      </c>
      <c r="BX620" s="2120">
        <f t="shared" ca="1" si="1790"/>
        <v>0</v>
      </c>
      <c r="BY620" s="2120">
        <f t="shared" ca="1" si="1790"/>
        <v>0</v>
      </c>
      <c r="BZ620" s="2120">
        <f t="shared" ca="1" si="1790"/>
        <v>0</v>
      </c>
      <c r="CA620" s="2120">
        <f t="shared" ca="1" si="1790"/>
        <v>0</v>
      </c>
      <c r="CB620" s="2120">
        <f t="shared" ca="1" si="1790"/>
        <v>0</v>
      </c>
      <c r="CC620" s="2120">
        <f t="shared" ca="1" si="1790"/>
        <v>0</v>
      </c>
      <c r="CD620" s="2120">
        <f t="shared" ca="1" si="1790"/>
        <v>0</v>
      </c>
      <c r="CE620" s="2120">
        <f t="shared" ca="1" si="1790"/>
        <v>0</v>
      </c>
      <c r="CF620" s="2120">
        <f t="shared" ca="1" si="1790"/>
        <v>0</v>
      </c>
      <c r="CG620" s="2120">
        <f t="shared" ca="1" si="1790"/>
        <v>0</v>
      </c>
      <c r="CH620" s="2120">
        <f t="shared" ca="1" si="1790"/>
        <v>0</v>
      </c>
      <c r="CI620" s="2120">
        <f t="shared" ca="1" si="1790"/>
        <v>0</v>
      </c>
      <c r="CJ620" s="2120">
        <f t="shared" ca="1" si="1790"/>
        <v>0</v>
      </c>
      <c r="CK620" s="2120">
        <f t="shared" ca="1" si="1790"/>
        <v>0</v>
      </c>
      <c r="CL620" s="2120">
        <f t="shared" ca="1" si="1790"/>
        <v>0</v>
      </c>
      <c r="CM620" s="2120">
        <f t="shared" ca="1" si="1791"/>
        <v>0</v>
      </c>
      <c r="CN620" s="2120">
        <f t="shared" ca="1" si="1791"/>
        <v>0</v>
      </c>
      <c r="CO620" s="2120">
        <f t="shared" ca="1" si="1791"/>
        <v>0</v>
      </c>
      <c r="CP620" s="2120">
        <f t="shared" ca="1" si="1791"/>
        <v>0</v>
      </c>
      <c r="CQ620" s="2120">
        <f t="shared" ca="1" si="1791"/>
        <v>0</v>
      </c>
      <c r="CR620" s="2120">
        <f t="shared" ca="1" si="1791"/>
        <v>0</v>
      </c>
      <c r="CS620" s="2120">
        <f t="shared" ca="1" si="1791"/>
        <v>0</v>
      </c>
      <c r="CT620" s="2120">
        <f t="shared" ca="1" si="1791"/>
        <v>0</v>
      </c>
      <c r="CU620" s="2120">
        <f t="shared" ca="1" si="1791"/>
        <v>0</v>
      </c>
      <c r="CV620" s="2120">
        <f t="shared" ca="1" si="1791"/>
        <v>0</v>
      </c>
      <c r="CW620" s="2120">
        <f t="shared" ca="1" si="1791"/>
        <v>0</v>
      </c>
      <c r="CX620" s="2120">
        <f t="shared" ca="1" si="1791"/>
        <v>0</v>
      </c>
      <c r="CY620" s="2120">
        <f t="shared" ca="1" si="1791"/>
        <v>0</v>
      </c>
      <c r="CZ620" s="2120">
        <f t="shared" ca="1" si="1791"/>
        <v>0</v>
      </c>
      <c r="DA620" s="2120">
        <f t="shared" ca="1" si="1791"/>
        <v>0</v>
      </c>
      <c r="DB620" s="2120">
        <f t="shared" ca="1" si="1791"/>
        <v>0</v>
      </c>
      <c r="DC620" s="2120">
        <f t="shared" ca="1" si="1791"/>
        <v>0</v>
      </c>
      <c r="DD620" s="2120">
        <f t="shared" ca="1" si="1791"/>
        <v>0</v>
      </c>
      <c r="DE620" s="2120">
        <f t="shared" ca="1" si="1791"/>
        <v>0</v>
      </c>
      <c r="DF620" s="2120">
        <f t="shared" ca="1" si="1791"/>
        <v>0</v>
      </c>
      <c r="DG620" s="2120">
        <f t="shared" ca="1" si="1791"/>
        <v>0</v>
      </c>
      <c r="DH620" s="2120">
        <f t="shared" ca="1" si="1791"/>
        <v>0</v>
      </c>
      <c r="DI620" s="2120">
        <f t="shared" ca="1" si="1791"/>
        <v>0</v>
      </c>
      <c r="DJ620" s="2120">
        <f t="shared" ca="1" si="1791"/>
        <v>0</v>
      </c>
      <c r="DK620" s="2120">
        <f t="shared" ca="1" si="1791"/>
        <v>0</v>
      </c>
      <c r="DL620" s="2120">
        <f t="shared" ca="1" si="1791"/>
        <v>0</v>
      </c>
      <c r="DM620" s="2120">
        <f t="shared" ca="1" si="1791"/>
        <v>0</v>
      </c>
      <c r="DN620" s="2120">
        <f t="shared" ca="1" si="1791"/>
        <v>0</v>
      </c>
      <c r="DO620" s="2120">
        <f t="shared" ca="1" si="1791"/>
        <v>0</v>
      </c>
      <c r="DP620" s="2120">
        <f t="shared" ca="1" si="1791"/>
        <v>0</v>
      </c>
    </row>
    <row r="621" spans="1:120" s="116" customFormat="1" hidden="1" outlineLevel="1">
      <c r="A621" s="1221">
        <v>1110052090</v>
      </c>
      <c r="B621" s="1216" t="s">
        <v>2447</v>
      </c>
      <c r="C621" s="101" t="s">
        <v>64</v>
      </c>
      <c r="D621" s="1712"/>
      <c r="E621" s="1642">
        <v>45012</v>
      </c>
      <c r="F621" s="1224"/>
      <c r="G621" s="1266"/>
      <c r="H621" s="1225"/>
      <c r="I621" s="1226"/>
      <c r="J621" s="1604">
        <v>1</v>
      </c>
      <c r="K621" s="1605">
        <v>1</v>
      </c>
      <c r="L621" s="1606"/>
      <c r="M621" s="1626">
        <f t="shared" si="1792"/>
        <v>0</v>
      </c>
      <c r="N621" s="1228">
        <f ca="1">IF(OR(E621="",E621&gt;TODAY()),0,IF(ISERROR(VLOOKUP($E621,'TRM BanRep'!$A:$G,7,0)),0,VLOOKUP($E621,'TRM BanRep'!$A:$G,7,0)))</f>
        <v>4741.76</v>
      </c>
      <c r="O621" s="1229">
        <f t="shared" ca="1" si="1793"/>
        <v>0</v>
      </c>
      <c r="P621" s="1713">
        <v>-121968.56</v>
      </c>
      <c r="Q621" s="1230">
        <f t="shared" si="1794"/>
        <v>-121968.56</v>
      </c>
      <c r="R621" s="1231">
        <v>4744.95</v>
      </c>
      <c r="S621" s="1231">
        <v>4744.95</v>
      </c>
      <c r="T621" s="1232">
        <f t="shared" si="1795"/>
        <v>-578734718.77199996</v>
      </c>
      <c r="U621" s="2012">
        <f t="shared" si="1796"/>
        <v>-121968.56</v>
      </c>
      <c r="V621" s="566">
        <f t="shared" ca="1" si="1797"/>
        <v>-578734718.77199996</v>
      </c>
      <c r="W621" s="1235">
        <f t="shared" si="1798"/>
        <v>0</v>
      </c>
      <c r="X621" s="1236">
        <f t="shared" si="1799"/>
        <v>0</v>
      </c>
      <c r="Y621" s="2013"/>
      <c r="Z621" s="115"/>
      <c r="AA621" s="2329">
        <f t="shared" ca="1" si="1790"/>
        <v>0</v>
      </c>
      <c r="AB621" s="2158">
        <f t="shared" ca="1" si="1790"/>
        <v>0</v>
      </c>
      <c r="AC621" s="2158">
        <f t="shared" ca="1" si="1790"/>
        <v>0</v>
      </c>
      <c r="AD621" s="2158">
        <f t="shared" ca="1" si="1790"/>
        <v>0</v>
      </c>
      <c r="AE621" s="2158">
        <f t="shared" ca="1" si="1790"/>
        <v>0</v>
      </c>
      <c r="AF621" s="2120">
        <f t="shared" ca="1" si="1790"/>
        <v>0</v>
      </c>
      <c r="AG621" s="2120">
        <f t="shared" ca="1" si="1790"/>
        <v>0</v>
      </c>
      <c r="AH621" s="2120">
        <f t="shared" ca="1" si="1790"/>
        <v>0</v>
      </c>
      <c r="AI621" s="2120">
        <f t="shared" ca="1" si="1790"/>
        <v>0</v>
      </c>
      <c r="AJ621" s="2120">
        <f t="shared" ca="1" si="1790"/>
        <v>0</v>
      </c>
      <c r="AK621" s="2120">
        <f t="shared" ca="1" si="1790"/>
        <v>0</v>
      </c>
      <c r="AL621" s="2314">
        <f t="shared" ca="1" si="1790"/>
        <v>0</v>
      </c>
      <c r="AM621" s="2120">
        <f t="shared" ca="1" si="1790"/>
        <v>0</v>
      </c>
      <c r="AN621" s="2120">
        <f t="shared" ca="1" si="1790"/>
        <v>0</v>
      </c>
      <c r="AO621" s="2120">
        <f t="shared" ca="1" si="1790"/>
        <v>0</v>
      </c>
      <c r="AP621" s="2120">
        <f t="shared" ca="1" si="1790"/>
        <v>0</v>
      </c>
      <c r="AQ621" s="2120">
        <f t="shared" ca="1" si="1790"/>
        <v>0</v>
      </c>
      <c r="AR621" s="2120">
        <f t="shared" ca="1" si="1790"/>
        <v>0</v>
      </c>
      <c r="AS621" s="2120">
        <f t="shared" ca="1" si="1790"/>
        <v>0</v>
      </c>
      <c r="AT621" s="2120">
        <f t="shared" ca="1" si="1790"/>
        <v>0</v>
      </c>
      <c r="AU621" s="2120">
        <f t="shared" ca="1" si="1790"/>
        <v>-121968.56</v>
      </c>
      <c r="AV621" s="2120">
        <f t="shared" ca="1" si="1790"/>
        <v>0</v>
      </c>
      <c r="AW621" s="2120">
        <f t="shared" ca="1" si="1790"/>
        <v>0</v>
      </c>
      <c r="AX621" s="2120">
        <f t="shared" ca="1" si="1790"/>
        <v>0</v>
      </c>
      <c r="AY621" s="2120">
        <f t="shared" ca="1" si="1790"/>
        <v>0</v>
      </c>
      <c r="AZ621" s="2120">
        <f t="shared" ca="1" si="1790"/>
        <v>0</v>
      </c>
      <c r="BA621" s="2120">
        <f t="shared" ca="1" si="1790"/>
        <v>0</v>
      </c>
      <c r="BB621" s="2120">
        <f t="shared" ca="1" si="1790"/>
        <v>0</v>
      </c>
      <c r="BC621" s="2120">
        <f t="shared" ca="1" si="1790"/>
        <v>0</v>
      </c>
      <c r="BD621" s="2120">
        <f t="shared" ca="1" si="1790"/>
        <v>0</v>
      </c>
      <c r="BE621" s="2120">
        <f t="shared" ca="1" si="1790"/>
        <v>0</v>
      </c>
      <c r="BF621" s="2120">
        <f t="shared" ca="1" si="1790"/>
        <v>0</v>
      </c>
      <c r="BG621" s="2120">
        <f t="shared" ca="1" si="1790"/>
        <v>0</v>
      </c>
      <c r="BH621" s="2120">
        <f t="shared" ca="1" si="1790"/>
        <v>0</v>
      </c>
      <c r="BI621" s="2120">
        <f t="shared" ca="1" si="1790"/>
        <v>0</v>
      </c>
      <c r="BJ621" s="2120">
        <f t="shared" ca="1" si="1790"/>
        <v>0</v>
      </c>
      <c r="BK621" s="2120">
        <f t="shared" ca="1" si="1790"/>
        <v>0</v>
      </c>
      <c r="BL621" s="2120">
        <f t="shared" ca="1" si="1790"/>
        <v>0</v>
      </c>
      <c r="BM621" s="2120">
        <f t="shared" ca="1" si="1790"/>
        <v>0</v>
      </c>
      <c r="BN621" s="2120">
        <f t="shared" ca="1" si="1790"/>
        <v>0</v>
      </c>
      <c r="BO621" s="2120">
        <f t="shared" ca="1" si="1790"/>
        <v>0</v>
      </c>
      <c r="BP621" s="2120">
        <f t="shared" ca="1" si="1790"/>
        <v>0</v>
      </c>
      <c r="BQ621" s="2120">
        <f t="shared" ca="1" si="1790"/>
        <v>0</v>
      </c>
      <c r="BR621" s="2120">
        <f t="shared" ca="1" si="1790"/>
        <v>0</v>
      </c>
      <c r="BS621" s="2120">
        <f t="shared" ca="1" si="1790"/>
        <v>0</v>
      </c>
      <c r="BT621" s="2120">
        <f t="shared" ca="1" si="1790"/>
        <v>0</v>
      </c>
      <c r="BU621" s="2120">
        <f t="shared" ca="1" si="1790"/>
        <v>0</v>
      </c>
      <c r="BV621" s="2120">
        <f t="shared" ca="1" si="1790"/>
        <v>0</v>
      </c>
      <c r="BW621" s="2120">
        <f t="shared" ca="1" si="1790"/>
        <v>0</v>
      </c>
      <c r="BX621" s="2120">
        <f t="shared" ca="1" si="1790"/>
        <v>0</v>
      </c>
      <c r="BY621" s="2120">
        <f t="shared" ca="1" si="1790"/>
        <v>0</v>
      </c>
      <c r="BZ621" s="2120">
        <f t="shared" ca="1" si="1790"/>
        <v>0</v>
      </c>
      <c r="CA621" s="2120">
        <f t="shared" ca="1" si="1790"/>
        <v>0</v>
      </c>
      <c r="CB621" s="2120">
        <f t="shared" ca="1" si="1790"/>
        <v>0</v>
      </c>
      <c r="CC621" s="2120">
        <f t="shared" ca="1" si="1790"/>
        <v>0</v>
      </c>
      <c r="CD621" s="2120">
        <f t="shared" ca="1" si="1790"/>
        <v>0</v>
      </c>
      <c r="CE621" s="2120">
        <f t="shared" ca="1" si="1790"/>
        <v>0</v>
      </c>
      <c r="CF621" s="2120">
        <f t="shared" ca="1" si="1790"/>
        <v>0</v>
      </c>
      <c r="CG621" s="2120">
        <f t="shared" ca="1" si="1790"/>
        <v>0</v>
      </c>
      <c r="CH621" s="2120">
        <f t="shared" ca="1" si="1790"/>
        <v>0</v>
      </c>
      <c r="CI621" s="2120">
        <f t="shared" ca="1" si="1790"/>
        <v>0</v>
      </c>
      <c r="CJ621" s="2120">
        <f t="shared" ca="1" si="1790"/>
        <v>0</v>
      </c>
      <c r="CK621" s="2120">
        <f t="shared" ca="1" si="1790"/>
        <v>0</v>
      </c>
      <c r="CL621" s="2120">
        <f t="shared" ref="CL621" ca="1" si="1800">IF($L621="",IF(OR($P621="",$R621=""),0,IF($R621=CL$6,$Q621,0)),IF($E621=CL$5,$M621,))</f>
        <v>0</v>
      </c>
      <c r="CM621" s="2120">
        <f t="shared" ca="1" si="1791"/>
        <v>0</v>
      </c>
      <c r="CN621" s="2120">
        <f t="shared" ca="1" si="1791"/>
        <v>0</v>
      </c>
      <c r="CO621" s="2120">
        <f t="shared" ca="1" si="1791"/>
        <v>0</v>
      </c>
      <c r="CP621" s="2120">
        <f t="shared" ca="1" si="1791"/>
        <v>0</v>
      </c>
      <c r="CQ621" s="2120">
        <f t="shared" ca="1" si="1791"/>
        <v>0</v>
      </c>
      <c r="CR621" s="2120">
        <f t="shared" ca="1" si="1791"/>
        <v>0</v>
      </c>
      <c r="CS621" s="2120">
        <f t="shared" ca="1" si="1791"/>
        <v>0</v>
      </c>
      <c r="CT621" s="2120">
        <f t="shared" ca="1" si="1791"/>
        <v>0</v>
      </c>
      <c r="CU621" s="2120">
        <f t="shared" ca="1" si="1791"/>
        <v>0</v>
      </c>
      <c r="CV621" s="2120">
        <f t="shared" ca="1" si="1791"/>
        <v>0</v>
      </c>
      <c r="CW621" s="2120">
        <f t="shared" ca="1" si="1791"/>
        <v>0</v>
      </c>
      <c r="CX621" s="2120">
        <f t="shared" ca="1" si="1791"/>
        <v>0</v>
      </c>
      <c r="CY621" s="2120">
        <f t="shared" ca="1" si="1791"/>
        <v>0</v>
      </c>
      <c r="CZ621" s="2120">
        <f t="shared" ca="1" si="1791"/>
        <v>0</v>
      </c>
      <c r="DA621" s="2120">
        <f t="shared" ca="1" si="1791"/>
        <v>0</v>
      </c>
      <c r="DB621" s="2120">
        <f t="shared" ca="1" si="1791"/>
        <v>0</v>
      </c>
      <c r="DC621" s="2120">
        <f t="shared" ca="1" si="1791"/>
        <v>0</v>
      </c>
      <c r="DD621" s="2120">
        <f t="shared" ca="1" si="1791"/>
        <v>0</v>
      </c>
      <c r="DE621" s="2120">
        <f t="shared" ca="1" si="1791"/>
        <v>0</v>
      </c>
      <c r="DF621" s="2120">
        <f t="shared" ca="1" si="1791"/>
        <v>0</v>
      </c>
      <c r="DG621" s="2120">
        <f t="shared" ca="1" si="1791"/>
        <v>0</v>
      </c>
      <c r="DH621" s="2120">
        <f t="shared" ca="1" si="1791"/>
        <v>0</v>
      </c>
      <c r="DI621" s="2120">
        <f t="shared" ca="1" si="1791"/>
        <v>0</v>
      </c>
      <c r="DJ621" s="2120">
        <f t="shared" ca="1" si="1791"/>
        <v>0</v>
      </c>
      <c r="DK621" s="2120">
        <f t="shared" ca="1" si="1791"/>
        <v>0</v>
      </c>
      <c r="DL621" s="2120">
        <f t="shared" ca="1" si="1791"/>
        <v>0</v>
      </c>
      <c r="DM621" s="2120">
        <f t="shared" ca="1" si="1791"/>
        <v>0</v>
      </c>
      <c r="DN621" s="2120">
        <f t="shared" ca="1" si="1791"/>
        <v>0</v>
      </c>
      <c r="DO621" s="2120">
        <f t="shared" ca="1" si="1791"/>
        <v>0</v>
      </c>
      <c r="DP621" s="2120">
        <f t="shared" ca="1" si="1791"/>
        <v>0</v>
      </c>
    </row>
    <row r="622" spans="1:120" s="116" customFormat="1" hidden="1" outlineLevel="1">
      <c r="A622" s="1221">
        <v>1110052090</v>
      </c>
      <c r="B622" s="1216" t="s">
        <v>2447</v>
      </c>
      <c r="C622" s="101" t="s">
        <v>64</v>
      </c>
      <c r="D622" s="1712"/>
      <c r="E622" s="1642">
        <v>45012</v>
      </c>
      <c r="F622" s="1224"/>
      <c r="G622" s="1266"/>
      <c r="H622" s="1225"/>
      <c r="I622" s="1226"/>
      <c r="J622" s="1604">
        <v>1</v>
      </c>
      <c r="K622" s="1605">
        <v>1</v>
      </c>
      <c r="L622" s="1606"/>
      <c r="M622" s="1626">
        <f t="shared" ref="M622" si="1801">+L622*J622</f>
        <v>0</v>
      </c>
      <c r="N622" s="1228">
        <f ca="1">IF(OR(E622="",E622&gt;TODAY()),0,IF(ISERROR(VLOOKUP($E622,'TRM BanRep'!$A:$G,7,0)),0,VLOOKUP($E622,'TRM BanRep'!$A:$G,7,0)))</f>
        <v>4741.76</v>
      </c>
      <c r="O622" s="1229">
        <f t="shared" ref="O622" ca="1" si="1802">+L622*N622</f>
        <v>0</v>
      </c>
      <c r="P622" s="1713">
        <v>-649494.12</v>
      </c>
      <c r="Q622" s="1230">
        <f t="shared" ref="Q622" si="1803">+P622*K622</f>
        <v>-649494.12</v>
      </c>
      <c r="R622" s="1231">
        <v>4755.12</v>
      </c>
      <c r="S622" s="1231">
        <v>4755.12</v>
      </c>
      <c r="T622" s="1232">
        <f t="shared" ref="T622" si="1804">+P622*S622</f>
        <v>-3088422479.8944001</v>
      </c>
      <c r="U622" s="2012">
        <f t="shared" ref="U622" si="1805">+L622+P622+F622</f>
        <v>-649494.12</v>
      </c>
      <c r="V622" s="566">
        <f t="shared" ref="V622" ca="1" si="1806">+P622*R622+L622*N622+F622*H622</f>
        <v>-3088422479.8944001</v>
      </c>
      <c r="W622" s="1235">
        <f t="shared" ref="W622" si="1807">IF((-P622*R622)-(-P622*S622)&gt;0,(-P622*R622)-(-P622*S622),0)</f>
        <v>0</v>
      </c>
      <c r="X622" s="1236">
        <f t="shared" ref="X622" si="1808">IF((-P622*R622)-(-P622*S622)&lt;0,(-P622*R622)-(-P622*S622),0)</f>
        <v>0</v>
      </c>
      <c r="Y622" s="2013"/>
      <c r="Z622" s="115"/>
      <c r="AA622" s="2329">
        <f t="shared" ref="AA622:CL622" ca="1" si="1809">IF($L622="",IF(OR($P622="",$R622=""),0,IF($R622=AA$6,$Q622,0)),IF($E622=AA$5,$M622,))</f>
        <v>0</v>
      </c>
      <c r="AB622" s="2158">
        <f t="shared" ca="1" si="1809"/>
        <v>0</v>
      </c>
      <c r="AC622" s="2158">
        <f t="shared" ca="1" si="1809"/>
        <v>0</v>
      </c>
      <c r="AD622" s="2158">
        <f t="shared" ca="1" si="1809"/>
        <v>0</v>
      </c>
      <c r="AE622" s="2158">
        <f t="shared" ca="1" si="1809"/>
        <v>0</v>
      </c>
      <c r="AF622" s="2120">
        <f t="shared" ca="1" si="1809"/>
        <v>0</v>
      </c>
      <c r="AG622" s="2120">
        <f t="shared" ca="1" si="1809"/>
        <v>0</v>
      </c>
      <c r="AH622" s="2120">
        <f t="shared" ca="1" si="1809"/>
        <v>0</v>
      </c>
      <c r="AI622" s="2120">
        <f t="shared" ca="1" si="1809"/>
        <v>0</v>
      </c>
      <c r="AJ622" s="2120">
        <f t="shared" ca="1" si="1809"/>
        <v>0</v>
      </c>
      <c r="AK622" s="2120">
        <f t="shared" ca="1" si="1809"/>
        <v>0</v>
      </c>
      <c r="AL622" s="2314">
        <f t="shared" ca="1" si="1809"/>
        <v>0</v>
      </c>
      <c r="AM622" s="2120">
        <f t="shared" ca="1" si="1809"/>
        <v>0</v>
      </c>
      <c r="AN622" s="2120">
        <f t="shared" ca="1" si="1809"/>
        <v>0</v>
      </c>
      <c r="AO622" s="2120">
        <f t="shared" ca="1" si="1809"/>
        <v>0</v>
      </c>
      <c r="AP622" s="2120">
        <f t="shared" ca="1" si="1809"/>
        <v>0</v>
      </c>
      <c r="AQ622" s="2120">
        <f t="shared" ca="1" si="1809"/>
        <v>0</v>
      </c>
      <c r="AR622" s="2120">
        <f t="shared" ca="1" si="1809"/>
        <v>0</v>
      </c>
      <c r="AS622" s="2120">
        <f t="shared" ca="1" si="1809"/>
        <v>0</v>
      </c>
      <c r="AT622" s="2120">
        <f t="shared" ca="1" si="1809"/>
        <v>0</v>
      </c>
      <c r="AU622" s="2120">
        <f t="shared" ca="1" si="1809"/>
        <v>0</v>
      </c>
      <c r="AV622" s="2120">
        <f t="shared" ca="1" si="1809"/>
        <v>-649494.12</v>
      </c>
      <c r="AW622" s="2120">
        <f t="shared" ca="1" si="1809"/>
        <v>0</v>
      </c>
      <c r="AX622" s="2120">
        <f t="shared" ca="1" si="1809"/>
        <v>0</v>
      </c>
      <c r="AY622" s="2120">
        <f t="shared" ca="1" si="1809"/>
        <v>0</v>
      </c>
      <c r="AZ622" s="2120">
        <f t="shared" ca="1" si="1809"/>
        <v>0</v>
      </c>
      <c r="BA622" s="2120">
        <f t="shared" ca="1" si="1809"/>
        <v>0</v>
      </c>
      <c r="BB622" s="2120">
        <f t="shared" ca="1" si="1809"/>
        <v>0</v>
      </c>
      <c r="BC622" s="2120">
        <f t="shared" ca="1" si="1809"/>
        <v>0</v>
      </c>
      <c r="BD622" s="2120">
        <f t="shared" ca="1" si="1809"/>
        <v>0</v>
      </c>
      <c r="BE622" s="2120">
        <f t="shared" ca="1" si="1809"/>
        <v>0</v>
      </c>
      <c r="BF622" s="2120">
        <f t="shared" ca="1" si="1809"/>
        <v>0</v>
      </c>
      <c r="BG622" s="2120">
        <f t="shared" ca="1" si="1809"/>
        <v>0</v>
      </c>
      <c r="BH622" s="2120">
        <f t="shared" ca="1" si="1809"/>
        <v>0</v>
      </c>
      <c r="BI622" s="2120">
        <f t="shared" ca="1" si="1809"/>
        <v>0</v>
      </c>
      <c r="BJ622" s="2120">
        <f t="shared" ca="1" si="1809"/>
        <v>0</v>
      </c>
      <c r="BK622" s="2120">
        <f t="shared" ca="1" si="1809"/>
        <v>0</v>
      </c>
      <c r="BL622" s="2120">
        <f t="shared" ca="1" si="1809"/>
        <v>0</v>
      </c>
      <c r="BM622" s="2120">
        <f t="shared" ca="1" si="1809"/>
        <v>0</v>
      </c>
      <c r="BN622" s="2120">
        <f t="shared" ca="1" si="1809"/>
        <v>0</v>
      </c>
      <c r="BO622" s="2120">
        <f t="shared" ca="1" si="1809"/>
        <v>0</v>
      </c>
      <c r="BP622" s="2120">
        <f t="shared" ca="1" si="1809"/>
        <v>0</v>
      </c>
      <c r="BQ622" s="2120">
        <f t="shared" ca="1" si="1809"/>
        <v>0</v>
      </c>
      <c r="BR622" s="2120">
        <f t="shared" ca="1" si="1809"/>
        <v>0</v>
      </c>
      <c r="BS622" s="2120">
        <f t="shared" ca="1" si="1809"/>
        <v>0</v>
      </c>
      <c r="BT622" s="2120">
        <f t="shared" ca="1" si="1809"/>
        <v>0</v>
      </c>
      <c r="BU622" s="2120">
        <f t="shared" ca="1" si="1809"/>
        <v>0</v>
      </c>
      <c r="BV622" s="2120">
        <f t="shared" ca="1" si="1809"/>
        <v>0</v>
      </c>
      <c r="BW622" s="2120">
        <f t="shared" ca="1" si="1809"/>
        <v>0</v>
      </c>
      <c r="BX622" s="2120">
        <f t="shared" ca="1" si="1809"/>
        <v>0</v>
      </c>
      <c r="BY622" s="2120">
        <f t="shared" ca="1" si="1809"/>
        <v>0</v>
      </c>
      <c r="BZ622" s="2120">
        <f t="shared" ca="1" si="1809"/>
        <v>0</v>
      </c>
      <c r="CA622" s="2120">
        <f t="shared" ca="1" si="1809"/>
        <v>0</v>
      </c>
      <c r="CB622" s="2120">
        <f t="shared" ca="1" si="1809"/>
        <v>0</v>
      </c>
      <c r="CC622" s="2120">
        <f t="shared" ca="1" si="1809"/>
        <v>0</v>
      </c>
      <c r="CD622" s="2120">
        <f t="shared" ca="1" si="1809"/>
        <v>0</v>
      </c>
      <c r="CE622" s="2120">
        <f t="shared" ca="1" si="1809"/>
        <v>0</v>
      </c>
      <c r="CF622" s="2120">
        <f t="shared" ca="1" si="1809"/>
        <v>0</v>
      </c>
      <c r="CG622" s="2120">
        <f t="shared" ca="1" si="1809"/>
        <v>0</v>
      </c>
      <c r="CH622" s="2120">
        <f t="shared" ca="1" si="1809"/>
        <v>0</v>
      </c>
      <c r="CI622" s="2120">
        <f t="shared" ca="1" si="1809"/>
        <v>0</v>
      </c>
      <c r="CJ622" s="2120">
        <f t="shared" ca="1" si="1809"/>
        <v>0</v>
      </c>
      <c r="CK622" s="2120">
        <f t="shared" ca="1" si="1809"/>
        <v>0</v>
      </c>
      <c r="CL622" s="2120">
        <f t="shared" ca="1" si="1809"/>
        <v>0</v>
      </c>
      <c r="CM622" s="2120">
        <f t="shared" ca="1" si="1791"/>
        <v>0</v>
      </c>
      <c r="CN622" s="2120">
        <f t="shared" ca="1" si="1791"/>
        <v>0</v>
      </c>
      <c r="CO622" s="2120">
        <f t="shared" ca="1" si="1791"/>
        <v>0</v>
      </c>
      <c r="CP622" s="2120">
        <f t="shared" ca="1" si="1791"/>
        <v>0</v>
      </c>
      <c r="CQ622" s="2120">
        <f t="shared" ca="1" si="1791"/>
        <v>0</v>
      </c>
      <c r="CR622" s="2120">
        <f t="shared" ca="1" si="1791"/>
        <v>0</v>
      </c>
      <c r="CS622" s="2120">
        <f t="shared" ca="1" si="1791"/>
        <v>0</v>
      </c>
      <c r="CT622" s="2120">
        <f t="shared" ca="1" si="1791"/>
        <v>0</v>
      </c>
      <c r="CU622" s="2120">
        <f t="shared" ca="1" si="1791"/>
        <v>0</v>
      </c>
      <c r="CV622" s="2120">
        <f t="shared" ca="1" si="1791"/>
        <v>0</v>
      </c>
      <c r="CW622" s="2120">
        <f t="shared" ca="1" si="1791"/>
        <v>0</v>
      </c>
      <c r="CX622" s="2120">
        <f t="shared" ca="1" si="1791"/>
        <v>0</v>
      </c>
      <c r="CY622" s="2120">
        <f t="shared" ca="1" si="1791"/>
        <v>0</v>
      </c>
      <c r="CZ622" s="2120">
        <f t="shared" ca="1" si="1791"/>
        <v>0</v>
      </c>
      <c r="DA622" s="2120">
        <f t="shared" ca="1" si="1791"/>
        <v>0</v>
      </c>
      <c r="DB622" s="2120">
        <f t="shared" ca="1" si="1791"/>
        <v>0</v>
      </c>
      <c r="DC622" s="2120">
        <f t="shared" ca="1" si="1791"/>
        <v>0</v>
      </c>
      <c r="DD622" s="2120">
        <f t="shared" ca="1" si="1791"/>
        <v>0</v>
      </c>
      <c r="DE622" s="2120">
        <f t="shared" ca="1" si="1791"/>
        <v>0</v>
      </c>
      <c r="DF622" s="2120">
        <f t="shared" ca="1" si="1791"/>
        <v>0</v>
      </c>
      <c r="DG622" s="2120">
        <f t="shared" ca="1" si="1791"/>
        <v>0</v>
      </c>
      <c r="DH622" s="2120">
        <f t="shared" ca="1" si="1791"/>
        <v>0</v>
      </c>
      <c r="DI622" s="2120">
        <f t="shared" ca="1" si="1791"/>
        <v>0</v>
      </c>
      <c r="DJ622" s="2120">
        <f t="shared" ca="1" si="1791"/>
        <v>0</v>
      </c>
      <c r="DK622" s="2120">
        <f t="shared" ca="1" si="1791"/>
        <v>0</v>
      </c>
      <c r="DL622" s="2120">
        <f t="shared" ca="1" si="1791"/>
        <v>0</v>
      </c>
      <c r="DM622" s="2120">
        <f t="shared" ca="1" si="1791"/>
        <v>0</v>
      </c>
      <c r="DN622" s="2120">
        <f t="shared" ca="1" si="1791"/>
        <v>0</v>
      </c>
      <c r="DO622" s="2120">
        <f t="shared" ca="1" si="1791"/>
        <v>0</v>
      </c>
      <c r="DP622" s="2120">
        <f t="shared" ca="1" si="1791"/>
        <v>0</v>
      </c>
    </row>
    <row r="623" spans="1:120" s="86" customFormat="1" hidden="1" outlineLevel="1">
      <c r="A623" s="200">
        <v>1110052090</v>
      </c>
      <c r="B623" s="87" t="s">
        <v>2443</v>
      </c>
      <c r="C623" s="88" t="s">
        <v>64</v>
      </c>
      <c r="D623" s="1557"/>
      <c r="E623" s="1558">
        <v>45012</v>
      </c>
      <c r="F623" s="201"/>
      <c r="G623" s="1270"/>
      <c r="H623" s="722"/>
      <c r="I623" s="723"/>
      <c r="J623" s="1425">
        <v>1</v>
      </c>
      <c r="K623" s="1426">
        <v>1</v>
      </c>
      <c r="L623" s="2014"/>
      <c r="M623" s="2015">
        <f>+L623*J623</f>
        <v>0</v>
      </c>
      <c r="N623" s="724">
        <f ca="1">IF(OR(E623="",E623&gt;TODAY()),0,IF(ISERROR(VLOOKUP($E623,'TRM BanRep'!$A:$G,7,0)),0,VLOOKUP($E623,'TRM BanRep'!$A:$G,7,0)))</f>
        <v>4741.76</v>
      </c>
      <c r="O623" s="725">
        <f t="shared" ca="1" si="1720"/>
        <v>0</v>
      </c>
      <c r="P623" s="202">
        <v>-4254209</v>
      </c>
      <c r="Q623" s="1345">
        <f t="shared" si="1721"/>
        <v>-4254209</v>
      </c>
      <c r="R623" s="726">
        <v>4755.12</v>
      </c>
      <c r="S623" s="726">
        <f ca="1">IF(OR(E623="",E623&gt;TODAY()),0,IF(ISERROR(VLOOKUP($E623,'TRM BanRep'!$A:$G,7,0)),0,VLOOKUP($E623,'TRM BanRep'!$A:$G,7,0)))</f>
        <v>4741.76</v>
      </c>
      <c r="T623" s="727">
        <f t="shared" ca="1" si="1722"/>
        <v>-20172438067.84</v>
      </c>
      <c r="U623" s="1121">
        <f t="shared" si="1723"/>
        <v>-4254209</v>
      </c>
      <c r="V623" s="560">
        <f t="shared" ca="1" si="1724"/>
        <v>-20229274300.079998</v>
      </c>
      <c r="W623" s="203">
        <f t="shared" ca="1" si="1725"/>
        <v>56836232.239997864</v>
      </c>
      <c r="X623" s="728">
        <f t="shared" ca="1" si="1726"/>
        <v>0</v>
      </c>
      <c r="Y623" s="729"/>
      <c r="Z623" s="1055"/>
      <c r="AA623" s="2329">
        <f t="shared" ca="1" si="1727"/>
        <v>0</v>
      </c>
      <c r="AB623" s="2158">
        <f t="shared" ca="1" si="1727"/>
        <v>0</v>
      </c>
      <c r="AC623" s="2158">
        <f t="shared" ca="1" si="1727"/>
        <v>0</v>
      </c>
      <c r="AD623" s="2158">
        <f t="shared" ca="1" si="1727"/>
        <v>0</v>
      </c>
      <c r="AE623" s="2158">
        <f t="shared" ca="1" si="1727"/>
        <v>0</v>
      </c>
      <c r="AF623" s="2120">
        <f t="shared" ca="1" si="1727"/>
        <v>0</v>
      </c>
      <c r="AG623" s="2120">
        <f t="shared" ca="1" si="1727"/>
        <v>0</v>
      </c>
      <c r="AH623" s="2120">
        <f t="shared" ca="1" si="1727"/>
        <v>0</v>
      </c>
      <c r="AI623" s="2120">
        <f t="shared" ca="1" si="1727"/>
        <v>0</v>
      </c>
      <c r="AJ623" s="2120">
        <f t="shared" ca="1" si="1727"/>
        <v>0</v>
      </c>
      <c r="AK623" s="2120">
        <f t="shared" ca="1" si="1727"/>
        <v>0</v>
      </c>
      <c r="AL623" s="2314">
        <f t="shared" ca="1" si="1727"/>
        <v>0</v>
      </c>
      <c r="AM623" s="2120">
        <f t="shared" ca="1" si="1727"/>
        <v>0</v>
      </c>
      <c r="AN623" s="2120">
        <f t="shared" ca="1" si="1727"/>
        <v>0</v>
      </c>
      <c r="AO623" s="2120">
        <f t="shared" ca="1" si="1727"/>
        <v>0</v>
      </c>
      <c r="AP623" s="2120">
        <f t="shared" ca="1" si="1727"/>
        <v>0</v>
      </c>
      <c r="AQ623" s="2120">
        <f t="shared" ca="1" si="1728"/>
        <v>0</v>
      </c>
      <c r="AR623" s="2120">
        <f t="shared" ca="1" si="1728"/>
        <v>0</v>
      </c>
      <c r="AS623" s="2120">
        <f t="shared" ca="1" si="1728"/>
        <v>0</v>
      </c>
      <c r="AT623" s="2120">
        <f t="shared" ca="1" si="1728"/>
        <v>0</v>
      </c>
      <c r="AU623" s="2120">
        <f t="shared" ca="1" si="1728"/>
        <v>0</v>
      </c>
      <c r="AV623" s="2120">
        <f t="shared" ca="1" si="1728"/>
        <v>-4254209</v>
      </c>
      <c r="AW623" s="2120">
        <f t="shared" ca="1" si="1728"/>
        <v>0</v>
      </c>
      <c r="AX623" s="2120">
        <f t="shared" ca="1" si="1728"/>
        <v>0</v>
      </c>
      <c r="AY623" s="2120">
        <f t="shared" ca="1" si="1728"/>
        <v>0</v>
      </c>
      <c r="AZ623" s="2120">
        <f t="shared" ca="1" si="1728"/>
        <v>0</v>
      </c>
      <c r="BA623" s="2120">
        <f t="shared" ca="1" si="1728"/>
        <v>0</v>
      </c>
      <c r="BB623" s="2120">
        <f t="shared" ca="1" si="1728"/>
        <v>0</v>
      </c>
      <c r="BC623" s="2120">
        <f t="shared" ca="1" si="1728"/>
        <v>0</v>
      </c>
      <c r="BD623" s="2120">
        <f t="shared" ca="1" si="1728"/>
        <v>0</v>
      </c>
      <c r="BE623" s="2120">
        <f t="shared" ca="1" si="1728"/>
        <v>0</v>
      </c>
      <c r="BF623" s="2120">
        <f t="shared" ca="1" si="1728"/>
        <v>0</v>
      </c>
      <c r="BG623" s="2120">
        <f t="shared" ca="1" si="1729"/>
        <v>0</v>
      </c>
      <c r="BH623" s="2120">
        <f t="shared" ca="1" si="1729"/>
        <v>0</v>
      </c>
      <c r="BI623" s="2120">
        <f t="shared" ca="1" si="1729"/>
        <v>0</v>
      </c>
      <c r="BJ623" s="2120">
        <f t="shared" ca="1" si="1729"/>
        <v>0</v>
      </c>
      <c r="BK623" s="2120">
        <f t="shared" ca="1" si="1729"/>
        <v>0</v>
      </c>
      <c r="BL623" s="2120">
        <f t="shared" ca="1" si="1729"/>
        <v>0</v>
      </c>
      <c r="BM623" s="2120">
        <f t="shared" ca="1" si="1729"/>
        <v>0</v>
      </c>
      <c r="BN623" s="2120">
        <f t="shared" ca="1" si="1729"/>
        <v>0</v>
      </c>
      <c r="BO623" s="2120">
        <f t="shared" ca="1" si="1729"/>
        <v>0</v>
      </c>
      <c r="BP623" s="2120">
        <f t="shared" ca="1" si="1729"/>
        <v>0</v>
      </c>
      <c r="BQ623" s="2120">
        <f t="shared" ca="1" si="1729"/>
        <v>0</v>
      </c>
      <c r="BR623" s="2120">
        <f t="shared" ca="1" si="1729"/>
        <v>0</v>
      </c>
      <c r="BS623" s="2120">
        <f t="shared" ca="1" si="1729"/>
        <v>0</v>
      </c>
      <c r="BT623" s="2120">
        <f t="shared" ca="1" si="1729"/>
        <v>0</v>
      </c>
      <c r="BU623" s="2120">
        <f t="shared" ca="1" si="1729"/>
        <v>0</v>
      </c>
      <c r="BV623" s="2120">
        <f t="shared" ca="1" si="1729"/>
        <v>0</v>
      </c>
      <c r="BW623" s="2120">
        <f t="shared" ca="1" si="1730"/>
        <v>0</v>
      </c>
      <c r="BX623" s="2120">
        <f t="shared" ca="1" si="1730"/>
        <v>0</v>
      </c>
      <c r="BY623" s="2120">
        <f t="shared" ca="1" si="1730"/>
        <v>0</v>
      </c>
      <c r="BZ623" s="2120">
        <f t="shared" ca="1" si="1730"/>
        <v>0</v>
      </c>
      <c r="CA623" s="2120">
        <f t="shared" ca="1" si="1730"/>
        <v>0</v>
      </c>
      <c r="CB623" s="2120">
        <f t="shared" ca="1" si="1730"/>
        <v>0</v>
      </c>
      <c r="CC623" s="2120">
        <f t="shared" ca="1" si="1730"/>
        <v>0</v>
      </c>
      <c r="CD623" s="2120">
        <f t="shared" ca="1" si="1730"/>
        <v>0</v>
      </c>
      <c r="CE623" s="2120">
        <f t="shared" ca="1" si="1730"/>
        <v>0</v>
      </c>
      <c r="CF623" s="2120">
        <f t="shared" ca="1" si="1730"/>
        <v>0</v>
      </c>
      <c r="CG623" s="2120">
        <f t="shared" ca="1" si="1730"/>
        <v>0</v>
      </c>
      <c r="CH623" s="2120">
        <f t="shared" ca="1" si="1730"/>
        <v>0</v>
      </c>
      <c r="CI623" s="2120">
        <f t="shared" ca="1" si="1730"/>
        <v>0</v>
      </c>
      <c r="CJ623" s="2120">
        <f t="shared" ca="1" si="1730"/>
        <v>0</v>
      </c>
      <c r="CK623" s="2120">
        <f t="shared" ca="1" si="1730"/>
        <v>0</v>
      </c>
      <c r="CL623" s="2120">
        <f t="shared" ca="1" si="1730"/>
        <v>0</v>
      </c>
      <c r="CM623" s="2120">
        <f t="shared" ca="1" si="1731"/>
        <v>0</v>
      </c>
      <c r="CN623" s="2120">
        <f t="shared" ca="1" si="1731"/>
        <v>0</v>
      </c>
      <c r="CO623" s="2120">
        <f t="shared" ca="1" si="1731"/>
        <v>0</v>
      </c>
      <c r="CP623" s="2120">
        <f t="shared" ca="1" si="1731"/>
        <v>0</v>
      </c>
      <c r="CQ623" s="2120">
        <f t="shared" ca="1" si="1731"/>
        <v>0</v>
      </c>
      <c r="CR623" s="2120">
        <f t="shared" ca="1" si="1731"/>
        <v>0</v>
      </c>
      <c r="CS623" s="2120">
        <f t="shared" ca="1" si="1731"/>
        <v>0</v>
      </c>
      <c r="CT623" s="2120">
        <f t="shared" ca="1" si="1731"/>
        <v>0</v>
      </c>
      <c r="CU623" s="2120">
        <f t="shared" ca="1" si="1731"/>
        <v>0</v>
      </c>
      <c r="CV623" s="2120">
        <f t="shared" ca="1" si="1731"/>
        <v>0</v>
      </c>
      <c r="CW623" s="2120">
        <f t="shared" ca="1" si="1731"/>
        <v>0</v>
      </c>
      <c r="CX623" s="2120">
        <f t="shared" ca="1" si="1731"/>
        <v>0</v>
      </c>
      <c r="CY623" s="2120">
        <f t="shared" ca="1" si="1731"/>
        <v>0</v>
      </c>
      <c r="CZ623" s="2120">
        <f t="shared" ca="1" si="1731"/>
        <v>0</v>
      </c>
      <c r="DA623" s="2120">
        <f t="shared" ca="1" si="1731"/>
        <v>0</v>
      </c>
      <c r="DB623" s="2120">
        <f t="shared" ca="1" si="1731"/>
        <v>0</v>
      </c>
      <c r="DC623" s="2120">
        <f t="shared" ca="1" si="1732"/>
        <v>0</v>
      </c>
      <c r="DD623" s="2120">
        <f t="shared" ca="1" si="1732"/>
        <v>0</v>
      </c>
      <c r="DE623" s="2120">
        <f t="shared" ca="1" si="1732"/>
        <v>0</v>
      </c>
      <c r="DF623" s="2120">
        <f t="shared" ca="1" si="1732"/>
        <v>0</v>
      </c>
      <c r="DG623" s="2120">
        <f t="shared" ca="1" si="1732"/>
        <v>0</v>
      </c>
      <c r="DH623" s="2120">
        <f t="shared" ca="1" si="1732"/>
        <v>0</v>
      </c>
      <c r="DI623" s="2120">
        <f t="shared" ca="1" si="1732"/>
        <v>0</v>
      </c>
      <c r="DJ623" s="2120">
        <f t="shared" ca="1" si="1732"/>
        <v>0</v>
      </c>
      <c r="DK623" s="2120">
        <f t="shared" ca="1" si="1732"/>
        <v>0</v>
      </c>
      <c r="DL623" s="2120">
        <f t="shared" ca="1" si="1732"/>
        <v>0</v>
      </c>
      <c r="DM623" s="2120">
        <f t="shared" ca="1" si="1732"/>
        <v>0</v>
      </c>
      <c r="DN623" s="2120">
        <f t="shared" ca="1" si="1732"/>
        <v>0</v>
      </c>
      <c r="DO623" s="2120">
        <f t="shared" ca="1" si="1732"/>
        <v>0</v>
      </c>
      <c r="DP623" s="2120">
        <f t="shared" ca="1" si="1732"/>
        <v>0</v>
      </c>
    </row>
    <row r="624" spans="1:120" s="86" customFormat="1" hidden="1" outlineLevel="1">
      <c r="A624" s="200">
        <v>1110052090</v>
      </c>
      <c r="B624" s="87" t="s">
        <v>2444</v>
      </c>
      <c r="C624" s="88" t="s">
        <v>64</v>
      </c>
      <c r="D624" s="1557"/>
      <c r="E624" s="1558">
        <v>45014</v>
      </c>
      <c r="F624" s="201"/>
      <c r="G624" s="1270"/>
      <c r="H624" s="722"/>
      <c r="I624" s="723"/>
      <c r="J624" s="1425">
        <v>1</v>
      </c>
      <c r="K624" s="1426">
        <v>1</v>
      </c>
      <c r="L624" s="2014">
        <v>2583895.4700000002</v>
      </c>
      <c r="M624" s="2015">
        <f t="shared" si="1733"/>
        <v>2583895.4700000002</v>
      </c>
      <c r="N624" s="724">
        <f ca="1">IF(OR(E624="",E624&gt;TODAY()),0,IF(ISERROR(VLOOKUP($E624,'TRM BanRep'!$A:$G,7,0)),0,VLOOKUP($E624,'TRM BanRep'!$A:$G,7,0)))</f>
        <v>4658.79</v>
      </c>
      <c r="O624" s="725">
        <f t="shared" ca="1" si="1720"/>
        <v>12037826376.681301</v>
      </c>
      <c r="P624" s="202"/>
      <c r="Q624" s="1345">
        <f t="shared" si="1721"/>
        <v>0</v>
      </c>
      <c r="R624" s="726"/>
      <c r="S624" s="726">
        <f ca="1">IF(OR(E624="",E624&gt;TODAY()),0,IF(ISERROR(VLOOKUP($E624,'TRM BanRep'!$A:$G,7,0)),0,VLOOKUP($E624,'TRM BanRep'!$A:$G,7,0)))</f>
        <v>4658.79</v>
      </c>
      <c r="T624" s="727">
        <f t="shared" ca="1" si="1722"/>
        <v>0</v>
      </c>
      <c r="U624" s="1121">
        <f t="shared" si="1723"/>
        <v>2583895.4700000002</v>
      </c>
      <c r="V624" s="560">
        <f t="shared" ca="1" si="1724"/>
        <v>12037826376.681301</v>
      </c>
      <c r="W624" s="203">
        <f t="shared" ca="1" si="1725"/>
        <v>0</v>
      </c>
      <c r="X624" s="728">
        <f t="shared" ca="1" si="1726"/>
        <v>0</v>
      </c>
      <c r="Y624" s="729"/>
      <c r="Z624" s="1055"/>
      <c r="AA624" s="2329">
        <f t="shared" si="1727"/>
        <v>0</v>
      </c>
      <c r="AB624" s="2158">
        <f t="shared" si="1727"/>
        <v>0</v>
      </c>
      <c r="AC624" s="2158">
        <f t="shared" si="1727"/>
        <v>0</v>
      </c>
      <c r="AD624" s="2158">
        <f t="shared" si="1727"/>
        <v>0</v>
      </c>
      <c r="AE624" s="2158">
        <f t="shared" si="1727"/>
        <v>0</v>
      </c>
      <c r="AF624" s="2120">
        <f t="shared" si="1727"/>
        <v>0</v>
      </c>
      <c r="AG624" s="2120">
        <f t="shared" si="1727"/>
        <v>0</v>
      </c>
      <c r="AH624" s="2120">
        <f t="shared" si="1727"/>
        <v>0</v>
      </c>
      <c r="AI624" s="2120">
        <f t="shared" si="1727"/>
        <v>0</v>
      </c>
      <c r="AJ624" s="2120">
        <f t="shared" si="1727"/>
        <v>0</v>
      </c>
      <c r="AK624" s="2120">
        <f t="shared" si="1727"/>
        <v>0</v>
      </c>
      <c r="AL624" s="2314">
        <f t="shared" si="1727"/>
        <v>0</v>
      </c>
      <c r="AM624" s="2120">
        <f t="shared" si="1727"/>
        <v>0</v>
      </c>
      <c r="AN624" s="2120">
        <f t="shared" si="1727"/>
        <v>0</v>
      </c>
      <c r="AO624" s="2120">
        <f t="shared" si="1727"/>
        <v>0</v>
      </c>
      <c r="AP624" s="2120">
        <f t="shared" si="1727"/>
        <v>0</v>
      </c>
      <c r="AQ624" s="2120">
        <f t="shared" si="1728"/>
        <v>0</v>
      </c>
      <c r="AR624" s="2120">
        <f t="shared" si="1728"/>
        <v>0</v>
      </c>
      <c r="AS624" s="2120">
        <f t="shared" si="1728"/>
        <v>0</v>
      </c>
      <c r="AT624" s="2120">
        <f t="shared" si="1728"/>
        <v>0</v>
      </c>
      <c r="AU624" s="2120">
        <f t="shared" si="1728"/>
        <v>0</v>
      </c>
      <c r="AV624" s="2120">
        <f t="shared" si="1728"/>
        <v>0</v>
      </c>
      <c r="AW624" s="2120">
        <f t="shared" si="1728"/>
        <v>2583895.4700000002</v>
      </c>
      <c r="AX624" s="2120">
        <f t="shared" si="1728"/>
        <v>0</v>
      </c>
      <c r="AY624" s="2120">
        <f t="shared" si="1728"/>
        <v>0</v>
      </c>
      <c r="AZ624" s="2120">
        <f t="shared" si="1728"/>
        <v>0</v>
      </c>
      <c r="BA624" s="2120">
        <f t="shared" si="1728"/>
        <v>0</v>
      </c>
      <c r="BB624" s="2120">
        <f t="shared" si="1728"/>
        <v>0</v>
      </c>
      <c r="BC624" s="2120">
        <f t="shared" si="1728"/>
        <v>0</v>
      </c>
      <c r="BD624" s="2120">
        <f t="shared" si="1728"/>
        <v>0</v>
      </c>
      <c r="BE624" s="2120">
        <f t="shared" si="1728"/>
        <v>0</v>
      </c>
      <c r="BF624" s="2120">
        <f t="shared" si="1728"/>
        <v>0</v>
      </c>
      <c r="BG624" s="2120">
        <f t="shared" si="1729"/>
        <v>0</v>
      </c>
      <c r="BH624" s="2120">
        <f t="shared" si="1729"/>
        <v>0</v>
      </c>
      <c r="BI624" s="2120">
        <f t="shared" si="1729"/>
        <v>0</v>
      </c>
      <c r="BJ624" s="2120">
        <f t="shared" si="1729"/>
        <v>0</v>
      </c>
      <c r="BK624" s="2120">
        <f t="shared" si="1729"/>
        <v>0</v>
      </c>
      <c r="BL624" s="2120">
        <f t="shared" si="1729"/>
        <v>0</v>
      </c>
      <c r="BM624" s="2120">
        <f t="shared" si="1729"/>
        <v>0</v>
      </c>
      <c r="BN624" s="2120">
        <f t="shared" si="1729"/>
        <v>0</v>
      </c>
      <c r="BO624" s="2120">
        <f t="shared" si="1729"/>
        <v>0</v>
      </c>
      <c r="BP624" s="2120">
        <f t="shared" si="1729"/>
        <v>0</v>
      </c>
      <c r="BQ624" s="2120">
        <f t="shared" si="1729"/>
        <v>0</v>
      </c>
      <c r="BR624" s="2120">
        <f t="shared" si="1729"/>
        <v>0</v>
      </c>
      <c r="BS624" s="2120">
        <f t="shared" si="1729"/>
        <v>0</v>
      </c>
      <c r="BT624" s="2120">
        <f t="shared" si="1729"/>
        <v>0</v>
      </c>
      <c r="BU624" s="2120">
        <f t="shared" si="1729"/>
        <v>0</v>
      </c>
      <c r="BV624" s="2120">
        <f t="shared" si="1729"/>
        <v>0</v>
      </c>
      <c r="BW624" s="2120">
        <f t="shared" si="1730"/>
        <v>0</v>
      </c>
      <c r="BX624" s="2120">
        <f t="shared" si="1730"/>
        <v>0</v>
      </c>
      <c r="BY624" s="2120">
        <f t="shared" si="1730"/>
        <v>0</v>
      </c>
      <c r="BZ624" s="2120">
        <f t="shared" si="1730"/>
        <v>0</v>
      </c>
      <c r="CA624" s="2120">
        <f t="shared" si="1730"/>
        <v>0</v>
      </c>
      <c r="CB624" s="2120">
        <f t="shared" si="1730"/>
        <v>0</v>
      </c>
      <c r="CC624" s="2120">
        <f t="shared" si="1730"/>
        <v>0</v>
      </c>
      <c r="CD624" s="2120">
        <f t="shared" si="1730"/>
        <v>0</v>
      </c>
      <c r="CE624" s="2120">
        <f t="shared" si="1730"/>
        <v>0</v>
      </c>
      <c r="CF624" s="2120">
        <f t="shared" si="1730"/>
        <v>0</v>
      </c>
      <c r="CG624" s="2120">
        <f t="shared" si="1730"/>
        <v>0</v>
      </c>
      <c r="CH624" s="2120">
        <f t="shared" si="1730"/>
        <v>0</v>
      </c>
      <c r="CI624" s="2120">
        <f t="shared" si="1730"/>
        <v>0</v>
      </c>
      <c r="CJ624" s="2120">
        <f t="shared" si="1730"/>
        <v>0</v>
      </c>
      <c r="CK624" s="2120">
        <f t="shared" si="1730"/>
        <v>0</v>
      </c>
      <c r="CL624" s="2120">
        <f t="shared" si="1730"/>
        <v>0</v>
      </c>
      <c r="CM624" s="2120">
        <f t="shared" si="1731"/>
        <v>0</v>
      </c>
      <c r="CN624" s="2120">
        <f t="shared" si="1731"/>
        <v>0</v>
      </c>
      <c r="CO624" s="2120">
        <f t="shared" si="1731"/>
        <v>0</v>
      </c>
      <c r="CP624" s="2120">
        <f t="shared" si="1731"/>
        <v>0</v>
      </c>
      <c r="CQ624" s="2120">
        <f t="shared" si="1731"/>
        <v>0</v>
      </c>
      <c r="CR624" s="2120">
        <f t="shared" si="1731"/>
        <v>0</v>
      </c>
      <c r="CS624" s="2120">
        <f t="shared" si="1731"/>
        <v>0</v>
      </c>
      <c r="CT624" s="2120">
        <f t="shared" si="1731"/>
        <v>0</v>
      </c>
      <c r="CU624" s="2120">
        <f t="shared" si="1731"/>
        <v>0</v>
      </c>
      <c r="CV624" s="2120">
        <f t="shared" si="1731"/>
        <v>0</v>
      </c>
      <c r="CW624" s="2120">
        <f t="shared" si="1731"/>
        <v>0</v>
      </c>
      <c r="CX624" s="2120">
        <f t="shared" si="1731"/>
        <v>0</v>
      </c>
      <c r="CY624" s="2120">
        <f t="shared" si="1731"/>
        <v>0</v>
      </c>
      <c r="CZ624" s="2120">
        <f t="shared" si="1731"/>
        <v>0</v>
      </c>
      <c r="DA624" s="2120">
        <f t="shared" si="1731"/>
        <v>0</v>
      </c>
      <c r="DB624" s="2120">
        <f t="shared" si="1731"/>
        <v>0</v>
      </c>
      <c r="DC624" s="2120">
        <f t="shared" si="1732"/>
        <v>0</v>
      </c>
      <c r="DD624" s="2120">
        <f t="shared" si="1732"/>
        <v>0</v>
      </c>
      <c r="DE624" s="2120">
        <f t="shared" si="1732"/>
        <v>0</v>
      </c>
      <c r="DF624" s="2120">
        <f t="shared" si="1732"/>
        <v>0</v>
      </c>
      <c r="DG624" s="2120">
        <f t="shared" si="1732"/>
        <v>0</v>
      </c>
      <c r="DH624" s="2120">
        <f t="shared" si="1732"/>
        <v>0</v>
      </c>
      <c r="DI624" s="2120">
        <f t="shared" si="1732"/>
        <v>0</v>
      </c>
      <c r="DJ624" s="2120">
        <f t="shared" si="1732"/>
        <v>0</v>
      </c>
      <c r="DK624" s="2120">
        <f t="shared" si="1732"/>
        <v>0</v>
      </c>
      <c r="DL624" s="2120">
        <f t="shared" si="1732"/>
        <v>0</v>
      </c>
      <c r="DM624" s="2120">
        <f t="shared" si="1732"/>
        <v>0</v>
      </c>
      <c r="DN624" s="2120">
        <f t="shared" si="1732"/>
        <v>0</v>
      </c>
      <c r="DO624" s="2120">
        <f t="shared" si="1732"/>
        <v>0</v>
      </c>
      <c r="DP624" s="2120">
        <f t="shared" si="1732"/>
        <v>0</v>
      </c>
    </row>
    <row r="625" spans="1:120" s="116" customFormat="1" hidden="1" outlineLevel="1">
      <c r="A625" s="1221">
        <v>1110052090</v>
      </c>
      <c r="B625" s="1216" t="s">
        <v>2448</v>
      </c>
      <c r="C625" s="101" t="s">
        <v>64</v>
      </c>
      <c r="D625" s="1712"/>
      <c r="E625" s="1642">
        <v>45016</v>
      </c>
      <c r="F625" s="1224"/>
      <c r="G625" s="1266"/>
      <c r="H625" s="1225"/>
      <c r="I625" s="1226"/>
      <c r="J625" s="1604">
        <v>1</v>
      </c>
      <c r="K625" s="1605">
        <v>1</v>
      </c>
      <c r="L625" s="1606"/>
      <c r="M625" s="1626">
        <f t="shared" si="1733"/>
        <v>0</v>
      </c>
      <c r="N625" s="1228">
        <f ca="1">IF(OR(E625="",E625&gt;TODAY()),0,IF(ISERROR(VLOOKUP($E625,'TRM BanRep'!$A:$G,7,0)),0,VLOOKUP($E625,'TRM BanRep'!$A:$G,7,0)))</f>
        <v>4627.2700000000004</v>
      </c>
      <c r="O625" s="1229">
        <f t="shared" ca="1" si="1720"/>
        <v>0</v>
      </c>
      <c r="P625" s="1713">
        <v>-1937442.03</v>
      </c>
      <c r="Q625" s="1230">
        <f t="shared" si="1721"/>
        <v>-1937442.03</v>
      </c>
      <c r="R625" s="1231">
        <v>4755.12</v>
      </c>
      <c r="S625" s="1231">
        <v>4755.12</v>
      </c>
      <c r="T625" s="1232">
        <f t="shared" si="1722"/>
        <v>-9212769345.6935997</v>
      </c>
      <c r="U625" s="2012">
        <f t="shared" si="1723"/>
        <v>-1937442.03</v>
      </c>
      <c r="V625" s="566">
        <f t="shared" ca="1" si="1724"/>
        <v>-9212769345.6935997</v>
      </c>
      <c r="W625" s="1235">
        <f t="shared" si="1725"/>
        <v>0</v>
      </c>
      <c r="X625" s="1236">
        <f t="shared" si="1726"/>
        <v>0</v>
      </c>
      <c r="Y625" s="2013"/>
      <c r="Z625" s="115"/>
      <c r="AA625" s="2329">
        <f t="shared" ca="1" si="1727"/>
        <v>0</v>
      </c>
      <c r="AB625" s="2158">
        <f t="shared" ca="1" si="1727"/>
        <v>0</v>
      </c>
      <c r="AC625" s="2158">
        <f t="shared" ca="1" si="1727"/>
        <v>0</v>
      </c>
      <c r="AD625" s="2158">
        <f t="shared" ca="1" si="1727"/>
        <v>0</v>
      </c>
      <c r="AE625" s="2158">
        <f t="shared" ca="1" si="1727"/>
        <v>0</v>
      </c>
      <c r="AF625" s="2120">
        <f t="shared" ca="1" si="1727"/>
        <v>0</v>
      </c>
      <c r="AG625" s="2120">
        <f t="shared" ca="1" si="1727"/>
        <v>0</v>
      </c>
      <c r="AH625" s="2120">
        <f t="shared" ca="1" si="1727"/>
        <v>0</v>
      </c>
      <c r="AI625" s="2120">
        <f t="shared" ca="1" si="1727"/>
        <v>0</v>
      </c>
      <c r="AJ625" s="2120">
        <f t="shared" ca="1" si="1727"/>
        <v>0</v>
      </c>
      <c r="AK625" s="2120">
        <f t="shared" ca="1" si="1727"/>
        <v>0</v>
      </c>
      <c r="AL625" s="2314">
        <f t="shared" ca="1" si="1727"/>
        <v>0</v>
      </c>
      <c r="AM625" s="2120">
        <f t="shared" ca="1" si="1727"/>
        <v>0</v>
      </c>
      <c r="AN625" s="2120">
        <f t="shared" ca="1" si="1727"/>
        <v>0</v>
      </c>
      <c r="AO625" s="2120">
        <f t="shared" ca="1" si="1727"/>
        <v>0</v>
      </c>
      <c r="AP625" s="2120">
        <f t="shared" ca="1" si="1727"/>
        <v>0</v>
      </c>
      <c r="AQ625" s="2120">
        <f t="shared" ca="1" si="1728"/>
        <v>0</v>
      </c>
      <c r="AR625" s="2120">
        <f t="shared" ca="1" si="1728"/>
        <v>0</v>
      </c>
      <c r="AS625" s="2120">
        <f t="shared" ca="1" si="1728"/>
        <v>0</v>
      </c>
      <c r="AT625" s="2120">
        <f t="shared" ca="1" si="1728"/>
        <v>0</v>
      </c>
      <c r="AU625" s="2120">
        <f t="shared" ca="1" si="1728"/>
        <v>0</v>
      </c>
      <c r="AV625" s="2120">
        <f t="shared" ca="1" si="1728"/>
        <v>-1937442.03</v>
      </c>
      <c r="AW625" s="2120">
        <f t="shared" ca="1" si="1728"/>
        <v>0</v>
      </c>
      <c r="AX625" s="2120">
        <f t="shared" ca="1" si="1728"/>
        <v>0</v>
      </c>
      <c r="AY625" s="2120">
        <f t="shared" ca="1" si="1728"/>
        <v>0</v>
      </c>
      <c r="AZ625" s="2120">
        <f t="shared" ca="1" si="1728"/>
        <v>0</v>
      </c>
      <c r="BA625" s="2120">
        <f t="shared" ca="1" si="1728"/>
        <v>0</v>
      </c>
      <c r="BB625" s="2120">
        <f t="shared" ca="1" si="1728"/>
        <v>0</v>
      </c>
      <c r="BC625" s="2120">
        <f t="shared" ca="1" si="1728"/>
        <v>0</v>
      </c>
      <c r="BD625" s="2120">
        <f t="shared" ca="1" si="1728"/>
        <v>0</v>
      </c>
      <c r="BE625" s="2120">
        <f t="shared" ca="1" si="1728"/>
        <v>0</v>
      </c>
      <c r="BF625" s="2120">
        <f t="shared" ca="1" si="1728"/>
        <v>0</v>
      </c>
      <c r="BG625" s="2120">
        <f t="shared" ca="1" si="1729"/>
        <v>0</v>
      </c>
      <c r="BH625" s="2120">
        <f t="shared" ca="1" si="1729"/>
        <v>0</v>
      </c>
      <c r="BI625" s="2120">
        <f t="shared" ca="1" si="1729"/>
        <v>0</v>
      </c>
      <c r="BJ625" s="2120">
        <f t="shared" ca="1" si="1729"/>
        <v>0</v>
      </c>
      <c r="BK625" s="2120">
        <f t="shared" ca="1" si="1729"/>
        <v>0</v>
      </c>
      <c r="BL625" s="2120">
        <f t="shared" ca="1" si="1729"/>
        <v>0</v>
      </c>
      <c r="BM625" s="2120">
        <f t="shared" ca="1" si="1729"/>
        <v>0</v>
      </c>
      <c r="BN625" s="2120">
        <f t="shared" ca="1" si="1729"/>
        <v>0</v>
      </c>
      <c r="BO625" s="2120">
        <f t="shared" ca="1" si="1729"/>
        <v>0</v>
      </c>
      <c r="BP625" s="2120">
        <f t="shared" ca="1" si="1729"/>
        <v>0</v>
      </c>
      <c r="BQ625" s="2120">
        <f t="shared" ca="1" si="1729"/>
        <v>0</v>
      </c>
      <c r="BR625" s="2120">
        <f t="shared" ca="1" si="1729"/>
        <v>0</v>
      </c>
      <c r="BS625" s="2120">
        <f t="shared" ca="1" si="1729"/>
        <v>0</v>
      </c>
      <c r="BT625" s="2120">
        <f t="shared" ca="1" si="1729"/>
        <v>0</v>
      </c>
      <c r="BU625" s="2120">
        <f t="shared" ca="1" si="1729"/>
        <v>0</v>
      </c>
      <c r="BV625" s="2120">
        <f t="shared" ca="1" si="1729"/>
        <v>0</v>
      </c>
      <c r="BW625" s="2120">
        <f t="shared" ca="1" si="1730"/>
        <v>0</v>
      </c>
      <c r="BX625" s="2120">
        <f t="shared" ca="1" si="1730"/>
        <v>0</v>
      </c>
      <c r="BY625" s="2120">
        <f t="shared" ca="1" si="1730"/>
        <v>0</v>
      </c>
      <c r="BZ625" s="2120">
        <f t="shared" ca="1" si="1730"/>
        <v>0</v>
      </c>
      <c r="CA625" s="2120">
        <f t="shared" ca="1" si="1730"/>
        <v>0</v>
      </c>
      <c r="CB625" s="2120">
        <f t="shared" ca="1" si="1730"/>
        <v>0</v>
      </c>
      <c r="CC625" s="2120">
        <f t="shared" ca="1" si="1730"/>
        <v>0</v>
      </c>
      <c r="CD625" s="2120">
        <f t="shared" ca="1" si="1730"/>
        <v>0</v>
      </c>
      <c r="CE625" s="2120">
        <f t="shared" ca="1" si="1730"/>
        <v>0</v>
      </c>
      <c r="CF625" s="2120">
        <f t="shared" ca="1" si="1730"/>
        <v>0</v>
      </c>
      <c r="CG625" s="2120">
        <f t="shared" ca="1" si="1730"/>
        <v>0</v>
      </c>
      <c r="CH625" s="2120">
        <f t="shared" ca="1" si="1730"/>
        <v>0</v>
      </c>
      <c r="CI625" s="2120">
        <f t="shared" ca="1" si="1730"/>
        <v>0</v>
      </c>
      <c r="CJ625" s="2120">
        <f t="shared" ca="1" si="1730"/>
        <v>0</v>
      </c>
      <c r="CK625" s="2120">
        <f t="shared" ca="1" si="1730"/>
        <v>0</v>
      </c>
      <c r="CL625" s="2120">
        <f t="shared" ca="1" si="1730"/>
        <v>0</v>
      </c>
      <c r="CM625" s="2120">
        <f t="shared" ca="1" si="1731"/>
        <v>0</v>
      </c>
      <c r="CN625" s="2120">
        <f t="shared" ca="1" si="1731"/>
        <v>0</v>
      </c>
      <c r="CO625" s="2120">
        <f t="shared" ca="1" si="1731"/>
        <v>0</v>
      </c>
      <c r="CP625" s="2120">
        <f t="shared" ca="1" si="1731"/>
        <v>0</v>
      </c>
      <c r="CQ625" s="2120">
        <f t="shared" ca="1" si="1731"/>
        <v>0</v>
      </c>
      <c r="CR625" s="2120">
        <f t="shared" ca="1" si="1731"/>
        <v>0</v>
      </c>
      <c r="CS625" s="2120">
        <f t="shared" ca="1" si="1731"/>
        <v>0</v>
      </c>
      <c r="CT625" s="2120">
        <f t="shared" ca="1" si="1731"/>
        <v>0</v>
      </c>
      <c r="CU625" s="2120">
        <f t="shared" ca="1" si="1731"/>
        <v>0</v>
      </c>
      <c r="CV625" s="2120">
        <f t="shared" ca="1" si="1731"/>
        <v>0</v>
      </c>
      <c r="CW625" s="2120">
        <f t="shared" ca="1" si="1731"/>
        <v>0</v>
      </c>
      <c r="CX625" s="2120">
        <f t="shared" ca="1" si="1731"/>
        <v>0</v>
      </c>
      <c r="CY625" s="2120">
        <f t="shared" ca="1" si="1731"/>
        <v>0</v>
      </c>
      <c r="CZ625" s="2120">
        <f t="shared" ca="1" si="1731"/>
        <v>0</v>
      </c>
      <c r="DA625" s="2120">
        <f t="shared" ca="1" si="1731"/>
        <v>0</v>
      </c>
      <c r="DB625" s="2120">
        <f t="shared" ca="1" si="1731"/>
        <v>0</v>
      </c>
      <c r="DC625" s="2120">
        <f t="shared" ca="1" si="1732"/>
        <v>0</v>
      </c>
      <c r="DD625" s="2120">
        <f t="shared" ca="1" si="1732"/>
        <v>0</v>
      </c>
      <c r="DE625" s="2120">
        <f t="shared" ca="1" si="1732"/>
        <v>0</v>
      </c>
      <c r="DF625" s="2120">
        <f t="shared" ca="1" si="1732"/>
        <v>0</v>
      </c>
      <c r="DG625" s="2120">
        <f t="shared" ca="1" si="1732"/>
        <v>0</v>
      </c>
      <c r="DH625" s="2120">
        <f t="shared" ca="1" si="1732"/>
        <v>0</v>
      </c>
      <c r="DI625" s="2120">
        <f t="shared" ca="1" si="1732"/>
        <v>0</v>
      </c>
      <c r="DJ625" s="2120">
        <f t="shared" ca="1" si="1732"/>
        <v>0</v>
      </c>
      <c r="DK625" s="2120">
        <f t="shared" ca="1" si="1732"/>
        <v>0</v>
      </c>
      <c r="DL625" s="2120">
        <f t="shared" ca="1" si="1732"/>
        <v>0</v>
      </c>
      <c r="DM625" s="2120">
        <f t="shared" ca="1" si="1732"/>
        <v>0</v>
      </c>
      <c r="DN625" s="2120">
        <f t="shared" ca="1" si="1732"/>
        <v>0</v>
      </c>
      <c r="DO625" s="2120">
        <f t="shared" ca="1" si="1732"/>
        <v>0</v>
      </c>
      <c r="DP625" s="2120">
        <f t="shared" ca="1" si="1732"/>
        <v>0</v>
      </c>
    </row>
    <row r="626" spans="1:120" s="116" customFormat="1" hidden="1" outlineLevel="1">
      <c r="A626" s="1221">
        <v>1110052090</v>
      </c>
      <c r="B626" s="1216" t="s">
        <v>2448</v>
      </c>
      <c r="C626" s="101" t="s">
        <v>64</v>
      </c>
      <c r="D626" s="1712"/>
      <c r="E626" s="1642">
        <v>45016</v>
      </c>
      <c r="F626" s="1224"/>
      <c r="G626" s="1266"/>
      <c r="H626" s="1225"/>
      <c r="I626" s="1226"/>
      <c r="J626" s="1604">
        <v>1</v>
      </c>
      <c r="K626" s="1605">
        <v>1</v>
      </c>
      <c r="L626" s="1606"/>
      <c r="M626" s="1626">
        <f t="shared" ref="M626" si="1810">+L626*J626</f>
        <v>0</v>
      </c>
      <c r="N626" s="1228">
        <f ca="1">IF(OR(E626="",E626&gt;TODAY()),0,IF(ISERROR(VLOOKUP($E626,'TRM BanRep'!$A:$G,7,0)),0,VLOOKUP($E626,'TRM BanRep'!$A:$G,7,0)))</f>
        <v>4627.2700000000004</v>
      </c>
      <c r="O626" s="1229">
        <f t="shared" ref="O626" ca="1" si="1811">+L626*N626</f>
        <v>0</v>
      </c>
      <c r="P626" s="1713">
        <v>-2062557.97</v>
      </c>
      <c r="Q626" s="1230">
        <f t="shared" ref="Q626" si="1812">+P626*K626</f>
        <v>-2062557.97</v>
      </c>
      <c r="R626" s="1231">
        <v>4658.79</v>
      </c>
      <c r="S626" s="1231">
        <v>4658.79</v>
      </c>
      <c r="T626" s="1232">
        <f t="shared" ref="T626" si="1813">+P626*S626</f>
        <v>-9609024445.0562992</v>
      </c>
      <c r="U626" s="2012">
        <f t="shared" ref="U626" si="1814">+L626+P626+F626</f>
        <v>-2062557.97</v>
      </c>
      <c r="V626" s="566">
        <f t="shared" ref="V626" ca="1" si="1815">+P626*R626+L626*N626+F626*H626</f>
        <v>-9609024445.0562992</v>
      </c>
      <c r="W626" s="1235">
        <f t="shared" ref="W626" si="1816">IF((-P626*R626)-(-P626*S626)&gt;0,(-P626*R626)-(-P626*S626),0)</f>
        <v>0</v>
      </c>
      <c r="X626" s="1236">
        <f t="shared" ref="X626" si="1817">IF((-P626*R626)-(-P626*S626)&lt;0,(-P626*R626)-(-P626*S626),0)</f>
        <v>0</v>
      </c>
      <c r="Y626" s="2013"/>
      <c r="Z626" s="115"/>
      <c r="AA626" s="2329">
        <f t="shared" ref="AA626:CL626" ca="1" si="1818">IF($L626="",IF(OR($P626="",$R626=""),0,IF($R626=AA$6,$Q626,0)),IF($E626=AA$5,$M626,))</f>
        <v>0</v>
      </c>
      <c r="AB626" s="2158">
        <f t="shared" ca="1" si="1818"/>
        <v>0</v>
      </c>
      <c r="AC626" s="2158">
        <f t="shared" ca="1" si="1818"/>
        <v>0</v>
      </c>
      <c r="AD626" s="2158">
        <f t="shared" ca="1" si="1818"/>
        <v>0</v>
      </c>
      <c r="AE626" s="2158">
        <f t="shared" ca="1" si="1818"/>
        <v>0</v>
      </c>
      <c r="AF626" s="2120">
        <f t="shared" ca="1" si="1818"/>
        <v>0</v>
      </c>
      <c r="AG626" s="2120">
        <f t="shared" ca="1" si="1818"/>
        <v>0</v>
      </c>
      <c r="AH626" s="2120">
        <f t="shared" ca="1" si="1818"/>
        <v>0</v>
      </c>
      <c r="AI626" s="2120">
        <f t="shared" ca="1" si="1818"/>
        <v>0</v>
      </c>
      <c r="AJ626" s="2120">
        <f t="shared" ca="1" si="1818"/>
        <v>0</v>
      </c>
      <c r="AK626" s="2120">
        <f t="shared" ca="1" si="1818"/>
        <v>0</v>
      </c>
      <c r="AL626" s="2314">
        <f t="shared" ca="1" si="1818"/>
        <v>0</v>
      </c>
      <c r="AM626" s="2120">
        <f t="shared" ca="1" si="1818"/>
        <v>0</v>
      </c>
      <c r="AN626" s="2120">
        <f t="shared" ca="1" si="1818"/>
        <v>0</v>
      </c>
      <c r="AO626" s="2120">
        <f t="shared" ca="1" si="1818"/>
        <v>0</v>
      </c>
      <c r="AP626" s="2120">
        <f t="shared" ca="1" si="1818"/>
        <v>0</v>
      </c>
      <c r="AQ626" s="2120">
        <f t="shared" ca="1" si="1818"/>
        <v>0</v>
      </c>
      <c r="AR626" s="2120">
        <f t="shared" ca="1" si="1818"/>
        <v>0</v>
      </c>
      <c r="AS626" s="2120">
        <f t="shared" ca="1" si="1818"/>
        <v>0</v>
      </c>
      <c r="AT626" s="2120">
        <f t="shared" ca="1" si="1818"/>
        <v>0</v>
      </c>
      <c r="AU626" s="2120">
        <f t="shared" ca="1" si="1818"/>
        <v>0</v>
      </c>
      <c r="AV626" s="2120">
        <f t="shared" ca="1" si="1818"/>
        <v>0</v>
      </c>
      <c r="AW626" s="2120">
        <f t="shared" ca="1" si="1818"/>
        <v>-2062557.97</v>
      </c>
      <c r="AX626" s="2120">
        <f t="shared" ca="1" si="1818"/>
        <v>0</v>
      </c>
      <c r="AY626" s="2120">
        <f t="shared" ca="1" si="1818"/>
        <v>0</v>
      </c>
      <c r="AZ626" s="2120">
        <f t="shared" ca="1" si="1818"/>
        <v>0</v>
      </c>
      <c r="BA626" s="2120">
        <f t="shared" ca="1" si="1818"/>
        <v>0</v>
      </c>
      <c r="BB626" s="2120">
        <f t="shared" ca="1" si="1818"/>
        <v>0</v>
      </c>
      <c r="BC626" s="2120">
        <f t="shared" ca="1" si="1818"/>
        <v>0</v>
      </c>
      <c r="BD626" s="2120">
        <f t="shared" ca="1" si="1818"/>
        <v>0</v>
      </c>
      <c r="BE626" s="2120">
        <f t="shared" ca="1" si="1818"/>
        <v>0</v>
      </c>
      <c r="BF626" s="2120">
        <f t="shared" ca="1" si="1818"/>
        <v>0</v>
      </c>
      <c r="BG626" s="2120">
        <f t="shared" ca="1" si="1818"/>
        <v>0</v>
      </c>
      <c r="BH626" s="2120">
        <f t="shared" ca="1" si="1818"/>
        <v>0</v>
      </c>
      <c r="BI626" s="2120">
        <f t="shared" ca="1" si="1818"/>
        <v>0</v>
      </c>
      <c r="BJ626" s="2120">
        <f t="shared" ca="1" si="1818"/>
        <v>0</v>
      </c>
      <c r="BK626" s="2120">
        <f t="shared" ca="1" si="1818"/>
        <v>0</v>
      </c>
      <c r="BL626" s="2120">
        <f t="shared" ca="1" si="1818"/>
        <v>0</v>
      </c>
      <c r="BM626" s="2120">
        <f t="shared" ca="1" si="1818"/>
        <v>0</v>
      </c>
      <c r="BN626" s="2120">
        <f t="shared" ca="1" si="1818"/>
        <v>0</v>
      </c>
      <c r="BO626" s="2120">
        <f t="shared" ca="1" si="1818"/>
        <v>0</v>
      </c>
      <c r="BP626" s="2120">
        <f t="shared" ca="1" si="1818"/>
        <v>0</v>
      </c>
      <c r="BQ626" s="2120">
        <f t="shared" ca="1" si="1818"/>
        <v>0</v>
      </c>
      <c r="BR626" s="2120">
        <f t="shared" ca="1" si="1818"/>
        <v>0</v>
      </c>
      <c r="BS626" s="2120">
        <f t="shared" ca="1" si="1818"/>
        <v>0</v>
      </c>
      <c r="BT626" s="2120">
        <f t="shared" ca="1" si="1818"/>
        <v>0</v>
      </c>
      <c r="BU626" s="2120">
        <f t="shared" ca="1" si="1818"/>
        <v>0</v>
      </c>
      <c r="BV626" s="2120">
        <f t="shared" ca="1" si="1818"/>
        <v>0</v>
      </c>
      <c r="BW626" s="2120">
        <f t="shared" ca="1" si="1818"/>
        <v>0</v>
      </c>
      <c r="BX626" s="2120">
        <f t="shared" ca="1" si="1818"/>
        <v>0</v>
      </c>
      <c r="BY626" s="2120">
        <f t="shared" ca="1" si="1818"/>
        <v>0</v>
      </c>
      <c r="BZ626" s="2120">
        <f t="shared" ca="1" si="1818"/>
        <v>0</v>
      </c>
      <c r="CA626" s="2120">
        <f t="shared" ca="1" si="1818"/>
        <v>0</v>
      </c>
      <c r="CB626" s="2120">
        <f t="shared" ca="1" si="1818"/>
        <v>0</v>
      </c>
      <c r="CC626" s="2120">
        <f t="shared" ca="1" si="1818"/>
        <v>0</v>
      </c>
      <c r="CD626" s="2120">
        <f t="shared" ca="1" si="1818"/>
        <v>0</v>
      </c>
      <c r="CE626" s="2120">
        <f t="shared" ca="1" si="1818"/>
        <v>0</v>
      </c>
      <c r="CF626" s="2120">
        <f t="shared" ca="1" si="1818"/>
        <v>0</v>
      </c>
      <c r="CG626" s="2120">
        <f t="shared" ca="1" si="1818"/>
        <v>0</v>
      </c>
      <c r="CH626" s="2120">
        <f t="shared" ca="1" si="1818"/>
        <v>0</v>
      </c>
      <c r="CI626" s="2120">
        <f t="shared" ca="1" si="1818"/>
        <v>0</v>
      </c>
      <c r="CJ626" s="2120">
        <f t="shared" ca="1" si="1818"/>
        <v>0</v>
      </c>
      <c r="CK626" s="2120">
        <f t="shared" ca="1" si="1818"/>
        <v>0</v>
      </c>
      <c r="CL626" s="2120">
        <f t="shared" ca="1" si="1818"/>
        <v>0</v>
      </c>
      <c r="CM626" s="2120">
        <f t="shared" ref="CM626:DP626" ca="1" si="1819">IF($L626="",IF(OR($P626="",$R626=""),0,IF($R626=CM$6,$Q626,0)),IF($E626=CM$5,$M626,))</f>
        <v>0</v>
      </c>
      <c r="CN626" s="2120">
        <f t="shared" ca="1" si="1819"/>
        <v>0</v>
      </c>
      <c r="CO626" s="2120">
        <f t="shared" ca="1" si="1819"/>
        <v>0</v>
      </c>
      <c r="CP626" s="2120">
        <f t="shared" ca="1" si="1819"/>
        <v>0</v>
      </c>
      <c r="CQ626" s="2120">
        <f t="shared" ca="1" si="1819"/>
        <v>0</v>
      </c>
      <c r="CR626" s="2120">
        <f t="shared" ca="1" si="1819"/>
        <v>0</v>
      </c>
      <c r="CS626" s="2120">
        <f t="shared" ca="1" si="1819"/>
        <v>0</v>
      </c>
      <c r="CT626" s="2120">
        <f t="shared" ca="1" si="1819"/>
        <v>0</v>
      </c>
      <c r="CU626" s="2120">
        <f t="shared" ca="1" si="1819"/>
        <v>0</v>
      </c>
      <c r="CV626" s="2120">
        <f t="shared" ca="1" si="1819"/>
        <v>0</v>
      </c>
      <c r="CW626" s="2120">
        <f t="shared" ca="1" si="1819"/>
        <v>0</v>
      </c>
      <c r="CX626" s="2120">
        <f t="shared" ca="1" si="1819"/>
        <v>0</v>
      </c>
      <c r="CY626" s="2120">
        <f t="shared" ca="1" si="1819"/>
        <v>0</v>
      </c>
      <c r="CZ626" s="2120">
        <f t="shared" ca="1" si="1819"/>
        <v>0</v>
      </c>
      <c r="DA626" s="2120">
        <f t="shared" ca="1" si="1819"/>
        <v>0</v>
      </c>
      <c r="DB626" s="2120">
        <f t="shared" ca="1" si="1819"/>
        <v>0</v>
      </c>
      <c r="DC626" s="2120">
        <f t="shared" ca="1" si="1819"/>
        <v>0</v>
      </c>
      <c r="DD626" s="2120">
        <f t="shared" ca="1" si="1819"/>
        <v>0</v>
      </c>
      <c r="DE626" s="2120">
        <f t="shared" ca="1" si="1819"/>
        <v>0</v>
      </c>
      <c r="DF626" s="2120">
        <f t="shared" ca="1" si="1819"/>
        <v>0</v>
      </c>
      <c r="DG626" s="2120">
        <f t="shared" ca="1" si="1819"/>
        <v>0</v>
      </c>
      <c r="DH626" s="2120">
        <f t="shared" ca="1" si="1819"/>
        <v>0</v>
      </c>
      <c r="DI626" s="2120">
        <f t="shared" ca="1" si="1819"/>
        <v>0</v>
      </c>
      <c r="DJ626" s="2120">
        <f t="shared" ca="1" si="1819"/>
        <v>0</v>
      </c>
      <c r="DK626" s="2120">
        <f t="shared" ca="1" si="1819"/>
        <v>0</v>
      </c>
      <c r="DL626" s="2120">
        <f t="shared" ca="1" si="1819"/>
        <v>0</v>
      </c>
      <c r="DM626" s="2120">
        <f t="shared" ca="1" si="1819"/>
        <v>0</v>
      </c>
      <c r="DN626" s="2120">
        <f t="shared" ca="1" si="1819"/>
        <v>0</v>
      </c>
      <c r="DO626" s="2120">
        <f t="shared" ca="1" si="1819"/>
        <v>0</v>
      </c>
      <c r="DP626" s="2120">
        <f t="shared" ca="1" si="1819"/>
        <v>0</v>
      </c>
    </row>
    <row r="627" spans="1:120" hidden="1" outlineLevel="1">
      <c r="A627" s="55"/>
      <c r="B627" s="90"/>
      <c r="C627" s="91"/>
      <c r="D627" s="1538"/>
      <c r="E627" s="1539"/>
      <c r="F627" s="416"/>
      <c r="G627" s="1251"/>
      <c r="H627" s="511"/>
      <c r="I627" s="512"/>
      <c r="J627" s="1381"/>
      <c r="K627" s="1427"/>
      <c r="L627" s="419"/>
      <c r="M627" s="1600"/>
      <c r="N627" s="504"/>
      <c r="O627" s="513"/>
      <c r="P627" s="431"/>
      <c r="Q627" s="514"/>
      <c r="R627" s="515"/>
      <c r="S627" s="515"/>
      <c r="T627" s="562">
        <f t="shared" si="1722"/>
        <v>0</v>
      </c>
      <c r="U627" s="1121">
        <f t="shared" si="1723"/>
        <v>0</v>
      </c>
      <c r="V627" s="517"/>
      <c r="W627" s="976"/>
      <c r="X627" s="975"/>
      <c r="Y627" s="519"/>
      <c r="Z627" s="1055"/>
      <c r="AA627" s="199"/>
      <c r="AB627" s="561"/>
      <c r="AC627" s="561"/>
      <c r="AD627" s="561"/>
      <c r="AE627" s="561"/>
      <c r="AF627" s="561"/>
      <c r="AG627" s="561"/>
      <c r="AH627" s="561"/>
      <c r="AI627" s="561"/>
      <c r="AJ627" s="561"/>
      <c r="AK627" s="561"/>
      <c r="AL627" s="1542"/>
      <c r="AM627" s="561"/>
      <c r="AN627" s="561"/>
      <c r="AO627" s="561"/>
      <c r="AP627" s="561"/>
      <c r="AQ627" s="561"/>
      <c r="AR627" s="561"/>
      <c r="AS627" s="561"/>
      <c r="AT627" s="561"/>
      <c r="AU627" s="561"/>
      <c r="AV627" s="561"/>
      <c r="AW627" s="561"/>
      <c r="AX627" s="561"/>
      <c r="AY627" s="561"/>
      <c r="AZ627" s="561"/>
      <c r="BA627" s="561"/>
      <c r="BB627" s="561"/>
      <c r="BC627" s="561"/>
      <c r="BD627" s="561"/>
      <c r="BE627" s="561"/>
      <c r="BF627" s="561"/>
      <c r="BG627" s="561"/>
      <c r="BH627" s="561"/>
      <c r="BI627" s="561"/>
      <c r="BJ627" s="561"/>
      <c r="BK627" s="561"/>
      <c r="BL627" s="561"/>
      <c r="BM627" s="561"/>
      <c r="BN627" s="561"/>
      <c r="BO627" s="561"/>
      <c r="BP627" s="561"/>
      <c r="BQ627" s="561"/>
      <c r="BR627" s="561"/>
      <c r="BS627" s="561"/>
      <c r="BT627" s="561"/>
      <c r="BU627" s="561"/>
      <c r="BV627" s="561"/>
      <c r="BW627" s="561"/>
      <c r="BX627" s="561"/>
      <c r="BY627" s="561"/>
      <c r="BZ627" s="561"/>
      <c r="CA627" s="561"/>
      <c r="CB627" s="561"/>
      <c r="CC627" s="561"/>
      <c r="CD627" s="561"/>
      <c r="CE627" s="561"/>
      <c r="CF627" s="561"/>
      <c r="CG627" s="561"/>
      <c r="CH627" s="561"/>
      <c r="CI627" s="561"/>
      <c r="CJ627" s="561"/>
      <c r="CK627" s="561"/>
      <c r="CL627" s="561"/>
      <c r="CM627" s="561"/>
      <c r="CN627" s="561"/>
      <c r="CO627" s="561"/>
      <c r="CP627" s="561"/>
      <c r="CQ627" s="561"/>
      <c r="CR627" s="561"/>
      <c r="CS627" s="561"/>
      <c r="CT627" s="561"/>
      <c r="CU627" s="561"/>
      <c r="CV627" s="561"/>
      <c r="CW627" s="561"/>
      <c r="CX627" s="561"/>
      <c r="CY627" s="561"/>
      <c r="CZ627" s="561"/>
      <c r="DA627" s="561"/>
      <c r="DB627" s="561"/>
      <c r="DC627" s="561"/>
      <c r="DD627" s="561"/>
      <c r="DE627" s="561"/>
      <c r="DF627" s="561"/>
      <c r="DG627" s="561"/>
      <c r="DH627" s="561"/>
      <c r="DI627" s="561"/>
      <c r="DJ627" s="561"/>
      <c r="DK627" s="561"/>
      <c r="DL627" s="561"/>
      <c r="DM627" s="561"/>
      <c r="DN627" s="561"/>
      <c r="DO627" s="561"/>
      <c r="DP627" s="561"/>
    </row>
    <row r="628" spans="1:120" ht="16.5" collapsed="1" thickBot="1">
      <c r="A628" s="62" t="s">
        <v>228</v>
      </c>
      <c r="B628" s="63"/>
      <c r="C628" s="64"/>
      <c r="D628" s="1473"/>
      <c r="E628" s="1474"/>
      <c r="F628" s="66">
        <f>SUM(F604:F627)</f>
        <v>0</v>
      </c>
      <c r="G628" s="1253"/>
      <c r="H628" s="67"/>
      <c r="I628" s="68">
        <f>SUM(I604:I627)</f>
        <v>0</v>
      </c>
      <c r="J628" s="1376"/>
      <c r="K628" s="76"/>
      <c r="L628" s="1051">
        <f>SUM(L604:L627)</f>
        <v>13675735.200000001</v>
      </c>
      <c r="M628" s="1598">
        <f>SUM(M604:M627)</f>
        <v>13675735.200000001</v>
      </c>
      <c r="N628" s="70"/>
      <c r="O628" s="71">
        <f ca="1">SUM(O604:O627)</f>
        <v>64996380213.467499</v>
      </c>
      <c r="P628" s="72">
        <f>SUM(P604:P627)</f>
        <v>-42031664.019999996</v>
      </c>
      <c r="Q628" s="1339">
        <f>SUM(Q604:Q627)</f>
        <v>-42031664.019999996</v>
      </c>
      <c r="R628" s="73"/>
      <c r="S628" s="73"/>
      <c r="T628" s="96">
        <f ca="1">SUM(T604:T627)</f>
        <v>-200297189297.21152</v>
      </c>
      <c r="U628" s="173">
        <f>SUM(U604:U627)</f>
        <v>-28355928.82</v>
      </c>
      <c r="V628" s="174">
        <f ca="1">SUM(V604:V627)</f>
        <v>-129815719987.09398</v>
      </c>
      <c r="W628" s="191">
        <f ca="1">SUM(W604:W627)</f>
        <v>56836232.239997864</v>
      </c>
      <c r="X628" s="78">
        <f ca="1">SUM(X604:X627)</f>
        <v>-5541925328.8900061</v>
      </c>
      <c r="Y628" s="43"/>
      <c r="AA628" s="192">
        <f t="shared" ref="AA628:BU628" ca="1" si="1820">SUM(AA602:AA627)</f>
        <v>6.9849193096160889E-10</v>
      </c>
      <c r="AB628" s="193">
        <f t="shared" ca="1" si="1820"/>
        <v>0</v>
      </c>
      <c r="AC628" s="193">
        <f t="shared" ca="1" si="1820"/>
        <v>-2.3283064365386963E-10</v>
      </c>
      <c r="AD628" s="193">
        <f t="shared" ca="1" si="1820"/>
        <v>0</v>
      </c>
      <c r="AE628" s="193">
        <f t="shared" ca="1" si="1820"/>
        <v>0</v>
      </c>
      <c r="AF628" s="193">
        <f t="shared" ca="1" si="1820"/>
        <v>0</v>
      </c>
      <c r="AG628" s="193">
        <f t="shared" ca="1" si="1820"/>
        <v>0</v>
      </c>
      <c r="AH628" s="193">
        <f t="shared" ca="1" si="1820"/>
        <v>0</v>
      </c>
      <c r="AI628" s="193">
        <f t="shared" ca="1" si="1820"/>
        <v>-5.8207660913467407E-10</v>
      </c>
      <c r="AJ628" s="193">
        <f t="shared" ca="1" si="1820"/>
        <v>0</v>
      </c>
      <c r="AK628" s="193">
        <f t="shared" ca="1" si="1820"/>
        <v>0</v>
      </c>
      <c r="AL628" s="193">
        <f t="shared" ca="1" si="1820"/>
        <v>0</v>
      </c>
      <c r="AM628" s="193">
        <f t="shared" ca="1" si="1820"/>
        <v>0</v>
      </c>
      <c r="AN628" s="193">
        <f t="shared" ca="1" si="1820"/>
        <v>0</v>
      </c>
      <c r="AO628" s="193">
        <f t="shared" ca="1" si="1820"/>
        <v>0</v>
      </c>
      <c r="AP628" s="193">
        <f t="shared" ca="1" si="1820"/>
        <v>0</v>
      </c>
      <c r="AQ628" s="193">
        <f t="shared" ca="1" si="1820"/>
        <v>0</v>
      </c>
      <c r="AR628" s="193">
        <f t="shared" ca="1" si="1820"/>
        <v>0</v>
      </c>
      <c r="AS628" s="193">
        <f t="shared" ca="1" si="1820"/>
        <v>0</v>
      </c>
      <c r="AT628" s="193">
        <f t="shared" ca="1" si="1820"/>
        <v>0</v>
      </c>
      <c r="AU628" s="193">
        <f t="shared" ca="1" si="1820"/>
        <v>0</v>
      </c>
      <c r="AV628" s="193">
        <f t="shared" ca="1" si="1820"/>
        <v>2.3283064365386963E-10</v>
      </c>
      <c r="AW628" s="193">
        <f t="shared" ca="1" si="1820"/>
        <v>521337.50000000023</v>
      </c>
      <c r="AX628" s="193">
        <f t="shared" ca="1" si="1820"/>
        <v>0</v>
      </c>
      <c r="AY628" s="193">
        <f t="shared" ca="1" si="1820"/>
        <v>0</v>
      </c>
      <c r="AZ628" s="193">
        <f t="shared" ca="1" si="1820"/>
        <v>0</v>
      </c>
      <c r="BA628" s="193">
        <f t="shared" ca="1" si="1820"/>
        <v>0</v>
      </c>
      <c r="BB628" s="193">
        <f t="shared" ca="1" si="1820"/>
        <v>0</v>
      </c>
      <c r="BC628" s="193">
        <f t="shared" ca="1" si="1820"/>
        <v>0</v>
      </c>
      <c r="BD628" s="193">
        <f t="shared" ca="1" si="1820"/>
        <v>0</v>
      </c>
      <c r="BE628" s="193">
        <f t="shared" ca="1" si="1820"/>
        <v>0</v>
      </c>
      <c r="BF628" s="193">
        <f t="shared" ca="1" si="1820"/>
        <v>0</v>
      </c>
      <c r="BG628" s="193">
        <f t="shared" ca="1" si="1820"/>
        <v>0</v>
      </c>
      <c r="BH628" s="193">
        <f t="shared" ca="1" si="1820"/>
        <v>0</v>
      </c>
      <c r="BI628" s="193">
        <f t="shared" ca="1" si="1820"/>
        <v>0</v>
      </c>
      <c r="BJ628" s="193">
        <f t="shared" ca="1" si="1820"/>
        <v>0</v>
      </c>
      <c r="BK628" s="193">
        <f t="shared" ca="1" si="1820"/>
        <v>0</v>
      </c>
      <c r="BL628" s="193">
        <f t="shared" ca="1" si="1820"/>
        <v>0</v>
      </c>
      <c r="BM628" s="193">
        <f t="shared" ca="1" si="1820"/>
        <v>0</v>
      </c>
      <c r="BN628" s="193">
        <f t="shared" ca="1" si="1820"/>
        <v>0</v>
      </c>
      <c r="BO628" s="193">
        <f t="shared" ca="1" si="1820"/>
        <v>0</v>
      </c>
      <c r="BP628" s="193">
        <f t="shared" ca="1" si="1820"/>
        <v>0</v>
      </c>
      <c r="BQ628" s="193">
        <f t="shared" ca="1" si="1820"/>
        <v>0</v>
      </c>
      <c r="BR628" s="193">
        <f t="shared" ca="1" si="1820"/>
        <v>0</v>
      </c>
      <c r="BS628" s="193">
        <f t="shared" ca="1" si="1820"/>
        <v>0</v>
      </c>
      <c r="BT628" s="193">
        <f t="shared" ca="1" si="1820"/>
        <v>0</v>
      </c>
      <c r="BU628" s="193">
        <f t="shared" ca="1" si="1820"/>
        <v>0</v>
      </c>
      <c r="BV628" s="193"/>
      <c r="BW628" s="193"/>
      <c r="BX628" s="193"/>
      <c r="BY628" s="193"/>
      <c r="BZ628" s="193"/>
      <c r="CA628" s="193"/>
      <c r="CB628" s="193"/>
      <c r="CC628" s="193"/>
      <c r="CD628" s="193"/>
      <c r="CE628" s="193"/>
      <c r="CF628" s="193"/>
      <c r="CG628" s="193"/>
      <c r="CH628" s="193"/>
      <c r="CI628" s="193"/>
      <c r="CJ628" s="193"/>
      <c r="CK628" s="193"/>
      <c r="CL628" s="193"/>
      <c r="CM628" s="193"/>
      <c r="CN628" s="193"/>
      <c r="CO628" s="193"/>
      <c r="CP628" s="193"/>
      <c r="CQ628" s="193"/>
      <c r="CR628" s="193"/>
      <c r="CS628" s="193"/>
      <c r="CT628" s="193"/>
      <c r="CU628" s="193"/>
      <c r="CV628" s="193"/>
      <c r="CW628" s="193"/>
      <c r="CX628" s="193"/>
      <c r="CY628" s="193"/>
      <c r="CZ628" s="193"/>
      <c r="DA628" s="193"/>
      <c r="DB628" s="193"/>
      <c r="DC628" s="193"/>
      <c r="DD628" s="193"/>
      <c r="DE628" s="193"/>
      <c r="DF628" s="193"/>
      <c r="DG628" s="193"/>
      <c r="DH628" s="193"/>
      <c r="DI628" s="193"/>
      <c r="DJ628" s="193"/>
      <c r="DK628" s="193"/>
      <c r="DL628" s="193"/>
      <c r="DM628" s="193"/>
      <c r="DN628" s="193"/>
      <c r="DO628" s="193"/>
      <c r="DP628" s="193"/>
    </row>
    <row r="629" spans="1:120" ht="15.75" thickBot="1"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CT629" s="24"/>
      <c r="CU629" s="24"/>
      <c r="CV629" s="24"/>
      <c r="CW629" s="24"/>
      <c r="CX629" s="24"/>
      <c r="CY629" s="24"/>
      <c r="CZ629" s="24"/>
      <c r="DA629" s="24"/>
      <c r="DB629" s="24"/>
      <c r="DC629" s="24"/>
      <c r="DD629" s="24"/>
      <c r="DE629" s="24"/>
      <c r="DF629" s="24"/>
      <c r="DG629" s="24"/>
      <c r="DH629" s="24"/>
      <c r="DI629" s="24"/>
      <c r="DJ629" s="24"/>
      <c r="DK629" s="24"/>
      <c r="DL629" s="24"/>
      <c r="DM629" s="24"/>
      <c r="DN629" s="24"/>
      <c r="DO629" s="24"/>
      <c r="DP629" s="24"/>
    </row>
    <row r="630" spans="1:120" outlineLevel="1">
      <c r="A630" s="640">
        <v>1110052090</v>
      </c>
      <c r="B630" s="573" t="s">
        <v>78</v>
      </c>
      <c r="C630" s="641" t="s">
        <v>64</v>
      </c>
      <c r="D630" s="1489"/>
      <c r="E630" s="1490">
        <v>45019</v>
      </c>
      <c r="F630" s="643"/>
      <c r="G630" s="1262"/>
      <c r="H630" s="644"/>
      <c r="I630" s="645"/>
      <c r="J630" s="1483">
        <v>1</v>
      </c>
      <c r="K630" s="1484">
        <v>1</v>
      </c>
      <c r="L630" s="646">
        <v>44247.22</v>
      </c>
      <c r="M630" s="1428">
        <f t="shared" ref="M630:M636" si="1821">+L630*J630</f>
        <v>44247.22</v>
      </c>
      <c r="N630" s="647">
        <f ca="1">IF(OR(E630="",E630&gt;TODAY()),0,IF(ISERROR(VLOOKUP($E630,'TRM BanRep'!$A:$G,7,0)),0,VLOOKUP($E630,'TRM BanRep'!$A:$G,7,0)))</f>
        <v>4646.08</v>
      </c>
      <c r="O630" s="648">
        <f t="shared" ref="O630:O636" ca="1" si="1822">+L630*N630</f>
        <v>205576123.8976</v>
      </c>
      <c r="P630" s="649"/>
      <c r="Q630" s="649"/>
      <c r="R630" s="650"/>
      <c r="S630" s="650">
        <f ca="1">IF(OR(E630="",E630&gt;TODAY()),0,IF(ISERROR(VLOOKUP($E630,'TRM BanRep'!$A:$G,7,0)),0,VLOOKUP($E630,'TRM BanRep'!$A:$G,7,0)))</f>
        <v>4646.08</v>
      </c>
      <c r="T630" s="651">
        <f t="shared" ref="T630:T639" ca="1" si="1823">+P630*S630</f>
        <v>0</v>
      </c>
      <c r="U630" s="652">
        <f t="shared" ref="U630:U639" si="1824">+L630+P630+F630</f>
        <v>44247.22</v>
      </c>
      <c r="V630" s="648">
        <f t="shared" ref="V630:V639" ca="1" si="1825">+P630*R630+L630*N630+F630*H630</f>
        <v>205576123.8976</v>
      </c>
      <c r="W630" s="653">
        <f t="shared" ref="W630:W639" ca="1" si="1826">IF((-P630*R630)-(-P630*S630)&gt;0,(-P630*R630)-(-P630*S630),0)</f>
        <v>0</v>
      </c>
      <c r="X630" s="654">
        <f t="shared" ref="X630:X639" ca="1" si="1827">IF((-P630*R630)-(-P630*S630)&lt;0,(-P630*R630)-(-P630*S630),0)</f>
        <v>0</v>
      </c>
      <c r="Y630" s="655"/>
      <c r="AA630" s="705">
        <f t="shared" ref="AA630:AP638" si="1828">IF($L630="",IF(OR($P630="",$R630=""),0,IF($R630=AA$6,$Q630,0)),IF($E630=AA$5,$M630,))</f>
        <v>0</v>
      </c>
      <c r="AB630" s="706">
        <f t="shared" si="1828"/>
        <v>0</v>
      </c>
      <c r="AC630" s="706">
        <f t="shared" si="1828"/>
        <v>0</v>
      </c>
      <c r="AD630" s="706">
        <f t="shared" si="1828"/>
        <v>0</v>
      </c>
      <c r="AE630" s="706">
        <f t="shared" si="1828"/>
        <v>0</v>
      </c>
      <c r="AF630" s="706">
        <f t="shared" si="1828"/>
        <v>0</v>
      </c>
      <c r="AG630" s="706">
        <f t="shared" si="1828"/>
        <v>0</v>
      </c>
      <c r="AH630" s="706">
        <f t="shared" si="1828"/>
        <v>0</v>
      </c>
      <c r="AI630" s="706">
        <f t="shared" si="1828"/>
        <v>0</v>
      </c>
      <c r="AJ630" s="706">
        <f t="shared" si="1828"/>
        <v>0</v>
      </c>
      <c r="AK630" s="706">
        <f t="shared" si="1828"/>
        <v>0</v>
      </c>
      <c r="AL630" s="731">
        <f t="shared" si="1828"/>
        <v>0</v>
      </c>
      <c r="AM630" s="706">
        <f t="shared" si="1828"/>
        <v>0</v>
      </c>
      <c r="AN630" s="706">
        <f t="shared" si="1828"/>
        <v>0</v>
      </c>
      <c r="AO630" s="706">
        <f t="shared" si="1828"/>
        <v>0</v>
      </c>
      <c r="AP630" s="706">
        <f t="shared" si="1828"/>
        <v>0</v>
      </c>
      <c r="AQ630" s="706">
        <f t="shared" ref="AQ630:BF638" si="1829">IF($L630="",IF(OR($P630="",$R630=""),0,IF($R630=AQ$6,$Q630,0)),IF($E630=AQ$5,$M630,))</f>
        <v>0</v>
      </c>
      <c r="AR630" s="706">
        <f t="shared" si="1829"/>
        <v>0</v>
      </c>
      <c r="AS630" s="706">
        <f t="shared" si="1829"/>
        <v>0</v>
      </c>
      <c r="AT630" s="706">
        <f t="shared" si="1829"/>
        <v>0</v>
      </c>
      <c r="AU630" s="706">
        <f t="shared" si="1829"/>
        <v>0</v>
      </c>
      <c r="AV630" s="706">
        <f t="shared" si="1829"/>
        <v>0</v>
      </c>
      <c r="AW630" s="706">
        <f t="shared" si="1829"/>
        <v>0</v>
      </c>
      <c r="AX630" s="706">
        <f t="shared" si="1829"/>
        <v>0</v>
      </c>
      <c r="AY630" s="706">
        <f t="shared" si="1829"/>
        <v>0</v>
      </c>
      <c r="AZ630" s="706">
        <f t="shared" si="1829"/>
        <v>44247.22</v>
      </c>
      <c r="BA630" s="706">
        <f t="shared" si="1829"/>
        <v>0</v>
      </c>
      <c r="BB630" s="706">
        <f t="shared" si="1829"/>
        <v>0</v>
      </c>
      <c r="BC630" s="706">
        <f t="shared" si="1829"/>
        <v>0</v>
      </c>
      <c r="BD630" s="706">
        <f t="shared" si="1829"/>
        <v>0</v>
      </c>
      <c r="BE630" s="706">
        <f t="shared" si="1829"/>
        <v>0</v>
      </c>
      <c r="BF630" s="706">
        <f t="shared" si="1829"/>
        <v>0</v>
      </c>
      <c r="BG630" s="706">
        <f t="shared" ref="BG630:BV638" si="1830">IF($L630="",IF(OR($P630="",$R630=""),0,IF($R630=BG$6,$Q630,0)),IF($E630=BG$5,$M630,))</f>
        <v>0</v>
      </c>
      <c r="BH630" s="706">
        <f t="shared" si="1830"/>
        <v>0</v>
      </c>
      <c r="BI630" s="706">
        <f t="shared" si="1830"/>
        <v>0</v>
      </c>
      <c r="BJ630" s="706">
        <f t="shared" si="1830"/>
        <v>0</v>
      </c>
      <c r="BK630" s="706">
        <f t="shared" si="1830"/>
        <v>0</v>
      </c>
      <c r="BL630" s="706">
        <f t="shared" si="1830"/>
        <v>0</v>
      </c>
      <c r="BM630" s="706">
        <f t="shared" si="1830"/>
        <v>0</v>
      </c>
      <c r="BN630" s="706">
        <f t="shared" si="1830"/>
        <v>0</v>
      </c>
      <c r="BO630" s="706">
        <f t="shared" si="1830"/>
        <v>0</v>
      </c>
      <c r="BP630" s="706">
        <f t="shared" si="1830"/>
        <v>0</v>
      </c>
      <c r="BQ630" s="706">
        <f t="shared" si="1830"/>
        <v>0</v>
      </c>
      <c r="BR630" s="706">
        <f t="shared" si="1830"/>
        <v>0</v>
      </c>
      <c r="BS630" s="706">
        <f t="shared" si="1830"/>
        <v>0</v>
      </c>
      <c r="BT630" s="706">
        <f t="shared" si="1830"/>
        <v>0</v>
      </c>
      <c r="BU630" s="706">
        <f t="shared" si="1830"/>
        <v>0</v>
      </c>
      <c r="BV630" s="706">
        <f t="shared" si="1830"/>
        <v>0</v>
      </c>
      <c r="BW630" s="706">
        <f t="shared" ref="BW630:CL638" si="1831">IF($L630="",IF(OR($P630="",$R630=""),0,IF($R630=BW$6,$Q630,0)),IF($E630=BW$5,$M630,))</f>
        <v>0</v>
      </c>
      <c r="BX630" s="706">
        <f t="shared" si="1831"/>
        <v>0</v>
      </c>
      <c r="BY630" s="706">
        <f t="shared" si="1831"/>
        <v>0</v>
      </c>
      <c r="BZ630" s="706">
        <f t="shared" si="1831"/>
        <v>0</v>
      </c>
      <c r="CA630" s="706">
        <f t="shared" si="1831"/>
        <v>0</v>
      </c>
      <c r="CB630" s="706">
        <f t="shared" si="1831"/>
        <v>0</v>
      </c>
      <c r="CC630" s="706">
        <f t="shared" si="1831"/>
        <v>0</v>
      </c>
      <c r="CD630" s="706">
        <f t="shared" si="1831"/>
        <v>0</v>
      </c>
      <c r="CE630" s="706">
        <f t="shared" si="1831"/>
        <v>0</v>
      </c>
      <c r="CF630" s="706">
        <f t="shared" si="1831"/>
        <v>0</v>
      </c>
      <c r="CG630" s="706">
        <f t="shared" si="1831"/>
        <v>0</v>
      </c>
      <c r="CH630" s="706">
        <f t="shared" si="1831"/>
        <v>0</v>
      </c>
      <c r="CI630" s="706">
        <f t="shared" si="1831"/>
        <v>0</v>
      </c>
      <c r="CJ630" s="706">
        <f t="shared" si="1831"/>
        <v>0</v>
      </c>
      <c r="CK630" s="706">
        <f t="shared" si="1831"/>
        <v>0</v>
      </c>
      <c r="CL630" s="706">
        <f t="shared" si="1831"/>
        <v>0</v>
      </c>
      <c r="CM630" s="706">
        <f t="shared" ref="CM630:DB638" si="1832">IF($L630="",IF(OR($P630="",$R630=""),0,IF($R630=CM$6,$Q630,0)),IF($E630=CM$5,$M630,))</f>
        <v>0</v>
      </c>
      <c r="CN630" s="706">
        <f t="shared" si="1832"/>
        <v>0</v>
      </c>
      <c r="CO630" s="706">
        <f t="shared" si="1832"/>
        <v>0</v>
      </c>
      <c r="CP630" s="706">
        <f t="shared" si="1832"/>
        <v>0</v>
      </c>
      <c r="CQ630" s="706">
        <f t="shared" si="1832"/>
        <v>0</v>
      </c>
      <c r="CR630" s="706">
        <f t="shared" si="1832"/>
        <v>0</v>
      </c>
      <c r="CS630" s="706">
        <f t="shared" si="1832"/>
        <v>0</v>
      </c>
      <c r="CT630" s="706">
        <f t="shared" si="1832"/>
        <v>0</v>
      </c>
      <c r="CU630" s="706">
        <f t="shared" si="1832"/>
        <v>0</v>
      </c>
      <c r="CV630" s="706">
        <f t="shared" si="1832"/>
        <v>0</v>
      </c>
      <c r="CW630" s="706">
        <f t="shared" si="1832"/>
        <v>0</v>
      </c>
      <c r="CX630" s="706">
        <f t="shared" si="1832"/>
        <v>0</v>
      </c>
      <c r="CY630" s="706">
        <f t="shared" si="1832"/>
        <v>0</v>
      </c>
      <c r="CZ630" s="706">
        <f t="shared" si="1832"/>
        <v>0</v>
      </c>
      <c r="DA630" s="706">
        <f t="shared" si="1832"/>
        <v>0</v>
      </c>
      <c r="DB630" s="706">
        <f t="shared" si="1832"/>
        <v>0</v>
      </c>
      <c r="DC630" s="706">
        <f t="shared" ref="DC630:DP638" si="1833">IF($L630="",IF(OR($P630="",$R630=""),0,IF($R630=DC$6,$Q630,0)),IF($E630=DC$5,$M630,))</f>
        <v>0</v>
      </c>
      <c r="DD630" s="706">
        <f t="shared" si="1833"/>
        <v>0</v>
      </c>
      <c r="DE630" s="706">
        <f t="shared" si="1833"/>
        <v>0</v>
      </c>
      <c r="DF630" s="706">
        <f t="shared" si="1833"/>
        <v>0</v>
      </c>
      <c r="DG630" s="706">
        <f t="shared" si="1833"/>
        <v>0</v>
      </c>
      <c r="DH630" s="706">
        <f t="shared" si="1833"/>
        <v>0</v>
      </c>
      <c r="DI630" s="706">
        <f t="shared" si="1833"/>
        <v>0</v>
      </c>
      <c r="DJ630" s="706">
        <f t="shared" si="1833"/>
        <v>0</v>
      </c>
      <c r="DK630" s="706">
        <f t="shared" si="1833"/>
        <v>0</v>
      </c>
      <c r="DL630" s="706">
        <f t="shared" si="1833"/>
        <v>0</v>
      </c>
      <c r="DM630" s="706">
        <f t="shared" si="1833"/>
        <v>0</v>
      </c>
      <c r="DN630" s="706">
        <f t="shared" si="1833"/>
        <v>0</v>
      </c>
      <c r="DO630" s="706">
        <f t="shared" si="1833"/>
        <v>0</v>
      </c>
      <c r="DP630" s="706">
        <f t="shared" si="1833"/>
        <v>0</v>
      </c>
    </row>
    <row r="631" spans="1:120" s="86" customFormat="1" outlineLevel="1">
      <c r="A631" s="200">
        <v>1110052090</v>
      </c>
      <c r="B631" s="87" t="s">
        <v>2529</v>
      </c>
      <c r="C631" s="88" t="s">
        <v>64</v>
      </c>
      <c r="D631" s="1557"/>
      <c r="E631" s="1558">
        <v>45020</v>
      </c>
      <c r="F631" s="201"/>
      <c r="G631" s="1270"/>
      <c r="H631" s="722"/>
      <c r="I631" s="723"/>
      <c r="J631" s="1425">
        <v>1</v>
      </c>
      <c r="K631" s="1426">
        <v>1</v>
      </c>
      <c r="L631" s="2014">
        <v>8600107</v>
      </c>
      <c r="M631" s="2015">
        <f>+L631*J631</f>
        <v>8600107</v>
      </c>
      <c r="N631" s="724">
        <f ca="1">IF(OR(E631="",E631&gt;TODAY()),0,IF(ISERROR(VLOOKUP($E631,'TRM BanRep'!$A:$G,7,0)),0,VLOOKUP($E631,'TRM BanRep'!$A:$G,7,0)))</f>
        <v>4603</v>
      </c>
      <c r="O631" s="725">
        <f t="shared" ca="1" si="1822"/>
        <v>39586292521</v>
      </c>
      <c r="P631" s="202"/>
      <c r="Q631" s="1345"/>
      <c r="R631" s="726"/>
      <c r="S631" s="726">
        <f ca="1">IF(OR(E631="",E631&gt;TODAY()),0,IF(ISERROR(VLOOKUP($E631,'TRM BanRep'!$A:$G,7,0)),0,VLOOKUP($E631,'TRM BanRep'!$A:$G,7,0)))</f>
        <v>4603</v>
      </c>
      <c r="T631" s="727">
        <f ca="1">+P631*S631</f>
        <v>0</v>
      </c>
      <c r="U631" s="1121">
        <f>+L631+P631+F631</f>
        <v>8600107</v>
      </c>
      <c r="V631" s="560">
        <f ca="1">+P631*R631+L631*N631+F631*H631</f>
        <v>39586292521</v>
      </c>
      <c r="W631" s="203">
        <f ca="1">IF((-P631*R631)-(-P631*S631)&gt;0,(-P631*R631)-(-P631*S631),0)</f>
        <v>0</v>
      </c>
      <c r="X631" s="728">
        <f ca="1">IF((-P631*R631)-(-P631*S631)&lt;0,(-P631*R631)-(-P631*S631),0)</f>
        <v>0</v>
      </c>
      <c r="Y631" s="729"/>
      <c r="Z631" s="1055"/>
      <c r="AA631" s="2329">
        <f t="shared" si="1828"/>
        <v>0</v>
      </c>
      <c r="AB631" s="2158">
        <f t="shared" si="1828"/>
        <v>0</v>
      </c>
      <c r="AC631" s="2158">
        <f t="shared" si="1828"/>
        <v>0</v>
      </c>
      <c r="AD631" s="2158">
        <f t="shared" si="1828"/>
        <v>0</v>
      </c>
      <c r="AE631" s="2158">
        <f t="shared" si="1828"/>
        <v>0</v>
      </c>
      <c r="AF631" s="2120">
        <f t="shared" si="1828"/>
        <v>0</v>
      </c>
      <c r="AG631" s="2120">
        <f t="shared" si="1828"/>
        <v>0</v>
      </c>
      <c r="AH631" s="2120">
        <f t="shared" si="1828"/>
        <v>0</v>
      </c>
      <c r="AI631" s="2120">
        <f t="shared" si="1828"/>
        <v>0</v>
      </c>
      <c r="AJ631" s="2120">
        <f t="shared" si="1828"/>
        <v>0</v>
      </c>
      <c r="AK631" s="2120">
        <f t="shared" si="1828"/>
        <v>0</v>
      </c>
      <c r="AL631" s="2314">
        <f t="shared" si="1828"/>
        <v>0</v>
      </c>
      <c r="AM631" s="2120">
        <f t="shared" si="1828"/>
        <v>0</v>
      </c>
      <c r="AN631" s="2120">
        <f t="shared" si="1828"/>
        <v>0</v>
      </c>
      <c r="AO631" s="2120">
        <f t="shared" si="1828"/>
        <v>0</v>
      </c>
      <c r="AP631" s="2120">
        <f t="shared" si="1828"/>
        <v>0</v>
      </c>
      <c r="AQ631" s="2120">
        <f t="shared" si="1829"/>
        <v>0</v>
      </c>
      <c r="AR631" s="2120">
        <f t="shared" si="1829"/>
        <v>0</v>
      </c>
      <c r="AS631" s="2120">
        <f t="shared" si="1829"/>
        <v>0</v>
      </c>
      <c r="AT631" s="2120">
        <f t="shared" si="1829"/>
        <v>0</v>
      </c>
      <c r="AU631" s="2120">
        <f t="shared" si="1829"/>
        <v>0</v>
      </c>
      <c r="AV631" s="2120">
        <f t="shared" si="1829"/>
        <v>0</v>
      </c>
      <c r="AW631" s="2120">
        <f t="shared" si="1829"/>
        <v>0</v>
      </c>
      <c r="AX631" s="2120">
        <f t="shared" si="1829"/>
        <v>0</v>
      </c>
      <c r="AY631" s="2120">
        <f t="shared" si="1829"/>
        <v>0</v>
      </c>
      <c r="AZ631" s="2120">
        <f t="shared" si="1829"/>
        <v>0</v>
      </c>
      <c r="BA631" s="2120">
        <f t="shared" si="1829"/>
        <v>8600107</v>
      </c>
      <c r="BB631" s="2120">
        <f t="shared" si="1829"/>
        <v>0</v>
      </c>
      <c r="BC631" s="2120">
        <f t="shared" si="1829"/>
        <v>0</v>
      </c>
      <c r="BD631" s="2120">
        <f t="shared" si="1829"/>
        <v>0</v>
      </c>
      <c r="BE631" s="2120">
        <f t="shared" si="1829"/>
        <v>0</v>
      </c>
      <c r="BF631" s="2120">
        <f t="shared" si="1829"/>
        <v>0</v>
      </c>
      <c r="BG631" s="2120">
        <f t="shared" si="1830"/>
        <v>0</v>
      </c>
      <c r="BH631" s="2120">
        <f t="shared" si="1830"/>
        <v>0</v>
      </c>
      <c r="BI631" s="2120">
        <f t="shared" si="1830"/>
        <v>0</v>
      </c>
      <c r="BJ631" s="2120">
        <f t="shared" si="1830"/>
        <v>0</v>
      </c>
      <c r="BK631" s="2120">
        <f t="shared" si="1830"/>
        <v>0</v>
      </c>
      <c r="BL631" s="2120">
        <f t="shared" si="1830"/>
        <v>0</v>
      </c>
      <c r="BM631" s="2120">
        <f t="shared" si="1830"/>
        <v>0</v>
      </c>
      <c r="BN631" s="2120">
        <f t="shared" si="1830"/>
        <v>0</v>
      </c>
      <c r="BO631" s="2120">
        <f t="shared" si="1830"/>
        <v>0</v>
      </c>
      <c r="BP631" s="2120">
        <f t="shared" si="1830"/>
        <v>0</v>
      </c>
      <c r="BQ631" s="2120">
        <f t="shared" si="1830"/>
        <v>0</v>
      </c>
      <c r="BR631" s="2120">
        <f t="shared" si="1830"/>
        <v>0</v>
      </c>
      <c r="BS631" s="2120">
        <f t="shared" si="1830"/>
        <v>0</v>
      </c>
      <c r="BT631" s="2120">
        <f t="shared" si="1830"/>
        <v>0</v>
      </c>
      <c r="BU631" s="2120">
        <f t="shared" si="1830"/>
        <v>0</v>
      </c>
      <c r="BV631" s="2120">
        <f t="shared" si="1830"/>
        <v>0</v>
      </c>
      <c r="BW631" s="2120">
        <f t="shared" si="1831"/>
        <v>0</v>
      </c>
      <c r="BX631" s="2120">
        <f t="shared" si="1831"/>
        <v>0</v>
      </c>
      <c r="BY631" s="2120">
        <f t="shared" si="1831"/>
        <v>0</v>
      </c>
      <c r="BZ631" s="2120">
        <f t="shared" si="1831"/>
        <v>0</v>
      </c>
      <c r="CA631" s="2120">
        <f t="shared" si="1831"/>
        <v>0</v>
      </c>
      <c r="CB631" s="2120">
        <f t="shared" si="1831"/>
        <v>0</v>
      </c>
      <c r="CC631" s="2120">
        <f t="shared" si="1831"/>
        <v>0</v>
      </c>
      <c r="CD631" s="2120">
        <f t="shared" si="1831"/>
        <v>0</v>
      </c>
      <c r="CE631" s="2120">
        <f t="shared" si="1831"/>
        <v>0</v>
      </c>
      <c r="CF631" s="2120">
        <f t="shared" si="1831"/>
        <v>0</v>
      </c>
      <c r="CG631" s="2120">
        <f t="shared" si="1831"/>
        <v>0</v>
      </c>
      <c r="CH631" s="2120">
        <f t="shared" si="1831"/>
        <v>0</v>
      </c>
      <c r="CI631" s="2120">
        <f t="shared" si="1831"/>
        <v>0</v>
      </c>
      <c r="CJ631" s="2120">
        <f t="shared" si="1831"/>
        <v>0</v>
      </c>
      <c r="CK631" s="2120">
        <f t="shared" si="1831"/>
        <v>0</v>
      </c>
      <c r="CL631" s="2120">
        <f t="shared" si="1831"/>
        <v>0</v>
      </c>
      <c r="CM631" s="2120">
        <f t="shared" si="1832"/>
        <v>0</v>
      </c>
      <c r="CN631" s="2120">
        <f t="shared" si="1832"/>
        <v>0</v>
      </c>
      <c r="CO631" s="2120">
        <f t="shared" si="1832"/>
        <v>0</v>
      </c>
      <c r="CP631" s="2120">
        <f t="shared" si="1832"/>
        <v>0</v>
      </c>
      <c r="CQ631" s="2120">
        <f t="shared" si="1832"/>
        <v>0</v>
      </c>
      <c r="CR631" s="2120">
        <f t="shared" si="1832"/>
        <v>0</v>
      </c>
      <c r="CS631" s="2120">
        <f t="shared" si="1832"/>
        <v>0</v>
      </c>
      <c r="CT631" s="2120">
        <f t="shared" si="1832"/>
        <v>0</v>
      </c>
      <c r="CU631" s="2120">
        <f t="shared" si="1832"/>
        <v>0</v>
      </c>
      <c r="CV631" s="2120">
        <f t="shared" si="1832"/>
        <v>0</v>
      </c>
      <c r="CW631" s="2120">
        <f t="shared" si="1832"/>
        <v>0</v>
      </c>
      <c r="CX631" s="2120">
        <f t="shared" si="1832"/>
        <v>0</v>
      </c>
      <c r="CY631" s="2120">
        <f t="shared" si="1832"/>
        <v>0</v>
      </c>
      <c r="CZ631" s="2120">
        <f t="shared" si="1832"/>
        <v>0</v>
      </c>
      <c r="DA631" s="2120">
        <f t="shared" si="1832"/>
        <v>0</v>
      </c>
      <c r="DB631" s="2120">
        <f t="shared" si="1832"/>
        <v>0</v>
      </c>
      <c r="DC631" s="2120">
        <f t="shared" si="1833"/>
        <v>0</v>
      </c>
      <c r="DD631" s="2120">
        <f t="shared" si="1833"/>
        <v>0</v>
      </c>
      <c r="DE631" s="2120">
        <f t="shared" si="1833"/>
        <v>0</v>
      </c>
      <c r="DF631" s="2120">
        <f t="shared" si="1833"/>
        <v>0</v>
      </c>
      <c r="DG631" s="2120">
        <f t="shared" si="1833"/>
        <v>0</v>
      </c>
      <c r="DH631" s="2120">
        <f t="shared" si="1833"/>
        <v>0</v>
      </c>
      <c r="DI631" s="2120">
        <f t="shared" si="1833"/>
        <v>0</v>
      </c>
      <c r="DJ631" s="2120">
        <f t="shared" si="1833"/>
        <v>0</v>
      </c>
      <c r="DK631" s="2120">
        <f t="shared" si="1833"/>
        <v>0</v>
      </c>
      <c r="DL631" s="2120">
        <f t="shared" si="1833"/>
        <v>0</v>
      </c>
      <c r="DM631" s="2120">
        <f t="shared" si="1833"/>
        <v>0</v>
      </c>
      <c r="DN631" s="2120">
        <f t="shared" si="1833"/>
        <v>0</v>
      </c>
      <c r="DO631" s="2120">
        <f t="shared" si="1833"/>
        <v>0</v>
      </c>
      <c r="DP631" s="2120">
        <f t="shared" si="1833"/>
        <v>0</v>
      </c>
    </row>
    <row r="632" spans="1:120" s="86" customFormat="1" outlineLevel="1">
      <c r="A632" s="200">
        <v>1110052090</v>
      </c>
      <c r="B632" s="87" t="s">
        <v>1477</v>
      </c>
      <c r="C632" s="88" t="s">
        <v>64</v>
      </c>
      <c r="D632" s="1557"/>
      <c r="E632" s="1558">
        <v>45033</v>
      </c>
      <c r="F632" s="201"/>
      <c r="G632" s="1270"/>
      <c r="H632" s="722"/>
      <c r="I632" s="723"/>
      <c r="J632" s="1425">
        <v>1</v>
      </c>
      <c r="K632" s="1426">
        <v>1</v>
      </c>
      <c r="L632" s="2014"/>
      <c r="M632" s="2015">
        <f>+L632*J632</f>
        <v>0</v>
      </c>
      <c r="N632" s="724">
        <f ca="1">IF(OR(E632="",E632&gt;TODAY()),0,IF(ISERROR(VLOOKUP($E632,'TRM BanRep'!$A:$G,7,0)),0,VLOOKUP($E632,'TRM BanRep'!$A:$G,7,0)))</f>
        <v>4425.2700000000004</v>
      </c>
      <c r="O632" s="725">
        <f t="shared" ca="1" si="1822"/>
        <v>0</v>
      </c>
      <c r="P632" s="202">
        <v>-37.5</v>
      </c>
      <c r="Q632" s="1345">
        <f t="shared" ref="Q632" si="1834">+P632*K632</f>
        <v>-37.5</v>
      </c>
      <c r="R632" s="726">
        <v>4658.79</v>
      </c>
      <c r="S632" s="726">
        <f ca="1">IF(OR(E632="",E632&gt;TODAY()),0,IF(ISERROR(VLOOKUP($E632,'TRM BanRep'!$A:$G,7,0)),0,VLOOKUP($E632,'TRM BanRep'!$A:$G,7,0)))</f>
        <v>4425.2700000000004</v>
      </c>
      <c r="T632" s="727">
        <f ca="1">+P632*S632</f>
        <v>-165947.62500000003</v>
      </c>
      <c r="U632" s="1121">
        <f>+L632+P632+F632</f>
        <v>-37.5</v>
      </c>
      <c r="V632" s="560">
        <f ca="1">+P632*R632+L632*N632+F632*H632</f>
        <v>-174704.625</v>
      </c>
      <c r="W632" s="203">
        <f ca="1">IF((-P632*R632)-(-P632*S632)&gt;0,(-P632*R632)-(-P632*S632),0)</f>
        <v>8756.9999999999709</v>
      </c>
      <c r="X632" s="728">
        <f ca="1">IF((-P632*R632)-(-P632*S632)&lt;0,(-P632*R632)-(-P632*S632),0)</f>
        <v>0</v>
      </c>
      <c r="Y632" s="729"/>
      <c r="Z632" s="1055"/>
      <c r="AA632" s="2329">
        <f t="shared" ca="1" si="1828"/>
        <v>0</v>
      </c>
      <c r="AB632" s="2158">
        <f t="shared" ca="1" si="1828"/>
        <v>0</v>
      </c>
      <c r="AC632" s="2158">
        <f t="shared" ca="1" si="1828"/>
        <v>0</v>
      </c>
      <c r="AD632" s="2158">
        <f t="shared" ca="1" si="1828"/>
        <v>0</v>
      </c>
      <c r="AE632" s="2158">
        <f t="shared" ca="1" si="1828"/>
        <v>0</v>
      </c>
      <c r="AF632" s="2120">
        <f t="shared" ca="1" si="1828"/>
        <v>0</v>
      </c>
      <c r="AG632" s="2120">
        <f t="shared" ca="1" si="1828"/>
        <v>0</v>
      </c>
      <c r="AH632" s="2120">
        <f t="shared" ca="1" si="1828"/>
        <v>0</v>
      </c>
      <c r="AI632" s="2120">
        <f t="shared" ca="1" si="1828"/>
        <v>0</v>
      </c>
      <c r="AJ632" s="2120">
        <f t="shared" ca="1" si="1828"/>
        <v>0</v>
      </c>
      <c r="AK632" s="2120">
        <f t="shared" ca="1" si="1828"/>
        <v>0</v>
      </c>
      <c r="AL632" s="2314">
        <f t="shared" ca="1" si="1828"/>
        <v>0</v>
      </c>
      <c r="AM632" s="2120">
        <f t="shared" ca="1" si="1828"/>
        <v>0</v>
      </c>
      <c r="AN632" s="2120">
        <f t="shared" ca="1" si="1828"/>
        <v>0</v>
      </c>
      <c r="AO632" s="2120">
        <f t="shared" ca="1" si="1828"/>
        <v>0</v>
      </c>
      <c r="AP632" s="2120">
        <f t="shared" ca="1" si="1828"/>
        <v>0</v>
      </c>
      <c r="AQ632" s="2120">
        <f t="shared" ca="1" si="1829"/>
        <v>0</v>
      </c>
      <c r="AR632" s="2120">
        <f t="shared" ca="1" si="1829"/>
        <v>0</v>
      </c>
      <c r="AS632" s="2120">
        <f t="shared" ca="1" si="1829"/>
        <v>0</v>
      </c>
      <c r="AT632" s="2120">
        <f t="shared" ca="1" si="1829"/>
        <v>0</v>
      </c>
      <c r="AU632" s="2120">
        <f t="shared" ca="1" si="1829"/>
        <v>0</v>
      </c>
      <c r="AV632" s="2120">
        <f t="shared" ca="1" si="1829"/>
        <v>0</v>
      </c>
      <c r="AW632" s="2120">
        <f t="shared" ca="1" si="1829"/>
        <v>-37.5</v>
      </c>
      <c r="AX632" s="2120">
        <f t="shared" ca="1" si="1829"/>
        <v>0</v>
      </c>
      <c r="AY632" s="2120">
        <f t="shared" ca="1" si="1829"/>
        <v>0</v>
      </c>
      <c r="AZ632" s="2120">
        <f t="shared" ca="1" si="1829"/>
        <v>0</v>
      </c>
      <c r="BA632" s="2120">
        <f t="shared" ca="1" si="1829"/>
        <v>0</v>
      </c>
      <c r="BB632" s="2120">
        <f t="shared" ca="1" si="1829"/>
        <v>0</v>
      </c>
      <c r="BC632" s="2120">
        <f t="shared" ca="1" si="1829"/>
        <v>0</v>
      </c>
      <c r="BD632" s="2120">
        <f t="shared" ca="1" si="1829"/>
        <v>0</v>
      </c>
      <c r="BE632" s="2120">
        <f t="shared" ca="1" si="1829"/>
        <v>0</v>
      </c>
      <c r="BF632" s="2120">
        <f t="shared" ca="1" si="1829"/>
        <v>0</v>
      </c>
      <c r="BG632" s="2120">
        <f t="shared" ca="1" si="1830"/>
        <v>0</v>
      </c>
      <c r="BH632" s="2120">
        <f t="shared" ca="1" si="1830"/>
        <v>0</v>
      </c>
      <c r="BI632" s="2120">
        <f t="shared" ca="1" si="1830"/>
        <v>0</v>
      </c>
      <c r="BJ632" s="2120">
        <f t="shared" ca="1" si="1830"/>
        <v>0</v>
      </c>
      <c r="BK632" s="2120">
        <f t="shared" ca="1" si="1830"/>
        <v>0</v>
      </c>
      <c r="BL632" s="2120">
        <f t="shared" ca="1" si="1830"/>
        <v>0</v>
      </c>
      <c r="BM632" s="2120">
        <f t="shared" ca="1" si="1830"/>
        <v>0</v>
      </c>
      <c r="BN632" s="2120">
        <f t="shared" ca="1" si="1830"/>
        <v>0</v>
      </c>
      <c r="BO632" s="2120">
        <f t="shared" ca="1" si="1830"/>
        <v>0</v>
      </c>
      <c r="BP632" s="2120">
        <f t="shared" ca="1" si="1830"/>
        <v>0</v>
      </c>
      <c r="BQ632" s="2120">
        <f t="shared" ca="1" si="1830"/>
        <v>0</v>
      </c>
      <c r="BR632" s="2120">
        <f t="shared" ca="1" si="1830"/>
        <v>0</v>
      </c>
      <c r="BS632" s="2120">
        <f t="shared" ca="1" si="1830"/>
        <v>0</v>
      </c>
      <c r="BT632" s="2120">
        <f t="shared" ca="1" si="1830"/>
        <v>0</v>
      </c>
      <c r="BU632" s="2120">
        <f t="shared" ca="1" si="1830"/>
        <v>0</v>
      </c>
      <c r="BV632" s="2120">
        <f t="shared" ca="1" si="1830"/>
        <v>0</v>
      </c>
      <c r="BW632" s="2120">
        <f t="shared" ca="1" si="1831"/>
        <v>0</v>
      </c>
      <c r="BX632" s="2120">
        <f t="shared" ca="1" si="1831"/>
        <v>0</v>
      </c>
      <c r="BY632" s="2120">
        <f t="shared" ca="1" si="1831"/>
        <v>0</v>
      </c>
      <c r="BZ632" s="2120">
        <f t="shared" ca="1" si="1831"/>
        <v>0</v>
      </c>
      <c r="CA632" s="2120">
        <f t="shared" ca="1" si="1831"/>
        <v>0</v>
      </c>
      <c r="CB632" s="2120">
        <f t="shared" ca="1" si="1831"/>
        <v>0</v>
      </c>
      <c r="CC632" s="2120">
        <f t="shared" ca="1" si="1831"/>
        <v>0</v>
      </c>
      <c r="CD632" s="2120">
        <f t="shared" ca="1" si="1831"/>
        <v>0</v>
      </c>
      <c r="CE632" s="2120">
        <f t="shared" ca="1" si="1831"/>
        <v>0</v>
      </c>
      <c r="CF632" s="2120">
        <f t="shared" ca="1" si="1831"/>
        <v>0</v>
      </c>
      <c r="CG632" s="2120">
        <f t="shared" ca="1" si="1831"/>
        <v>0</v>
      </c>
      <c r="CH632" s="2120">
        <f t="shared" ca="1" si="1831"/>
        <v>0</v>
      </c>
      <c r="CI632" s="2120">
        <f t="shared" ca="1" si="1831"/>
        <v>0</v>
      </c>
      <c r="CJ632" s="2120">
        <f t="shared" ca="1" si="1831"/>
        <v>0</v>
      </c>
      <c r="CK632" s="2120">
        <f t="shared" ca="1" si="1831"/>
        <v>0</v>
      </c>
      <c r="CL632" s="2120">
        <f t="shared" ca="1" si="1831"/>
        <v>0</v>
      </c>
      <c r="CM632" s="2120">
        <f t="shared" ca="1" si="1832"/>
        <v>0</v>
      </c>
      <c r="CN632" s="2120">
        <f t="shared" ca="1" si="1832"/>
        <v>0</v>
      </c>
      <c r="CO632" s="2120">
        <f t="shared" ca="1" si="1832"/>
        <v>0</v>
      </c>
      <c r="CP632" s="2120">
        <f t="shared" ca="1" si="1832"/>
        <v>0</v>
      </c>
      <c r="CQ632" s="2120">
        <f t="shared" ca="1" si="1832"/>
        <v>0</v>
      </c>
      <c r="CR632" s="2120">
        <f t="shared" ca="1" si="1832"/>
        <v>0</v>
      </c>
      <c r="CS632" s="2120">
        <f t="shared" ca="1" si="1832"/>
        <v>0</v>
      </c>
      <c r="CT632" s="2120">
        <f t="shared" ca="1" si="1832"/>
        <v>0</v>
      </c>
      <c r="CU632" s="2120">
        <f t="shared" ca="1" si="1832"/>
        <v>0</v>
      </c>
      <c r="CV632" s="2120">
        <f t="shared" ca="1" si="1832"/>
        <v>0</v>
      </c>
      <c r="CW632" s="2120">
        <f t="shared" ca="1" si="1832"/>
        <v>0</v>
      </c>
      <c r="CX632" s="2120">
        <f t="shared" ca="1" si="1832"/>
        <v>0</v>
      </c>
      <c r="CY632" s="2120">
        <f t="shared" ca="1" si="1832"/>
        <v>0</v>
      </c>
      <c r="CZ632" s="2120">
        <f t="shared" ca="1" si="1832"/>
        <v>0</v>
      </c>
      <c r="DA632" s="2120">
        <f t="shared" ca="1" si="1832"/>
        <v>0</v>
      </c>
      <c r="DB632" s="2120">
        <f t="shared" ca="1" si="1832"/>
        <v>0</v>
      </c>
      <c r="DC632" s="2120">
        <f t="shared" ca="1" si="1833"/>
        <v>0</v>
      </c>
      <c r="DD632" s="2120">
        <f t="shared" ca="1" si="1833"/>
        <v>0</v>
      </c>
      <c r="DE632" s="2120">
        <f t="shared" ca="1" si="1833"/>
        <v>0</v>
      </c>
      <c r="DF632" s="2120">
        <f t="shared" ca="1" si="1833"/>
        <v>0</v>
      </c>
      <c r="DG632" s="2120">
        <f t="shared" ca="1" si="1833"/>
        <v>0</v>
      </c>
      <c r="DH632" s="2120">
        <f t="shared" ca="1" si="1833"/>
        <v>0</v>
      </c>
      <c r="DI632" s="2120">
        <f t="shared" ca="1" si="1833"/>
        <v>0</v>
      </c>
      <c r="DJ632" s="2120">
        <f t="shared" ca="1" si="1833"/>
        <v>0</v>
      </c>
      <c r="DK632" s="2120">
        <f t="shared" ca="1" si="1833"/>
        <v>0</v>
      </c>
      <c r="DL632" s="2120">
        <f t="shared" ca="1" si="1833"/>
        <v>0</v>
      </c>
      <c r="DM632" s="2120">
        <f t="shared" ca="1" si="1833"/>
        <v>0</v>
      </c>
      <c r="DN632" s="2120">
        <f t="shared" ca="1" si="1833"/>
        <v>0</v>
      </c>
      <c r="DO632" s="2120">
        <f t="shared" ca="1" si="1833"/>
        <v>0</v>
      </c>
      <c r="DP632" s="2120">
        <f t="shared" ca="1" si="1833"/>
        <v>0</v>
      </c>
    </row>
    <row r="633" spans="1:120" s="86" customFormat="1" outlineLevel="1">
      <c r="A633" s="200">
        <v>1110052090</v>
      </c>
      <c r="B633" s="87" t="s">
        <v>2530</v>
      </c>
      <c r="C633" s="88" t="s">
        <v>64</v>
      </c>
      <c r="D633" s="1557"/>
      <c r="E633" s="1558">
        <v>45042</v>
      </c>
      <c r="F633" s="201"/>
      <c r="G633" s="1270"/>
      <c r="H633" s="722"/>
      <c r="I633" s="723"/>
      <c r="J633" s="1425">
        <v>1</v>
      </c>
      <c r="K633" s="1426">
        <v>1</v>
      </c>
      <c r="L633" s="2014">
        <v>4271828.5199999996</v>
      </c>
      <c r="M633" s="2015">
        <f>+L633*J633</f>
        <v>4271828.5199999996</v>
      </c>
      <c r="N633" s="724">
        <f ca="1">IF(OR(E633="",E633&gt;TODAY()),0,IF(ISERROR(VLOOKUP($E633,'TRM BanRep'!$A:$G,7,0)),0,VLOOKUP($E633,'TRM BanRep'!$A:$G,7,0)))</f>
        <v>4486.6000000000004</v>
      </c>
      <c r="O633" s="725">
        <f t="shared" ca="1" si="1822"/>
        <v>19165985837.832001</v>
      </c>
      <c r="P633" s="202"/>
      <c r="Q633" s="1345"/>
      <c r="R633" s="726"/>
      <c r="S633" s="726">
        <f ca="1">IF(OR(E633="",E633&gt;TODAY()),0,IF(ISERROR(VLOOKUP($E633,'TRM BanRep'!$A:$G,7,0)),0,VLOOKUP($E633,'TRM BanRep'!$A:$G,7,0)))</f>
        <v>4486.6000000000004</v>
      </c>
      <c r="T633" s="727">
        <f ca="1">+P633*S633</f>
        <v>0</v>
      </c>
      <c r="U633" s="1121">
        <f>+L633+P633+F633</f>
        <v>4271828.5199999996</v>
      </c>
      <c r="V633" s="560">
        <f ca="1">+P633*R633+L633*N633+F633*H633</f>
        <v>19165985837.832001</v>
      </c>
      <c r="W633" s="203">
        <f ca="1">IF((-P633*R633)-(-P633*S633)&gt;0,(-P633*R633)-(-P633*S633),0)</f>
        <v>0</v>
      </c>
      <c r="X633" s="728">
        <f ca="1">IF((-P633*R633)-(-P633*S633)&lt;0,(-P633*R633)-(-P633*S633),0)</f>
        <v>0</v>
      </c>
      <c r="Y633" s="729"/>
      <c r="Z633" s="1055"/>
      <c r="AA633" s="2329">
        <f t="shared" si="1828"/>
        <v>0</v>
      </c>
      <c r="AB633" s="2158">
        <f t="shared" si="1828"/>
        <v>0</v>
      </c>
      <c r="AC633" s="2158">
        <f t="shared" si="1828"/>
        <v>0</v>
      </c>
      <c r="AD633" s="2158">
        <f t="shared" si="1828"/>
        <v>0</v>
      </c>
      <c r="AE633" s="2158">
        <f t="shared" si="1828"/>
        <v>0</v>
      </c>
      <c r="AF633" s="2120">
        <f t="shared" si="1828"/>
        <v>0</v>
      </c>
      <c r="AG633" s="2120">
        <f t="shared" si="1828"/>
        <v>0</v>
      </c>
      <c r="AH633" s="2120">
        <f t="shared" si="1828"/>
        <v>0</v>
      </c>
      <c r="AI633" s="2120">
        <f t="shared" si="1828"/>
        <v>0</v>
      </c>
      <c r="AJ633" s="2120">
        <f t="shared" si="1828"/>
        <v>0</v>
      </c>
      <c r="AK633" s="2120">
        <f t="shared" si="1828"/>
        <v>0</v>
      </c>
      <c r="AL633" s="2314">
        <f t="shared" si="1828"/>
        <v>0</v>
      </c>
      <c r="AM633" s="2120">
        <f t="shared" si="1828"/>
        <v>0</v>
      </c>
      <c r="AN633" s="2120">
        <f t="shared" si="1828"/>
        <v>0</v>
      </c>
      <c r="AO633" s="2120">
        <f t="shared" si="1828"/>
        <v>0</v>
      </c>
      <c r="AP633" s="2120">
        <f t="shared" si="1828"/>
        <v>0</v>
      </c>
      <c r="AQ633" s="2120">
        <f t="shared" si="1829"/>
        <v>0</v>
      </c>
      <c r="AR633" s="2120">
        <f t="shared" si="1829"/>
        <v>0</v>
      </c>
      <c r="AS633" s="2120">
        <f t="shared" si="1829"/>
        <v>0</v>
      </c>
      <c r="AT633" s="2120">
        <f t="shared" si="1829"/>
        <v>0</v>
      </c>
      <c r="AU633" s="2120">
        <f t="shared" si="1829"/>
        <v>0</v>
      </c>
      <c r="AV633" s="2120">
        <f t="shared" si="1829"/>
        <v>0</v>
      </c>
      <c r="AW633" s="2120">
        <f t="shared" si="1829"/>
        <v>0</v>
      </c>
      <c r="AX633" s="2120">
        <f t="shared" si="1829"/>
        <v>0</v>
      </c>
      <c r="AY633" s="2120">
        <f t="shared" si="1829"/>
        <v>0</v>
      </c>
      <c r="AZ633" s="2120">
        <f t="shared" si="1829"/>
        <v>0</v>
      </c>
      <c r="BA633" s="2120">
        <f t="shared" si="1829"/>
        <v>0</v>
      </c>
      <c r="BB633" s="2120">
        <f t="shared" si="1829"/>
        <v>4271828.5199999996</v>
      </c>
      <c r="BC633" s="2120">
        <f t="shared" si="1829"/>
        <v>0</v>
      </c>
      <c r="BD633" s="2120">
        <f t="shared" si="1829"/>
        <v>0</v>
      </c>
      <c r="BE633" s="2120">
        <f t="shared" si="1829"/>
        <v>0</v>
      </c>
      <c r="BF633" s="2120">
        <f t="shared" si="1829"/>
        <v>0</v>
      </c>
      <c r="BG633" s="2120">
        <f t="shared" si="1830"/>
        <v>0</v>
      </c>
      <c r="BH633" s="2120">
        <f t="shared" si="1830"/>
        <v>0</v>
      </c>
      <c r="BI633" s="2120">
        <f t="shared" si="1830"/>
        <v>0</v>
      </c>
      <c r="BJ633" s="2120">
        <f t="shared" si="1830"/>
        <v>0</v>
      </c>
      <c r="BK633" s="2120">
        <f t="shared" si="1830"/>
        <v>0</v>
      </c>
      <c r="BL633" s="2120">
        <f t="shared" si="1830"/>
        <v>0</v>
      </c>
      <c r="BM633" s="2120">
        <f t="shared" si="1830"/>
        <v>0</v>
      </c>
      <c r="BN633" s="2120">
        <f t="shared" si="1830"/>
        <v>0</v>
      </c>
      <c r="BO633" s="2120">
        <f t="shared" si="1830"/>
        <v>0</v>
      </c>
      <c r="BP633" s="2120">
        <f t="shared" si="1830"/>
        <v>0</v>
      </c>
      <c r="BQ633" s="2120">
        <f t="shared" si="1830"/>
        <v>0</v>
      </c>
      <c r="BR633" s="2120">
        <f t="shared" si="1830"/>
        <v>0</v>
      </c>
      <c r="BS633" s="2120">
        <f t="shared" si="1830"/>
        <v>0</v>
      </c>
      <c r="BT633" s="2120">
        <f t="shared" si="1830"/>
        <v>0</v>
      </c>
      <c r="BU633" s="2120">
        <f t="shared" si="1830"/>
        <v>0</v>
      </c>
      <c r="BV633" s="2120">
        <f t="shared" si="1830"/>
        <v>0</v>
      </c>
      <c r="BW633" s="2120">
        <f t="shared" si="1831"/>
        <v>0</v>
      </c>
      <c r="BX633" s="2120">
        <f t="shared" si="1831"/>
        <v>0</v>
      </c>
      <c r="BY633" s="2120">
        <f t="shared" si="1831"/>
        <v>0</v>
      </c>
      <c r="BZ633" s="2120">
        <f t="shared" si="1831"/>
        <v>0</v>
      </c>
      <c r="CA633" s="2120">
        <f t="shared" si="1831"/>
        <v>0</v>
      </c>
      <c r="CB633" s="2120">
        <f t="shared" si="1831"/>
        <v>0</v>
      </c>
      <c r="CC633" s="2120">
        <f t="shared" si="1831"/>
        <v>0</v>
      </c>
      <c r="CD633" s="2120">
        <f t="shared" si="1831"/>
        <v>0</v>
      </c>
      <c r="CE633" s="2120">
        <f t="shared" si="1831"/>
        <v>0</v>
      </c>
      <c r="CF633" s="2120">
        <f t="shared" si="1831"/>
        <v>0</v>
      </c>
      <c r="CG633" s="2120">
        <f t="shared" si="1831"/>
        <v>0</v>
      </c>
      <c r="CH633" s="2120">
        <f t="shared" si="1831"/>
        <v>0</v>
      </c>
      <c r="CI633" s="2120">
        <f t="shared" si="1831"/>
        <v>0</v>
      </c>
      <c r="CJ633" s="2120">
        <f t="shared" si="1831"/>
        <v>0</v>
      </c>
      <c r="CK633" s="2120">
        <f t="shared" si="1831"/>
        <v>0</v>
      </c>
      <c r="CL633" s="2120">
        <f t="shared" si="1831"/>
        <v>0</v>
      </c>
      <c r="CM633" s="2120">
        <f t="shared" si="1832"/>
        <v>0</v>
      </c>
      <c r="CN633" s="2120">
        <f t="shared" si="1832"/>
        <v>0</v>
      </c>
      <c r="CO633" s="2120">
        <f t="shared" si="1832"/>
        <v>0</v>
      </c>
      <c r="CP633" s="2120">
        <f t="shared" si="1832"/>
        <v>0</v>
      </c>
      <c r="CQ633" s="2120">
        <f t="shared" si="1832"/>
        <v>0</v>
      </c>
      <c r="CR633" s="2120">
        <f t="shared" si="1832"/>
        <v>0</v>
      </c>
      <c r="CS633" s="2120">
        <f t="shared" si="1832"/>
        <v>0</v>
      </c>
      <c r="CT633" s="2120">
        <f t="shared" si="1832"/>
        <v>0</v>
      </c>
      <c r="CU633" s="2120">
        <f t="shared" si="1832"/>
        <v>0</v>
      </c>
      <c r="CV633" s="2120">
        <f t="shared" si="1832"/>
        <v>0</v>
      </c>
      <c r="CW633" s="2120">
        <f t="shared" si="1832"/>
        <v>0</v>
      </c>
      <c r="CX633" s="2120">
        <f t="shared" si="1832"/>
        <v>0</v>
      </c>
      <c r="CY633" s="2120">
        <f t="shared" si="1832"/>
        <v>0</v>
      </c>
      <c r="CZ633" s="2120">
        <f t="shared" si="1832"/>
        <v>0</v>
      </c>
      <c r="DA633" s="2120">
        <f t="shared" si="1832"/>
        <v>0</v>
      </c>
      <c r="DB633" s="2120">
        <f t="shared" si="1832"/>
        <v>0</v>
      </c>
      <c r="DC633" s="2120">
        <f t="shared" si="1833"/>
        <v>0</v>
      </c>
      <c r="DD633" s="2120">
        <f t="shared" si="1833"/>
        <v>0</v>
      </c>
      <c r="DE633" s="2120">
        <f t="shared" si="1833"/>
        <v>0</v>
      </c>
      <c r="DF633" s="2120">
        <f t="shared" si="1833"/>
        <v>0</v>
      </c>
      <c r="DG633" s="2120">
        <f t="shared" si="1833"/>
        <v>0</v>
      </c>
      <c r="DH633" s="2120">
        <f t="shared" si="1833"/>
        <v>0</v>
      </c>
      <c r="DI633" s="2120">
        <f t="shared" si="1833"/>
        <v>0</v>
      </c>
      <c r="DJ633" s="2120">
        <f t="shared" si="1833"/>
        <v>0</v>
      </c>
      <c r="DK633" s="2120">
        <f t="shared" si="1833"/>
        <v>0</v>
      </c>
      <c r="DL633" s="2120">
        <f t="shared" si="1833"/>
        <v>0</v>
      </c>
      <c r="DM633" s="2120">
        <f t="shared" si="1833"/>
        <v>0</v>
      </c>
      <c r="DN633" s="2120">
        <f t="shared" si="1833"/>
        <v>0</v>
      </c>
      <c r="DO633" s="2120">
        <f t="shared" si="1833"/>
        <v>0</v>
      </c>
      <c r="DP633" s="2120">
        <f t="shared" si="1833"/>
        <v>0</v>
      </c>
    </row>
    <row r="634" spans="1:120" s="13" customFormat="1" outlineLevel="1">
      <c r="A634" s="1150">
        <v>1110052090</v>
      </c>
      <c r="B634" s="87" t="s">
        <v>2529</v>
      </c>
      <c r="C634" s="134" t="s">
        <v>64</v>
      </c>
      <c r="D634" s="1557"/>
      <c r="E634" s="1558">
        <v>45042</v>
      </c>
      <c r="F634" s="1151"/>
      <c r="G634" s="1271"/>
      <c r="H634" s="1152"/>
      <c r="I634" s="1153"/>
      <c r="J634" s="1425">
        <v>1</v>
      </c>
      <c r="K634" s="1426">
        <v>1</v>
      </c>
      <c r="L634" s="2014">
        <v>7546853</v>
      </c>
      <c r="M634" s="2015">
        <f t="shared" si="1821"/>
        <v>7546853</v>
      </c>
      <c r="N634" s="724">
        <f ca="1">IF(OR(E634="",E634&gt;TODAY()),0,IF(ISERROR(VLOOKUP($E634,'TRM BanRep'!$A:$G,7,0)),0,VLOOKUP($E634,'TRM BanRep'!$A:$G,7,0)))</f>
        <v>4486.6000000000004</v>
      </c>
      <c r="O634" s="1154">
        <f t="shared" ca="1" si="1822"/>
        <v>33859710669.800003</v>
      </c>
      <c r="P634" s="1155"/>
      <c r="Q634" s="1346"/>
      <c r="R634" s="1156"/>
      <c r="S634" s="1156">
        <f ca="1">IF(OR(E634="",E634&gt;TODAY()),0,IF(ISERROR(VLOOKUP($E634,'TRM BanRep'!$A:$G,7,0)),0,VLOOKUP($E634,'TRM BanRep'!$A:$G,7,0)))</f>
        <v>4486.6000000000004</v>
      </c>
      <c r="T634" s="1157">
        <f t="shared" ref="T634:T635" ca="1" si="1835">+P634*S634</f>
        <v>0</v>
      </c>
      <c r="U634" s="1158">
        <f t="shared" ref="U634:U635" si="1836">+L634+P634+F634</f>
        <v>7546853</v>
      </c>
      <c r="V634" s="1159">
        <f t="shared" ref="V634:V635" ca="1" si="1837">+P634*R634+L634*N634+F634*H634</f>
        <v>33859710669.800003</v>
      </c>
      <c r="W634" s="1160">
        <f t="shared" ref="W634:W635" ca="1" si="1838">IF((-P634*R634)-(-P634*S634)&gt;0,(-P634*R634)-(-P634*S634),0)</f>
        <v>0</v>
      </c>
      <c r="X634" s="1161">
        <f t="shared" ref="X634:X635" ca="1" si="1839">IF((-P634*R634)-(-P634*S634)&lt;0,(-P634*R634)-(-P634*S634),0)</f>
        <v>0</v>
      </c>
      <c r="Y634" s="1162"/>
      <c r="Z634" s="1058"/>
      <c r="AA634" s="2329">
        <f t="shared" si="1828"/>
        <v>0</v>
      </c>
      <c r="AB634" s="2158">
        <f t="shared" si="1828"/>
        <v>0</v>
      </c>
      <c r="AC634" s="2158">
        <f t="shared" si="1828"/>
        <v>0</v>
      </c>
      <c r="AD634" s="2158">
        <f t="shared" si="1828"/>
        <v>0</v>
      </c>
      <c r="AE634" s="2158">
        <f t="shared" si="1828"/>
        <v>0</v>
      </c>
      <c r="AF634" s="2120">
        <f t="shared" si="1828"/>
        <v>0</v>
      </c>
      <c r="AG634" s="2120">
        <f t="shared" si="1828"/>
        <v>0</v>
      </c>
      <c r="AH634" s="2120">
        <f t="shared" si="1828"/>
        <v>0</v>
      </c>
      <c r="AI634" s="2120">
        <f t="shared" si="1828"/>
        <v>0</v>
      </c>
      <c r="AJ634" s="2120">
        <f t="shared" si="1828"/>
        <v>0</v>
      </c>
      <c r="AK634" s="2120">
        <f t="shared" si="1828"/>
        <v>0</v>
      </c>
      <c r="AL634" s="2314">
        <f t="shared" si="1828"/>
        <v>0</v>
      </c>
      <c r="AM634" s="2120">
        <f t="shared" si="1828"/>
        <v>0</v>
      </c>
      <c r="AN634" s="2120">
        <f t="shared" si="1828"/>
        <v>0</v>
      </c>
      <c r="AO634" s="2120">
        <f t="shared" si="1828"/>
        <v>0</v>
      </c>
      <c r="AP634" s="2120">
        <f t="shared" si="1828"/>
        <v>0</v>
      </c>
      <c r="AQ634" s="2120">
        <f t="shared" si="1829"/>
        <v>0</v>
      </c>
      <c r="AR634" s="2120">
        <f t="shared" si="1829"/>
        <v>0</v>
      </c>
      <c r="AS634" s="2120">
        <f t="shared" si="1829"/>
        <v>0</v>
      </c>
      <c r="AT634" s="2120">
        <f t="shared" si="1829"/>
        <v>0</v>
      </c>
      <c r="AU634" s="2120">
        <f t="shared" si="1829"/>
        <v>0</v>
      </c>
      <c r="AV634" s="2120">
        <f t="shared" si="1829"/>
        <v>0</v>
      </c>
      <c r="AW634" s="2120">
        <f t="shared" si="1829"/>
        <v>0</v>
      </c>
      <c r="AX634" s="2120">
        <f t="shared" si="1829"/>
        <v>0</v>
      </c>
      <c r="AY634" s="2120">
        <f t="shared" si="1829"/>
        <v>0</v>
      </c>
      <c r="AZ634" s="2120">
        <f t="shared" si="1829"/>
        <v>0</v>
      </c>
      <c r="BA634" s="2120">
        <f t="shared" si="1829"/>
        <v>0</v>
      </c>
      <c r="BB634" s="2120">
        <f t="shared" si="1829"/>
        <v>7546853</v>
      </c>
      <c r="BC634" s="2120">
        <f t="shared" si="1829"/>
        <v>0</v>
      </c>
      <c r="BD634" s="2120">
        <f t="shared" si="1829"/>
        <v>0</v>
      </c>
      <c r="BE634" s="2120">
        <f t="shared" si="1829"/>
        <v>0</v>
      </c>
      <c r="BF634" s="2120">
        <f t="shared" si="1829"/>
        <v>0</v>
      </c>
      <c r="BG634" s="2120">
        <f t="shared" si="1830"/>
        <v>0</v>
      </c>
      <c r="BH634" s="2120">
        <f t="shared" si="1830"/>
        <v>0</v>
      </c>
      <c r="BI634" s="2120">
        <f t="shared" si="1830"/>
        <v>0</v>
      </c>
      <c r="BJ634" s="2120">
        <f t="shared" si="1830"/>
        <v>0</v>
      </c>
      <c r="BK634" s="2120">
        <f t="shared" si="1830"/>
        <v>0</v>
      </c>
      <c r="BL634" s="2120">
        <f t="shared" si="1830"/>
        <v>0</v>
      </c>
      <c r="BM634" s="2120">
        <f t="shared" si="1830"/>
        <v>0</v>
      </c>
      <c r="BN634" s="2120">
        <f t="shared" si="1830"/>
        <v>0</v>
      </c>
      <c r="BO634" s="2120">
        <f t="shared" si="1830"/>
        <v>0</v>
      </c>
      <c r="BP634" s="2120">
        <f t="shared" si="1830"/>
        <v>0</v>
      </c>
      <c r="BQ634" s="2120">
        <f t="shared" si="1830"/>
        <v>0</v>
      </c>
      <c r="BR634" s="2120">
        <f t="shared" si="1830"/>
        <v>0</v>
      </c>
      <c r="BS634" s="2120">
        <f t="shared" si="1830"/>
        <v>0</v>
      </c>
      <c r="BT634" s="2120">
        <f t="shared" si="1830"/>
        <v>0</v>
      </c>
      <c r="BU634" s="2120">
        <f t="shared" si="1830"/>
        <v>0</v>
      </c>
      <c r="BV634" s="2120">
        <f t="shared" si="1830"/>
        <v>0</v>
      </c>
      <c r="BW634" s="2120">
        <f t="shared" si="1831"/>
        <v>0</v>
      </c>
      <c r="BX634" s="2120">
        <f t="shared" si="1831"/>
        <v>0</v>
      </c>
      <c r="BY634" s="2120">
        <f t="shared" si="1831"/>
        <v>0</v>
      </c>
      <c r="BZ634" s="2120">
        <f t="shared" si="1831"/>
        <v>0</v>
      </c>
      <c r="CA634" s="2120">
        <f t="shared" si="1831"/>
        <v>0</v>
      </c>
      <c r="CB634" s="2120">
        <f t="shared" si="1831"/>
        <v>0</v>
      </c>
      <c r="CC634" s="2120">
        <f t="shared" si="1831"/>
        <v>0</v>
      </c>
      <c r="CD634" s="2120">
        <f t="shared" si="1831"/>
        <v>0</v>
      </c>
      <c r="CE634" s="2120">
        <f t="shared" si="1831"/>
        <v>0</v>
      </c>
      <c r="CF634" s="2120">
        <f t="shared" si="1831"/>
        <v>0</v>
      </c>
      <c r="CG634" s="2120">
        <f t="shared" si="1831"/>
        <v>0</v>
      </c>
      <c r="CH634" s="2120">
        <f t="shared" si="1831"/>
        <v>0</v>
      </c>
      <c r="CI634" s="2120">
        <f t="shared" si="1831"/>
        <v>0</v>
      </c>
      <c r="CJ634" s="2120">
        <f t="shared" si="1831"/>
        <v>0</v>
      </c>
      <c r="CK634" s="2120">
        <f t="shared" si="1831"/>
        <v>0</v>
      </c>
      <c r="CL634" s="2120">
        <f t="shared" si="1831"/>
        <v>0</v>
      </c>
      <c r="CM634" s="2120">
        <f t="shared" si="1832"/>
        <v>0</v>
      </c>
      <c r="CN634" s="2120">
        <f t="shared" si="1832"/>
        <v>0</v>
      </c>
      <c r="CO634" s="2120">
        <f t="shared" si="1832"/>
        <v>0</v>
      </c>
      <c r="CP634" s="2120">
        <f t="shared" si="1832"/>
        <v>0</v>
      </c>
      <c r="CQ634" s="2120">
        <f t="shared" si="1832"/>
        <v>0</v>
      </c>
      <c r="CR634" s="2120">
        <f t="shared" si="1832"/>
        <v>0</v>
      </c>
      <c r="CS634" s="2120">
        <f t="shared" si="1832"/>
        <v>0</v>
      </c>
      <c r="CT634" s="2120">
        <f t="shared" si="1832"/>
        <v>0</v>
      </c>
      <c r="CU634" s="2120">
        <f t="shared" si="1832"/>
        <v>0</v>
      </c>
      <c r="CV634" s="2120">
        <f t="shared" si="1832"/>
        <v>0</v>
      </c>
      <c r="CW634" s="2120">
        <f t="shared" si="1832"/>
        <v>0</v>
      </c>
      <c r="CX634" s="2120">
        <f t="shared" si="1832"/>
        <v>0</v>
      </c>
      <c r="CY634" s="2120">
        <f t="shared" si="1832"/>
        <v>0</v>
      </c>
      <c r="CZ634" s="2120">
        <f t="shared" si="1832"/>
        <v>0</v>
      </c>
      <c r="DA634" s="2120">
        <f t="shared" si="1832"/>
        <v>0</v>
      </c>
      <c r="DB634" s="2120">
        <f t="shared" si="1832"/>
        <v>0</v>
      </c>
      <c r="DC634" s="2120">
        <f t="shared" si="1833"/>
        <v>0</v>
      </c>
      <c r="DD634" s="2120">
        <f t="shared" si="1833"/>
        <v>0</v>
      </c>
      <c r="DE634" s="2120">
        <f t="shared" si="1833"/>
        <v>0</v>
      </c>
      <c r="DF634" s="2120">
        <f t="shared" si="1833"/>
        <v>0</v>
      </c>
      <c r="DG634" s="2120">
        <f t="shared" si="1833"/>
        <v>0</v>
      </c>
      <c r="DH634" s="2120">
        <f t="shared" si="1833"/>
        <v>0</v>
      </c>
      <c r="DI634" s="2120">
        <f t="shared" si="1833"/>
        <v>0</v>
      </c>
      <c r="DJ634" s="2120">
        <f t="shared" si="1833"/>
        <v>0</v>
      </c>
      <c r="DK634" s="2120">
        <f t="shared" si="1833"/>
        <v>0</v>
      </c>
      <c r="DL634" s="2120">
        <f t="shared" si="1833"/>
        <v>0</v>
      </c>
      <c r="DM634" s="2120">
        <f t="shared" si="1833"/>
        <v>0</v>
      </c>
      <c r="DN634" s="2120">
        <f t="shared" si="1833"/>
        <v>0</v>
      </c>
      <c r="DO634" s="2120">
        <f t="shared" si="1833"/>
        <v>0</v>
      </c>
      <c r="DP634" s="2120">
        <f t="shared" si="1833"/>
        <v>0</v>
      </c>
    </row>
    <row r="635" spans="1:120" s="13" customFormat="1" outlineLevel="1">
      <c r="A635" s="1150">
        <v>1110052090</v>
      </c>
      <c r="B635" s="87" t="s">
        <v>2531</v>
      </c>
      <c r="C635" s="134" t="s">
        <v>64</v>
      </c>
      <c r="D635" s="1557"/>
      <c r="E635" s="1558">
        <v>45043</v>
      </c>
      <c r="F635" s="1151"/>
      <c r="G635" s="1271"/>
      <c r="H635" s="1152"/>
      <c r="I635" s="1153"/>
      <c r="J635" s="1425">
        <v>1</v>
      </c>
      <c r="K635" s="1426">
        <v>1</v>
      </c>
      <c r="L635" s="2014">
        <v>23716111.969999999</v>
      </c>
      <c r="M635" s="2015">
        <f t="shared" si="1821"/>
        <v>23716111.969999999</v>
      </c>
      <c r="N635" s="724">
        <f ca="1">IF(OR(E635="",E635&gt;TODAY()),0,IF(ISERROR(VLOOKUP($E635,'TRM BanRep'!$A:$G,7,0)),0,VLOOKUP($E635,'TRM BanRep'!$A:$G,7,0)))</f>
        <v>4552.59</v>
      </c>
      <c r="O635" s="1154">
        <f t="shared" ca="1" si="1822"/>
        <v>107969734193.5023</v>
      </c>
      <c r="P635" s="1155"/>
      <c r="Q635" s="1346">
        <f t="shared" ref="Q635" si="1840">+P635*K635</f>
        <v>0</v>
      </c>
      <c r="R635" s="1156"/>
      <c r="S635" s="1156">
        <f ca="1">IF(OR(E635="",E635&gt;TODAY()),0,IF(ISERROR(VLOOKUP($E635,'TRM BanRep'!$A:$G,7,0)),0,VLOOKUP($E635,'TRM BanRep'!$A:$G,7,0)))</f>
        <v>4552.59</v>
      </c>
      <c r="T635" s="1157">
        <f t="shared" ca="1" si="1835"/>
        <v>0</v>
      </c>
      <c r="U635" s="1158">
        <f t="shared" si="1836"/>
        <v>23716111.969999999</v>
      </c>
      <c r="V635" s="1159">
        <f t="shared" ca="1" si="1837"/>
        <v>107969734193.5023</v>
      </c>
      <c r="W635" s="1160">
        <f t="shared" ca="1" si="1838"/>
        <v>0</v>
      </c>
      <c r="X635" s="1161">
        <f t="shared" ca="1" si="1839"/>
        <v>0</v>
      </c>
      <c r="Y635" s="1162"/>
      <c r="Z635" s="1058"/>
      <c r="AA635" s="2329">
        <f t="shared" si="1828"/>
        <v>0</v>
      </c>
      <c r="AB635" s="2158">
        <f t="shared" si="1828"/>
        <v>0</v>
      </c>
      <c r="AC635" s="2158">
        <f t="shared" si="1828"/>
        <v>0</v>
      </c>
      <c r="AD635" s="2158">
        <f t="shared" si="1828"/>
        <v>0</v>
      </c>
      <c r="AE635" s="2158">
        <f t="shared" si="1828"/>
        <v>0</v>
      </c>
      <c r="AF635" s="2120">
        <f t="shared" si="1828"/>
        <v>0</v>
      </c>
      <c r="AG635" s="2120">
        <f t="shared" si="1828"/>
        <v>0</v>
      </c>
      <c r="AH635" s="2120">
        <f t="shared" si="1828"/>
        <v>0</v>
      </c>
      <c r="AI635" s="2120">
        <f t="shared" si="1828"/>
        <v>0</v>
      </c>
      <c r="AJ635" s="2120">
        <f t="shared" si="1828"/>
        <v>0</v>
      </c>
      <c r="AK635" s="2120">
        <f t="shared" si="1828"/>
        <v>0</v>
      </c>
      <c r="AL635" s="2314">
        <f t="shared" si="1828"/>
        <v>0</v>
      </c>
      <c r="AM635" s="2120">
        <f t="shared" si="1828"/>
        <v>0</v>
      </c>
      <c r="AN635" s="2120">
        <f t="shared" si="1828"/>
        <v>0</v>
      </c>
      <c r="AO635" s="2120">
        <f t="shared" si="1828"/>
        <v>0</v>
      </c>
      <c r="AP635" s="2120">
        <f t="shared" si="1828"/>
        <v>0</v>
      </c>
      <c r="AQ635" s="2120">
        <f t="shared" si="1829"/>
        <v>0</v>
      </c>
      <c r="AR635" s="2120">
        <f t="shared" si="1829"/>
        <v>0</v>
      </c>
      <c r="AS635" s="2120">
        <f t="shared" si="1829"/>
        <v>0</v>
      </c>
      <c r="AT635" s="2120">
        <f t="shared" si="1829"/>
        <v>0</v>
      </c>
      <c r="AU635" s="2120">
        <f t="shared" si="1829"/>
        <v>0</v>
      </c>
      <c r="AV635" s="2120">
        <f t="shared" si="1829"/>
        <v>0</v>
      </c>
      <c r="AW635" s="2120">
        <f t="shared" si="1829"/>
        <v>0</v>
      </c>
      <c r="AX635" s="2120">
        <f t="shared" si="1829"/>
        <v>0</v>
      </c>
      <c r="AY635" s="2120">
        <f t="shared" si="1829"/>
        <v>0</v>
      </c>
      <c r="AZ635" s="2120">
        <f t="shared" si="1829"/>
        <v>0</v>
      </c>
      <c r="BA635" s="2120">
        <f t="shared" si="1829"/>
        <v>0</v>
      </c>
      <c r="BB635" s="2120">
        <f t="shared" si="1829"/>
        <v>0</v>
      </c>
      <c r="BC635" s="2120">
        <f t="shared" si="1829"/>
        <v>23716111.969999999</v>
      </c>
      <c r="BD635" s="2120">
        <f t="shared" si="1829"/>
        <v>0</v>
      </c>
      <c r="BE635" s="2120">
        <f t="shared" si="1829"/>
        <v>0</v>
      </c>
      <c r="BF635" s="2120">
        <f t="shared" si="1829"/>
        <v>0</v>
      </c>
      <c r="BG635" s="2120">
        <f t="shared" si="1830"/>
        <v>0</v>
      </c>
      <c r="BH635" s="2120">
        <f t="shared" si="1830"/>
        <v>0</v>
      </c>
      <c r="BI635" s="2120">
        <f t="shared" si="1830"/>
        <v>0</v>
      </c>
      <c r="BJ635" s="2120">
        <f t="shared" si="1830"/>
        <v>0</v>
      </c>
      <c r="BK635" s="2120">
        <f t="shared" si="1830"/>
        <v>0</v>
      </c>
      <c r="BL635" s="2120">
        <f t="shared" si="1830"/>
        <v>0</v>
      </c>
      <c r="BM635" s="2120">
        <f t="shared" si="1830"/>
        <v>0</v>
      </c>
      <c r="BN635" s="2120">
        <f t="shared" si="1830"/>
        <v>0</v>
      </c>
      <c r="BO635" s="2120">
        <f t="shared" si="1830"/>
        <v>0</v>
      </c>
      <c r="BP635" s="2120">
        <f t="shared" si="1830"/>
        <v>0</v>
      </c>
      <c r="BQ635" s="2120">
        <f t="shared" si="1830"/>
        <v>0</v>
      </c>
      <c r="BR635" s="2120">
        <f t="shared" si="1830"/>
        <v>0</v>
      </c>
      <c r="BS635" s="2120">
        <f t="shared" si="1830"/>
        <v>0</v>
      </c>
      <c r="BT635" s="2120">
        <f t="shared" si="1830"/>
        <v>0</v>
      </c>
      <c r="BU635" s="2120">
        <f t="shared" si="1830"/>
        <v>0</v>
      </c>
      <c r="BV635" s="2120">
        <f t="shared" si="1830"/>
        <v>0</v>
      </c>
      <c r="BW635" s="2120">
        <f t="shared" si="1831"/>
        <v>0</v>
      </c>
      <c r="BX635" s="2120">
        <f t="shared" si="1831"/>
        <v>0</v>
      </c>
      <c r="BY635" s="2120">
        <f t="shared" si="1831"/>
        <v>0</v>
      </c>
      <c r="BZ635" s="2120">
        <f t="shared" si="1831"/>
        <v>0</v>
      </c>
      <c r="CA635" s="2120">
        <f t="shared" si="1831"/>
        <v>0</v>
      </c>
      <c r="CB635" s="2120">
        <f t="shared" si="1831"/>
        <v>0</v>
      </c>
      <c r="CC635" s="2120">
        <f t="shared" si="1831"/>
        <v>0</v>
      </c>
      <c r="CD635" s="2120">
        <f t="shared" si="1831"/>
        <v>0</v>
      </c>
      <c r="CE635" s="2120">
        <f t="shared" si="1831"/>
        <v>0</v>
      </c>
      <c r="CF635" s="2120">
        <f t="shared" si="1831"/>
        <v>0</v>
      </c>
      <c r="CG635" s="2120">
        <f t="shared" si="1831"/>
        <v>0</v>
      </c>
      <c r="CH635" s="2120">
        <f t="shared" si="1831"/>
        <v>0</v>
      </c>
      <c r="CI635" s="2120">
        <f t="shared" si="1831"/>
        <v>0</v>
      </c>
      <c r="CJ635" s="2120">
        <f t="shared" si="1831"/>
        <v>0</v>
      </c>
      <c r="CK635" s="2120">
        <f t="shared" si="1831"/>
        <v>0</v>
      </c>
      <c r="CL635" s="2120">
        <f t="shared" si="1831"/>
        <v>0</v>
      </c>
      <c r="CM635" s="2120">
        <f t="shared" si="1832"/>
        <v>0</v>
      </c>
      <c r="CN635" s="2120">
        <f t="shared" si="1832"/>
        <v>0</v>
      </c>
      <c r="CO635" s="2120">
        <f t="shared" si="1832"/>
        <v>0</v>
      </c>
      <c r="CP635" s="2120">
        <f t="shared" si="1832"/>
        <v>0</v>
      </c>
      <c r="CQ635" s="2120">
        <f t="shared" si="1832"/>
        <v>0</v>
      </c>
      <c r="CR635" s="2120">
        <f t="shared" si="1832"/>
        <v>0</v>
      </c>
      <c r="CS635" s="2120">
        <f t="shared" si="1832"/>
        <v>0</v>
      </c>
      <c r="CT635" s="2120">
        <f t="shared" si="1832"/>
        <v>0</v>
      </c>
      <c r="CU635" s="2120">
        <f t="shared" si="1832"/>
        <v>0</v>
      </c>
      <c r="CV635" s="2120">
        <f t="shared" si="1832"/>
        <v>0</v>
      </c>
      <c r="CW635" s="2120">
        <f t="shared" si="1832"/>
        <v>0</v>
      </c>
      <c r="CX635" s="2120">
        <f t="shared" si="1832"/>
        <v>0</v>
      </c>
      <c r="CY635" s="2120">
        <f t="shared" si="1832"/>
        <v>0</v>
      </c>
      <c r="CZ635" s="2120">
        <f t="shared" si="1832"/>
        <v>0</v>
      </c>
      <c r="DA635" s="2120">
        <f t="shared" si="1832"/>
        <v>0</v>
      </c>
      <c r="DB635" s="2120">
        <f t="shared" si="1832"/>
        <v>0</v>
      </c>
      <c r="DC635" s="2120">
        <f t="shared" si="1833"/>
        <v>0</v>
      </c>
      <c r="DD635" s="2120">
        <f t="shared" si="1833"/>
        <v>0</v>
      </c>
      <c r="DE635" s="2120">
        <f t="shared" si="1833"/>
        <v>0</v>
      </c>
      <c r="DF635" s="2120">
        <f t="shared" si="1833"/>
        <v>0</v>
      </c>
      <c r="DG635" s="2120">
        <f t="shared" si="1833"/>
        <v>0</v>
      </c>
      <c r="DH635" s="2120">
        <f t="shared" si="1833"/>
        <v>0</v>
      </c>
      <c r="DI635" s="2120">
        <f t="shared" si="1833"/>
        <v>0</v>
      </c>
      <c r="DJ635" s="2120">
        <f t="shared" si="1833"/>
        <v>0</v>
      </c>
      <c r="DK635" s="2120">
        <f t="shared" si="1833"/>
        <v>0</v>
      </c>
      <c r="DL635" s="2120">
        <f t="shared" si="1833"/>
        <v>0</v>
      </c>
      <c r="DM635" s="2120">
        <f t="shared" si="1833"/>
        <v>0</v>
      </c>
      <c r="DN635" s="2120">
        <f t="shared" si="1833"/>
        <v>0</v>
      </c>
      <c r="DO635" s="2120">
        <f t="shared" si="1833"/>
        <v>0</v>
      </c>
      <c r="DP635" s="2120">
        <f t="shared" si="1833"/>
        <v>0</v>
      </c>
    </row>
    <row r="636" spans="1:120" s="13" customFormat="1" outlineLevel="1">
      <c r="A636" s="1221">
        <v>1110052090</v>
      </c>
      <c r="B636" s="1216" t="s">
        <v>2532</v>
      </c>
      <c r="C636" s="101" t="s">
        <v>64</v>
      </c>
      <c r="D636" s="1712"/>
      <c r="E636" s="1642">
        <v>45043</v>
      </c>
      <c r="F636" s="1224"/>
      <c r="G636" s="1266"/>
      <c r="H636" s="1225"/>
      <c r="I636" s="1226"/>
      <c r="J636" s="1604">
        <v>1</v>
      </c>
      <c r="K636" s="1605">
        <v>1</v>
      </c>
      <c r="L636" s="1606"/>
      <c r="M636" s="1626">
        <f t="shared" si="1821"/>
        <v>0</v>
      </c>
      <c r="N636" s="1228">
        <f ca="1">IF(OR(E636="",E636&gt;TODAY()),0,IF(ISERROR(VLOOKUP($E636,'TRM BanRep'!$A:$G,7,0)),0,VLOOKUP($E636,'TRM BanRep'!$A:$G,7,0)))</f>
        <v>4552.59</v>
      </c>
      <c r="O636" s="1229">
        <f t="shared" ca="1" si="1822"/>
        <v>0</v>
      </c>
      <c r="P636" s="1713">
        <v>-521300</v>
      </c>
      <c r="Q636" s="1230">
        <f t="shared" ref="Q636" si="1841">+P636*K636</f>
        <v>-521300</v>
      </c>
      <c r="R636" s="1231">
        <v>4658.79</v>
      </c>
      <c r="S636" s="1231">
        <v>4658.79</v>
      </c>
      <c r="T636" s="1232">
        <f t="shared" si="1823"/>
        <v>-2428627227</v>
      </c>
      <c r="U636" s="2012">
        <f t="shared" si="1824"/>
        <v>-521300</v>
      </c>
      <c r="V636" s="1234">
        <f t="shared" ca="1" si="1825"/>
        <v>-2428627227</v>
      </c>
      <c r="W636" s="1235">
        <f t="shared" si="1826"/>
        <v>0</v>
      </c>
      <c r="X636" s="1236">
        <f t="shared" si="1827"/>
        <v>0</v>
      </c>
      <c r="Y636" s="1162"/>
      <c r="Z636" s="1058"/>
      <c r="AA636" s="2329">
        <f t="shared" ca="1" si="1828"/>
        <v>0</v>
      </c>
      <c r="AB636" s="2158">
        <f t="shared" ca="1" si="1828"/>
        <v>0</v>
      </c>
      <c r="AC636" s="2158">
        <f t="shared" ca="1" si="1828"/>
        <v>0</v>
      </c>
      <c r="AD636" s="2158">
        <f t="shared" ca="1" si="1828"/>
        <v>0</v>
      </c>
      <c r="AE636" s="2158">
        <f t="shared" ca="1" si="1828"/>
        <v>0</v>
      </c>
      <c r="AF636" s="2120">
        <f t="shared" ca="1" si="1828"/>
        <v>0</v>
      </c>
      <c r="AG636" s="2120">
        <f t="shared" ca="1" si="1828"/>
        <v>0</v>
      </c>
      <c r="AH636" s="2120">
        <f t="shared" ca="1" si="1828"/>
        <v>0</v>
      </c>
      <c r="AI636" s="2120">
        <f t="shared" ca="1" si="1828"/>
        <v>0</v>
      </c>
      <c r="AJ636" s="2120">
        <f t="shared" ca="1" si="1828"/>
        <v>0</v>
      </c>
      <c r="AK636" s="2120">
        <f t="shared" ca="1" si="1828"/>
        <v>0</v>
      </c>
      <c r="AL636" s="2314">
        <f t="shared" ca="1" si="1828"/>
        <v>0</v>
      </c>
      <c r="AM636" s="2120">
        <f t="shared" ca="1" si="1828"/>
        <v>0</v>
      </c>
      <c r="AN636" s="2120">
        <f t="shared" ca="1" si="1828"/>
        <v>0</v>
      </c>
      <c r="AO636" s="2120">
        <f t="shared" ca="1" si="1828"/>
        <v>0</v>
      </c>
      <c r="AP636" s="2120">
        <f t="shared" ca="1" si="1828"/>
        <v>0</v>
      </c>
      <c r="AQ636" s="2120">
        <f t="shared" ca="1" si="1829"/>
        <v>0</v>
      </c>
      <c r="AR636" s="2120">
        <f t="shared" ca="1" si="1829"/>
        <v>0</v>
      </c>
      <c r="AS636" s="2120">
        <f t="shared" ca="1" si="1829"/>
        <v>0</v>
      </c>
      <c r="AT636" s="2120">
        <f t="shared" ca="1" si="1829"/>
        <v>0</v>
      </c>
      <c r="AU636" s="2120">
        <f t="shared" ca="1" si="1829"/>
        <v>0</v>
      </c>
      <c r="AV636" s="2120">
        <f t="shared" ca="1" si="1829"/>
        <v>0</v>
      </c>
      <c r="AW636" s="2120">
        <f t="shared" ca="1" si="1829"/>
        <v>-521300</v>
      </c>
      <c r="AX636" s="2120">
        <f t="shared" ca="1" si="1829"/>
        <v>0</v>
      </c>
      <c r="AY636" s="2120">
        <f t="shared" ca="1" si="1829"/>
        <v>0</v>
      </c>
      <c r="AZ636" s="2120">
        <f t="shared" ca="1" si="1829"/>
        <v>0</v>
      </c>
      <c r="BA636" s="2120">
        <f t="shared" ca="1" si="1829"/>
        <v>0</v>
      </c>
      <c r="BB636" s="2120">
        <f t="shared" ca="1" si="1829"/>
        <v>0</v>
      </c>
      <c r="BC636" s="2120">
        <f t="shared" ca="1" si="1829"/>
        <v>0</v>
      </c>
      <c r="BD636" s="2120">
        <f t="shared" ca="1" si="1829"/>
        <v>0</v>
      </c>
      <c r="BE636" s="2120">
        <f t="shared" ca="1" si="1829"/>
        <v>0</v>
      </c>
      <c r="BF636" s="2120">
        <f t="shared" ca="1" si="1829"/>
        <v>0</v>
      </c>
      <c r="BG636" s="2120">
        <f t="shared" ca="1" si="1830"/>
        <v>0</v>
      </c>
      <c r="BH636" s="2120">
        <f t="shared" ca="1" si="1830"/>
        <v>0</v>
      </c>
      <c r="BI636" s="2120">
        <f t="shared" ca="1" si="1830"/>
        <v>0</v>
      </c>
      <c r="BJ636" s="2120">
        <f t="shared" ca="1" si="1830"/>
        <v>0</v>
      </c>
      <c r="BK636" s="2120">
        <f t="shared" ca="1" si="1830"/>
        <v>0</v>
      </c>
      <c r="BL636" s="2120">
        <f t="shared" ca="1" si="1830"/>
        <v>0</v>
      </c>
      <c r="BM636" s="2120">
        <f t="shared" ca="1" si="1830"/>
        <v>0</v>
      </c>
      <c r="BN636" s="2120">
        <f t="shared" ca="1" si="1830"/>
        <v>0</v>
      </c>
      <c r="BO636" s="2120">
        <f t="shared" ca="1" si="1830"/>
        <v>0</v>
      </c>
      <c r="BP636" s="2120">
        <f t="shared" ca="1" si="1830"/>
        <v>0</v>
      </c>
      <c r="BQ636" s="2120">
        <f t="shared" ca="1" si="1830"/>
        <v>0</v>
      </c>
      <c r="BR636" s="2120">
        <f t="shared" ca="1" si="1830"/>
        <v>0</v>
      </c>
      <c r="BS636" s="2120">
        <f t="shared" ca="1" si="1830"/>
        <v>0</v>
      </c>
      <c r="BT636" s="2120">
        <f t="shared" ca="1" si="1830"/>
        <v>0</v>
      </c>
      <c r="BU636" s="2120">
        <f t="shared" ca="1" si="1830"/>
        <v>0</v>
      </c>
      <c r="BV636" s="2120">
        <f t="shared" ca="1" si="1830"/>
        <v>0</v>
      </c>
      <c r="BW636" s="2120">
        <f t="shared" ca="1" si="1831"/>
        <v>0</v>
      </c>
      <c r="BX636" s="2120">
        <f t="shared" ca="1" si="1831"/>
        <v>0</v>
      </c>
      <c r="BY636" s="2120">
        <f t="shared" ca="1" si="1831"/>
        <v>0</v>
      </c>
      <c r="BZ636" s="2120">
        <f t="shared" ca="1" si="1831"/>
        <v>0</v>
      </c>
      <c r="CA636" s="2120">
        <f t="shared" ca="1" si="1831"/>
        <v>0</v>
      </c>
      <c r="CB636" s="2120">
        <f t="shared" ca="1" si="1831"/>
        <v>0</v>
      </c>
      <c r="CC636" s="2120">
        <f t="shared" ca="1" si="1831"/>
        <v>0</v>
      </c>
      <c r="CD636" s="2120">
        <f t="shared" ca="1" si="1831"/>
        <v>0</v>
      </c>
      <c r="CE636" s="2120">
        <f t="shared" ca="1" si="1831"/>
        <v>0</v>
      </c>
      <c r="CF636" s="2120">
        <f t="shared" ca="1" si="1831"/>
        <v>0</v>
      </c>
      <c r="CG636" s="2120">
        <f t="shared" ca="1" si="1831"/>
        <v>0</v>
      </c>
      <c r="CH636" s="2120">
        <f t="shared" ca="1" si="1831"/>
        <v>0</v>
      </c>
      <c r="CI636" s="2120">
        <f t="shared" ca="1" si="1831"/>
        <v>0</v>
      </c>
      <c r="CJ636" s="2120">
        <f t="shared" ca="1" si="1831"/>
        <v>0</v>
      </c>
      <c r="CK636" s="2120">
        <f t="shared" ca="1" si="1831"/>
        <v>0</v>
      </c>
      <c r="CL636" s="2120">
        <f t="shared" ca="1" si="1831"/>
        <v>0</v>
      </c>
      <c r="CM636" s="2120">
        <f t="shared" ca="1" si="1832"/>
        <v>0</v>
      </c>
      <c r="CN636" s="2120">
        <f t="shared" ca="1" si="1832"/>
        <v>0</v>
      </c>
      <c r="CO636" s="2120">
        <f t="shared" ca="1" si="1832"/>
        <v>0</v>
      </c>
      <c r="CP636" s="2120">
        <f t="shared" ca="1" si="1832"/>
        <v>0</v>
      </c>
      <c r="CQ636" s="2120">
        <f t="shared" ca="1" si="1832"/>
        <v>0</v>
      </c>
      <c r="CR636" s="2120">
        <f t="shared" ca="1" si="1832"/>
        <v>0</v>
      </c>
      <c r="CS636" s="2120">
        <f t="shared" ca="1" si="1832"/>
        <v>0</v>
      </c>
      <c r="CT636" s="2120">
        <f t="shared" ca="1" si="1832"/>
        <v>0</v>
      </c>
      <c r="CU636" s="2120">
        <f t="shared" ca="1" si="1832"/>
        <v>0</v>
      </c>
      <c r="CV636" s="2120">
        <f t="shared" ca="1" si="1832"/>
        <v>0</v>
      </c>
      <c r="CW636" s="2120">
        <f t="shared" ca="1" si="1832"/>
        <v>0</v>
      </c>
      <c r="CX636" s="2120">
        <f t="shared" ca="1" si="1832"/>
        <v>0</v>
      </c>
      <c r="CY636" s="2120">
        <f t="shared" ca="1" si="1832"/>
        <v>0</v>
      </c>
      <c r="CZ636" s="2120">
        <f t="shared" ca="1" si="1832"/>
        <v>0</v>
      </c>
      <c r="DA636" s="2120">
        <f t="shared" ca="1" si="1832"/>
        <v>0</v>
      </c>
      <c r="DB636" s="2120">
        <f t="shared" ca="1" si="1832"/>
        <v>0</v>
      </c>
      <c r="DC636" s="2120">
        <f t="shared" ca="1" si="1833"/>
        <v>0</v>
      </c>
      <c r="DD636" s="2120">
        <f t="shared" ca="1" si="1833"/>
        <v>0</v>
      </c>
      <c r="DE636" s="2120">
        <f t="shared" ca="1" si="1833"/>
        <v>0</v>
      </c>
      <c r="DF636" s="2120">
        <f t="shared" ca="1" si="1833"/>
        <v>0</v>
      </c>
      <c r="DG636" s="2120">
        <f t="shared" ca="1" si="1833"/>
        <v>0</v>
      </c>
      <c r="DH636" s="2120">
        <f t="shared" ca="1" si="1833"/>
        <v>0</v>
      </c>
      <c r="DI636" s="2120">
        <f t="shared" ca="1" si="1833"/>
        <v>0</v>
      </c>
      <c r="DJ636" s="2120">
        <f t="shared" ca="1" si="1833"/>
        <v>0</v>
      </c>
      <c r="DK636" s="2120">
        <f t="shared" ca="1" si="1833"/>
        <v>0</v>
      </c>
      <c r="DL636" s="2120">
        <f t="shared" ca="1" si="1833"/>
        <v>0</v>
      </c>
      <c r="DM636" s="2120">
        <f t="shared" ca="1" si="1833"/>
        <v>0</v>
      </c>
      <c r="DN636" s="2120">
        <f t="shared" ca="1" si="1833"/>
        <v>0</v>
      </c>
      <c r="DO636" s="2120">
        <f t="shared" ca="1" si="1833"/>
        <v>0</v>
      </c>
      <c r="DP636" s="2120">
        <f t="shared" ca="1" si="1833"/>
        <v>0</v>
      </c>
    </row>
    <row r="637" spans="1:120" s="13" customFormat="1" outlineLevel="1">
      <c r="A637" s="1221">
        <v>1110052090</v>
      </c>
      <c r="B637" s="1216" t="s">
        <v>2532</v>
      </c>
      <c r="C637" s="101" t="s">
        <v>64</v>
      </c>
      <c r="D637" s="1712"/>
      <c r="E637" s="1642">
        <v>45043</v>
      </c>
      <c r="F637" s="1224"/>
      <c r="G637" s="1266"/>
      <c r="H637" s="1225"/>
      <c r="I637" s="1226"/>
      <c r="J637" s="1604">
        <v>1</v>
      </c>
      <c r="K637" s="1605">
        <v>1</v>
      </c>
      <c r="L637" s="1606"/>
      <c r="M637" s="1626">
        <f t="shared" ref="M637:M638" si="1842">+L637*J637</f>
        <v>0</v>
      </c>
      <c r="N637" s="1228">
        <f ca="1">IF(OR(E637="",E637&gt;TODAY()),0,IF(ISERROR(VLOOKUP($E637,'TRM BanRep'!$A:$G,7,0)),0,VLOOKUP($E637,'TRM BanRep'!$A:$G,7,0)))</f>
        <v>4552.59</v>
      </c>
      <c r="O637" s="1229">
        <f t="shared" ref="O637:O638" ca="1" si="1843">+L637*N637</f>
        <v>0</v>
      </c>
      <c r="P637" s="1713">
        <v>-44247.22</v>
      </c>
      <c r="Q637" s="1230">
        <f t="shared" ref="Q637:Q638" si="1844">+P637*K637</f>
        <v>-44247.22</v>
      </c>
      <c r="R637" s="1231">
        <v>4646.08</v>
      </c>
      <c r="S637" s="1231">
        <v>4646.08</v>
      </c>
      <c r="T637" s="1232">
        <f t="shared" ref="T637:T638" si="1845">+P637*S637</f>
        <v>-205576123.8976</v>
      </c>
      <c r="U637" s="2012">
        <f t="shared" ref="U637:U638" si="1846">+L637+P637+F637</f>
        <v>-44247.22</v>
      </c>
      <c r="V637" s="1234">
        <f t="shared" ref="V637:V638" ca="1" si="1847">+P637*R637+L637*N637+F637*H637</f>
        <v>-205576123.8976</v>
      </c>
      <c r="W637" s="1235">
        <f t="shared" ref="W637:W638" si="1848">IF((-P637*R637)-(-P637*S637)&gt;0,(-P637*R637)-(-P637*S637),0)</f>
        <v>0</v>
      </c>
      <c r="X637" s="1236">
        <f t="shared" ref="X637:X638" si="1849">IF((-P637*R637)-(-P637*S637)&lt;0,(-P637*R637)-(-P637*S637),0)</f>
        <v>0</v>
      </c>
      <c r="Y637" s="1162"/>
      <c r="Z637" s="1058"/>
      <c r="AA637" s="2329">
        <f t="shared" ca="1" si="1828"/>
        <v>0</v>
      </c>
      <c r="AB637" s="2158">
        <f t="shared" ca="1" si="1828"/>
        <v>0</v>
      </c>
      <c r="AC637" s="2158">
        <f t="shared" ca="1" si="1828"/>
        <v>0</v>
      </c>
      <c r="AD637" s="2158">
        <f t="shared" ca="1" si="1828"/>
        <v>0</v>
      </c>
      <c r="AE637" s="2158">
        <f t="shared" ca="1" si="1828"/>
        <v>0</v>
      </c>
      <c r="AF637" s="2120">
        <f t="shared" ca="1" si="1828"/>
        <v>0</v>
      </c>
      <c r="AG637" s="2120">
        <f t="shared" ca="1" si="1828"/>
        <v>0</v>
      </c>
      <c r="AH637" s="2120">
        <f t="shared" ca="1" si="1828"/>
        <v>0</v>
      </c>
      <c r="AI637" s="2120">
        <f t="shared" ca="1" si="1828"/>
        <v>0</v>
      </c>
      <c r="AJ637" s="2120">
        <f t="shared" ca="1" si="1828"/>
        <v>0</v>
      </c>
      <c r="AK637" s="2120">
        <f t="shared" ca="1" si="1828"/>
        <v>0</v>
      </c>
      <c r="AL637" s="2314">
        <f t="shared" ca="1" si="1828"/>
        <v>0</v>
      </c>
      <c r="AM637" s="2120">
        <f t="shared" ca="1" si="1828"/>
        <v>0</v>
      </c>
      <c r="AN637" s="2120">
        <f t="shared" ca="1" si="1828"/>
        <v>0</v>
      </c>
      <c r="AO637" s="2120">
        <f t="shared" ca="1" si="1828"/>
        <v>0</v>
      </c>
      <c r="AP637" s="2120">
        <f t="shared" ca="1" si="1828"/>
        <v>0</v>
      </c>
      <c r="AQ637" s="2120">
        <f t="shared" ca="1" si="1829"/>
        <v>0</v>
      </c>
      <c r="AR637" s="2120">
        <f t="shared" ca="1" si="1829"/>
        <v>0</v>
      </c>
      <c r="AS637" s="2120">
        <f t="shared" ca="1" si="1829"/>
        <v>0</v>
      </c>
      <c r="AT637" s="2120">
        <f t="shared" ca="1" si="1829"/>
        <v>0</v>
      </c>
      <c r="AU637" s="2120">
        <f t="shared" ca="1" si="1829"/>
        <v>0</v>
      </c>
      <c r="AV637" s="2120">
        <f t="shared" ca="1" si="1829"/>
        <v>0</v>
      </c>
      <c r="AW637" s="2120">
        <f t="shared" ca="1" si="1829"/>
        <v>0</v>
      </c>
      <c r="AX637" s="2120">
        <f t="shared" ca="1" si="1829"/>
        <v>0</v>
      </c>
      <c r="AY637" s="2120">
        <v>0</v>
      </c>
      <c r="AZ637" s="2120">
        <f t="shared" ca="1" si="1829"/>
        <v>-44247.22</v>
      </c>
      <c r="BA637" s="2120">
        <f t="shared" ca="1" si="1829"/>
        <v>0</v>
      </c>
      <c r="BB637" s="2120">
        <f t="shared" ca="1" si="1829"/>
        <v>0</v>
      </c>
      <c r="BC637" s="2120">
        <f t="shared" ca="1" si="1829"/>
        <v>0</v>
      </c>
      <c r="BD637" s="2120">
        <f t="shared" ca="1" si="1829"/>
        <v>0</v>
      </c>
      <c r="BE637" s="2120">
        <f t="shared" ca="1" si="1829"/>
        <v>0</v>
      </c>
      <c r="BF637" s="2120">
        <f t="shared" ca="1" si="1829"/>
        <v>0</v>
      </c>
      <c r="BG637" s="2120">
        <f t="shared" ca="1" si="1830"/>
        <v>0</v>
      </c>
      <c r="BH637" s="2120">
        <f t="shared" ca="1" si="1830"/>
        <v>0</v>
      </c>
      <c r="BI637" s="2120">
        <f t="shared" ca="1" si="1830"/>
        <v>0</v>
      </c>
      <c r="BJ637" s="2120">
        <f t="shared" ca="1" si="1830"/>
        <v>0</v>
      </c>
      <c r="BK637" s="2120">
        <f t="shared" ca="1" si="1830"/>
        <v>0</v>
      </c>
      <c r="BL637" s="2120">
        <f t="shared" ca="1" si="1830"/>
        <v>0</v>
      </c>
      <c r="BM637" s="2120">
        <f t="shared" ca="1" si="1830"/>
        <v>0</v>
      </c>
      <c r="BN637" s="2120">
        <f t="shared" ca="1" si="1830"/>
        <v>0</v>
      </c>
      <c r="BO637" s="2120">
        <f t="shared" ca="1" si="1830"/>
        <v>0</v>
      </c>
      <c r="BP637" s="2120">
        <f t="shared" ca="1" si="1830"/>
        <v>0</v>
      </c>
      <c r="BQ637" s="2120">
        <f t="shared" ca="1" si="1830"/>
        <v>0</v>
      </c>
      <c r="BR637" s="2120">
        <f t="shared" ca="1" si="1830"/>
        <v>0</v>
      </c>
      <c r="BS637" s="2120">
        <f t="shared" ca="1" si="1830"/>
        <v>0</v>
      </c>
      <c r="BT637" s="2120">
        <f t="shared" ca="1" si="1830"/>
        <v>0</v>
      </c>
      <c r="BU637" s="2120">
        <f t="shared" ca="1" si="1830"/>
        <v>0</v>
      </c>
      <c r="BV637" s="2120">
        <f t="shared" ca="1" si="1830"/>
        <v>0</v>
      </c>
      <c r="BW637" s="2120">
        <f t="shared" ca="1" si="1831"/>
        <v>0</v>
      </c>
      <c r="BX637" s="2120">
        <f t="shared" ca="1" si="1831"/>
        <v>0</v>
      </c>
      <c r="BY637" s="2120">
        <f t="shared" ca="1" si="1831"/>
        <v>0</v>
      </c>
      <c r="BZ637" s="2120">
        <f t="shared" ca="1" si="1831"/>
        <v>0</v>
      </c>
      <c r="CA637" s="2120">
        <f t="shared" ca="1" si="1831"/>
        <v>0</v>
      </c>
      <c r="CB637" s="2120">
        <f t="shared" ca="1" si="1831"/>
        <v>0</v>
      </c>
      <c r="CC637" s="2120">
        <f t="shared" ca="1" si="1831"/>
        <v>0</v>
      </c>
      <c r="CD637" s="2120">
        <f t="shared" ca="1" si="1831"/>
        <v>0</v>
      </c>
      <c r="CE637" s="2120">
        <f t="shared" ca="1" si="1831"/>
        <v>0</v>
      </c>
      <c r="CF637" s="2120">
        <f t="shared" ca="1" si="1831"/>
        <v>0</v>
      </c>
      <c r="CG637" s="2120">
        <f t="shared" ca="1" si="1831"/>
        <v>0</v>
      </c>
      <c r="CH637" s="2120">
        <f t="shared" ca="1" si="1831"/>
        <v>0</v>
      </c>
      <c r="CI637" s="2120">
        <f t="shared" ca="1" si="1831"/>
        <v>0</v>
      </c>
      <c r="CJ637" s="2120">
        <f t="shared" ca="1" si="1831"/>
        <v>0</v>
      </c>
      <c r="CK637" s="2120">
        <f t="shared" ca="1" si="1831"/>
        <v>0</v>
      </c>
      <c r="CL637" s="2120">
        <f t="shared" ca="1" si="1831"/>
        <v>0</v>
      </c>
      <c r="CM637" s="2120">
        <f t="shared" ca="1" si="1832"/>
        <v>0</v>
      </c>
      <c r="CN637" s="2120">
        <f t="shared" ca="1" si="1832"/>
        <v>0</v>
      </c>
      <c r="CO637" s="2120">
        <f t="shared" ca="1" si="1832"/>
        <v>0</v>
      </c>
      <c r="CP637" s="2120">
        <f t="shared" ca="1" si="1832"/>
        <v>0</v>
      </c>
      <c r="CQ637" s="2120">
        <f t="shared" ca="1" si="1832"/>
        <v>0</v>
      </c>
      <c r="CR637" s="2120">
        <f t="shared" ca="1" si="1832"/>
        <v>0</v>
      </c>
      <c r="CS637" s="2120">
        <f t="shared" ca="1" si="1832"/>
        <v>0</v>
      </c>
      <c r="CT637" s="2120">
        <f t="shared" ca="1" si="1832"/>
        <v>0</v>
      </c>
      <c r="CU637" s="2120">
        <f t="shared" ca="1" si="1832"/>
        <v>0</v>
      </c>
      <c r="CV637" s="2120">
        <f t="shared" ca="1" si="1832"/>
        <v>0</v>
      </c>
      <c r="CW637" s="2120">
        <f t="shared" ca="1" si="1832"/>
        <v>0</v>
      </c>
      <c r="CX637" s="2120">
        <f t="shared" ca="1" si="1832"/>
        <v>0</v>
      </c>
      <c r="CY637" s="2120">
        <f t="shared" ca="1" si="1832"/>
        <v>0</v>
      </c>
      <c r="CZ637" s="2120">
        <f t="shared" ca="1" si="1832"/>
        <v>0</v>
      </c>
      <c r="DA637" s="2120">
        <f t="shared" ca="1" si="1832"/>
        <v>0</v>
      </c>
      <c r="DB637" s="2120">
        <f t="shared" ca="1" si="1832"/>
        <v>0</v>
      </c>
      <c r="DC637" s="2120">
        <f t="shared" ca="1" si="1833"/>
        <v>0</v>
      </c>
      <c r="DD637" s="2120">
        <f t="shared" ca="1" si="1833"/>
        <v>0</v>
      </c>
      <c r="DE637" s="2120">
        <f t="shared" ca="1" si="1833"/>
        <v>0</v>
      </c>
      <c r="DF637" s="2120">
        <f t="shared" ca="1" si="1833"/>
        <v>0</v>
      </c>
      <c r="DG637" s="2120">
        <f t="shared" ca="1" si="1833"/>
        <v>0</v>
      </c>
      <c r="DH637" s="2120">
        <f t="shared" ca="1" si="1833"/>
        <v>0</v>
      </c>
      <c r="DI637" s="2120">
        <f t="shared" ca="1" si="1833"/>
        <v>0</v>
      </c>
      <c r="DJ637" s="2120">
        <f t="shared" ca="1" si="1833"/>
        <v>0</v>
      </c>
      <c r="DK637" s="2120">
        <f t="shared" ca="1" si="1833"/>
        <v>0</v>
      </c>
      <c r="DL637" s="2120">
        <f t="shared" ca="1" si="1833"/>
        <v>0</v>
      </c>
      <c r="DM637" s="2120">
        <f t="shared" ca="1" si="1833"/>
        <v>0</v>
      </c>
      <c r="DN637" s="2120">
        <f t="shared" ca="1" si="1833"/>
        <v>0</v>
      </c>
      <c r="DO637" s="2120">
        <f t="shared" ca="1" si="1833"/>
        <v>0</v>
      </c>
      <c r="DP637" s="2120">
        <f t="shared" ca="1" si="1833"/>
        <v>0</v>
      </c>
    </row>
    <row r="638" spans="1:120" s="13" customFormat="1" outlineLevel="1">
      <c r="A638" s="1221">
        <v>1110052090</v>
      </c>
      <c r="B638" s="1216" t="s">
        <v>2532</v>
      </c>
      <c r="C638" s="101" t="s">
        <v>64</v>
      </c>
      <c r="D638" s="1712"/>
      <c r="E638" s="1642">
        <v>45043</v>
      </c>
      <c r="F638" s="1224"/>
      <c r="G638" s="1266"/>
      <c r="H638" s="1225"/>
      <c r="I638" s="1226"/>
      <c r="J638" s="1604">
        <v>1</v>
      </c>
      <c r="K638" s="1605">
        <v>1</v>
      </c>
      <c r="L638" s="1606"/>
      <c r="M638" s="1626">
        <f t="shared" si="1842"/>
        <v>0</v>
      </c>
      <c r="N638" s="1228">
        <f ca="1">IF(OR(E638="",E638&gt;TODAY()),0,IF(ISERROR(VLOOKUP($E638,'TRM BanRep'!$A:$G,7,0)),0,VLOOKUP($E638,'TRM BanRep'!$A:$G,7,0)))</f>
        <v>4552.59</v>
      </c>
      <c r="O638" s="1229">
        <f t="shared" ca="1" si="1843"/>
        <v>0</v>
      </c>
      <c r="P638" s="1713">
        <v>-6118452.7800000003</v>
      </c>
      <c r="Q638" s="1230">
        <f t="shared" si="1844"/>
        <v>-6118452.7800000003</v>
      </c>
      <c r="R638" s="1231">
        <v>4603</v>
      </c>
      <c r="S638" s="1231">
        <v>4603</v>
      </c>
      <c r="T638" s="1232">
        <f t="shared" si="1845"/>
        <v>-28163238146.34</v>
      </c>
      <c r="U638" s="2012">
        <f t="shared" si="1846"/>
        <v>-6118452.7800000003</v>
      </c>
      <c r="V638" s="1234">
        <f t="shared" ca="1" si="1847"/>
        <v>-28163238146.34</v>
      </c>
      <c r="W638" s="1235">
        <f t="shared" si="1848"/>
        <v>0</v>
      </c>
      <c r="X638" s="1236">
        <f t="shared" si="1849"/>
        <v>0</v>
      </c>
      <c r="Y638" s="1162"/>
      <c r="Z638" s="1058"/>
      <c r="AA638" s="2329">
        <f t="shared" ca="1" si="1828"/>
        <v>0</v>
      </c>
      <c r="AB638" s="2158">
        <f t="shared" ca="1" si="1828"/>
        <v>0</v>
      </c>
      <c r="AC638" s="2158">
        <f t="shared" ca="1" si="1828"/>
        <v>0</v>
      </c>
      <c r="AD638" s="2158">
        <f t="shared" ca="1" si="1828"/>
        <v>0</v>
      </c>
      <c r="AE638" s="2158">
        <f t="shared" ca="1" si="1828"/>
        <v>0</v>
      </c>
      <c r="AF638" s="2120">
        <f t="shared" ca="1" si="1828"/>
        <v>0</v>
      </c>
      <c r="AG638" s="2120">
        <f t="shared" ca="1" si="1828"/>
        <v>0</v>
      </c>
      <c r="AH638" s="2120">
        <f t="shared" ca="1" si="1828"/>
        <v>0</v>
      </c>
      <c r="AI638" s="2120">
        <f t="shared" ca="1" si="1828"/>
        <v>0</v>
      </c>
      <c r="AJ638" s="2120">
        <f t="shared" ca="1" si="1828"/>
        <v>0</v>
      </c>
      <c r="AK638" s="2120">
        <f t="shared" ca="1" si="1828"/>
        <v>0</v>
      </c>
      <c r="AL638" s="2314">
        <f t="shared" ca="1" si="1828"/>
        <v>0</v>
      </c>
      <c r="AM638" s="2120">
        <f t="shared" ca="1" si="1828"/>
        <v>0</v>
      </c>
      <c r="AN638" s="2120">
        <f t="shared" ca="1" si="1828"/>
        <v>0</v>
      </c>
      <c r="AO638" s="2120">
        <f t="shared" ca="1" si="1828"/>
        <v>0</v>
      </c>
      <c r="AP638" s="2120">
        <f t="shared" ca="1" si="1828"/>
        <v>0</v>
      </c>
      <c r="AQ638" s="2120">
        <f t="shared" ca="1" si="1829"/>
        <v>0</v>
      </c>
      <c r="AR638" s="2120">
        <f t="shared" ca="1" si="1829"/>
        <v>0</v>
      </c>
      <c r="AS638" s="2120">
        <f t="shared" ca="1" si="1829"/>
        <v>0</v>
      </c>
      <c r="AT638" s="2120">
        <f t="shared" ca="1" si="1829"/>
        <v>0</v>
      </c>
      <c r="AU638" s="2120">
        <f t="shared" ca="1" si="1829"/>
        <v>0</v>
      </c>
      <c r="AV638" s="2120">
        <f t="shared" ca="1" si="1829"/>
        <v>0</v>
      </c>
      <c r="AW638" s="2120">
        <f t="shared" ca="1" si="1829"/>
        <v>0</v>
      </c>
      <c r="AX638" s="2120">
        <f t="shared" ca="1" si="1829"/>
        <v>0</v>
      </c>
      <c r="AY638" s="2120">
        <f t="shared" ca="1" si="1829"/>
        <v>0</v>
      </c>
      <c r="AZ638" s="2120">
        <f t="shared" ca="1" si="1829"/>
        <v>0</v>
      </c>
      <c r="BA638" s="2120">
        <f t="shared" ca="1" si="1829"/>
        <v>-6118452.7800000003</v>
      </c>
      <c r="BB638" s="2120">
        <f t="shared" ca="1" si="1829"/>
        <v>0</v>
      </c>
      <c r="BC638" s="2120">
        <f t="shared" ca="1" si="1829"/>
        <v>0</v>
      </c>
      <c r="BD638" s="2120">
        <f t="shared" ca="1" si="1829"/>
        <v>0</v>
      </c>
      <c r="BE638" s="2120">
        <f t="shared" ca="1" si="1829"/>
        <v>0</v>
      </c>
      <c r="BF638" s="2120">
        <f t="shared" ca="1" si="1829"/>
        <v>0</v>
      </c>
      <c r="BG638" s="2120">
        <f t="shared" ca="1" si="1830"/>
        <v>0</v>
      </c>
      <c r="BH638" s="2120">
        <f t="shared" ca="1" si="1830"/>
        <v>0</v>
      </c>
      <c r="BI638" s="2120">
        <f t="shared" ca="1" si="1830"/>
        <v>0</v>
      </c>
      <c r="BJ638" s="2120">
        <f t="shared" ca="1" si="1830"/>
        <v>0</v>
      </c>
      <c r="BK638" s="2120">
        <f t="shared" ca="1" si="1830"/>
        <v>0</v>
      </c>
      <c r="BL638" s="2120">
        <f t="shared" ca="1" si="1830"/>
        <v>0</v>
      </c>
      <c r="BM638" s="2120">
        <f t="shared" ca="1" si="1830"/>
        <v>0</v>
      </c>
      <c r="BN638" s="2120">
        <f t="shared" ca="1" si="1830"/>
        <v>0</v>
      </c>
      <c r="BO638" s="2120">
        <f t="shared" ca="1" si="1830"/>
        <v>0</v>
      </c>
      <c r="BP638" s="2120">
        <f t="shared" ca="1" si="1830"/>
        <v>0</v>
      </c>
      <c r="BQ638" s="2120">
        <f t="shared" ca="1" si="1830"/>
        <v>0</v>
      </c>
      <c r="BR638" s="2120">
        <f t="shared" ca="1" si="1830"/>
        <v>0</v>
      </c>
      <c r="BS638" s="2120">
        <f t="shared" ca="1" si="1830"/>
        <v>0</v>
      </c>
      <c r="BT638" s="2120">
        <f t="shared" ca="1" si="1830"/>
        <v>0</v>
      </c>
      <c r="BU638" s="2120">
        <f t="shared" ca="1" si="1830"/>
        <v>0</v>
      </c>
      <c r="BV638" s="2120">
        <f t="shared" ca="1" si="1830"/>
        <v>0</v>
      </c>
      <c r="BW638" s="2120">
        <f t="shared" ca="1" si="1831"/>
        <v>0</v>
      </c>
      <c r="BX638" s="2120">
        <f t="shared" ca="1" si="1831"/>
        <v>0</v>
      </c>
      <c r="BY638" s="2120">
        <f t="shared" ca="1" si="1831"/>
        <v>0</v>
      </c>
      <c r="BZ638" s="2120">
        <f t="shared" ca="1" si="1831"/>
        <v>0</v>
      </c>
      <c r="CA638" s="2120">
        <f t="shared" ca="1" si="1831"/>
        <v>0</v>
      </c>
      <c r="CB638" s="2120">
        <f t="shared" ca="1" si="1831"/>
        <v>0</v>
      </c>
      <c r="CC638" s="2120">
        <f t="shared" ca="1" si="1831"/>
        <v>0</v>
      </c>
      <c r="CD638" s="2120">
        <f t="shared" ca="1" si="1831"/>
        <v>0</v>
      </c>
      <c r="CE638" s="2120">
        <f t="shared" ca="1" si="1831"/>
        <v>0</v>
      </c>
      <c r="CF638" s="2120">
        <f t="shared" ca="1" si="1831"/>
        <v>0</v>
      </c>
      <c r="CG638" s="2120">
        <f t="shared" ca="1" si="1831"/>
        <v>0</v>
      </c>
      <c r="CH638" s="2120">
        <f t="shared" ca="1" si="1831"/>
        <v>0</v>
      </c>
      <c r="CI638" s="2120">
        <f t="shared" ca="1" si="1831"/>
        <v>0</v>
      </c>
      <c r="CJ638" s="2120">
        <f t="shared" ca="1" si="1831"/>
        <v>0</v>
      </c>
      <c r="CK638" s="2120">
        <f t="shared" ca="1" si="1831"/>
        <v>0</v>
      </c>
      <c r="CL638" s="2120">
        <f t="shared" ca="1" si="1831"/>
        <v>0</v>
      </c>
      <c r="CM638" s="2120">
        <f t="shared" ca="1" si="1832"/>
        <v>0</v>
      </c>
      <c r="CN638" s="2120">
        <f t="shared" ca="1" si="1832"/>
        <v>0</v>
      </c>
      <c r="CO638" s="2120">
        <f t="shared" ca="1" si="1832"/>
        <v>0</v>
      </c>
      <c r="CP638" s="2120">
        <f t="shared" ca="1" si="1832"/>
        <v>0</v>
      </c>
      <c r="CQ638" s="2120">
        <f t="shared" ca="1" si="1832"/>
        <v>0</v>
      </c>
      <c r="CR638" s="2120">
        <f t="shared" ca="1" si="1832"/>
        <v>0</v>
      </c>
      <c r="CS638" s="2120">
        <f t="shared" ca="1" si="1832"/>
        <v>0</v>
      </c>
      <c r="CT638" s="2120">
        <f t="shared" ca="1" si="1832"/>
        <v>0</v>
      </c>
      <c r="CU638" s="2120">
        <f t="shared" ca="1" si="1832"/>
        <v>0</v>
      </c>
      <c r="CV638" s="2120">
        <f t="shared" ca="1" si="1832"/>
        <v>0</v>
      </c>
      <c r="CW638" s="2120">
        <f t="shared" ca="1" si="1832"/>
        <v>0</v>
      </c>
      <c r="CX638" s="2120">
        <f t="shared" ca="1" si="1832"/>
        <v>0</v>
      </c>
      <c r="CY638" s="2120">
        <f t="shared" ca="1" si="1832"/>
        <v>0</v>
      </c>
      <c r="CZ638" s="2120">
        <f t="shared" ca="1" si="1832"/>
        <v>0</v>
      </c>
      <c r="DA638" s="2120">
        <f t="shared" ca="1" si="1832"/>
        <v>0</v>
      </c>
      <c r="DB638" s="2120">
        <f t="shared" ca="1" si="1832"/>
        <v>0</v>
      </c>
      <c r="DC638" s="2120">
        <f t="shared" ca="1" si="1833"/>
        <v>0</v>
      </c>
      <c r="DD638" s="2120">
        <f t="shared" ca="1" si="1833"/>
        <v>0</v>
      </c>
      <c r="DE638" s="2120">
        <f t="shared" ca="1" si="1833"/>
        <v>0</v>
      </c>
      <c r="DF638" s="2120">
        <f t="shared" ca="1" si="1833"/>
        <v>0</v>
      </c>
      <c r="DG638" s="2120">
        <f t="shared" ca="1" si="1833"/>
        <v>0</v>
      </c>
      <c r="DH638" s="2120">
        <f t="shared" ca="1" si="1833"/>
        <v>0</v>
      </c>
      <c r="DI638" s="2120">
        <f t="shared" ca="1" si="1833"/>
        <v>0</v>
      </c>
      <c r="DJ638" s="2120">
        <f t="shared" ca="1" si="1833"/>
        <v>0</v>
      </c>
      <c r="DK638" s="2120">
        <f t="shared" ca="1" si="1833"/>
        <v>0</v>
      </c>
      <c r="DL638" s="2120">
        <f t="shared" ca="1" si="1833"/>
        <v>0</v>
      </c>
      <c r="DM638" s="2120">
        <f t="shared" ca="1" si="1833"/>
        <v>0</v>
      </c>
      <c r="DN638" s="2120">
        <f t="shared" ca="1" si="1833"/>
        <v>0</v>
      </c>
      <c r="DO638" s="2120">
        <f t="shared" ca="1" si="1833"/>
        <v>0</v>
      </c>
      <c r="DP638" s="2120">
        <f t="shared" ca="1" si="1833"/>
        <v>0</v>
      </c>
    </row>
    <row r="639" spans="1:120" outlineLevel="1">
      <c r="A639" s="55"/>
      <c r="B639" s="90"/>
      <c r="C639" s="91"/>
      <c r="D639" s="1538"/>
      <c r="E639" s="1539"/>
      <c r="F639" s="416"/>
      <c r="G639" s="1251"/>
      <c r="H639" s="511"/>
      <c r="I639" s="512"/>
      <c r="J639" s="1381"/>
      <c r="K639" s="1427"/>
      <c r="L639" s="419"/>
      <c r="M639" s="1600"/>
      <c r="N639" s="504"/>
      <c r="O639" s="513"/>
      <c r="P639" s="431"/>
      <c r="Q639" s="514"/>
      <c r="R639" s="515"/>
      <c r="S639" s="515"/>
      <c r="T639" s="562">
        <f t="shared" si="1823"/>
        <v>0</v>
      </c>
      <c r="U639" s="439">
        <f t="shared" si="1824"/>
        <v>0</v>
      </c>
      <c r="V639" s="639">
        <f t="shared" si="1825"/>
        <v>0</v>
      </c>
      <c r="W639" s="976">
        <f t="shared" si="1826"/>
        <v>0</v>
      </c>
      <c r="X639" s="975">
        <f t="shared" si="1827"/>
        <v>0</v>
      </c>
      <c r="Y639" s="735"/>
      <c r="Z639" s="1055"/>
      <c r="AA639" s="199"/>
      <c r="AB639" s="561"/>
      <c r="AC639" s="561"/>
      <c r="AD639" s="561"/>
      <c r="AE639" s="561"/>
      <c r="AF639" s="561"/>
      <c r="AG639" s="561"/>
      <c r="AH639" s="561"/>
      <c r="AI639" s="561"/>
      <c r="AJ639" s="561"/>
      <c r="AK639" s="561"/>
      <c r="AL639" s="1542"/>
      <c r="AM639" s="561"/>
      <c r="AN639" s="561"/>
      <c r="AO639" s="561"/>
      <c r="AP639" s="561"/>
      <c r="AQ639" s="561"/>
      <c r="AR639" s="561"/>
      <c r="AS639" s="561"/>
      <c r="AT639" s="561"/>
      <c r="AU639" s="561"/>
      <c r="AV639" s="561"/>
      <c r="AW639" s="561"/>
      <c r="AX639" s="561"/>
      <c r="AY639" s="561"/>
      <c r="AZ639" s="561"/>
      <c r="BA639" s="561"/>
      <c r="BB639" s="561"/>
      <c r="BC639" s="561"/>
      <c r="BD639" s="561"/>
      <c r="BE639" s="561"/>
      <c r="BF639" s="561"/>
      <c r="BG639" s="561"/>
      <c r="BH639" s="561"/>
      <c r="BI639" s="561"/>
      <c r="BJ639" s="561"/>
      <c r="BK639" s="561"/>
      <c r="BL639" s="561"/>
      <c r="BM639" s="561"/>
      <c r="BN639" s="561"/>
      <c r="BO639" s="561"/>
      <c r="BP639" s="561"/>
      <c r="BQ639" s="561"/>
      <c r="BR639" s="561"/>
      <c r="BS639" s="561"/>
      <c r="BT639" s="561"/>
      <c r="BU639" s="561"/>
      <c r="BV639" s="561"/>
      <c r="BW639" s="561"/>
      <c r="BX639" s="561"/>
      <c r="BY639" s="561"/>
      <c r="BZ639" s="561"/>
      <c r="CA639" s="561"/>
      <c r="CB639" s="737"/>
      <c r="CC639" s="737"/>
      <c r="CD639" s="737"/>
      <c r="CE639" s="737"/>
      <c r="CF639" s="737"/>
      <c r="CG639" s="737"/>
      <c r="CH639" s="737"/>
      <c r="CI639" s="737"/>
      <c r="CJ639" s="737"/>
      <c r="CK639" s="737"/>
      <c r="CL639" s="737"/>
      <c r="CM639" s="737"/>
      <c r="CN639" s="737"/>
      <c r="CO639" s="737"/>
      <c r="CP639" s="737"/>
      <c r="CQ639" s="737"/>
      <c r="CR639" s="737"/>
      <c r="CS639" s="737"/>
      <c r="CT639" s="737"/>
      <c r="CU639" s="737"/>
      <c r="CV639" s="737"/>
      <c r="CW639" s="737"/>
      <c r="CX639" s="737"/>
      <c r="CY639" s="737"/>
      <c r="CZ639" s="737"/>
      <c r="DA639" s="737"/>
      <c r="DB639" s="737"/>
      <c r="DC639" s="737"/>
      <c r="DD639" s="737"/>
      <c r="DE639" s="737"/>
      <c r="DF639" s="737"/>
      <c r="DG639" s="737"/>
      <c r="DH639" s="737"/>
      <c r="DI639" s="737"/>
      <c r="DJ639" s="737"/>
      <c r="DK639" s="737"/>
      <c r="DL639" s="737"/>
      <c r="DM639" s="737"/>
      <c r="DN639" s="737"/>
      <c r="DO639" s="737"/>
      <c r="DP639" s="737"/>
    </row>
    <row r="640" spans="1:120" ht="16.5" thickBot="1">
      <c r="A640" s="62" t="s">
        <v>229</v>
      </c>
      <c r="B640" s="63"/>
      <c r="C640" s="64"/>
      <c r="D640" s="1473"/>
      <c r="E640" s="1474"/>
      <c r="F640" s="66">
        <f>SUM(F630:F639)</f>
        <v>0</v>
      </c>
      <c r="G640" s="1253"/>
      <c r="H640" s="67"/>
      <c r="I640" s="68">
        <f>SUM(I630:I639)</f>
        <v>0</v>
      </c>
      <c r="J640" s="1376"/>
      <c r="K640" s="76"/>
      <c r="L640" s="1051">
        <f>SUM(L630:L639)</f>
        <v>44179147.710000001</v>
      </c>
      <c r="M640" s="1598">
        <f>SUM(M630:M639)</f>
        <v>44179147.710000001</v>
      </c>
      <c r="N640" s="70"/>
      <c r="O640" s="71">
        <f ca="1">SUM(O630:O639)</f>
        <v>200787299346.03192</v>
      </c>
      <c r="P640" s="72">
        <f>SUM(P630:P639)</f>
        <v>-6684037.5</v>
      </c>
      <c r="Q640" s="1339">
        <f>SUM(Q630:Q639)</f>
        <v>-6684037.5</v>
      </c>
      <c r="R640" s="73"/>
      <c r="S640" s="73"/>
      <c r="T640" s="96">
        <f ca="1">SUM(T630:T639)</f>
        <v>-30797607444.862602</v>
      </c>
      <c r="U640" s="173">
        <f>SUM(U630:U639)</f>
        <v>37495110.210000001</v>
      </c>
      <c r="V640" s="174">
        <f ca="1">SUM(V630:V639)</f>
        <v>169989683144.16931</v>
      </c>
      <c r="W640" s="191">
        <f ca="1">SUM(W630:W639)</f>
        <v>8756.9999999999709</v>
      </c>
      <c r="X640" s="78">
        <f ca="1">SUM(X630:X639)</f>
        <v>0</v>
      </c>
      <c r="Y640" s="43"/>
      <c r="AA640" s="192">
        <f t="shared" ref="AA640:BU640" ca="1" si="1850">SUM(AA628:AA639)</f>
        <v>6.9849193096160889E-10</v>
      </c>
      <c r="AB640" s="193">
        <f t="shared" ca="1" si="1850"/>
        <v>0</v>
      </c>
      <c r="AC640" s="193">
        <f t="shared" ca="1" si="1850"/>
        <v>-2.3283064365386963E-10</v>
      </c>
      <c r="AD640" s="193">
        <f t="shared" ca="1" si="1850"/>
        <v>0</v>
      </c>
      <c r="AE640" s="193">
        <f t="shared" ca="1" si="1850"/>
        <v>0</v>
      </c>
      <c r="AF640" s="193">
        <f t="shared" ca="1" si="1850"/>
        <v>0</v>
      </c>
      <c r="AG640" s="193">
        <f t="shared" ca="1" si="1850"/>
        <v>0</v>
      </c>
      <c r="AH640" s="193">
        <f t="shared" ca="1" si="1850"/>
        <v>0</v>
      </c>
      <c r="AI640" s="193">
        <f t="shared" ca="1" si="1850"/>
        <v>-5.8207660913467407E-10</v>
      </c>
      <c r="AJ640" s="193">
        <f t="shared" ca="1" si="1850"/>
        <v>0</v>
      </c>
      <c r="AK640" s="193">
        <f t="shared" ca="1" si="1850"/>
        <v>0</v>
      </c>
      <c r="AL640" s="193">
        <f t="shared" ca="1" si="1850"/>
        <v>0</v>
      </c>
      <c r="AM640" s="193">
        <f t="shared" ca="1" si="1850"/>
        <v>0</v>
      </c>
      <c r="AN640" s="193">
        <f t="shared" ca="1" si="1850"/>
        <v>0</v>
      </c>
      <c r="AO640" s="193">
        <f t="shared" ca="1" si="1850"/>
        <v>0</v>
      </c>
      <c r="AP640" s="193">
        <f t="shared" ca="1" si="1850"/>
        <v>0</v>
      </c>
      <c r="AQ640" s="193">
        <f t="shared" ca="1" si="1850"/>
        <v>0</v>
      </c>
      <c r="AR640" s="193">
        <f t="shared" ca="1" si="1850"/>
        <v>0</v>
      </c>
      <c r="AS640" s="193">
        <f t="shared" ca="1" si="1850"/>
        <v>0</v>
      </c>
      <c r="AT640" s="193">
        <f t="shared" ca="1" si="1850"/>
        <v>0</v>
      </c>
      <c r="AU640" s="193">
        <f t="shared" ca="1" si="1850"/>
        <v>0</v>
      </c>
      <c r="AV640" s="193">
        <f t="shared" ca="1" si="1850"/>
        <v>2.3283064365386963E-10</v>
      </c>
      <c r="AW640" s="193">
        <f t="shared" ca="1" si="1850"/>
        <v>2.3283064365386963E-10</v>
      </c>
      <c r="AX640" s="193">
        <f t="shared" ca="1" si="1850"/>
        <v>0</v>
      </c>
      <c r="AY640" s="193">
        <f t="shared" ca="1" si="1850"/>
        <v>0</v>
      </c>
      <c r="AZ640" s="193">
        <f t="shared" ca="1" si="1850"/>
        <v>0</v>
      </c>
      <c r="BA640" s="193">
        <f t="shared" ca="1" si="1850"/>
        <v>2481654.2199999997</v>
      </c>
      <c r="BB640" s="193">
        <f t="shared" ca="1" si="1850"/>
        <v>11818681.52</v>
      </c>
      <c r="BC640" s="193">
        <f t="shared" ca="1" si="1850"/>
        <v>23716111.969999999</v>
      </c>
      <c r="BD640" s="193">
        <f t="shared" ca="1" si="1850"/>
        <v>0</v>
      </c>
      <c r="BE640" s="193">
        <f t="shared" ca="1" si="1850"/>
        <v>0</v>
      </c>
      <c r="BF640" s="193">
        <f t="shared" ca="1" si="1850"/>
        <v>0</v>
      </c>
      <c r="BG640" s="193">
        <f t="shared" ca="1" si="1850"/>
        <v>0</v>
      </c>
      <c r="BH640" s="193">
        <f t="shared" ca="1" si="1850"/>
        <v>0</v>
      </c>
      <c r="BI640" s="193">
        <f t="shared" ca="1" si="1850"/>
        <v>0</v>
      </c>
      <c r="BJ640" s="193">
        <f t="shared" ca="1" si="1850"/>
        <v>0</v>
      </c>
      <c r="BK640" s="193">
        <f t="shared" ca="1" si="1850"/>
        <v>0</v>
      </c>
      <c r="BL640" s="193">
        <f t="shared" ca="1" si="1850"/>
        <v>0</v>
      </c>
      <c r="BM640" s="193">
        <f t="shared" ca="1" si="1850"/>
        <v>0</v>
      </c>
      <c r="BN640" s="193">
        <f t="shared" ca="1" si="1850"/>
        <v>0</v>
      </c>
      <c r="BO640" s="193">
        <f t="shared" ca="1" si="1850"/>
        <v>0</v>
      </c>
      <c r="BP640" s="193">
        <f t="shared" ca="1" si="1850"/>
        <v>0</v>
      </c>
      <c r="BQ640" s="193">
        <f t="shared" ca="1" si="1850"/>
        <v>0</v>
      </c>
      <c r="BR640" s="193">
        <f t="shared" ca="1" si="1850"/>
        <v>0</v>
      </c>
      <c r="BS640" s="193">
        <f t="shared" ca="1" si="1850"/>
        <v>0</v>
      </c>
      <c r="BT640" s="193">
        <f t="shared" ca="1" si="1850"/>
        <v>0</v>
      </c>
      <c r="BU640" s="193">
        <f t="shared" ca="1" si="1850"/>
        <v>0</v>
      </c>
      <c r="BV640" s="193"/>
      <c r="BW640" s="193"/>
      <c r="BX640" s="193"/>
      <c r="BY640" s="193"/>
      <c r="BZ640" s="193"/>
      <c r="CA640" s="193"/>
      <c r="CB640" s="207"/>
      <c r="CC640" s="207"/>
      <c r="CD640" s="207"/>
      <c r="CE640" s="207"/>
      <c r="CF640" s="207"/>
      <c r="CG640" s="207"/>
      <c r="CH640" s="207"/>
      <c r="CI640" s="207"/>
      <c r="CJ640" s="207"/>
      <c r="CK640" s="207"/>
      <c r="CL640" s="207"/>
      <c r="CM640" s="207"/>
      <c r="CN640" s="207"/>
      <c r="CO640" s="207"/>
      <c r="CP640" s="207"/>
      <c r="CQ640" s="207"/>
      <c r="CR640" s="207"/>
      <c r="CS640" s="207"/>
      <c r="CT640" s="207"/>
      <c r="CU640" s="207"/>
      <c r="CV640" s="207"/>
      <c r="CW640" s="207"/>
      <c r="CX640" s="207"/>
      <c r="CY640" s="207"/>
      <c r="CZ640" s="207"/>
      <c r="DA640" s="207"/>
      <c r="DB640" s="207"/>
      <c r="DC640" s="207"/>
      <c r="DD640" s="207"/>
      <c r="DE640" s="207"/>
      <c r="DF640" s="207"/>
      <c r="DG640" s="207"/>
      <c r="DH640" s="207"/>
      <c r="DI640" s="207"/>
      <c r="DJ640" s="207"/>
      <c r="DK640" s="207"/>
      <c r="DL640" s="207"/>
      <c r="DM640" s="207"/>
      <c r="DN640" s="207"/>
      <c r="DO640" s="207"/>
      <c r="DP640" s="207"/>
    </row>
    <row r="641" spans="1:120"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24"/>
      <c r="DC641" s="24"/>
      <c r="DD641" s="24"/>
      <c r="DE641" s="24"/>
      <c r="DF641" s="24"/>
      <c r="DG641" s="24"/>
      <c r="DH641" s="24"/>
      <c r="DI641" s="24"/>
      <c r="DJ641" s="24"/>
      <c r="DK641" s="24"/>
      <c r="DL641" s="24"/>
      <c r="DM641" s="24"/>
      <c r="DN641" s="24"/>
      <c r="DO641" s="24"/>
      <c r="DP641" s="24"/>
    </row>
    <row r="642" spans="1:120" hidden="1" outlineLevel="1">
      <c r="A642" s="640">
        <v>1110052090</v>
      </c>
      <c r="B642" s="573" t="s">
        <v>78</v>
      </c>
      <c r="C642" s="641" t="s">
        <v>64</v>
      </c>
      <c r="D642" s="1489"/>
      <c r="E642" s="1490"/>
      <c r="F642" s="643"/>
      <c r="G642" s="1262"/>
      <c r="H642" s="644"/>
      <c r="I642" s="645"/>
      <c r="J642" s="1483">
        <v>1</v>
      </c>
      <c r="K642" s="1484">
        <v>1</v>
      </c>
      <c r="L642" s="646"/>
      <c r="M642" s="1428">
        <f t="shared" ref="M642" si="1851">+L642*J642</f>
        <v>0</v>
      </c>
      <c r="N642" s="647"/>
      <c r="O642" s="648">
        <f t="shared" ref="O642:O659" si="1852">+L642*N642</f>
        <v>0</v>
      </c>
      <c r="P642" s="649"/>
      <c r="Q642" s="649"/>
      <c r="R642" s="650"/>
      <c r="S642" s="650"/>
      <c r="T642" s="651">
        <f t="shared" ref="T642:T659" si="1853">+P642*S642</f>
        <v>0</v>
      </c>
      <c r="U642" s="652">
        <f t="shared" ref="U642:U659" si="1854">+L642+P642+F642</f>
        <v>0</v>
      </c>
      <c r="V642" s="648">
        <f t="shared" ref="V642:V659" si="1855">+P642*R642+L642*N642+F642*H642</f>
        <v>0</v>
      </c>
      <c r="W642" s="653">
        <f t="shared" ref="W642:W659" si="1856">IF((-P642*R642)-(-P642*S642)&gt;0,(-P642*R642)-(-P642*S642),0)</f>
        <v>0</v>
      </c>
      <c r="X642" s="654">
        <f t="shared" ref="X642:X659" si="1857">IF((-P642*R642)-(-P642*S642)&lt;0,(-P642*R642)-(-P642*S642),0)</f>
        <v>0</v>
      </c>
      <c r="Y642" s="655"/>
      <c r="AA642" s="730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31"/>
      <c r="BL642" s="731"/>
      <c r="BM642" s="731"/>
      <c r="BN642" s="731">
        <f>+M642</f>
        <v>0</v>
      </c>
      <c r="BO642" s="731"/>
      <c r="BP642" s="731"/>
      <c r="BQ642" s="731"/>
      <c r="BR642" s="731"/>
      <c r="BS642" s="731"/>
      <c r="BT642" s="731"/>
      <c r="BU642" s="731"/>
      <c r="BV642" s="731"/>
      <c r="BW642" s="731"/>
      <c r="BX642" s="731"/>
      <c r="BY642" s="731"/>
      <c r="BZ642" s="731"/>
      <c r="CA642" s="731"/>
      <c r="CB642" s="732"/>
      <c r="CC642" s="732"/>
      <c r="CD642" s="732"/>
      <c r="CE642" s="732"/>
      <c r="CF642" s="732"/>
      <c r="CG642" s="732"/>
      <c r="CH642" s="732"/>
      <c r="CI642" s="732"/>
      <c r="CJ642" s="732"/>
      <c r="CK642" s="732"/>
      <c r="CL642" s="732"/>
      <c r="CM642" s="732"/>
      <c r="CN642" s="732"/>
      <c r="CO642" s="732"/>
      <c r="CP642" s="732"/>
      <c r="CQ642" s="732"/>
      <c r="CR642" s="732"/>
      <c r="CS642" s="732"/>
      <c r="CT642" s="732"/>
      <c r="CU642" s="732"/>
      <c r="CV642" s="732"/>
      <c r="CW642" s="732"/>
      <c r="CX642" s="732"/>
      <c r="CY642" s="732"/>
      <c r="CZ642" s="732"/>
      <c r="DA642" s="732"/>
      <c r="DB642" s="732"/>
      <c r="DC642" s="732"/>
      <c r="DD642" s="732"/>
      <c r="DE642" s="732"/>
      <c r="DF642" s="732"/>
      <c r="DG642" s="732"/>
      <c r="DH642" s="732"/>
      <c r="DI642" s="732"/>
      <c r="DJ642" s="732"/>
      <c r="DK642" s="732"/>
      <c r="DL642" s="732"/>
      <c r="DM642" s="732"/>
      <c r="DN642" s="732"/>
      <c r="DO642" s="732"/>
      <c r="DP642" s="732"/>
    </row>
    <row r="643" spans="1:120" hidden="1" outlineLevel="1">
      <c r="A643" s="55">
        <v>1110052090</v>
      </c>
      <c r="B643" s="90"/>
      <c r="C643" s="91" t="s">
        <v>64</v>
      </c>
      <c r="D643" s="1557"/>
      <c r="E643" s="1558"/>
      <c r="F643" s="416"/>
      <c r="G643" s="1251"/>
      <c r="H643" s="511"/>
      <c r="I643" s="512"/>
      <c r="J643" s="1425">
        <v>1</v>
      </c>
      <c r="K643" s="1426">
        <v>1</v>
      </c>
      <c r="L643" s="417"/>
      <c r="M643" s="1540">
        <f>+L643*J643</f>
        <v>0</v>
      </c>
      <c r="N643" s="504"/>
      <c r="O643" s="513">
        <f t="shared" si="1852"/>
        <v>0</v>
      </c>
      <c r="P643" s="431"/>
      <c r="Q643" s="514"/>
      <c r="R643" s="515"/>
      <c r="S643" s="515"/>
      <c r="T643" s="562">
        <f t="shared" si="1853"/>
        <v>0</v>
      </c>
      <c r="U643" s="439">
        <f t="shared" si="1854"/>
        <v>0</v>
      </c>
      <c r="V643" s="517">
        <f t="shared" si="1855"/>
        <v>0</v>
      </c>
      <c r="W643" s="976">
        <f t="shared" si="1856"/>
        <v>0</v>
      </c>
      <c r="X643" s="975">
        <f t="shared" si="1857"/>
        <v>0</v>
      </c>
      <c r="Y643" s="519"/>
      <c r="AA643" s="199"/>
      <c r="AB643" s="561"/>
      <c r="AC643" s="561"/>
      <c r="AD643" s="561"/>
      <c r="AE643" s="561"/>
      <c r="AF643" s="561"/>
      <c r="AG643" s="561"/>
      <c r="AH643" s="561"/>
      <c r="AI643" s="561"/>
      <c r="AJ643" s="561"/>
      <c r="AK643" s="561"/>
      <c r="AL643" s="1542"/>
      <c r="AM643" s="561"/>
      <c r="AN643" s="561"/>
      <c r="AO643" s="561"/>
      <c r="AP643" s="561"/>
      <c r="AQ643" s="561"/>
      <c r="AR643" s="561"/>
      <c r="AS643" s="561"/>
      <c r="AT643" s="561"/>
      <c r="AU643" s="561"/>
      <c r="AV643" s="561"/>
      <c r="AW643" s="561"/>
      <c r="AX643" s="561"/>
      <c r="AY643" s="561"/>
      <c r="AZ643" s="561"/>
      <c r="BA643" s="561"/>
      <c r="BB643" s="561"/>
      <c r="BC643" s="561"/>
      <c r="BD643" s="561"/>
      <c r="BE643" s="561"/>
      <c r="BF643" s="561"/>
      <c r="BG643" s="561"/>
      <c r="BH643" s="561"/>
      <c r="BI643" s="561"/>
      <c r="BJ643" s="561"/>
      <c r="BK643" s="561"/>
      <c r="BL643" s="561"/>
      <c r="BM643" s="561"/>
      <c r="BN643" s="561"/>
      <c r="BO643" s="561"/>
      <c r="BP643" s="561">
        <f>+M643</f>
        <v>0</v>
      </c>
      <c r="BQ643" s="561"/>
      <c r="BR643" s="561"/>
      <c r="BS643" s="561"/>
      <c r="BT643" s="561"/>
      <c r="BU643" s="561"/>
      <c r="BV643" s="561"/>
      <c r="BW643" s="561"/>
      <c r="BX643" s="561"/>
      <c r="BY643" s="561"/>
      <c r="BZ643" s="561"/>
      <c r="CA643" s="561"/>
      <c r="CB643" s="737"/>
      <c r="CC643" s="737"/>
      <c r="CD643" s="737"/>
      <c r="CE643" s="737"/>
      <c r="CF643" s="737"/>
      <c r="CG643" s="737"/>
      <c r="CH643" s="737"/>
      <c r="CI643" s="737"/>
      <c r="CJ643" s="737"/>
      <c r="CK643" s="737"/>
      <c r="CL643" s="737"/>
      <c r="CM643" s="737"/>
      <c r="CN643" s="737"/>
      <c r="CO643" s="737"/>
      <c r="CP643" s="737"/>
      <c r="CQ643" s="737"/>
      <c r="CR643" s="737"/>
      <c r="CS643" s="737"/>
      <c r="CT643" s="737"/>
      <c r="CU643" s="737"/>
      <c r="CV643" s="737"/>
      <c r="CW643" s="737"/>
      <c r="CX643" s="737"/>
      <c r="CY643" s="737"/>
      <c r="CZ643" s="737"/>
      <c r="DA643" s="737"/>
      <c r="DB643" s="737"/>
      <c r="DC643" s="737"/>
      <c r="DD643" s="737"/>
      <c r="DE643" s="737"/>
      <c r="DF643" s="737"/>
      <c r="DG643" s="737"/>
      <c r="DH643" s="737"/>
      <c r="DI643" s="737"/>
      <c r="DJ643" s="737"/>
      <c r="DK643" s="737"/>
      <c r="DL643" s="737"/>
      <c r="DM643" s="737"/>
      <c r="DN643" s="737"/>
      <c r="DO643" s="737"/>
      <c r="DP643" s="737"/>
    </row>
    <row r="644" spans="1:120" hidden="1" outlineLevel="1">
      <c r="A644" s="55">
        <v>1110052090</v>
      </c>
      <c r="B644" s="90"/>
      <c r="C644" s="91" t="s">
        <v>64</v>
      </c>
      <c r="D644" s="1557"/>
      <c r="E644" s="1558"/>
      <c r="F644" s="416"/>
      <c r="G644" s="1251"/>
      <c r="H644" s="511"/>
      <c r="I644" s="512"/>
      <c r="J644" s="1425">
        <v>1</v>
      </c>
      <c r="K644" s="1426">
        <v>1</v>
      </c>
      <c r="L644" s="417"/>
      <c r="M644" s="1540"/>
      <c r="N644" s="504"/>
      <c r="O644" s="513">
        <f t="shared" si="1852"/>
        <v>0</v>
      </c>
      <c r="P644" s="431"/>
      <c r="Q644" s="514">
        <f t="shared" ref="Q644" si="1858">+P644*K644</f>
        <v>0</v>
      </c>
      <c r="R644" s="515"/>
      <c r="S644" s="515"/>
      <c r="T644" s="562">
        <f t="shared" si="1853"/>
        <v>0</v>
      </c>
      <c r="U644" s="439">
        <f t="shared" si="1854"/>
        <v>0</v>
      </c>
      <c r="V644" s="517">
        <f t="shared" si="1855"/>
        <v>0</v>
      </c>
      <c r="W644" s="976">
        <f t="shared" si="1856"/>
        <v>0</v>
      </c>
      <c r="X644" s="975">
        <f t="shared" si="1857"/>
        <v>0</v>
      </c>
      <c r="Y644" s="519"/>
      <c r="AA644" s="199"/>
      <c r="AB644" s="561"/>
      <c r="AC644" s="561"/>
      <c r="AD644" s="561"/>
      <c r="AE644" s="561"/>
      <c r="AF644" s="561"/>
      <c r="AG644" s="561"/>
      <c r="AH644" s="561"/>
      <c r="AI644" s="561"/>
      <c r="AJ644" s="561"/>
      <c r="AK644" s="561"/>
      <c r="AL644" s="1542"/>
      <c r="AM644" s="561"/>
      <c r="AN644" s="561"/>
      <c r="AO644" s="561"/>
      <c r="AP644" s="561"/>
      <c r="AQ644" s="561"/>
      <c r="AR644" s="561"/>
      <c r="AS644" s="561"/>
      <c r="AT644" s="561"/>
      <c r="AU644" s="561"/>
      <c r="AV644" s="561"/>
      <c r="AW644" s="561"/>
      <c r="AX644" s="561"/>
      <c r="AY644" s="561"/>
      <c r="AZ644" s="561"/>
      <c r="BA644" s="561"/>
      <c r="BB644" s="561">
        <f>+Q644</f>
        <v>0</v>
      </c>
      <c r="BC644" s="561"/>
      <c r="BD644" s="561"/>
      <c r="BE644" s="561"/>
      <c r="BF644" s="561"/>
      <c r="BG644" s="561"/>
      <c r="BH644" s="561"/>
      <c r="BI644" s="561"/>
      <c r="BJ644" s="561"/>
      <c r="BK644" s="561"/>
      <c r="BL644" s="561"/>
      <c r="BM644" s="561"/>
      <c r="BN644" s="561"/>
      <c r="BO644" s="561"/>
      <c r="BP644" s="561"/>
      <c r="BQ644" s="561"/>
      <c r="BR644" s="561"/>
      <c r="BS644" s="561"/>
      <c r="BT644" s="561"/>
      <c r="BU644" s="561"/>
      <c r="BV644" s="561"/>
      <c r="BW644" s="561"/>
      <c r="BX644" s="561"/>
      <c r="BY644" s="561"/>
      <c r="BZ644" s="561"/>
      <c r="CA644" s="561"/>
      <c r="CB644" s="737"/>
      <c r="CC644" s="737"/>
      <c r="CD644" s="737"/>
      <c r="CE644" s="737"/>
      <c r="CF644" s="737"/>
      <c r="CG644" s="737"/>
      <c r="CH644" s="737"/>
      <c r="CI644" s="737"/>
      <c r="CJ644" s="737"/>
      <c r="CK644" s="737"/>
      <c r="CL644" s="737"/>
      <c r="CM644" s="737"/>
      <c r="CN644" s="737"/>
      <c r="CO644" s="737"/>
      <c r="CP644" s="737"/>
      <c r="CQ644" s="737"/>
      <c r="CR644" s="737"/>
      <c r="CS644" s="737"/>
      <c r="CT644" s="737"/>
      <c r="CU644" s="737"/>
      <c r="CV644" s="737"/>
      <c r="CW644" s="737"/>
      <c r="CX644" s="737"/>
      <c r="CY644" s="737"/>
      <c r="CZ644" s="737"/>
      <c r="DA644" s="737"/>
      <c r="DB644" s="737"/>
      <c r="DC644" s="737"/>
      <c r="DD644" s="737"/>
      <c r="DE644" s="737"/>
      <c r="DF644" s="737"/>
      <c r="DG644" s="737"/>
      <c r="DH644" s="737"/>
      <c r="DI644" s="737"/>
      <c r="DJ644" s="737"/>
      <c r="DK644" s="737"/>
      <c r="DL644" s="737"/>
      <c r="DM644" s="737"/>
      <c r="DN644" s="737"/>
      <c r="DO644" s="737"/>
      <c r="DP644" s="737"/>
    </row>
    <row r="645" spans="1:120" hidden="1" outlineLevel="1">
      <c r="A645" s="55">
        <v>1110052090</v>
      </c>
      <c r="B645" s="90"/>
      <c r="C645" s="91" t="s">
        <v>64</v>
      </c>
      <c r="D645" s="1557"/>
      <c r="E645" s="1558"/>
      <c r="F645" s="416"/>
      <c r="G645" s="1251"/>
      <c r="H645" s="511"/>
      <c r="I645" s="512"/>
      <c r="J645" s="1425">
        <v>1</v>
      </c>
      <c r="K645" s="1426">
        <v>1</v>
      </c>
      <c r="L645" s="417"/>
      <c r="M645" s="1540">
        <f>+L645*J645</f>
        <v>0</v>
      </c>
      <c r="N645" s="504"/>
      <c r="O645" s="513">
        <f t="shared" si="1852"/>
        <v>0</v>
      </c>
      <c r="P645" s="431"/>
      <c r="Q645" s="514"/>
      <c r="R645" s="515"/>
      <c r="S645" s="515"/>
      <c r="T645" s="562">
        <f t="shared" si="1853"/>
        <v>0</v>
      </c>
      <c r="U645" s="439">
        <f t="shared" si="1854"/>
        <v>0</v>
      </c>
      <c r="V645" s="517">
        <f t="shared" si="1855"/>
        <v>0</v>
      </c>
      <c r="W645" s="976">
        <f t="shared" si="1856"/>
        <v>0</v>
      </c>
      <c r="X645" s="975">
        <f t="shared" si="1857"/>
        <v>0</v>
      </c>
      <c r="Y645" s="519"/>
      <c r="AA645" s="199"/>
      <c r="AB645" s="561"/>
      <c r="AC645" s="561"/>
      <c r="AD645" s="561"/>
      <c r="AE645" s="561"/>
      <c r="AF645" s="561"/>
      <c r="AG645" s="561"/>
      <c r="AH645" s="561"/>
      <c r="AI645" s="561"/>
      <c r="AJ645" s="561"/>
      <c r="AK645" s="561"/>
      <c r="AL645" s="1542"/>
      <c r="AM645" s="561"/>
      <c r="AN645" s="561"/>
      <c r="AO645" s="561"/>
      <c r="AP645" s="561"/>
      <c r="AQ645" s="561"/>
      <c r="AR645" s="561"/>
      <c r="AS645" s="561"/>
      <c r="AT645" s="561"/>
      <c r="AU645" s="561"/>
      <c r="AV645" s="561"/>
      <c r="AW645" s="561"/>
      <c r="AX645" s="561"/>
      <c r="AY645" s="561"/>
      <c r="AZ645" s="561"/>
      <c r="BA645" s="561"/>
      <c r="BB645" s="561"/>
      <c r="BC645" s="561"/>
      <c r="BD645" s="561"/>
      <c r="BE645" s="561"/>
      <c r="BF645" s="561"/>
      <c r="BG645" s="561"/>
      <c r="BH645" s="561"/>
      <c r="BI645" s="561"/>
      <c r="BJ645" s="561"/>
      <c r="BK645" s="561"/>
      <c r="BL645" s="561"/>
      <c r="BM645" s="561"/>
      <c r="BN645" s="561"/>
      <c r="BO645" s="561"/>
      <c r="BP645" s="561"/>
      <c r="BQ645" s="561"/>
      <c r="BR645" s="561"/>
      <c r="BS645" s="561">
        <f>+M645</f>
        <v>0</v>
      </c>
      <c r="BT645" s="561"/>
      <c r="BU645" s="561"/>
      <c r="BV645" s="561"/>
      <c r="BW645" s="561"/>
      <c r="BX645" s="561"/>
      <c r="BY645" s="561"/>
      <c r="BZ645" s="561"/>
      <c r="CA645" s="561"/>
      <c r="CB645" s="737"/>
      <c r="CC645" s="737"/>
      <c r="CD645" s="737"/>
      <c r="CE645" s="737"/>
      <c r="CF645" s="737"/>
      <c r="CG645" s="737"/>
      <c r="CH645" s="737"/>
      <c r="CI645" s="737"/>
      <c r="CJ645" s="737"/>
      <c r="CK645" s="737"/>
      <c r="CL645" s="737"/>
      <c r="CM645" s="737"/>
      <c r="CN645" s="737"/>
      <c r="CO645" s="737"/>
      <c r="CP645" s="737"/>
      <c r="CQ645" s="737"/>
      <c r="CR645" s="737"/>
      <c r="CS645" s="737"/>
      <c r="CT645" s="737"/>
      <c r="CU645" s="737"/>
      <c r="CV645" s="737"/>
      <c r="CW645" s="737"/>
      <c r="CX645" s="737"/>
      <c r="CY645" s="737"/>
      <c r="CZ645" s="737"/>
      <c r="DA645" s="737"/>
      <c r="DB645" s="737"/>
      <c r="DC645" s="737"/>
      <c r="DD645" s="737"/>
      <c r="DE645" s="737"/>
      <c r="DF645" s="737"/>
      <c r="DG645" s="737"/>
      <c r="DH645" s="737"/>
      <c r="DI645" s="737"/>
      <c r="DJ645" s="737"/>
      <c r="DK645" s="737"/>
      <c r="DL645" s="737"/>
      <c r="DM645" s="737"/>
      <c r="DN645" s="737"/>
      <c r="DO645" s="737"/>
      <c r="DP645" s="737"/>
    </row>
    <row r="646" spans="1:120" hidden="1" outlineLevel="1">
      <c r="A646" s="55">
        <v>1110052090</v>
      </c>
      <c r="B646" s="90"/>
      <c r="C646" s="91" t="s">
        <v>64</v>
      </c>
      <c r="D646" s="1557"/>
      <c r="E646" s="1558"/>
      <c r="F646" s="416"/>
      <c r="G646" s="1251"/>
      <c r="H646" s="511"/>
      <c r="I646" s="512"/>
      <c r="J646" s="1425">
        <v>1</v>
      </c>
      <c r="K646" s="1426">
        <v>1</v>
      </c>
      <c r="L646" s="417"/>
      <c r="M646" s="1540">
        <f t="shared" ref="M646:M647" si="1859">+L646*J646</f>
        <v>0</v>
      </c>
      <c r="N646" s="504"/>
      <c r="O646" s="513">
        <f t="shared" si="1852"/>
        <v>0</v>
      </c>
      <c r="P646" s="431"/>
      <c r="Q646" s="514"/>
      <c r="R646" s="515"/>
      <c r="S646" s="515"/>
      <c r="T646" s="562">
        <f t="shared" si="1853"/>
        <v>0</v>
      </c>
      <c r="U646" s="439">
        <f t="shared" si="1854"/>
        <v>0</v>
      </c>
      <c r="V646" s="517">
        <f t="shared" si="1855"/>
        <v>0</v>
      </c>
      <c r="W646" s="976">
        <f t="shared" si="1856"/>
        <v>0</v>
      </c>
      <c r="X646" s="975">
        <f t="shared" si="1857"/>
        <v>0</v>
      </c>
      <c r="Y646" s="519"/>
      <c r="AA646" s="199"/>
      <c r="AB646" s="561"/>
      <c r="AC646" s="561"/>
      <c r="AD646" s="561"/>
      <c r="AE646" s="561"/>
      <c r="AF646" s="561"/>
      <c r="AG646" s="561"/>
      <c r="AH646" s="561"/>
      <c r="AI646" s="561"/>
      <c r="AJ646" s="561"/>
      <c r="AK646" s="561"/>
      <c r="AL646" s="1542"/>
      <c r="AM646" s="561"/>
      <c r="AN646" s="561"/>
      <c r="AO646" s="561"/>
      <c r="AP646" s="561"/>
      <c r="AQ646" s="561"/>
      <c r="AR646" s="561"/>
      <c r="AS646" s="561"/>
      <c r="AT646" s="561"/>
      <c r="AU646" s="561"/>
      <c r="AV646" s="561"/>
      <c r="AW646" s="561"/>
      <c r="AX646" s="561"/>
      <c r="AY646" s="561"/>
      <c r="AZ646" s="561"/>
      <c r="BA646" s="561"/>
      <c r="BB646" s="561"/>
      <c r="BC646" s="561"/>
      <c r="BD646" s="561"/>
      <c r="BE646" s="561"/>
      <c r="BF646" s="561"/>
      <c r="BG646" s="561"/>
      <c r="BH646" s="561"/>
      <c r="BI646" s="561"/>
      <c r="BJ646" s="561"/>
      <c r="BK646" s="561"/>
      <c r="BL646" s="561"/>
      <c r="BM646" s="561"/>
      <c r="BN646" s="561"/>
      <c r="BO646" s="561"/>
      <c r="BP646" s="561"/>
      <c r="BQ646" s="561"/>
      <c r="BR646" s="561"/>
      <c r="BS646" s="561">
        <f>+M646</f>
        <v>0</v>
      </c>
      <c r="BT646" s="561"/>
      <c r="BU646" s="561"/>
      <c r="BV646" s="561"/>
      <c r="BW646" s="561"/>
      <c r="BX646" s="561"/>
      <c r="BY646" s="561"/>
      <c r="BZ646" s="561"/>
      <c r="CA646" s="561"/>
      <c r="CB646" s="737"/>
      <c r="CC646" s="737"/>
      <c r="CD646" s="737"/>
      <c r="CE646" s="737"/>
      <c r="CF646" s="737"/>
      <c r="CG646" s="737"/>
      <c r="CH646" s="737"/>
      <c r="CI646" s="737"/>
      <c r="CJ646" s="737"/>
      <c r="CK646" s="737"/>
      <c r="CL646" s="737"/>
      <c r="CM646" s="737"/>
      <c r="CN646" s="737"/>
      <c r="CO646" s="737"/>
      <c r="CP646" s="737"/>
      <c r="CQ646" s="737"/>
      <c r="CR646" s="737"/>
      <c r="CS646" s="737"/>
      <c r="CT646" s="737"/>
      <c r="CU646" s="737"/>
      <c r="CV646" s="737"/>
      <c r="CW646" s="737"/>
      <c r="CX646" s="737"/>
      <c r="CY646" s="737"/>
      <c r="CZ646" s="737"/>
      <c r="DA646" s="737"/>
      <c r="DB646" s="737"/>
      <c r="DC646" s="737"/>
      <c r="DD646" s="737"/>
      <c r="DE646" s="737"/>
      <c r="DF646" s="737"/>
      <c r="DG646" s="737"/>
      <c r="DH646" s="737"/>
      <c r="DI646" s="737"/>
      <c r="DJ646" s="737"/>
      <c r="DK646" s="737"/>
      <c r="DL646" s="737"/>
      <c r="DM646" s="737"/>
      <c r="DN646" s="737"/>
      <c r="DO646" s="737"/>
      <c r="DP646" s="737"/>
    </row>
    <row r="647" spans="1:120" hidden="1" outlineLevel="1">
      <c r="A647" s="55">
        <v>1110052090</v>
      </c>
      <c r="B647" s="90"/>
      <c r="C647" s="91" t="s">
        <v>64</v>
      </c>
      <c r="D647" s="1557"/>
      <c r="E647" s="1558"/>
      <c r="F647" s="416"/>
      <c r="G647" s="1251"/>
      <c r="H647" s="511"/>
      <c r="I647" s="512"/>
      <c r="J647" s="1425">
        <v>1</v>
      </c>
      <c r="K647" s="1426">
        <v>1</v>
      </c>
      <c r="L647" s="417"/>
      <c r="M647" s="1540">
        <f t="shared" si="1859"/>
        <v>0</v>
      </c>
      <c r="N647" s="504"/>
      <c r="O647" s="513">
        <f t="shared" si="1852"/>
        <v>0</v>
      </c>
      <c r="P647" s="431"/>
      <c r="Q647" s="514"/>
      <c r="R647" s="515"/>
      <c r="S647" s="515"/>
      <c r="T647" s="562">
        <f t="shared" si="1853"/>
        <v>0</v>
      </c>
      <c r="U647" s="439">
        <f t="shared" si="1854"/>
        <v>0</v>
      </c>
      <c r="V647" s="517">
        <f t="shared" si="1855"/>
        <v>0</v>
      </c>
      <c r="W647" s="976">
        <f t="shared" si="1856"/>
        <v>0</v>
      </c>
      <c r="X647" s="975">
        <f t="shared" si="1857"/>
        <v>0</v>
      </c>
      <c r="Y647" s="519"/>
      <c r="AA647" s="199"/>
      <c r="AB647" s="561"/>
      <c r="AC647" s="561"/>
      <c r="AD647" s="561"/>
      <c r="AE647" s="561"/>
      <c r="AF647" s="561"/>
      <c r="AG647" s="561"/>
      <c r="AH647" s="561"/>
      <c r="AI647" s="561"/>
      <c r="AJ647" s="561"/>
      <c r="AK647" s="561"/>
      <c r="AL647" s="1542"/>
      <c r="AM647" s="561"/>
      <c r="AN647" s="561"/>
      <c r="AO647" s="561"/>
      <c r="AP647" s="561"/>
      <c r="AQ647" s="561"/>
      <c r="AR647" s="561"/>
      <c r="AS647" s="561"/>
      <c r="AT647" s="561"/>
      <c r="AU647" s="561"/>
      <c r="AV647" s="561"/>
      <c r="AW647" s="561"/>
      <c r="AX647" s="561"/>
      <c r="AY647" s="561"/>
      <c r="AZ647" s="561"/>
      <c r="BA647" s="561"/>
      <c r="BB647" s="561"/>
      <c r="BC647" s="561"/>
      <c r="BD647" s="561"/>
      <c r="BE647" s="561"/>
      <c r="BF647" s="561"/>
      <c r="BG647" s="561"/>
      <c r="BH647" s="561"/>
      <c r="BI647" s="561"/>
      <c r="BJ647" s="561"/>
      <c r="BK647" s="561"/>
      <c r="BL647" s="561"/>
      <c r="BM647" s="561"/>
      <c r="BN647" s="561"/>
      <c r="BO647" s="561"/>
      <c r="BP647" s="561"/>
      <c r="BQ647" s="561"/>
      <c r="BR647" s="561"/>
      <c r="BS647" s="561">
        <f>+M647</f>
        <v>0</v>
      </c>
      <c r="BT647" s="561"/>
      <c r="BU647" s="561"/>
      <c r="BV647" s="561"/>
      <c r="BW647" s="561"/>
      <c r="BX647" s="561"/>
      <c r="BY647" s="561"/>
      <c r="BZ647" s="561"/>
      <c r="CA647" s="561"/>
      <c r="CB647" s="737"/>
      <c r="CC647" s="737"/>
      <c r="CD647" s="737"/>
      <c r="CE647" s="737"/>
      <c r="CF647" s="737"/>
      <c r="CG647" s="737"/>
      <c r="CH647" s="737"/>
      <c r="CI647" s="737"/>
      <c r="CJ647" s="737"/>
      <c r="CK647" s="737"/>
      <c r="CL647" s="737"/>
      <c r="CM647" s="737"/>
      <c r="CN647" s="737"/>
      <c r="CO647" s="737"/>
      <c r="CP647" s="737"/>
      <c r="CQ647" s="737"/>
      <c r="CR647" s="737"/>
      <c r="CS647" s="737"/>
      <c r="CT647" s="737"/>
      <c r="CU647" s="737"/>
      <c r="CV647" s="737"/>
      <c r="CW647" s="737"/>
      <c r="CX647" s="737"/>
      <c r="CY647" s="737"/>
      <c r="CZ647" s="737"/>
      <c r="DA647" s="737"/>
      <c r="DB647" s="737"/>
      <c r="DC647" s="737"/>
      <c r="DD647" s="737"/>
      <c r="DE647" s="737"/>
      <c r="DF647" s="737"/>
      <c r="DG647" s="737"/>
      <c r="DH647" s="737"/>
      <c r="DI647" s="737"/>
      <c r="DJ647" s="737"/>
      <c r="DK647" s="737"/>
      <c r="DL647" s="737"/>
      <c r="DM647" s="737"/>
      <c r="DN647" s="737"/>
      <c r="DO647" s="737"/>
      <c r="DP647" s="737"/>
    </row>
    <row r="648" spans="1:120" s="13" customFormat="1" hidden="1" outlineLevel="1">
      <c r="A648" s="1221">
        <v>1110052090</v>
      </c>
      <c r="B648" s="1216"/>
      <c r="C648" s="101" t="s">
        <v>64</v>
      </c>
      <c r="D648" s="1712"/>
      <c r="E648" s="1642"/>
      <c r="F648" s="1224"/>
      <c r="G648" s="1266"/>
      <c r="H648" s="1225"/>
      <c r="I648" s="1226"/>
      <c r="J648" s="1604">
        <v>1</v>
      </c>
      <c r="K648" s="1605">
        <v>1</v>
      </c>
      <c r="L648" s="1606"/>
      <c r="M648" s="1626"/>
      <c r="N648" s="1228"/>
      <c r="O648" s="1229">
        <f t="shared" si="1852"/>
        <v>0</v>
      </c>
      <c r="P648" s="1713"/>
      <c r="Q648" s="1230">
        <f t="shared" ref="Q648" si="1860">+P648*K648</f>
        <v>0</v>
      </c>
      <c r="R648" s="1231"/>
      <c r="S648" s="1231"/>
      <c r="T648" s="1232">
        <f t="shared" si="1853"/>
        <v>0</v>
      </c>
      <c r="U648" s="2012">
        <f t="shared" si="1854"/>
        <v>0</v>
      </c>
      <c r="V648" s="1234">
        <f t="shared" si="1855"/>
        <v>0</v>
      </c>
      <c r="W648" s="1235">
        <f t="shared" si="1856"/>
        <v>0</v>
      </c>
      <c r="X648" s="1236">
        <f t="shared" si="1857"/>
        <v>0</v>
      </c>
      <c r="Y648" s="1162"/>
      <c r="Z648" s="1058"/>
      <c r="AA648" s="1163"/>
      <c r="AB648" s="1164"/>
      <c r="AC648" s="1164"/>
      <c r="AD648" s="1164"/>
      <c r="AE648" s="1164"/>
      <c r="AF648" s="1164"/>
      <c r="AG648" s="1164"/>
      <c r="AH648" s="1164"/>
      <c r="AI648" s="1164"/>
      <c r="AJ648" s="1164"/>
      <c r="AK648" s="1164"/>
      <c r="AL648" s="1578"/>
      <c r="AM648" s="1164"/>
      <c r="AN648" s="1164"/>
      <c r="AO648" s="1164"/>
      <c r="AP648" s="1164"/>
      <c r="AQ648" s="1164"/>
      <c r="AR648" s="1164"/>
      <c r="AS648" s="1164"/>
      <c r="AT648" s="1164"/>
      <c r="AU648" s="1164"/>
      <c r="AV648" s="1164"/>
      <c r="AW648" s="1164"/>
      <c r="AX648" s="1164"/>
      <c r="AY648" s="1164"/>
      <c r="AZ648" s="1164"/>
      <c r="BA648" s="1164"/>
      <c r="BB648" s="1164"/>
      <c r="BC648" s="1164"/>
      <c r="BD648" s="1164"/>
      <c r="BE648" s="1164"/>
      <c r="BF648" s="1164"/>
      <c r="BG648" s="1164"/>
      <c r="BH648" s="1164"/>
      <c r="BI648" s="1164"/>
      <c r="BJ648" s="1164"/>
      <c r="BK648" s="1164"/>
      <c r="BL648" s="1164"/>
      <c r="BM648" s="1164"/>
      <c r="BN648" s="1164"/>
      <c r="BO648" s="1164"/>
      <c r="BP648" s="1164"/>
      <c r="BQ648" s="1164"/>
      <c r="BR648" s="1164"/>
      <c r="BS648" s="1164"/>
      <c r="BT648" s="1164"/>
      <c r="BU648" s="1164"/>
      <c r="BV648" s="1164"/>
      <c r="BW648" s="1164"/>
      <c r="BX648" s="1164"/>
      <c r="BY648" s="1164"/>
      <c r="BZ648" s="1164"/>
      <c r="CA648" s="1164"/>
      <c r="CB648" s="1165"/>
      <c r="CC648" s="1165"/>
      <c r="CD648" s="1165"/>
      <c r="CE648" s="1165"/>
      <c r="CF648" s="1165"/>
      <c r="CG648" s="1165"/>
      <c r="CH648" s="1165"/>
      <c r="CI648" s="1165"/>
      <c r="CJ648" s="1165"/>
      <c r="CK648" s="1165"/>
      <c r="CL648" s="1165"/>
      <c r="CM648" s="1165"/>
      <c r="CN648" s="1165"/>
      <c r="CO648" s="1165"/>
      <c r="CP648" s="1165"/>
      <c r="CQ648" s="1165"/>
      <c r="CR648" s="1165"/>
      <c r="CS648" s="1165"/>
      <c r="CT648" s="1165"/>
      <c r="CU648" s="1165"/>
      <c r="CV648" s="1165"/>
      <c r="CW648" s="1165"/>
      <c r="CX648" s="1165"/>
      <c r="CY648" s="1165"/>
      <c r="CZ648" s="1165"/>
      <c r="DA648" s="1165"/>
      <c r="DB648" s="1165"/>
      <c r="DC648" s="1165"/>
      <c r="DD648" s="1165"/>
      <c r="DE648" s="1165"/>
      <c r="DF648" s="1165"/>
      <c r="DG648" s="1165"/>
      <c r="DH648" s="1165"/>
      <c r="DI648" s="1165"/>
      <c r="DJ648" s="1165"/>
      <c r="DK648" s="1165"/>
      <c r="DL648" s="1165"/>
      <c r="DM648" s="1165"/>
      <c r="DN648" s="1165"/>
      <c r="DO648" s="1165"/>
      <c r="DP648" s="1165"/>
    </row>
    <row r="649" spans="1:120" s="13" customFormat="1" hidden="1" outlineLevel="1">
      <c r="A649" s="1221">
        <v>1110052090</v>
      </c>
      <c r="B649" s="1216"/>
      <c r="C649" s="101" t="s">
        <v>64</v>
      </c>
      <c r="D649" s="1712"/>
      <c r="E649" s="1642"/>
      <c r="F649" s="1224"/>
      <c r="G649" s="1266"/>
      <c r="H649" s="1225"/>
      <c r="I649" s="1226"/>
      <c r="J649" s="1604">
        <v>1</v>
      </c>
      <c r="K649" s="1605">
        <v>1</v>
      </c>
      <c r="L649" s="1606"/>
      <c r="M649" s="1626"/>
      <c r="N649" s="1228"/>
      <c r="O649" s="1229">
        <f t="shared" si="1852"/>
        <v>0</v>
      </c>
      <c r="P649" s="1713"/>
      <c r="Q649" s="1230">
        <f t="shared" ref="Q649:Q658" si="1861">+P649*K649</f>
        <v>0</v>
      </c>
      <c r="R649" s="1231"/>
      <c r="S649" s="1231"/>
      <c r="T649" s="1232">
        <f t="shared" si="1853"/>
        <v>0</v>
      </c>
      <c r="U649" s="2012">
        <f t="shared" si="1854"/>
        <v>0</v>
      </c>
      <c r="V649" s="1234">
        <f t="shared" si="1855"/>
        <v>0</v>
      </c>
      <c r="W649" s="1235">
        <f t="shared" si="1856"/>
        <v>0</v>
      </c>
      <c r="X649" s="1236">
        <f t="shared" si="1857"/>
        <v>0</v>
      </c>
      <c r="Y649" s="1162"/>
      <c r="Z649" s="1058"/>
      <c r="AA649" s="1163"/>
      <c r="AB649" s="1164"/>
      <c r="AC649" s="1164"/>
      <c r="AD649" s="1164"/>
      <c r="AE649" s="1164"/>
      <c r="AF649" s="1164"/>
      <c r="AG649" s="1164"/>
      <c r="AH649" s="1164"/>
      <c r="AI649" s="1164"/>
      <c r="AJ649" s="1164"/>
      <c r="AK649" s="1164"/>
      <c r="AL649" s="1578"/>
      <c r="AM649" s="1164"/>
      <c r="AN649" s="1164"/>
      <c r="AO649" s="1164"/>
      <c r="AP649" s="1164"/>
      <c r="AQ649" s="1164"/>
      <c r="AR649" s="1164"/>
      <c r="AS649" s="1164"/>
      <c r="AT649" s="1164"/>
      <c r="AU649" s="1164"/>
      <c r="AV649" s="1164"/>
      <c r="AW649" s="1164"/>
      <c r="AX649" s="1164"/>
      <c r="AY649" s="1164"/>
      <c r="AZ649" s="1164"/>
      <c r="BA649" s="1164"/>
      <c r="BB649" s="1164">
        <f>+Q649</f>
        <v>0</v>
      </c>
      <c r="BC649" s="1164"/>
      <c r="BD649" s="1164"/>
      <c r="BE649" s="1164"/>
      <c r="BF649" s="1164"/>
      <c r="BG649" s="1164"/>
      <c r="BH649" s="1164"/>
      <c r="BI649" s="1164"/>
      <c r="BJ649" s="1164"/>
      <c r="BK649" s="1164"/>
      <c r="BL649" s="1164"/>
      <c r="BM649" s="1164"/>
      <c r="BN649" s="1164"/>
      <c r="BO649" s="1164"/>
      <c r="BP649" s="1164"/>
      <c r="BQ649" s="1164"/>
      <c r="BR649" s="1164"/>
      <c r="BS649" s="1164"/>
      <c r="BT649" s="1164"/>
      <c r="BU649" s="1164"/>
      <c r="BV649" s="1164"/>
      <c r="BW649" s="1164"/>
      <c r="BX649" s="1164"/>
      <c r="BY649" s="1164"/>
      <c r="BZ649" s="1164"/>
      <c r="CA649" s="1164"/>
      <c r="CB649" s="1165"/>
      <c r="CC649" s="1165"/>
      <c r="CD649" s="1165"/>
      <c r="CE649" s="1165"/>
      <c r="CF649" s="1165"/>
      <c r="CG649" s="1165"/>
      <c r="CH649" s="1165"/>
      <c r="CI649" s="1165"/>
      <c r="CJ649" s="1165"/>
      <c r="CK649" s="1165"/>
      <c r="CL649" s="1165"/>
      <c r="CM649" s="1165"/>
      <c r="CN649" s="1165"/>
      <c r="CO649" s="1165"/>
      <c r="CP649" s="1165"/>
      <c r="CQ649" s="1165"/>
      <c r="CR649" s="1165"/>
      <c r="CS649" s="1165"/>
      <c r="CT649" s="1165"/>
      <c r="CU649" s="1165"/>
      <c r="CV649" s="1165"/>
      <c r="CW649" s="1165"/>
      <c r="CX649" s="1165"/>
      <c r="CY649" s="1165"/>
      <c r="CZ649" s="1165"/>
      <c r="DA649" s="1165"/>
      <c r="DB649" s="1165"/>
      <c r="DC649" s="1165"/>
      <c r="DD649" s="1165"/>
      <c r="DE649" s="1165"/>
      <c r="DF649" s="1165"/>
      <c r="DG649" s="1165"/>
      <c r="DH649" s="1165"/>
      <c r="DI649" s="1165"/>
      <c r="DJ649" s="1165"/>
      <c r="DK649" s="1165"/>
      <c r="DL649" s="1165"/>
      <c r="DM649" s="1165"/>
      <c r="DN649" s="1165"/>
      <c r="DO649" s="1165"/>
      <c r="DP649" s="1165"/>
    </row>
    <row r="650" spans="1:120" s="13" customFormat="1" hidden="1" outlineLevel="1">
      <c r="A650" s="1221">
        <v>1110052090</v>
      </c>
      <c r="B650" s="1216"/>
      <c r="C650" s="101" t="s">
        <v>64</v>
      </c>
      <c r="D650" s="1712"/>
      <c r="E650" s="1642"/>
      <c r="F650" s="1224"/>
      <c r="G650" s="1266"/>
      <c r="H650" s="1225"/>
      <c r="I650" s="1226"/>
      <c r="J650" s="1604">
        <v>1</v>
      </c>
      <c r="K650" s="1605">
        <v>1</v>
      </c>
      <c r="L650" s="1606"/>
      <c r="M650" s="1626"/>
      <c r="N650" s="1228"/>
      <c r="O650" s="1229">
        <f t="shared" si="1852"/>
        <v>0</v>
      </c>
      <c r="P650" s="1713"/>
      <c r="Q650" s="1230">
        <f t="shared" ref="Q650:Q651" si="1862">+P650*K650</f>
        <v>0</v>
      </c>
      <c r="R650" s="1231"/>
      <c r="S650" s="1231"/>
      <c r="T650" s="1232">
        <f t="shared" si="1853"/>
        <v>0</v>
      </c>
      <c r="U650" s="2012">
        <f t="shared" si="1854"/>
        <v>0</v>
      </c>
      <c r="V650" s="1234">
        <f t="shared" si="1855"/>
        <v>0</v>
      </c>
      <c r="W650" s="1235">
        <f t="shared" si="1856"/>
        <v>0</v>
      </c>
      <c r="X650" s="1236">
        <f t="shared" si="1857"/>
        <v>0</v>
      </c>
      <c r="Y650" s="1162"/>
      <c r="Z650" s="1058"/>
      <c r="AA650" s="1163"/>
      <c r="AB650" s="1164"/>
      <c r="AC650" s="1164"/>
      <c r="AD650" s="1164"/>
      <c r="AE650" s="1164"/>
      <c r="AF650" s="1164"/>
      <c r="AG650" s="1164"/>
      <c r="AH650" s="1164"/>
      <c r="AI650" s="1164"/>
      <c r="AJ650" s="1164"/>
      <c r="AK650" s="1164"/>
      <c r="AL650" s="1578"/>
      <c r="AM650" s="1164"/>
      <c r="AN650" s="1164"/>
      <c r="AO650" s="1164"/>
      <c r="AP650" s="1164"/>
      <c r="AQ650" s="1164"/>
      <c r="AR650" s="1164"/>
      <c r="AS650" s="1164"/>
      <c r="AT650" s="1164"/>
      <c r="AU650" s="1164"/>
      <c r="AV650" s="1164"/>
      <c r="AW650" s="1164"/>
      <c r="AX650" s="1164"/>
      <c r="AY650" s="1164"/>
      <c r="AZ650" s="1164"/>
      <c r="BA650" s="1164"/>
      <c r="BB650" s="1164"/>
      <c r="BC650" s="1164"/>
      <c r="BD650" s="1164"/>
      <c r="BE650" s="1164">
        <f>+Q650</f>
        <v>0</v>
      </c>
      <c r="BF650" s="1164"/>
      <c r="BG650" s="1164"/>
      <c r="BH650" s="1164"/>
      <c r="BI650" s="1164"/>
      <c r="BJ650" s="1164"/>
      <c r="BK650" s="1164"/>
      <c r="BL650" s="1164"/>
      <c r="BM650" s="1164"/>
      <c r="BN650" s="1164"/>
      <c r="BO650" s="1164"/>
      <c r="BP650" s="1164"/>
      <c r="BQ650" s="1164"/>
      <c r="BR650" s="1164"/>
      <c r="BS650" s="1164"/>
      <c r="BT650" s="1164"/>
      <c r="BU650" s="1164"/>
      <c r="BV650" s="1164"/>
      <c r="BW650" s="1164"/>
      <c r="BX650" s="1164"/>
      <c r="BY650" s="1164"/>
      <c r="BZ650" s="1164"/>
      <c r="CA650" s="1164"/>
      <c r="CB650" s="1165"/>
      <c r="CC650" s="1165"/>
      <c r="CD650" s="1165"/>
      <c r="CE650" s="1165"/>
      <c r="CF650" s="1165"/>
      <c r="CG650" s="1165"/>
      <c r="CH650" s="1165"/>
      <c r="CI650" s="1165"/>
      <c r="CJ650" s="1165"/>
      <c r="CK650" s="1165"/>
      <c r="CL650" s="1165"/>
      <c r="CM650" s="1165"/>
      <c r="CN650" s="1165"/>
      <c r="CO650" s="1165"/>
      <c r="CP650" s="1165"/>
      <c r="CQ650" s="1165"/>
      <c r="CR650" s="1165"/>
      <c r="CS650" s="1165"/>
      <c r="CT650" s="1165"/>
      <c r="CU650" s="1165"/>
      <c r="CV650" s="1165"/>
      <c r="CW650" s="1165"/>
      <c r="CX650" s="1165"/>
      <c r="CY650" s="1165"/>
      <c r="CZ650" s="1165"/>
      <c r="DA650" s="1165"/>
      <c r="DB650" s="1165"/>
      <c r="DC650" s="1165"/>
      <c r="DD650" s="1165"/>
      <c r="DE650" s="1165"/>
      <c r="DF650" s="1165"/>
      <c r="DG650" s="1165"/>
      <c r="DH650" s="1165"/>
      <c r="DI650" s="1165"/>
      <c r="DJ650" s="1165"/>
      <c r="DK650" s="1165"/>
      <c r="DL650" s="1165"/>
      <c r="DM650" s="1165"/>
      <c r="DN650" s="1165"/>
      <c r="DO650" s="1165"/>
      <c r="DP650" s="1165"/>
    </row>
    <row r="651" spans="1:120" s="13" customFormat="1" hidden="1" outlineLevel="1">
      <c r="A651" s="1221">
        <v>1110052090</v>
      </c>
      <c r="B651" s="1216"/>
      <c r="C651" s="101" t="s">
        <v>64</v>
      </c>
      <c r="D651" s="1712"/>
      <c r="E651" s="1642"/>
      <c r="F651" s="1224"/>
      <c r="G651" s="1266"/>
      <c r="H651" s="1225"/>
      <c r="I651" s="1226"/>
      <c r="J651" s="1604">
        <v>1</v>
      </c>
      <c r="K651" s="1605">
        <v>1</v>
      </c>
      <c r="L651" s="1606"/>
      <c r="M651" s="1626"/>
      <c r="N651" s="1228"/>
      <c r="O651" s="1229">
        <f t="shared" si="1852"/>
        <v>0</v>
      </c>
      <c r="P651" s="1713"/>
      <c r="Q651" s="1230">
        <f t="shared" si="1862"/>
        <v>0</v>
      </c>
      <c r="R651" s="1231"/>
      <c r="S651" s="1231"/>
      <c r="T651" s="1232">
        <f t="shared" si="1853"/>
        <v>0</v>
      </c>
      <c r="U651" s="2012">
        <f t="shared" si="1854"/>
        <v>0</v>
      </c>
      <c r="V651" s="1234">
        <f t="shared" si="1855"/>
        <v>0</v>
      </c>
      <c r="W651" s="1235">
        <f t="shared" si="1856"/>
        <v>0</v>
      </c>
      <c r="X651" s="1236">
        <f t="shared" si="1857"/>
        <v>0</v>
      </c>
      <c r="Y651" s="1162"/>
      <c r="Z651" s="1058"/>
      <c r="AA651" s="1163"/>
      <c r="AB651" s="1164"/>
      <c r="AC651" s="1164"/>
      <c r="AD651" s="1164"/>
      <c r="AE651" s="1164"/>
      <c r="AF651" s="1164"/>
      <c r="AG651" s="1164"/>
      <c r="AH651" s="1164"/>
      <c r="AI651" s="1164"/>
      <c r="AJ651" s="1164"/>
      <c r="AK651" s="1164"/>
      <c r="AL651" s="1578"/>
      <c r="AM651" s="1164"/>
      <c r="AN651" s="1164"/>
      <c r="AO651" s="1164"/>
      <c r="AP651" s="1164"/>
      <c r="AQ651" s="1164"/>
      <c r="AR651" s="1164"/>
      <c r="AS651" s="1164"/>
      <c r="AT651" s="1164"/>
      <c r="AU651" s="1164"/>
      <c r="AV651" s="1164"/>
      <c r="AW651" s="1164"/>
      <c r="AX651" s="1164"/>
      <c r="AY651" s="1164"/>
      <c r="AZ651" s="1164"/>
      <c r="BA651" s="1164"/>
      <c r="BB651" s="1164"/>
      <c r="BC651" s="1164"/>
      <c r="BD651" s="1164"/>
      <c r="BE651" s="1164"/>
      <c r="BF651" s="1164">
        <f>+Q651</f>
        <v>0</v>
      </c>
      <c r="BG651" s="1164"/>
      <c r="BH651" s="1164"/>
      <c r="BI651" s="1164"/>
      <c r="BJ651" s="1164"/>
      <c r="BK651" s="1164"/>
      <c r="BL651" s="1164"/>
      <c r="BM651" s="1164"/>
      <c r="BN651" s="1164"/>
      <c r="BO651" s="1164"/>
      <c r="BP651" s="1164"/>
      <c r="BQ651" s="1164"/>
      <c r="BR651" s="1164"/>
      <c r="BS651" s="1164"/>
      <c r="BT651" s="1164"/>
      <c r="BU651" s="1164"/>
      <c r="BV651" s="1164"/>
      <c r="BW651" s="1164"/>
      <c r="BX651" s="1164"/>
      <c r="BY651" s="1164"/>
      <c r="BZ651" s="1164"/>
      <c r="CA651" s="1164"/>
      <c r="CB651" s="1165"/>
      <c r="CC651" s="1165"/>
      <c r="CD651" s="1165"/>
      <c r="CE651" s="1165"/>
      <c r="CF651" s="1165"/>
      <c r="CG651" s="1165"/>
      <c r="CH651" s="1165"/>
      <c r="CI651" s="1165"/>
      <c r="CJ651" s="1165"/>
      <c r="CK651" s="1165"/>
      <c r="CL651" s="1165"/>
      <c r="CM651" s="1165"/>
      <c r="CN651" s="1165"/>
      <c r="CO651" s="1165"/>
      <c r="CP651" s="1165"/>
      <c r="CQ651" s="1165"/>
      <c r="CR651" s="1165"/>
      <c r="CS651" s="1165"/>
      <c r="CT651" s="1165"/>
      <c r="CU651" s="1165"/>
      <c r="CV651" s="1165"/>
      <c r="CW651" s="1165"/>
      <c r="CX651" s="1165"/>
      <c r="CY651" s="1165"/>
      <c r="CZ651" s="1165"/>
      <c r="DA651" s="1165"/>
      <c r="DB651" s="1165"/>
      <c r="DC651" s="1165"/>
      <c r="DD651" s="1165"/>
      <c r="DE651" s="1165"/>
      <c r="DF651" s="1165"/>
      <c r="DG651" s="1165"/>
      <c r="DH651" s="1165"/>
      <c r="DI651" s="1165"/>
      <c r="DJ651" s="1165"/>
      <c r="DK651" s="1165"/>
      <c r="DL651" s="1165"/>
      <c r="DM651" s="1165"/>
      <c r="DN651" s="1165"/>
      <c r="DO651" s="1165"/>
      <c r="DP651" s="1165"/>
    </row>
    <row r="652" spans="1:120" s="13" customFormat="1" hidden="1" outlineLevel="1">
      <c r="A652" s="1221">
        <v>1110052090</v>
      </c>
      <c r="B652" s="1216"/>
      <c r="C652" s="101" t="s">
        <v>64</v>
      </c>
      <c r="D652" s="1712"/>
      <c r="E652" s="1642"/>
      <c r="F652" s="1224"/>
      <c r="G652" s="1266"/>
      <c r="H652" s="1225"/>
      <c r="I652" s="1226"/>
      <c r="J652" s="1604">
        <v>1</v>
      </c>
      <c r="K652" s="1605">
        <v>1</v>
      </c>
      <c r="L652" s="1606"/>
      <c r="M652" s="1626"/>
      <c r="N652" s="1228"/>
      <c r="O652" s="1229">
        <f t="shared" si="1852"/>
        <v>0</v>
      </c>
      <c r="P652" s="1713"/>
      <c r="Q652" s="1230">
        <f t="shared" ref="Q652:Q655" si="1863">+P652*K652</f>
        <v>0</v>
      </c>
      <c r="R652" s="1231"/>
      <c r="S652" s="1231"/>
      <c r="T652" s="1232">
        <f t="shared" si="1853"/>
        <v>0</v>
      </c>
      <c r="U652" s="2012">
        <f t="shared" si="1854"/>
        <v>0</v>
      </c>
      <c r="V652" s="1234">
        <f t="shared" si="1855"/>
        <v>0</v>
      </c>
      <c r="W652" s="1235">
        <f t="shared" si="1856"/>
        <v>0</v>
      </c>
      <c r="X652" s="1236">
        <f t="shared" si="1857"/>
        <v>0</v>
      </c>
      <c r="Y652" s="1162"/>
      <c r="Z652" s="1058"/>
      <c r="AA652" s="1163"/>
      <c r="AB652" s="1164"/>
      <c r="AC652" s="1164"/>
      <c r="AD652" s="1164"/>
      <c r="AE652" s="1164"/>
      <c r="AF652" s="1164"/>
      <c r="AG652" s="1164"/>
      <c r="AH652" s="1164"/>
      <c r="AI652" s="1164"/>
      <c r="AJ652" s="1164"/>
      <c r="AK652" s="1164"/>
      <c r="AL652" s="1578"/>
      <c r="AM652" s="1164"/>
      <c r="AN652" s="1164"/>
      <c r="AO652" s="1164"/>
      <c r="AP652" s="1164"/>
      <c r="AQ652" s="1164"/>
      <c r="AR652" s="1164"/>
      <c r="AS652" s="1164"/>
      <c r="AT652" s="1164"/>
      <c r="AU652" s="1164"/>
      <c r="AV652" s="1164"/>
      <c r="AW652" s="1164"/>
      <c r="AX652" s="1164"/>
      <c r="AY652" s="1164"/>
      <c r="AZ652" s="1164"/>
      <c r="BA652" s="1164"/>
      <c r="BB652" s="1164"/>
      <c r="BC652" s="1164"/>
      <c r="BD652" s="1164"/>
      <c r="BE652" s="1164"/>
      <c r="BF652" s="1164"/>
      <c r="BG652" s="1164"/>
      <c r="BH652" s="1164">
        <f>+Q652</f>
        <v>0</v>
      </c>
      <c r="BI652" s="1164"/>
      <c r="BJ652" s="1164"/>
      <c r="BK652" s="1164"/>
      <c r="BL652" s="1164"/>
      <c r="BM652" s="1164"/>
      <c r="BN652" s="1164"/>
      <c r="BO652" s="1164"/>
      <c r="BP652" s="1164"/>
      <c r="BQ652" s="1164"/>
      <c r="BR652" s="1164"/>
      <c r="BS652" s="1164"/>
      <c r="BT652" s="1164"/>
      <c r="BU652" s="1164"/>
      <c r="BV652" s="1164"/>
      <c r="BW652" s="1164"/>
      <c r="BX652" s="1164"/>
      <c r="BY652" s="1164"/>
      <c r="BZ652" s="1164"/>
      <c r="CA652" s="1164"/>
      <c r="CB652" s="1165"/>
      <c r="CC652" s="1165"/>
      <c r="CD652" s="1165"/>
      <c r="CE652" s="1165"/>
      <c r="CF652" s="1165"/>
      <c r="CG652" s="1165"/>
      <c r="CH652" s="1165"/>
      <c r="CI652" s="1165"/>
      <c r="CJ652" s="1165"/>
      <c r="CK652" s="1165"/>
      <c r="CL652" s="1165"/>
      <c r="CM652" s="1165"/>
      <c r="CN652" s="1165"/>
      <c r="CO652" s="1165"/>
      <c r="CP652" s="1165"/>
      <c r="CQ652" s="1165"/>
      <c r="CR652" s="1165"/>
      <c r="CS652" s="1165"/>
      <c r="CT652" s="1165"/>
      <c r="CU652" s="1165"/>
      <c r="CV652" s="1165"/>
      <c r="CW652" s="1165"/>
      <c r="CX652" s="1165"/>
      <c r="CY652" s="1165"/>
      <c r="CZ652" s="1165"/>
      <c r="DA652" s="1165"/>
      <c r="DB652" s="1165"/>
      <c r="DC652" s="1165"/>
      <c r="DD652" s="1165"/>
      <c r="DE652" s="1165"/>
      <c r="DF652" s="1165"/>
      <c r="DG652" s="1165"/>
      <c r="DH652" s="1165"/>
      <c r="DI652" s="1165"/>
      <c r="DJ652" s="1165"/>
      <c r="DK652" s="1165"/>
      <c r="DL652" s="1165"/>
      <c r="DM652" s="1165"/>
      <c r="DN652" s="1165"/>
      <c r="DO652" s="1165"/>
      <c r="DP652" s="1165"/>
    </row>
    <row r="653" spans="1:120" s="13" customFormat="1" hidden="1" outlineLevel="1">
      <c r="A653" s="1221">
        <v>1110052090</v>
      </c>
      <c r="B653" s="1216"/>
      <c r="C653" s="101" t="s">
        <v>64</v>
      </c>
      <c r="D653" s="1712"/>
      <c r="E653" s="1642"/>
      <c r="F653" s="1224"/>
      <c r="G653" s="1266"/>
      <c r="H653" s="1225"/>
      <c r="I653" s="1226"/>
      <c r="J653" s="1604">
        <v>1</v>
      </c>
      <c r="K653" s="1605">
        <v>1</v>
      </c>
      <c r="L653" s="1606"/>
      <c r="M653" s="1626"/>
      <c r="N653" s="1228"/>
      <c r="O653" s="1229">
        <f t="shared" si="1852"/>
        <v>0</v>
      </c>
      <c r="P653" s="1713"/>
      <c r="Q653" s="1230">
        <f t="shared" si="1863"/>
        <v>0</v>
      </c>
      <c r="R653" s="1231"/>
      <c r="S653" s="1231"/>
      <c r="T653" s="1232">
        <f t="shared" si="1853"/>
        <v>0</v>
      </c>
      <c r="U653" s="2012">
        <f t="shared" si="1854"/>
        <v>0</v>
      </c>
      <c r="V653" s="1234">
        <f t="shared" si="1855"/>
        <v>0</v>
      </c>
      <c r="W653" s="1235">
        <f t="shared" si="1856"/>
        <v>0</v>
      </c>
      <c r="X653" s="1236">
        <f t="shared" si="1857"/>
        <v>0</v>
      </c>
      <c r="Y653" s="1162"/>
      <c r="Z653" s="1058"/>
      <c r="AA653" s="1163"/>
      <c r="AB653" s="1164"/>
      <c r="AC653" s="1164"/>
      <c r="AD653" s="1164"/>
      <c r="AE653" s="1164"/>
      <c r="AF653" s="1164"/>
      <c r="AG653" s="1164"/>
      <c r="AH653" s="1164"/>
      <c r="AI653" s="1164"/>
      <c r="AJ653" s="1164"/>
      <c r="AK653" s="1164"/>
      <c r="AL653" s="1578"/>
      <c r="AM653" s="1164"/>
      <c r="AN653" s="1164"/>
      <c r="AO653" s="1164"/>
      <c r="AP653" s="1164"/>
      <c r="AQ653" s="1164"/>
      <c r="AR653" s="1164"/>
      <c r="AS653" s="1164"/>
      <c r="AT653" s="1164"/>
      <c r="AU653" s="1164"/>
      <c r="AV653" s="1164"/>
      <c r="AW653" s="1164"/>
      <c r="AX653" s="1164"/>
      <c r="AY653" s="1164"/>
      <c r="AZ653" s="1164"/>
      <c r="BA653" s="1164"/>
      <c r="BB653" s="1164"/>
      <c r="BC653" s="1164"/>
      <c r="BD653" s="1164"/>
      <c r="BE653" s="1164"/>
      <c r="BF653" s="1164"/>
      <c r="BG653" s="1164"/>
      <c r="BH653" s="1164"/>
      <c r="BI653" s="1164"/>
      <c r="BJ653" s="1164">
        <f>+Q653</f>
        <v>0</v>
      </c>
      <c r="BK653" s="1164"/>
      <c r="BL653" s="1164"/>
      <c r="BM653" s="1164"/>
      <c r="BN653" s="1164"/>
      <c r="BO653" s="1164"/>
      <c r="BP653" s="1164"/>
      <c r="BQ653" s="1164"/>
      <c r="BR653" s="1164"/>
      <c r="BS653" s="1164"/>
      <c r="BT653" s="1164"/>
      <c r="BU653" s="1164"/>
      <c r="BV653" s="1164"/>
      <c r="BW653" s="1164"/>
      <c r="BX653" s="1164"/>
      <c r="BY653" s="1164"/>
      <c r="BZ653" s="1164"/>
      <c r="CA653" s="1164"/>
      <c r="CB653" s="1165"/>
      <c r="CC653" s="1165"/>
      <c r="CD653" s="1165"/>
      <c r="CE653" s="1165"/>
      <c r="CF653" s="1165"/>
      <c r="CG653" s="1165"/>
      <c r="CH653" s="1165"/>
      <c r="CI653" s="1165"/>
      <c r="CJ653" s="1165"/>
      <c r="CK653" s="1165"/>
      <c r="CL653" s="1165"/>
      <c r="CM653" s="1165"/>
      <c r="CN653" s="1165"/>
      <c r="CO653" s="1165"/>
      <c r="CP653" s="1165"/>
      <c r="CQ653" s="1165"/>
      <c r="CR653" s="1165"/>
      <c r="CS653" s="1165"/>
      <c r="CT653" s="1165"/>
      <c r="CU653" s="1165"/>
      <c r="CV653" s="1165"/>
      <c r="CW653" s="1165"/>
      <c r="CX653" s="1165"/>
      <c r="CY653" s="1165"/>
      <c r="CZ653" s="1165"/>
      <c r="DA653" s="1165"/>
      <c r="DB653" s="1165"/>
      <c r="DC653" s="1165"/>
      <c r="DD653" s="1165"/>
      <c r="DE653" s="1165"/>
      <c r="DF653" s="1165"/>
      <c r="DG653" s="1165"/>
      <c r="DH653" s="1165"/>
      <c r="DI653" s="1165"/>
      <c r="DJ653" s="1165"/>
      <c r="DK653" s="1165"/>
      <c r="DL653" s="1165"/>
      <c r="DM653" s="1165"/>
      <c r="DN653" s="1165"/>
      <c r="DO653" s="1165"/>
      <c r="DP653" s="1165"/>
    </row>
    <row r="654" spans="1:120" s="13" customFormat="1" hidden="1" outlineLevel="1">
      <c r="A654" s="1221">
        <v>1110052090</v>
      </c>
      <c r="B654" s="1216"/>
      <c r="C654" s="101" t="s">
        <v>64</v>
      </c>
      <c r="D654" s="1712"/>
      <c r="E654" s="1642"/>
      <c r="F654" s="1224"/>
      <c r="G654" s="1266"/>
      <c r="H654" s="1225"/>
      <c r="I654" s="1226"/>
      <c r="J654" s="1604">
        <v>1</v>
      </c>
      <c r="K654" s="1605">
        <v>1</v>
      </c>
      <c r="L654" s="1606"/>
      <c r="M654" s="1626"/>
      <c r="N654" s="1228"/>
      <c r="O654" s="1229">
        <f t="shared" si="1852"/>
        <v>0</v>
      </c>
      <c r="P654" s="1713"/>
      <c r="Q654" s="1230">
        <f t="shared" si="1863"/>
        <v>0</v>
      </c>
      <c r="R654" s="1231"/>
      <c r="S654" s="1231"/>
      <c r="T654" s="1232">
        <f t="shared" si="1853"/>
        <v>0</v>
      </c>
      <c r="U654" s="2012">
        <f t="shared" si="1854"/>
        <v>0</v>
      </c>
      <c r="V654" s="1234">
        <f t="shared" si="1855"/>
        <v>0</v>
      </c>
      <c r="W654" s="1235">
        <f t="shared" si="1856"/>
        <v>0</v>
      </c>
      <c r="X654" s="1236">
        <f t="shared" si="1857"/>
        <v>0</v>
      </c>
      <c r="Y654" s="1162"/>
      <c r="Z654" s="1058"/>
      <c r="AA654" s="1163"/>
      <c r="AB654" s="1164"/>
      <c r="AC654" s="1164"/>
      <c r="AD654" s="1164"/>
      <c r="AE654" s="1164"/>
      <c r="AF654" s="1164"/>
      <c r="AG654" s="1164"/>
      <c r="AH654" s="1164"/>
      <c r="AI654" s="1164"/>
      <c r="AJ654" s="1164"/>
      <c r="AK654" s="1164"/>
      <c r="AL654" s="1578"/>
      <c r="AM654" s="1164"/>
      <c r="AN654" s="1164"/>
      <c r="AO654" s="1164"/>
      <c r="AP654" s="1164"/>
      <c r="AQ654" s="1164"/>
      <c r="AR654" s="1164"/>
      <c r="AS654" s="1164"/>
      <c r="AT654" s="1164"/>
      <c r="AU654" s="1164"/>
      <c r="AV654" s="1164"/>
      <c r="AW654" s="1164"/>
      <c r="AX654" s="1164"/>
      <c r="AY654" s="1164"/>
      <c r="AZ654" s="1164"/>
      <c r="BA654" s="1164"/>
      <c r="BB654" s="1164"/>
      <c r="BC654" s="1164"/>
      <c r="BD654" s="1164"/>
      <c r="BE654" s="1164"/>
      <c r="BF654" s="1164"/>
      <c r="BG654" s="1164"/>
      <c r="BH654" s="1164"/>
      <c r="BI654" s="1164"/>
      <c r="BJ654" s="1164"/>
      <c r="BK654" s="1164"/>
      <c r="BL654" s="1164"/>
      <c r="BM654" s="1164"/>
      <c r="BN654" s="1164">
        <f>+Q654</f>
        <v>0</v>
      </c>
      <c r="BO654" s="1164"/>
      <c r="BP654" s="1164"/>
      <c r="BQ654" s="1164"/>
      <c r="BR654" s="1164"/>
      <c r="BS654" s="1164"/>
      <c r="BT654" s="1164"/>
      <c r="BU654" s="1164"/>
      <c r="BV654" s="1164"/>
      <c r="BW654" s="1164"/>
      <c r="BX654" s="1164"/>
      <c r="BY654" s="1164"/>
      <c r="BZ654" s="1164"/>
      <c r="CA654" s="1164"/>
      <c r="CB654" s="1165"/>
      <c r="CC654" s="1165"/>
      <c r="CD654" s="1165"/>
      <c r="CE654" s="1165"/>
      <c r="CF654" s="1165"/>
      <c r="CG654" s="1165"/>
      <c r="CH654" s="1165"/>
      <c r="CI654" s="1165"/>
      <c r="CJ654" s="1165"/>
      <c r="CK654" s="1165"/>
      <c r="CL654" s="1165"/>
      <c r="CM654" s="1165"/>
      <c r="CN654" s="1165"/>
      <c r="CO654" s="1165"/>
      <c r="CP654" s="1165"/>
      <c r="CQ654" s="1165"/>
      <c r="CR654" s="1165"/>
      <c r="CS654" s="1165"/>
      <c r="CT654" s="1165"/>
      <c r="CU654" s="1165"/>
      <c r="CV654" s="1165"/>
      <c r="CW654" s="1165"/>
      <c r="CX654" s="1165"/>
      <c r="CY654" s="1165"/>
      <c r="CZ654" s="1165"/>
      <c r="DA654" s="1165"/>
      <c r="DB654" s="1165"/>
      <c r="DC654" s="1165"/>
      <c r="DD654" s="1165"/>
      <c r="DE654" s="1165"/>
      <c r="DF654" s="1165"/>
      <c r="DG654" s="1165"/>
      <c r="DH654" s="1165"/>
      <c r="DI654" s="1165"/>
      <c r="DJ654" s="1165"/>
      <c r="DK654" s="1165"/>
      <c r="DL654" s="1165"/>
      <c r="DM654" s="1165"/>
      <c r="DN654" s="1165"/>
      <c r="DO654" s="1165"/>
      <c r="DP654" s="1165"/>
    </row>
    <row r="655" spans="1:120" s="13" customFormat="1" hidden="1" outlineLevel="1">
      <c r="A655" s="1221">
        <v>1110052090</v>
      </c>
      <c r="B655" s="1216"/>
      <c r="C655" s="101" t="s">
        <v>64</v>
      </c>
      <c r="D655" s="1712"/>
      <c r="E655" s="1642"/>
      <c r="F655" s="1224"/>
      <c r="G655" s="1266"/>
      <c r="H655" s="1225"/>
      <c r="I655" s="1226"/>
      <c r="J655" s="1604">
        <v>1</v>
      </c>
      <c r="K655" s="1605">
        <v>1</v>
      </c>
      <c r="L655" s="1606"/>
      <c r="M655" s="1626"/>
      <c r="N655" s="1228"/>
      <c r="O655" s="1229">
        <f t="shared" si="1852"/>
        <v>0</v>
      </c>
      <c r="P655" s="1713"/>
      <c r="Q655" s="1230">
        <f t="shared" si="1863"/>
        <v>0</v>
      </c>
      <c r="R655" s="1231"/>
      <c r="S655" s="1231"/>
      <c r="T655" s="1232">
        <f t="shared" si="1853"/>
        <v>0</v>
      </c>
      <c r="U655" s="2012">
        <f t="shared" si="1854"/>
        <v>0</v>
      </c>
      <c r="V655" s="1234">
        <f t="shared" si="1855"/>
        <v>0</v>
      </c>
      <c r="W655" s="1235">
        <f t="shared" si="1856"/>
        <v>0</v>
      </c>
      <c r="X655" s="1236">
        <f t="shared" si="1857"/>
        <v>0</v>
      </c>
      <c r="Y655" s="1162"/>
      <c r="Z655" s="1058"/>
      <c r="AA655" s="1163"/>
      <c r="AB655" s="1164"/>
      <c r="AC655" s="1164"/>
      <c r="AD655" s="1164"/>
      <c r="AE655" s="1164"/>
      <c r="AF655" s="1164"/>
      <c r="AG655" s="1164"/>
      <c r="AH655" s="1164"/>
      <c r="AI655" s="1164"/>
      <c r="AJ655" s="1164"/>
      <c r="AK655" s="1164"/>
      <c r="AL655" s="1578"/>
      <c r="AM655" s="1164"/>
      <c r="AN655" s="1164"/>
      <c r="AO655" s="1164"/>
      <c r="AP655" s="1164"/>
      <c r="AQ655" s="1164"/>
      <c r="AR655" s="1164"/>
      <c r="AS655" s="1164"/>
      <c r="AT655" s="1164"/>
      <c r="AU655" s="1164"/>
      <c r="AV655" s="1164"/>
      <c r="AW655" s="1164"/>
      <c r="AX655" s="1164"/>
      <c r="AY655" s="1164"/>
      <c r="AZ655" s="1164"/>
      <c r="BA655" s="1164"/>
      <c r="BB655" s="1164"/>
      <c r="BC655" s="1164"/>
      <c r="BD655" s="1164"/>
      <c r="BE655" s="1164"/>
      <c r="BF655" s="1164"/>
      <c r="BG655" s="1164"/>
      <c r="BH655" s="1164"/>
      <c r="BI655" s="1164"/>
      <c r="BJ655" s="1164"/>
      <c r="BK655" s="1164"/>
      <c r="BL655" s="1164"/>
      <c r="BM655" s="1164"/>
      <c r="BN655" s="1164"/>
      <c r="BO655" s="1164"/>
      <c r="BP655" s="1164">
        <f>+Q655</f>
        <v>0</v>
      </c>
      <c r="BQ655" s="1164"/>
      <c r="BR655" s="1164"/>
      <c r="BS655" s="1164"/>
      <c r="BT655" s="1164"/>
      <c r="BU655" s="1164"/>
      <c r="BV655" s="1164"/>
      <c r="BW655" s="1164"/>
      <c r="BX655" s="1164"/>
      <c r="BY655" s="1164"/>
      <c r="BZ655" s="1164"/>
      <c r="CA655" s="1164"/>
      <c r="CB655" s="1165"/>
      <c r="CC655" s="1165"/>
      <c r="CD655" s="1165"/>
      <c r="CE655" s="1165"/>
      <c r="CF655" s="1165"/>
      <c r="CG655" s="1165"/>
      <c r="CH655" s="1165"/>
      <c r="CI655" s="1165"/>
      <c r="CJ655" s="1165"/>
      <c r="CK655" s="1165"/>
      <c r="CL655" s="1165"/>
      <c r="CM655" s="1165"/>
      <c r="CN655" s="1165"/>
      <c r="CO655" s="1165"/>
      <c r="CP655" s="1165"/>
      <c r="CQ655" s="1165"/>
      <c r="CR655" s="1165"/>
      <c r="CS655" s="1165"/>
      <c r="CT655" s="1165"/>
      <c r="CU655" s="1165"/>
      <c r="CV655" s="1165"/>
      <c r="CW655" s="1165"/>
      <c r="CX655" s="1165"/>
      <c r="CY655" s="1165"/>
      <c r="CZ655" s="1165"/>
      <c r="DA655" s="1165"/>
      <c r="DB655" s="1165"/>
      <c r="DC655" s="1165"/>
      <c r="DD655" s="1165"/>
      <c r="DE655" s="1165"/>
      <c r="DF655" s="1165"/>
      <c r="DG655" s="1165"/>
      <c r="DH655" s="1165"/>
      <c r="DI655" s="1165"/>
      <c r="DJ655" s="1165"/>
      <c r="DK655" s="1165"/>
      <c r="DL655" s="1165"/>
      <c r="DM655" s="1165"/>
      <c r="DN655" s="1165"/>
      <c r="DO655" s="1165"/>
      <c r="DP655" s="1165"/>
    </row>
    <row r="656" spans="1:120" s="13" customFormat="1" hidden="1" outlineLevel="1">
      <c r="A656" s="1221">
        <v>1110052090</v>
      </c>
      <c r="B656" s="1216"/>
      <c r="C656" s="101" t="s">
        <v>64</v>
      </c>
      <c r="D656" s="1712"/>
      <c r="E656" s="1642"/>
      <c r="F656" s="1224"/>
      <c r="G656" s="1266"/>
      <c r="H656" s="1225"/>
      <c r="I656" s="1226"/>
      <c r="J656" s="1604">
        <v>1</v>
      </c>
      <c r="K656" s="1605">
        <v>1</v>
      </c>
      <c r="L656" s="1606"/>
      <c r="M656" s="1626"/>
      <c r="N656" s="1228"/>
      <c r="O656" s="1229">
        <f t="shared" si="1852"/>
        <v>0</v>
      </c>
      <c r="P656" s="1713"/>
      <c r="Q656" s="1230">
        <f t="shared" ref="Q656" si="1864">+P656*K656</f>
        <v>0</v>
      </c>
      <c r="R656" s="1231"/>
      <c r="S656" s="1231"/>
      <c r="T656" s="1232">
        <f t="shared" si="1853"/>
        <v>0</v>
      </c>
      <c r="U656" s="2012">
        <f t="shared" si="1854"/>
        <v>0</v>
      </c>
      <c r="V656" s="1234">
        <f t="shared" si="1855"/>
        <v>0</v>
      </c>
      <c r="W656" s="1235">
        <f t="shared" si="1856"/>
        <v>0</v>
      </c>
      <c r="X656" s="1236">
        <f t="shared" si="1857"/>
        <v>0</v>
      </c>
      <c r="Y656" s="1162"/>
      <c r="Z656" s="1058"/>
      <c r="AA656" s="1163"/>
      <c r="AB656" s="1164"/>
      <c r="AC656" s="1164"/>
      <c r="AD656" s="1164"/>
      <c r="AE656" s="1164"/>
      <c r="AF656" s="1164"/>
      <c r="AG656" s="1164"/>
      <c r="AH656" s="1164"/>
      <c r="AI656" s="1164"/>
      <c r="AJ656" s="1164"/>
      <c r="AK656" s="1164"/>
      <c r="AL656" s="1578"/>
      <c r="AM656" s="1164"/>
      <c r="AN656" s="1164"/>
      <c r="AO656" s="1164"/>
      <c r="AP656" s="1164"/>
      <c r="AQ656" s="1164"/>
      <c r="AR656" s="1164"/>
      <c r="AS656" s="1164"/>
      <c r="AT656" s="1164"/>
      <c r="AU656" s="1164"/>
      <c r="AV656" s="1164"/>
      <c r="AW656" s="1164"/>
      <c r="AX656" s="1164"/>
      <c r="AY656" s="1164"/>
      <c r="AZ656" s="1164"/>
      <c r="BA656" s="1164"/>
      <c r="BB656" s="1164"/>
      <c r="BC656" s="1164"/>
      <c r="BD656" s="1164"/>
      <c r="BE656" s="1164"/>
      <c r="BF656" s="1164"/>
      <c r="BG656" s="1164"/>
      <c r="BH656" s="1164"/>
      <c r="BI656" s="1164"/>
      <c r="BJ656" s="1164"/>
      <c r="BK656" s="1164"/>
      <c r="BL656" s="1164"/>
      <c r="BM656" s="1164"/>
      <c r="BN656" s="1164"/>
      <c r="BO656" s="1164"/>
      <c r="BP656" s="1164"/>
      <c r="BQ656" s="1164"/>
      <c r="BR656" s="1164"/>
      <c r="BS656" s="1164">
        <f>+Q656</f>
        <v>0</v>
      </c>
      <c r="BT656" s="1164"/>
      <c r="BU656" s="1164"/>
      <c r="BV656" s="1164"/>
      <c r="BW656" s="1164"/>
      <c r="BX656" s="1164"/>
      <c r="BY656" s="1164"/>
      <c r="BZ656" s="1164"/>
      <c r="CA656" s="1164"/>
      <c r="CB656" s="1165"/>
      <c r="CC656" s="1165"/>
      <c r="CD656" s="1165"/>
      <c r="CE656" s="1165"/>
      <c r="CF656" s="1165"/>
      <c r="CG656" s="1165"/>
      <c r="CH656" s="1165"/>
      <c r="CI656" s="1165"/>
      <c r="CJ656" s="1165"/>
      <c r="CK656" s="1165"/>
      <c r="CL656" s="1165"/>
      <c r="CM656" s="1165"/>
      <c r="CN656" s="1165"/>
      <c r="CO656" s="1165"/>
      <c r="CP656" s="1165"/>
      <c r="CQ656" s="1165"/>
      <c r="CR656" s="1165"/>
      <c r="CS656" s="1165"/>
      <c r="CT656" s="1165"/>
      <c r="CU656" s="1165"/>
      <c r="CV656" s="1165"/>
      <c r="CW656" s="1165"/>
      <c r="CX656" s="1165"/>
      <c r="CY656" s="1165"/>
      <c r="CZ656" s="1165"/>
      <c r="DA656" s="1165"/>
      <c r="DB656" s="1165"/>
      <c r="DC656" s="1165"/>
      <c r="DD656" s="1165"/>
      <c r="DE656" s="1165"/>
      <c r="DF656" s="1165"/>
      <c r="DG656" s="1165"/>
      <c r="DH656" s="1165"/>
      <c r="DI656" s="1165"/>
      <c r="DJ656" s="1165"/>
      <c r="DK656" s="1165"/>
      <c r="DL656" s="1165"/>
      <c r="DM656" s="1165"/>
      <c r="DN656" s="1165"/>
      <c r="DO656" s="1165"/>
      <c r="DP656" s="1165"/>
    </row>
    <row r="657" spans="1:120" s="13" customFormat="1" hidden="1" outlineLevel="1">
      <c r="A657" s="1221">
        <v>1110052090</v>
      </c>
      <c r="B657" s="1216"/>
      <c r="C657" s="101" t="s">
        <v>64</v>
      </c>
      <c r="D657" s="1712"/>
      <c r="E657" s="1642"/>
      <c r="F657" s="1224"/>
      <c r="G657" s="1266"/>
      <c r="H657" s="1225"/>
      <c r="I657" s="1226"/>
      <c r="J657" s="1604">
        <v>1</v>
      </c>
      <c r="K657" s="1605">
        <v>1</v>
      </c>
      <c r="L657" s="1606"/>
      <c r="M657" s="1626"/>
      <c r="N657" s="1228"/>
      <c r="O657" s="1229">
        <f t="shared" si="1852"/>
        <v>0</v>
      </c>
      <c r="P657" s="1713"/>
      <c r="Q657" s="1230">
        <f t="shared" si="1861"/>
        <v>0</v>
      </c>
      <c r="R657" s="1231"/>
      <c r="S657" s="1231"/>
      <c r="T657" s="1232">
        <f t="shared" si="1853"/>
        <v>0</v>
      </c>
      <c r="U657" s="2012">
        <f t="shared" si="1854"/>
        <v>0</v>
      </c>
      <c r="V657" s="1234">
        <f t="shared" si="1855"/>
        <v>0</v>
      </c>
      <c r="W657" s="1235">
        <f t="shared" si="1856"/>
        <v>0</v>
      </c>
      <c r="X657" s="1236">
        <f t="shared" si="1857"/>
        <v>0</v>
      </c>
      <c r="Y657" s="1162"/>
      <c r="Z657" s="1058"/>
      <c r="AA657" s="1163"/>
      <c r="AB657" s="1164"/>
      <c r="AC657" s="1164"/>
      <c r="AD657" s="1164"/>
      <c r="AE657" s="1164"/>
      <c r="AF657" s="1164"/>
      <c r="AG657" s="1164"/>
      <c r="AH657" s="1164"/>
      <c r="AI657" s="1164"/>
      <c r="AJ657" s="1164"/>
      <c r="AK657" s="1164"/>
      <c r="AL657" s="1578"/>
      <c r="AM657" s="1164"/>
      <c r="AN657" s="1164"/>
      <c r="AO657" s="1164"/>
      <c r="AP657" s="1164"/>
      <c r="AQ657" s="1164"/>
      <c r="AR657" s="1164"/>
      <c r="AS657" s="1164"/>
      <c r="AT657" s="1164"/>
      <c r="AU657" s="1164"/>
      <c r="AV657" s="1164"/>
      <c r="AW657" s="1164"/>
      <c r="AX657" s="1164"/>
      <c r="AY657" s="1164"/>
      <c r="AZ657" s="1164"/>
      <c r="BA657" s="1164"/>
      <c r="BB657" s="1164"/>
      <c r="BC657" s="1164"/>
      <c r="BD657" s="1164"/>
      <c r="BE657" s="1164"/>
      <c r="BF657" s="1164"/>
      <c r="BG657" s="1164"/>
      <c r="BH657" s="1164"/>
      <c r="BI657" s="1164"/>
      <c r="BJ657" s="1164"/>
      <c r="BK657" s="1164"/>
      <c r="BL657" s="1164"/>
      <c r="BM657" s="1164"/>
      <c r="BN657" s="1164"/>
      <c r="BO657" s="1164"/>
      <c r="BP657" s="1164"/>
      <c r="BQ657" s="1164"/>
      <c r="BR657" s="1164"/>
      <c r="BS657" s="1164">
        <f>+Q657</f>
        <v>0</v>
      </c>
      <c r="BT657" s="1164"/>
      <c r="BU657" s="1164"/>
      <c r="BV657" s="1164"/>
      <c r="BW657" s="1164"/>
      <c r="BX657" s="1164"/>
      <c r="BY657" s="1164"/>
      <c r="BZ657" s="1164"/>
      <c r="CA657" s="1164"/>
      <c r="CB657" s="1165"/>
      <c r="CC657" s="1165"/>
      <c r="CD657" s="1165"/>
      <c r="CE657" s="1165"/>
      <c r="CF657" s="1165"/>
      <c r="CG657" s="1165"/>
      <c r="CH657" s="1165"/>
      <c r="CI657" s="1165"/>
      <c r="CJ657" s="1165"/>
      <c r="CK657" s="1165"/>
      <c r="CL657" s="1165"/>
      <c r="CM657" s="1165"/>
      <c r="CN657" s="1165"/>
      <c r="CO657" s="1165"/>
      <c r="CP657" s="1165"/>
      <c r="CQ657" s="1165"/>
      <c r="CR657" s="1165"/>
      <c r="CS657" s="1165"/>
      <c r="CT657" s="1165"/>
      <c r="CU657" s="1165"/>
      <c r="CV657" s="1165"/>
      <c r="CW657" s="1165"/>
      <c r="CX657" s="1165"/>
      <c r="CY657" s="1165"/>
      <c r="CZ657" s="1165"/>
      <c r="DA657" s="1165"/>
      <c r="DB657" s="1165"/>
      <c r="DC657" s="1165"/>
      <c r="DD657" s="1165"/>
      <c r="DE657" s="1165"/>
      <c r="DF657" s="1165"/>
      <c r="DG657" s="1165"/>
      <c r="DH657" s="1165"/>
      <c r="DI657" s="1165"/>
      <c r="DJ657" s="1165"/>
      <c r="DK657" s="1165"/>
      <c r="DL657" s="1165"/>
      <c r="DM657" s="1165"/>
      <c r="DN657" s="1165"/>
      <c r="DO657" s="1165"/>
      <c r="DP657" s="1165"/>
    </row>
    <row r="658" spans="1:120" s="13" customFormat="1" hidden="1" outlineLevel="1">
      <c r="A658" s="1221">
        <v>1110052090</v>
      </c>
      <c r="B658" s="1216"/>
      <c r="C658" s="101" t="s">
        <v>64</v>
      </c>
      <c r="D658" s="1712"/>
      <c r="E658" s="1642"/>
      <c r="F658" s="1224"/>
      <c r="G658" s="1266"/>
      <c r="H658" s="1225"/>
      <c r="I658" s="1226"/>
      <c r="J658" s="1604">
        <v>1</v>
      </c>
      <c r="K658" s="1605">
        <v>1</v>
      </c>
      <c r="L658" s="1606"/>
      <c r="M658" s="1626"/>
      <c r="N658" s="1228"/>
      <c r="O658" s="1229">
        <f t="shared" si="1852"/>
        <v>0</v>
      </c>
      <c r="P658" s="1713"/>
      <c r="Q658" s="1230">
        <f t="shared" si="1861"/>
        <v>0</v>
      </c>
      <c r="R658" s="1231"/>
      <c r="S658" s="1231"/>
      <c r="T658" s="1232">
        <f t="shared" si="1853"/>
        <v>0</v>
      </c>
      <c r="U658" s="2012">
        <f t="shared" si="1854"/>
        <v>0</v>
      </c>
      <c r="V658" s="1234">
        <f t="shared" si="1855"/>
        <v>0</v>
      </c>
      <c r="W658" s="1235">
        <f t="shared" si="1856"/>
        <v>0</v>
      </c>
      <c r="X658" s="1236">
        <f t="shared" si="1857"/>
        <v>0</v>
      </c>
      <c r="Y658" s="1162"/>
      <c r="Z658" s="1058"/>
      <c r="AA658" s="1163"/>
      <c r="AB658" s="1164"/>
      <c r="AC658" s="1164"/>
      <c r="AD658" s="1164"/>
      <c r="AE658" s="1164"/>
      <c r="AF658" s="1164"/>
      <c r="AG658" s="1164"/>
      <c r="AH658" s="1164"/>
      <c r="AI658" s="1164"/>
      <c r="AJ658" s="1164"/>
      <c r="AK658" s="1164"/>
      <c r="AL658" s="1578"/>
      <c r="AM658" s="1164"/>
      <c r="AN658" s="1164"/>
      <c r="AO658" s="1164"/>
      <c r="AP658" s="1164"/>
      <c r="AQ658" s="1164"/>
      <c r="AR658" s="1164"/>
      <c r="AS658" s="1164"/>
      <c r="AT658" s="1164"/>
      <c r="AU658" s="1164"/>
      <c r="AV658" s="1164"/>
      <c r="AW658" s="1164"/>
      <c r="AX658" s="1164"/>
      <c r="AY658" s="1164"/>
      <c r="AZ658" s="1164"/>
      <c r="BA658" s="1164"/>
      <c r="BB658" s="1164"/>
      <c r="BC658" s="1164"/>
      <c r="BD658" s="1164"/>
      <c r="BE658" s="1164"/>
      <c r="BF658" s="1164"/>
      <c r="BG658" s="1164"/>
      <c r="BH658" s="1164"/>
      <c r="BI658" s="1164"/>
      <c r="BJ658" s="1164"/>
      <c r="BK658" s="1164"/>
      <c r="BL658" s="1164"/>
      <c r="BM658" s="1164"/>
      <c r="BN658" s="1164"/>
      <c r="BO658" s="1164"/>
      <c r="BP658" s="1164"/>
      <c r="BQ658" s="1164"/>
      <c r="BR658" s="1164"/>
      <c r="BS658" s="1164">
        <f>+Q658</f>
        <v>0</v>
      </c>
      <c r="BT658" s="1164"/>
      <c r="BU658" s="1164"/>
      <c r="BV658" s="1164"/>
      <c r="BW658" s="1164"/>
      <c r="BX658" s="1164"/>
      <c r="BY658" s="1164"/>
      <c r="BZ658" s="1164"/>
      <c r="CA658" s="1164"/>
      <c r="CB658" s="1165"/>
      <c r="CC658" s="1165"/>
      <c r="CD658" s="1165"/>
      <c r="CE658" s="1165"/>
      <c r="CF658" s="1165"/>
      <c r="CG658" s="1165"/>
      <c r="CH658" s="1165"/>
      <c r="CI658" s="1165"/>
      <c r="CJ658" s="1165"/>
      <c r="CK658" s="1165"/>
      <c r="CL658" s="1165"/>
      <c r="CM658" s="1165"/>
      <c r="CN658" s="1165"/>
      <c r="CO658" s="1165"/>
      <c r="CP658" s="1165"/>
      <c r="CQ658" s="1165"/>
      <c r="CR658" s="1165"/>
      <c r="CS658" s="1165"/>
      <c r="CT658" s="1165"/>
      <c r="CU658" s="1165"/>
      <c r="CV658" s="1165"/>
      <c r="CW658" s="1165"/>
      <c r="CX658" s="1165"/>
      <c r="CY658" s="1165"/>
      <c r="CZ658" s="1165"/>
      <c r="DA658" s="1165"/>
      <c r="DB658" s="1165"/>
      <c r="DC658" s="1165"/>
      <c r="DD658" s="1165"/>
      <c r="DE658" s="1165"/>
      <c r="DF658" s="1165"/>
      <c r="DG658" s="1165"/>
      <c r="DH658" s="1165"/>
      <c r="DI658" s="1165"/>
      <c r="DJ658" s="1165"/>
      <c r="DK658" s="1165"/>
      <c r="DL658" s="1165"/>
      <c r="DM658" s="1165"/>
      <c r="DN658" s="1165"/>
      <c r="DO658" s="1165"/>
      <c r="DP658" s="1165"/>
    </row>
    <row r="659" spans="1:120" hidden="1" outlineLevel="1">
      <c r="A659" s="55"/>
      <c r="B659" s="90"/>
      <c r="C659" s="91"/>
      <c r="D659" s="1538"/>
      <c r="E659" s="1539"/>
      <c r="F659" s="416"/>
      <c r="G659" s="1251"/>
      <c r="H659" s="511"/>
      <c r="I659" s="512"/>
      <c r="J659" s="1381"/>
      <c r="K659" s="1427"/>
      <c r="L659" s="417"/>
      <c r="M659" s="1540"/>
      <c r="N659" s="504"/>
      <c r="O659" s="513">
        <f t="shared" si="1852"/>
        <v>0</v>
      </c>
      <c r="P659" s="1713"/>
      <c r="Q659" s="514"/>
      <c r="R659" s="515"/>
      <c r="S659" s="515"/>
      <c r="T659" s="562">
        <f t="shared" si="1853"/>
        <v>0</v>
      </c>
      <c r="U659" s="439">
        <f t="shared" si="1854"/>
        <v>0</v>
      </c>
      <c r="V659" s="517">
        <f t="shared" si="1855"/>
        <v>0</v>
      </c>
      <c r="W659" s="976">
        <f t="shared" si="1856"/>
        <v>0</v>
      </c>
      <c r="X659" s="975">
        <f t="shared" si="1857"/>
        <v>0</v>
      </c>
      <c r="Y659" s="519"/>
      <c r="AA659" s="199"/>
      <c r="AB659" s="561"/>
      <c r="AC659" s="561"/>
      <c r="AD659" s="561"/>
      <c r="AE659" s="561"/>
      <c r="AF659" s="561"/>
      <c r="AG659" s="561"/>
      <c r="AH659" s="561"/>
      <c r="AI659" s="561"/>
      <c r="AJ659" s="561"/>
      <c r="AK659" s="561"/>
      <c r="AL659" s="1542"/>
      <c r="AM659" s="561"/>
      <c r="AN659" s="561"/>
      <c r="AO659" s="561"/>
      <c r="AP659" s="561"/>
      <c r="AQ659" s="561"/>
      <c r="AR659" s="561"/>
      <c r="AS659" s="561"/>
      <c r="AT659" s="561"/>
      <c r="AU659" s="561"/>
      <c r="AV659" s="561"/>
      <c r="AW659" s="561"/>
      <c r="AX659" s="561"/>
      <c r="AY659" s="561"/>
      <c r="AZ659" s="561"/>
      <c r="BA659" s="561"/>
      <c r="BB659" s="561"/>
      <c r="BC659" s="561"/>
      <c r="BD659" s="561"/>
      <c r="BE659" s="561"/>
      <c r="BF659" s="561"/>
      <c r="BG659" s="561"/>
      <c r="BH659" s="561"/>
      <c r="BI659" s="561"/>
      <c r="BJ659" s="561"/>
      <c r="BK659" s="561"/>
      <c r="BL659" s="561"/>
      <c r="BM659" s="561"/>
      <c r="BN659" s="561"/>
      <c r="BO659" s="561"/>
      <c r="BP659" s="561"/>
      <c r="BQ659" s="561"/>
      <c r="BR659" s="561"/>
      <c r="BS659" s="561"/>
      <c r="BT659" s="561"/>
      <c r="BU659" s="561"/>
      <c r="BV659" s="561"/>
      <c r="BW659" s="561"/>
      <c r="BX659" s="561"/>
      <c r="BY659" s="561"/>
      <c r="BZ659" s="561"/>
      <c r="CA659" s="561"/>
      <c r="CB659" s="737"/>
      <c r="CC659" s="737"/>
      <c r="CD659" s="737"/>
      <c r="CE659" s="737"/>
      <c r="CF659" s="737"/>
      <c r="CG659" s="737"/>
      <c r="CH659" s="737"/>
      <c r="CI659" s="737"/>
      <c r="CJ659" s="737"/>
      <c r="CK659" s="737"/>
      <c r="CL659" s="737"/>
      <c r="CM659" s="737"/>
      <c r="CN659" s="737"/>
      <c r="CO659" s="737"/>
      <c r="CP659" s="737"/>
      <c r="CQ659" s="737"/>
      <c r="CR659" s="737"/>
      <c r="CS659" s="737"/>
      <c r="CT659" s="737"/>
      <c r="CU659" s="737"/>
      <c r="CV659" s="737"/>
      <c r="CW659" s="737"/>
      <c r="CX659" s="737"/>
      <c r="CY659" s="737"/>
      <c r="CZ659" s="737"/>
      <c r="DA659" s="737"/>
      <c r="DB659" s="737"/>
      <c r="DC659" s="737"/>
      <c r="DD659" s="737"/>
      <c r="DE659" s="737"/>
      <c r="DF659" s="737"/>
      <c r="DG659" s="737"/>
      <c r="DH659" s="737"/>
      <c r="DI659" s="737"/>
      <c r="DJ659" s="737"/>
      <c r="DK659" s="737"/>
      <c r="DL659" s="737"/>
      <c r="DM659" s="737"/>
      <c r="DN659" s="737"/>
      <c r="DO659" s="737"/>
      <c r="DP659" s="737"/>
    </row>
    <row r="660" spans="1:120" ht="16.5" collapsed="1" thickBot="1">
      <c r="A660" s="62" t="s">
        <v>230</v>
      </c>
      <c r="B660" s="63"/>
      <c r="C660" s="64"/>
      <c r="D660" s="1473"/>
      <c r="E660" s="1474"/>
      <c r="F660" s="66">
        <f>SUM(F642:F659)</f>
        <v>0</v>
      </c>
      <c r="G660" s="1253"/>
      <c r="H660" s="67"/>
      <c r="I660" s="68">
        <f>SUM(I642:I659)</f>
        <v>0</v>
      </c>
      <c r="J660" s="1376"/>
      <c r="K660" s="76"/>
      <c r="L660" s="69">
        <f>SUM(L642:L659)</f>
        <v>0</v>
      </c>
      <c r="M660" s="168">
        <f>SUM(M642:M659)</f>
        <v>0</v>
      </c>
      <c r="N660" s="70"/>
      <c r="O660" s="71">
        <f>SUM(O642:O659)</f>
        <v>0</v>
      </c>
      <c r="P660" s="72">
        <f>SUM(P642:P659)</f>
        <v>0</v>
      </c>
      <c r="Q660" s="1339">
        <f>SUM(Q642:Q659)</f>
        <v>0</v>
      </c>
      <c r="R660" s="73"/>
      <c r="S660" s="73"/>
      <c r="T660" s="96">
        <f>SUM(T642:T659)</f>
        <v>0</v>
      </c>
      <c r="U660" s="173">
        <f>SUM(U642:U659)</f>
        <v>0</v>
      </c>
      <c r="V660" s="174">
        <f>SUM(V642:V659)</f>
        <v>0</v>
      </c>
      <c r="W660" s="191">
        <f>SUM(W642:W659)</f>
        <v>0</v>
      </c>
      <c r="X660" s="78">
        <f>SUM(X642:X659)</f>
        <v>0</v>
      </c>
      <c r="Y660" s="43"/>
      <c r="AA660" s="192">
        <f t="shared" ref="AA660:CF660" ca="1" si="1865">SUM(AA640:AA659)</f>
        <v>6.9849193096160889E-10</v>
      </c>
      <c r="AB660" s="192">
        <f t="shared" ca="1" si="1865"/>
        <v>0</v>
      </c>
      <c r="AC660" s="192">
        <f t="shared" ref="AC660:AD660" ca="1" si="1866">SUM(AC640:AC659)</f>
        <v>-2.3283064365386963E-10</v>
      </c>
      <c r="AD660" s="192">
        <f t="shared" ca="1" si="1866"/>
        <v>0</v>
      </c>
      <c r="AE660" s="192">
        <f t="shared" ref="AE660:AF660" ca="1" si="1867">SUM(AE640:AE659)</f>
        <v>0</v>
      </c>
      <c r="AF660" s="192">
        <f t="shared" ca="1" si="1867"/>
        <v>0</v>
      </c>
      <c r="AG660" s="192">
        <f t="shared" ref="AG660" ca="1" si="1868">SUM(AG640:AG659)</f>
        <v>0</v>
      </c>
      <c r="AH660" s="192">
        <f t="shared" ca="1" si="1865"/>
        <v>0</v>
      </c>
      <c r="AI660" s="192">
        <f t="shared" ref="AI660:AJ660" ca="1" si="1869">SUM(AI640:AI659)</f>
        <v>-5.8207660913467407E-10</v>
      </c>
      <c r="AJ660" s="192">
        <f t="shared" ca="1" si="1869"/>
        <v>0</v>
      </c>
      <c r="AK660" s="192">
        <f t="shared" ca="1" si="1865"/>
        <v>0</v>
      </c>
      <c r="AL660" s="192">
        <f t="shared" ca="1" si="1865"/>
        <v>0</v>
      </c>
      <c r="AM660" s="192">
        <f t="shared" ca="1" si="1865"/>
        <v>0</v>
      </c>
      <c r="AN660" s="192">
        <f t="shared" ca="1" si="1865"/>
        <v>0</v>
      </c>
      <c r="AO660" s="192">
        <f t="shared" ca="1" si="1865"/>
        <v>0</v>
      </c>
      <c r="AP660" s="192">
        <f t="shared" ca="1" si="1865"/>
        <v>0</v>
      </c>
      <c r="AQ660" s="192">
        <f t="shared" ca="1" si="1865"/>
        <v>0</v>
      </c>
      <c r="AR660" s="192">
        <f t="shared" ca="1" si="1865"/>
        <v>0</v>
      </c>
      <c r="AS660" s="192">
        <f t="shared" ca="1" si="1865"/>
        <v>0</v>
      </c>
      <c r="AT660" s="192">
        <f t="shared" ca="1" si="1865"/>
        <v>0</v>
      </c>
      <c r="AU660" s="192">
        <f t="shared" ca="1" si="1865"/>
        <v>0</v>
      </c>
      <c r="AV660" s="192">
        <f t="shared" ca="1" si="1865"/>
        <v>2.3283064365386963E-10</v>
      </c>
      <c r="AW660" s="192">
        <f t="shared" ca="1" si="1865"/>
        <v>2.3283064365386963E-10</v>
      </c>
      <c r="AX660" s="192">
        <f t="shared" ca="1" si="1865"/>
        <v>0</v>
      </c>
      <c r="AY660" s="192">
        <f t="shared" ca="1" si="1865"/>
        <v>0</v>
      </c>
      <c r="AZ660" s="192">
        <f t="shared" ca="1" si="1865"/>
        <v>0</v>
      </c>
      <c r="BA660" s="192">
        <f t="shared" ca="1" si="1865"/>
        <v>2481654.2199999997</v>
      </c>
      <c r="BB660" s="192">
        <f t="shared" ca="1" si="1865"/>
        <v>11818681.52</v>
      </c>
      <c r="BC660" s="192">
        <f t="shared" ca="1" si="1865"/>
        <v>23716111.969999999</v>
      </c>
      <c r="BD660" s="192">
        <f t="shared" ca="1" si="1865"/>
        <v>0</v>
      </c>
      <c r="BE660" s="192">
        <f t="shared" ca="1" si="1865"/>
        <v>0</v>
      </c>
      <c r="BF660" s="192">
        <f t="shared" ca="1" si="1865"/>
        <v>0</v>
      </c>
      <c r="BG660" s="192">
        <f t="shared" ca="1" si="1865"/>
        <v>0</v>
      </c>
      <c r="BH660" s="192">
        <f t="shared" ca="1" si="1865"/>
        <v>0</v>
      </c>
      <c r="BI660" s="192">
        <f t="shared" ca="1" si="1865"/>
        <v>0</v>
      </c>
      <c r="BJ660" s="192">
        <f t="shared" ca="1" si="1865"/>
        <v>0</v>
      </c>
      <c r="BK660" s="192">
        <f t="shared" ca="1" si="1865"/>
        <v>0</v>
      </c>
      <c r="BL660" s="192">
        <f t="shared" ca="1" si="1865"/>
        <v>0</v>
      </c>
      <c r="BM660" s="192">
        <f t="shared" ca="1" si="1865"/>
        <v>0</v>
      </c>
      <c r="BN660" s="192">
        <f t="shared" ref="BN660:BO660" ca="1" si="1870">SUM(BN640:BN659)</f>
        <v>0</v>
      </c>
      <c r="BO660" s="192">
        <f t="shared" ca="1" si="1870"/>
        <v>0</v>
      </c>
      <c r="BP660" s="192">
        <f t="shared" ref="BP660:BQ660" ca="1" si="1871">SUM(BP640:BP659)</f>
        <v>0</v>
      </c>
      <c r="BQ660" s="192">
        <f t="shared" ca="1" si="1871"/>
        <v>0</v>
      </c>
      <c r="BR660" s="192">
        <f t="shared" ca="1" si="1865"/>
        <v>0</v>
      </c>
      <c r="BS660" s="192">
        <f t="shared" ca="1" si="1865"/>
        <v>0</v>
      </c>
      <c r="BT660" s="192">
        <f t="shared" ca="1" si="1865"/>
        <v>0</v>
      </c>
      <c r="BU660" s="192">
        <f t="shared" ca="1" si="1865"/>
        <v>0</v>
      </c>
      <c r="BV660" s="192">
        <f t="shared" si="1865"/>
        <v>0</v>
      </c>
      <c r="BW660" s="192">
        <f t="shared" si="1865"/>
        <v>0</v>
      </c>
      <c r="BX660" s="192">
        <f t="shared" si="1865"/>
        <v>0</v>
      </c>
      <c r="BY660" s="192">
        <f t="shared" si="1865"/>
        <v>0</v>
      </c>
      <c r="BZ660" s="192">
        <f t="shared" si="1865"/>
        <v>0</v>
      </c>
      <c r="CA660" s="192">
        <f t="shared" si="1865"/>
        <v>0</v>
      </c>
      <c r="CB660" s="192">
        <f t="shared" si="1865"/>
        <v>0</v>
      </c>
      <c r="CC660" s="192">
        <f t="shared" si="1865"/>
        <v>0</v>
      </c>
      <c r="CD660" s="192">
        <f t="shared" si="1865"/>
        <v>0</v>
      </c>
      <c r="CE660" s="192">
        <f t="shared" si="1865"/>
        <v>0</v>
      </c>
      <c r="CF660" s="192">
        <f t="shared" si="1865"/>
        <v>0</v>
      </c>
      <c r="CG660" s="192">
        <f t="shared" ref="CG660:DM660" si="1872">SUM(CG640:CG659)</f>
        <v>0</v>
      </c>
      <c r="CH660" s="192">
        <f t="shared" si="1872"/>
        <v>0</v>
      </c>
      <c r="CI660" s="192">
        <f t="shared" si="1872"/>
        <v>0</v>
      </c>
      <c r="CJ660" s="192">
        <f t="shared" si="1872"/>
        <v>0</v>
      </c>
      <c r="CK660" s="192">
        <f t="shared" si="1872"/>
        <v>0</v>
      </c>
      <c r="CL660" s="192">
        <f t="shared" si="1872"/>
        <v>0</v>
      </c>
      <c r="CM660" s="192">
        <f t="shared" si="1872"/>
        <v>0</v>
      </c>
      <c r="CN660" s="192">
        <f t="shared" si="1872"/>
        <v>0</v>
      </c>
      <c r="CO660" s="192">
        <f t="shared" si="1872"/>
        <v>0</v>
      </c>
      <c r="CP660" s="192">
        <f t="shared" si="1872"/>
        <v>0</v>
      </c>
      <c r="CQ660" s="192">
        <f t="shared" si="1872"/>
        <v>0</v>
      </c>
      <c r="CR660" s="192">
        <f t="shared" si="1872"/>
        <v>0</v>
      </c>
      <c r="CS660" s="192">
        <f t="shared" si="1872"/>
        <v>0</v>
      </c>
      <c r="CT660" s="192">
        <f t="shared" si="1872"/>
        <v>0</v>
      </c>
      <c r="CU660" s="192">
        <f t="shared" si="1872"/>
        <v>0</v>
      </c>
      <c r="CV660" s="192">
        <f t="shared" si="1872"/>
        <v>0</v>
      </c>
      <c r="CW660" s="192">
        <f t="shared" si="1872"/>
        <v>0</v>
      </c>
      <c r="CX660" s="192">
        <f t="shared" si="1872"/>
        <v>0</v>
      </c>
      <c r="CY660" s="192">
        <f t="shared" si="1872"/>
        <v>0</v>
      </c>
      <c r="CZ660" s="192">
        <f t="shared" si="1872"/>
        <v>0</v>
      </c>
      <c r="DA660" s="192">
        <f t="shared" si="1872"/>
        <v>0</v>
      </c>
      <c r="DB660" s="192">
        <f t="shared" si="1872"/>
        <v>0</v>
      </c>
      <c r="DC660" s="192">
        <f t="shared" si="1872"/>
        <v>0</v>
      </c>
      <c r="DD660" s="192">
        <f t="shared" si="1872"/>
        <v>0</v>
      </c>
      <c r="DE660" s="192">
        <f t="shared" si="1872"/>
        <v>0</v>
      </c>
      <c r="DF660" s="192">
        <f t="shared" si="1872"/>
        <v>0</v>
      </c>
      <c r="DG660" s="192">
        <f t="shared" si="1872"/>
        <v>0</v>
      </c>
      <c r="DH660" s="192">
        <f t="shared" si="1872"/>
        <v>0</v>
      </c>
      <c r="DI660" s="192">
        <f t="shared" si="1872"/>
        <v>0</v>
      </c>
      <c r="DJ660" s="192">
        <f t="shared" si="1872"/>
        <v>0</v>
      </c>
      <c r="DK660" s="192">
        <f t="shared" si="1872"/>
        <v>0</v>
      </c>
      <c r="DL660" s="192">
        <f t="shared" si="1872"/>
        <v>0</v>
      </c>
      <c r="DM660" s="192">
        <f t="shared" si="1872"/>
        <v>0</v>
      </c>
      <c r="DN660" s="192">
        <f t="shared" ref="DN660:DO660" si="1873">SUM(DN640:DN659)</f>
        <v>0</v>
      </c>
      <c r="DO660" s="192">
        <f t="shared" si="1873"/>
        <v>0</v>
      </c>
      <c r="DP660" s="192">
        <f t="shared" ref="DP660" si="1874">SUM(DP640:DP659)</f>
        <v>0</v>
      </c>
    </row>
    <row r="661" spans="1:120"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  <c r="CG661" s="24"/>
      <c r="CH661" s="24"/>
      <c r="CI661" s="24"/>
      <c r="CJ661" s="24"/>
      <c r="CK661" s="24"/>
      <c r="CL661" s="24"/>
      <c r="CM661" s="24"/>
      <c r="CN661" s="24"/>
      <c r="CO661" s="24"/>
      <c r="CP661" s="24"/>
      <c r="CQ661" s="24"/>
      <c r="CR661" s="24"/>
      <c r="CS661" s="24"/>
      <c r="CT661" s="24"/>
      <c r="CU661" s="24"/>
      <c r="CV661" s="24"/>
      <c r="CW661" s="24"/>
      <c r="CX661" s="24"/>
      <c r="CY661" s="24"/>
      <c r="CZ661" s="24"/>
      <c r="DA661" s="24"/>
      <c r="DB661" s="24"/>
      <c r="DC661" s="24"/>
      <c r="DD661" s="24"/>
      <c r="DE661" s="24"/>
      <c r="DF661" s="24"/>
      <c r="DG661" s="24"/>
      <c r="DH661" s="24"/>
      <c r="DI661" s="24"/>
      <c r="DJ661" s="24"/>
      <c r="DK661" s="24"/>
      <c r="DL661" s="24"/>
      <c r="DM661" s="24"/>
      <c r="DN661" s="24"/>
      <c r="DO661" s="24"/>
      <c r="DP661" s="24"/>
    </row>
    <row r="662" spans="1:120" hidden="1" outlineLevel="1">
      <c r="A662" s="640">
        <v>1110052090</v>
      </c>
      <c r="B662" s="573" t="s">
        <v>78</v>
      </c>
      <c r="C662" s="641" t="s">
        <v>64</v>
      </c>
      <c r="D662" s="1489"/>
      <c r="E662" s="1490"/>
      <c r="F662" s="643"/>
      <c r="G662" s="1262"/>
      <c r="H662" s="644"/>
      <c r="I662" s="645"/>
      <c r="J662" s="1483">
        <v>1</v>
      </c>
      <c r="K662" s="1484">
        <v>1</v>
      </c>
      <c r="L662" s="646"/>
      <c r="M662" s="1428">
        <f>+L662*J662</f>
        <v>0</v>
      </c>
      <c r="N662" s="647"/>
      <c r="O662" s="648">
        <f>+L662*N662</f>
        <v>0</v>
      </c>
      <c r="P662" s="649"/>
      <c r="Q662" s="649"/>
      <c r="R662" s="650"/>
      <c r="S662" s="650"/>
      <c r="T662" s="651">
        <f>+P662*S662</f>
        <v>0</v>
      </c>
      <c r="U662" s="652">
        <f>+L662+P662+F662</f>
        <v>0</v>
      </c>
      <c r="V662" s="648">
        <f>+P662*R662+L662*N662+F662*H662</f>
        <v>0</v>
      </c>
      <c r="W662" s="653">
        <f>IF((-P662*R662)-(-P662*S662)&gt;0,(-P662*R662)-(-P662*S662),0)</f>
        <v>0</v>
      </c>
      <c r="X662" s="654">
        <f>IF((-P662*R662)-(-P662*S662)&lt;0,(-P662*R662)-(-P662*S662),0)</f>
        <v>0</v>
      </c>
      <c r="Y662" s="655"/>
      <c r="AA662" s="730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31"/>
      <c r="BL662" s="731"/>
      <c r="BM662" s="731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  <c r="BX662" s="731"/>
      <c r="BY662" s="731"/>
      <c r="BZ662" s="731">
        <f>+M662</f>
        <v>0</v>
      </c>
      <c r="CA662" s="731"/>
      <c r="CB662" s="732"/>
      <c r="CC662" s="732"/>
      <c r="CD662" s="732"/>
      <c r="CE662" s="732"/>
      <c r="CF662" s="732"/>
      <c r="CG662" s="732"/>
      <c r="CH662" s="732"/>
      <c r="CI662" s="732"/>
      <c r="CJ662" s="732"/>
      <c r="CK662" s="732"/>
      <c r="CL662" s="732"/>
      <c r="CM662" s="732"/>
      <c r="CN662" s="732"/>
      <c r="CO662" s="732"/>
      <c r="CP662" s="732"/>
      <c r="CQ662" s="732"/>
      <c r="CR662" s="732"/>
      <c r="CS662" s="732"/>
      <c r="CT662" s="732"/>
      <c r="CU662" s="732"/>
      <c r="CV662" s="732"/>
      <c r="CW662" s="732"/>
      <c r="CX662" s="732"/>
      <c r="CY662" s="732"/>
      <c r="CZ662" s="732"/>
      <c r="DA662" s="732"/>
      <c r="DB662" s="732"/>
      <c r="DC662" s="732"/>
      <c r="DD662" s="732"/>
      <c r="DE662" s="732"/>
      <c r="DF662" s="732"/>
      <c r="DG662" s="732"/>
      <c r="DH662" s="732"/>
      <c r="DI662" s="732"/>
      <c r="DJ662" s="732"/>
      <c r="DK662" s="732"/>
      <c r="DL662" s="732"/>
      <c r="DM662" s="732"/>
      <c r="DN662" s="732"/>
      <c r="DO662" s="732"/>
      <c r="DP662" s="732"/>
    </row>
    <row r="663" spans="1:120" s="13" customFormat="1" hidden="1" outlineLevel="1">
      <c r="A663" s="1221">
        <v>1110052090</v>
      </c>
      <c r="B663" s="1216"/>
      <c r="C663" s="101" t="s">
        <v>64</v>
      </c>
      <c r="D663" s="1712"/>
      <c r="E663" s="1642"/>
      <c r="F663" s="1224"/>
      <c r="G663" s="1266"/>
      <c r="H663" s="1225"/>
      <c r="I663" s="1226"/>
      <c r="J663" s="1604">
        <v>1</v>
      </c>
      <c r="K663" s="1605">
        <v>1</v>
      </c>
      <c r="L663" s="1606"/>
      <c r="M663" s="1626">
        <f t="shared" ref="M663:M667" si="1875">+L663*J663</f>
        <v>0</v>
      </c>
      <c r="N663" s="1228"/>
      <c r="O663" s="1229">
        <f t="shared" ref="O663:O671" si="1876">+L663*N663</f>
        <v>0</v>
      </c>
      <c r="P663" s="1713"/>
      <c r="Q663" s="1230">
        <f t="shared" ref="Q663:Q671" si="1877">+P663*K663</f>
        <v>0</v>
      </c>
      <c r="R663" s="1231"/>
      <c r="S663" s="1231"/>
      <c r="T663" s="1232">
        <f t="shared" ref="T663:T671" si="1878">+P663*S663</f>
        <v>0</v>
      </c>
      <c r="U663" s="2012">
        <f t="shared" ref="U663:U671" si="1879">+L663+P663+F663</f>
        <v>0</v>
      </c>
      <c r="V663" s="1234">
        <f t="shared" ref="V663:V671" si="1880">+P663*R663+L663*N663+F663*H663</f>
        <v>0</v>
      </c>
      <c r="W663" s="1235">
        <f t="shared" ref="W663:W671" si="1881">IF((-P663*R663)-(-P663*S663)&gt;0,(-P663*R663)-(-P663*S663),0)</f>
        <v>0</v>
      </c>
      <c r="X663" s="1236">
        <f t="shared" ref="X663:X671" si="1882">IF((-P663*R663)-(-P663*S663)&lt;0,(-P663*R663)-(-P663*S663),0)</f>
        <v>0</v>
      </c>
      <c r="Y663" s="1162"/>
      <c r="Z663" s="1058"/>
      <c r="AA663" s="1163"/>
      <c r="AB663" s="1164"/>
      <c r="AC663" s="1164"/>
      <c r="AD663" s="1164"/>
      <c r="AE663" s="1164"/>
      <c r="AF663" s="1164"/>
      <c r="AG663" s="1164"/>
      <c r="AH663" s="1164"/>
      <c r="AI663" s="1164"/>
      <c r="AJ663" s="1164"/>
      <c r="AK663" s="1164"/>
      <c r="AL663" s="1578"/>
      <c r="AM663" s="1164"/>
      <c r="AN663" s="1164"/>
      <c r="AO663" s="1164"/>
      <c r="AP663" s="1164"/>
      <c r="AQ663" s="1164"/>
      <c r="AR663" s="1164"/>
      <c r="AS663" s="1164"/>
      <c r="AT663" s="1164"/>
      <c r="AU663" s="1164"/>
      <c r="AV663" s="1164"/>
      <c r="AW663" s="1164"/>
      <c r="AX663" s="1164"/>
      <c r="AY663" s="1164"/>
      <c r="AZ663" s="1164"/>
      <c r="BA663" s="1164"/>
      <c r="BB663" s="1164"/>
      <c r="BC663" s="1164"/>
      <c r="BD663" s="1164"/>
      <c r="BE663" s="1164"/>
      <c r="BF663" s="1164"/>
      <c r="BG663" s="1164"/>
      <c r="BH663" s="1164"/>
      <c r="BI663" s="1164"/>
      <c r="BJ663" s="1164"/>
      <c r="BK663" s="1164"/>
      <c r="BL663" s="1164"/>
      <c r="BM663" s="1164"/>
      <c r="BN663" s="1164"/>
      <c r="BO663" s="1164"/>
      <c r="BP663" s="1164"/>
      <c r="BQ663" s="1164"/>
      <c r="BR663" s="1164"/>
      <c r="BS663" s="1164"/>
      <c r="BT663" s="1164"/>
      <c r="BU663" s="1164">
        <f>+M663</f>
        <v>0</v>
      </c>
      <c r="BV663" s="1164"/>
      <c r="BW663" s="1164"/>
      <c r="BX663" s="1164"/>
      <c r="BY663" s="1164"/>
      <c r="BZ663" s="1164"/>
      <c r="CA663" s="1164"/>
      <c r="CB663" s="1165"/>
      <c r="CC663" s="1165"/>
      <c r="CD663" s="1165"/>
      <c r="CE663" s="1165"/>
      <c r="CF663" s="1165"/>
      <c r="CG663" s="1165"/>
      <c r="CH663" s="1165"/>
      <c r="CI663" s="1165"/>
      <c r="CJ663" s="1165"/>
      <c r="CK663" s="1165"/>
      <c r="CL663" s="1165"/>
      <c r="CM663" s="1165"/>
      <c r="CN663" s="1165"/>
      <c r="CO663" s="1165"/>
      <c r="CP663" s="1165"/>
      <c r="CQ663" s="1165"/>
      <c r="CR663" s="1165"/>
      <c r="CS663" s="1165"/>
      <c r="CT663" s="1165"/>
      <c r="CU663" s="1165"/>
      <c r="CV663" s="1165"/>
      <c r="CW663" s="1165"/>
      <c r="CX663" s="1165"/>
      <c r="CY663" s="1165"/>
      <c r="CZ663" s="1165"/>
      <c r="DA663" s="1165"/>
      <c r="DB663" s="1165"/>
      <c r="DC663" s="1165"/>
      <c r="DD663" s="1165"/>
      <c r="DE663" s="1165"/>
      <c r="DF663" s="1165"/>
      <c r="DG663" s="1165"/>
      <c r="DH663" s="1165"/>
      <c r="DI663" s="1165"/>
      <c r="DJ663" s="1165"/>
      <c r="DK663" s="1165"/>
      <c r="DL663" s="1165"/>
      <c r="DM663" s="1165"/>
      <c r="DN663" s="1165"/>
      <c r="DO663" s="1165"/>
      <c r="DP663" s="1165"/>
    </row>
    <row r="664" spans="1:120" s="13" customFormat="1" hidden="1" outlineLevel="1">
      <c r="A664" s="1221">
        <v>1110052090</v>
      </c>
      <c r="B664" s="1216"/>
      <c r="C664" s="101" t="s">
        <v>64</v>
      </c>
      <c r="D664" s="1712"/>
      <c r="E664" s="1642"/>
      <c r="F664" s="1224"/>
      <c r="G664" s="1266"/>
      <c r="H664" s="1225"/>
      <c r="I664" s="1226"/>
      <c r="J664" s="1604">
        <v>1</v>
      </c>
      <c r="K664" s="1605">
        <v>1</v>
      </c>
      <c r="L664" s="1606"/>
      <c r="M664" s="1626">
        <f t="shared" si="1875"/>
        <v>0</v>
      </c>
      <c r="N664" s="1228"/>
      <c r="O664" s="1229">
        <f t="shared" si="1876"/>
        <v>0</v>
      </c>
      <c r="P664" s="1713"/>
      <c r="Q664" s="1230">
        <f t="shared" si="1877"/>
        <v>0</v>
      </c>
      <c r="R664" s="1231"/>
      <c r="S664" s="1231"/>
      <c r="T664" s="1232">
        <f t="shared" si="1878"/>
        <v>0</v>
      </c>
      <c r="U664" s="2012">
        <f t="shared" si="1879"/>
        <v>0</v>
      </c>
      <c r="V664" s="1234">
        <f t="shared" si="1880"/>
        <v>0</v>
      </c>
      <c r="W664" s="1235">
        <f t="shared" si="1881"/>
        <v>0</v>
      </c>
      <c r="X664" s="1236">
        <f t="shared" si="1882"/>
        <v>0</v>
      </c>
      <c r="Y664" s="1162"/>
      <c r="Z664" s="1058"/>
      <c r="AA664" s="1163"/>
      <c r="AB664" s="1164"/>
      <c r="AC664" s="1164"/>
      <c r="AD664" s="1164"/>
      <c r="AE664" s="1164"/>
      <c r="AF664" s="1164"/>
      <c r="AG664" s="1164"/>
      <c r="AH664" s="1164"/>
      <c r="AI664" s="1164"/>
      <c r="AJ664" s="1164"/>
      <c r="AK664" s="1164"/>
      <c r="AL664" s="1578"/>
      <c r="AM664" s="1164"/>
      <c r="AN664" s="1164"/>
      <c r="AO664" s="1164"/>
      <c r="AP664" s="1164"/>
      <c r="AQ664" s="1164"/>
      <c r="AR664" s="1164"/>
      <c r="AS664" s="1164"/>
      <c r="AT664" s="1164"/>
      <c r="AU664" s="1164"/>
      <c r="AV664" s="1164"/>
      <c r="AW664" s="1164"/>
      <c r="AX664" s="1164"/>
      <c r="AY664" s="1164"/>
      <c r="AZ664" s="1164"/>
      <c r="BA664" s="1164"/>
      <c r="BB664" s="1164"/>
      <c r="BC664" s="1164"/>
      <c r="BD664" s="1164"/>
      <c r="BE664" s="1164"/>
      <c r="BF664" s="1164"/>
      <c r="BG664" s="1164"/>
      <c r="BH664" s="1164"/>
      <c r="BI664" s="1164"/>
      <c r="BJ664" s="1164"/>
      <c r="BK664" s="1164"/>
      <c r="BL664" s="1164"/>
      <c r="BM664" s="1164"/>
      <c r="BN664" s="1164"/>
      <c r="BO664" s="1164"/>
      <c r="BP664" s="1164"/>
      <c r="BQ664" s="1164"/>
      <c r="BR664" s="1164"/>
      <c r="BS664" s="1164"/>
      <c r="BT664" s="1164"/>
      <c r="BU664" s="1164"/>
      <c r="BV664" s="1164">
        <f>+M664</f>
        <v>0</v>
      </c>
      <c r="BW664" s="1164"/>
      <c r="BX664" s="1164"/>
      <c r="BY664" s="1164"/>
      <c r="BZ664" s="1164"/>
      <c r="CA664" s="1164"/>
      <c r="CB664" s="1165"/>
      <c r="CC664" s="1165"/>
      <c r="CD664" s="1165"/>
      <c r="CE664" s="1165"/>
      <c r="CF664" s="1165"/>
      <c r="CG664" s="1165"/>
      <c r="CH664" s="1165"/>
      <c r="CI664" s="1165"/>
      <c r="CJ664" s="1165"/>
      <c r="CK664" s="1165"/>
      <c r="CL664" s="1165"/>
      <c r="CM664" s="1165"/>
      <c r="CN664" s="1165"/>
      <c r="CO664" s="1165"/>
      <c r="CP664" s="1165"/>
      <c r="CQ664" s="1165"/>
      <c r="CR664" s="1165"/>
      <c r="CS664" s="1165"/>
      <c r="CT664" s="1165"/>
      <c r="CU664" s="1165"/>
      <c r="CV664" s="1165"/>
      <c r="CW664" s="1165"/>
      <c r="CX664" s="1165"/>
      <c r="CY664" s="1165"/>
      <c r="CZ664" s="1165"/>
      <c r="DA664" s="1165"/>
      <c r="DB664" s="1165"/>
      <c r="DC664" s="1165"/>
      <c r="DD664" s="1165"/>
      <c r="DE664" s="1165"/>
      <c r="DF664" s="1165"/>
      <c r="DG664" s="1165"/>
      <c r="DH664" s="1165"/>
      <c r="DI664" s="1165"/>
      <c r="DJ664" s="1165"/>
      <c r="DK664" s="1165"/>
      <c r="DL664" s="1165"/>
      <c r="DM664" s="1165"/>
      <c r="DN664" s="1165"/>
      <c r="DO664" s="1165"/>
      <c r="DP664" s="1165"/>
    </row>
    <row r="665" spans="1:120" s="13" customFormat="1" hidden="1" outlineLevel="1">
      <c r="A665" s="1221">
        <v>1110052090</v>
      </c>
      <c r="B665" s="1216"/>
      <c r="C665" s="101" t="s">
        <v>64</v>
      </c>
      <c r="D665" s="1712"/>
      <c r="E665" s="1642"/>
      <c r="F665" s="1224"/>
      <c r="G665" s="1266"/>
      <c r="H665" s="1225"/>
      <c r="I665" s="1226"/>
      <c r="J665" s="1604">
        <v>1</v>
      </c>
      <c r="K665" s="1605">
        <v>1</v>
      </c>
      <c r="L665" s="1606"/>
      <c r="M665" s="1626">
        <f t="shared" si="1875"/>
        <v>0</v>
      </c>
      <c r="N665" s="1228"/>
      <c r="O665" s="1229">
        <f t="shared" si="1876"/>
        <v>0</v>
      </c>
      <c r="P665" s="1713"/>
      <c r="Q665" s="1230">
        <f t="shared" si="1877"/>
        <v>0</v>
      </c>
      <c r="R665" s="1231"/>
      <c r="S665" s="1231"/>
      <c r="T665" s="1232">
        <f t="shared" si="1878"/>
        <v>0</v>
      </c>
      <c r="U665" s="2012">
        <f t="shared" si="1879"/>
        <v>0</v>
      </c>
      <c r="V665" s="1234">
        <f t="shared" si="1880"/>
        <v>0</v>
      </c>
      <c r="W665" s="1235">
        <f t="shared" si="1881"/>
        <v>0</v>
      </c>
      <c r="X665" s="1236">
        <f t="shared" si="1882"/>
        <v>0</v>
      </c>
      <c r="Y665" s="1162"/>
      <c r="Z665" s="1058"/>
      <c r="AA665" s="1163"/>
      <c r="AB665" s="1164"/>
      <c r="AC665" s="1164"/>
      <c r="AD665" s="1164"/>
      <c r="AE665" s="1164"/>
      <c r="AF665" s="1164"/>
      <c r="AG665" s="1164"/>
      <c r="AH665" s="1164"/>
      <c r="AI665" s="1164"/>
      <c r="AJ665" s="1164"/>
      <c r="AK665" s="1164"/>
      <c r="AL665" s="1578"/>
      <c r="AM665" s="1164"/>
      <c r="AN665" s="1164"/>
      <c r="AO665" s="1164"/>
      <c r="AP665" s="1164"/>
      <c r="AQ665" s="1164"/>
      <c r="AR665" s="1164"/>
      <c r="AS665" s="1164"/>
      <c r="AT665" s="1164"/>
      <c r="AU665" s="1164"/>
      <c r="AV665" s="1164"/>
      <c r="AW665" s="1164"/>
      <c r="AX665" s="1164"/>
      <c r="AY665" s="1164"/>
      <c r="AZ665" s="1164"/>
      <c r="BA665" s="1164"/>
      <c r="BB665" s="1164"/>
      <c r="BC665" s="1164"/>
      <c r="BD665" s="1164"/>
      <c r="BE665" s="1164"/>
      <c r="BF665" s="1164"/>
      <c r="BG665" s="1164"/>
      <c r="BH665" s="1164"/>
      <c r="BI665" s="1164"/>
      <c r="BJ665" s="1164"/>
      <c r="BK665" s="1164"/>
      <c r="BL665" s="1164"/>
      <c r="BM665" s="1164"/>
      <c r="BN665" s="1164"/>
      <c r="BO665" s="1164"/>
      <c r="BP665" s="1164"/>
      <c r="BQ665" s="1164"/>
      <c r="BR665" s="1164"/>
      <c r="BS665" s="1164"/>
      <c r="BT665" s="1164"/>
      <c r="BU665" s="1164"/>
      <c r="BV665" s="1164"/>
      <c r="BW665" s="1164">
        <f>+M665</f>
        <v>0</v>
      </c>
      <c r="BX665" s="1164"/>
      <c r="BY665" s="1164"/>
      <c r="BZ665" s="1164"/>
      <c r="CA665" s="1164"/>
      <c r="CB665" s="1165"/>
      <c r="CC665" s="1165"/>
      <c r="CD665" s="1165"/>
      <c r="CE665" s="1165"/>
      <c r="CF665" s="1165"/>
      <c r="CG665" s="1165"/>
      <c r="CH665" s="1165"/>
      <c r="CI665" s="1165"/>
      <c r="CJ665" s="1165"/>
      <c r="CK665" s="1165"/>
      <c r="CL665" s="1165"/>
      <c r="CM665" s="1165"/>
      <c r="CN665" s="1165"/>
      <c r="CO665" s="1165"/>
      <c r="CP665" s="1165"/>
      <c r="CQ665" s="1165"/>
      <c r="CR665" s="1165"/>
      <c r="CS665" s="1165"/>
      <c r="CT665" s="1165"/>
      <c r="CU665" s="1165"/>
      <c r="CV665" s="1165"/>
      <c r="CW665" s="1165"/>
      <c r="CX665" s="1165"/>
      <c r="CY665" s="1165"/>
      <c r="CZ665" s="1165"/>
      <c r="DA665" s="1165"/>
      <c r="DB665" s="1165"/>
      <c r="DC665" s="1165"/>
      <c r="DD665" s="1165"/>
      <c r="DE665" s="1165"/>
      <c r="DF665" s="1165"/>
      <c r="DG665" s="1165"/>
      <c r="DH665" s="1165"/>
      <c r="DI665" s="1165"/>
      <c r="DJ665" s="1165"/>
      <c r="DK665" s="1165"/>
      <c r="DL665" s="1165"/>
      <c r="DM665" s="1165"/>
      <c r="DN665" s="1165"/>
      <c r="DO665" s="1165"/>
      <c r="DP665" s="1165"/>
    </row>
    <row r="666" spans="1:120" s="13" customFormat="1" hidden="1" outlineLevel="1">
      <c r="A666" s="1221">
        <v>1110052090</v>
      </c>
      <c r="B666" s="1216"/>
      <c r="C666" s="101" t="s">
        <v>64</v>
      </c>
      <c r="D666" s="1712"/>
      <c r="E666" s="1642"/>
      <c r="F666" s="1224"/>
      <c r="G666" s="1266"/>
      <c r="H666" s="1225"/>
      <c r="I666" s="1226"/>
      <c r="J666" s="1604">
        <v>1</v>
      </c>
      <c r="K666" s="1605">
        <v>1</v>
      </c>
      <c r="L666" s="1606"/>
      <c r="M666" s="1626">
        <f t="shared" si="1875"/>
        <v>0</v>
      </c>
      <c r="N666" s="1228"/>
      <c r="O666" s="1229">
        <f t="shared" si="1876"/>
        <v>0</v>
      </c>
      <c r="P666" s="1713"/>
      <c r="Q666" s="1230">
        <f t="shared" si="1877"/>
        <v>0</v>
      </c>
      <c r="R666" s="1231"/>
      <c r="S666" s="1231"/>
      <c r="T666" s="1232">
        <f t="shared" si="1878"/>
        <v>0</v>
      </c>
      <c r="U666" s="2012">
        <f t="shared" si="1879"/>
        <v>0</v>
      </c>
      <c r="V666" s="1234">
        <f t="shared" si="1880"/>
        <v>0</v>
      </c>
      <c r="W666" s="1235">
        <f t="shared" si="1881"/>
        <v>0</v>
      </c>
      <c r="X666" s="1236">
        <f t="shared" si="1882"/>
        <v>0</v>
      </c>
      <c r="Y666" s="1162"/>
      <c r="Z666" s="1058"/>
      <c r="AA666" s="1163"/>
      <c r="AB666" s="1164"/>
      <c r="AC666" s="1164"/>
      <c r="AD666" s="1164"/>
      <c r="AE666" s="1164"/>
      <c r="AF666" s="1164"/>
      <c r="AG666" s="1164"/>
      <c r="AH666" s="1164"/>
      <c r="AI666" s="1164"/>
      <c r="AJ666" s="1164"/>
      <c r="AK666" s="1164"/>
      <c r="AL666" s="1578"/>
      <c r="AM666" s="1164"/>
      <c r="AN666" s="1164"/>
      <c r="AO666" s="1164"/>
      <c r="AP666" s="1164"/>
      <c r="AQ666" s="1164"/>
      <c r="AR666" s="1164"/>
      <c r="AS666" s="1164"/>
      <c r="AT666" s="1164"/>
      <c r="AU666" s="1164"/>
      <c r="AV666" s="1164"/>
      <c r="AW666" s="1164"/>
      <c r="AX666" s="1164"/>
      <c r="AY666" s="1164"/>
      <c r="AZ666" s="1164"/>
      <c r="BA666" s="1164"/>
      <c r="BB666" s="1164"/>
      <c r="BC666" s="1164"/>
      <c r="BD666" s="1164"/>
      <c r="BE666" s="1164"/>
      <c r="BF666" s="1164"/>
      <c r="BG666" s="1164"/>
      <c r="BH666" s="1164"/>
      <c r="BI666" s="1164"/>
      <c r="BJ666" s="1164"/>
      <c r="BK666" s="1164"/>
      <c r="BL666" s="1164"/>
      <c r="BM666" s="1164"/>
      <c r="BN666" s="1164"/>
      <c r="BO666" s="1164"/>
      <c r="BP666" s="1164"/>
      <c r="BQ666" s="1164"/>
      <c r="BR666" s="1164"/>
      <c r="BS666" s="1164"/>
      <c r="BT666" s="1164"/>
      <c r="BU666" s="1164"/>
      <c r="BV666" s="1164"/>
      <c r="BW666" s="1164">
        <f>+M666</f>
        <v>0</v>
      </c>
      <c r="BX666" s="1164"/>
      <c r="BY666" s="1164"/>
      <c r="BZ666" s="1164"/>
      <c r="CA666" s="1164"/>
      <c r="CB666" s="1165"/>
      <c r="CC666" s="1165"/>
      <c r="CD666" s="1165"/>
      <c r="CE666" s="1165"/>
      <c r="CF666" s="1165"/>
      <c r="CG666" s="1165"/>
      <c r="CH666" s="1165"/>
      <c r="CI666" s="1165"/>
      <c r="CJ666" s="1165"/>
      <c r="CK666" s="1165"/>
      <c r="CL666" s="1165"/>
      <c r="CM666" s="1165"/>
      <c r="CN666" s="1165"/>
      <c r="CO666" s="1165"/>
      <c r="CP666" s="1165"/>
      <c r="CQ666" s="1165"/>
      <c r="CR666" s="1165"/>
      <c r="CS666" s="1165"/>
      <c r="CT666" s="1165"/>
      <c r="CU666" s="1165"/>
      <c r="CV666" s="1165"/>
      <c r="CW666" s="1165"/>
      <c r="CX666" s="1165"/>
      <c r="CY666" s="1165"/>
      <c r="CZ666" s="1165"/>
      <c r="DA666" s="1165"/>
      <c r="DB666" s="1165"/>
      <c r="DC666" s="1165"/>
      <c r="DD666" s="1165"/>
      <c r="DE666" s="1165"/>
      <c r="DF666" s="1165"/>
      <c r="DG666" s="1165"/>
      <c r="DH666" s="1165"/>
      <c r="DI666" s="1165"/>
      <c r="DJ666" s="1165"/>
      <c r="DK666" s="1165"/>
      <c r="DL666" s="1165"/>
      <c r="DM666" s="1165"/>
      <c r="DN666" s="1165"/>
      <c r="DO666" s="1165"/>
      <c r="DP666" s="1165"/>
    </row>
    <row r="667" spans="1:120" s="13" customFormat="1" hidden="1" outlineLevel="1">
      <c r="A667" s="1221">
        <v>1110052090</v>
      </c>
      <c r="B667" s="1216"/>
      <c r="C667" s="101" t="s">
        <v>64</v>
      </c>
      <c r="D667" s="1712"/>
      <c r="E667" s="1642"/>
      <c r="F667" s="1224"/>
      <c r="G667" s="1266"/>
      <c r="H667" s="1225"/>
      <c r="I667" s="1226"/>
      <c r="J667" s="1604">
        <v>1</v>
      </c>
      <c r="K667" s="1605">
        <v>1</v>
      </c>
      <c r="L667" s="1606"/>
      <c r="M667" s="1626">
        <f t="shared" si="1875"/>
        <v>0</v>
      </c>
      <c r="N667" s="1228"/>
      <c r="O667" s="1229">
        <f t="shared" si="1876"/>
        <v>0</v>
      </c>
      <c r="P667" s="1713"/>
      <c r="Q667" s="1230">
        <f t="shared" si="1877"/>
        <v>0</v>
      </c>
      <c r="R667" s="1231"/>
      <c r="S667" s="1231"/>
      <c r="T667" s="1232">
        <f t="shared" si="1878"/>
        <v>0</v>
      </c>
      <c r="U667" s="2012">
        <f t="shared" si="1879"/>
        <v>0</v>
      </c>
      <c r="V667" s="1234">
        <f t="shared" si="1880"/>
        <v>0</v>
      </c>
      <c r="W667" s="1235">
        <f t="shared" si="1881"/>
        <v>0</v>
      </c>
      <c r="X667" s="1236">
        <f t="shared" si="1882"/>
        <v>0</v>
      </c>
      <c r="Y667" s="1162"/>
      <c r="Z667" s="1058"/>
      <c r="AA667" s="1163"/>
      <c r="AB667" s="1164"/>
      <c r="AC667" s="1164"/>
      <c r="AD667" s="1164"/>
      <c r="AE667" s="1164"/>
      <c r="AF667" s="1164"/>
      <c r="AG667" s="1164"/>
      <c r="AH667" s="1164"/>
      <c r="AI667" s="1164"/>
      <c r="AJ667" s="1164"/>
      <c r="AK667" s="1164"/>
      <c r="AL667" s="1578"/>
      <c r="AM667" s="1164"/>
      <c r="AN667" s="1164"/>
      <c r="AO667" s="1164"/>
      <c r="AP667" s="1164"/>
      <c r="AQ667" s="1164"/>
      <c r="AR667" s="1164"/>
      <c r="AS667" s="1164"/>
      <c r="AT667" s="1164"/>
      <c r="AU667" s="1164"/>
      <c r="AV667" s="1164"/>
      <c r="AW667" s="1164"/>
      <c r="AX667" s="1164"/>
      <c r="AY667" s="1164"/>
      <c r="AZ667" s="1164"/>
      <c r="BA667" s="1164"/>
      <c r="BB667" s="1164"/>
      <c r="BC667" s="1164"/>
      <c r="BD667" s="1164"/>
      <c r="BE667" s="1164"/>
      <c r="BF667" s="1164"/>
      <c r="BG667" s="1164"/>
      <c r="BH667" s="1164"/>
      <c r="BI667" s="1164"/>
      <c r="BJ667" s="1164"/>
      <c r="BK667" s="1164"/>
      <c r="BL667" s="1164"/>
      <c r="BM667" s="1164"/>
      <c r="BN667" s="1164"/>
      <c r="BO667" s="1164"/>
      <c r="BP667" s="1164"/>
      <c r="BQ667" s="1164"/>
      <c r="BR667" s="1164"/>
      <c r="BS667" s="1164"/>
      <c r="BT667" s="1164"/>
      <c r="BU667" s="1164"/>
      <c r="BV667" s="1164"/>
      <c r="BW667" s="1164"/>
      <c r="BX667" s="1164">
        <f>+M667</f>
        <v>0</v>
      </c>
      <c r="BY667" s="1164"/>
      <c r="BZ667" s="1164"/>
      <c r="CA667" s="1164"/>
      <c r="CB667" s="1165"/>
      <c r="CC667" s="1165"/>
      <c r="CD667" s="1165"/>
      <c r="CE667" s="1165"/>
      <c r="CF667" s="1165"/>
      <c r="CG667" s="1165"/>
      <c r="CH667" s="1165"/>
      <c r="CI667" s="1165"/>
      <c r="CJ667" s="1165"/>
      <c r="CK667" s="1165"/>
      <c r="CL667" s="1165"/>
      <c r="CM667" s="1165"/>
      <c r="CN667" s="1165"/>
      <c r="CO667" s="1165"/>
      <c r="CP667" s="1165"/>
      <c r="CQ667" s="1165"/>
      <c r="CR667" s="1165"/>
      <c r="CS667" s="1165"/>
      <c r="CT667" s="1165"/>
      <c r="CU667" s="1165"/>
      <c r="CV667" s="1165"/>
      <c r="CW667" s="1165"/>
      <c r="CX667" s="1165"/>
      <c r="CY667" s="1165"/>
      <c r="CZ667" s="1165"/>
      <c r="DA667" s="1165"/>
      <c r="DB667" s="1165"/>
      <c r="DC667" s="1165"/>
      <c r="DD667" s="1165"/>
      <c r="DE667" s="1165"/>
      <c r="DF667" s="1165"/>
      <c r="DG667" s="1165"/>
      <c r="DH667" s="1165"/>
      <c r="DI667" s="1165"/>
      <c r="DJ667" s="1165"/>
      <c r="DK667" s="1165"/>
      <c r="DL667" s="1165"/>
      <c r="DM667" s="1165"/>
      <c r="DN667" s="1165"/>
      <c r="DO667" s="1165"/>
      <c r="DP667" s="1165"/>
    </row>
    <row r="668" spans="1:120" s="13" customFormat="1" hidden="1" outlineLevel="1">
      <c r="A668" s="1221">
        <v>1110052090</v>
      </c>
      <c r="B668" s="1216"/>
      <c r="C668" s="101" t="s">
        <v>64</v>
      </c>
      <c r="D668" s="1712"/>
      <c r="E668" s="1642"/>
      <c r="F668" s="1224"/>
      <c r="G668" s="1266"/>
      <c r="H668" s="1225"/>
      <c r="I668" s="1226"/>
      <c r="J668" s="1604">
        <v>1</v>
      </c>
      <c r="K668" s="1605">
        <v>1</v>
      </c>
      <c r="L668" s="1606"/>
      <c r="M668" s="1626">
        <f t="shared" ref="M668:M671" si="1883">+L668*J668</f>
        <v>0</v>
      </c>
      <c r="N668" s="1228"/>
      <c r="O668" s="1229">
        <f t="shared" si="1876"/>
        <v>0</v>
      </c>
      <c r="P668" s="1713"/>
      <c r="Q668" s="1230">
        <f t="shared" si="1877"/>
        <v>0</v>
      </c>
      <c r="R668" s="1231"/>
      <c r="S668" s="1231"/>
      <c r="T668" s="1232">
        <f t="shared" si="1878"/>
        <v>0</v>
      </c>
      <c r="U668" s="2012">
        <f t="shared" si="1879"/>
        <v>0</v>
      </c>
      <c r="V668" s="1234">
        <f t="shared" si="1880"/>
        <v>0</v>
      </c>
      <c r="W668" s="1235">
        <f t="shared" si="1881"/>
        <v>0</v>
      </c>
      <c r="X668" s="1236">
        <f t="shared" si="1882"/>
        <v>0</v>
      </c>
      <c r="Y668" s="1162"/>
      <c r="Z668" s="1058"/>
      <c r="AA668" s="1163"/>
      <c r="AB668" s="1164"/>
      <c r="AC668" s="1164"/>
      <c r="AD668" s="1164"/>
      <c r="AE668" s="1164"/>
      <c r="AF668" s="1164"/>
      <c r="AG668" s="1164"/>
      <c r="AH668" s="1164"/>
      <c r="AI668" s="1164"/>
      <c r="AJ668" s="1164"/>
      <c r="AK668" s="1164"/>
      <c r="AL668" s="1578"/>
      <c r="AM668" s="1164"/>
      <c r="AN668" s="1164"/>
      <c r="AO668" s="1164"/>
      <c r="AP668" s="1164"/>
      <c r="AQ668" s="1164"/>
      <c r="AR668" s="1164"/>
      <c r="AS668" s="1164"/>
      <c r="AT668" s="1164"/>
      <c r="AU668" s="1164"/>
      <c r="AV668" s="1164"/>
      <c r="AW668" s="1164"/>
      <c r="AX668" s="1164"/>
      <c r="AY668" s="1164"/>
      <c r="AZ668" s="1164"/>
      <c r="BA668" s="1164"/>
      <c r="BB668" s="1164"/>
      <c r="BC668" s="1164"/>
      <c r="BD668" s="1164"/>
      <c r="BE668" s="1164"/>
      <c r="BF668" s="1164"/>
      <c r="BG668" s="1164"/>
      <c r="BH668" s="1164"/>
      <c r="BI668" s="1164"/>
      <c r="BJ668" s="1164"/>
      <c r="BK668" s="1164"/>
      <c r="BL668" s="1164"/>
      <c r="BM668" s="1164"/>
      <c r="BN668" s="1164"/>
      <c r="BO668" s="1164"/>
      <c r="BP668" s="1164"/>
      <c r="BQ668" s="1164"/>
      <c r="BR668" s="1164"/>
      <c r="BS668" s="1164"/>
      <c r="BT668" s="1164"/>
      <c r="BU668" s="1164"/>
      <c r="BV668" s="1164"/>
      <c r="BW668" s="1164"/>
      <c r="BX668" s="1164">
        <f>+M668</f>
        <v>0</v>
      </c>
      <c r="BY668" s="1164"/>
      <c r="BZ668" s="1164"/>
      <c r="CA668" s="1164"/>
      <c r="CB668" s="1165"/>
      <c r="CC668" s="1165"/>
      <c r="CD668" s="1165"/>
      <c r="CE668" s="1165"/>
      <c r="CF668" s="1165"/>
      <c r="CG668" s="1165"/>
      <c r="CH668" s="1165"/>
      <c r="CI668" s="1165"/>
      <c r="CJ668" s="1165"/>
      <c r="CK668" s="1165"/>
      <c r="CL668" s="1165"/>
      <c r="CM668" s="1165"/>
      <c r="CN668" s="1165"/>
      <c r="CO668" s="1165"/>
      <c r="CP668" s="1165"/>
      <c r="CQ668" s="1165"/>
      <c r="CR668" s="1165"/>
      <c r="CS668" s="1165"/>
      <c r="CT668" s="1165"/>
      <c r="CU668" s="1165"/>
      <c r="CV668" s="1165"/>
      <c r="CW668" s="1165"/>
      <c r="CX668" s="1165"/>
      <c r="CY668" s="1165"/>
      <c r="CZ668" s="1165"/>
      <c r="DA668" s="1165"/>
      <c r="DB668" s="1165"/>
      <c r="DC668" s="1165"/>
      <c r="DD668" s="1165"/>
      <c r="DE668" s="1165"/>
      <c r="DF668" s="1165"/>
      <c r="DG668" s="1165"/>
      <c r="DH668" s="1165"/>
      <c r="DI668" s="1165"/>
      <c r="DJ668" s="1165"/>
      <c r="DK668" s="1165"/>
      <c r="DL668" s="1165"/>
      <c r="DM668" s="1165"/>
      <c r="DN668" s="1165"/>
      <c r="DO668" s="1165"/>
      <c r="DP668" s="1165"/>
    </row>
    <row r="669" spans="1:120" s="13" customFormat="1" hidden="1" outlineLevel="1">
      <c r="A669" s="1221">
        <v>1110052090</v>
      </c>
      <c r="B669" s="1216"/>
      <c r="C669" s="101" t="s">
        <v>64</v>
      </c>
      <c r="D669" s="1712"/>
      <c r="E669" s="1642"/>
      <c r="F669" s="1224"/>
      <c r="G669" s="1266"/>
      <c r="H669" s="1225"/>
      <c r="I669" s="1226"/>
      <c r="J669" s="1604">
        <v>1</v>
      </c>
      <c r="K669" s="1605">
        <v>1</v>
      </c>
      <c r="L669" s="1606"/>
      <c r="M669" s="1626">
        <f t="shared" si="1883"/>
        <v>0</v>
      </c>
      <c r="N669" s="1228"/>
      <c r="O669" s="1229">
        <f t="shared" si="1876"/>
        <v>0</v>
      </c>
      <c r="P669" s="1713"/>
      <c r="Q669" s="1230">
        <f t="shared" si="1877"/>
        <v>0</v>
      </c>
      <c r="R669" s="1231"/>
      <c r="S669" s="1231"/>
      <c r="T669" s="1232">
        <f t="shared" si="1878"/>
        <v>0</v>
      </c>
      <c r="U669" s="2012">
        <f t="shared" si="1879"/>
        <v>0</v>
      </c>
      <c r="V669" s="1234">
        <f t="shared" si="1880"/>
        <v>0</v>
      </c>
      <c r="W669" s="1235">
        <f t="shared" si="1881"/>
        <v>0</v>
      </c>
      <c r="X669" s="1236">
        <f t="shared" si="1882"/>
        <v>0</v>
      </c>
      <c r="Y669" s="1162"/>
      <c r="Z669" s="1058"/>
      <c r="AA669" s="1163"/>
      <c r="AB669" s="1164"/>
      <c r="AC669" s="1164"/>
      <c r="AD669" s="1164"/>
      <c r="AE669" s="1164"/>
      <c r="AF669" s="1164"/>
      <c r="AG669" s="1164"/>
      <c r="AH669" s="1164"/>
      <c r="AI669" s="1164"/>
      <c r="AJ669" s="1164"/>
      <c r="AK669" s="1164"/>
      <c r="AL669" s="1578"/>
      <c r="AM669" s="1164"/>
      <c r="AN669" s="1164"/>
      <c r="AO669" s="1164"/>
      <c r="AP669" s="1164"/>
      <c r="AQ669" s="1164"/>
      <c r="AR669" s="1164"/>
      <c r="AS669" s="1164"/>
      <c r="AT669" s="1164"/>
      <c r="AU669" s="1164"/>
      <c r="AV669" s="1164"/>
      <c r="AW669" s="1164"/>
      <c r="AX669" s="1164"/>
      <c r="AY669" s="1164"/>
      <c r="AZ669" s="1164"/>
      <c r="BA669" s="1164"/>
      <c r="BB669" s="1164"/>
      <c r="BC669" s="1164"/>
      <c r="BD669" s="1164"/>
      <c r="BE669" s="1164"/>
      <c r="BF669" s="1164"/>
      <c r="BG669" s="1164"/>
      <c r="BH669" s="1164"/>
      <c r="BI669" s="1164"/>
      <c r="BJ669" s="1164"/>
      <c r="BK669" s="1164"/>
      <c r="BL669" s="1164"/>
      <c r="BM669" s="1164"/>
      <c r="BN669" s="1164"/>
      <c r="BO669" s="1164"/>
      <c r="BP669" s="1164"/>
      <c r="BQ669" s="1164"/>
      <c r="BR669" s="1164"/>
      <c r="BS669" s="1164"/>
      <c r="BT669" s="1164"/>
      <c r="BU669" s="1164"/>
      <c r="BV669" s="1164"/>
      <c r="BW669" s="1164"/>
      <c r="BX669" s="1164"/>
      <c r="BY669" s="1164">
        <f>+M669</f>
        <v>0</v>
      </c>
      <c r="BZ669" s="1164"/>
      <c r="CA669" s="1164"/>
      <c r="CB669" s="1165"/>
      <c r="CC669" s="1165"/>
      <c r="CD669" s="1165"/>
      <c r="CE669" s="1165"/>
      <c r="CF669" s="1165"/>
      <c r="CG669" s="1165"/>
      <c r="CH669" s="1165"/>
      <c r="CI669" s="1165"/>
      <c r="CJ669" s="1165"/>
      <c r="CK669" s="1165"/>
      <c r="CL669" s="1165"/>
      <c r="CM669" s="1165"/>
      <c r="CN669" s="1165"/>
      <c r="CO669" s="1165"/>
      <c r="CP669" s="1165"/>
      <c r="CQ669" s="1165"/>
      <c r="CR669" s="1165"/>
      <c r="CS669" s="1165"/>
      <c r="CT669" s="1165"/>
      <c r="CU669" s="1165"/>
      <c r="CV669" s="1165"/>
      <c r="CW669" s="1165"/>
      <c r="CX669" s="1165"/>
      <c r="CY669" s="1165"/>
      <c r="CZ669" s="1165"/>
      <c r="DA669" s="1165"/>
      <c r="DB669" s="1165"/>
      <c r="DC669" s="1165"/>
      <c r="DD669" s="1165"/>
      <c r="DE669" s="1165"/>
      <c r="DF669" s="1165"/>
      <c r="DG669" s="1165"/>
      <c r="DH669" s="1165"/>
      <c r="DI669" s="1165"/>
      <c r="DJ669" s="1165"/>
      <c r="DK669" s="1165"/>
      <c r="DL669" s="1165"/>
      <c r="DM669" s="1165"/>
      <c r="DN669" s="1165"/>
      <c r="DO669" s="1165"/>
      <c r="DP669" s="1165"/>
    </row>
    <row r="670" spans="1:120" s="13" customFormat="1" hidden="1" outlineLevel="1">
      <c r="A670" s="1221">
        <v>1110052090</v>
      </c>
      <c r="B670" s="1216"/>
      <c r="C670" s="101" t="s">
        <v>64</v>
      </c>
      <c r="D670" s="1712"/>
      <c r="E670" s="1642"/>
      <c r="F670" s="1224"/>
      <c r="G670" s="1266"/>
      <c r="H670" s="1225"/>
      <c r="I670" s="1226"/>
      <c r="J670" s="1604">
        <v>1</v>
      </c>
      <c r="K670" s="1605">
        <v>1</v>
      </c>
      <c r="L670" s="1606"/>
      <c r="M670" s="1626">
        <f t="shared" si="1883"/>
        <v>0</v>
      </c>
      <c r="N670" s="1228"/>
      <c r="O670" s="1229">
        <f t="shared" si="1876"/>
        <v>0</v>
      </c>
      <c r="P670" s="1713"/>
      <c r="Q670" s="1230">
        <f t="shared" si="1877"/>
        <v>0</v>
      </c>
      <c r="R670" s="1231"/>
      <c r="S670" s="1231"/>
      <c r="T670" s="1232">
        <f t="shared" si="1878"/>
        <v>0</v>
      </c>
      <c r="U670" s="2012">
        <f t="shared" si="1879"/>
        <v>0</v>
      </c>
      <c r="V670" s="1234">
        <f t="shared" si="1880"/>
        <v>0</v>
      </c>
      <c r="W670" s="1235">
        <f t="shared" si="1881"/>
        <v>0</v>
      </c>
      <c r="X670" s="1236">
        <f t="shared" si="1882"/>
        <v>0</v>
      </c>
      <c r="Y670" s="1162"/>
      <c r="Z670" s="1058"/>
      <c r="AA670" s="1163"/>
      <c r="AB670" s="1164"/>
      <c r="AC670" s="1164"/>
      <c r="AD670" s="1164"/>
      <c r="AE670" s="1164"/>
      <c r="AF670" s="1164"/>
      <c r="AG670" s="1164"/>
      <c r="AH670" s="1164"/>
      <c r="AI670" s="1164"/>
      <c r="AJ670" s="1164"/>
      <c r="AK670" s="1164"/>
      <c r="AL670" s="1578"/>
      <c r="AM670" s="1164"/>
      <c r="AN670" s="1164"/>
      <c r="AO670" s="1164"/>
      <c r="AP670" s="1164"/>
      <c r="AQ670" s="1164"/>
      <c r="AR670" s="1164"/>
      <c r="AS670" s="1164"/>
      <c r="AT670" s="1164"/>
      <c r="AU670" s="1164"/>
      <c r="AV670" s="1164"/>
      <c r="AW670" s="1164"/>
      <c r="AX670" s="1164"/>
      <c r="AY670" s="1164"/>
      <c r="AZ670" s="1164"/>
      <c r="BA670" s="1164"/>
      <c r="BB670" s="1164"/>
      <c r="BC670" s="1164"/>
      <c r="BD670" s="1164"/>
      <c r="BE670" s="1164"/>
      <c r="BF670" s="1164"/>
      <c r="BG670" s="1164"/>
      <c r="BH670" s="1164"/>
      <c r="BI670" s="1164"/>
      <c r="BJ670" s="1164"/>
      <c r="BK670" s="1164"/>
      <c r="BL670" s="1164"/>
      <c r="BM670" s="1164"/>
      <c r="BN670" s="1164"/>
      <c r="BO670" s="1164"/>
      <c r="BP670" s="1164"/>
      <c r="BQ670" s="1164"/>
      <c r="BR670" s="1164"/>
      <c r="BS670" s="1164"/>
      <c r="BT670" s="1164"/>
      <c r="BU670" s="1164"/>
      <c r="BV670" s="1164"/>
      <c r="BW670" s="1164"/>
      <c r="BX670" s="1164"/>
      <c r="BY670" s="1164"/>
      <c r="BZ670" s="1164"/>
      <c r="CA670" s="1164">
        <f>+M670</f>
        <v>0</v>
      </c>
      <c r="CB670" s="1165"/>
      <c r="CC670" s="1165"/>
      <c r="CD670" s="1165"/>
      <c r="CE670" s="1165"/>
      <c r="CF670" s="1165"/>
      <c r="CG670" s="1165"/>
      <c r="CH670" s="1165"/>
      <c r="CI670" s="1165"/>
      <c r="CJ670" s="1165"/>
      <c r="CK670" s="1165"/>
      <c r="CL670" s="1165"/>
      <c r="CM670" s="1165"/>
      <c r="CN670" s="1165"/>
      <c r="CO670" s="1165"/>
      <c r="CP670" s="1165"/>
      <c r="CQ670" s="1165"/>
      <c r="CR670" s="1165"/>
      <c r="CS670" s="1165"/>
      <c r="CT670" s="1165"/>
      <c r="CU670" s="1165"/>
      <c r="CV670" s="1165"/>
      <c r="CW670" s="1165"/>
      <c r="CX670" s="1165"/>
      <c r="CY670" s="1165"/>
      <c r="CZ670" s="1165"/>
      <c r="DA670" s="1165"/>
      <c r="DB670" s="1165"/>
      <c r="DC670" s="1165"/>
      <c r="DD670" s="1165"/>
      <c r="DE670" s="1165"/>
      <c r="DF670" s="1165"/>
      <c r="DG670" s="1165"/>
      <c r="DH670" s="1165"/>
      <c r="DI670" s="1165"/>
      <c r="DJ670" s="1165"/>
      <c r="DK670" s="1165"/>
      <c r="DL670" s="1165"/>
      <c r="DM670" s="1165"/>
      <c r="DN670" s="1165"/>
      <c r="DO670" s="1165"/>
      <c r="DP670" s="1165"/>
    </row>
    <row r="671" spans="1:120" s="13" customFormat="1" hidden="1" outlineLevel="1">
      <c r="A671" s="1221">
        <v>1110052090</v>
      </c>
      <c r="B671" s="1216"/>
      <c r="C671" s="101" t="s">
        <v>64</v>
      </c>
      <c r="D671" s="1712"/>
      <c r="E671" s="1642"/>
      <c r="F671" s="1224"/>
      <c r="G671" s="1266"/>
      <c r="H671" s="1225"/>
      <c r="I671" s="1226"/>
      <c r="J671" s="1604">
        <v>1</v>
      </c>
      <c r="K671" s="1605">
        <v>1</v>
      </c>
      <c r="L671" s="1606"/>
      <c r="M671" s="1626">
        <f t="shared" si="1883"/>
        <v>0</v>
      </c>
      <c r="N671" s="1228"/>
      <c r="O671" s="1229">
        <f t="shared" si="1876"/>
        <v>0</v>
      </c>
      <c r="P671" s="1713"/>
      <c r="Q671" s="1230">
        <f t="shared" si="1877"/>
        <v>0</v>
      </c>
      <c r="R671" s="1231"/>
      <c r="S671" s="1231"/>
      <c r="T671" s="1232">
        <f t="shared" si="1878"/>
        <v>0</v>
      </c>
      <c r="U671" s="2012">
        <f t="shared" si="1879"/>
        <v>0</v>
      </c>
      <c r="V671" s="1234">
        <f t="shared" si="1880"/>
        <v>0</v>
      </c>
      <c r="W671" s="1235">
        <f t="shared" si="1881"/>
        <v>0</v>
      </c>
      <c r="X671" s="1236">
        <f t="shared" si="1882"/>
        <v>0</v>
      </c>
      <c r="Y671" s="1162"/>
      <c r="Z671" s="1058"/>
      <c r="AA671" s="1163"/>
      <c r="AB671" s="1164"/>
      <c r="AC671" s="1164"/>
      <c r="AD671" s="1164"/>
      <c r="AE671" s="1164"/>
      <c r="AF671" s="1164"/>
      <c r="AG671" s="1164"/>
      <c r="AH671" s="1164"/>
      <c r="AI671" s="1164"/>
      <c r="AJ671" s="1164"/>
      <c r="AK671" s="1164"/>
      <c r="AL671" s="1578"/>
      <c r="AM671" s="1164"/>
      <c r="AN671" s="1164"/>
      <c r="AO671" s="1164"/>
      <c r="AP671" s="1164"/>
      <c r="AQ671" s="1164"/>
      <c r="AR671" s="1164"/>
      <c r="AS671" s="1164"/>
      <c r="AT671" s="1164"/>
      <c r="AU671" s="1164"/>
      <c r="AV671" s="1164"/>
      <c r="AW671" s="1164"/>
      <c r="AX671" s="1164"/>
      <c r="AY671" s="1164"/>
      <c r="AZ671" s="1164"/>
      <c r="BA671" s="1164"/>
      <c r="BB671" s="1164"/>
      <c r="BC671" s="1164"/>
      <c r="BD671" s="1164"/>
      <c r="BE671" s="1164"/>
      <c r="BF671" s="1164"/>
      <c r="BG671" s="1164"/>
      <c r="BH671" s="1164"/>
      <c r="BI671" s="1164"/>
      <c r="BJ671" s="1164"/>
      <c r="BK671" s="1164"/>
      <c r="BL671" s="1164"/>
      <c r="BM671" s="1164"/>
      <c r="BN671" s="1164"/>
      <c r="BO671" s="1164"/>
      <c r="BP671" s="1164"/>
      <c r="BQ671" s="1164"/>
      <c r="BR671" s="1164"/>
      <c r="BS671" s="1164"/>
      <c r="BT671" s="1164"/>
      <c r="BU671" s="1164"/>
      <c r="BV671" s="1164"/>
      <c r="BW671" s="1164"/>
      <c r="BX671" s="1164"/>
      <c r="BY671" s="1164"/>
      <c r="BZ671" s="1164"/>
      <c r="CA671" s="1164"/>
      <c r="CB671" s="1165"/>
      <c r="CC671" s="1165">
        <f>+M671</f>
        <v>0</v>
      </c>
      <c r="CD671" s="1165"/>
      <c r="CE671" s="1165"/>
      <c r="CF671" s="1165"/>
      <c r="CG671" s="1165"/>
      <c r="CH671" s="1165"/>
      <c r="CI671" s="1165"/>
      <c r="CJ671" s="1165"/>
      <c r="CK671" s="1165"/>
      <c r="CL671" s="1165"/>
      <c r="CM671" s="1165"/>
      <c r="CN671" s="1165"/>
      <c r="CO671" s="1165"/>
      <c r="CP671" s="1165"/>
      <c r="CQ671" s="1165"/>
      <c r="CR671" s="1165"/>
      <c r="CS671" s="1165"/>
      <c r="CT671" s="1165"/>
      <c r="CU671" s="1165"/>
      <c r="CV671" s="1165"/>
      <c r="CW671" s="1165"/>
      <c r="CX671" s="1165"/>
      <c r="CY671" s="1165"/>
      <c r="CZ671" s="1165"/>
      <c r="DA671" s="1165"/>
      <c r="DB671" s="1165"/>
      <c r="DC671" s="1165"/>
      <c r="DD671" s="1165"/>
      <c r="DE671" s="1165"/>
      <c r="DF671" s="1165"/>
      <c r="DG671" s="1165"/>
      <c r="DH671" s="1165"/>
      <c r="DI671" s="1165"/>
      <c r="DJ671" s="1165"/>
      <c r="DK671" s="1165"/>
      <c r="DL671" s="1165"/>
      <c r="DM671" s="1165"/>
      <c r="DN671" s="1165"/>
      <c r="DO671" s="1165"/>
      <c r="DP671" s="1165"/>
    </row>
    <row r="672" spans="1:120" hidden="1" outlineLevel="1">
      <c r="A672" s="55">
        <v>1110052090</v>
      </c>
      <c r="B672" s="90"/>
      <c r="C672" s="91" t="s">
        <v>64</v>
      </c>
      <c r="D672" s="1557"/>
      <c r="E672" s="1558"/>
      <c r="F672" s="416"/>
      <c r="G672" s="1251"/>
      <c r="H672" s="511"/>
      <c r="I672" s="512"/>
      <c r="J672" s="1425">
        <v>1</v>
      </c>
      <c r="K672" s="1426">
        <v>1</v>
      </c>
      <c r="L672" s="417"/>
      <c r="M672" s="1540"/>
      <c r="N672" s="504"/>
      <c r="O672" s="513">
        <f t="shared" ref="O672:O682" si="1884">+L672*N672</f>
        <v>0</v>
      </c>
      <c r="P672" s="431"/>
      <c r="Q672" s="514">
        <f t="shared" ref="Q672" si="1885">+P672*K672</f>
        <v>0</v>
      </c>
      <c r="R672" s="515"/>
      <c r="S672" s="515"/>
      <c r="T672" s="562">
        <f t="shared" ref="T672:T682" si="1886">+P672*S672</f>
        <v>0</v>
      </c>
      <c r="U672" s="439">
        <f t="shared" ref="U672:U682" si="1887">+L672+P672+F672</f>
        <v>0</v>
      </c>
      <c r="V672" s="517">
        <f t="shared" ref="V672:V682" si="1888">+P672*R672+L672*N672+F672*H672</f>
        <v>0</v>
      </c>
      <c r="W672" s="976">
        <f t="shared" ref="W672:W682" si="1889">IF((-P672*R672)-(-P672*S672)&gt;0,(-P672*R672)-(-P672*S672),0)</f>
        <v>0</v>
      </c>
      <c r="X672" s="975">
        <f t="shared" ref="X672:X682" si="1890">IF((-P672*R672)-(-P672*S672)&lt;0,(-P672*R672)-(-P672*S672),0)</f>
        <v>0</v>
      </c>
      <c r="Y672" s="519"/>
      <c r="AA672" s="199"/>
      <c r="AB672" s="561"/>
      <c r="AC672" s="561"/>
      <c r="AD672" s="561"/>
      <c r="AE672" s="561"/>
      <c r="AF672" s="561"/>
      <c r="AG672" s="561"/>
      <c r="AH672" s="561"/>
      <c r="AI672" s="561"/>
      <c r="AJ672" s="561"/>
      <c r="AK672" s="561"/>
      <c r="AL672" s="1542"/>
      <c r="AM672" s="561"/>
      <c r="AN672" s="561"/>
      <c r="AO672" s="561"/>
      <c r="AP672" s="561"/>
      <c r="AQ672" s="561"/>
      <c r="AR672" s="561"/>
      <c r="AS672" s="561"/>
      <c r="AT672" s="561"/>
      <c r="AU672" s="561"/>
      <c r="AV672" s="561"/>
      <c r="AW672" s="561"/>
      <c r="AX672" s="561"/>
      <c r="AY672" s="561"/>
      <c r="AZ672" s="561"/>
      <c r="BA672" s="561"/>
      <c r="BB672" s="561"/>
      <c r="BC672" s="561"/>
      <c r="BD672" s="561"/>
      <c r="BE672" s="561"/>
      <c r="BF672" s="561"/>
      <c r="BG672" s="561"/>
      <c r="BH672" s="561"/>
      <c r="BI672" s="561"/>
      <c r="BJ672" s="561"/>
      <c r="BK672" s="561"/>
      <c r="BL672" s="561"/>
      <c r="BM672" s="561"/>
      <c r="BN672" s="561"/>
      <c r="BO672" s="561"/>
      <c r="BP672" s="561"/>
      <c r="BQ672" s="561"/>
      <c r="BR672" s="561"/>
      <c r="BS672" s="561">
        <f>+Q672</f>
        <v>0</v>
      </c>
      <c r="BT672" s="561"/>
      <c r="BU672" s="561"/>
      <c r="BV672" s="561"/>
      <c r="BW672" s="561"/>
      <c r="BX672" s="561"/>
      <c r="BY672" s="561"/>
      <c r="BZ672" s="561"/>
      <c r="CA672" s="561"/>
      <c r="CB672" s="737"/>
      <c r="CC672" s="737"/>
      <c r="CD672" s="737"/>
      <c r="CE672" s="737"/>
      <c r="CF672" s="737"/>
      <c r="CG672" s="737"/>
      <c r="CH672" s="737"/>
      <c r="CI672" s="737"/>
      <c r="CJ672" s="737"/>
      <c r="CK672" s="737"/>
      <c r="CL672" s="737"/>
      <c r="CM672" s="737"/>
      <c r="CN672" s="737"/>
      <c r="CO672" s="737"/>
      <c r="CP672" s="737"/>
      <c r="CQ672" s="737"/>
      <c r="CR672" s="737"/>
      <c r="CS672" s="737"/>
      <c r="CT672" s="737"/>
      <c r="CU672" s="737"/>
      <c r="CV672" s="737"/>
      <c r="CW672" s="737"/>
      <c r="CX672" s="737"/>
      <c r="CY672" s="737"/>
      <c r="CZ672" s="737"/>
      <c r="DA672" s="737"/>
      <c r="DB672" s="737"/>
      <c r="DC672" s="737"/>
      <c r="DD672" s="737"/>
      <c r="DE672" s="737"/>
      <c r="DF672" s="737"/>
      <c r="DG672" s="737"/>
      <c r="DH672" s="737"/>
      <c r="DI672" s="737"/>
      <c r="DJ672" s="737"/>
      <c r="DK672" s="737"/>
      <c r="DL672" s="737"/>
      <c r="DM672" s="737"/>
      <c r="DN672" s="737"/>
      <c r="DO672" s="737"/>
      <c r="DP672" s="737"/>
    </row>
    <row r="673" spans="1:120" hidden="1" outlineLevel="1">
      <c r="A673" s="55">
        <v>1110052090</v>
      </c>
      <c r="B673" s="90"/>
      <c r="C673" s="91" t="s">
        <v>64</v>
      </c>
      <c r="D673" s="1557"/>
      <c r="E673" s="1558"/>
      <c r="F673" s="416"/>
      <c r="G673" s="1251"/>
      <c r="H673" s="511"/>
      <c r="I673" s="512"/>
      <c r="J673" s="1425">
        <v>1</v>
      </c>
      <c r="K673" s="1426">
        <v>1</v>
      </c>
      <c r="L673" s="417"/>
      <c r="M673" s="1540"/>
      <c r="N673" s="504"/>
      <c r="O673" s="513">
        <f t="shared" si="1884"/>
        <v>0</v>
      </c>
      <c r="P673" s="431"/>
      <c r="Q673" s="514">
        <f t="shared" ref="Q673" si="1891">+P673*K673</f>
        <v>0</v>
      </c>
      <c r="R673" s="515"/>
      <c r="S673" s="515"/>
      <c r="T673" s="562">
        <f t="shared" si="1886"/>
        <v>0</v>
      </c>
      <c r="U673" s="439">
        <f t="shared" si="1887"/>
        <v>0</v>
      </c>
      <c r="V673" s="517">
        <f t="shared" si="1888"/>
        <v>0</v>
      </c>
      <c r="W673" s="976">
        <f t="shared" si="1889"/>
        <v>0</v>
      </c>
      <c r="X673" s="975">
        <f t="shared" si="1890"/>
        <v>0</v>
      </c>
      <c r="Y673" s="519"/>
      <c r="AA673" s="199"/>
      <c r="AB673" s="561"/>
      <c r="AC673" s="561"/>
      <c r="AD673" s="561"/>
      <c r="AE673" s="561"/>
      <c r="AF673" s="561"/>
      <c r="AG673" s="561"/>
      <c r="AH673" s="561"/>
      <c r="AI673" s="561"/>
      <c r="AJ673" s="561"/>
      <c r="AK673" s="561"/>
      <c r="AL673" s="1542"/>
      <c r="AM673" s="561"/>
      <c r="AN673" s="561"/>
      <c r="AO673" s="561"/>
      <c r="AP673" s="561"/>
      <c r="AQ673" s="561"/>
      <c r="AR673" s="561"/>
      <c r="AS673" s="561"/>
      <c r="AT673" s="561"/>
      <c r="AU673" s="561"/>
      <c r="AV673" s="561"/>
      <c r="AW673" s="561"/>
      <c r="AX673" s="561"/>
      <c r="AY673" s="561"/>
      <c r="AZ673" s="561"/>
      <c r="BA673" s="561"/>
      <c r="BB673" s="561"/>
      <c r="BC673" s="561"/>
      <c r="BD673" s="561"/>
      <c r="BE673" s="561"/>
      <c r="BF673" s="561"/>
      <c r="BG673" s="561"/>
      <c r="BH673" s="561"/>
      <c r="BI673" s="561"/>
      <c r="BJ673" s="561"/>
      <c r="BK673" s="561"/>
      <c r="BL673" s="561"/>
      <c r="BM673" s="561"/>
      <c r="BN673" s="561"/>
      <c r="BO673" s="561"/>
      <c r="BP673" s="561"/>
      <c r="BQ673" s="561"/>
      <c r="BR673" s="561"/>
      <c r="BS673" s="561">
        <f>+Q673</f>
        <v>0</v>
      </c>
      <c r="BT673" s="561"/>
      <c r="BU673" s="561"/>
      <c r="BV673" s="561"/>
      <c r="BW673" s="561"/>
      <c r="BX673" s="561"/>
      <c r="BY673" s="561"/>
      <c r="BZ673" s="561"/>
      <c r="CA673" s="561"/>
      <c r="CB673" s="737"/>
      <c r="CC673" s="737"/>
      <c r="CD673" s="737"/>
      <c r="CE673" s="737"/>
      <c r="CF673" s="737"/>
      <c r="CG673" s="737"/>
      <c r="CH673" s="737"/>
      <c r="CI673" s="737"/>
      <c r="CJ673" s="737"/>
      <c r="CK673" s="737"/>
      <c r="CL673" s="737"/>
      <c r="CM673" s="737"/>
      <c r="CN673" s="737"/>
      <c r="CO673" s="737"/>
      <c r="CP673" s="737"/>
      <c r="CQ673" s="737"/>
      <c r="CR673" s="737"/>
      <c r="CS673" s="737"/>
      <c r="CT673" s="737"/>
      <c r="CU673" s="737"/>
      <c r="CV673" s="737"/>
      <c r="CW673" s="737"/>
      <c r="CX673" s="737"/>
      <c r="CY673" s="737"/>
      <c r="CZ673" s="737"/>
      <c r="DA673" s="737"/>
      <c r="DB673" s="737"/>
      <c r="DC673" s="737"/>
      <c r="DD673" s="737"/>
      <c r="DE673" s="737"/>
      <c r="DF673" s="737"/>
      <c r="DG673" s="737"/>
      <c r="DH673" s="737"/>
      <c r="DI673" s="737"/>
      <c r="DJ673" s="737"/>
      <c r="DK673" s="737"/>
      <c r="DL673" s="737"/>
      <c r="DM673" s="737"/>
      <c r="DN673" s="737"/>
      <c r="DO673" s="737"/>
      <c r="DP673" s="737"/>
    </row>
    <row r="674" spans="1:120" hidden="1" outlineLevel="1">
      <c r="A674" s="55">
        <v>1110052090</v>
      </c>
      <c r="B674" s="90"/>
      <c r="C674" s="91" t="s">
        <v>64</v>
      </c>
      <c r="D674" s="1557"/>
      <c r="E674" s="1558"/>
      <c r="F674" s="416"/>
      <c r="G674" s="1251"/>
      <c r="H674" s="511"/>
      <c r="I674" s="512"/>
      <c r="J674" s="1425">
        <v>1</v>
      </c>
      <c r="K674" s="1426">
        <v>1</v>
      </c>
      <c r="L674" s="417"/>
      <c r="M674" s="1540"/>
      <c r="N674" s="504"/>
      <c r="O674" s="513">
        <f t="shared" ref="O674:O675" si="1892">+L674*N674</f>
        <v>0</v>
      </c>
      <c r="P674" s="431"/>
      <c r="Q674" s="514">
        <f t="shared" ref="Q674:Q675" si="1893">+P674*K674</f>
        <v>0</v>
      </c>
      <c r="R674" s="515"/>
      <c r="S674" s="515"/>
      <c r="T674" s="562">
        <f t="shared" ref="T674:T675" si="1894">+P674*S674</f>
        <v>0</v>
      </c>
      <c r="U674" s="439">
        <f t="shared" ref="U674:U675" si="1895">+L674+P674+F674</f>
        <v>0</v>
      </c>
      <c r="V674" s="517">
        <f t="shared" ref="V674:V675" si="1896">+P674*R674+L674*N674+F674*H674</f>
        <v>0</v>
      </c>
      <c r="W674" s="976">
        <f t="shared" ref="W674:W675" si="1897">IF((-P674*R674)-(-P674*S674)&gt;0,(-P674*R674)-(-P674*S674),0)</f>
        <v>0</v>
      </c>
      <c r="X674" s="975">
        <f t="shared" ref="X674:X675" si="1898">IF((-P674*R674)-(-P674*S674)&lt;0,(-P674*R674)-(-P674*S674),0)</f>
        <v>0</v>
      </c>
      <c r="Y674" s="519"/>
      <c r="AA674" s="199"/>
      <c r="AB674" s="561"/>
      <c r="AC674" s="561"/>
      <c r="AD674" s="561"/>
      <c r="AE674" s="561"/>
      <c r="AF674" s="561"/>
      <c r="AG674" s="561"/>
      <c r="AH674" s="561"/>
      <c r="AI674" s="561"/>
      <c r="AJ674" s="561"/>
      <c r="AK674" s="561"/>
      <c r="AL674" s="1542"/>
      <c r="AM674" s="561"/>
      <c r="AN674" s="561"/>
      <c r="AO674" s="561"/>
      <c r="AP674" s="561"/>
      <c r="AQ674" s="561"/>
      <c r="AR674" s="561"/>
      <c r="AS674" s="561"/>
      <c r="AT674" s="561"/>
      <c r="AU674" s="561"/>
      <c r="AV674" s="561"/>
      <c r="AW674" s="561"/>
      <c r="AX674" s="561"/>
      <c r="AY674" s="561"/>
      <c r="AZ674" s="561"/>
      <c r="BA674" s="561"/>
      <c r="BB674" s="561"/>
      <c r="BC674" s="561"/>
      <c r="BD674" s="561"/>
      <c r="BE674" s="561"/>
      <c r="BF674" s="561"/>
      <c r="BG674" s="561"/>
      <c r="BH674" s="561"/>
      <c r="BI674" s="561"/>
      <c r="BJ674" s="561"/>
      <c r="BK674" s="561"/>
      <c r="BL674" s="561"/>
      <c r="BM674" s="561"/>
      <c r="BN674" s="561"/>
      <c r="BO674" s="561"/>
      <c r="BP674" s="561"/>
      <c r="BQ674" s="561"/>
      <c r="BR674" s="561"/>
      <c r="BS674" s="561"/>
      <c r="BT674" s="561"/>
      <c r="BU674" s="561"/>
      <c r="BV674" s="561"/>
      <c r="BW674" s="561"/>
      <c r="BX674" s="561"/>
      <c r="BY674" s="561"/>
      <c r="BZ674" s="561">
        <f>+Q674</f>
        <v>0</v>
      </c>
      <c r="CA674" s="561"/>
      <c r="CB674" s="737"/>
      <c r="CC674" s="737"/>
      <c r="CD674" s="737"/>
      <c r="CE674" s="737"/>
      <c r="CF674" s="737"/>
      <c r="CG674" s="737"/>
      <c r="CH674" s="737"/>
      <c r="CI674" s="737"/>
      <c r="CJ674" s="737"/>
      <c r="CK674" s="737"/>
      <c r="CL674" s="737"/>
      <c r="CM674" s="737"/>
      <c r="CN674" s="737"/>
      <c r="CO674" s="737"/>
      <c r="CP674" s="737"/>
      <c r="CQ674" s="737"/>
      <c r="CR674" s="737"/>
      <c r="CS674" s="737"/>
      <c r="CT674" s="737"/>
      <c r="CU674" s="737"/>
      <c r="CV674" s="737"/>
      <c r="CW674" s="737"/>
      <c r="CX674" s="737"/>
      <c r="CY674" s="737"/>
      <c r="CZ674" s="737"/>
      <c r="DA674" s="737"/>
      <c r="DB674" s="737"/>
      <c r="DC674" s="737"/>
      <c r="DD674" s="737"/>
      <c r="DE674" s="737"/>
      <c r="DF674" s="737"/>
      <c r="DG674" s="737"/>
      <c r="DH674" s="737"/>
      <c r="DI674" s="737"/>
      <c r="DJ674" s="737"/>
      <c r="DK674" s="737"/>
      <c r="DL674" s="737"/>
      <c r="DM674" s="737"/>
      <c r="DN674" s="737"/>
      <c r="DO674" s="737"/>
      <c r="DP674" s="737"/>
    </row>
    <row r="675" spans="1:120" hidden="1" outlineLevel="1">
      <c r="A675" s="55">
        <v>1110052090</v>
      </c>
      <c r="B675" s="90"/>
      <c r="C675" s="91" t="s">
        <v>64</v>
      </c>
      <c r="D675" s="1557"/>
      <c r="E675" s="1558"/>
      <c r="F675" s="416"/>
      <c r="G675" s="1251"/>
      <c r="H675" s="511"/>
      <c r="I675" s="512"/>
      <c r="J675" s="1425">
        <v>1</v>
      </c>
      <c r="K675" s="1426">
        <v>1</v>
      </c>
      <c r="L675" s="417"/>
      <c r="M675" s="1540"/>
      <c r="N675" s="504"/>
      <c r="O675" s="513">
        <f t="shared" si="1892"/>
        <v>0</v>
      </c>
      <c r="P675" s="431"/>
      <c r="Q675" s="514">
        <f t="shared" si="1893"/>
        <v>0</v>
      </c>
      <c r="R675" s="515"/>
      <c r="S675" s="515"/>
      <c r="T675" s="562">
        <f t="shared" si="1894"/>
        <v>0</v>
      </c>
      <c r="U675" s="439">
        <f t="shared" si="1895"/>
        <v>0</v>
      </c>
      <c r="V675" s="517">
        <f t="shared" si="1896"/>
        <v>0</v>
      </c>
      <c r="W675" s="976">
        <f t="shared" si="1897"/>
        <v>0</v>
      </c>
      <c r="X675" s="975">
        <f t="shared" si="1898"/>
        <v>0</v>
      </c>
      <c r="Y675" s="519"/>
      <c r="AA675" s="199"/>
      <c r="AB675" s="561"/>
      <c r="AC675" s="561"/>
      <c r="AD675" s="561"/>
      <c r="AE675" s="561"/>
      <c r="AF675" s="561"/>
      <c r="AG675" s="561"/>
      <c r="AH675" s="561"/>
      <c r="AI675" s="561"/>
      <c r="AJ675" s="561"/>
      <c r="AK675" s="561"/>
      <c r="AL675" s="1542"/>
      <c r="AM675" s="561"/>
      <c r="AN675" s="561"/>
      <c r="AO675" s="561"/>
      <c r="AP675" s="561"/>
      <c r="AQ675" s="561"/>
      <c r="AR675" s="561"/>
      <c r="AS675" s="561"/>
      <c r="AT675" s="561"/>
      <c r="AU675" s="561"/>
      <c r="AV675" s="561"/>
      <c r="AW675" s="561"/>
      <c r="AX675" s="561"/>
      <c r="AY675" s="561"/>
      <c r="AZ675" s="561"/>
      <c r="BA675" s="561"/>
      <c r="BB675" s="561"/>
      <c r="BC675" s="561"/>
      <c r="BD675" s="561"/>
      <c r="BE675" s="561"/>
      <c r="BF675" s="561"/>
      <c r="BG675" s="561"/>
      <c r="BH675" s="561"/>
      <c r="BI675" s="561"/>
      <c r="BJ675" s="561"/>
      <c r="BK675" s="561"/>
      <c r="BL675" s="561"/>
      <c r="BM675" s="561"/>
      <c r="BN675" s="561"/>
      <c r="BO675" s="561"/>
      <c r="BP675" s="561"/>
      <c r="BQ675" s="561"/>
      <c r="BR675" s="561"/>
      <c r="BS675" s="561"/>
      <c r="BT675" s="561"/>
      <c r="BU675" s="561">
        <f>+Q675</f>
        <v>0</v>
      </c>
      <c r="BV675" s="561"/>
      <c r="BW675" s="561"/>
      <c r="BX675" s="561"/>
      <c r="BY675" s="561"/>
      <c r="BZ675" s="561"/>
      <c r="CA675" s="561"/>
      <c r="CB675" s="737"/>
      <c r="CC675" s="737"/>
      <c r="CD675" s="737"/>
      <c r="CE675" s="737"/>
      <c r="CF675" s="737"/>
      <c r="CG675" s="737"/>
      <c r="CH675" s="737"/>
      <c r="CI675" s="737"/>
      <c r="CJ675" s="737"/>
      <c r="CK675" s="737"/>
      <c r="CL675" s="737"/>
      <c r="CM675" s="737"/>
      <c r="CN675" s="737"/>
      <c r="CO675" s="737"/>
      <c r="CP675" s="737"/>
      <c r="CQ675" s="737"/>
      <c r="CR675" s="737"/>
      <c r="CS675" s="737"/>
      <c r="CT675" s="737"/>
      <c r="CU675" s="737"/>
      <c r="CV675" s="737"/>
      <c r="CW675" s="737"/>
      <c r="CX675" s="737"/>
      <c r="CY675" s="737"/>
      <c r="CZ675" s="737"/>
      <c r="DA675" s="737"/>
      <c r="DB675" s="737"/>
      <c r="DC675" s="737"/>
      <c r="DD675" s="737"/>
      <c r="DE675" s="737"/>
      <c r="DF675" s="737"/>
      <c r="DG675" s="737"/>
      <c r="DH675" s="737"/>
      <c r="DI675" s="737"/>
      <c r="DJ675" s="737"/>
      <c r="DK675" s="737"/>
      <c r="DL675" s="737"/>
      <c r="DM675" s="737"/>
      <c r="DN675" s="737"/>
      <c r="DO675" s="737"/>
      <c r="DP675" s="737"/>
    </row>
    <row r="676" spans="1:120" hidden="1" outlineLevel="1">
      <c r="A676" s="55">
        <v>1110052090</v>
      </c>
      <c r="B676" s="90"/>
      <c r="C676" s="91" t="s">
        <v>64</v>
      </c>
      <c r="D676" s="1557"/>
      <c r="E676" s="1558"/>
      <c r="F676" s="416"/>
      <c r="G676" s="1251"/>
      <c r="H676" s="511"/>
      <c r="I676" s="512"/>
      <c r="J676" s="1425">
        <v>1</v>
      </c>
      <c r="K676" s="1426">
        <v>1</v>
      </c>
      <c r="L676" s="417"/>
      <c r="M676" s="1540"/>
      <c r="N676" s="504"/>
      <c r="O676" s="513">
        <f t="shared" ref="O676:O680" si="1899">+L676*N676</f>
        <v>0</v>
      </c>
      <c r="P676" s="431"/>
      <c r="Q676" s="514">
        <f t="shared" ref="Q676:Q680" si="1900">+P676*K676</f>
        <v>0</v>
      </c>
      <c r="R676" s="515"/>
      <c r="S676" s="515"/>
      <c r="T676" s="562">
        <f t="shared" ref="T676:T680" si="1901">+P676*S676</f>
        <v>0</v>
      </c>
      <c r="U676" s="439">
        <f t="shared" ref="U676:U680" si="1902">+L676+P676+F676</f>
        <v>0</v>
      </c>
      <c r="V676" s="517">
        <f t="shared" ref="V676:V680" si="1903">+P676*R676+L676*N676+F676*H676</f>
        <v>0</v>
      </c>
      <c r="W676" s="976">
        <f t="shared" ref="W676:W680" si="1904">IF((-P676*R676)-(-P676*S676)&gt;0,(-P676*R676)-(-P676*S676),0)</f>
        <v>0</v>
      </c>
      <c r="X676" s="975">
        <f t="shared" ref="X676:X680" si="1905">IF((-P676*R676)-(-P676*S676)&lt;0,(-P676*R676)-(-P676*S676),0)</f>
        <v>0</v>
      </c>
      <c r="Y676" s="519"/>
      <c r="AA676" s="199"/>
      <c r="AB676" s="561"/>
      <c r="AC676" s="561"/>
      <c r="AD676" s="561"/>
      <c r="AE676" s="561"/>
      <c r="AF676" s="561"/>
      <c r="AG676" s="561"/>
      <c r="AH676" s="561"/>
      <c r="AI676" s="561"/>
      <c r="AJ676" s="561"/>
      <c r="AK676" s="561"/>
      <c r="AL676" s="1542"/>
      <c r="AM676" s="561"/>
      <c r="AN676" s="561"/>
      <c r="AO676" s="561"/>
      <c r="AP676" s="561"/>
      <c r="AQ676" s="561"/>
      <c r="AR676" s="561"/>
      <c r="AS676" s="561"/>
      <c r="AT676" s="561"/>
      <c r="AU676" s="561"/>
      <c r="AV676" s="561"/>
      <c r="AW676" s="561"/>
      <c r="AX676" s="561"/>
      <c r="AY676" s="561"/>
      <c r="AZ676" s="561"/>
      <c r="BA676" s="561"/>
      <c r="BB676" s="561"/>
      <c r="BC676" s="561"/>
      <c r="BD676" s="561"/>
      <c r="BE676" s="561"/>
      <c r="BF676" s="561"/>
      <c r="BG676" s="561"/>
      <c r="BH676" s="561"/>
      <c r="BI676" s="561"/>
      <c r="BJ676" s="561"/>
      <c r="BK676" s="561"/>
      <c r="BL676" s="561"/>
      <c r="BM676" s="561"/>
      <c r="BN676" s="561"/>
      <c r="BO676" s="561"/>
      <c r="BP676" s="561"/>
      <c r="BQ676" s="561"/>
      <c r="BR676" s="561"/>
      <c r="BS676" s="561"/>
      <c r="BT676" s="561"/>
      <c r="BU676" s="561"/>
      <c r="BV676" s="561">
        <f>+Q676</f>
        <v>0</v>
      </c>
      <c r="BW676" s="561"/>
      <c r="BX676" s="561"/>
      <c r="BY676" s="561"/>
      <c r="BZ676" s="561"/>
      <c r="CA676" s="561"/>
      <c r="CB676" s="737"/>
      <c r="CC676" s="737"/>
      <c r="CD676" s="737"/>
      <c r="CE676" s="737"/>
      <c r="CF676" s="737"/>
      <c r="CG676" s="737"/>
      <c r="CH676" s="737"/>
      <c r="CI676" s="737"/>
      <c r="CJ676" s="737"/>
      <c r="CK676" s="737"/>
      <c r="CL676" s="737"/>
      <c r="CM676" s="737"/>
      <c r="CN676" s="737"/>
      <c r="CO676" s="737"/>
      <c r="CP676" s="737"/>
      <c r="CQ676" s="737"/>
      <c r="CR676" s="737"/>
      <c r="CS676" s="737"/>
      <c r="CT676" s="737"/>
      <c r="CU676" s="737"/>
      <c r="CV676" s="737"/>
      <c r="CW676" s="737"/>
      <c r="CX676" s="737"/>
      <c r="CY676" s="737"/>
      <c r="CZ676" s="737"/>
      <c r="DA676" s="737"/>
      <c r="DB676" s="737"/>
      <c r="DC676" s="737"/>
      <c r="DD676" s="737"/>
      <c r="DE676" s="737"/>
      <c r="DF676" s="737"/>
      <c r="DG676" s="737"/>
      <c r="DH676" s="737"/>
      <c r="DI676" s="737"/>
      <c r="DJ676" s="737"/>
      <c r="DK676" s="737"/>
      <c r="DL676" s="737"/>
      <c r="DM676" s="737"/>
      <c r="DN676" s="737"/>
      <c r="DO676" s="737"/>
      <c r="DP676" s="737"/>
    </row>
    <row r="677" spans="1:120" hidden="1" outlineLevel="1">
      <c r="A677" s="55">
        <v>1110052090</v>
      </c>
      <c r="B677" s="90"/>
      <c r="C677" s="91" t="s">
        <v>64</v>
      </c>
      <c r="D677" s="1557"/>
      <c r="E677" s="1558"/>
      <c r="F677" s="416"/>
      <c r="G677" s="1251"/>
      <c r="H677" s="511"/>
      <c r="I677" s="512"/>
      <c r="J677" s="1425">
        <v>1</v>
      </c>
      <c r="K677" s="1426">
        <v>1</v>
      </c>
      <c r="L677" s="417"/>
      <c r="M677" s="1540"/>
      <c r="N677" s="504"/>
      <c r="O677" s="513">
        <f t="shared" si="1899"/>
        <v>0</v>
      </c>
      <c r="P677" s="431"/>
      <c r="Q677" s="514">
        <f t="shared" si="1900"/>
        <v>0</v>
      </c>
      <c r="R677" s="515"/>
      <c r="S677" s="515"/>
      <c r="T677" s="562">
        <f t="shared" si="1901"/>
        <v>0</v>
      </c>
      <c r="U677" s="439">
        <f t="shared" si="1902"/>
        <v>0</v>
      </c>
      <c r="V677" s="517">
        <f t="shared" si="1903"/>
        <v>0</v>
      </c>
      <c r="W677" s="976">
        <f t="shared" si="1904"/>
        <v>0</v>
      </c>
      <c r="X677" s="975">
        <f t="shared" si="1905"/>
        <v>0</v>
      </c>
      <c r="Y677" s="519"/>
      <c r="AA677" s="199"/>
      <c r="AB677" s="561"/>
      <c r="AC677" s="561"/>
      <c r="AD677" s="561"/>
      <c r="AE677" s="561"/>
      <c r="AF677" s="561"/>
      <c r="AG677" s="561"/>
      <c r="AH677" s="561"/>
      <c r="AI677" s="561"/>
      <c r="AJ677" s="561"/>
      <c r="AK677" s="561"/>
      <c r="AL677" s="1542"/>
      <c r="AM677" s="561"/>
      <c r="AN677" s="561"/>
      <c r="AO677" s="561"/>
      <c r="AP677" s="561"/>
      <c r="AQ677" s="561"/>
      <c r="AR677" s="561"/>
      <c r="AS677" s="561"/>
      <c r="AT677" s="561"/>
      <c r="AU677" s="561"/>
      <c r="AV677" s="561"/>
      <c r="AW677" s="561"/>
      <c r="AX677" s="561"/>
      <c r="AY677" s="561"/>
      <c r="AZ677" s="561"/>
      <c r="BA677" s="561"/>
      <c r="BB677" s="561"/>
      <c r="BC677" s="561"/>
      <c r="BD677" s="561"/>
      <c r="BE677" s="561"/>
      <c r="BF677" s="561"/>
      <c r="BG677" s="561"/>
      <c r="BH677" s="561"/>
      <c r="BI677" s="561"/>
      <c r="BJ677" s="561"/>
      <c r="BK677" s="561"/>
      <c r="BL677" s="561"/>
      <c r="BM677" s="561"/>
      <c r="BN677" s="561"/>
      <c r="BO677" s="561"/>
      <c r="BP677" s="561"/>
      <c r="BQ677" s="561"/>
      <c r="BR677" s="561"/>
      <c r="BS677" s="561"/>
      <c r="BT677" s="561"/>
      <c r="BU677" s="561"/>
      <c r="BV677" s="561"/>
      <c r="BW677" s="561">
        <f>+Q677</f>
        <v>0</v>
      </c>
      <c r="BX677" s="561"/>
      <c r="BY677" s="561"/>
      <c r="BZ677" s="561"/>
      <c r="CA677" s="561"/>
      <c r="CB677" s="737"/>
      <c r="CC677" s="737"/>
      <c r="CD677" s="737"/>
      <c r="CE677" s="737"/>
      <c r="CF677" s="737"/>
      <c r="CG677" s="737"/>
      <c r="CH677" s="737"/>
      <c r="CI677" s="737"/>
      <c r="CJ677" s="737"/>
      <c r="CK677" s="737"/>
      <c r="CL677" s="737"/>
      <c r="CM677" s="737"/>
      <c r="CN677" s="737"/>
      <c r="CO677" s="737"/>
      <c r="CP677" s="737"/>
      <c r="CQ677" s="737"/>
      <c r="CR677" s="737"/>
      <c r="CS677" s="737"/>
      <c r="CT677" s="737"/>
      <c r="CU677" s="737"/>
      <c r="CV677" s="737"/>
      <c r="CW677" s="737"/>
      <c r="CX677" s="737"/>
      <c r="CY677" s="737"/>
      <c r="CZ677" s="737"/>
      <c r="DA677" s="737"/>
      <c r="DB677" s="737"/>
      <c r="DC677" s="737"/>
      <c r="DD677" s="737"/>
      <c r="DE677" s="737"/>
      <c r="DF677" s="737"/>
      <c r="DG677" s="737"/>
      <c r="DH677" s="737"/>
      <c r="DI677" s="737"/>
      <c r="DJ677" s="737"/>
      <c r="DK677" s="737"/>
      <c r="DL677" s="737"/>
      <c r="DM677" s="737"/>
      <c r="DN677" s="737"/>
      <c r="DO677" s="737"/>
      <c r="DP677" s="737"/>
    </row>
    <row r="678" spans="1:120" hidden="1" outlineLevel="1">
      <c r="A678" s="55">
        <v>1110052090</v>
      </c>
      <c r="B678" s="90"/>
      <c r="C678" s="91" t="s">
        <v>64</v>
      </c>
      <c r="D678" s="1557"/>
      <c r="E678" s="1558"/>
      <c r="F678" s="416"/>
      <c r="G678" s="1251"/>
      <c r="H678" s="511"/>
      <c r="I678" s="512"/>
      <c r="J678" s="1425">
        <v>1</v>
      </c>
      <c r="K678" s="1426">
        <v>1</v>
      </c>
      <c r="L678" s="417"/>
      <c r="M678" s="1540"/>
      <c r="N678" s="504"/>
      <c r="O678" s="513">
        <f t="shared" si="1899"/>
        <v>0</v>
      </c>
      <c r="P678" s="431"/>
      <c r="Q678" s="514">
        <f t="shared" si="1900"/>
        <v>0</v>
      </c>
      <c r="R678" s="515"/>
      <c r="S678" s="515"/>
      <c r="T678" s="562">
        <f t="shared" si="1901"/>
        <v>0</v>
      </c>
      <c r="U678" s="439">
        <f t="shared" si="1902"/>
        <v>0</v>
      </c>
      <c r="V678" s="517">
        <f t="shared" si="1903"/>
        <v>0</v>
      </c>
      <c r="W678" s="976">
        <f t="shared" si="1904"/>
        <v>0</v>
      </c>
      <c r="X678" s="975">
        <f t="shared" si="1905"/>
        <v>0</v>
      </c>
      <c r="Y678" s="519"/>
      <c r="AA678" s="199"/>
      <c r="AB678" s="561"/>
      <c r="AC678" s="561"/>
      <c r="AD678" s="561"/>
      <c r="AE678" s="561"/>
      <c r="AF678" s="561"/>
      <c r="AG678" s="561"/>
      <c r="AH678" s="561"/>
      <c r="AI678" s="561"/>
      <c r="AJ678" s="561"/>
      <c r="AK678" s="561"/>
      <c r="AL678" s="1542"/>
      <c r="AM678" s="561"/>
      <c r="AN678" s="561"/>
      <c r="AO678" s="561"/>
      <c r="AP678" s="561"/>
      <c r="AQ678" s="561"/>
      <c r="AR678" s="561"/>
      <c r="AS678" s="561"/>
      <c r="AT678" s="561"/>
      <c r="AU678" s="561"/>
      <c r="AV678" s="561"/>
      <c r="AW678" s="561"/>
      <c r="AX678" s="561"/>
      <c r="AY678" s="561"/>
      <c r="AZ678" s="561"/>
      <c r="BA678" s="561"/>
      <c r="BB678" s="561"/>
      <c r="BC678" s="561"/>
      <c r="BD678" s="561"/>
      <c r="BE678" s="561"/>
      <c r="BF678" s="561"/>
      <c r="BG678" s="561"/>
      <c r="BH678" s="561"/>
      <c r="BI678" s="561"/>
      <c r="BJ678" s="561"/>
      <c r="BK678" s="561"/>
      <c r="BL678" s="561"/>
      <c r="BM678" s="561"/>
      <c r="BN678" s="561"/>
      <c r="BO678" s="561"/>
      <c r="BP678" s="561"/>
      <c r="BQ678" s="561"/>
      <c r="BR678" s="561"/>
      <c r="BS678" s="561"/>
      <c r="BT678" s="561"/>
      <c r="BU678" s="561"/>
      <c r="BV678" s="561"/>
      <c r="BW678" s="561"/>
      <c r="BX678" s="561">
        <f>+Q678</f>
        <v>0</v>
      </c>
      <c r="BY678" s="561"/>
      <c r="BZ678" s="561"/>
      <c r="CA678" s="561"/>
      <c r="CB678" s="737"/>
      <c r="CC678" s="737"/>
      <c r="CD678" s="737"/>
      <c r="CE678" s="737"/>
      <c r="CF678" s="737"/>
      <c r="CG678" s="737"/>
      <c r="CH678" s="737"/>
      <c r="CI678" s="737"/>
      <c r="CJ678" s="737"/>
      <c r="CK678" s="737"/>
      <c r="CL678" s="737"/>
      <c r="CM678" s="737"/>
      <c r="CN678" s="737"/>
      <c r="CO678" s="737"/>
      <c r="CP678" s="737"/>
      <c r="CQ678" s="737"/>
      <c r="CR678" s="737"/>
      <c r="CS678" s="737"/>
      <c r="CT678" s="737"/>
      <c r="CU678" s="737"/>
      <c r="CV678" s="737"/>
      <c r="CW678" s="737"/>
      <c r="CX678" s="737"/>
      <c r="CY678" s="737"/>
      <c r="CZ678" s="737"/>
      <c r="DA678" s="737"/>
      <c r="DB678" s="737"/>
      <c r="DC678" s="737"/>
      <c r="DD678" s="737"/>
      <c r="DE678" s="737"/>
      <c r="DF678" s="737"/>
      <c r="DG678" s="737"/>
      <c r="DH678" s="737"/>
      <c r="DI678" s="737"/>
      <c r="DJ678" s="737"/>
      <c r="DK678" s="737"/>
      <c r="DL678" s="737"/>
      <c r="DM678" s="737"/>
      <c r="DN678" s="737"/>
      <c r="DO678" s="737"/>
      <c r="DP678" s="737"/>
    </row>
    <row r="679" spans="1:120" hidden="1" outlineLevel="1">
      <c r="A679" s="55">
        <v>1110052090</v>
      </c>
      <c r="B679" s="90"/>
      <c r="C679" s="91" t="s">
        <v>64</v>
      </c>
      <c r="D679" s="1557"/>
      <c r="E679" s="1558"/>
      <c r="F679" s="416"/>
      <c r="G679" s="1251"/>
      <c r="H679" s="511"/>
      <c r="I679" s="512"/>
      <c r="J679" s="1425">
        <v>1</v>
      </c>
      <c r="K679" s="1426">
        <v>1</v>
      </c>
      <c r="L679" s="417"/>
      <c r="M679" s="1540"/>
      <c r="N679" s="504"/>
      <c r="O679" s="513">
        <f t="shared" si="1899"/>
        <v>0</v>
      </c>
      <c r="P679" s="431"/>
      <c r="Q679" s="514">
        <f t="shared" si="1900"/>
        <v>0</v>
      </c>
      <c r="R679" s="515"/>
      <c r="S679" s="515"/>
      <c r="T679" s="562">
        <f t="shared" si="1901"/>
        <v>0</v>
      </c>
      <c r="U679" s="439">
        <f t="shared" si="1902"/>
        <v>0</v>
      </c>
      <c r="V679" s="517">
        <f t="shared" si="1903"/>
        <v>0</v>
      </c>
      <c r="W679" s="976">
        <f t="shared" si="1904"/>
        <v>0</v>
      </c>
      <c r="X679" s="975">
        <f t="shared" si="1905"/>
        <v>0</v>
      </c>
      <c r="Y679" s="519"/>
      <c r="AA679" s="199"/>
      <c r="AB679" s="561"/>
      <c r="AC679" s="561"/>
      <c r="AD679" s="561"/>
      <c r="AE679" s="561"/>
      <c r="AF679" s="561"/>
      <c r="AG679" s="561"/>
      <c r="AH679" s="561"/>
      <c r="AI679" s="561"/>
      <c r="AJ679" s="561"/>
      <c r="AK679" s="561"/>
      <c r="AL679" s="1542"/>
      <c r="AM679" s="561"/>
      <c r="AN679" s="561"/>
      <c r="AO679" s="561"/>
      <c r="AP679" s="561"/>
      <c r="AQ679" s="561"/>
      <c r="AR679" s="561"/>
      <c r="AS679" s="561"/>
      <c r="AT679" s="561"/>
      <c r="AU679" s="561"/>
      <c r="AV679" s="561"/>
      <c r="AW679" s="561"/>
      <c r="AX679" s="561"/>
      <c r="AY679" s="561"/>
      <c r="AZ679" s="561"/>
      <c r="BA679" s="561"/>
      <c r="BB679" s="561"/>
      <c r="BC679" s="561"/>
      <c r="BD679" s="561"/>
      <c r="BE679" s="561"/>
      <c r="BF679" s="561"/>
      <c r="BG679" s="561"/>
      <c r="BH679" s="561"/>
      <c r="BI679" s="561"/>
      <c r="BJ679" s="561"/>
      <c r="BK679" s="561"/>
      <c r="BL679" s="561"/>
      <c r="BM679" s="561"/>
      <c r="BN679" s="561"/>
      <c r="BO679" s="561"/>
      <c r="BP679" s="561"/>
      <c r="BQ679" s="561"/>
      <c r="BR679" s="561"/>
      <c r="BS679" s="561"/>
      <c r="BT679" s="561"/>
      <c r="BU679" s="561"/>
      <c r="BV679" s="561"/>
      <c r="BW679" s="561"/>
      <c r="BX679" s="561"/>
      <c r="BY679" s="561">
        <f>+Q679</f>
        <v>0</v>
      </c>
      <c r="BZ679" s="561"/>
      <c r="CA679" s="561"/>
      <c r="CB679" s="737"/>
      <c r="CC679" s="737"/>
      <c r="CD679" s="737"/>
      <c r="CE679" s="737"/>
      <c r="CF679" s="737"/>
      <c r="CG679" s="737"/>
      <c r="CH679" s="737"/>
      <c r="CI679" s="737"/>
      <c r="CJ679" s="737"/>
      <c r="CK679" s="737"/>
      <c r="CL679" s="737"/>
      <c r="CM679" s="737"/>
      <c r="CN679" s="737"/>
      <c r="CO679" s="737"/>
      <c r="CP679" s="737"/>
      <c r="CQ679" s="737"/>
      <c r="CR679" s="737"/>
      <c r="CS679" s="737"/>
      <c r="CT679" s="737"/>
      <c r="CU679" s="737"/>
      <c r="CV679" s="737"/>
      <c r="CW679" s="737"/>
      <c r="CX679" s="737"/>
      <c r="CY679" s="737"/>
      <c r="CZ679" s="737"/>
      <c r="DA679" s="737"/>
      <c r="DB679" s="737"/>
      <c r="DC679" s="737"/>
      <c r="DD679" s="737"/>
      <c r="DE679" s="737"/>
      <c r="DF679" s="737"/>
      <c r="DG679" s="737"/>
      <c r="DH679" s="737"/>
      <c r="DI679" s="737"/>
      <c r="DJ679" s="737"/>
      <c r="DK679" s="737"/>
      <c r="DL679" s="737"/>
      <c r="DM679" s="737"/>
      <c r="DN679" s="737"/>
      <c r="DO679" s="737"/>
      <c r="DP679" s="737"/>
    </row>
    <row r="680" spans="1:120" hidden="1" outlineLevel="1">
      <c r="A680" s="55">
        <v>1110052090</v>
      </c>
      <c r="B680" s="90"/>
      <c r="C680" s="91" t="s">
        <v>64</v>
      </c>
      <c r="D680" s="1557"/>
      <c r="E680" s="1558"/>
      <c r="F680" s="416"/>
      <c r="G680" s="1251"/>
      <c r="H680" s="511"/>
      <c r="I680" s="512"/>
      <c r="J680" s="1425">
        <v>1</v>
      </c>
      <c r="K680" s="1426">
        <v>1</v>
      </c>
      <c r="L680" s="417"/>
      <c r="M680" s="1540"/>
      <c r="N680" s="504"/>
      <c r="O680" s="513">
        <f t="shared" si="1899"/>
        <v>0</v>
      </c>
      <c r="P680" s="431"/>
      <c r="Q680" s="514">
        <f t="shared" si="1900"/>
        <v>0</v>
      </c>
      <c r="R680" s="515"/>
      <c r="S680" s="515"/>
      <c r="T680" s="562">
        <f t="shared" si="1901"/>
        <v>0</v>
      </c>
      <c r="U680" s="439">
        <f t="shared" si="1902"/>
        <v>0</v>
      </c>
      <c r="V680" s="517">
        <f t="shared" si="1903"/>
        <v>0</v>
      </c>
      <c r="W680" s="976">
        <f t="shared" si="1904"/>
        <v>0</v>
      </c>
      <c r="X680" s="975">
        <f t="shared" si="1905"/>
        <v>0</v>
      </c>
      <c r="Y680" s="519"/>
      <c r="AA680" s="199"/>
      <c r="AB680" s="561"/>
      <c r="AC680" s="561"/>
      <c r="AD680" s="561"/>
      <c r="AE680" s="561"/>
      <c r="AF680" s="561"/>
      <c r="AG680" s="561"/>
      <c r="AH680" s="561"/>
      <c r="AI680" s="561"/>
      <c r="AJ680" s="561"/>
      <c r="AK680" s="561"/>
      <c r="AL680" s="1542"/>
      <c r="AM680" s="561"/>
      <c r="AN680" s="561"/>
      <c r="AO680" s="561"/>
      <c r="AP680" s="561"/>
      <c r="AQ680" s="561"/>
      <c r="AR680" s="561"/>
      <c r="AS680" s="561"/>
      <c r="AT680" s="561"/>
      <c r="AU680" s="561"/>
      <c r="AV680" s="561"/>
      <c r="AW680" s="561"/>
      <c r="AX680" s="561"/>
      <c r="AY680" s="561"/>
      <c r="AZ680" s="561"/>
      <c r="BA680" s="561"/>
      <c r="BB680" s="561"/>
      <c r="BC680" s="561"/>
      <c r="BD680" s="561"/>
      <c r="BE680" s="561"/>
      <c r="BF680" s="561"/>
      <c r="BG680" s="561"/>
      <c r="BH680" s="561"/>
      <c r="BI680" s="561"/>
      <c r="BJ680" s="561"/>
      <c r="BK680" s="561"/>
      <c r="BL680" s="561"/>
      <c r="BM680" s="561"/>
      <c r="BN680" s="561"/>
      <c r="BO680" s="561"/>
      <c r="BP680" s="561"/>
      <c r="BQ680" s="561"/>
      <c r="BR680" s="561"/>
      <c r="BS680" s="561"/>
      <c r="BT680" s="561"/>
      <c r="BU680" s="561"/>
      <c r="BV680" s="561"/>
      <c r="BW680" s="561"/>
      <c r="BX680" s="561"/>
      <c r="BY680" s="561"/>
      <c r="BZ680" s="561"/>
      <c r="CA680" s="561">
        <f>+Q680</f>
        <v>0</v>
      </c>
      <c r="CB680" s="737"/>
      <c r="CC680" s="737"/>
      <c r="CD680" s="737"/>
      <c r="CE680" s="737"/>
      <c r="CF680" s="737"/>
      <c r="CG680" s="737"/>
      <c r="CH680" s="737"/>
      <c r="CI680" s="737"/>
      <c r="CJ680" s="737"/>
      <c r="CK680" s="737"/>
      <c r="CL680" s="737"/>
      <c r="CM680" s="737"/>
      <c r="CN680" s="737"/>
      <c r="CO680" s="737"/>
      <c r="CP680" s="737"/>
      <c r="CQ680" s="737"/>
      <c r="CR680" s="737"/>
      <c r="CS680" s="737"/>
      <c r="CT680" s="737"/>
      <c r="CU680" s="737"/>
      <c r="CV680" s="737"/>
      <c r="CW680" s="737"/>
      <c r="CX680" s="737"/>
      <c r="CY680" s="737"/>
      <c r="CZ680" s="737"/>
      <c r="DA680" s="737"/>
      <c r="DB680" s="737"/>
      <c r="DC680" s="737"/>
      <c r="DD680" s="737"/>
      <c r="DE680" s="737"/>
      <c r="DF680" s="737"/>
      <c r="DG680" s="737"/>
      <c r="DH680" s="737"/>
      <c r="DI680" s="737"/>
      <c r="DJ680" s="737"/>
      <c r="DK680" s="737"/>
      <c r="DL680" s="737"/>
      <c r="DM680" s="737"/>
      <c r="DN680" s="737"/>
      <c r="DO680" s="737"/>
      <c r="DP680" s="737"/>
    </row>
    <row r="681" spans="1:120" hidden="1" outlineLevel="1">
      <c r="A681" s="55">
        <v>1110052090</v>
      </c>
      <c r="B681" s="90"/>
      <c r="C681" s="91" t="s">
        <v>64</v>
      </c>
      <c r="D681" s="1557"/>
      <c r="E681" s="1558"/>
      <c r="F681" s="416"/>
      <c r="G681" s="1251"/>
      <c r="H681" s="511"/>
      <c r="I681" s="512"/>
      <c r="J681" s="1425">
        <v>1</v>
      </c>
      <c r="K681" s="1426">
        <v>1</v>
      </c>
      <c r="L681" s="417"/>
      <c r="M681" s="1540"/>
      <c r="N681" s="504"/>
      <c r="O681" s="513">
        <f t="shared" ref="O681" si="1906">+L681*N681</f>
        <v>0</v>
      </c>
      <c r="P681" s="431"/>
      <c r="Q681" s="514">
        <f t="shared" ref="Q681" si="1907">+P681*K681</f>
        <v>0</v>
      </c>
      <c r="R681" s="515"/>
      <c r="S681" s="515"/>
      <c r="T681" s="562">
        <f t="shared" ref="T681" si="1908">+P681*S681</f>
        <v>0</v>
      </c>
      <c r="U681" s="439">
        <f t="shared" ref="U681" si="1909">+L681+P681+F681</f>
        <v>0</v>
      </c>
      <c r="V681" s="517">
        <f t="shared" ref="V681" si="1910">+P681*R681+L681*N681+F681*H681</f>
        <v>0</v>
      </c>
      <c r="W681" s="976">
        <f t="shared" ref="W681" si="1911">IF((-P681*R681)-(-P681*S681)&gt;0,(-P681*R681)-(-P681*S681),0)</f>
        <v>0</v>
      </c>
      <c r="X681" s="975">
        <f t="shared" ref="X681" si="1912">IF((-P681*R681)-(-P681*S681)&lt;0,(-P681*R681)-(-P681*S681),0)</f>
        <v>0</v>
      </c>
      <c r="Y681" s="519"/>
      <c r="AA681" s="199"/>
      <c r="AB681" s="561"/>
      <c r="AC681" s="561"/>
      <c r="AD681" s="561"/>
      <c r="AE681" s="561"/>
      <c r="AF681" s="561"/>
      <c r="AG681" s="561"/>
      <c r="AH681" s="561"/>
      <c r="AI681" s="561"/>
      <c r="AJ681" s="561"/>
      <c r="AK681" s="561"/>
      <c r="AL681" s="1542"/>
      <c r="AM681" s="561"/>
      <c r="AN681" s="561"/>
      <c r="AO681" s="561"/>
      <c r="AP681" s="561"/>
      <c r="AQ681" s="561"/>
      <c r="AR681" s="561"/>
      <c r="AS681" s="561"/>
      <c r="AT681" s="561"/>
      <c r="AU681" s="561"/>
      <c r="AV681" s="561"/>
      <c r="AW681" s="561"/>
      <c r="AX681" s="561"/>
      <c r="AY681" s="561"/>
      <c r="AZ681" s="561"/>
      <c r="BA681" s="561"/>
      <c r="BB681" s="561"/>
      <c r="BC681" s="561"/>
      <c r="BD681" s="561"/>
      <c r="BE681" s="561"/>
      <c r="BF681" s="561"/>
      <c r="BG681" s="561"/>
      <c r="BH681" s="561"/>
      <c r="BI681" s="561"/>
      <c r="BJ681" s="561"/>
      <c r="BK681" s="561"/>
      <c r="BL681" s="561"/>
      <c r="BM681" s="561"/>
      <c r="BN681" s="561"/>
      <c r="BO681" s="561"/>
      <c r="BP681" s="561"/>
      <c r="BQ681" s="561"/>
      <c r="BR681" s="561"/>
      <c r="BS681" s="561"/>
      <c r="BT681" s="561"/>
      <c r="BU681" s="561"/>
      <c r="BV681" s="561"/>
      <c r="BW681" s="561"/>
      <c r="BX681" s="561"/>
      <c r="BY681" s="561"/>
      <c r="BZ681" s="561"/>
      <c r="CA681" s="561"/>
      <c r="CB681" s="737"/>
      <c r="CC681" s="737">
        <f>+Q681</f>
        <v>0</v>
      </c>
      <c r="CD681" s="737"/>
      <c r="CE681" s="737"/>
      <c r="CF681" s="737"/>
      <c r="CG681" s="737"/>
      <c r="CH681" s="737"/>
      <c r="CI681" s="737"/>
      <c r="CJ681" s="737"/>
      <c r="CK681" s="737"/>
      <c r="CL681" s="737"/>
      <c r="CM681" s="737"/>
      <c r="CN681" s="737"/>
      <c r="CO681" s="737"/>
      <c r="CP681" s="737"/>
      <c r="CQ681" s="737"/>
      <c r="CR681" s="737"/>
      <c r="CS681" s="737"/>
      <c r="CT681" s="737"/>
      <c r="CU681" s="737"/>
      <c r="CV681" s="737"/>
      <c r="CW681" s="737"/>
      <c r="CX681" s="737"/>
      <c r="CY681" s="737"/>
      <c r="CZ681" s="737"/>
      <c r="DA681" s="737"/>
      <c r="DB681" s="737"/>
      <c r="DC681" s="737"/>
      <c r="DD681" s="737"/>
      <c r="DE681" s="737"/>
      <c r="DF681" s="737"/>
      <c r="DG681" s="737"/>
      <c r="DH681" s="737"/>
      <c r="DI681" s="737"/>
      <c r="DJ681" s="737"/>
      <c r="DK681" s="737"/>
      <c r="DL681" s="737"/>
      <c r="DM681" s="737"/>
      <c r="DN681" s="737"/>
      <c r="DO681" s="737"/>
      <c r="DP681" s="737"/>
    </row>
    <row r="682" spans="1:120" s="13" customFormat="1" hidden="1" outlineLevel="1">
      <c r="A682" s="1221">
        <v>1110052090</v>
      </c>
      <c r="B682" s="1216"/>
      <c r="C682" s="101" t="s">
        <v>64</v>
      </c>
      <c r="D682" s="1712"/>
      <c r="E682" s="1642"/>
      <c r="F682" s="1224"/>
      <c r="G682" s="1266"/>
      <c r="H682" s="1225"/>
      <c r="I682" s="1226"/>
      <c r="J682" s="1604">
        <v>1</v>
      </c>
      <c r="K682" s="1605">
        <v>1</v>
      </c>
      <c r="L682" s="1606"/>
      <c r="M682" s="1626">
        <f t="shared" ref="M682" si="1913">+L682*J682</f>
        <v>0</v>
      </c>
      <c r="N682" s="1228"/>
      <c r="O682" s="1229">
        <f t="shared" si="1884"/>
        <v>0</v>
      </c>
      <c r="P682" s="1713"/>
      <c r="Q682" s="1230"/>
      <c r="R682" s="1231"/>
      <c r="S682" s="1231"/>
      <c r="T682" s="1232">
        <f t="shared" si="1886"/>
        <v>0</v>
      </c>
      <c r="U682" s="2012">
        <f t="shared" si="1887"/>
        <v>0</v>
      </c>
      <c r="V682" s="1234">
        <f t="shared" si="1888"/>
        <v>0</v>
      </c>
      <c r="W682" s="1235">
        <f t="shared" si="1889"/>
        <v>0</v>
      </c>
      <c r="X682" s="1236">
        <f t="shared" si="1890"/>
        <v>0</v>
      </c>
      <c r="Y682" s="1162"/>
      <c r="Z682" s="1058"/>
      <c r="AA682" s="1163"/>
      <c r="AB682" s="1164"/>
      <c r="AC682" s="1164"/>
      <c r="AD682" s="1164"/>
      <c r="AE682" s="1164"/>
      <c r="AF682" s="1164"/>
      <c r="AG682" s="1164"/>
      <c r="AH682" s="1164"/>
      <c r="AI682" s="1164"/>
      <c r="AJ682" s="1164"/>
      <c r="AK682" s="1164"/>
      <c r="AL682" s="1578"/>
      <c r="AM682" s="1164"/>
      <c r="AN682" s="1164"/>
      <c r="AO682" s="1164"/>
      <c r="AP682" s="1164"/>
      <c r="AQ682" s="1164"/>
      <c r="AR682" s="1164"/>
      <c r="AS682" s="1164"/>
      <c r="AT682" s="1164"/>
      <c r="AU682" s="1164"/>
      <c r="AV682" s="1164"/>
      <c r="AW682" s="1164"/>
      <c r="AX682" s="1164"/>
      <c r="AY682" s="1164"/>
      <c r="AZ682" s="1164"/>
      <c r="BA682" s="1164"/>
      <c r="BB682" s="1164"/>
      <c r="BC682" s="1164"/>
      <c r="BD682" s="1164"/>
      <c r="BE682" s="1164"/>
      <c r="BF682" s="1164"/>
      <c r="BG682" s="1164"/>
      <c r="BH682" s="1164"/>
      <c r="BI682" s="1164"/>
      <c r="BJ682" s="1164"/>
      <c r="BK682" s="1164"/>
      <c r="BL682" s="1164"/>
      <c r="BM682" s="1164"/>
      <c r="BN682" s="1164"/>
      <c r="BO682" s="1164"/>
      <c r="BP682" s="1164"/>
      <c r="BQ682" s="1164"/>
      <c r="BR682" s="1164"/>
      <c r="BS682" s="1164"/>
      <c r="BT682" s="1164"/>
      <c r="BU682" s="1164"/>
      <c r="BV682" s="1164"/>
      <c r="BW682" s="1164"/>
      <c r="BX682" s="1164"/>
      <c r="BY682" s="1164"/>
      <c r="BZ682" s="1164"/>
      <c r="CA682" s="1164"/>
      <c r="CB682" s="1165"/>
      <c r="CC682" s="1165">
        <f>+M682</f>
        <v>0</v>
      </c>
      <c r="CD682" s="1165"/>
      <c r="CE682" s="1165"/>
      <c r="CF682" s="1165"/>
      <c r="CG682" s="1165"/>
      <c r="CH682" s="1165"/>
      <c r="CI682" s="1165"/>
      <c r="CJ682" s="1165"/>
      <c r="CK682" s="1165"/>
      <c r="CL682" s="1165"/>
      <c r="CM682" s="1165"/>
      <c r="CN682" s="1165"/>
      <c r="CO682" s="1165"/>
      <c r="CP682" s="1165"/>
      <c r="CQ682" s="1165"/>
      <c r="CR682" s="1165"/>
      <c r="CS682" s="1165"/>
      <c r="CT682" s="1165"/>
      <c r="CU682" s="1165"/>
      <c r="CV682" s="1165"/>
      <c r="CW682" s="1165"/>
      <c r="CX682" s="1165"/>
      <c r="CY682" s="1165"/>
      <c r="CZ682" s="1165"/>
      <c r="DA682" s="1165"/>
      <c r="DB682" s="1165"/>
      <c r="DC682" s="1165"/>
      <c r="DD682" s="1165"/>
      <c r="DE682" s="1165"/>
      <c r="DF682" s="1165"/>
      <c r="DG682" s="1165"/>
      <c r="DH682" s="1165"/>
      <c r="DI682" s="1165"/>
      <c r="DJ682" s="1165"/>
      <c r="DK682" s="1165"/>
      <c r="DL682" s="1165"/>
      <c r="DM682" s="1165"/>
      <c r="DN682" s="1165"/>
      <c r="DO682" s="1165"/>
      <c r="DP682" s="1165"/>
    </row>
    <row r="683" spans="1:120" hidden="1" outlineLevel="1">
      <c r="A683" s="55">
        <v>1110052095</v>
      </c>
      <c r="B683" s="90"/>
      <c r="C683" s="91" t="s">
        <v>64</v>
      </c>
      <c r="D683" s="1557"/>
      <c r="E683" s="1558"/>
      <c r="F683" s="416"/>
      <c r="G683" s="1251"/>
      <c r="H683" s="511"/>
      <c r="I683" s="512"/>
      <c r="J683" s="1381"/>
      <c r="K683" s="1427"/>
      <c r="L683" s="417"/>
      <c r="M683" s="1540"/>
      <c r="N683" s="504"/>
      <c r="O683" s="513">
        <f>+L683*N683</f>
        <v>0</v>
      </c>
      <c r="P683" s="431"/>
      <c r="Q683" s="514"/>
      <c r="R683" s="515"/>
      <c r="S683" s="515"/>
      <c r="T683" s="562">
        <f>+P683*S683</f>
        <v>0</v>
      </c>
      <c r="U683" s="439">
        <f>+L683+P683+F683</f>
        <v>0</v>
      </c>
      <c r="V683" s="517">
        <f>+P683*R683+L683*N683+F683*H683</f>
        <v>0</v>
      </c>
      <c r="W683" s="976">
        <f>IF((-P683*R683)-(-P683*S683)&gt;0,(-P683*R683)-(-P683*S683),0)</f>
        <v>0</v>
      </c>
      <c r="X683" s="975">
        <f>IF((-P683*R683)-(-P683*S683)&lt;0,(-P683*R683)-(-P683*S683),0)</f>
        <v>0</v>
      </c>
      <c r="Y683" s="519"/>
      <c r="AA683" s="199"/>
      <c r="AB683" s="561"/>
      <c r="AC683" s="561"/>
      <c r="AD683" s="561"/>
      <c r="AE683" s="561"/>
      <c r="AF683" s="561"/>
      <c r="AG683" s="561"/>
      <c r="AH683" s="561"/>
      <c r="AI683" s="561"/>
      <c r="AJ683" s="561"/>
      <c r="AK683" s="561"/>
      <c r="AL683" s="1542"/>
      <c r="AM683" s="561"/>
      <c r="AN683" s="561"/>
      <c r="AO683" s="561"/>
      <c r="AP683" s="561"/>
      <c r="AQ683" s="561"/>
      <c r="AR683" s="561"/>
      <c r="AS683" s="561"/>
      <c r="AT683" s="561"/>
      <c r="AU683" s="561"/>
      <c r="AV683" s="561"/>
      <c r="AW683" s="561"/>
      <c r="AX683" s="561"/>
      <c r="AY683" s="561"/>
      <c r="AZ683" s="561"/>
      <c r="BA683" s="561"/>
      <c r="BB683" s="561"/>
      <c r="BC683" s="561"/>
      <c r="BD683" s="561"/>
      <c r="BE683" s="561"/>
      <c r="BF683" s="561"/>
      <c r="BG683" s="561"/>
      <c r="BH683" s="561"/>
      <c r="BI683" s="561"/>
      <c r="BJ683" s="561"/>
      <c r="BK683" s="561"/>
      <c r="BL683" s="561"/>
      <c r="BM683" s="561"/>
      <c r="BN683" s="561"/>
      <c r="BO683" s="561"/>
      <c r="BP683" s="561"/>
      <c r="BQ683" s="561"/>
      <c r="BR683" s="561"/>
      <c r="BS683" s="561"/>
      <c r="BT683" s="561"/>
      <c r="BU683" s="561"/>
      <c r="BV683" s="561"/>
      <c r="BW683" s="561"/>
      <c r="BX683" s="561"/>
      <c r="BY683" s="561"/>
      <c r="BZ683" s="561"/>
      <c r="CA683" s="561"/>
      <c r="CB683" s="737"/>
      <c r="CC683" s="737"/>
      <c r="CD683" s="737"/>
      <c r="CE683" s="737"/>
      <c r="CF683" s="737"/>
      <c r="CG683" s="737"/>
      <c r="CH683" s="737"/>
      <c r="CI683" s="737"/>
      <c r="CJ683" s="737"/>
      <c r="CK683" s="737"/>
      <c r="CL683" s="737"/>
      <c r="CM683" s="737"/>
      <c r="CN683" s="737"/>
      <c r="CO683" s="737"/>
      <c r="CP683" s="737"/>
      <c r="CQ683" s="737"/>
      <c r="CR683" s="737"/>
      <c r="CS683" s="737"/>
      <c r="CT683" s="737"/>
      <c r="CU683" s="737"/>
      <c r="CV683" s="737"/>
      <c r="CW683" s="737"/>
      <c r="CX683" s="737"/>
      <c r="CY683" s="737"/>
      <c r="CZ683" s="737"/>
      <c r="DA683" s="737"/>
      <c r="DB683" s="737"/>
      <c r="DC683" s="737"/>
      <c r="DD683" s="737"/>
      <c r="DE683" s="737"/>
      <c r="DF683" s="737"/>
      <c r="DG683" s="737"/>
      <c r="DH683" s="737"/>
      <c r="DI683" s="737"/>
      <c r="DJ683" s="737"/>
      <c r="DK683" s="737"/>
      <c r="DL683" s="737"/>
      <c r="DM683" s="737"/>
      <c r="DN683" s="737"/>
      <c r="DO683" s="737"/>
      <c r="DP683" s="737"/>
    </row>
    <row r="684" spans="1:120" hidden="1" outlineLevel="1">
      <c r="A684" s="55"/>
      <c r="B684" s="90"/>
      <c r="C684" s="91"/>
      <c r="D684" s="1538"/>
      <c r="E684" s="1539"/>
      <c r="F684" s="416"/>
      <c r="G684" s="1251"/>
      <c r="H684" s="511"/>
      <c r="I684" s="512"/>
      <c r="J684" s="1381"/>
      <c r="K684" s="1427"/>
      <c r="L684" s="417"/>
      <c r="M684" s="1540"/>
      <c r="N684" s="504"/>
      <c r="O684" s="513"/>
      <c r="P684" s="431"/>
      <c r="Q684" s="514"/>
      <c r="R684" s="515"/>
      <c r="S684" s="515"/>
      <c r="T684" s="562">
        <f>+P684*S684</f>
        <v>0</v>
      </c>
      <c r="U684" s="439">
        <f>+L684+P684+F684</f>
        <v>0</v>
      </c>
      <c r="V684" s="517">
        <f>+P684*R684+L684*N684+F684*H684</f>
        <v>0</v>
      </c>
      <c r="W684" s="976"/>
      <c r="X684" s="975"/>
      <c r="Y684" s="519"/>
      <c r="AA684" s="199"/>
      <c r="AB684" s="561"/>
      <c r="AC684" s="561"/>
      <c r="AD684" s="561"/>
      <c r="AE684" s="561"/>
      <c r="AF684" s="561"/>
      <c r="AG684" s="561"/>
      <c r="AH684" s="561"/>
      <c r="AI684" s="561"/>
      <c r="AJ684" s="561"/>
      <c r="AK684" s="561"/>
      <c r="AL684" s="1542"/>
      <c r="AM684" s="561"/>
      <c r="AN684" s="561"/>
      <c r="AO684" s="561"/>
      <c r="AP684" s="561"/>
      <c r="AQ684" s="561"/>
      <c r="AR684" s="561"/>
      <c r="AS684" s="561"/>
      <c r="AT684" s="561"/>
      <c r="AU684" s="561"/>
      <c r="AV684" s="561"/>
      <c r="AW684" s="561"/>
      <c r="AX684" s="561"/>
      <c r="AY684" s="561"/>
      <c r="AZ684" s="561"/>
      <c r="BA684" s="561"/>
      <c r="BB684" s="561"/>
      <c r="BC684" s="561"/>
      <c r="BD684" s="561"/>
      <c r="BE684" s="561"/>
      <c r="BF684" s="561"/>
      <c r="BG684" s="561"/>
      <c r="BH684" s="561"/>
      <c r="BI684" s="561"/>
      <c r="BJ684" s="561"/>
      <c r="BK684" s="561"/>
      <c r="BL684" s="561"/>
      <c r="BM684" s="561"/>
      <c r="BN684" s="561"/>
      <c r="BO684" s="561"/>
      <c r="BP684" s="561"/>
      <c r="BQ684" s="561"/>
      <c r="BR684" s="561"/>
      <c r="BS684" s="561"/>
      <c r="BT684" s="561"/>
      <c r="BU684" s="561"/>
      <c r="BV684" s="561"/>
      <c r="BW684" s="561"/>
      <c r="BX684" s="561"/>
      <c r="BY684" s="561"/>
      <c r="BZ684" s="561"/>
      <c r="CA684" s="561"/>
      <c r="CB684" s="737"/>
      <c r="CC684" s="737"/>
      <c r="CD684" s="737"/>
      <c r="CE684" s="737"/>
      <c r="CF684" s="737"/>
      <c r="CG684" s="737"/>
      <c r="CH684" s="737"/>
      <c r="CI684" s="737"/>
      <c r="CJ684" s="737"/>
      <c r="CK684" s="737"/>
      <c r="CL684" s="737"/>
      <c r="CM684" s="737"/>
      <c r="CN684" s="737"/>
      <c r="CO684" s="737"/>
      <c r="CP684" s="737"/>
      <c r="CQ684" s="737"/>
      <c r="CR684" s="737"/>
      <c r="CS684" s="737"/>
      <c r="CT684" s="737"/>
      <c r="CU684" s="737"/>
      <c r="CV684" s="737"/>
      <c r="CW684" s="737"/>
      <c r="CX684" s="737"/>
      <c r="CY684" s="737"/>
      <c r="CZ684" s="737"/>
      <c r="DA684" s="737"/>
      <c r="DB684" s="737"/>
      <c r="DC684" s="737"/>
      <c r="DD684" s="737"/>
      <c r="DE684" s="737"/>
      <c r="DF684" s="737"/>
      <c r="DG684" s="737"/>
      <c r="DH684" s="737"/>
      <c r="DI684" s="737"/>
      <c r="DJ684" s="737"/>
      <c r="DK684" s="737"/>
      <c r="DL684" s="737"/>
      <c r="DM684" s="737"/>
      <c r="DN684" s="737"/>
      <c r="DO684" s="737"/>
      <c r="DP684" s="737"/>
    </row>
    <row r="685" spans="1:120" ht="16.5" collapsed="1" thickBot="1">
      <c r="A685" s="62" t="s">
        <v>231</v>
      </c>
      <c r="B685" s="63"/>
      <c r="C685" s="64"/>
      <c r="D685" s="1473"/>
      <c r="E685" s="1474"/>
      <c r="F685" s="66">
        <f>SUM(F662:F684)</f>
        <v>0</v>
      </c>
      <c r="G685" s="1253"/>
      <c r="H685" s="67"/>
      <c r="I685" s="68">
        <f>SUM(I662:I684)</f>
        <v>0</v>
      </c>
      <c r="J685" s="1376"/>
      <c r="K685" s="76"/>
      <c r="L685" s="69">
        <f>SUM(L662:L684)</f>
        <v>0</v>
      </c>
      <c r="M685" s="168"/>
      <c r="N685" s="70"/>
      <c r="O685" s="71">
        <f>SUM(O662:O684)</f>
        <v>0</v>
      </c>
      <c r="P685" s="72">
        <f>SUM(P662:P684)</f>
        <v>0</v>
      </c>
      <c r="Q685" s="1339"/>
      <c r="R685" s="73"/>
      <c r="S685" s="73"/>
      <c r="T685" s="96">
        <f>SUM(T662:T684)</f>
        <v>0</v>
      </c>
      <c r="U685" s="173">
        <f>SUM(U662:U684)</f>
        <v>0</v>
      </c>
      <c r="V685" s="174">
        <f>SUM(V662:V684)</f>
        <v>0</v>
      </c>
      <c r="W685" s="191">
        <f>SUM(W662:W684)</f>
        <v>0</v>
      </c>
      <c r="X685" s="78">
        <f>SUM(X662:X684)</f>
        <v>0</v>
      </c>
      <c r="Y685" s="43"/>
      <c r="AA685" s="192">
        <f t="shared" ref="AA685:BF685" ca="1" si="1914">SUM(AA660:AA684)</f>
        <v>6.9849193096160889E-10</v>
      </c>
      <c r="AB685" s="193">
        <f t="shared" ca="1" si="1914"/>
        <v>0</v>
      </c>
      <c r="AC685" s="193">
        <f t="shared" ca="1" si="1914"/>
        <v>-2.3283064365386963E-10</v>
      </c>
      <c r="AD685" s="193">
        <f t="shared" ca="1" si="1914"/>
        <v>0</v>
      </c>
      <c r="AE685" s="193">
        <f t="shared" ca="1" si="1914"/>
        <v>0</v>
      </c>
      <c r="AF685" s="193">
        <f t="shared" ca="1" si="1914"/>
        <v>0</v>
      </c>
      <c r="AG685" s="193">
        <f t="shared" ca="1" si="1914"/>
        <v>0</v>
      </c>
      <c r="AH685" s="193">
        <f t="shared" ca="1" si="1914"/>
        <v>0</v>
      </c>
      <c r="AI685" s="193">
        <f t="shared" ca="1" si="1914"/>
        <v>-5.8207660913467407E-10</v>
      </c>
      <c r="AJ685" s="193">
        <f t="shared" ca="1" si="1914"/>
        <v>0</v>
      </c>
      <c r="AK685" s="193">
        <f t="shared" ca="1" si="1914"/>
        <v>0</v>
      </c>
      <c r="AL685" s="193">
        <f t="shared" ca="1" si="1914"/>
        <v>0</v>
      </c>
      <c r="AM685" s="193">
        <f t="shared" ca="1" si="1914"/>
        <v>0</v>
      </c>
      <c r="AN685" s="193">
        <f t="shared" ca="1" si="1914"/>
        <v>0</v>
      </c>
      <c r="AO685" s="193">
        <f t="shared" ca="1" si="1914"/>
        <v>0</v>
      </c>
      <c r="AP685" s="193">
        <f t="shared" ca="1" si="1914"/>
        <v>0</v>
      </c>
      <c r="AQ685" s="193">
        <f t="shared" ca="1" si="1914"/>
        <v>0</v>
      </c>
      <c r="AR685" s="193">
        <f t="shared" ca="1" si="1914"/>
        <v>0</v>
      </c>
      <c r="AS685" s="193">
        <f t="shared" ca="1" si="1914"/>
        <v>0</v>
      </c>
      <c r="AT685" s="193">
        <f t="shared" ca="1" si="1914"/>
        <v>0</v>
      </c>
      <c r="AU685" s="193">
        <f t="shared" ca="1" si="1914"/>
        <v>0</v>
      </c>
      <c r="AV685" s="193">
        <f t="shared" ca="1" si="1914"/>
        <v>2.3283064365386963E-10</v>
      </c>
      <c r="AW685" s="193">
        <f t="shared" ca="1" si="1914"/>
        <v>2.3283064365386963E-10</v>
      </c>
      <c r="AX685" s="193">
        <f t="shared" ca="1" si="1914"/>
        <v>0</v>
      </c>
      <c r="AY685" s="193">
        <f t="shared" ca="1" si="1914"/>
        <v>0</v>
      </c>
      <c r="AZ685" s="193">
        <f t="shared" ca="1" si="1914"/>
        <v>0</v>
      </c>
      <c r="BA685" s="193">
        <f t="shared" ca="1" si="1914"/>
        <v>2481654.2199999997</v>
      </c>
      <c r="BB685" s="193">
        <f t="shared" ca="1" si="1914"/>
        <v>11818681.52</v>
      </c>
      <c r="BC685" s="193">
        <f t="shared" ca="1" si="1914"/>
        <v>23716111.969999999</v>
      </c>
      <c r="BD685" s="193">
        <f t="shared" ca="1" si="1914"/>
        <v>0</v>
      </c>
      <c r="BE685" s="193">
        <f t="shared" ca="1" si="1914"/>
        <v>0</v>
      </c>
      <c r="BF685" s="193">
        <f t="shared" ca="1" si="1914"/>
        <v>0</v>
      </c>
      <c r="BG685" s="193">
        <f t="shared" ref="BG685:CL685" ca="1" si="1915">SUM(BG660:BG684)</f>
        <v>0</v>
      </c>
      <c r="BH685" s="193">
        <f t="shared" ca="1" si="1915"/>
        <v>0</v>
      </c>
      <c r="BI685" s="193">
        <f t="shared" ca="1" si="1915"/>
        <v>0</v>
      </c>
      <c r="BJ685" s="193">
        <f t="shared" ca="1" si="1915"/>
        <v>0</v>
      </c>
      <c r="BK685" s="193">
        <f t="shared" ca="1" si="1915"/>
        <v>0</v>
      </c>
      <c r="BL685" s="193">
        <f t="shared" ca="1" si="1915"/>
        <v>0</v>
      </c>
      <c r="BM685" s="193">
        <f t="shared" ca="1" si="1915"/>
        <v>0</v>
      </c>
      <c r="BN685" s="193">
        <f t="shared" ca="1" si="1915"/>
        <v>0</v>
      </c>
      <c r="BO685" s="193">
        <f t="shared" ca="1" si="1915"/>
        <v>0</v>
      </c>
      <c r="BP685" s="193">
        <f t="shared" ca="1" si="1915"/>
        <v>0</v>
      </c>
      <c r="BQ685" s="193">
        <f t="shared" ca="1" si="1915"/>
        <v>0</v>
      </c>
      <c r="BR685" s="193">
        <f t="shared" ca="1" si="1915"/>
        <v>0</v>
      </c>
      <c r="BS685" s="193">
        <f t="shared" ca="1" si="1915"/>
        <v>0</v>
      </c>
      <c r="BT685" s="193">
        <f t="shared" ca="1" si="1915"/>
        <v>0</v>
      </c>
      <c r="BU685" s="193">
        <f t="shared" ca="1" si="1915"/>
        <v>0</v>
      </c>
      <c r="BV685" s="193">
        <f t="shared" si="1915"/>
        <v>0</v>
      </c>
      <c r="BW685" s="193">
        <f t="shared" si="1915"/>
        <v>0</v>
      </c>
      <c r="BX685" s="193">
        <f t="shared" si="1915"/>
        <v>0</v>
      </c>
      <c r="BY685" s="193">
        <f t="shared" si="1915"/>
        <v>0</v>
      </c>
      <c r="BZ685" s="193">
        <f t="shared" si="1915"/>
        <v>0</v>
      </c>
      <c r="CA685" s="193">
        <f t="shared" si="1915"/>
        <v>0</v>
      </c>
      <c r="CB685" s="207">
        <f t="shared" si="1915"/>
        <v>0</v>
      </c>
      <c r="CC685" s="207">
        <f t="shared" si="1915"/>
        <v>0</v>
      </c>
      <c r="CD685" s="207">
        <f t="shared" si="1915"/>
        <v>0</v>
      </c>
      <c r="CE685" s="207">
        <f t="shared" si="1915"/>
        <v>0</v>
      </c>
      <c r="CF685" s="207">
        <f t="shared" si="1915"/>
        <v>0</v>
      </c>
      <c r="CG685" s="207">
        <f t="shared" si="1915"/>
        <v>0</v>
      </c>
      <c r="CH685" s="207">
        <f t="shared" si="1915"/>
        <v>0</v>
      </c>
      <c r="CI685" s="207">
        <f t="shared" si="1915"/>
        <v>0</v>
      </c>
      <c r="CJ685" s="207">
        <f t="shared" si="1915"/>
        <v>0</v>
      </c>
      <c r="CK685" s="207">
        <f t="shared" si="1915"/>
        <v>0</v>
      </c>
      <c r="CL685" s="207">
        <f t="shared" si="1915"/>
        <v>0</v>
      </c>
      <c r="CM685" s="207">
        <f t="shared" ref="CM685:DM685" si="1916">SUM(CM660:CM684)</f>
        <v>0</v>
      </c>
      <c r="CN685" s="207">
        <f t="shared" si="1916"/>
        <v>0</v>
      </c>
      <c r="CO685" s="207">
        <f t="shared" si="1916"/>
        <v>0</v>
      </c>
      <c r="CP685" s="207">
        <f t="shared" si="1916"/>
        <v>0</v>
      </c>
      <c r="CQ685" s="207">
        <f t="shared" si="1916"/>
        <v>0</v>
      </c>
      <c r="CR685" s="207">
        <f t="shared" si="1916"/>
        <v>0</v>
      </c>
      <c r="CS685" s="207">
        <f t="shared" si="1916"/>
        <v>0</v>
      </c>
      <c r="CT685" s="207">
        <f t="shared" si="1916"/>
        <v>0</v>
      </c>
      <c r="CU685" s="207">
        <f t="shared" si="1916"/>
        <v>0</v>
      </c>
      <c r="CV685" s="207">
        <f t="shared" si="1916"/>
        <v>0</v>
      </c>
      <c r="CW685" s="207">
        <f t="shared" si="1916"/>
        <v>0</v>
      </c>
      <c r="CX685" s="207">
        <f t="shared" si="1916"/>
        <v>0</v>
      </c>
      <c r="CY685" s="207">
        <f t="shared" si="1916"/>
        <v>0</v>
      </c>
      <c r="CZ685" s="207">
        <f t="shared" si="1916"/>
        <v>0</v>
      </c>
      <c r="DA685" s="207">
        <f t="shared" si="1916"/>
        <v>0</v>
      </c>
      <c r="DB685" s="207">
        <f t="shared" si="1916"/>
        <v>0</v>
      </c>
      <c r="DC685" s="207">
        <f t="shared" si="1916"/>
        <v>0</v>
      </c>
      <c r="DD685" s="207">
        <f t="shared" si="1916"/>
        <v>0</v>
      </c>
      <c r="DE685" s="207">
        <f t="shared" si="1916"/>
        <v>0</v>
      </c>
      <c r="DF685" s="207">
        <f t="shared" si="1916"/>
        <v>0</v>
      </c>
      <c r="DG685" s="207">
        <f t="shared" si="1916"/>
        <v>0</v>
      </c>
      <c r="DH685" s="207">
        <f t="shared" si="1916"/>
        <v>0</v>
      </c>
      <c r="DI685" s="207">
        <f t="shared" si="1916"/>
        <v>0</v>
      </c>
      <c r="DJ685" s="207">
        <f t="shared" si="1916"/>
        <v>0</v>
      </c>
      <c r="DK685" s="207">
        <f t="shared" si="1916"/>
        <v>0</v>
      </c>
      <c r="DL685" s="207">
        <f t="shared" si="1916"/>
        <v>0</v>
      </c>
      <c r="DM685" s="207">
        <f t="shared" si="1916"/>
        <v>0</v>
      </c>
      <c r="DN685" s="207">
        <f t="shared" ref="DN685:DO685" si="1917">SUM(DN660:DN684)</f>
        <v>0</v>
      </c>
      <c r="DO685" s="207">
        <f t="shared" si="1917"/>
        <v>0</v>
      </c>
      <c r="DP685" s="207">
        <f t="shared" ref="DP685" si="1918">SUM(DP660:DP684)</f>
        <v>0</v>
      </c>
    </row>
    <row r="686" spans="1:120"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  <c r="CD686" s="24"/>
      <c r="CE686" s="24"/>
      <c r="CF686" s="24"/>
      <c r="CG686" s="24"/>
      <c r="CH686" s="24"/>
      <c r="CI686" s="24"/>
      <c r="CJ686" s="24"/>
      <c r="CK686" s="24"/>
      <c r="CL686" s="24"/>
      <c r="CM686" s="24"/>
      <c r="CN686" s="24"/>
      <c r="CO686" s="24"/>
      <c r="CP686" s="24"/>
      <c r="CQ686" s="24"/>
      <c r="CR686" s="24"/>
      <c r="CS686" s="24"/>
      <c r="CT686" s="24"/>
      <c r="CU686" s="24"/>
      <c r="CV686" s="24"/>
      <c r="CW686" s="24"/>
      <c r="CX686" s="24"/>
      <c r="CY686" s="24"/>
      <c r="CZ686" s="24"/>
      <c r="DA686" s="24"/>
      <c r="DB686" s="24"/>
      <c r="DC686" s="24"/>
      <c r="DD686" s="24"/>
      <c r="DE686" s="24"/>
      <c r="DF686" s="24"/>
      <c r="DG686" s="24"/>
      <c r="DH686" s="24"/>
      <c r="DI686" s="24"/>
      <c r="DJ686" s="24"/>
      <c r="DK686" s="24"/>
      <c r="DL686" s="24"/>
      <c r="DM686" s="24"/>
      <c r="DN686" s="24"/>
      <c r="DO686" s="24"/>
      <c r="DP686" s="24"/>
    </row>
    <row r="687" spans="1:120" hidden="1" outlineLevel="1">
      <c r="A687" s="640">
        <v>1110052090</v>
      </c>
      <c r="B687" s="573" t="s">
        <v>78</v>
      </c>
      <c r="C687" s="641" t="s">
        <v>64</v>
      </c>
      <c r="D687" s="1489"/>
      <c r="E687" s="1490"/>
      <c r="F687" s="643"/>
      <c r="G687" s="1262"/>
      <c r="H687" s="644"/>
      <c r="I687" s="645"/>
      <c r="J687" s="1483">
        <v>1</v>
      </c>
      <c r="K687" s="1484">
        <v>1</v>
      </c>
      <c r="L687" s="646"/>
      <c r="M687" s="1428">
        <f t="shared" ref="M687" si="1919">+L687*J687</f>
        <v>0</v>
      </c>
      <c r="N687" s="647"/>
      <c r="O687" s="648">
        <f>+L687*N687</f>
        <v>0</v>
      </c>
      <c r="P687" s="649"/>
      <c r="Q687" s="649"/>
      <c r="R687" s="650"/>
      <c r="S687" s="650"/>
      <c r="T687" s="651">
        <f>+P687*S687</f>
        <v>0</v>
      </c>
      <c r="U687" s="652">
        <f>+L687+P687+F687</f>
        <v>0</v>
      </c>
      <c r="V687" s="648">
        <f>+P687*R687+L687*N687+F687*H687</f>
        <v>0</v>
      </c>
      <c r="W687" s="653">
        <f>IF((-P687*R687)-(-P687*S687)&gt;0,(-P687*R687)-(-P687*S687),0)</f>
        <v>0</v>
      </c>
      <c r="X687" s="654">
        <f>IF((-P687*R687)-(-P687*S687)&lt;0,(-P687*R687)-(-P687*S687),0)</f>
        <v>0</v>
      </c>
      <c r="Y687" s="655"/>
      <c r="AA687" s="730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31"/>
      <c r="BL687" s="731"/>
      <c r="BM687" s="731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  <c r="BX687" s="731"/>
      <c r="BY687" s="731"/>
      <c r="BZ687" s="731"/>
      <c r="CA687" s="731"/>
      <c r="CB687" s="732"/>
      <c r="CC687" s="732"/>
      <c r="CD687" s="732"/>
      <c r="CE687" s="732"/>
      <c r="CF687" s="732">
        <f>+M687</f>
        <v>0</v>
      </c>
      <c r="CG687" s="732"/>
      <c r="CH687" s="732"/>
      <c r="CI687" s="732"/>
      <c r="CJ687" s="732"/>
      <c r="CK687" s="732"/>
      <c r="CL687" s="732"/>
      <c r="CM687" s="732"/>
      <c r="CN687" s="732"/>
      <c r="CO687" s="732"/>
      <c r="CP687" s="732"/>
      <c r="CQ687" s="732"/>
      <c r="CR687" s="732"/>
      <c r="CS687" s="732"/>
      <c r="CT687" s="732"/>
      <c r="CU687" s="732"/>
      <c r="CV687" s="732"/>
      <c r="CW687" s="732"/>
      <c r="CX687" s="732"/>
      <c r="CY687" s="732"/>
      <c r="CZ687" s="732"/>
      <c r="DA687" s="732"/>
      <c r="DB687" s="732"/>
      <c r="DC687" s="732"/>
      <c r="DD687" s="732"/>
      <c r="DE687" s="732"/>
      <c r="DF687" s="732"/>
      <c r="DG687" s="732"/>
      <c r="DH687" s="732"/>
      <c r="DI687" s="732"/>
      <c r="DJ687" s="732"/>
      <c r="DK687" s="732"/>
      <c r="DL687" s="732"/>
      <c r="DM687" s="732"/>
      <c r="DN687" s="732"/>
      <c r="DO687" s="732"/>
      <c r="DP687" s="732"/>
    </row>
    <row r="688" spans="1:120" hidden="1" outlineLevel="1">
      <c r="A688" s="1612">
        <v>1110052090</v>
      </c>
      <c r="B688" s="1613"/>
      <c r="C688" s="1614" t="s">
        <v>64</v>
      </c>
      <c r="D688" s="1622"/>
      <c r="E688" s="1623"/>
      <c r="F688" s="416"/>
      <c r="G688" s="1251"/>
      <c r="H688" s="511"/>
      <c r="I688" s="512"/>
      <c r="J688" s="1425">
        <v>1</v>
      </c>
      <c r="K688" s="1426">
        <v>1</v>
      </c>
      <c r="L688" s="1615"/>
      <c r="M688" s="1616">
        <f t="shared" ref="M688" si="1920">+L688*J688</f>
        <v>0</v>
      </c>
      <c r="N688" s="515"/>
      <c r="O688" s="1617">
        <f>+L688*N688</f>
        <v>0</v>
      </c>
      <c r="P688" s="431"/>
      <c r="Q688" s="514">
        <f t="shared" ref="Q688" si="1921">+P688*K688</f>
        <v>0</v>
      </c>
      <c r="R688" s="515"/>
      <c r="S688" s="515"/>
      <c r="T688" s="562">
        <f>+P688*S688</f>
        <v>0</v>
      </c>
      <c r="U688" s="1618">
        <f>+L688+P688+F688</f>
        <v>0</v>
      </c>
      <c r="V688" s="562">
        <f>+P688*R688+L688*N688+F688*H688</f>
        <v>0</v>
      </c>
      <c r="W688" s="1619">
        <f>IF((-P688*R688)-(-P688*S688)&gt;0,(-P688*R688)-(-P688*S688),0)</f>
        <v>0</v>
      </c>
      <c r="X688" s="1620">
        <f>IF((-P688*R688)-(-P688*S688)&lt;0,(-P688*R688)-(-P688*S688),0)</f>
        <v>0</v>
      </c>
      <c r="Y688" s="1621"/>
      <c r="AA688" s="199"/>
      <c r="AB688" s="561"/>
      <c r="AC688" s="561"/>
      <c r="AD688" s="561"/>
      <c r="AE688" s="561"/>
      <c r="AF688" s="561"/>
      <c r="AG688" s="561"/>
      <c r="AH688" s="561"/>
      <c r="AI688" s="561"/>
      <c r="AJ688" s="561"/>
      <c r="AK688" s="561"/>
      <c r="AL688" s="1542"/>
      <c r="AM688" s="561"/>
      <c r="AN688" s="561"/>
      <c r="AO688" s="561"/>
      <c r="AP688" s="561"/>
      <c r="AQ688" s="561"/>
      <c r="AR688" s="561"/>
      <c r="AS688" s="561"/>
      <c r="AT688" s="561"/>
      <c r="AU688" s="561"/>
      <c r="AV688" s="561"/>
      <c r="AW688" s="561"/>
      <c r="AX688" s="561"/>
      <c r="AY688" s="561"/>
      <c r="AZ688" s="561"/>
      <c r="BA688" s="561"/>
      <c r="BB688" s="561"/>
      <c r="BC688" s="561"/>
      <c r="BD688" s="561"/>
      <c r="BE688" s="561"/>
      <c r="BF688" s="561"/>
      <c r="BG688" s="561"/>
      <c r="BH688" s="561"/>
      <c r="BI688" s="561"/>
      <c r="BJ688" s="561"/>
      <c r="BK688" s="561"/>
      <c r="BL688" s="561"/>
      <c r="BM688" s="561"/>
      <c r="BN688" s="561"/>
      <c r="BO688" s="561"/>
      <c r="BP688" s="561"/>
      <c r="BQ688" s="561"/>
      <c r="BR688" s="561"/>
      <c r="BS688" s="561"/>
      <c r="BT688" s="561"/>
      <c r="BU688" s="561"/>
      <c r="BV688" s="561"/>
      <c r="BW688" s="561"/>
      <c r="BX688" s="561"/>
      <c r="BY688" s="561"/>
      <c r="BZ688" s="561"/>
      <c r="CA688" s="561"/>
      <c r="CB688" s="737"/>
      <c r="CC688" s="737">
        <f>+Q688</f>
        <v>0</v>
      </c>
      <c r="CD688" s="737"/>
      <c r="CE688" s="737"/>
      <c r="CF688" s="737"/>
      <c r="CG688" s="737"/>
      <c r="CH688" s="737"/>
      <c r="CI688" s="737"/>
      <c r="CJ688" s="737"/>
      <c r="CK688" s="737"/>
      <c r="CL688" s="737"/>
      <c r="CM688" s="737"/>
      <c r="CN688" s="737"/>
      <c r="CO688" s="737"/>
      <c r="CP688" s="737"/>
      <c r="CQ688" s="737"/>
      <c r="CR688" s="737"/>
      <c r="CS688" s="737"/>
      <c r="CT688" s="737"/>
      <c r="CU688" s="737"/>
      <c r="CV688" s="737"/>
      <c r="CW688" s="737"/>
      <c r="CX688" s="737"/>
      <c r="CY688" s="737"/>
      <c r="CZ688" s="737"/>
      <c r="DA688" s="737"/>
      <c r="DB688" s="737"/>
      <c r="DC688" s="737"/>
      <c r="DD688" s="737"/>
      <c r="DE688" s="737"/>
      <c r="DF688" s="737"/>
      <c r="DG688" s="737"/>
      <c r="DH688" s="737"/>
      <c r="DI688" s="737"/>
      <c r="DJ688" s="737"/>
      <c r="DK688" s="737"/>
      <c r="DL688" s="737"/>
      <c r="DM688" s="737"/>
      <c r="DN688" s="737"/>
      <c r="DO688" s="737"/>
      <c r="DP688" s="737"/>
    </row>
    <row r="689" spans="1:120" hidden="1" outlineLevel="1">
      <c r="A689" s="55">
        <v>1110052090</v>
      </c>
      <c r="B689" s="90"/>
      <c r="C689" s="91" t="s">
        <v>64</v>
      </c>
      <c r="D689" s="1557"/>
      <c r="E689" s="1558"/>
      <c r="F689" s="416"/>
      <c r="G689" s="1251"/>
      <c r="H689" s="511"/>
      <c r="I689" s="512"/>
      <c r="J689" s="1381"/>
      <c r="K689" s="1427"/>
      <c r="L689" s="417"/>
      <c r="M689" s="1540"/>
      <c r="N689" s="504"/>
      <c r="O689" s="513">
        <f>+L689*N689</f>
        <v>0</v>
      </c>
      <c r="P689" s="431"/>
      <c r="Q689" s="514"/>
      <c r="R689" s="1052"/>
      <c r="S689" s="515"/>
      <c r="T689" s="562">
        <f>+P689*S689</f>
        <v>0</v>
      </c>
      <c r="U689" s="439">
        <f>+L689+P689+F689</f>
        <v>0</v>
      </c>
      <c r="V689" s="517">
        <f>+P689*R689+L689*N689+F689*H689</f>
        <v>0</v>
      </c>
      <c r="W689" s="976">
        <f>IF((-P689*R689)-(-P689*S689)&gt;0,(-P689*R689)-(-P689*S689),0)</f>
        <v>0</v>
      </c>
      <c r="X689" s="975">
        <f>IF((-P689*R689)-(-P689*S689)&lt;0,(-P689*R689)-(-P689*S689),0)</f>
        <v>0</v>
      </c>
      <c r="Y689" s="519"/>
      <c r="AA689" s="199"/>
      <c r="AB689" s="561"/>
      <c r="AC689" s="561"/>
      <c r="AD689" s="561"/>
      <c r="AE689" s="561"/>
      <c r="AF689" s="561"/>
      <c r="AG689" s="561"/>
      <c r="AH689" s="561"/>
      <c r="AI689" s="561"/>
      <c r="AJ689" s="561"/>
      <c r="AK689" s="561"/>
      <c r="AL689" s="1542"/>
      <c r="AM689" s="561"/>
      <c r="AN689" s="561"/>
      <c r="AO689" s="561"/>
      <c r="AP689" s="561"/>
      <c r="AQ689" s="561"/>
      <c r="AR689" s="561"/>
      <c r="AS689" s="561"/>
      <c r="AT689" s="561"/>
      <c r="AU689" s="561"/>
      <c r="AV689" s="561"/>
      <c r="AW689" s="561"/>
      <c r="AX689" s="561"/>
      <c r="AY689" s="561"/>
      <c r="AZ689" s="561"/>
      <c r="BA689" s="561"/>
      <c r="BB689" s="561"/>
      <c r="BC689" s="561"/>
      <c r="BD689" s="561"/>
      <c r="BE689" s="561"/>
      <c r="BF689" s="561"/>
      <c r="BG689" s="561"/>
      <c r="BH689" s="561"/>
      <c r="BI689" s="561"/>
      <c r="BJ689" s="561"/>
      <c r="BK689" s="561"/>
      <c r="BL689" s="561"/>
      <c r="BM689" s="561"/>
      <c r="BN689" s="561"/>
      <c r="BO689" s="561"/>
      <c r="BP689" s="561"/>
      <c r="BQ689" s="561"/>
      <c r="BR689" s="561"/>
      <c r="BS689" s="561"/>
      <c r="BT689" s="561"/>
      <c r="BU689" s="561"/>
      <c r="BV689" s="561"/>
      <c r="BW689" s="561"/>
      <c r="BX689" s="561"/>
      <c r="BY689" s="561"/>
      <c r="BZ689" s="561"/>
      <c r="CA689" s="561"/>
      <c r="CB689" s="737"/>
      <c r="CC689" s="737"/>
      <c r="CD689" s="737"/>
      <c r="CE689" s="737"/>
      <c r="CF689" s="737"/>
      <c r="CG689" s="737"/>
      <c r="CH689" s="737"/>
      <c r="CI689" s="737"/>
      <c r="CJ689" s="737"/>
      <c r="CK689" s="737"/>
      <c r="CL689" s="737"/>
      <c r="CM689" s="737"/>
      <c r="CN689" s="737"/>
      <c r="CO689" s="737"/>
      <c r="CP689" s="737"/>
      <c r="CQ689" s="737"/>
      <c r="CR689" s="737"/>
      <c r="CS689" s="737"/>
      <c r="CT689" s="737"/>
      <c r="CU689" s="737"/>
      <c r="CV689" s="737"/>
      <c r="CW689" s="737"/>
      <c r="CX689" s="737"/>
      <c r="CY689" s="737"/>
      <c r="CZ689" s="737"/>
      <c r="DA689" s="737"/>
      <c r="DB689" s="737"/>
      <c r="DC689" s="737"/>
      <c r="DD689" s="737"/>
      <c r="DE689" s="737"/>
      <c r="DF689" s="737"/>
      <c r="DG689" s="737"/>
      <c r="DH689" s="737"/>
      <c r="DI689" s="737"/>
      <c r="DJ689" s="737"/>
      <c r="DK689" s="737"/>
      <c r="DL689" s="737"/>
      <c r="DM689" s="737"/>
      <c r="DN689" s="737"/>
      <c r="DO689" s="737"/>
      <c r="DP689" s="737"/>
    </row>
    <row r="690" spans="1:120" hidden="1" outlineLevel="1">
      <c r="A690" s="55"/>
      <c r="B690" s="90"/>
      <c r="C690" s="91"/>
      <c r="D690" s="1538"/>
      <c r="E690" s="1539"/>
      <c r="F690" s="416"/>
      <c r="G690" s="1251"/>
      <c r="H690" s="511"/>
      <c r="I690" s="512"/>
      <c r="J690" s="1381"/>
      <c r="K690" s="1427"/>
      <c r="L690" s="417"/>
      <c r="M690" s="1540"/>
      <c r="N690" s="504"/>
      <c r="O690" s="513"/>
      <c r="P690" s="431"/>
      <c r="Q690" s="514"/>
      <c r="R690" s="515"/>
      <c r="S690" s="515"/>
      <c r="T690" s="562"/>
      <c r="U690" s="439">
        <f>+L690+P690+F690</f>
        <v>0</v>
      </c>
      <c r="V690" s="517"/>
      <c r="W690" s="976"/>
      <c r="X690" s="975"/>
      <c r="Y690" s="519"/>
      <c r="AA690" s="199"/>
      <c r="AB690" s="561"/>
      <c r="AC690" s="561"/>
      <c r="AD690" s="561"/>
      <c r="AE690" s="561"/>
      <c r="AF690" s="561"/>
      <c r="AG690" s="561"/>
      <c r="AH690" s="561"/>
      <c r="AI690" s="561"/>
      <c r="AJ690" s="561"/>
      <c r="AK690" s="561"/>
      <c r="AL690" s="1542"/>
      <c r="AM690" s="561"/>
      <c r="AN690" s="561"/>
      <c r="AO690" s="561"/>
      <c r="AP690" s="561"/>
      <c r="AQ690" s="561"/>
      <c r="AR690" s="561"/>
      <c r="AS690" s="561"/>
      <c r="AT690" s="561"/>
      <c r="AU690" s="561"/>
      <c r="AV690" s="561"/>
      <c r="AW690" s="561"/>
      <c r="AX690" s="561"/>
      <c r="AY690" s="561"/>
      <c r="AZ690" s="561"/>
      <c r="BA690" s="561"/>
      <c r="BB690" s="561"/>
      <c r="BC690" s="561"/>
      <c r="BD690" s="561"/>
      <c r="BE690" s="561"/>
      <c r="BF690" s="561"/>
      <c r="BG690" s="561"/>
      <c r="BH690" s="561"/>
      <c r="BI690" s="561"/>
      <c r="BJ690" s="561"/>
      <c r="BK690" s="561"/>
      <c r="BL690" s="561"/>
      <c r="BM690" s="561"/>
      <c r="BN690" s="561"/>
      <c r="BO690" s="561"/>
      <c r="BP690" s="561"/>
      <c r="BQ690" s="561"/>
      <c r="BR690" s="561"/>
      <c r="BS690" s="561"/>
      <c r="BT690" s="561"/>
      <c r="BU690" s="561"/>
      <c r="BV690" s="561"/>
      <c r="BW690" s="561"/>
      <c r="BX690" s="561"/>
      <c r="BY690" s="561"/>
      <c r="BZ690" s="561"/>
      <c r="CA690" s="561"/>
      <c r="CB690" s="737"/>
      <c r="CC690" s="737"/>
      <c r="CD690" s="737"/>
      <c r="CE690" s="737"/>
      <c r="CF690" s="737"/>
      <c r="CG690" s="737"/>
      <c r="CH690" s="737"/>
      <c r="CI690" s="737"/>
      <c r="CJ690" s="737"/>
      <c r="CK690" s="737"/>
      <c r="CL690" s="737"/>
      <c r="CM690" s="737"/>
      <c r="CN690" s="737"/>
      <c r="CO690" s="737"/>
      <c r="CP690" s="737"/>
      <c r="CQ690" s="737"/>
      <c r="CR690" s="737"/>
      <c r="CS690" s="737"/>
      <c r="CT690" s="737"/>
      <c r="CU690" s="737"/>
      <c r="CV690" s="737"/>
      <c r="CW690" s="737"/>
      <c r="CX690" s="737"/>
      <c r="CY690" s="737"/>
      <c r="CZ690" s="737"/>
      <c r="DA690" s="737"/>
      <c r="DB690" s="737"/>
      <c r="DC690" s="737"/>
      <c r="DD690" s="737"/>
      <c r="DE690" s="737"/>
      <c r="DF690" s="737"/>
      <c r="DG690" s="737"/>
      <c r="DH690" s="737"/>
      <c r="DI690" s="737"/>
      <c r="DJ690" s="737"/>
      <c r="DK690" s="737"/>
      <c r="DL690" s="737"/>
      <c r="DM690" s="737"/>
      <c r="DN690" s="737"/>
      <c r="DO690" s="737"/>
      <c r="DP690" s="737"/>
    </row>
    <row r="691" spans="1:120" ht="16.5" collapsed="1" thickBot="1">
      <c r="A691" s="62" t="s">
        <v>232</v>
      </c>
      <c r="B691" s="63"/>
      <c r="C691" s="64"/>
      <c r="D691" s="1473"/>
      <c r="E691" s="1474"/>
      <c r="F691" s="66">
        <f>SUM(F687:F690)</f>
        <v>0</v>
      </c>
      <c r="G691" s="1253"/>
      <c r="H691" s="67"/>
      <c r="I691" s="68">
        <f>SUM(I687:I690)</f>
        <v>0</v>
      </c>
      <c r="J691" s="1376"/>
      <c r="K691" s="76"/>
      <c r="L691" s="69">
        <f>SUM(L687:L690)</f>
        <v>0</v>
      </c>
      <c r="M691" s="168"/>
      <c r="N691" s="70"/>
      <c r="O691" s="71">
        <f>SUM(O687:O690)</f>
        <v>0</v>
      </c>
      <c r="P691" s="72">
        <f>SUM(P687:P690)</f>
        <v>0</v>
      </c>
      <c r="Q691" s="1339"/>
      <c r="R691" s="73"/>
      <c r="S691" s="73"/>
      <c r="T691" s="96">
        <f>SUM(T687:T690)</f>
        <v>0</v>
      </c>
      <c r="U691" s="173">
        <f>SUM(U687:U690)</f>
        <v>0</v>
      </c>
      <c r="V691" s="76">
        <f>SUM(V687:V690)</f>
        <v>0</v>
      </c>
      <c r="W691" s="97">
        <f>SUM(W687:W690)</f>
        <v>0</v>
      </c>
      <c r="X691" s="98">
        <f>SUM(X687:X690)</f>
        <v>0</v>
      </c>
      <c r="Y691" s="43"/>
      <c r="AA691" s="192">
        <f t="shared" ref="AA691:BD691" ca="1" si="1922">SUM(AA685:AA690)</f>
        <v>6.9849193096160889E-10</v>
      </c>
      <c r="AB691" s="193">
        <f t="shared" ca="1" si="1922"/>
        <v>0</v>
      </c>
      <c r="AC691" s="193">
        <f t="shared" ca="1" si="1922"/>
        <v>-2.3283064365386963E-10</v>
      </c>
      <c r="AD691" s="193">
        <f t="shared" ca="1" si="1922"/>
        <v>0</v>
      </c>
      <c r="AE691" s="193">
        <f t="shared" ca="1" si="1922"/>
        <v>0</v>
      </c>
      <c r="AF691" s="193">
        <f t="shared" ca="1" si="1922"/>
        <v>0</v>
      </c>
      <c r="AG691" s="193">
        <f t="shared" ca="1" si="1922"/>
        <v>0</v>
      </c>
      <c r="AH691" s="193">
        <f t="shared" ca="1" si="1922"/>
        <v>0</v>
      </c>
      <c r="AI691" s="193">
        <f t="shared" ca="1" si="1922"/>
        <v>-5.8207660913467407E-10</v>
      </c>
      <c r="AJ691" s="193">
        <f t="shared" ca="1" si="1922"/>
        <v>0</v>
      </c>
      <c r="AK691" s="193">
        <f t="shared" ca="1" si="1922"/>
        <v>0</v>
      </c>
      <c r="AL691" s="193">
        <f t="shared" ca="1" si="1922"/>
        <v>0</v>
      </c>
      <c r="AM691" s="193">
        <f t="shared" ca="1" si="1922"/>
        <v>0</v>
      </c>
      <c r="AN691" s="193">
        <f t="shared" ca="1" si="1922"/>
        <v>0</v>
      </c>
      <c r="AO691" s="193">
        <f t="shared" ca="1" si="1922"/>
        <v>0</v>
      </c>
      <c r="AP691" s="193">
        <f t="shared" ca="1" si="1922"/>
        <v>0</v>
      </c>
      <c r="AQ691" s="193">
        <f t="shared" ca="1" si="1922"/>
        <v>0</v>
      </c>
      <c r="AR691" s="193">
        <f t="shared" ca="1" si="1922"/>
        <v>0</v>
      </c>
      <c r="AS691" s="193">
        <f t="shared" ca="1" si="1922"/>
        <v>0</v>
      </c>
      <c r="AT691" s="193">
        <f t="shared" ca="1" si="1922"/>
        <v>0</v>
      </c>
      <c r="AU691" s="193">
        <f t="shared" ca="1" si="1922"/>
        <v>0</v>
      </c>
      <c r="AV691" s="193">
        <f t="shared" ca="1" si="1922"/>
        <v>2.3283064365386963E-10</v>
      </c>
      <c r="AW691" s="193">
        <f t="shared" ca="1" si="1922"/>
        <v>2.3283064365386963E-10</v>
      </c>
      <c r="AX691" s="193">
        <f t="shared" ca="1" si="1922"/>
        <v>0</v>
      </c>
      <c r="AY691" s="193">
        <f t="shared" ca="1" si="1922"/>
        <v>0</v>
      </c>
      <c r="AZ691" s="193">
        <f t="shared" ca="1" si="1922"/>
        <v>0</v>
      </c>
      <c r="BA691" s="193">
        <f t="shared" ca="1" si="1922"/>
        <v>2481654.2199999997</v>
      </c>
      <c r="BB691" s="193">
        <f t="shared" ca="1" si="1922"/>
        <v>11818681.52</v>
      </c>
      <c r="BC691" s="193">
        <f t="shared" ca="1" si="1922"/>
        <v>23716111.969999999</v>
      </c>
      <c r="BD691" s="193">
        <f t="shared" ca="1" si="1922"/>
        <v>0</v>
      </c>
      <c r="BE691" s="193">
        <f t="shared" ref="BE691:CG691" ca="1" si="1923">SUM(BE685:BE690)</f>
        <v>0</v>
      </c>
      <c r="BF691" s="193">
        <f t="shared" ca="1" si="1923"/>
        <v>0</v>
      </c>
      <c r="BG691" s="193">
        <f t="shared" ca="1" si="1923"/>
        <v>0</v>
      </c>
      <c r="BH691" s="193">
        <f t="shared" ca="1" si="1923"/>
        <v>0</v>
      </c>
      <c r="BI691" s="193">
        <f t="shared" ca="1" si="1923"/>
        <v>0</v>
      </c>
      <c r="BJ691" s="193">
        <f t="shared" ca="1" si="1923"/>
        <v>0</v>
      </c>
      <c r="BK691" s="193">
        <f t="shared" ca="1" si="1923"/>
        <v>0</v>
      </c>
      <c r="BL691" s="193">
        <f t="shared" ca="1" si="1923"/>
        <v>0</v>
      </c>
      <c r="BM691" s="193">
        <f t="shared" ca="1" si="1923"/>
        <v>0</v>
      </c>
      <c r="BN691" s="193">
        <f t="shared" ca="1" si="1923"/>
        <v>0</v>
      </c>
      <c r="BO691" s="193">
        <f t="shared" ca="1" si="1923"/>
        <v>0</v>
      </c>
      <c r="BP691" s="193">
        <f t="shared" ca="1" si="1923"/>
        <v>0</v>
      </c>
      <c r="BQ691" s="193">
        <f t="shared" ca="1" si="1923"/>
        <v>0</v>
      </c>
      <c r="BR691" s="193">
        <f t="shared" ca="1" si="1923"/>
        <v>0</v>
      </c>
      <c r="BS691" s="193">
        <f t="shared" ca="1" si="1923"/>
        <v>0</v>
      </c>
      <c r="BT691" s="193">
        <f t="shared" ca="1" si="1923"/>
        <v>0</v>
      </c>
      <c r="BU691" s="193">
        <f t="shared" ca="1" si="1923"/>
        <v>0</v>
      </c>
      <c r="BV691" s="193">
        <f t="shared" si="1923"/>
        <v>0</v>
      </c>
      <c r="BW691" s="193">
        <f t="shared" si="1923"/>
        <v>0</v>
      </c>
      <c r="BX691" s="193">
        <f t="shared" si="1923"/>
        <v>0</v>
      </c>
      <c r="BY691" s="193">
        <f t="shared" si="1923"/>
        <v>0</v>
      </c>
      <c r="BZ691" s="193">
        <f t="shared" si="1923"/>
        <v>0</v>
      </c>
      <c r="CA691" s="193">
        <f t="shared" si="1923"/>
        <v>0</v>
      </c>
      <c r="CB691" s="207">
        <f t="shared" si="1923"/>
        <v>0</v>
      </c>
      <c r="CC691" s="207">
        <f t="shared" si="1923"/>
        <v>0</v>
      </c>
      <c r="CD691" s="207">
        <f t="shared" si="1923"/>
        <v>0</v>
      </c>
      <c r="CE691" s="207">
        <f t="shared" si="1923"/>
        <v>0</v>
      </c>
      <c r="CF691" s="207">
        <f t="shared" si="1923"/>
        <v>0</v>
      </c>
      <c r="CG691" s="207">
        <f t="shared" si="1923"/>
        <v>0</v>
      </c>
      <c r="CH691" s="207">
        <f t="shared" ref="CH691:DM691" si="1924">SUM(CH685:CH690)</f>
        <v>0</v>
      </c>
      <c r="CI691" s="207">
        <f t="shared" si="1924"/>
        <v>0</v>
      </c>
      <c r="CJ691" s="207">
        <f t="shared" si="1924"/>
        <v>0</v>
      </c>
      <c r="CK691" s="207">
        <f t="shared" si="1924"/>
        <v>0</v>
      </c>
      <c r="CL691" s="207">
        <f t="shared" si="1924"/>
        <v>0</v>
      </c>
      <c r="CM691" s="207">
        <f t="shared" si="1924"/>
        <v>0</v>
      </c>
      <c r="CN691" s="207">
        <f t="shared" si="1924"/>
        <v>0</v>
      </c>
      <c r="CO691" s="207">
        <f t="shared" si="1924"/>
        <v>0</v>
      </c>
      <c r="CP691" s="207">
        <f t="shared" si="1924"/>
        <v>0</v>
      </c>
      <c r="CQ691" s="207">
        <f t="shared" si="1924"/>
        <v>0</v>
      </c>
      <c r="CR691" s="207">
        <f t="shared" si="1924"/>
        <v>0</v>
      </c>
      <c r="CS691" s="207">
        <f t="shared" si="1924"/>
        <v>0</v>
      </c>
      <c r="CT691" s="207">
        <f t="shared" si="1924"/>
        <v>0</v>
      </c>
      <c r="CU691" s="207">
        <f t="shared" si="1924"/>
        <v>0</v>
      </c>
      <c r="CV691" s="207">
        <f t="shared" si="1924"/>
        <v>0</v>
      </c>
      <c r="CW691" s="207">
        <f t="shared" si="1924"/>
        <v>0</v>
      </c>
      <c r="CX691" s="207">
        <f t="shared" si="1924"/>
        <v>0</v>
      </c>
      <c r="CY691" s="207">
        <f t="shared" si="1924"/>
        <v>0</v>
      </c>
      <c r="CZ691" s="207">
        <f t="shared" si="1924"/>
        <v>0</v>
      </c>
      <c r="DA691" s="207">
        <f t="shared" si="1924"/>
        <v>0</v>
      </c>
      <c r="DB691" s="207">
        <f t="shared" si="1924"/>
        <v>0</v>
      </c>
      <c r="DC691" s="207">
        <f t="shared" si="1924"/>
        <v>0</v>
      </c>
      <c r="DD691" s="207">
        <f t="shared" si="1924"/>
        <v>0</v>
      </c>
      <c r="DE691" s="207">
        <f t="shared" si="1924"/>
        <v>0</v>
      </c>
      <c r="DF691" s="207">
        <f t="shared" si="1924"/>
        <v>0</v>
      </c>
      <c r="DG691" s="207">
        <f t="shared" si="1924"/>
        <v>0</v>
      </c>
      <c r="DH691" s="207">
        <f t="shared" si="1924"/>
        <v>0</v>
      </c>
      <c r="DI691" s="207">
        <f t="shared" si="1924"/>
        <v>0</v>
      </c>
      <c r="DJ691" s="207">
        <f t="shared" si="1924"/>
        <v>0</v>
      </c>
      <c r="DK691" s="207">
        <f t="shared" si="1924"/>
        <v>0</v>
      </c>
      <c r="DL691" s="207">
        <f t="shared" si="1924"/>
        <v>0</v>
      </c>
      <c r="DM691" s="207">
        <f t="shared" si="1924"/>
        <v>0</v>
      </c>
      <c r="DN691" s="207">
        <f t="shared" ref="DN691:DO691" si="1925">SUM(DN685:DN690)</f>
        <v>0</v>
      </c>
      <c r="DO691" s="207">
        <f t="shared" si="1925"/>
        <v>0</v>
      </c>
      <c r="DP691" s="207">
        <f t="shared" ref="DP691" si="1926">SUM(DP685:DP690)</f>
        <v>0</v>
      </c>
    </row>
    <row r="692" spans="1:120"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  <c r="CG692" s="24"/>
      <c r="CH692" s="24"/>
      <c r="CI692" s="24"/>
      <c r="CJ692" s="24"/>
      <c r="CK692" s="24"/>
      <c r="CL692" s="24"/>
      <c r="CM692" s="24"/>
      <c r="CN692" s="24"/>
      <c r="CO692" s="24"/>
      <c r="CP692" s="24"/>
      <c r="CQ692" s="24"/>
      <c r="CR692" s="24"/>
      <c r="CS692" s="24"/>
      <c r="CT692" s="24"/>
      <c r="CU692" s="24"/>
      <c r="CV692" s="24"/>
      <c r="CW692" s="24"/>
      <c r="CX692" s="24"/>
      <c r="CY692" s="24"/>
      <c r="CZ692" s="24"/>
      <c r="DA692" s="24"/>
      <c r="DB692" s="24"/>
      <c r="DC692" s="24"/>
      <c r="DD692" s="24"/>
      <c r="DE692" s="24"/>
      <c r="DF692" s="24"/>
      <c r="DG692" s="24"/>
      <c r="DH692" s="24"/>
      <c r="DI692" s="24"/>
      <c r="DJ692" s="24"/>
      <c r="DK692" s="24"/>
      <c r="DL692" s="24"/>
      <c r="DM692" s="24"/>
      <c r="DN692" s="24"/>
      <c r="DO692" s="24"/>
      <c r="DP692" s="24"/>
    </row>
    <row r="693" spans="1:120" hidden="1" outlineLevel="1">
      <c r="A693" s="640">
        <v>1110052090</v>
      </c>
      <c r="B693" s="573" t="s">
        <v>78</v>
      </c>
      <c r="C693" s="641" t="s">
        <v>64</v>
      </c>
      <c r="D693" s="1489"/>
      <c r="E693" s="1490"/>
      <c r="F693" s="643"/>
      <c r="G693" s="1262"/>
      <c r="H693" s="644"/>
      <c r="I693" s="645"/>
      <c r="J693" s="1483">
        <v>1</v>
      </c>
      <c r="K693" s="1484">
        <v>1</v>
      </c>
      <c r="L693" s="646"/>
      <c r="M693" s="1428">
        <f t="shared" ref="M693:M697" si="1927">+L693*J693</f>
        <v>0</v>
      </c>
      <c r="N693" s="647"/>
      <c r="O693" s="648">
        <f>+L693*N693</f>
        <v>0</v>
      </c>
      <c r="P693" s="649"/>
      <c r="Q693" s="649"/>
      <c r="R693" s="650"/>
      <c r="S693" s="650"/>
      <c r="T693" s="651">
        <f>+P693*S693</f>
        <v>0</v>
      </c>
      <c r="U693" s="652">
        <f>+L693+P693+F693</f>
        <v>0</v>
      </c>
      <c r="V693" s="648">
        <f>+P693*R693+L693*N693+F693*H693</f>
        <v>0</v>
      </c>
      <c r="W693" s="653">
        <f>IF((-P693*R693)-(-P693*S693)&gt;0,(-P693*R693)-(-P693*S693),0)</f>
        <v>0</v>
      </c>
      <c r="X693" s="654">
        <f>IF((-P693*R693)-(-P693*S693)&lt;0,(-P693*R693)-(-P693*S693),0)</f>
        <v>0</v>
      </c>
      <c r="Y693" s="655"/>
      <c r="AA693" s="730"/>
      <c r="AB693" s="731"/>
      <c r="AC693" s="731"/>
      <c r="AD693" s="731"/>
      <c r="AE693" s="731"/>
      <c r="AF693" s="731"/>
      <c r="AG693" s="731"/>
      <c r="AH693" s="731"/>
      <c r="AI693" s="731"/>
      <c r="AJ693" s="731"/>
      <c r="AK693" s="731"/>
      <c r="AL693" s="731"/>
      <c r="AM693" s="731"/>
      <c r="AN693" s="731"/>
      <c r="AO693" s="731"/>
      <c r="AP693" s="731"/>
      <c r="AQ693" s="731"/>
      <c r="AR693" s="731"/>
      <c r="AS693" s="731"/>
      <c r="AT693" s="731"/>
      <c r="AU693" s="731"/>
      <c r="AV693" s="731"/>
      <c r="AW693" s="731"/>
      <c r="AX693" s="731"/>
      <c r="AY693" s="731"/>
      <c r="AZ693" s="731"/>
      <c r="BA693" s="731"/>
      <c r="BB693" s="731"/>
      <c r="BC693" s="731"/>
      <c r="BD693" s="731"/>
      <c r="BE693" s="731"/>
      <c r="BF693" s="731"/>
      <c r="BG693" s="731"/>
      <c r="BH693" s="731"/>
      <c r="BI693" s="731"/>
      <c r="BJ693" s="731"/>
      <c r="BK693" s="731"/>
      <c r="BL693" s="731"/>
      <c r="BM693" s="731"/>
      <c r="BN693" s="731"/>
      <c r="BO693" s="731"/>
      <c r="BP693" s="731"/>
      <c r="BQ693" s="731"/>
      <c r="BR693" s="731"/>
      <c r="BS693" s="731"/>
      <c r="BT693" s="731"/>
      <c r="BU693" s="731"/>
      <c r="BV693" s="731"/>
      <c r="BW693" s="731"/>
      <c r="BX693" s="731"/>
      <c r="BY693" s="731"/>
      <c r="BZ693" s="731"/>
      <c r="CA693" s="731"/>
      <c r="CB693" s="732"/>
      <c r="CC693" s="732"/>
      <c r="CD693" s="732"/>
      <c r="CE693" s="732"/>
      <c r="CF693" s="732"/>
      <c r="CG693" s="732"/>
      <c r="CH693" s="732"/>
      <c r="CI693" s="732"/>
      <c r="CJ693" s="732"/>
      <c r="CK693" s="732"/>
      <c r="CL693" s="732">
        <f>+M693</f>
        <v>0</v>
      </c>
      <c r="CM693" s="732"/>
      <c r="CN693" s="732"/>
      <c r="CO693" s="732"/>
      <c r="CP693" s="732"/>
      <c r="CQ693" s="732"/>
      <c r="CR693" s="732"/>
      <c r="CS693" s="732"/>
      <c r="CT693" s="732"/>
      <c r="CU693" s="732"/>
      <c r="CV693" s="732"/>
      <c r="CW693" s="732"/>
      <c r="CX693" s="732"/>
      <c r="CY693" s="732"/>
      <c r="CZ693" s="732"/>
      <c r="DA693" s="732"/>
      <c r="DB693" s="732"/>
      <c r="DC693" s="732"/>
      <c r="DD693" s="732"/>
      <c r="DE693" s="732"/>
      <c r="DF693" s="732"/>
      <c r="DG693" s="732"/>
      <c r="DH693" s="732"/>
      <c r="DI693" s="732"/>
      <c r="DJ693" s="732"/>
      <c r="DK693" s="732"/>
      <c r="DL693" s="732"/>
      <c r="DM693" s="732"/>
      <c r="DN693" s="732"/>
      <c r="DO693" s="732"/>
      <c r="DP693" s="732"/>
    </row>
    <row r="694" spans="1:120" s="13" customFormat="1" hidden="1" outlineLevel="1">
      <c r="A694" s="1221">
        <v>1110052090</v>
      </c>
      <c r="B694" s="1216"/>
      <c r="C694" s="101" t="s">
        <v>64</v>
      </c>
      <c r="D694" s="1712"/>
      <c r="E694" s="1642"/>
      <c r="F694" s="1224"/>
      <c r="G694" s="1266"/>
      <c r="H694" s="1225"/>
      <c r="I694" s="1226"/>
      <c r="J694" s="1604">
        <v>1</v>
      </c>
      <c r="K694" s="1605">
        <v>1</v>
      </c>
      <c r="L694" s="1606"/>
      <c r="M694" s="1626">
        <f t="shared" ref="M694:M696" si="1928">+L694*J694</f>
        <v>0</v>
      </c>
      <c r="N694" s="1228"/>
      <c r="O694" s="1229">
        <f t="shared" ref="O694:O696" si="1929">+L694*N694</f>
        <v>0</v>
      </c>
      <c r="P694" s="1713"/>
      <c r="Q694" s="1230">
        <f t="shared" ref="Q694:Q696" si="1930">+P694*K694</f>
        <v>0</v>
      </c>
      <c r="R694" s="1231"/>
      <c r="S694" s="1231"/>
      <c r="T694" s="1232">
        <f t="shared" ref="T694:T696" si="1931">+P694*S694</f>
        <v>0</v>
      </c>
      <c r="U694" s="2012">
        <f t="shared" ref="U694:U696" si="1932">+L694+P694+F694</f>
        <v>0</v>
      </c>
      <c r="V694" s="1234">
        <f t="shared" ref="V694:V696" si="1933">+P694*R694+L694*N694+F694*H694</f>
        <v>0</v>
      </c>
      <c r="W694" s="1235">
        <f t="shared" ref="W694:W696" si="1934">IF((-P694*R694)-(-P694*S694)&gt;0,(-P694*R694)-(-P694*S694),0)</f>
        <v>0</v>
      </c>
      <c r="X694" s="1236">
        <f t="shared" ref="X694:X696" si="1935">IF((-P694*R694)-(-P694*S694)&lt;0,(-P694*R694)-(-P694*S694),0)</f>
        <v>0</v>
      </c>
      <c r="Y694" s="1162"/>
      <c r="Z694" s="1058"/>
      <c r="AA694" s="1163"/>
      <c r="AB694" s="1715">
        <f>+M694</f>
        <v>0</v>
      </c>
      <c r="AC694" s="1164"/>
      <c r="AD694" s="1164"/>
      <c r="AE694" s="1164"/>
      <c r="AF694" s="1164"/>
      <c r="AG694" s="1164"/>
      <c r="AH694" s="1164"/>
      <c r="AI694" s="1164"/>
      <c r="AJ694" s="1164"/>
      <c r="AK694" s="1164"/>
      <c r="AL694" s="1578"/>
      <c r="AM694" s="1164"/>
      <c r="AN694" s="1164"/>
      <c r="AO694" s="1164"/>
      <c r="AP694" s="1164"/>
      <c r="AQ694" s="1164"/>
      <c r="AR694" s="1164"/>
      <c r="AS694" s="1164"/>
      <c r="AT694" s="1164"/>
      <c r="AU694" s="1164"/>
      <c r="AV694" s="1164"/>
      <c r="AW694" s="1164"/>
      <c r="AX694" s="1164"/>
      <c r="AY694" s="1164"/>
      <c r="AZ694" s="1164"/>
      <c r="BA694" s="1164"/>
      <c r="BB694" s="1164"/>
      <c r="BC694" s="1164"/>
      <c r="BD694" s="1164"/>
      <c r="BE694" s="1164"/>
      <c r="BF694" s="1164"/>
      <c r="BG694" s="1164"/>
      <c r="BH694" s="1164"/>
      <c r="BI694" s="1164"/>
      <c r="BJ694" s="1164"/>
      <c r="BK694" s="1164"/>
      <c r="BL694" s="1164"/>
      <c r="BM694" s="1164"/>
      <c r="BN694" s="1164"/>
      <c r="BO694" s="1164"/>
      <c r="BP694" s="1164"/>
      <c r="BQ694" s="1164"/>
      <c r="BR694" s="1164"/>
      <c r="BS694" s="1164"/>
      <c r="BT694" s="1164"/>
      <c r="BU694" s="1164"/>
      <c r="BV694" s="1164"/>
      <c r="BW694" s="1164"/>
      <c r="BX694" s="1164"/>
      <c r="BY694" s="1164"/>
      <c r="BZ694" s="1164"/>
      <c r="CA694" s="1164"/>
      <c r="CB694" s="1165"/>
      <c r="CC694" s="1165"/>
      <c r="CD694" s="1165"/>
      <c r="CE694" s="1165"/>
      <c r="CF694" s="1165"/>
      <c r="CG694" s="1165"/>
      <c r="CH694" s="1165"/>
      <c r="CI694" s="1165"/>
      <c r="CJ694" s="1165"/>
      <c r="CK694" s="1165"/>
      <c r="CL694" s="1165"/>
      <c r="CM694" s="1165"/>
      <c r="CN694" s="1165"/>
      <c r="CO694" s="1165"/>
      <c r="CP694" s="1165"/>
      <c r="CQ694" s="1165"/>
      <c r="CR694" s="1165"/>
      <c r="CS694" s="1165"/>
      <c r="CT694" s="1165"/>
      <c r="CU694" s="1165"/>
      <c r="CV694" s="1165"/>
      <c r="CW694" s="1165"/>
      <c r="CX694" s="1165"/>
      <c r="CY694" s="1165"/>
      <c r="CZ694" s="1165"/>
      <c r="DA694" s="1165"/>
      <c r="DB694" s="1165"/>
      <c r="DC694" s="1165"/>
      <c r="DD694" s="1165"/>
      <c r="DE694" s="1165"/>
      <c r="DF694" s="1165"/>
      <c r="DG694" s="1165"/>
      <c r="DH694" s="1165"/>
      <c r="DI694" s="1165"/>
      <c r="DJ694" s="1165"/>
      <c r="DK694" s="1165"/>
      <c r="DL694" s="1165"/>
      <c r="DM694" s="1165"/>
      <c r="DN694" s="1165"/>
      <c r="DO694" s="1165"/>
      <c r="DP694" s="1165"/>
    </row>
    <row r="695" spans="1:120" s="13" customFormat="1" hidden="1" outlineLevel="1">
      <c r="A695" s="1221">
        <v>1110052090</v>
      </c>
      <c r="B695" s="1216"/>
      <c r="C695" s="101" t="s">
        <v>64</v>
      </c>
      <c r="D695" s="1712"/>
      <c r="E695" s="1642"/>
      <c r="F695" s="1224"/>
      <c r="G695" s="1266"/>
      <c r="H695" s="1225"/>
      <c r="I695" s="1226"/>
      <c r="J695" s="1604">
        <v>1</v>
      </c>
      <c r="K695" s="1605">
        <v>1</v>
      </c>
      <c r="L695" s="1606"/>
      <c r="M695" s="1626">
        <f t="shared" ref="M695" si="1936">+L695*J695</f>
        <v>0</v>
      </c>
      <c r="N695" s="1228"/>
      <c r="O695" s="1229">
        <f t="shared" ref="O695" si="1937">+L695*N695</f>
        <v>0</v>
      </c>
      <c r="P695" s="1713"/>
      <c r="Q695" s="1230">
        <f t="shared" ref="Q695" si="1938">+P695*K695</f>
        <v>0</v>
      </c>
      <c r="R695" s="1231"/>
      <c r="S695" s="1231"/>
      <c r="T695" s="1232">
        <f t="shared" ref="T695" si="1939">+P695*S695</f>
        <v>0</v>
      </c>
      <c r="U695" s="2012">
        <f t="shared" ref="U695" si="1940">+L695+P695+F695</f>
        <v>0</v>
      </c>
      <c r="V695" s="1234">
        <f t="shared" ref="V695" si="1941">+P695*R695+L695*N695+F695*H695</f>
        <v>0</v>
      </c>
      <c r="W695" s="1235">
        <f t="shared" ref="W695" si="1942">IF((-P695*R695)-(-P695*S695)&gt;0,(-P695*R695)-(-P695*S695),0)</f>
        <v>0</v>
      </c>
      <c r="X695" s="1236">
        <f t="shared" ref="X695" si="1943">IF((-P695*R695)-(-P695*S695)&lt;0,(-P695*R695)-(-P695*S695),0)</f>
        <v>0</v>
      </c>
      <c r="Y695" s="1162"/>
      <c r="Z695" s="1058"/>
      <c r="AA695" s="1163"/>
      <c r="AB695" s="1164"/>
      <c r="AC695" s="1164"/>
      <c r="AD695" s="1164"/>
      <c r="AE695" s="1164"/>
      <c r="AF695" s="1164"/>
      <c r="AG695" s="1164"/>
      <c r="AH695" s="1164"/>
      <c r="AI695" s="1164"/>
      <c r="AJ695" s="1164"/>
      <c r="AK695" s="1164"/>
      <c r="AL695" s="1716">
        <f>+M695</f>
        <v>0</v>
      </c>
      <c r="AM695" s="1164"/>
      <c r="AN695" s="1164"/>
      <c r="AO695" s="1164"/>
      <c r="AP695" s="1164"/>
      <c r="AQ695" s="1164"/>
      <c r="AR695" s="1164"/>
      <c r="AS695" s="1164"/>
      <c r="AT695" s="1164"/>
      <c r="AU695" s="1164"/>
      <c r="AV695" s="1164"/>
      <c r="AW695" s="1164"/>
      <c r="AX695" s="1164"/>
      <c r="AY695" s="1164"/>
      <c r="AZ695" s="1164"/>
      <c r="BA695" s="1164"/>
      <c r="BB695" s="1164"/>
      <c r="BC695" s="1164"/>
      <c r="BD695" s="1164"/>
      <c r="BE695" s="1164"/>
      <c r="BF695" s="1164"/>
      <c r="BG695" s="1164"/>
      <c r="BH695" s="1164"/>
      <c r="BI695" s="1164"/>
      <c r="BJ695" s="1164"/>
      <c r="BK695" s="1164"/>
      <c r="BL695" s="1164"/>
      <c r="BM695" s="1164"/>
      <c r="BN695" s="1164"/>
      <c r="BO695" s="1164"/>
      <c r="BP695" s="1164"/>
      <c r="BQ695" s="1164"/>
      <c r="BR695" s="1164"/>
      <c r="BS695" s="1164"/>
      <c r="BT695" s="1164"/>
      <c r="BU695" s="1164"/>
      <c r="BV695" s="1164"/>
      <c r="BW695" s="1164"/>
      <c r="BX695" s="1164"/>
      <c r="BY695" s="1164"/>
      <c r="BZ695" s="1164"/>
      <c r="CA695" s="1164"/>
      <c r="CB695" s="1165"/>
      <c r="CC695" s="1165"/>
      <c r="CD695" s="1165"/>
      <c r="CE695" s="1165"/>
      <c r="CF695" s="1165"/>
      <c r="CG695" s="1165"/>
      <c r="CH695" s="1165"/>
      <c r="CI695" s="1165"/>
      <c r="CJ695" s="1165"/>
      <c r="CK695" s="1165"/>
      <c r="CL695" s="1165"/>
      <c r="CM695" s="1165"/>
      <c r="CN695" s="1165"/>
      <c r="CO695" s="1165"/>
      <c r="CP695" s="1165"/>
      <c r="CQ695" s="1165"/>
      <c r="CR695" s="1165"/>
      <c r="CS695" s="1165"/>
      <c r="CT695" s="1165"/>
      <c r="CU695" s="1165"/>
      <c r="CV695" s="1165"/>
      <c r="CW695" s="1165"/>
      <c r="CX695" s="1165"/>
      <c r="CY695" s="1165"/>
      <c r="CZ695" s="1165"/>
      <c r="DA695" s="1165"/>
      <c r="DB695" s="1165"/>
      <c r="DC695" s="1165"/>
      <c r="DD695" s="1165"/>
      <c r="DE695" s="1165"/>
      <c r="DF695" s="1165"/>
      <c r="DG695" s="1165"/>
      <c r="DH695" s="1165"/>
      <c r="DI695" s="1165"/>
      <c r="DJ695" s="1165"/>
      <c r="DK695" s="1165"/>
      <c r="DL695" s="1165"/>
      <c r="DM695" s="1165"/>
      <c r="DN695" s="1165"/>
      <c r="DO695" s="1165"/>
      <c r="DP695" s="1165"/>
    </row>
    <row r="696" spans="1:120" hidden="1" outlineLevel="1">
      <c r="A696" s="55">
        <v>1110052090</v>
      </c>
      <c r="B696" s="90"/>
      <c r="C696" s="91" t="s">
        <v>64</v>
      </c>
      <c r="D696" s="1557"/>
      <c r="E696" s="1558"/>
      <c r="F696" s="416"/>
      <c r="G696" s="1251"/>
      <c r="H696" s="511"/>
      <c r="I696" s="512"/>
      <c r="J696" s="1425">
        <v>1</v>
      </c>
      <c r="K696" s="1426">
        <v>1</v>
      </c>
      <c r="L696" s="417"/>
      <c r="M696" s="1540">
        <f t="shared" si="1928"/>
        <v>0</v>
      </c>
      <c r="N696" s="504"/>
      <c r="O696" s="513">
        <f t="shared" si="1929"/>
        <v>0</v>
      </c>
      <c r="P696" s="431"/>
      <c r="Q696" s="514">
        <f t="shared" si="1930"/>
        <v>0</v>
      </c>
      <c r="R696" s="515"/>
      <c r="S696" s="515"/>
      <c r="T696" s="562">
        <f t="shared" si="1931"/>
        <v>0</v>
      </c>
      <c r="U696" s="439">
        <f t="shared" si="1932"/>
        <v>0</v>
      </c>
      <c r="V696" s="517">
        <f t="shared" si="1933"/>
        <v>0</v>
      </c>
      <c r="W696" s="976">
        <f t="shared" si="1934"/>
        <v>0</v>
      </c>
      <c r="X696" s="975">
        <f t="shared" si="1935"/>
        <v>0</v>
      </c>
      <c r="Y696" s="519"/>
      <c r="AA696" s="199"/>
      <c r="AB696" s="561"/>
      <c r="AC696" s="561"/>
      <c r="AD696" s="561"/>
      <c r="AE696" s="561"/>
      <c r="AF696" s="561"/>
      <c r="AG696" s="561"/>
      <c r="AH696" s="561"/>
      <c r="AI696" s="561"/>
      <c r="AJ696" s="561"/>
      <c r="AK696" s="561"/>
      <c r="AL696" s="1542"/>
      <c r="AM696" s="561"/>
      <c r="AN696" s="561"/>
      <c r="AO696" s="561"/>
      <c r="AP696" s="561"/>
      <c r="AQ696" s="561"/>
      <c r="AR696" s="561"/>
      <c r="AS696" s="561"/>
      <c r="AT696" s="561"/>
      <c r="AU696" s="561"/>
      <c r="AV696" s="561"/>
      <c r="AW696" s="561"/>
      <c r="AX696" s="561"/>
      <c r="AY696" s="561"/>
      <c r="AZ696" s="561"/>
      <c r="BA696" s="561"/>
      <c r="BB696" s="561"/>
      <c r="BC696" s="561"/>
      <c r="BD696" s="561"/>
      <c r="BE696" s="561"/>
      <c r="BF696" s="561"/>
      <c r="BG696" s="561"/>
      <c r="BH696" s="561"/>
      <c r="BI696" s="561"/>
      <c r="BJ696" s="561"/>
      <c r="BK696" s="561"/>
      <c r="BL696" s="561"/>
      <c r="BM696" s="561"/>
      <c r="BN696" s="561"/>
      <c r="BO696" s="561"/>
      <c r="BP696" s="561"/>
      <c r="BQ696" s="561"/>
      <c r="BR696" s="561"/>
      <c r="BS696" s="561"/>
      <c r="BT696" s="561"/>
      <c r="BU696" s="561"/>
      <c r="BV696" s="561"/>
      <c r="BW696" s="561"/>
      <c r="BX696" s="561"/>
      <c r="BY696" s="561"/>
      <c r="BZ696" s="561"/>
      <c r="CA696" s="561"/>
      <c r="CB696" s="737"/>
      <c r="CC696" s="737"/>
      <c r="CD696" s="737"/>
      <c r="CE696" s="737"/>
      <c r="CF696" s="737"/>
      <c r="CG696" s="737"/>
      <c r="CH696" s="737"/>
      <c r="CI696" s="737"/>
      <c r="CJ696" s="737"/>
      <c r="CK696" s="737"/>
      <c r="CL696" s="737"/>
      <c r="CM696" s="737">
        <f>+M696</f>
        <v>0</v>
      </c>
      <c r="CN696" s="737"/>
      <c r="CO696" s="737"/>
      <c r="CP696" s="737"/>
      <c r="CQ696" s="737"/>
      <c r="CR696" s="737"/>
      <c r="CS696" s="737"/>
      <c r="CT696" s="737"/>
      <c r="CU696" s="737"/>
      <c r="CV696" s="737"/>
      <c r="CW696" s="737"/>
      <c r="CX696" s="737"/>
      <c r="CY696" s="737"/>
      <c r="CZ696" s="737"/>
      <c r="DA696" s="737"/>
      <c r="DB696" s="737"/>
      <c r="DC696" s="737"/>
      <c r="DD696" s="737"/>
      <c r="DE696" s="737"/>
      <c r="DF696" s="737"/>
      <c r="DG696" s="737"/>
      <c r="DH696" s="737"/>
      <c r="DI696" s="737"/>
      <c r="DJ696" s="737"/>
      <c r="DK696" s="737"/>
      <c r="DL696" s="737"/>
      <c r="DM696" s="737"/>
      <c r="DN696" s="737"/>
      <c r="DO696" s="737"/>
      <c r="DP696" s="737"/>
    </row>
    <row r="697" spans="1:120" hidden="1" outlineLevel="1">
      <c r="A697" s="55">
        <v>1110052090</v>
      </c>
      <c r="B697" s="90"/>
      <c r="C697" s="91" t="s">
        <v>64</v>
      </c>
      <c r="D697" s="1557"/>
      <c r="E697" s="1558"/>
      <c r="F697" s="416"/>
      <c r="G697" s="1251"/>
      <c r="H697" s="511"/>
      <c r="I697" s="512"/>
      <c r="J697" s="1425">
        <v>1</v>
      </c>
      <c r="K697" s="1426">
        <v>1</v>
      </c>
      <c r="L697" s="417"/>
      <c r="M697" s="1540">
        <f t="shared" si="1927"/>
        <v>0</v>
      </c>
      <c r="N697" s="504"/>
      <c r="O697" s="513">
        <f t="shared" ref="O697" si="1944">+L697*N697</f>
        <v>0</v>
      </c>
      <c r="P697" s="431"/>
      <c r="Q697" s="514">
        <f t="shared" ref="Q697" si="1945">+P697*K697</f>
        <v>0</v>
      </c>
      <c r="R697" s="515"/>
      <c r="S697" s="515"/>
      <c r="T697" s="562">
        <f t="shared" ref="T697" si="1946">+P697*S697</f>
        <v>0</v>
      </c>
      <c r="U697" s="439">
        <f t="shared" ref="U697" si="1947">+L697+P697+F697</f>
        <v>0</v>
      </c>
      <c r="V697" s="517">
        <f t="shared" ref="V697" si="1948">+P697*R697+L697*N697+F697*H697</f>
        <v>0</v>
      </c>
      <c r="W697" s="976">
        <f t="shared" ref="W697" si="1949">IF((-P697*R697)-(-P697*S697)&gt;0,(-P697*R697)-(-P697*S697),0)</f>
        <v>0</v>
      </c>
      <c r="X697" s="975">
        <f t="shared" ref="X697" si="1950">IF((-P697*R697)-(-P697*S697)&lt;0,(-P697*R697)-(-P697*S697),0)</f>
        <v>0</v>
      </c>
      <c r="Y697" s="519"/>
      <c r="AA697" s="199"/>
      <c r="AB697" s="561"/>
      <c r="AC697" s="561"/>
      <c r="AD697" s="561"/>
      <c r="AE697" s="561"/>
      <c r="AF697" s="561"/>
      <c r="AG697" s="561"/>
      <c r="AH697" s="561"/>
      <c r="AI697" s="561"/>
      <c r="AJ697" s="561"/>
      <c r="AK697" s="561"/>
      <c r="AL697" s="1542"/>
      <c r="AM697" s="561"/>
      <c r="AN697" s="561"/>
      <c r="AO697" s="561"/>
      <c r="AP697" s="561"/>
      <c r="AQ697" s="561"/>
      <c r="AR697" s="561"/>
      <c r="AS697" s="561"/>
      <c r="AT697" s="561"/>
      <c r="AU697" s="561"/>
      <c r="AV697" s="561"/>
      <c r="AW697" s="561"/>
      <c r="AX697" s="561"/>
      <c r="AY697" s="561"/>
      <c r="AZ697" s="561"/>
      <c r="BA697" s="561"/>
      <c r="BB697" s="561"/>
      <c r="BC697" s="561"/>
      <c r="BD697" s="561"/>
      <c r="BE697" s="561"/>
      <c r="BF697" s="561"/>
      <c r="BG697" s="561"/>
      <c r="BH697" s="561"/>
      <c r="BI697" s="561"/>
      <c r="BJ697" s="561"/>
      <c r="BK697" s="561"/>
      <c r="BL697" s="561"/>
      <c r="BM697" s="561"/>
      <c r="BN697" s="561"/>
      <c r="BO697" s="561"/>
      <c r="BP697" s="561"/>
      <c r="BQ697" s="561"/>
      <c r="BR697" s="561"/>
      <c r="BS697" s="561"/>
      <c r="BT697" s="561"/>
      <c r="BU697" s="561"/>
      <c r="BV697" s="561"/>
      <c r="BW697" s="561"/>
      <c r="BX697" s="561"/>
      <c r="BY697" s="561"/>
      <c r="BZ697" s="561"/>
      <c r="CA697" s="561"/>
      <c r="CB697" s="737"/>
      <c r="CC697" s="737"/>
      <c r="CD697" s="737"/>
      <c r="CE697" s="737"/>
      <c r="CF697" s="737"/>
      <c r="CG697" s="737"/>
      <c r="CH697" s="737"/>
      <c r="CI697" s="737"/>
      <c r="CJ697" s="737"/>
      <c r="CK697" s="737"/>
      <c r="CL697" s="737"/>
      <c r="CM697" s="737">
        <f>+M697</f>
        <v>0</v>
      </c>
      <c r="CN697" s="737"/>
      <c r="CO697" s="737"/>
      <c r="CP697" s="737"/>
      <c r="CQ697" s="737"/>
      <c r="CR697" s="737"/>
      <c r="CS697" s="737"/>
      <c r="CT697" s="737"/>
      <c r="CU697" s="737"/>
      <c r="CV697" s="737"/>
      <c r="CW697" s="737"/>
      <c r="CX697" s="737"/>
      <c r="CY697" s="737"/>
      <c r="CZ697" s="737"/>
      <c r="DA697" s="737"/>
      <c r="DB697" s="737"/>
      <c r="DC697" s="737"/>
      <c r="DD697" s="737"/>
      <c r="DE697" s="737"/>
      <c r="DF697" s="737"/>
      <c r="DG697" s="737"/>
      <c r="DH697" s="737"/>
      <c r="DI697" s="737"/>
      <c r="DJ697" s="737"/>
      <c r="DK697" s="737"/>
      <c r="DL697" s="737"/>
      <c r="DM697" s="737"/>
      <c r="DN697" s="737"/>
      <c r="DO697" s="737"/>
      <c r="DP697" s="737"/>
    </row>
    <row r="698" spans="1:120" hidden="1" outlineLevel="1">
      <c r="A698" s="55">
        <v>1110052090</v>
      </c>
      <c r="B698" s="90"/>
      <c r="C698" s="91" t="s">
        <v>64</v>
      </c>
      <c r="D698" s="1557"/>
      <c r="E698" s="1558"/>
      <c r="F698" s="416"/>
      <c r="G698" s="1251"/>
      <c r="H698" s="511"/>
      <c r="I698" s="512"/>
      <c r="J698" s="1425">
        <v>1</v>
      </c>
      <c r="K698" s="1426">
        <v>1</v>
      </c>
      <c r="L698" s="417"/>
      <c r="M698" s="1540">
        <f t="shared" ref="M698:M701" si="1951">+L698*J698</f>
        <v>0</v>
      </c>
      <c r="N698" s="504"/>
      <c r="O698" s="513">
        <f t="shared" ref="O698:O701" si="1952">+L698*N698</f>
        <v>0</v>
      </c>
      <c r="P698" s="431"/>
      <c r="Q698" s="514">
        <f t="shared" ref="Q698:Q701" si="1953">+P698*K698</f>
        <v>0</v>
      </c>
      <c r="R698" s="515"/>
      <c r="S698" s="515"/>
      <c r="T698" s="562">
        <f t="shared" ref="T698:T701" si="1954">+P698*S698</f>
        <v>0</v>
      </c>
      <c r="U698" s="439">
        <f t="shared" ref="U698:U701" si="1955">+L698+P698+F698</f>
        <v>0</v>
      </c>
      <c r="V698" s="517">
        <f t="shared" ref="V698:V701" si="1956">+P698*R698+L698*N698+F698*H698</f>
        <v>0</v>
      </c>
      <c r="W698" s="976">
        <f t="shared" ref="W698:W701" si="1957">IF((-P698*R698)-(-P698*S698)&gt;0,(-P698*R698)-(-P698*S698),0)</f>
        <v>0</v>
      </c>
      <c r="X698" s="975">
        <f t="shared" ref="X698:X701" si="1958">IF((-P698*R698)-(-P698*S698)&lt;0,(-P698*R698)-(-P698*S698),0)</f>
        <v>0</v>
      </c>
      <c r="Y698" s="519"/>
      <c r="AA698" s="199"/>
      <c r="AB698" s="561"/>
      <c r="AC698" s="561"/>
      <c r="AD698" s="561"/>
      <c r="AE698" s="561"/>
      <c r="AF698" s="561"/>
      <c r="AG698" s="561"/>
      <c r="AH698" s="561"/>
      <c r="AI698" s="561"/>
      <c r="AJ698" s="561"/>
      <c r="AK698" s="561"/>
      <c r="AL698" s="1542"/>
      <c r="AM698" s="561"/>
      <c r="AN698" s="561"/>
      <c r="AO698" s="561"/>
      <c r="AP698" s="561"/>
      <c r="AQ698" s="561"/>
      <c r="AR698" s="561"/>
      <c r="AS698" s="561"/>
      <c r="AT698" s="561"/>
      <c r="AU698" s="561"/>
      <c r="AV698" s="561"/>
      <c r="AW698" s="561"/>
      <c r="AX698" s="561"/>
      <c r="AY698" s="561"/>
      <c r="AZ698" s="561"/>
      <c r="BA698" s="561"/>
      <c r="BB698" s="561"/>
      <c r="BC698" s="561"/>
      <c r="BD698" s="561"/>
      <c r="BE698" s="561"/>
      <c r="BF698" s="561"/>
      <c r="BG698" s="561"/>
      <c r="BH698" s="561"/>
      <c r="BI698" s="561"/>
      <c r="BJ698" s="561"/>
      <c r="BK698" s="561"/>
      <c r="BL698" s="561"/>
      <c r="BM698" s="561"/>
      <c r="BN698" s="561"/>
      <c r="BO698" s="561"/>
      <c r="BP698" s="561"/>
      <c r="BQ698" s="561"/>
      <c r="BR698" s="561"/>
      <c r="BS698" s="561"/>
      <c r="BT698" s="561"/>
      <c r="BU698" s="561"/>
      <c r="BV698" s="561"/>
      <c r="BW698" s="561"/>
      <c r="BX698" s="561"/>
      <c r="BY698" s="561"/>
      <c r="BZ698" s="561"/>
      <c r="CA698" s="561"/>
      <c r="CB698" s="737"/>
      <c r="CC698" s="737"/>
      <c r="CD698" s="737"/>
      <c r="CE698" s="737"/>
      <c r="CF698" s="737"/>
      <c r="CG698" s="737"/>
      <c r="CH698" s="737"/>
      <c r="CI698" s="737"/>
      <c r="CJ698" s="737"/>
      <c r="CK698" s="737"/>
      <c r="CL698" s="737"/>
      <c r="CM698" s="737">
        <f>+M698</f>
        <v>0</v>
      </c>
      <c r="CN698" s="737"/>
      <c r="CO698" s="737"/>
      <c r="CP698" s="737"/>
      <c r="CQ698" s="737"/>
      <c r="CR698" s="737"/>
      <c r="CS698" s="737"/>
      <c r="CT698" s="737"/>
      <c r="CU698" s="737"/>
      <c r="CV698" s="737"/>
      <c r="CW698" s="737"/>
      <c r="CX698" s="737"/>
      <c r="CY698" s="737"/>
      <c r="CZ698" s="737"/>
      <c r="DA698" s="737"/>
      <c r="DB698" s="737"/>
      <c r="DC698" s="737"/>
      <c r="DD698" s="737"/>
      <c r="DE698" s="737"/>
      <c r="DF698" s="737"/>
      <c r="DG698" s="737"/>
      <c r="DH698" s="737"/>
      <c r="DI698" s="737"/>
      <c r="DJ698" s="737"/>
      <c r="DK698" s="737"/>
      <c r="DL698" s="737"/>
      <c r="DM698" s="737"/>
      <c r="DN698" s="737"/>
      <c r="DO698" s="737"/>
      <c r="DP698" s="737"/>
    </row>
    <row r="699" spans="1:120" hidden="1" outlineLevel="1">
      <c r="A699" s="55">
        <v>1110052090</v>
      </c>
      <c r="B699" s="90"/>
      <c r="C699" s="91" t="s">
        <v>64</v>
      </c>
      <c r="D699" s="1557"/>
      <c r="E699" s="1558"/>
      <c r="F699" s="416"/>
      <c r="G699" s="1251"/>
      <c r="H699" s="511"/>
      <c r="I699" s="512"/>
      <c r="J699" s="1425">
        <v>1</v>
      </c>
      <c r="K699" s="1426">
        <v>1</v>
      </c>
      <c r="L699" s="417"/>
      <c r="M699" s="1540">
        <f t="shared" si="1951"/>
        <v>0</v>
      </c>
      <c r="N699" s="504"/>
      <c r="O699" s="513">
        <f t="shared" si="1952"/>
        <v>0</v>
      </c>
      <c r="P699" s="431"/>
      <c r="Q699" s="514">
        <f t="shared" si="1953"/>
        <v>0</v>
      </c>
      <c r="R699" s="515"/>
      <c r="S699" s="515"/>
      <c r="T699" s="562">
        <f t="shared" si="1954"/>
        <v>0</v>
      </c>
      <c r="U699" s="439">
        <f t="shared" si="1955"/>
        <v>0</v>
      </c>
      <c r="V699" s="517">
        <f t="shared" si="1956"/>
        <v>0</v>
      </c>
      <c r="W699" s="976">
        <f t="shared" si="1957"/>
        <v>0</v>
      </c>
      <c r="X699" s="975">
        <f t="shared" si="1958"/>
        <v>0</v>
      </c>
      <c r="Y699" s="519"/>
      <c r="AA699" s="199"/>
      <c r="AB699" s="561"/>
      <c r="AC699" s="561"/>
      <c r="AD699" s="561"/>
      <c r="AE699" s="561"/>
      <c r="AF699" s="561"/>
      <c r="AG699" s="561"/>
      <c r="AH699" s="561"/>
      <c r="AI699" s="561"/>
      <c r="AJ699" s="561"/>
      <c r="AK699" s="561"/>
      <c r="AL699" s="1542"/>
      <c r="AM699" s="561"/>
      <c r="AN699" s="561"/>
      <c r="AO699" s="561"/>
      <c r="AP699" s="561"/>
      <c r="AQ699" s="561"/>
      <c r="AR699" s="561"/>
      <c r="AS699" s="561"/>
      <c r="AT699" s="561"/>
      <c r="AU699" s="561"/>
      <c r="AV699" s="561"/>
      <c r="AW699" s="561"/>
      <c r="AX699" s="561"/>
      <c r="AY699" s="561"/>
      <c r="AZ699" s="561"/>
      <c r="BA699" s="561"/>
      <c r="BB699" s="561"/>
      <c r="BC699" s="561"/>
      <c r="BD699" s="561"/>
      <c r="BE699" s="561"/>
      <c r="BF699" s="561"/>
      <c r="BG699" s="561"/>
      <c r="BH699" s="561"/>
      <c r="BI699" s="561"/>
      <c r="BJ699" s="561"/>
      <c r="BK699" s="561"/>
      <c r="BL699" s="561"/>
      <c r="BM699" s="561"/>
      <c r="BN699" s="561"/>
      <c r="BO699" s="561"/>
      <c r="BP699" s="561"/>
      <c r="BQ699" s="561"/>
      <c r="BR699" s="561"/>
      <c r="BS699" s="561"/>
      <c r="BT699" s="561"/>
      <c r="BU699" s="561"/>
      <c r="BV699" s="561"/>
      <c r="BW699" s="561"/>
      <c r="BX699" s="561"/>
      <c r="BY699" s="561"/>
      <c r="BZ699" s="561"/>
      <c r="CA699" s="561"/>
      <c r="CB699" s="737"/>
      <c r="CC699" s="737"/>
      <c r="CD699" s="737"/>
      <c r="CE699" s="737"/>
      <c r="CF699" s="737"/>
      <c r="CG699" s="737"/>
      <c r="CH699" s="737"/>
      <c r="CI699" s="737"/>
      <c r="CJ699" s="737"/>
      <c r="CK699" s="737"/>
      <c r="CL699" s="737"/>
      <c r="CM699" s="737">
        <f>+M699</f>
        <v>0</v>
      </c>
      <c r="CN699" s="737"/>
      <c r="CO699" s="737"/>
      <c r="CP699" s="737"/>
      <c r="CQ699" s="737"/>
      <c r="CR699" s="737"/>
      <c r="CS699" s="737"/>
      <c r="CT699" s="737"/>
      <c r="CU699" s="737"/>
      <c r="CV699" s="737"/>
      <c r="CW699" s="737"/>
      <c r="CX699" s="737"/>
      <c r="CY699" s="737"/>
      <c r="CZ699" s="737"/>
      <c r="DA699" s="737"/>
      <c r="DB699" s="737"/>
      <c r="DC699" s="737"/>
      <c r="DD699" s="737"/>
      <c r="DE699" s="737"/>
      <c r="DF699" s="737"/>
      <c r="DG699" s="737"/>
      <c r="DH699" s="737"/>
      <c r="DI699" s="737"/>
      <c r="DJ699" s="737"/>
      <c r="DK699" s="737"/>
      <c r="DL699" s="737"/>
      <c r="DM699" s="737"/>
      <c r="DN699" s="737"/>
      <c r="DO699" s="737"/>
      <c r="DP699" s="737"/>
    </row>
    <row r="700" spans="1:120" hidden="1" outlineLevel="1">
      <c r="A700" s="55">
        <v>1110052090</v>
      </c>
      <c r="B700" s="90"/>
      <c r="C700" s="91" t="s">
        <v>64</v>
      </c>
      <c r="D700" s="1557"/>
      <c r="E700" s="1558"/>
      <c r="F700" s="416"/>
      <c r="G700" s="1251"/>
      <c r="H700" s="511"/>
      <c r="I700" s="512"/>
      <c r="J700" s="1425">
        <v>1</v>
      </c>
      <c r="K700" s="1426">
        <v>1</v>
      </c>
      <c r="L700" s="417"/>
      <c r="M700" s="1540">
        <f t="shared" si="1951"/>
        <v>0</v>
      </c>
      <c r="N700" s="504"/>
      <c r="O700" s="513">
        <f t="shared" si="1952"/>
        <v>0</v>
      </c>
      <c r="P700" s="431"/>
      <c r="Q700" s="514">
        <f t="shared" si="1953"/>
        <v>0</v>
      </c>
      <c r="R700" s="515"/>
      <c r="S700" s="515"/>
      <c r="T700" s="562">
        <f t="shared" si="1954"/>
        <v>0</v>
      </c>
      <c r="U700" s="439">
        <f t="shared" si="1955"/>
        <v>0</v>
      </c>
      <c r="V700" s="517">
        <f t="shared" si="1956"/>
        <v>0</v>
      </c>
      <c r="W700" s="976">
        <f t="shared" si="1957"/>
        <v>0</v>
      </c>
      <c r="X700" s="975">
        <f t="shared" si="1958"/>
        <v>0</v>
      </c>
      <c r="Y700" s="519"/>
      <c r="AA700" s="199"/>
      <c r="AB700" s="561"/>
      <c r="AC700" s="561"/>
      <c r="AD700" s="561"/>
      <c r="AE700" s="561"/>
      <c r="AF700" s="561"/>
      <c r="AG700" s="561"/>
      <c r="AH700" s="561"/>
      <c r="AI700" s="561"/>
      <c r="AJ700" s="561"/>
      <c r="AK700" s="561"/>
      <c r="AL700" s="1542"/>
      <c r="AM700" s="561"/>
      <c r="AN700" s="561"/>
      <c r="AO700" s="561"/>
      <c r="AP700" s="561"/>
      <c r="AQ700" s="561"/>
      <c r="AR700" s="561"/>
      <c r="AS700" s="561"/>
      <c r="AT700" s="561"/>
      <c r="AU700" s="561"/>
      <c r="AV700" s="561"/>
      <c r="AW700" s="561"/>
      <c r="AX700" s="561"/>
      <c r="AY700" s="561"/>
      <c r="AZ700" s="561"/>
      <c r="BA700" s="561"/>
      <c r="BB700" s="561"/>
      <c r="BC700" s="561"/>
      <c r="BD700" s="561"/>
      <c r="BE700" s="561"/>
      <c r="BF700" s="561"/>
      <c r="BG700" s="561"/>
      <c r="BH700" s="561"/>
      <c r="BI700" s="561"/>
      <c r="BJ700" s="561"/>
      <c r="BK700" s="561"/>
      <c r="BL700" s="561"/>
      <c r="BM700" s="561"/>
      <c r="BN700" s="561"/>
      <c r="BO700" s="561"/>
      <c r="BP700" s="561"/>
      <c r="BQ700" s="561"/>
      <c r="BR700" s="561"/>
      <c r="BS700" s="561"/>
      <c r="BT700" s="561"/>
      <c r="BU700" s="561"/>
      <c r="BV700" s="561"/>
      <c r="BW700" s="561"/>
      <c r="BX700" s="561"/>
      <c r="BY700" s="561"/>
      <c r="BZ700" s="561"/>
      <c r="CA700" s="561"/>
      <c r="CB700" s="737"/>
      <c r="CC700" s="737"/>
      <c r="CD700" s="737"/>
      <c r="CE700" s="737"/>
      <c r="CF700" s="737"/>
      <c r="CG700" s="737"/>
      <c r="CH700" s="737"/>
      <c r="CI700" s="737"/>
      <c r="CJ700" s="737"/>
      <c r="CK700" s="737"/>
      <c r="CL700" s="737"/>
      <c r="CM700" s="737">
        <f>+M700</f>
        <v>0</v>
      </c>
      <c r="CN700" s="737"/>
      <c r="CO700" s="737"/>
      <c r="CP700" s="737"/>
      <c r="CQ700" s="737"/>
      <c r="CR700" s="737"/>
      <c r="CS700" s="737"/>
      <c r="CT700" s="737"/>
      <c r="CU700" s="737"/>
      <c r="CV700" s="737"/>
      <c r="CW700" s="737"/>
      <c r="CX700" s="737"/>
      <c r="CY700" s="737"/>
      <c r="CZ700" s="737"/>
      <c r="DA700" s="737"/>
      <c r="DB700" s="737"/>
      <c r="DC700" s="737"/>
      <c r="DD700" s="737"/>
      <c r="DE700" s="737"/>
      <c r="DF700" s="737"/>
      <c r="DG700" s="737"/>
      <c r="DH700" s="737"/>
      <c r="DI700" s="737"/>
      <c r="DJ700" s="737"/>
      <c r="DK700" s="737"/>
      <c r="DL700" s="737"/>
      <c r="DM700" s="737"/>
      <c r="DN700" s="737"/>
      <c r="DO700" s="737"/>
      <c r="DP700" s="737"/>
    </row>
    <row r="701" spans="1:120" hidden="1" outlineLevel="1">
      <c r="A701" s="55">
        <v>1110052090</v>
      </c>
      <c r="B701" s="90"/>
      <c r="C701" s="91" t="s">
        <v>64</v>
      </c>
      <c r="D701" s="1557"/>
      <c r="E701" s="1558"/>
      <c r="F701" s="416"/>
      <c r="G701" s="1251"/>
      <c r="H701" s="511"/>
      <c r="I701" s="512"/>
      <c r="J701" s="1425">
        <v>1</v>
      </c>
      <c r="K701" s="1426">
        <v>1</v>
      </c>
      <c r="L701" s="417"/>
      <c r="M701" s="1540">
        <f t="shared" si="1951"/>
        <v>0</v>
      </c>
      <c r="N701" s="504"/>
      <c r="O701" s="513">
        <f t="shared" si="1952"/>
        <v>0</v>
      </c>
      <c r="P701" s="431"/>
      <c r="Q701" s="514">
        <f t="shared" si="1953"/>
        <v>0</v>
      </c>
      <c r="R701" s="515"/>
      <c r="S701" s="515"/>
      <c r="T701" s="562">
        <f t="shared" si="1954"/>
        <v>0</v>
      </c>
      <c r="U701" s="439">
        <f t="shared" si="1955"/>
        <v>0</v>
      </c>
      <c r="V701" s="517">
        <f t="shared" si="1956"/>
        <v>0</v>
      </c>
      <c r="W701" s="976">
        <f t="shared" si="1957"/>
        <v>0</v>
      </c>
      <c r="X701" s="975">
        <f t="shared" si="1958"/>
        <v>0</v>
      </c>
      <c r="Y701" s="519">
        <v>3775.53</v>
      </c>
      <c r="AA701" s="199"/>
      <c r="AB701" s="561" t="s">
        <v>294</v>
      </c>
      <c r="AC701" s="561"/>
      <c r="AD701" s="561"/>
      <c r="AE701" s="561"/>
      <c r="AF701" s="561"/>
      <c r="AG701" s="561"/>
      <c r="AH701" s="561"/>
      <c r="AI701" s="561"/>
      <c r="AJ701" s="561"/>
      <c r="AK701" s="561"/>
      <c r="AL701" s="1542"/>
      <c r="AM701" s="561"/>
      <c r="AN701" s="561"/>
      <c r="AO701" s="561"/>
      <c r="AP701" s="561"/>
      <c r="AQ701" s="561"/>
      <c r="AR701" s="561"/>
      <c r="AS701" s="561"/>
      <c r="AT701" s="561"/>
      <c r="AU701" s="561"/>
      <c r="AV701" s="561"/>
      <c r="AW701" s="561"/>
      <c r="AX701" s="561"/>
      <c r="AY701" s="561"/>
      <c r="AZ701" s="561"/>
      <c r="BA701" s="561"/>
      <c r="BB701" s="561"/>
      <c r="BC701" s="561"/>
      <c r="BD701" s="561"/>
      <c r="BE701" s="561"/>
      <c r="BF701" s="561"/>
      <c r="BG701" s="561"/>
      <c r="BH701" s="561"/>
      <c r="BI701" s="561"/>
      <c r="BJ701" s="561"/>
      <c r="BK701" s="561"/>
      <c r="BL701" s="561"/>
      <c r="BM701" s="561"/>
      <c r="BN701" s="561"/>
      <c r="BO701" s="561"/>
      <c r="BP701" s="561"/>
      <c r="BQ701" s="561"/>
      <c r="BR701" s="561"/>
      <c r="BS701" s="561"/>
      <c r="BT701" s="561"/>
      <c r="BU701" s="561"/>
      <c r="BV701" s="561"/>
      <c r="BW701" s="561"/>
      <c r="BX701" s="561"/>
      <c r="BY701" s="561"/>
      <c r="BZ701" s="561"/>
      <c r="CA701" s="561"/>
      <c r="CB701" s="737"/>
      <c r="CC701" s="737"/>
      <c r="CD701" s="737"/>
      <c r="CE701" s="737"/>
      <c r="CF701" s="737"/>
      <c r="CG701" s="737"/>
      <c r="CH701" s="737"/>
      <c r="CI701" s="737"/>
      <c r="CJ701" s="737"/>
      <c r="CK701" s="737"/>
      <c r="CL701" s="737"/>
      <c r="CM701" s="737"/>
      <c r="CN701" s="737"/>
      <c r="CO701" s="737"/>
      <c r="CP701" s="737"/>
      <c r="CQ701" s="737"/>
      <c r="CR701" s="737"/>
      <c r="CS701" s="737"/>
      <c r="CT701" s="737"/>
      <c r="CU701" s="737"/>
      <c r="CV701" s="737"/>
      <c r="CW701" s="737"/>
      <c r="CX701" s="737"/>
      <c r="CY701" s="737"/>
      <c r="CZ701" s="737"/>
      <c r="DA701" s="737"/>
      <c r="DB701" s="737"/>
      <c r="DC701" s="737"/>
      <c r="DD701" s="737"/>
      <c r="DE701" s="737"/>
      <c r="DF701" s="737"/>
      <c r="DG701" s="737"/>
      <c r="DH701" s="737"/>
      <c r="DI701" s="737"/>
      <c r="DJ701" s="737"/>
      <c r="DK701" s="737"/>
      <c r="DL701" s="737"/>
      <c r="DM701" s="737"/>
      <c r="DN701" s="737"/>
      <c r="DO701" s="737"/>
      <c r="DP701" s="737"/>
    </row>
    <row r="702" spans="1:120" hidden="1" outlineLevel="1">
      <c r="A702" s="55">
        <v>1110052090</v>
      </c>
      <c r="B702" s="90"/>
      <c r="C702" s="91" t="s">
        <v>64</v>
      </c>
      <c r="D702" s="1557"/>
      <c r="E702" s="1558"/>
      <c r="F702" s="416"/>
      <c r="G702" s="1251"/>
      <c r="H702" s="511"/>
      <c r="I702" s="512"/>
      <c r="J702" s="1425">
        <v>1</v>
      </c>
      <c r="K702" s="1426">
        <v>1</v>
      </c>
      <c r="L702" s="417"/>
      <c r="M702" s="1540">
        <f t="shared" ref="M702:M703" si="1959">+L702*J702</f>
        <v>0</v>
      </c>
      <c r="N702" s="504"/>
      <c r="O702" s="513">
        <f t="shared" ref="O702:O703" si="1960">+L702*N702</f>
        <v>0</v>
      </c>
      <c r="P702" s="431"/>
      <c r="Q702" s="514">
        <f t="shared" ref="Q702:Q703" si="1961">+P702*K702</f>
        <v>0</v>
      </c>
      <c r="R702" s="515"/>
      <c r="S702" s="515"/>
      <c r="T702" s="562">
        <f t="shared" ref="T702:T703" si="1962">+P702*S702</f>
        <v>0</v>
      </c>
      <c r="U702" s="439">
        <f t="shared" ref="U702:U703" si="1963">+L702+P702+F702</f>
        <v>0</v>
      </c>
      <c r="V702" s="517">
        <f t="shared" ref="V702:V703" si="1964">+P702*R702+L702*N702+F702*H702</f>
        <v>0</v>
      </c>
      <c r="W702" s="976">
        <f t="shared" ref="W702:W703" si="1965">IF((-P702*R702)-(-P702*S702)&gt;0,(-P702*R702)-(-P702*S702),0)</f>
        <v>0</v>
      </c>
      <c r="X702" s="975">
        <f t="shared" ref="X702:X703" si="1966">IF((-P702*R702)-(-P702*S702)&lt;0,(-P702*R702)-(-P702*S702),0)</f>
        <v>0</v>
      </c>
      <c r="Y702" s="519">
        <v>3981.16</v>
      </c>
      <c r="AA702" s="199"/>
      <c r="AB702" s="561"/>
      <c r="AC702" s="561"/>
      <c r="AD702" s="561"/>
      <c r="AE702" s="561"/>
      <c r="AF702" s="561"/>
      <c r="AG702" s="561"/>
      <c r="AH702" s="561"/>
      <c r="AI702" s="561"/>
      <c r="AJ702" s="561"/>
      <c r="AK702" s="561"/>
      <c r="AL702" s="1542" t="s">
        <v>294</v>
      </c>
      <c r="AM702" s="561"/>
      <c r="AN702" s="561"/>
      <c r="AO702" s="561"/>
      <c r="AP702" s="561"/>
      <c r="AQ702" s="561"/>
      <c r="AR702" s="561"/>
      <c r="AS702" s="561"/>
      <c r="AT702" s="561"/>
      <c r="AU702" s="561"/>
      <c r="AV702" s="561"/>
      <c r="AW702" s="561"/>
      <c r="AX702" s="561"/>
      <c r="AY702" s="561"/>
      <c r="AZ702" s="561"/>
      <c r="BA702" s="561"/>
      <c r="BB702" s="561"/>
      <c r="BC702" s="561"/>
      <c r="BD702" s="561"/>
      <c r="BE702" s="561"/>
      <c r="BF702" s="561"/>
      <c r="BG702" s="561"/>
      <c r="BH702" s="561"/>
      <c r="BI702" s="561"/>
      <c r="BJ702" s="561"/>
      <c r="BK702" s="561"/>
      <c r="BL702" s="561"/>
      <c r="BM702" s="561"/>
      <c r="BN702" s="561"/>
      <c r="BO702" s="561"/>
      <c r="BP702" s="561"/>
      <c r="BQ702" s="561"/>
      <c r="BR702" s="561"/>
      <c r="BS702" s="561"/>
      <c r="BT702" s="561"/>
      <c r="BU702" s="561"/>
      <c r="BV702" s="561"/>
      <c r="BW702" s="561"/>
      <c r="BX702" s="561"/>
      <c r="BY702" s="561"/>
      <c r="BZ702" s="561"/>
      <c r="CA702" s="561"/>
      <c r="CB702" s="737"/>
      <c r="CC702" s="737"/>
      <c r="CD702" s="737"/>
      <c r="CE702" s="737"/>
      <c r="CF702" s="737"/>
      <c r="CG702" s="737"/>
      <c r="CH702" s="737"/>
      <c r="CI702" s="737"/>
      <c r="CJ702" s="737"/>
      <c r="CK702" s="737"/>
      <c r="CL702" s="737"/>
      <c r="CM702" s="737"/>
      <c r="CN702" s="737"/>
      <c r="CO702" s="737"/>
      <c r="CP702" s="737"/>
      <c r="CQ702" s="737"/>
      <c r="CR702" s="737"/>
      <c r="CS702" s="737"/>
      <c r="CT702" s="737"/>
      <c r="CU702" s="737"/>
      <c r="CV702" s="737"/>
      <c r="CW702" s="737"/>
      <c r="CX702" s="737"/>
      <c r="CY702" s="737"/>
      <c r="CZ702" s="737"/>
      <c r="DA702" s="737"/>
      <c r="DB702" s="737"/>
      <c r="DC702" s="737"/>
      <c r="DD702" s="737"/>
      <c r="DE702" s="737"/>
      <c r="DF702" s="737"/>
      <c r="DG702" s="737"/>
      <c r="DH702" s="737"/>
      <c r="DI702" s="737"/>
      <c r="DJ702" s="737"/>
      <c r="DK702" s="737"/>
      <c r="DL702" s="737"/>
      <c r="DM702" s="737"/>
      <c r="DN702" s="737"/>
      <c r="DO702" s="737"/>
      <c r="DP702" s="737"/>
    </row>
    <row r="703" spans="1:120" hidden="1" outlineLevel="1">
      <c r="A703" s="55">
        <v>1110052090</v>
      </c>
      <c r="B703" s="90"/>
      <c r="C703" s="91" t="s">
        <v>64</v>
      </c>
      <c r="D703" s="1557"/>
      <c r="E703" s="1558"/>
      <c r="F703" s="416"/>
      <c r="G703" s="1251"/>
      <c r="H703" s="511"/>
      <c r="I703" s="512"/>
      <c r="J703" s="1425">
        <v>1</v>
      </c>
      <c r="K703" s="1426">
        <v>1</v>
      </c>
      <c r="L703" s="417"/>
      <c r="M703" s="1540">
        <f t="shared" si="1959"/>
        <v>0</v>
      </c>
      <c r="N703" s="504"/>
      <c r="O703" s="513">
        <f t="shared" si="1960"/>
        <v>0</v>
      </c>
      <c r="P703" s="431"/>
      <c r="Q703" s="514">
        <f t="shared" si="1961"/>
        <v>0</v>
      </c>
      <c r="R703" s="515"/>
      <c r="S703" s="515"/>
      <c r="T703" s="562">
        <f t="shared" si="1962"/>
        <v>0</v>
      </c>
      <c r="U703" s="439">
        <f t="shared" si="1963"/>
        <v>0</v>
      </c>
      <c r="V703" s="517">
        <f t="shared" si="1964"/>
        <v>0</v>
      </c>
      <c r="W703" s="976">
        <f t="shared" si="1965"/>
        <v>0</v>
      </c>
      <c r="X703" s="975">
        <f t="shared" si="1966"/>
        <v>0</v>
      </c>
      <c r="Y703" s="519">
        <v>3790.88</v>
      </c>
      <c r="AA703" s="199"/>
      <c r="AB703" s="561"/>
      <c r="AC703" s="561"/>
      <c r="AD703" s="561"/>
      <c r="AE703" s="561"/>
      <c r="AF703" s="561"/>
      <c r="AG703" s="561"/>
      <c r="AH703" s="561"/>
      <c r="AI703" s="561"/>
      <c r="AJ703" s="561"/>
      <c r="AK703" s="561"/>
      <c r="AL703" s="1542"/>
      <c r="AM703" s="561"/>
      <c r="AN703" s="561"/>
      <c r="AO703" s="561"/>
      <c r="AP703" s="561"/>
      <c r="AQ703" s="561"/>
      <c r="AR703" s="561"/>
      <c r="AS703" s="561"/>
      <c r="AT703" s="561"/>
      <c r="AU703" s="561"/>
      <c r="AV703" s="561"/>
      <c r="AW703" s="561"/>
      <c r="AX703" s="561"/>
      <c r="AY703" s="561"/>
      <c r="AZ703" s="561"/>
      <c r="BA703" s="561"/>
      <c r="BB703" s="561"/>
      <c r="BC703" s="561"/>
      <c r="BD703" s="561"/>
      <c r="BE703" s="561"/>
      <c r="BF703" s="561"/>
      <c r="BG703" s="561"/>
      <c r="BH703" s="561"/>
      <c r="BI703" s="561"/>
      <c r="BJ703" s="561"/>
      <c r="BK703" s="561"/>
      <c r="BL703" s="561"/>
      <c r="BM703" s="561"/>
      <c r="BN703" s="561"/>
      <c r="BO703" s="561"/>
      <c r="BP703" s="561"/>
      <c r="BQ703" s="561"/>
      <c r="BR703" s="561"/>
      <c r="BS703" s="561"/>
      <c r="BT703" s="561"/>
      <c r="BU703" s="561"/>
      <c r="BV703" s="561"/>
      <c r="BW703" s="561"/>
      <c r="BX703" s="561"/>
      <c r="BY703" s="561"/>
      <c r="BZ703" s="561"/>
      <c r="CA703" s="561"/>
      <c r="CB703" s="737"/>
      <c r="CC703" s="737">
        <f>+Q703</f>
        <v>0</v>
      </c>
      <c r="CD703" s="737"/>
      <c r="CE703" s="737"/>
      <c r="CF703" s="737"/>
      <c r="CG703" s="737"/>
      <c r="CH703" s="737"/>
      <c r="CI703" s="737"/>
      <c r="CJ703" s="737"/>
      <c r="CK703" s="737"/>
      <c r="CL703" s="737"/>
      <c r="CM703" s="737"/>
      <c r="CN703" s="737"/>
      <c r="CO703" s="737"/>
      <c r="CP703" s="737"/>
      <c r="CQ703" s="737"/>
      <c r="CR703" s="737"/>
      <c r="CS703" s="737"/>
      <c r="CT703" s="737"/>
      <c r="CU703" s="737"/>
      <c r="CV703" s="737"/>
      <c r="CW703" s="737"/>
      <c r="CX703" s="737"/>
      <c r="CY703" s="737"/>
      <c r="CZ703" s="737"/>
      <c r="DA703" s="737"/>
      <c r="DB703" s="737"/>
      <c r="DC703" s="737"/>
      <c r="DD703" s="737"/>
      <c r="DE703" s="737"/>
      <c r="DF703" s="737"/>
      <c r="DG703" s="737"/>
      <c r="DH703" s="737"/>
      <c r="DI703" s="737"/>
      <c r="DJ703" s="737"/>
      <c r="DK703" s="737"/>
      <c r="DL703" s="737"/>
      <c r="DM703" s="737"/>
      <c r="DN703" s="737"/>
      <c r="DO703" s="737"/>
      <c r="DP703" s="737"/>
    </row>
    <row r="704" spans="1:120" hidden="1" outlineLevel="1">
      <c r="A704" s="55">
        <v>1110052090</v>
      </c>
      <c r="B704" s="90"/>
      <c r="C704" s="91" t="s">
        <v>64</v>
      </c>
      <c r="D704" s="1557"/>
      <c r="E704" s="1558"/>
      <c r="F704" s="416"/>
      <c r="G704" s="1251"/>
      <c r="H704" s="511"/>
      <c r="I704" s="512"/>
      <c r="J704" s="1425">
        <v>1</v>
      </c>
      <c r="K704" s="1426">
        <v>1</v>
      </c>
      <c r="L704" s="417"/>
      <c r="M704" s="1540">
        <f t="shared" ref="M704:M705" si="1967">+L704*J704</f>
        <v>0</v>
      </c>
      <c r="N704" s="504"/>
      <c r="O704" s="513">
        <f t="shared" ref="O704:O705" si="1968">+L704*N704</f>
        <v>0</v>
      </c>
      <c r="P704" s="431"/>
      <c r="Q704" s="514">
        <f t="shared" ref="Q704:Q705" si="1969">+P704*K704</f>
        <v>0</v>
      </c>
      <c r="R704" s="515"/>
      <c r="S704" s="515"/>
      <c r="T704" s="562">
        <f t="shared" ref="T704:T705" si="1970">+P704*S704</f>
        <v>0</v>
      </c>
      <c r="U704" s="439">
        <f t="shared" ref="U704:U705" si="1971">+L704+P704+F704</f>
        <v>0</v>
      </c>
      <c r="V704" s="517">
        <f t="shared" ref="V704:V705" si="1972">+P704*R704+L704*N704+F704*H704</f>
        <v>0</v>
      </c>
      <c r="W704" s="976">
        <f t="shared" ref="W704:W705" si="1973">IF((-P704*R704)-(-P704*S704)&gt;0,(-P704*R704)-(-P704*S704),0)</f>
        <v>0</v>
      </c>
      <c r="X704" s="975">
        <f t="shared" ref="X704:X705" si="1974">IF((-P704*R704)-(-P704*S704)&lt;0,(-P704*R704)-(-P704*S704),0)</f>
        <v>0</v>
      </c>
      <c r="Y704" s="519">
        <v>4151.21</v>
      </c>
      <c r="AA704" s="199"/>
      <c r="AB704" s="561"/>
      <c r="AC704" s="561"/>
      <c r="AD704" s="561"/>
      <c r="AE704" s="561"/>
      <c r="AF704" s="561"/>
      <c r="AG704" s="561"/>
      <c r="AH704" s="561"/>
      <c r="AI704" s="561"/>
      <c r="AJ704" s="561"/>
      <c r="AK704" s="561"/>
      <c r="AL704" s="1542"/>
      <c r="AM704" s="561"/>
      <c r="AN704" s="561"/>
      <c r="AO704" s="561"/>
      <c r="AP704" s="561"/>
      <c r="AQ704" s="561"/>
      <c r="AR704" s="561"/>
      <c r="AS704" s="561"/>
      <c r="AT704" s="561"/>
      <c r="AU704" s="561"/>
      <c r="AV704" s="561"/>
      <c r="AW704" s="561"/>
      <c r="AX704" s="561"/>
      <c r="AY704" s="561"/>
      <c r="AZ704" s="561"/>
      <c r="BA704" s="561"/>
      <c r="BB704" s="561"/>
      <c r="BC704" s="561"/>
      <c r="BD704" s="561"/>
      <c r="BE704" s="561"/>
      <c r="BF704" s="561"/>
      <c r="BG704" s="561"/>
      <c r="BH704" s="561"/>
      <c r="BI704" s="561"/>
      <c r="BJ704" s="561"/>
      <c r="BK704" s="561"/>
      <c r="BL704" s="561"/>
      <c r="BM704" s="561"/>
      <c r="BN704" s="561"/>
      <c r="BO704" s="561"/>
      <c r="BP704" s="561"/>
      <c r="BQ704" s="561"/>
      <c r="BR704" s="561"/>
      <c r="BS704" s="561"/>
      <c r="BT704" s="561"/>
      <c r="BU704" s="561"/>
      <c r="BV704" s="561"/>
      <c r="BW704" s="561"/>
      <c r="BX704" s="561"/>
      <c r="BY704" s="561"/>
      <c r="BZ704" s="561"/>
      <c r="CA704" s="561"/>
      <c r="CB704" s="737"/>
      <c r="CC704" s="737"/>
      <c r="CD704" s="737"/>
      <c r="CE704" s="737"/>
      <c r="CF704" s="737">
        <f>+Q704</f>
        <v>0</v>
      </c>
      <c r="CG704" s="737"/>
      <c r="CH704" s="737"/>
      <c r="CI704" s="737"/>
      <c r="CJ704" s="737"/>
      <c r="CK704" s="737"/>
      <c r="CL704" s="737"/>
      <c r="CM704" s="737"/>
      <c r="CN704" s="737"/>
      <c r="CO704" s="737"/>
      <c r="CP704" s="737"/>
      <c r="CQ704" s="737"/>
      <c r="CR704" s="737"/>
      <c r="CS704" s="737"/>
      <c r="CT704" s="737"/>
      <c r="CU704" s="737"/>
      <c r="CV704" s="737"/>
      <c r="CW704" s="737"/>
      <c r="CX704" s="737"/>
      <c r="CY704" s="737"/>
      <c r="CZ704" s="737"/>
      <c r="DA704" s="737"/>
      <c r="DB704" s="737"/>
      <c r="DC704" s="737"/>
      <c r="DD704" s="737"/>
      <c r="DE704" s="737"/>
      <c r="DF704" s="737"/>
      <c r="DG704" s="737"/>
      <c r="DH704" s="737"/>
      <c r="DI704" s="737"/>
      <c r="DJ704" s="737"/>
      <c r="DK704" s="737"/>
      <c r="DL704" s="737"/>
      <c r="DM704" s="737"/>
      <c r="DN704" s="737"/>
      <c r="DO704" s="737"/>
      <c r="DP704" s="737"/>
    </row>
    <row r="705" spans="1:120" hidden="1" outlineLevel="1">
      <c r="A705" s="55">
        <v>1110052090</v>
      </c>
      <c r="B705" s="90"/>
      <c r="C705" s="91" t="s">
        <v>64</v>
      </c>
      <c r="D705" s="1557"/>
      <c r="E705" s="1558"/>
      <c r="F705" s="416"/>
      <c r="G705" s="1251"/>
      <c r="H705" s="511"/>
      <c r="I705" s="512"/>
      <c r="J705" s="1425">
        <v>1</v>
      </c>
      <c r="K705" s="1426">
        <v>1</v>
      </c>
      <c r="L705" s="417"/>
      <c r="M705" s="1540">
        <f t="shared" si="1967"/>
        <v>0</v>
      </c>
      <c r="N705" s="504"/>
      <c r="O705" s="513">
        <f t="shared" si="1968"/>
        <v>0</v>
      </c>
      <c r="P705" s="431"/>
      <c r="Q705" s="514">
        <f t="shared" si="1969"/>
        <v>0</v>
      </c>
      <c r="R705" s="515"/>
      <c r="S705" s="515"/>
      <c r="T705" s="562">
        <f t="shared" si="1970"/>
        <v>0</v>
      </c>
      <c r="U705" s="439">
        <f t="shared" si="1971"/>
        <v>0</v>
      </c>
      <c r="V705" s="517">
        <f t="shared" si="1972"/>
        <v>0</v>
      </c>
      <c r="W705" s="976">
        <f t="shared" si="1973"/>
        <v>0</v>
      </c>
      <c r="X705" s="975">
        <f t="shared" si="1974"/>
        <v>0</v>
      </c>
      <c r="Y705" s="519">
        <v>4300.3</v>
      </c>
      <c r="AA705" s="199"/>
      <c r="AB705" s="561"/>
      <c r="AC705" s="561"/>
      <c r="AD705" s="561"/>
      <c r="AE705" s="561"/>
      <c r="AF705" s="561"/>
      <c r="AG705" s="561"/>
      <c r="AH705" s="561"/>
      <c r="AI705" s="561"/>
      <c r="AJ705" s="561"/>
      <c r="AK705" s="561"/>
      <c r="AL705" s="1542"/>
      <c r="AM705" s="561"/>
      <c r="AN705" s="561"/>
      <c r="AO705" s="561"/>
      <c r="AP705" s="561"/>
      <c r="AQ705" s="561"/>
      <c r="AR705" s="561"/>
      <c r="AS705" s="561"/>
      <c r="AT705" s="561"/>
      <c r="AU705" s="561"/>
      <c r="AV705" s="561"/>
      <c r="AW705" s="561"/>
      <c r="AX705" s="561"/>
      <c r="AY705" s="561"/>
      <c r="AZ705" s="561"/>
      <c r="BA705" s="561"/>
      <c r="BB705" s="561"/>
      <c r="BC705" s="561"/>
      <c r="BD705" s="561"/>
      <c r="BE705" s="561"/>
      <c r="BF705" s="561"/>
      <c r="BG705" s="561"/>
      <c r="BH705" s="561"/>
      <c r="BI705" s="561"/>
      <c r="BJ705" s="561"/>
      <c r="BK705" s="561"/>
      <c r="BL705" s="561"/>
      <c r="BM705" s="561"/>
      <c r="BN705" s="561"/>
      <c r="BO705" s="561"/>
      <c r="BP705" s="561"/>
      <c r="BQ705" s="561"/>
      <c r="BR705" s="561"/>
      <c r="BS705" s="561"/>
      <c r="BT705" s="561"/>
      <c r="BU705" s="561"/>
      <c r="BV705" s="561"/>
      <c r="BW705" s="561"/>
      <c r="BX705" s="561"/>
      <c r="BY705" s="561"/>
      <c r="BZ705" s="561"/>
      <c r="CA705" s="561"/>
      <c r="CB705" s="737"/>
      <c r="CC705" s="737"/>
      <c r="CD705" s="737"/>
      <c r="CE705" s="737"/>
      <c r="CF705" s="737"/>
      <c r="CG705" s="737"/>
      <c r="CH705" s="737"/>
      <c r="CI705" s="737"/>
      <c r="CJ705" s="737"/>
      <c r="CK705" s="737"/>
      <c r="CL705" s="737">
        <f>+Q705</f>
        <v>0</v>
      </c>
      <c r="CM705" s="737"/>
      <c r="CN705" s="737"/>
      <c r="CO705" s="737"/>
      <c r="CP705" s="737"/>
      <c r="CQ705" s="737"/>
      <c r="CR705" s="737"/>
      <c r="CS705" s="737"/>
      <c r="CT705" s="737"/>
      <c r="CU705" s="737"/>
      <c r="CV705" s="737"/>
      <c r="CW705" s="737"/>
      <c r="CX705" s="737"/>
      <c r="CY705" s="737"/>
      <c r="CZ705" s="737"/>
      <c r="DA705" s="737"/>
      <c r="DB705" s="737"/>
      <c r="DC705" s="737"/>
      <c r="DD705" s="737"/>
      <c r="DE705" s="737"/>
      <c r="DF705" s="737"/>
      <c r="DG705" s="737"/>
      <c r="DH705" s="737"/>
      <c r="DI705" s="737"/>
      <c r="DJ705" s="737"/>
      <c r="DK705" s="737"/>
      <c r="DL705" s="737"/>
      <c r="DM705" s="737"/>
      <c r="DN705" s="737"/>
      <c r="DO705" s="737"/>
      <c r="DP705" s="737"/>
    </row>
    <row r="706" spans="1:120" hidden="1" outlineLevel="1">
      <c r="A706" s="55">
        <v>1110052090</v>
      </c>
      <c r="B706" s="90"/>
      <c r="C706" s="91" t="s">
        <v>64</v>
      </c>
      <c r="D706" s="1557"/>
      <c r="E706" s="1558"/>
      <c r="F706" s="416"/>
      <c r="G706" s="1251"/>
      <c r="H706" s="511"/>
      <c r="I706" s="512"/>
      <c r="J706" s="1425">
        <v>1</v>
      </c>
      <c r="K706" s="1426">
        <v>1</v>
      </c>
      <c r="L706" s="417"/>
      <c r="M706" s="1540">
        <f t="shared" ref="M706" si="1975">+L706*J706</f>
        <v>0</v>
      </c>
      <c r="N706" s="504"/>
      <c r="O706" s="513">
        <f t="shared" ref="O706" si="1976">+L706*N706</f>
        <v>0</v>
      </c>
      <c r="P706" s="431"/>
      <c r="Q706" s="514">
        <f t="shared" ref="Q706" si="1977">+P706*K706</f>
        <v>0</v>
      </c>
      <c r="R706" s="515"/>
      <c r="S706" s="515"/>
      <c r="T706" s="562">
        <f t="shared" ref="T706" si="1978">+P706*S706</f>
        <v>0</v>
      </c>
      <c r="U706" s="439">
        <f t="shared" ref="U706" si="1979">+L706+P706+F706</f>
        <v>0</v>
      </c>
      <c r="V706" s="517">
        <f t="shared" ref="V706" si="1980">+P706*R706+L706*N706+F706*H706</f>
        <v>0</v>
      </c>
      <c r="W706" s="976">
        <f t="shared" ref="W706" si="1981">IF((-P706*R706)-(-P706*S706)&gt;0,(-P706*R706)-(-P706*S706),0)</f>
        <v>0</v>
      </c>
      <c r="X706" s="975">
        <f t="shared" ref="X706" si="1982">IF((-P706*R706)-(-P706*S706)&lt;0,(-P706*R706)-(-P706*S706),0)</f>
        <v>0</v>
      </c>
      <c r="Y706" s="519">
        <v>4231.45</v>
      </c>
      <c r="AA706" s="199"/>
      <c r="AB706" s="561"/>
      <c r="AC706" s="561"/>
      <c r="AD706" s="561"/>
      <c r="AE706" s="561"/>
      <c r="AF706" s="561"/>
      <c r="AG706" s="561"/>
      <c r="AH706" s="561"/>
      <c r="AI706" s="561"/>
      <c r="AJ706" s="561"/>
      <c r="AK706" s="561"/>
      <c r="AL706" s="1542"/>
      <c r="AM706" s="561"/>
      <c r="AN706" s="561"/>
      <c r="AO706" s="561"/>
      <c r="AP706" s="561"/>
      <c r="AQ706" s="561"/>
      <c r="AR706" s="561"/>
      <c r="AS706" s="561"/>
      <c r="AT706" s="561"/>
      <c r="AU706" s="561"/>
      <c r="AV706" s="561"/>
      <c r="AW706" s="561"/>
      <c r="AX706" s="561"/>
      <c r="AY706" s="561"/>
      <c r="AZ706" s="561"/>
      <c r="BA706" s="561"/>
      <c r="BB706" s="561"/>
      <c r="BC706" s="561"/>
      <c r="BD706" s="561"/>
      <c r="BE706" s="561"/>
      <c r="BF706" s="561"/>
      <c r="BG706" s="561"/>
      <c r="BH706" s="561"/>
      <c r="BI706" s="561"/>
      <c r="BJ706" s="561"/>
      <c r="BK706" s="561"/>
      <c r="BL706" s="561"/>
      <c r="BM706" s="561"/>
      <c r="BN706" s="561"/>
      <c r="BO706" s="561"/>
      <c r="BP706" s="561"/>
      <c r="BQ706" s="561"/>
      <c r="BR706" s="561"/>
      <c r="BS706" s="561"/>
      <c r="BT706" s="561"/>
      <c r="BU706" s="561"/>
      <c r="BV706" s="561"/>
      <c r="BW706" s="561"/>
      <c r="BX706" s="561"/>
      <c r="BY706" s="561"/>
      <c r="BZ706" s="561"/>
      <c r="CA706" s="561"/>
      <c r="CB706" s="737"/>
      <c r="CC706" s="737"/>
      <c r="CD706" s="737"/>
      <c r="CE706" s="737"/>
      <c r="CF706" s="737"/>
      <c r="CG706" s="737"/>
      <c r="CH706" s="737"/>
      <c r="CI706" s="737"/>
      <c r="CJ706" s="737"/>
      <c r="CK706" s="737"/>
      <c r="CL706" s="737"/>
      <c r="CM706" s="737">
        <f>+Q706</f>
        <v>0</v>
      </c>
      <c r="CN706" s="737"/>
      <c r="CO706" s="737"/>
      <c r="CP706" s="737"/>
      <c r="CQ706" s="737"/>
      <c r="CR706" s="737"/>
      <c r="CS706" s="737"/>
      <c r="CT706" s="737"/>
      <c r="CU706" s="737"/>
      <c r="CV706" s="737"/>
      <c r="CW706" s="737"/>
      <c r="CX706" s="737"/>
      <c r="CY706" s="737"/>
      <c r="CZ706" s="737"/>
      <c r="DA706" s="737"/>
      <c r="DB706" s="737"/>
      <c r="DC706" s="737"/>
      <c r="DD706" s="737"/>
      <c r="DE706" s="737"/>
      <c r="DF706" s="737"/>
      <c r="DG706" s="737"/>
      <c r="DH706" s="737"/>
      <c r="DI706" s="737"/>
      <c r="DJ706" s="737"/>
      <c r="DK706" s="737"/>
      <c r="DL706" s="737"/>
      <c r="DM706" s="737"/>
      <c r="DN706" s="737"/>
      <c r="DO706" s="737"/>
      <c r="DP706" s="737"/>
    </row>
    <row r="707" spans="1:120" hidden="1" outlineLevel="1">
      <c r="A707" s="55">
        <v>1110052090</v>
      </c>
      <c r="B707" s="90"/>
      <c r="C707" s="91" t="s">
        <v>64</v>
      </c>
      <c r="D707" s="1557"/>
      <c r="E707" s="1558"/>
      <c r="F707" s="416"/>
      <c r="G707" s="1251"/>
      <c r="H707" s="511"/>
      <c r="I707" s="512"/>
      <c r="J707" s="1425">
        <v>1</v>
      </c>
      <c r="K707" s="1426">
        <v>1</v>
      </c>
      <c r="L707" s="417"/>
      <c r="M707" s="1540">
        <f t="shared" ref="M707" si="1983">+L707*J707</f>
        <v>0</v>
      </c>
      <c r="N707" s="504"/>
      <c r="O707" s="513">
        <f t="shared" ref="O707" si="1984">+L707*N707</f>
        <v>0</v>
      </c>
      <c r="P707" s="431"/>
      <c r="Q707" s="514">
        <f t="shared" ref="Q707" si="1985">+P707*K707</f>
        <v>0</v>
      </c>
      <c r="R707" s="515"/>
      <c r="S707" s="515"/>
      <c r="T707" s="562">
        <f t="shared" ref="T707" si="1986">+P707*S707</f>
        <v>0</v>
      </c>
      <c r="U707" s="439">
        <f t="shared" ref="U707" si="1987">+L707+P707+F707</f>
        <v>0</v>
      </c>
      <c r="V707" s="517">
        <f t="shared" ref="V707" si="1988">+P707*R707+L707*N707+F707*H707</f>
        <v>0</v>
      </c>
      <c r="W707" s="976">
        <f t="shared" ref="W707" si="1989">IF((-P707*R707)-(-P707*S707)&gt;0,(-P707*R707)-(-P707*S707),0)</f>
        <v>0</v>
      </c>
      <c r="X707" s="975">
        <f t="shared" ref="X707" si="1990">IF((-P707*R707)-(-P707*S707)&lt;0,(-P707*R707)-(-P707*S707),0)</f>
        <v>0</v>
      </c>
      <c r="Y707" s="519">
        <v>4231.45</v>
      </c>
      <c r="AA707" s="199"/>
      <c r="AB707" s="561"/>
      <c r="AC707" s="561"/>
      <c r="AD707" s="561"/>
      <c r="AE707" s="561"/>
      <c r="AF707" s="561"/>
      <c r="AG707" s="561"/>
      <c r="AH707" s="561"/>
      <c r="AI707" s="561"/>
      <c r="AJ707" s="561"/>
      <c r="AK707" s="561"/>
      <c r="AL707" s="1542"/>
      <c r="AM707" s="561"/>
      <c r="AN707" s="561"/>
      <c r="AO707" s="561"/>
      <c r="AP707" s="561"/>
      <c r="AQ707" s="561"/>
      <c r="AR707" s="561"/>
      <c r="AS707" s="561"/>
      <c r="AT707" s="561"/>
      <c r="AU707" s="561"/>
      <c r="AV707" s="561"/>
      <c r="AW707" s="561"/>
      <c r="AX707" s="561"/>
      <c r="AY707" s="561"/>
      <c r="AZ707" s="561"/>
      <c r="BA707" s="561"/>
      <c r="BB707" s="561"/>
      <c r="BC707" s="561"/>
      <c r="BD707" s="561"/>
      <c r="BE707" s="561"/>
      <c r="BF707" s="561"/>
      <c r="BG707" s="561"/>
      <c r="BH707" s="561"/>
      <c r="BI707" s="561"/>
      <c r="BJ707" s="561"/>
      <c r="BK707" s="561"/>
      <c r="BL707" s="561"/>
      <c r="BM707" s="561"/>
      <c r="BN707" s="561"/>
      <c r="BO707" s="561"/>
      <c r="BP707" s="561"/>
      <c r="BQ707" s="561"/>
      <c r="BR707" s="561"/>
      <c r="BS707" s="561"/>
      <c r="BT707" s="561"/>
      <c r="BU707" s="561"/>
      <c r="BV707" s="561"/>
      <c r="BW707" s="561"/>
      <c r="BX707" s="561"/>
      <c r="BY707" s="561"/>
      <c r="BZ707" s="561"/>
      <c r="CA707" s="561"/>
      <c r="CB707" s="737"/>
      <c r="CC707" s="737"/>
      <c r="CD707" s="737"/>
      <c r="CE707" s="737"/>
      <c r="CF707" s="737"/>
      <c r="CG707" s="737"/>
      <c r="CH707" s="737"/>
      <c r="CI707" s="737"/>
      <c r="CJ707" s="737"/>
      <c r="CK707" s="737"/>
      <c r="CL707" s="737"/>
      <c r="CM707" s="737"/>
      <c r="CN707" s="737">
        <f>+Q707</f>
        <v>0</v>
      </c>
      <c r="CO707" s="737"/>
      <c r="CP707" s="737"/>
      <c r="CQ707" s="737"/>
      <c r="CR707" s="737"/>
      <c r="CS707" s="737"/>
      <c r="CT707" s="737"/>
      <c r="CU707" s="737"/>
      <c r="CV707" s="737"/>
      <c r="CW707" s="737"/>
      <c r="CX707" s="737"/>
      <c r="CY707" s="737"/>
      <c r="CZ707" s="737"/>
      <c r="DA707" s="737"/>
      <c r="DB707" s="737"/>
      <c r="DC707" s="737"/>
      <c r="DD707" s="737"/>
      <c r="DE707" s="737"/>
      <c r="DF707" s="737"/>
      <c r="DG707" s="737"/>
      <c r="DH707" s="737"/>
      <c r="DI707" s="737"/>
      <c r="DJ707" s="737"/>
      <c r="DK707" s="737"/>
      <c r="DL707" s="737"/>
      <c r="DM707" s="737"/>
      <c r="DN707" s="737"/>
      <c r="DO707" s="737"/>
      <c r="DP707" s="737"/>
    </row>
    <row r="708" spans="1:120" hidden="1" outlineLevel="1">
      <c r="A708" s="55">
        <v>1110052090</v>
      </c>
      <c r="B708" s="90"/>
      <c r="C708" s="91" t="s">
        <v>64</v>
      </c>
      <c r="D708" s="1557"/>
      <c r="E708" s="1558"/>
      <c r="F708" s="416"/>
      <c r="G708" s="1251"/>
      <c r="H708" s="511"/>
      <c r="I708" s="512"/>
      <c r="J708" s="1425">
        <v>1</v>
      </c>
      <c r="K708" s="1426">
        <v>1</v>
      </c>
      <c r="L708" s="417"/>
      <c r="M708" s="1540">
        <f>+L708*J708</f>
        <v>0</v>
      </c>
      <c r="N708" s="504"/>
      <c r="O708" s="513">
        <f>+L708*N708</f>
        <v>0</v>
      </c>
      <c r="P708" s="431"/>
      <c r="Q708" s="514">
        <f>+P708*K708</f>
        <v>0</v>
      </c>
      <c r="R708" s="515"/>
      <c r="S708" s="515"/>
      <c r="T708" s="562">
        <f>+P708*S708</f>
        <v>0</v>
      </c>
      <c r="U708" s="439">
        <f>+L708+P708+F708</f>
        <v>0</v>
      </c>
      <c r="V708" s="517">
        <f>+P708*R708+L708*N708+F708*H708</f>
        <v>0</v>
      </c>
      <c r="W708" s="976">
        <f>IF((-P708*R708)-(-P708*S708)&gt;0,(-P708*R708)-(-P708*S708),0)</f>
        <v>0</v>
      </c>
      <c r="X708" s="975">
        <f>IF((-P708*R708)-(-P708*S708)&lt;0,(-P708*R708)-(-P708*S708),0)</f>
        <v>0</v>
      </c>
      <c r="Y708" s="519"/>
      <c r="AA708" s="199"/>
      <c r="AB708" s="561"/>
      <c r="AC708" s="561"/>
      <c r="AD708" s="561"/>
      <c r="AE708" s="561"/>
      <c r="AF708" s="561"/>
      <c r="AG708" s="561"/>
      <c r="AH708" s="561"/>
      <c r="AI708" s="561"/>
      <c r="AJ708" s="561"/>
      <c r="AK708" s="561"/>
      <c r="AL708" s="1542"/>
      <c r="AM708" s="561"/>
      <c r="AN708" s="561"/>
      <c r="AO708" s="561"/>
      <c r="AP708" s="561"/>
      <c r="AQ708" s="561"/>
      <c r="AR708" s="561"/>
      <c r="AS708" s="561"/>
      <c r="AT708" s="561"/>
      <c r="AU708" s="561"/>
      <c r="AV708" s="561"/>
      <c r="AW708" s="561"/>
      <c r="AX708" s="561"/>
      <c r="AY708" s="561"/>
      <c r="AZ708" s="561"/>
      <c r="BA708" s="561"/>
      <c r="BB708" s="561"/>
      <c r="BC708" s="561"/>
      <c r="BD708" s="561"/>
      <c r="BE708" s="561"/>
      <c r="BF708" s="561"/>
      <c r="BG708" s="561"/>
      <c r="BH708" s="561"/>
      <c r="BI708" s="561"/>
      <c r="BJ708" s="561"/>
      <c r="BK708" s="561"/>
      <c r="BL708" s="561"/>
      <c r="BM708" s="561"/>
      <c r="BN708" s="561"/>
      <c r="BO708" s="561"/>
      <c r="BP708" s="561"/>
      <c r="BQ708" s="561"/>
      <c r="BR708" s="561"/>
      <c r="BS708" s="561"/>
      <c r="BT708" s="561"/>
      <c r="BU708" s="561"/>
      <c r="BV708" s="561"/>
      <c r="BW708" s="561"/>
      <c r="BX708" s="561"/>
      <c r="BY708" s="561"/>
      <c r="BZ708" s="561"/>
      <c r="CA708" s="561"/>
      <c r="CB708" s="737"/>
      <c r="CC708" s="737"/>
      <c r="CD708" s="737"/>
      <c r="CE708" s="737"/>
      <c r="CF708" s="737"/>
      <c r="CG708" s="737"/>
      <c r="CH708" s="737"/>
      <c r="CI708" s="737"/>
      <c r="CJ708" s="737"/>
      <c r="CK708" s="737"/>
      <c r="CL708" s="737"/>
      <c r="CM708" s="737"/>
      <c r="CN708" s="737">
        <f>+M708</f>
        <v>0</v>
      </c>
      <c r="CO708" s="737"/>
      <c r="CP708" s="737"/>
      <c r="CQ708" s="737"/>
      <c r="CR708" s="737"/>
      <c r="CS708" s="737"/>
      <c r="CT708" s="737"/>
      <c r="CU708" s="737"/>
      <c r="CV708" s="737"/>
      <c r="CW708" s="737"/>
      <c r="CX708" s="737"/>
      <c r="CY708" s="737"/>
      <c r="CZ708" s="737"/>
      <c r="DA708" s="737"/>
      <c r="DB708" s="737"/>
      <c r="DC708" s="737"/>
      <c r="DD708" s="737"/>
      <c r="DE708" s="737"/>
      <c r="DF708" s="737"/>
      <c r="DG708" s="737"/>
      <c r="DH708" s="737"/>
      <c r="DI708" s="737"/>
      <c r="DJ708" s="737"/>
      <c r="DK708" s="737"/>
      <c r="DL708" s="737"/>
      <c r="DM708" s="737"/>
      <c r="DN708" s="737"/>
      <c r="DO708" s="737"/>
      <c r="DP708" s="737"/>
    </row>
    <row r="709" spans="1:120" hidden="1" outlineLevel="1">
      <c r="A709" s="55">
        <v>1110052090</v>
      </c>
      <c r="B709" s="90"/>
      <c r="C709" s="91" t="s">
        <v>64</v>
      </c>
      <c r="D709" s="1557"/>
      <c r="E709" s="1558"/>
      <c r="F709" s="416"/>
      <c r="G709" s="1251"/>
      <c r="H709" s="511"/>
      <c r="I709" s="512"/>
      <c r="J709" s="1425">
        <v>1</v>
      </c>
      <c r="K709" s="1426">
        <v>1</v>
      </c>
      <c r="L709" s="417"/>
      <c r="M709" s="1540">
        <f t="shared" ref="M709:M711" si="1991">+L709*J709</f>
        <v>0</v>
      </c>
      <c r="N709" s="504"/>
      <c r="O709" s="513">
        <f t="shared" ref="O709:O711" si="1992">+L709*N709</f>
        <v>0</v>
      </c>
      <c r="P709" s="431"/>
      <c r="Q709" s="514">
        <f t="shared" ref="Q709:Q711" si="1993">+P709*K709</f>
        <v>0</v>
      </c>
      <c r="R709" s="515"/>
      <c r="S709" s="515"/>
      <c r="T709" s="562">
        <f t="shared" ref="T709:T711" si="1994">+P709*S709</f>
        <v>0</v>
      </c>
      <c r="U709" s="439">
        <f t="shared" ref="U709:U711" si="1995">+L709+P709+F709</f>
        <v>0</v>
      </c>
      <c r="V709" s="517">
        <f t="shared" ref="V709:V711" si="1996">+P709*R709+L709*N709+F709*H709</f>
        <v>0</v>
      </c>
      <c r="W709" s="976">
        <f t="shared" ref="W709:W711" si="1997">IF((-P709*R709)-(-P709*S709)&gt;0,(-P709*R709)-(-P709*S709),0)</f>
        <v>0</v>
      </c>
      <c r="X709" s="975">
        <f t="shared" ref="X709:X711" si="1998">IF((-P709*R709)-(-P709*S709)&lt;0,(-P709*R709)-(-P709*S709),0)</f>
        <v>0</v>
      </c>
      <c r="Y709" s="519"/>
      <c r="AA709" s="199"/>
      <c r="AB709" s="561"/>
      <c r="AC709" s="561"/>
      <c r="AD709" s="561"/>
      <c r="AE709" s="561"/>
      <c r="AF709" s="561"/>
      <c r="AG709" s="561"/>
      <c r="AH709" s="561"/>
      <c r="AI709" s="561"/>
      <c r="AJ709" s="561"/>
      <c r="AK709" s="561"/>
      <c r="AL709" s="1542"/>
      <c r="AM709" s="561"/>
      <c r="AN709" s="561"/>
      <c r="AO709" s="561"/>
      <c r="AP709" s="561"/>
      <c r="AQ709" s="561"/>
      <c r="AR709" s="561"/>
      <c r="AS709" s="561"/>
      <c r="AT709" s="561"/>
      <c r="AU709" s="561"/>
      <c r="AV709" s="561"/>
      <c r="AW709" s="561"/>
      <c r="AX709" s="561"/>
      <c r="AY709" s="561"/>
      <c r="AZ709" s="561"/>
      <c r="BA709" s="561"/>
      <c r="BB709" s="561"/>
      <c r="BC709" s="561"/>
      <c r="BD709" s="561"/>
      <c r="BE709" s="561"/>
      <c r="BF709" s="561"/>
      <c r="BG709" s="561"/>
      <c r="BH709" s="561"/>
      <c r="BI709" s="561"/>
      <c r="BJ709" s="561"/>
      <c r="BK709" s="561"/>
      <c r="BL709" s="561"/>
      <c r="BM709" s="561"/>
      <c r="BN709" s="561"/>
      <c r="BO709" s="561"/>
      <c r="BP709" s="561"/>
      <c r="BQ709" s="561"/>
      <c r="BR709" s="561"/>
      <c r="BS709" s="561"/>
      <c r="BT709" s="561"/>
      <c r="BU709" s="561"/>
      <c r="BV709" s="561"/>
      <c r="BW709" s="561"/>
      <c r="BX709" s="561"/>
      <c r="BY709" s="561"/>
      <c r="BZ709" s="561"/>
      <c r="CA709" s="561"/>
      <c r="CB709" s="737"/>
      <c r="CC709" s="737"/>
      <c r="CD709" s="737"/>
      <c r="CE709" s="737"/>
      <c r="CF709" s="737"/>
      <c r="CG709" s="737"/>
      <c r="CH709" s="737"/>
      <c r="CI709" s="737"/>
      <c r="CJ709" s="737"/>
      <c r="CK709" s="737"/>
      <c r="CL709" s="737"/>
      <c r="CM709" s="737"/>
      <c r="CN709" s="737"/>
      <c r="CO709" s="737"/>
      <c r="CP709" s="737">
        <f>+M709</f>
        <v>0</v>
      </c>
      <c r="CQ709" s="737"/>
      <c r="CR709" s="737"/>
      <c r="CS709" s="737"/>
      <c r="CT709" s="737"/>
      <c r="CU709" s="737"/>
      <c r="CV709" s="737"/>
      <c r="CW709" s="737"/>
      <c r="CX709" s="737"/>
      <c r="CY709" s="737"/>
      <c r="CZ709" s="737"/>
      <c r="DA709" s="737"/>
      <c r="DB709" s="737"/>
      <c r="DC709" s="737"/>
      <c r="DD709" s="737"/>
      <c r="DE709" s="737"/>
      <c r="DF709" s="737"/>
      <c r="DG709" s="737"/>
      <c r="DH709" s="737"/>
      <c r="DI709" s="737"/>
      <c r="DJ709" s="737"/>
      <c r="DK709" s="737"/>
      <c r="DL709" s="737"/>
      <c r="DM709" s="737"/>
      <c r="DN709" s="737"/>
      <c r="DO709" s="737"/>
      <c r="DP709" s="737"/>
    </row>
    <row r="710" spans="1:120" hidden="1" outlineLevel="1">
      <c r="A710" s="55">
        <v>1110052090</v>
      </c>
      <c r="B710" s="90"/>
      <c r="C710" s="91" t="s">
        <v>64</v>
      </c>
      <c r="D710" s="1557"/>
      <c r="E710" s="1558"/>
      <c r="F710" s="416"/>
      <c r="G710" s="1251"/>
      <c r="H710" s="511"/>
      <c r="I710" s="512"/>
      <c r="J710" s="1425">
        <v>1</v>
      </c>
      <c r="K710" s="1426">
        <v>1</v>
      </c>
      <c r="L710" s="417"/>
      <c r="M710" s="1540">
        <f t="shared" si="1991"/>
        <v>0</v>
      </c>
      <c r="N710" s="504"/>
      <c r="O710" s="513">
        <f t="shared" si="1992"/>
        <v>0</v>
      </c>
      <c r="P710" s="431"/>
      <c r="Q710" s="514">
        <f t="shared" si="1993"/>
        <v>0</v>
      </c>
      <c r="R710" s="515"/>
      <c r="S710" s="515"/>
      <c r="T710" s="562">
        <f t="shared" si="1994"/>
        <v>0</v>
      </c>
      <c r="U710" s="439">
        <f t="shared" si="1995"/>
        <v>0</v>
      </c>
      <c r="V710" s="517">
        <f t="shared" si="1996"/>
        <v>0</v>
      </c>
      <c r="W710" s="976">
        <f t="shared" si="1997"/>
        <v>0</v>
      </c>
      <c r="X710" s="975">
        <f t="shared" si="1998"/>
        <v>0</v>
      </c>
      <c r="Y710" s="519"/>
      <c r="AA710" s="199"/>
      <c r="AB710" s="561"/>
      <c r="AC710" s="561"/>
      <c r="AD710" s="561"/>
      <c r="AE710" s="561"/>
      <c r="AF710" s="561"/>
      <c r="AG710" s="561"/>
      <c r="AH710" s="561"/>
      <c r="AI710" s="561"/>
      <c r="AJ710" s="561"/>
      <c r="AK710" s="561"/>
      <c r="AL710" s="1542"/>
      <c r="AM710" s="561"/>
      <c r="AN710" s="561"/>
      <c r="AO710" s="561"/>
      <c r="AP710" s="561"/>
      <c r="AQ710" s="561"/>
      <c r="AR710" s="561"/>
      <c r="AS710" s="561"/>
      <c r="AT710" s="561"/>
      <c r="AU710" s="561"/>
      <c r="AV710" s="561"/>
      <c r="AW710" s="561"/>
      <c r="AX710" s="561"/>
      <c r="AY710" s="561"/>
      <c r="AZ710" s="561"/>
      <c r="BA710" s="561"/>
      <c r="BB710" s="561"/>
      <c r="BC710" s="561"/>
      <c r="BD710" s="561"/>
      <c r="BE710" s="561"/>
      <c r="BF710" s="561"/>
      <c r="BG710" s="561"/>
      <c r="BH710" s="561"/>
      <c r="BI710" s="561"/>
      <c r="BJ710" s="561"/>
      <c r="BK710" s="561"/>
      <c r="BL710" s="561"/>
      <c r="BM710" s="561"/>
      <c r="BN710" s="561"/>
      <c r="BO710" s="561"/>
      <c r="BP710" s="561"/>
      <c r="BQ710" s="561"/>
      <c r="BR710" s="561"/>
      <c r="BS710" s="561"/>
      <c r="BT710" s="561"/>
      <c r="BU710" s="561"/>
      <c r="BV710" s="561"/>
      <c r="BW710" s="561"/>
      <c r="BX710" s="561"/>
      <c r="BY710" s="561"/>
      <c r="BZ710" s="561"/>
      <c r="CA710" s="561"/>
      <c r="CB710" s="737"/>
      <c r="CC710" s="737"/>
      <c r="CD710" s="737"/>
      <c r="CE710" s="737"/>
      <c r="CF710" s="737"/>
      <c r="CG710" s="737"/>
      <c r="CH710" s="737"/>
      <c r="CI710" s="737"/>
      <c r="CJ710" s="737"/>
      <c r="CK710" s="737"/>
      <c r="CL710" s="737"/>
      <c r="CM710" s="737"/>
      <c r="CN710" s="737"/>
      <c r="CO710" s="737"/>
      <c r="CP710" s="737">
        <f>+M710</f>
        <v>0</v>
      </c>
      <c r="CQ710" s="737"/>
      <c r="CR710" s="737"/>
      <c r="CS710" s="737"/>
      <c r="CT710" s="737"/>
      <c r="CU710" s="737"/>
      <c r="CV710" s="737"/>
      <c r="CW710" s="737"/>
      <c r="CX710" s="737"/>
      <c r="CY710" s="737"/>
      <c r="CZ710" s="737"/>
      <c r="DA710" s="737"/>
      <c r="DB710" s="737"/>
      <c r="DC710" s="737"/>
      <c r="DD710" s="737"/>
      <c r="DE710" s="737"/>
      <c r="DF710" s="737"/>
      <c r="DG710" s="737"/>
      <c r="DH710" s="737"/>
      <c r="DI710" s="737"/>
      <c r="DJ710" s="737"/>
      <c r="DK710" s="737"/>
      <c r="DL710" s="737"/>
      <c r="DM710" s="737"/>
      <c r="DN710" s="737"/>
      <c r="DO710" s="737"/>
      <c r="DP710" s="737"/>
    </row>
    <row r="711" spans="1:120" s="13" customFormat="1" hidden="1" outlineLevel="1">
      <c r="A711" s="1221">
        <v>1110052090</v>
      </c>
      <c r="B711" s="1216"/>
      <c r="C711" s="101" t="s">
        <v>64</v>
      </c>
      <c r="D711" s="1712"/>
      <c r="E711" s="1642"/>
      <c r="F711" s="1224"/>
      <c r="G711" s="1266"/>
      <c r="H711" s="1225"/>
      <c r="I711" s="1226"/>
      <c r="J711" s="1604">
        <v>1</v>
      </c>
      <c r="K711" s="1605">
        <v>1</v>
      </c>
      <c r="L711" s="1606"/>
      <c r="M711" s="1626">
        <f t="shared" si="1991"/>
        <v>0</v>
      </c>
      <c r="N711" s="1228"/>
      <c r="O711" s="1229">
        <f t="shared" si="1992"/>
        <v>0</v>
      </c>
      <c r="P711" s="1713"/>
      <c r="Q711" s="1230">
        <f t="shared" si="1993"/>
        <v>0</v>
      </c>
      <c r="R711" s="1231"/>
      <c r="S711" s="1231"/>
      <c r="T711" s="1232">
        <f t="shared" si="1994"/>
        <v>0</v>
      </c>
      <c r="U711" s="2012">
        <f t="shared" si="1995"/>
        <v>0</v>
      </c>
      <c r="V711" s="1234">
        <f t="shared" si="1996"/>
        <v>0</v>
      </c>
      <c r="W711" s="1235">
        <f t="shared" si="1997"/>
        <v>0</v>
      </c>
      <c r="X711" s="1236">
        <f t="shared" si="1998"/>
        <v>0</v>
      </c>
      <c r="Y711" s="1162">
        <v>4231.45</v>
      </c>
      <c r="Z711" s="1058">
        <v>-1008407.01</v>
      </c>
      <c r="AA711" s="1163"/>
      <c r="AB711" s="1164">
        <f>+Q711</f>
        <v>0</v>
      </c>
      <c r="AC711" s="1164"/>
      <c r="AD711" s="1164"/>
      <c r="AE711" s="1164"/>
      <c r="AF711" s="1164"/>
      <c r="AG711" s="1164"/>
      <c r="AH711" s="1164"/>
      <c r="AI711" s="1164"/>
      <c r="AJ711" s="1164"/>
      <c r="AK711" s="1164"/>
      <c r="AL711" s="1578"/>
      <c r="AM711" s="1164"/>
      <c r="AN711" s="1164"/>
      <c r="AO711" s="1164"/>
      <c r="AP711" s="1164"/>
      <c r="AQ711" s="1164"/>
      <c r="AR711" s="1164"/>
      <c r="AS711" s="1164"/>
      <c r="AT711" s="1164"/>
      <c r="AU711" s="1164"/>
      <c r="AV711" s="1164"/>
      <c r="AW711" s="1164"/>
      <c r="AX711" s="1164"/>
      <c r="AY711" s="1164"/>
      <c r="AZ711" s="1164"/>
      <c r="BA711" s="1164"/>
      <c r="BB711" s="1164"/>
      <c r="BC711" s="1164"/>
      <c r="BD711" s="1164"/>
      <c r="BE711" s="1164"/>
      <c r="BF711" s="1164"/>
      <c r="BG711" s="1164"/>
      <c r="BH711" s="1164"/>
      <c r="BI711" s="1164"/>
      <c r="BJ711" s="1164"/>
      <c r="BK711" s="1164"/>
      <c r="BL711" s="1164"/>
      <c r="BM711" s="1164"/>
      <c r="BN711" s="1164"/>
      <c r="BO711" s="1164"/>
      <c r="BP711" s="1164"/>
      <c r="BQ711" s="1164"/>
      <c r="BR711" s="1164"/>
      <c r="BS711" s="1164"/>
      <c r="BT711" s="1164"/>
      <c r="BU711" s="1164"/>
      <c r="BV711" s="1164"/>
      <c r="BW711" s="1164"/>
      <c r="BX711" s="1164"/>
      <c r="BY711" s="1164"/>
      <c r="BZ711" s="1164"/>
      <c r="CA711" s="1164"/>
      <c r="CB711" s="1165"/>
      <c r="CC711" s="1165"/>
      <c r="CD711" s="1165"/>
      <c r="CE711" s="1165"/>
      <c r="CF711" s="1165"/>
      <c r="CG711" s="1165"/>
      <c r="CH711" s="1165"/>
      <c r="CI711" s="1165"/>
      <c r="CJ711" s="1165"/>
      <c r="CK711" s="1165"/>
      <c r="CL711" s="1165"/>
      <c r="CM711" s="1165" t="s">
        <v>294</v>
      </c>
      <c r="CN711" s="1165"/>
      <c r="CO711" s="1165"/>
      <c r="CP711" s="1165"/>
      <c r="CQ711" s="1165"/>
      <c r="CR711" s="1165"/>
      <c r="CS711" s="1165"/>
      <c r="CT711" s="1165"/>
      <c r="CU711" s="1165"/>
      <c r="CV711" s="1165"/>
      <c r="CW711" s="1165"/>
      <c r="CX711" s="1165"/>
      <c r="CY711" s="1165"/>
      <c r="CZ711" s="1165"/>
      <c r="DA711" s="1165"/>
      <c r="DB711" s="1165"/>
      <c r="DC711" s="1165"/>
      <c r="DD711" s="1165"/>
      <c r="DE711" s="1165"/>
      <c r="DF711" s="1165"/>
      <c r="DG711" s="1165"/>
      <c r="DH711" s="1165"/>
      <c r="DI711" s="1165"/>
      <c r="DJ711" s="1165"/>
      <c r="DK711" s="1165"/>
      <c r="DL711" s="1165"/>
      <c r="DM711" s="1165"/>
      <c r="DN711" s="1165"/>
      <c r="DO711" s="1165"/>
      <c r="DP711" s="1165"/>
    </row>
    <row r="712" spans="1:120" s="13" customFormat="1" hidden="1" outlineLevel="1">
      <c r="A712" s="1221">
        <v>1110052090</v>
      </c>
      <c r="B712" s="1216"/>
      <c r="C712" s="101" t="s">
        <v>64</v>
      </c>
      <c r="D712" s="1712"/>
      <c r="E712" s="1642"/>
      <c r="F712" s="1224"/>
      <c r="G712" s="1266"/>
      <c r="H712" s="1225"/>
      <c r="I712" s="1226"/>
      <c r="J712" s="1604">
        <v>1</v>
      </c>
      <c r="K712" s="1605">
        <v>1</v>
      </c>
      <c r="L712" s="1606"/>
      <c r="M712" s="1626">
        <f t="shared" ref="M712" si="1999">+L712*J712</f>
        <v>0</v>
      </c>
      <c r="N712" s="1228"/>
      <c r="O712" s="1229">
        <f t="shared" ref="O712" si="2000">+L712*N712</f>
        <v>0</v>
      </c>
      <c r="P712" s="1713"/>
      <c r="Q712" s="1230">
        <f t="shared" ref="Q712" si="2001">+P712*K712</f>
        <v>0</v>
      </c>
      <c r="R712" s="1231"/>
      <c r="S712" s="1231"/>
      <c r="T712" s="1232">
        <f t="shared" ref="T712" si="2002">+P712*S712</f>
        <v>0</v>
      </c>
      <c r="U712" s="2012">
        <f t="shared" ref="U712" si="2003">+L712+P712+F712</f>
        <v>0</v>
      </c>
      <c r="V712" s="1234">
        <f t="shared" ref="V712" si="2004">+P712*R712+L712*N712+F712*H712</f>
        <v>0</v>
      </c>
      <c r="W712" s="1235">
        <f t="shared" ref="W712" si="2005">IF((-P712*R712)-(-P712*S712)&gt;0,(-P712*R712)-(-P712*S712),0)</f>
        <v>0</v>
      </c>
      <c r="X712" s="1236">
        <f t="shared" ref="X712" si="2006">IF((-P712*R712)-(-P712*S712)&lt;0,(-P712*R712)-(-P712*S712),0)</f>
        <v>0</v>
      </c>
      <c r="Y712" s="1162">
        <v>4413.8599999999997</v>
      </c>
      <c r="Z712" s="1058">
        <v>-51434053.170000002</v>
      </c>
      <c r="AA712" s="1163"/>
      <c r="AB712" s="1164"/>
      <c r="AC712" s="1164"/>
      <c r="AD712" s="1164"/>
      <c r="AE712" s="1164"/>
      <c r="AF712" s="1164"/>
      <c r="AG712" s="1164"/>
      <c r="AH712" s="1164"/>
      <c r="AI712" s="1164"/>
      <c r="AJ712" s="1164"/>
      <c r="AK712" s="1164"/>
      <c r="AL712" s="1578">
        <f>+Q712</f>
        <v>0</v>
      </c>
      <c r="AM712" s="1164"/>
      <c r="AN712" s="1164"/>
      <c r="AO712" s="1164"/>
      <c r="AP712" s="1164"/>
      <c r="AQ712" s="1164"/>
      <c r="AR712" s="1164"/>
      <c r="AS712" s="1164"/>
      <c r="AT712" s="1164"/>
      <c r="AU712" s="1164"/>
      <c r="AV712" s="1164"/>
      <c r="AW712" s="1164"/>
      <c r="AX712" s="1164"/>
      <c r="AY712" s="1164"/>
      <c r="AZ712" s="1164"/>
      <c r="BA712" s="1164"/>
      <c r="BB712" s="1164"/>
      <c r="BC712" s="1164"/>
      <c r="BD712" s="1164"/>
      <c r="BE712" s="1164"/>
      <c r="BF712" s="1164"/>
      <c r="BG712" s="1164"/>
      <c r="BH712" s="1164"/>
      <c r="BI712" s="1164"/>
      <c r="BJ712" s="1164"/>
      <c r="BK712" s="1164"/>
      <c r="BL712" s="1164"/>
      <c r="BM712" s="1164"/>
      <c r="BN712" s="1164"/>
      <c r="BO712" s="1164"/>
      <c r="BP712" s="1164"/>
      <c r="BQ712" s="1164"/>
      <c r="BR712" s="1164"/>
      <c r="BS712" s="1164"/>
      <c r="BT712" s="1164"/>
      <c r="BU712" s="1164"/>
      <c r="BV712" s="1164"/>
      <c r="BW712" s="1164"/>
      <c r="BX712" s="1164"/>
      <c r="BY712" s="1164"/>
      <c r="BZ712" s="1164"/>
      <c r="CA712" s="1164"/>
      <c r="CB712" s="1165"/>
      <c r="CC712" s="1165"/>
      <c r="CD712" s="1165"/>
      <c r="CE712" s="1165"/>
      <c r="CF712" s="1165"/>
      <c r="CG712" s="1165"/>
      <c r="CH712" s="1165"/>
      <c r="CI712" s="1165"/>
      <c r="CJ712" s="1165"/>
      <c r="CK712" s="1165"/>
      <c r="CL712" s="1165"/>
      <c r="CM712" s="1165"/>
      <c r="CN712" s="1165" t="s">
        <v>294</v>
      </c>
      <c r="CO712" s="1165"/>
      <c r="CP712" s="1165"/>
      <c r="CQ712" s="1165"/>
      <c r="CR712" s="1165"/>
      <c r="CS712" s="1165"/>
      <c r="CT712" s="1165"/>
      <c r="CU712" s="1165"/>
      <c r="CV712" s="1165"/>
      <c r="CW712" s="1165"/>
      <c r="CX712" s="1165"/>
      <c r="CY712" s="1165"/>
      <c r="CZ712" s="1165"/>
      <c r="DA712" s="1165"/>
      <c r="DB712" s="1165"/>
      <c r="DC712" s="1165"/>
      <c r="DD712" s="1165"/>
      <c r="DE712" s="1165"/>
      <c r="DF712" s="1165"/>
      <c r="DG712" s="1165"/>
      <c r="DH712" s="1165"/>
      <c r="DI712" s="1165"/>
      <c r="DJ712" s="1165"/>
      <c r="DK712" s="1165"/>
      <c r="DL712" s="1165"/>
      <c r="DM712" s="1165"/>
      <c r="DN712" s="1165"/>
      <c r="DO712" s="1165"/>
      <c r="DP712" s="1165"/>
    </row>
    <row r="713" spans="1:120" s="13" customFormat="1" hidden="1" outlineLevel="1">
      <c r="A713" s="1221">
        <v>1110052090</v>
      </c>
      <c r="B713" s="1216"/>
      <c r="C713" s="101" t="s">
        <v>64</v>
      </c>
      <c r="D713" s="1712"/>
      <c r="E713" s="1642"/>
      <c r="F713" s="1224"/>
      <c r="G713" s="1266"/>
      <c r="H713" s="1225"/>
      <c r="I713" s="1226"/>
      <c r="J713" s="1604">
        <v>1</v>
      </c>
      <c r="K713" s="1605">
        <v>1</v>
      </c>
      <c r="L713" s="1606"/>
      <c r="M713" s="1626">
        <f t="shared" ref="M713" si="2007">+L713*J713</f>
        <v>0</v>
      </c>
      <c r="N713" s="1228"/>
      <c r="O713" s="1229">
        <f t="shared" ref="O713" si="2008">+L713*N713</f>
        <v>0</v>
      </c>
      <c r="P713" s="1713"/>
      <c r="Q713" s="1230">
        <f t="shared" ref="Q713" si="2009">+P713*K713</f>
        <v>0</v>
      </c>
      <c r="R713" s="1231"/>
      <c r="S713" s="1231"/>
      <c r="T713" s="1232">
        <f t="shared" ref="T713" si="2010">+P713*S713</f>
        <v>0</v>
      </c>
      <c r="U713" s="2012">
        <f t="shared" ref="U713" si="2011">+L713+P713+F713</f>
        <v>0</v>
      </c>
      <c r="V713" s="1234">
        <f t="shared" ref="V713" si="2012">+P713*R713+L713*N713+F713*H713</f>
        <v>0</v>
      </c>
      <c r="W713" s="1235">
        <f t="shared" ref="W713" si="2013">IF((-P713*R713)-(-P713*S713)&gt;0,(-P713*R713)-(-P713*S713),0)</f>
        <v>0</v>
      </c>
      <c r="X713" s="1236">
        <f t="shared" ref="X713" si="2014">IF((-P713*R713)-(-P713*S713)&lt;0,(-P713*R713)-(-P713*S713),0)</f>
        <v>0</v>
      </c>
      <c r="Y713" s="1162">
        <v>4388.0200000000004</v>
      </c>
      <c r="Z713" s="1058">
        <v>-47557539.82</v>
      </c>
      <c r="AA713" s="1163"/>
      <c r="AB713" s="1164"/>
      <c r="AC713" s="1164"/>
      <c r="AD713" s="1164"/>
      <c r="AE713" s="1164"/>
      <c r="AF713" s="1164"/>
      <c r="AG713" s="1164"/>
      <c r="AH713" s="1164"/>
      <c r="AI713" s="1164"/>
      <c r="AJ713" s="1164"/>
      <c r="AK713" s="1164"/>
      <c r="AL713" s="1578"/>
      <c r="AM713" s="1164"/>
      <c r="AN713" s="1164"/>
      <c r="AO713" s="1164"/>
      <c r="AP713" s="1164"/>
      <c r="AQ713" s="1164"/>
      <c r="AR713" s="1164"/>
      <c r="AS713" s="1164"/>
      <c r="AT713" s="1164"/>
      <c r="AU713" s="1164"/>
      <c r="AV713" s="1164"/>
      <c r="AW713" s="1164"/>
      <c r="AX713" s="1164"/>
      <c r="AY713" s="1164"/>
      <c r="AZ713" s="1164"/>
      <c r="BA713" s="1164"/>
      <c r="BB713" s="1164"/>
      <c r="BC713" s="1164"/>
      <c r="BD713" s="1164"/>
      <c r="BE713" s="1164"/>
      <c r="BF713" s="1164"/>
      <c r="BG713" s="1164"/>
      <c r="BH713" s="1164"/>
      <c r="BI713" s="1164"/>
      <c r="BJ713" s="1164"/>
      <c r="BK713" s="1164"/>
      <c r="BL713" s="1164"/>
      <c r="BM713" s="1164"/>
      <c r="BN713" s="1164"/>
      <c r="BO713" s="1164"/>
      <c r="BP713" s="1164"/>
      <c r="BQ713" s="1164"/>
      <c r="BR713" s="1164"/>
      <c r="BS713" s="1164"/>
      <c r="BT713" s="1164"/>
      <c r="BU713" s="1164"/>
      <c r="BV713" s="1164"/>
      <c r="BW713" s="1164"/>
      <c r="BX713" s="1164"/>
      <c r="BY713" s="1164"/>
      <c r="BZ713" s="1164"/>
      <c r="CA713" s="1164"/>
      <c r="CB713" s="1165"/>
      <c r="CC713" s="1165"/>
      <c r="CD713" s="1165"/>
      <c r="CE713" s="1165"/>
      <c r="CF713" s="1165"/>
      <c r="CG713" s="1165"/>
      <c r="CH713" s="1165"/>
      <c r="CI713" s="1165"/>
      <c r="CJ713" s="1165"/>
      <c r="CK713" s="1165"/>
      <c r="CL713" s="1165"/>
      <c r="CM713" s="1165"/>
      <c r="CN713" s="1165">
        <f>+Q713</f>
        <v>0</v>
      </c>
      <c r="CO713" s="1165"/>
      <c r="CP713" s="1165"/>
      <c r="CQ713" s="1165"/>
      <c r="CR713" s="1165"/>
      <c r="CS713" s="1165"/>
      <c r="CT713" s="1165"/>
      <c r="CU713" s="1165"/>
      <c r="CV713" s="1165"/>
      <c r="CW713" s="1165"/>
      <c r="CX713" s="1165"/>
      <c r="CY713" s="1165"/>
      <c r="CZ713" s="1165"/>
      <c r="DA713" s="1165"/>
      <c r="DB713" s="1165"/>
      <c r="DC713" s="1165"/>
      <c r="DD713" s="1165"/>
      <c r="DE713" s="1165"/>
      <c r="DF713" s="1165"/>
      <c r="DG713" s="1165"/>
      <c r="DH713" s="1165"/>
      <c r="DI713" s="1165"/>
      <c r="DJ713" s="1165"/>
      <c r="DK713" s="1165"/>
      <c r="DL713" s="1165"/>
      <c r="DM713" s="1165"/>
      <c r="DN713" s="1165"/>
      <c r="DO713" s="1165"/>
      <c r="DP713" s="1165"/>
    </row>
    <row r="714" spans="1:120" s="13" customFormat="1" hidden="1" outlineLevel="1">
      <c r="A714" s="1221">
        <v>1110052090</v>
      </c>
      <c r="B714" s="1216"/>
      <c r="C714" s="101" t="s">
        <v>64</v>
      </c>
      <c r="D714" s="1712"/>
      <c r="E714" s="1642"/>
      <c r="F714" s="1224"/>
      <c r="G714" s="1266"/>
      <c r="H714" s="1225"/>
      <c r="I714" s="1226"/>
      <c r="J714" s="1604">
        <v>1</v>
      </c>
      <c r="K714" s="1605">
        <v>1</v>
      </c>
      <c r="L714" s="1606"/>
      <c r="M714" s="1626">
        <f t="shared" ref="M714" si="2015">+L714*J714</f>
        <v>0</v>
      </c>
      <c r="N714" s="1228"/>
      <c r="O714" s="1229">
        <f t="shared" ref="O714" si="2016">+L714*N714</f>
        <v>0</v>
      </c>
      <c r="P714" s="1713"/>
      <c r="Q714" s="1230">
        <f t="shared" ref="Q714" si="2017">+P714*K714</f>
        <v>0</v>
      </c>
      <c r="R714" s="1231"/>
      <c r="S714" s="1231"/>
      <c r="T714" s="1232">
        <f t="shared" ref="T714" si="2018">+P714*S714</f>
        <v>0</v>
      </c>
      <c r="U714" s="2012">
        <f t="shared" ref="U714" si="2019">+L714+P714+F714</f>
        <v>0</v>
      </c>
      <c r="V714" s="1234">
        <f t="shared" ref="V714" si="2020">+P714*R714+L714*N714+F714*H714</f>
        <v>0</v>
      </c>
      <c r="W714" s="1235">
        <f t="shared" ref="W714" si="2021">IF((-P714*R714)-(-P714*S714)&gt;0,(-P714*R714)-(-P714*S714),0)</f>
        <v>0</v>
      </c>
      <c r="X714" s="1236">
        <f t="shared" ref="X714" si="2022">IF((-P714*R714)-(-P714*S714)&lt;0,(-P714*R714)-(-P714*S714),0)</f>
        <v>0</v>
      </c>
      <c r="Y714" s="1162">
        <v>4388.0200000000004</v>
      </c>
      <c r="Z714" s="1058">
        <v>-47557539.82</v>
      </c>
      <c r="AA714" s="1163"/>
      <c r="AB714" s="1164"/>
      <c r="AC714" s="1164"/>
      <c r="AD714" s="1164"/>
      <c r="AE714" s="1164"/>
      <c r="AF714" s="1164"/>
      <c r="AG714" s="1164"/>
      <c r="AH714" s="1164"/>
      <c r="AI714" s="1164"/>
      <c r="AJ714" s="1164"/>
      <c r="AK714" s="1164"/>
      <c r="AL714" s="1578"/>
      <c r="AM714" s="1164"/>
      <c r="AN714" s="1164"/>
      <c r="AO714" s="1164"/>
      <c r="AP714" s="1164"/>
      <c r="AQ714" s="1164"/>
      <c r="AR714" s="1164"/>
      <c r="AS714" s="1164"/>
      <c r="AT714" s="1164"/>
      <c r="AU714" s="1164"/>
      <c r="AV714" s="1164"/>
      <c r="AW714" s="1164"/>
      <c r="AX714" s="1164"/>
      <c r="AY714" s="1164"/>
      <c r="AZ714" s="1164"/>
      <c r="BA714" s="1164"/>
      <c r="BB714" s="1164"/>
      <c r="BC714" s="1164"/>
      <c r="BD714" s="1164"/>
      <c r="BE714" s="1164"/>
      <c r="BF714" s="1164"/>
      <c r="BG714" s="1164"/>
      <c r="BH714" s="1164"/>
      <c r="BI714" s="1164"/>
      <c r="BJ714" s="1164"/>
      <c r="BK714" s="1164"/>
      <c r="BL714" s="1164"/>
      <c r="BM714" s="1164"/>
      <c r="BN714" s="1164"/>
      <c r="BO714" s="1164"/>
      <c r="BP714" s="1164"/>
      <c r="BQ714" s="1164"/>
      <c r="BR714" s="1164"/>
      <c r="BS714" s="1164"/>
      <c r="BT714" s="1164"/>
      <c r="BU714" s="1164"/>
      <c r="BV714" s="1164"/>
      <c r="BW714" s="1164"/>
      <c r="BX714" s="1164"/>
      <c r="BY714" s="1164"/>
      <c r="BZ714" s="1164"/>
      <c r="CA714" s="1164"/>
      <c r="CB714" s="1165"/>
      <c r="CC714" s="1165"/>
      <c r="CD714" s="1165"/>
      <c r="CE714" s="1165"/>
      <c r="CF714" s="1165"/>
      <c r="CG714" s="1165"/>
      <c r="CH714" s="1165"/>
      <c r="CI714" s="1165"/>
      <c r="CJ714" s="1165"/>
      <c r="CK714" s="1165"/>
      <c r="CL714" s="1165"/>
      <c r="CM714" s="1165"/>
      <c r="CN714" s="1165"/>
      <c r="CO714" s="1165"/>
      <c r="CP714" s="1165">
        <f>+Q714</f>
        <v>0</v>
      </c>
      <c r="CQ714" s="1165"/>
      <c r="CR714" s="1165"/>
      <c r="CS714" s="1165"/>
      <c r="CT714" s="1165"/>
      <c r="CU714" s="1165"/>
      <c r="CV714" s="1165"/>
      <c r="CW714" s="1165"/>
      <c r="CX714" s="1165"/>
      <c r="CY714" s="1165"/>
      <c r="CZ714" s="1165"/>
      <c r="DA714" s="1165"/>
      <c r="DB714" s="1165"/>
      <c r="DC714" s="1165"/>
      <c r="DD714" s="1165"/>
      <c r="DE714" s="1165"/>
      <c r="DF714" s="1165"/>
      <c r="DG714" s="1165"/>
      <c r="DH714" s="1165"/>
      <c r="DI714" s="1165"/>
      <c r="DJ714" s="1165"/>
      <c r="DK714" s="1165"/>
      <c r="DL714" s="1165"/>
      <c r="DM714" s="1165"/>
      <c r="DN714" s="1165"/>
      <c r="DO714" s="1165"/>
      <c r="DP714" s="1165"/>
    </row>
    <row r="715" spans="1:120" hidden="1" outlineLevel="1">
      <c r="A715" s="55">
        <v>1110052090</v>
      </c>
      <c r="B715" s="90"/>
      <c r="C715" s="91" t="s">
        <v>64</v>
      </c>
      <c r="D715" s="1557"/>
      <c r="E715" s="1558"/>
      <c r="F715" s="416"/>
      <c r="G715" s="1251"/>
      <c r="H715" s="511"/>
      <c r="I715" s="512"/>
      <c r="J715" s="1425">
        <v>1</v>
      </c>
      <c r="K715" s="1426">
        <v>1</v>
      </c>
      <c r="L715" s="417"/>
      <c r="M715" s="1540">
        <f t="shared" ref="M715" si="2023">+L715*J715</f>
        <v>0</v>
      </c>
      <c r="N715" s="504"/>
      <c r="O715" s="513">
        <f t="shared" ref="O715" si="2024">+L715*N715</f>
        <v>0</v>
      </c>
      <c r="P715" s="431"/>
      <c r="Q715" s="514">
        <f t="shared" ref="Q715" si="2025">+P715*K715</f>
        <v>0</v>
      </c>
      <c r="R715" s="515"/>
      <c r="S715" s="515"/>
      <c r="T715" s="562">
        <f t="shared" ref="T715" si="2026">+P715*S715</f>
        <v>0</v>
      </c>
      <c r="U715" s="439">
        <f t="shared" ref="U715" si="2027">+L715+P715+F715</f>
        <v>0</v>
      </c>
      <c r="V715" s="517">
        <f t="shared" ref="V715" si="2028">+P715*R715+L715*N715+F715*H715</f>
        <v>0</v>
      </c>
      <c r="W715" s="976">
        <f t="shared" ref="W715" si="2029">IF((-P715*R715)-(-P715*S715)&gt;0,(-P715*R715)-(-P715*S715),0)</f>
        <v>0</v>
      </c>
      <c r="X715" s="975">
        <f t="shared" ref="X715" si="2030">IF((-P715*R715)-(-P715*S715)&lt;0,(-P715*R715)-(-P715*S715),0)</f>
        <v>0</v>
      </c>
      <c r="Y715" s="519"/>
      <c r="AA715" s="199"/>
      <c r="AB715" s="561"/>
      <c r="AC715" s="561"/>
      <c r="AD715" s="561"/>
      <c r="AE715" s="561"/>
      <c r="AF715" s="561"/>
      <c r="AG715" s="561"/>
      <c r="AH715" s="561"/>
      <c r="AI715" s="561"/>
      <c r="AJ715" s="561"/>
      <c r="AK715" s="561"/>
      <c r="AL715" s="1542"/>
      <c r="AM715" s="561"/>
      <c r="AN715" s="561"/>
      <c r="AO715" s="561"/>
      <c r="AP715" s="561"/>
      <c r="AQ715" s="561"/>
      <c r="AR715" s="561"/>
      <c r="AS715" s="561"/>
      <c r="AT715" s="561"/>
      <c r="AU715" s="561"/>
      <c r="AV715" s="561"/>
      <c r="AW715" s="561"/>
      <c r="AX715" s="561"/>
      <c r="AY715" s="561"/>
      <c r="AZ715" s="561"/>
      <c r="BA715" s="561"/>
      <c r="BB715" s="561"/>
      <c r="BC715" s="561"/>
      <c r="BD715" s="561"/>
      <c r="BE715" s="561"/>
      <c r="BF715" s="561"/>
      <c r="BG715" s="561"/>
      <c r="BH715" s="561"/>
      <c r="BI715" s="561"/>
      <c r="BJ715" s="561"/>
      <c r="BK715" s="561"/>
      <c r="BL715" s="561"/>
      <c r="BM715" s="561"/>
      <c r="BN715" s="561"/>
      <c r="BO715" s="561"/>
      <c r="BP715" s="561"/>
      <c r="BQ715" s="561"/>
      <c r="BR715" s="561"/>
      <c r="BS715" s="561"/>
      <c r="BT715" s="561"/>
      <c r="BU715" s="561"/>
      <c r="BV715" s="561"/>
      <c r="BW715" s="561"/>
      <c r="BX715" s="561"/>
      <c r="BY715" s="561"/>
      <c r="BZ715" s="561"/>
      <c r="CA715" s="561"/>
      <c r="CB715" s="737"/>
      <c r="CC715" s="737"/>
      <c r="CD715" s="737"/>
      <c r="CE715" s="737"/>
      <c r="CF715" s="737"/>
      <c r="CG715" s="737"/>
      <c r="CH715" s="737"/>
      <c r="CI715" s="737"/>
      <c r="CJ715" s="737"/>
      <c r="CK715" s="737"/>
      <c r="CL715" s="737"/>
      <c r="CM715" s="737"/>
      <c r="CN715" s="737"/>
      <c r="CO715" s="737"/>
      <c r="CP715" s="737"/>
      <c r="CQ715" s="737"/>
      <c r="CR715" s="737"/>
      <c r="CS715" s="737"/>
      <c r="CT715" s="737"/>
      <c r="CU715" s="737"/>
      <c r="CV715" s="737"/>
      <c r="CW715" s="737"/>
      <c r="CX715" s="737"/>
      <c r="CY715" s="737"/>
      <c r="CZ715" s="737"/>
      <c r="DA715" s="737"/>
      <c r="DB715" s="737"/>
      <c r="DC715" s="737"/>
      <c r="DD715" s="737"/>
      <c r="DE715" s="737"/>
      <c r="DF715" s="737"/>
      <c r="DG715" s="737"/>
      <c r="DH715" s="737"/>
      <c r="DI715" s="737"/>
      <c r="DJ715" s="737"/>
      <c r="DK715" s="737"/>
      <c r="DL715" s="737"/>
      <c r="DM715" s="737"/>
      <c r="DN715" s="737"/>
      <c r="DO715" s="737"/>
      <c r="DP715" s="737"/>
    </row>
    <row r="716" spans="1:120" s="61" customFormat="1" hidden="1" outlineLevel="1">
      <c r="A716" s="57"/>
      <c r="B716" s="195"/>
      <c r="C716" s="196" t="s">
        <v>64</v>
      </c>
      <c r="D716" s="1557"/>
      <c r="E716" s="1558"/>
      <c r="F716" s="416"/>
      <c r="G716" s="1251"/>
      <c r="H716" s="511"/>
      <c r="I716" s="512"/>
      <c r="J716" s="1381"/>
      <c r="K716" s="1427"/>
      <c r="L716" s="59"/>
      <c r="M716" s="1541"/>
      <c r="N716" s="524"/>
      <c r="O716" s="525">
        <f>+L716*N716</f>
        <v>0</v>
      </c>
      <c r="P716" s="197"/>
      <c r="Q716" s="526"/>
      <c r="R716" s="527"/>
      <c r="S716" s="527"/>
      <c r="T716" s="564">
        <f>+P716*S716</f>
        <v>0</v>
      </c>
      <c r="U716" s="439">
        <f>+L716+P716+F716</f>
        <v>0</v>
      </c>
      <c r="V716" s="529">
        <f>+P716*R716+L716*N716+F716*H716</f>
        <v>0</v>
      </c>
      <c r="W716" s="94">
        <f>IF((-P716*R716)-(-P716*S716)&gt;0,(-P716*R716)-(-P716*S716),0)</f>
        <v>0</v>
      </c>
      <c r="X716" s="530">
        <f>IF((-P716*R716)-(-P716*S716)&lt;0,(-P716*R716)-(-P716*S716),0)</f>
        <v>0</v>
      </c>
      <c r="Y716" s="531"/>
      <c r="Z716" s="1056"/>
      <c r="AA716" s="198"/>
      <c r="AB716" s="707"/>
      <c r="AC716" s="707"/>
      <c r="AD716" s="707"/>
      <c r="AE716" s="707"/>
      <c r="AF716" s="707"/>
      <c r="AG716" s="707"/>
      <c r="AH716" s="707"/>
      <c r="AI716" s="707"/>
      <c r="AJ716" s="707"/>
      <c r="AK716" s="707"/>
      <c r="AL716" s="1577"/>
      <c r="AM716" s="707"/>
      <c r="AN716" s="707"/>
      <c r="AO716" s="707"/>
      <c r="AP716" s="707"/>
      <c r="AQ716" s="707"/>
      <c r="AR716" s="707"/>
      <c r="AS716" s="707"/>
      <c r="AT716" s="707"/>
      <c r="AU716" s="707"/>
      <c r="AV716" s="707"/>
      <c r="AW716" s="707"/>
      <c r="AX716" s="707"/>
      <c r="AY716" s="707"/>
      <c r="AZ716" s="707"/>
      <c r="BA716" s="707"/>
      <c r="BB716" s="707"/>
      <c r="BC716" s="707"/>
      <c r="BD716" s="707"/>
      <c r="BE716" s="707"/>
      <c r="BF716" s="707"/>
      <c r="BG716" s="707"/>
      <c r="BH716" s="707"/>
      <c r="BI716" s="707"/>
      <c r="BJ716" s="707"/>
      <c r="BK716" s="707"/>
      <c r="BL716" s="707"/>
      <c r="BM716" s="707"/>
      <c r="BN716" s="707"/>
      <c r="BO716" s="707"/>
      <c r="BP716" s="707"/>
      <c r="BQ716" s="707"/>
      <c r="BR716" s="707"/>
      <c r="BS716" s="707"/>
      <c r="BT716" s="707"/>
      <c r="BU716" s="707"/>
      <c r="BV716" s="707"/>
      <c r="BW716" s="707"/>
      <c r="BX716" s="707"/>
      <c r="BY716" s="707"/>
      <c r="BZ716" s="707"/>
      <c r="CA716" s="707"/>
      <c r="CB716" s="736"/>
      <c r="CC716" s="736"/>
      <c r="CD716" s="736"/>
      <c r="CE716" s="736"/>
      <c r="CF716" s="736"/>
      <c r="CG716" s="736"/>
      <c r="CH716" s="736"/>
      <c r="CI716" s="736"/>
      <c r="CJ716" s="736"/>
      <c r="CK716" s="736"/>
      <c r="CL716" s="736"/>
      <c r="CM716" s="736"/>
      <c r="CN716" s="736"/>
      <c r="CO716" s="736"/>
      <c r="CP716" s="736"/>
      <c r="CQ716" s="736"/>
      <c r="CR716" s="736"/>
      <c r="CS716" s="736"/>
      <c r="CT716" s="736"/>
      <c r="CU716" s="736"/>
      <c r="CV716" s="736"/>
      <c r="CW716" s="736"/>
      <c r="CX716" s="736"/>
      <c r="CY716" s="736"/>
      <c r="CZ716" s="736"/>
      <c r="DA716" s="736"/>
      <c r="DB716" s="736"/>
      <c r="DC716" s="736"/>
      <c r="DD716" s="736"/>
      <c r="DE716" s="736"/>
      <c r="DF716" s="736"/>
      <c r="DG716" s="736"/>
      <c r="DH716" s="736"/>
      <c r="DI716" s="736"/>
      <c r="DJ716" s="736"/>
      <c r="DK716" s="736"/>
      <c r="DL716" s="736"/>
      <c r="DM716" s="736"/>
      <c r="DN716" s="736"/>
      <c r="DO716" s="736"/>
      <c r="DP716" s="736"/>
    </row>
    <row r="717" spans="1:120" s="61" customFormat="1" hidden="1" outlineLevel="1">
      <c r="A717" s="57"/>
      <c r="B717" s="195"/>
      <c r="C717" s="196" t="s">
        <v>64</v>
      </c>
      <c r="D717" s="1557"/>
      <c r="E717" s="1558"/>
      <c r="F717" s="416"/>
      <c r="G717" s="1251"/>
      <c r="H717" s="511"/>
      <c r="I717" s="512"/>
      <c r="J717" s="1381"/>
      <c r="K717" s="1427"/>
      <c r="L717" s="59"/>
      <c r="M717" s="1541"/>
      <c r="N717" s="524"/>
      <c r="O717" s="525">
        <f>+L717*N717</f>
        <v>0</v>
      </c>
      <c r="P717" s="197"/>
      <c r="Q717" s="526"/>
      <c r="R717" s="527"/>
      <c r="S717" s="527"/>
      <c r="T717" s="564">
        <f>+P717*S717</f>
        <v>0</v>
      </c>
      <c r="U717" s="439">
        <f>+L717+P717+F717</f>
        <v>0</v>
      </c>
      <c r="V717" s="529">
        <f>+P717*R717+L717*N717+F717*H717</f>
        <v>0</v>
      </c>
      <c r="W717" s="94">
        <f>IF((-P717*R717)-(-P717*S717)&gt;0,(-P717*R717)-(-P717*S717),0)</f>
        <v>0</v>
      </c>
      <c r="X717" s="530">
        <f>IF((-P717*R717)-(-P717*S717)&lt;0,(-P717*R717)-(-P717*S717),0)</f>
        <v>0</v>
      </c>
      <c r="Y717" s="531"/>
      <c r="Z717" s="1056"/>
      <c r="AA717" s="198"/>
      <c r="AB717" s="707"/>
      <c r="AC717" s="707"/>
      <c r="AD717" s="707"/>
      <c r="AE717" s="707"/>
      <c r="AF717" s="707"/>
      <c r="AG717" s="707"/>
      <c r="AH717" s="707"/>
      <c r="AI717" s="707"/>
      <c r="AJ717" s="707"/>
      <c r="AK717" s="707"/>
      <c r="AL717" s="1577"/>
      <c r="AM717" s="707"/>
      <c r="AN717" s="707"/>
      <c r="AO717" s="707"/>
      <c r="AP717" s="707"/>
      <c r="AQ717" s="707"/>
      <c r="AR717" s="707"/>
      <c r="AS717" s="707"/>
      <c r="AT717" s="707"/>
      <c r="AU717" s="707"/>
      <c r="AV717" s="707"/>
      <c r="AW717" s="707"/>
      <c r="AX717" s="707"/>
      <c r="AY717" s="707"/>
      <c r="AZ717" s="707"/>
      <c r="BA717" s="707"/>
      <c r="BB717" s="707"/>
      <c r="BC717" s="707"/>
      <c r="BD717" s="707"/>
      <c r="BE717" s="707"/>
      <c r="BF717" s="707"/>
      <c r="BG717" s="707"/>
      <c r="BH717" s="707"/>
      <c r="BI717" s="707"/>
      <c r="BJ717" s="707"/>
      <c r="BK717" s="707"/>
      <c r="BL717" s="707"/>
      <c r="BM717" s="707"/>
      <c r="BN717" s="707"/>
      <c r="BO717" s="707"/>
      <c r="BP717" s="707"/>
      <c r="BQ717" s="707"/>
      <c r="BR717" s="707"/>
      <c r="BS717" s="707"/>
      <c r="BT717" s="707"/>
      <c r="BU717" s="707"/>
      <c r="BV717" s="707"/>
      <c r="BW717" s="707"/>
      <c r="BX717" s="707"/>
      <c r="BY717" s="707"/>
      <c r="BZ717" s="707"/>
      <c r="CA717" s="707"/>
      <c r="CB717" s="736"/>
      <c r="CC717" s="736"/>
      <c r="CD717" s="736"/>
      <c r="CE717" s="736"/>
      <c r="CF717" s="736"/>
      <c r="CG717" s="736"/>
      <c r="CH717" s="736"/>
      <c r="CI717" s="736"/>
      <c r="CJ717" s="736"/>
      <c r="CK717" s="736"/>
      <c r="CL717" s="736"/>
      <c r="CM717" s="736"/>
      <c r="CN717" s="736"/>
      <c r="CO717" s="736"/>
      <c r="CP717" s="736"/>
      <c r="CQ717" s="736"/>
      <c r="CR717" s="736"/>
      <c r="CS717" s="736"/>
      <c r="CT717" s="736"/>
      <c r="CU717" s="736"/>
      <c r="CV717" s="736"/>
      <c r="CW717" s="736"/>
      <c r="CX717" s="736"/>
      <c r="CY717" s="736"/>
      <c r="CZ717" s="736"/>
      <c r="DA717" s="736"/>
      <c r="DB717" s="736"/>
      <c r="DC717" s="736"/>
      <c r="DD717" s="736"/>
      <c r="DE717" s="736"/>
      <c r="DF717" s="736"/>
      <c r="DG717" s="736"/>
      <c r="DH717" s="736"/>
      <c r="DI717" s="736"/>
      <c r="DJ717" s="736"/>
      <c r="DK717" s="736"/>
      <c r="DL717" s="736"/>
      <c r="DM717" s="736"/>
      <c r="DN717" s="736"/>
      <c r="DO717" s="736"/>
      <c r="DP717" s="736"/>
    </row>
    <row r="718" spans="1:120" hidden="1" outlineLevel="1">
      <c r="A718" s="55"/>
      <c r="B718" s="90"/>
      <c r="C718" s="91"/>
      <c r="D718" s="1538"/>
      <c r="E718" s="1539"/>
      <c r="F718" s="416"/>
      <c r="G718" s="1251"/>
      <c r="H718" s="511"/>
      <c r="I718" s="512"/>
      <c r="J718" s="1381"/>
      <c r="K718" s="1427"/>
      <c r="L718" s="417"/>
      <c r="M718" s="1540"/>
      <c r="N718" s="504"/>
      <c r="O718" s="513"/>
      <c r="P718" s="431"/>
      <c r="Q718" s="514"/>
      <c r="R718" s="515"/>
      <c r="S718" s="515"/>
      <c r="T718" s="562">
        <f>+P718*S718</f>
        <v>0</v>
      </c>
      <c r="U718" s="439">
        <f>+L718+P718+F718</f>
        <v>0</v>
      </c>
      <c r="V718" s="517">
        <f>+P718*R718+L718*N718+F718*H718</f>
        <v>0</v>
      </c>
      <c r="W718" s="976"/>
      <c r="X718" s="975"/>
      <c r="Y718" s="519"/>
      <c r="AA718" s="199"/>
      <c r="AB718" s="561"/>
      <c r="AC718" s="561"/>
      <c r="AD718" s="561"/>
      <c r="AE718" s="561"/>
      <c r="AF718" s="561"/>
      <c r="AG718" s="561"/>
      <c r="AH718" s="561"/>
      <c r="AI718" s="561"/>
      <c r="AJ718" s="561"/>
      <c r="AK718" s="561"/>
      <c r="AL718" s="1542"/>
      <c r="AM718" s="561"/>
      <c r="AN718" s="561"/>
      <c r="AO718" s="561"/>
      <c r="AP718" s="561"/>
      <c r="AQ718" s="561"/>
      <c r="AR718" s="561"/>
      <c r="AS718" s="561"/>
      <c r="AT718" s="561"/>
      <c r="AU718" s="561"/>
      <c r="AV718" s="561"/>
      <c r="AW718" s="561"/>
      <c r="AX718" s="561"/>
      <c r="AY718" s="561"/>
      <c r="AZ718" s="561"/>
      <c r="BA718" s="561"/>
      <c r="BB718" s="561"/>
      <c r="BC718" s="561"/>
      <c r="BD718" s="561"/>
      <c r="BE718" s="561"/>
      <c r="BF718" s="561"/>
      <c r="BG718" s="561"/>
      <c r="BH718" s="561"/>
      <c r="BI718" s="561"/>
      <c r="BJ718" s="561"/>
      <c r="BK718" s="561"/>
      <c r="BL718" s="561"/>
      <c r="BM718" s="561"/>
      <c r="BN718" s="561"/>
      <c r="BO718" s="561"/>
      <c r="BP718" s="561"/>
      <c r="BQ718" s="561"/>
      <c r="BR718" s="561"/>
      <c r="BS718" s="561"/>
      <c r="BT718" s="561"/>
      <c r="BU718" s="561"/>
      <c r="BV718" s="561"/>
      <c r="BW718" s="561"/>
      <c r="BX718" s="561"/>
      <c r="BY718" s="561"/>
      <c r="BZ718" s="561"/>
      <c r="CA718" s="561"/>
      <c r="CB718" s="737"/>
      <c r="CC718" s="737"/>
      <c r="CD718" s="737"/>
      <c r="CE718" s="737"/>
      <c r="CF718" s="737"/>
      <c r="CG718" s="737"/>
      <c r="CH718" s="737"/>
      <c r="CI718" s="737"/>
      <c r="CJ718" s="737"/>
      <c r="CK718" s="737"/>
      <c r="CL718" s="737"/>
      <c r="CM718" s="737"/>
      <c r="CN718" s="737"/>
      <c r="CO718" s="737"/>
      <c r="CP718" s="737"/>
      <c r="CQ718" s="737"/>
      <c r="CR718" s="737"/>
      <c r="CS718" s="737"/>
      <c r="CT718" s="737"/>
      <c r="CU718" s="737"/>
      <c r="CV718" s="737"/>
      <c r="CW718" s="737"/>
      <c r="CX718" s="737"/>
      <c r="CY718" s="737"/>
      <c r="CZ718" s="737"/>
      <c r="DA718" s="737"/>
      <c r="DB718" s="737"/>
      <c r="DC718" s="737"/>
      <c r="DD718" s="737"/>
      <c r="DE718" s="737"/>
      <c r="DF718" s="737"/>
      <c r="DG718" s="737"/>
      <c r="DH718" s="737"/>
      <c r="DI718" s="737"/>
      <c r="DJ718" s="737"/>
      <c r="DK718" s="737"/>
      <c r="DL718" s="737"/>
      <c r="DM718" s="737"/>
      <c r="DN718" s="737"/>
      <c r="DO718" s="737"/>
      <c r="DP718" s="737"/>
    </row>
    <row r="719" spans="1:120" ht="16.5" collapsed="1" thickBot="1">
      <c r="A719" s="62" t="s">
        <v>233</v>
      </c>
      <c r="B719" s="63"/>
      <c r="C719" s="64"/>
      <c r="D719" s="1473"/>
      <c r="E719" s="1474"/>
      <c r="F719" s="66">
        <f>SUM(F693:F718)</f>
        <v>0</v>
      </c>
      <c r="G719" s="1253"/>
      <c r="H719" s="67"/>
      <c r="I719" s="68">
        <f>SUM(I693:I718)</f>
        <v>0</v>
      </c>
      <c r="J719" s="1376"/>
      <c r="K719" s="76"/>
      <c r="L719" s="69">
        <f>SUM(L693:L718)</f>
        <v>0</v>
      </c>
      <c r="M719" s="168"/>
      <c r="N719" s="70"/>
      <c r="O719" s="71">
        <f>SUM(O693:O718)</f>
        <v>0</v>
      </c>
      <c r="P719" s="72">
        <f>SUM(P693:P718)</f>
        <v>0</v>
      </c>
      <c r="Q719" s="1339"/>
      <c r="R719" s="73"/>
      <c r="S719" s="73"/>
      <c r="T719" s="96">
        <f>SUM(T693:T718)</f>
        <v>0</v>
      </c>
      <c r="U719" s="173">
        <f>SUM(U693:U718)</f>
        <v>0</v>
      </c>
      <c r="V719" s="76">
        <f>SUM(V693:V718)</f>
        <v>0</v>
      </c>
      <c r="W719" s="97">
        <f>SUM(W693:W718)</f>
        <v>0</v>
      </c>
      <c r="X719" s="98">
        <f>SUM(X693:X718)</f>
        <v>0</v>
      </c>
      <c r="Y719" s="43"/>
      <c r="AA719" s="192">
        <f t="shared" ref="AA719:BF719" ca="1" si="2031">SUM(AA691:AA718)</f>
        <v>6.9849193096160889E-10</v>
      </c>
      <c r="AB719" s="193">
        <f t="shared" ca="1" si="2031"/>
        <v>0</v>
      </c>
      <c r="AC719" s="193">
        <f t="shared" ca="1" si="2031"/>
        <v>-2.3283064365386963E-10</v>
      </c>
      <c r="AD719" s="193">
        <f t="shared" ca="1" si="2031"/>
        <v>0</v>
      </c>
      <c r="AE719" s="193">
        <f t="shared" ca="1" si="2031"/>
        <v>0</v>
      </c>
      <c r="AF719" s="193">
        <f t="shared" ca="1" si="2031"/>
        <v>0</v>
      </c>
      <c r="AG719" s="193">
        <f t="shared" ca="1" si="2031"/>
        <v>0</v>
      </c>
      <c r="AH719" s="193">
        <f t="shared" ca="1" si="2031"/>
        <v>0</v>
      </c>
      <c r="AI719" s="193">
        <f t="shared" ca="1" si="2031"/>
        <v>-5.8207660913467407E-10</v>
      </c>
      <c r="AJ719" s="193">
        <f t="shared" ca="1" si="2031"/>
        <v>0</v>
      </c>
      <c r="AK719" s="193">
        <f t="shared" ca="1" si="2031"/>
        <v>0</v>
      </c>
      <c r="AL719" s="193">
        <f t="shared" ca="1" si="2031"/>
        <v>0</v>
      </c>
      <c r="AM719" s="193">
        <f t="shared" ca="1" si="2031"/>
        <v>0</v>
      </c>
      <c r="AN719" s="193">
        <f t="shared" ca="1" si="2031"/>
        <v>0</v>
      </c>
      <c r="AO719" s="193">
        <f t="shared" ca="1" si="2031"/>
        <v>0</v>
      </c>
      <c r="AP719" s="193">
        <f t="shared" ca="1" si="2031"/>
        <v>0</v>
      </c>
      <c r="AQ719" s="193">
        <f t="shared" ca="1" si="2031"/>
        <v>0</v>
      </c>
      <c r="AR719" s="193">
        <f t="shared" ca="1" si="2031"/>
        <v>0</v>
      </c>
      <c r="AS719" s="193">
        <f t="shared" ca="1" si="2031"/>
        <v>0</v>
      </c>
      <c r="AT719" s="193">
        <f t="shared" ca="1" si="2031"/>
        <v>0</v>
      </c>
      <c r="AU719" s="193">
        <f t="shared" ca="1" si="2031"/>
        <v>0</v>
      </c>
      <c r="AV719" s="193">
        <f t="shared" ca="1" si="2031"/>
        <v>2.3283064365386963E-10</v>
      </c>
      <c r="AW719" s="193">
        <f t="shared" ca="1" si="2031"/>
        <v>2.3283064365386963E-10</v>
      </c>
      <c r="AX719" s="193">
        <f t="shared" ca="1" si="2031"/>
        <v>0</v>
      </c>
      <c r="AY719" s="193">
        <f t="shared" ca="1" si="2031"/>
        <v>0</v>
      </c>
      <c r="AZ719" s="193">
        <f t="shared" ca="1" si="2031"/>
        <v>0</v>
      </c>
      <c r="BA719" s="193">
        <f t="shared" ca="1" si="2031"/>
        <v>2481654.2199999997</v>
      </c>
      <c r="BB719" s="193">
        <f t="shared" ca="1" si="2031"/>
        <v>11818681.52</v>
      </c>
      <c r="BC719" s="193">
        <f t="shared" ca="1" si="2031"/>
        <v>23716111.969999999</v>
      </c>
      <c r="BD719" s="193">
        <f t="shared" ca="1" si="2031"/>
        <v>0</v>
      </c>
      <c r="BE719" s="193">
        <f t="shared" ca="1" si="2031"/>
        <v>0</v>
      </c>
      <c r="BF719" s="193">
        <f t="shared" ca="1" si="2031"/>
        <v>0</v>
      </c>
      <c r="BG719" s="193">
        <f t="shared" ref="BG719:CL719" ca="1" si="2032">SUM(BG691:BG718)</f>
        <v>0</v>
      </c>
      <c r="BH719" s="193">
        <f t="shared" ca="1" si="2032"/>
        <v>0</v>
      </c>
      <c r="BI719" s="193">
        <f t="shared" ca="1" si="2032"/>
        <v>0</v>
      </c>
      <c r="BJ719" s="193">
        <f t="shared" ca="1" si="2032"/>
        <v>0</v>
      </c>
      <c r="BK719" s="193">
        <f t="shared" ca="1" si="2032"/>
        <v>0</v>
      </c>
      <c r="BL719" s="193">
        <f t="shared" ca="1" si="2032"/>
        <v>0</v>
      </c>
      <c r="BM719" s="193">
        <f t="shared" ca="1" si="2032"/>
        <v>0</v>
      </c>
      <c r="BN719" s="193">
        <f t="shared" ca="1" si="2032"/>
        <v>0</v>
      </c>
      <c r="BO719" s="193">
        <f t="shared" ca="1" si="2032"/>
        <v>0</v>
      </c>
      <c r="BP719" s="193">
        <f t="shared" ca="1" si="2032"/>
        <v>0</v>
      </c>
      <c r="BQ719" s="193">
        <f t="shared" ca="1" si="2032"/>
        <v>0</v>
      </c>
      <c r="BR719" s="193">
        <f t="shared" ca="1" si="2032"/>
        <v>0</v>
      </c>
      <c r="BS719" s="193">
        <f t="shared" ca="1" si="2032"/>
        <v>0</v>
      </c>
      <c r="BT719" s="193">
        <f t="shared" ca="1" si="2032"/>
        <v>0</v>
      </c>
      <c r="BU719" s="193">
        <f t="shared" ca="1" si="2032"/>
        <v>0</v>
      </c>
      <c r="BV719" s="193">
        <f t="shared" si="2032"/>
        <v>0</v>
      </c>
      <c r="BW719" s="193">
        <f t="shared" si="2032"/>
        <v>0</v>
      </c>
      <c r="BX719" s="193">
        <f t="shared" si="2032"/>
        <v>0</v>
      </c>
      <c r="BY719" s="193">
        <f t="shared" si="2032"/>
        <v>0</v>
      </c>
      <c r="BZ719" s="193">
        <f t="shared" si="2032"/>
        <v>0</v>
      </c>
      <c r="CA719" s="193">
        <f t="shared" si="2032"/>
        <v>0</v>
      </c>
      <c r="CB719" s="207">
        <f t="shared" si="2032"/>
        <v>0</v>
      </c>
      <c r="CC719" s="207">
        <f t="shared" si="2032"/>
        <v>0</v>
      </c>
      <c r="CD719" s="207">
        <f t="shared" si="2032"/>
        <v>0</v>
      </c>
      <c r="CE719" s="207">
        <f t="shared" si="2032"/>
        <v>0</v>
      </c>
      <c r="CF719" s="207">
        <f t="shared" si="2032"/>
        <v>0</v>
      </c>
      <c r="CG719" s="207">
        <f t="shared" si="2032"/>
        <v>0</v>
      </c>
      <c r="CH719" s="207">
        <f t="shared" si="2032"/>
        <v>0</v>
      </c>
      <c r="CI719" s="207">
        <f t="shared" si="2032"/>
        <v>0</v>
      </c>
      <c r="CJ719" s="207">
        <f t="shared" si="2032"/>
        <v>0</v>
      </c>
      <c r="CK719" s="207">
        <f t="shared" si="2032"/>
        <v>0</v>
      </c>
      <c r="CL719" s="207">
        <f t="shared" si="2032"/>
        <v>0</v>
      </c>
      <c r="CM719" s="207">
        <f t="shared" ref="CM719:DM719" si="2033">SUM(CM691:CM718)</f>
        <v>0</v>
      </c>
      <c r="CN719" s="207">
        <f t="shared" si="2033"/>
        <v>0</v>
      </c>
      <c r="CO719" s="207">
        <f t="shared" si="2033"/>
        <v>0</v>
      </c>
      <c r="CP719" s="207">
        <f t="shared" si="2033"/>
        <v>0</v>
      </c>
      <c r="CQ719" s="207">
        <f t="shared" si="2033"/>
        <v>0</v>
      </c>
      <c r="CR719" s="207">
        <f t="shared" si="2033"/>
        <v>0</v>
      </c>
      <c r="CS719" s="207">
        <f t="shared" si="2033"/>
        <v>0</v>
      </c>
      <c r="CT719" s="207">
        <f t="shared" si="2033"/>
        <v>0</v>
      </c>
      <c r="CU719" s="207">
        <f t="shared" si="2033"/>
        <v>0</v>
      </c>
      <c r="CV719" s="207">
        <f t="shared" si="2033"/>
        <v>0</v>
      </c>
      <c r="CW719" s="207">
        <f t="shared" si="2033"/>
        <v>0</v>
      </c>
      <c r="CX719" s="207">
        <f t="shared" si="2033"/>
        <v>0</v>
      </c>
      <c r="CY719" s="207">
        <f t="shared" si="2033"/>
        <v>0</v>
      </c>
      <c r="CZ719" s="207">
        <f t="shared" si="2033"/>
        <v>0</v>
      </c>
      <c r="DA719" s="207">
        <f t="shared" si="2033"/>
        <v>0</v>
      </c>
      <c r="DB719" s="207">
        <f t="shared" si="2033"/>
        <v>0</v>
      </c>
      <c r="DC719" s="207">
        <f t="shared" si="2033"/>
        <v>0</v>
      </c>
      <c r="DD719" s="207">
        <f t="shared" si="2033"/>
        <v>0</v>
      </c>
      <c r="DE719" s="207">
        <f t="shared" si="2033"/>
        <v>0</v>
      </c>
      <c r="DF719" s="207">
        <f t="shared" si="2033"/>
        <v>0</v>
      </c>
      <c r="DG719" s="207">
        <f t="shared" si="2033"/>
        <v>0</v>
      </c>
      <c r="DH719" s="207">
        <f t="shared" si="2033"/>
        <v>0</v>
      </c>
      <c r="DI719" s="207">
        <f t="shared" si="2033"/>
        <v>0</v>
      </c>
      <c r="DJ719" s="207">
        <f t="shared" si="2033"/>
        <v>0</v>
      </c>
      <c r="DK719" s="207">
        <f t="shared" si="2033"/>
        <v>0</v>
      </c>
      <c r="DL719" s="207">
        <f t="shared" si="2033"/>
        <v>0</v>
      </c>
      <c r="DM719" s="207">
        <f t="shared" si="2033"/>
        <v>0</v>
      </c>
      <c r="DN719" s="207">
        <f t="shared" ref="DN719:DO719" si="2034">SUM(DN691:DN718)</f>
        <v>0</v>
      </c>
      <c r="DO719" s="207">
        <f t="shared" si="2034"/>
        <v>0</v>
      </c>
      <c r="DP719" s="207">
        <f t="shared" ref="DP719" si="2035">SUM(DP691:DP718)</f>
        <v>0</v>
      </c>
    </row>
    <row r="720" spans="1:120"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  <c r="CG720" s="24"/>
      <c r="CH720" s="24"/>
      <c r="CI720" s="24"/>
      <c r="CJ720" s="24"/>
      <c r="CK720" s="24"/>
      <c r="CL720" s="24"/>
      <c r="CM720" s="24"/>
      <c r="CN720" s="24"/>
      <c r="CO720" s="24"/>
      <c r="CP720" s="24"/>
      <c r="CQ720" s="24"/>
      <c r="CR720" s="24"/>
      <c r="CS720" s="24"/>
      <c r="CT720" s="24"/>
      <c r="CU720" s="24"/>
      <c r="CV720" s="24"/>
      <c r="CW720" s="24"/>
      <c r="CX720" s="24"/>
      <c r="CY720" s="24"/>
      <c r="CZ720" s="24"/>
      <c r="DA720" s="24"/>
      <c r="DB720" s="24"/>
      <c r="DC720" s="24"/>
      <c r="DD720" s="24"/>
      <c r="DE720" s="24"/>
      <c r="DF720" s="24"/>
      <c r="DG720" s="24"/>
      <c r="DH720" s="24"/>
      <c r="DI720" s="24"/>
      <c r="DJ720" s="24"/>
      <c r="DK720" s="24"/>
      <c r="DL720" s="24"/>
      <c r="DM720" s="24"/>
      <c r="DN720" s="24"/>
      <c r="DO720" s="24"/>
      <c r="DP720" s="24"/>
    </row>
    <row r="721" spans="1:120" hidden="1" outlineLevel="1">
      <c r="A721" s="640">
        <v>1110052090</v>
      </c>
      <c r="B721" s="573" t="s">
        <v>78</v>
      </c>
      <c r="C721" s="641" t="s">
        <v>64</v>
      </c>
      <c r="D721" s="1489"/>
      <c r="E721" s="1490"/>
      <c r="F721" s="643"/>
      <c r="G721" s="1262"/>
      <c r="H721" s="644"/>
      <c r="I721" s="645"/>
      <c r="J721" s="1483">
        <v>1</v>
      </c>
      <c r="K721" s="1484">
        <v>1</v>
      </c>
      <c r="L721" s="646"/>
      <c r="M721" s="1428">
        <f t="shared" ref="M721:M723" si="2036">+L721*J721</f>
        <v>0</v>
      </c>
      <c r="N721" s="647"/>
      <c r="O721" s="648">
        <f>+L721*N721</f>
        <v>0</v>
      </c>
      <c r="P721" s="649"/>
      <c r="Q721" s="649"/>
      <c r="R721" s="650"/>
      <c r="S721" s="650"/>
      <c r="T721" s="651">
        <f t="shared" ref="T721:T726" si="2037">+P721*S721</f>
        <v>0</v>
      </c>
      <c r="U721" s="652">
        <f t="shared" ref="U721:U726" si="2038">+L721+P721+F721</f>
        <v>0</v>
      </c>
      <c r="V721" s="648">
        <f t="shared" ref="V721:V726" si="2039">+P721*R721+L721*N721+F721*H721</f>
        <v>0</v>
      </c>
      <c r="W721" s="653">
        <f>IF((-P721*R721)-(-P721*S721)&gt;0,(-P721*R721)-(-P721*S721),0)</f>
        <v>0</v>
      </c>
      <c r="X721" s="654">
        <f>IF((-P721*R721)-(-P721*S721)&lt;0,(-P721*R721)-(-P721*S721),0)</f>
        <v>0</v>
      </c>
      <c r="Y721" s="655"/>
      <c r="AA721" s="730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31"/>
      <c r="BL721" s="731"/>
      <c r="BM721" s="731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  <c r="BX721" s="731"/>
      <c r="BY721" s="731"/>
      <c r="BZ721" s="731"/>
      <c r="CA721" s="731"/>
      <c r="CB721" s="732"/>
      <c r="CC721" s="732"/>
      <c r="CD721" s="732"/>
      <c r="CE721" s="732"/>
      <c r="CF721" s="732"/>
      <c r="CG721" s="732"/>
      <c r="CH721" s="732"/>
      <c r="CI721" s="732"/>
      <c r="CJ721" s="732"/>
      <c r="CK721" s="732"/>
      <c r="CL721" s="732"/>
      <c r="CM721" s="732"/>
      <c r="CN721" s="732"/>
      <c r="CO721" s="732"/>
      <c r="CP721" s="732"/>
      <c r="CQ721" s="732"/>
      <c r="CR721" s="732">
        <f>+M721</f>
        <v>0</v>
      </c>
      <c r="CS721" s="732"/>
      <c r="CT721" s="732"/>
      <c r="CU721" s="732"/>
      <c r="CV721" s="732"/>
      <c r="CW721" s="732"/>
      <c r="CX721" s="732"/>
      <c r="CY721" s="732"/>
      <c r="CZ721" s="732"/>
      <c r="DA721" s="732"/>
      <c r="DB721" s="732"/>
      <c r="DC721" s="732"/>
      <c r="DD721" s="732"/>
      <c r="DE721" s="732"/>
      <c r="DF721" s="732"/>
      <c r="DG721" s="732"/>
      <c r="DH721" s="732"/>
      <c r="DI721" s="732"/>
      <c r="DJ721" s="732"/>
      <c r="DK721" s="732"/>
      <c r="DL721" s="732"/>
      <c r="DM721" s="732"/>
      <c r="DN721" s="732"/>
      <c r="DO721" s="732"/>
      <c r="DP721" s="732"/>
    </row>
    <row r="722" spans="1:120" s="61" customFormat="1" hidden="1" outlineLevel="1">
      <c r="A722" s="57">
        <v>1110052095</v>
      </c>
      <c r="B722" s="195"/>
      <c r="C722" s="196" t="s">
        <v>64</v>
      </c>
      <c r="D722" s="1557"/>
      <c r="E722" s="1558"/>
      <c r="F722" s="416"/>
      <c r="G722" s="1251"/>
      <c r="H722" s="511"/>
      <c r="I722" s="512"/>
      <c r="J722" s="1425">
        <v>1</v>
      </c>
      <c r="K722" s="1426">
        <v>1</v>
      </c>
      <c r="L722" s="59"/>
      <c r="M722" s="1541">
        <f t="shared" si="2036"/>
        <v>0</v>
      </c>
      <c r="N722" s="524"/>
      <c r="O722" s="525">
        <f>+L722*N722</f>
        <v>0</v>
      </c>
      <c r="P722" s="197"/>
      <c r="Q722" s="526"/>
      <c r="R722" s="527"/>
      <c r="S722" s="527"/>
      <c r="T722" s="564">
        <f t="shared" si="2037"/>
        <v>0</v>
      </c>
      <c r="U722" s="439">
        <f t="shared" si="2038"/>
        <v>0</v>
      </c>
      <c r="V722" s="529">
        <f t="shared" si="2039"/>
        <v>0</v>
      </c>
      <c r="W722" s="94">
        <f>IF((-P722*R722)-(-P722*S722)&gt;0,(-P722*R722)-(-P722*S722),0)</f>
        <v>0</v>
      </c>
      <c r="X722" s="530">
        <f>IF((-P722*R722)-(-P722*S722)&lt;0,(-P722*R722)-(-P722*S722),0)</f>
        <v>0</v>
      </c>
      <c r="Y722" s="531"/>
      <c r="Z722" s="1056"/>
      <c r="AA722" s="198"/>
      <c r="AB722" s="707"/>
      <c r="AC722" s="707"/>
      <c r="AD722" s="707"/>
      <c r="AE722" s="707"/>
      <c r="AF722" s="707"/>
      <c r="AG722" s="707"/>
      <c r="AH722" s="707"/>
      <c r="AI722" s="707"/>
      <c r="AJ722" s="707"/>
      <c r="AK722" s="707"/>
      <c r="AL722" s="1577"/>
      <c r="AM722" s="707"/>
      <c r="AN722" s="707"/>
      <c r="AO722" s="707"/>
      <c r="AP722" s="707"/>
      <c r="AQ722" s="707"/>
      <c r="AR722" s="707"/>
      <c r="AS722" s="707"/>
      <c r="AT722" s="707"/>
      <c r="AU722" s="707"/>
      <c r="AV722" s="707"/>
      <c r="AW722" s="707"/>
      <c r="AX722" s="707"/>
      <c r="AY722" s="707"/>
      <c r="AZ722" s="707"/>
      <c r="BA722" s="707"/>
      <c r="BB722" s="707"/>
      <c r="BC722" s="707"/>
      <c r="BD722" s="707"/>
      <c r="BE722" s="707"/>
      <c r="BF722" s="707"/>
      <c r="BG722" s="707"/>
      <c r="BH722" s="707"/>
      <c r="BI722" s="707"/>
      <c r="BJ722" s="707"/>
      <c r="BK722" s="707"/>
      <c r="BL722" s="707"/>
      <c r="BM722" s="707"/>
      <c r="BN722" s="707"/>
      <c r="BO722" s="707"/>
      <c r="BP722" s="707"/>
      <c r="BQ722" s="707"/>
      <c r="BR722" s="707"/>
      <c r="BS722" s="707"/>
      <c r="BT722" s="707"/>
      <c r="BU722" s="707"/>
      <c r="BV722" s="707"/>
      <c r="BW722" s="707"/>
      <c r="BX722" s="707"/>
      <c r="BY722" s="707"/>
      <c r="BZ722" s="707"/>
      <c r="CA722" s="707"/>
      <c r="CB722" s="736"/>
      <c r="CC722" s="736"/>
      <c r="CD722" s="736"/>
      <c r="CE722" s="736"/>
      <c r="CF722" s="736"/>
      <c r="CG722" s="736"/>
      <c r="CH722" s="736"/>
      <c r="CI722" s="736"/>
      <c r="CJ722" s="736"/>
      <c r="CK722" s="736"/>
      <c r="CL722" s="736"/>
      <c r="CM722" s="736"/>
      <c r="CN722" s="736"/>
      <c r="CO722" s="736"/>
      <c r="CP722" s="736"/>
      <c r="CQ722" s="736"/>
      <c r="CR722" s="736"/>
      <c r="CS722" s="736">
        <f>+M722</f>
        <v>0</v>
      </c>
      <c r="CT722" s="736"/>
      <c r="CU722" s="736"/>
      <c r="CV722" s="736"/>
      <c r="CW722" s="736"/>
      <c r="CX722" s="736"/>
      <c r="CY722" s="736"/>
      <c r="CZ722" s="736"/>
      <c r="DA722" s="736"/>
      <c r="DB722" s="736"/>
      <c r="DC722" s="736"/>
      <c r="DD722" s="736"/>
      <c r="DE722" s="736"/>
      <c r="DF722" s="736"/>
      <c r="DG722" s="736"/>
      <c r="DH722" s="736"/>
      <c r="DI722" s="736"/>
      <c r="DJ722" s="736"/>
      <c r="DK722" s="736"/>
      <c r="DL722" s="736"/>
      <c r="DM722" s="736"/>
      <c r="DN722" s="736"/>
      <c r="DO722" s="736"/>
      <c r="DP722" s="736"/>
    </row>
    <row r="723" spans="1:120" s="61" customFormat="1" hidden="1" outlineLevel="1">
      <c r="A723" s="57">
        <v>1110052095</v>
      </c>
      <c r="B723" s="195"/>
      <c r="C723" s="196" t="s">
        <v>64</v>
      </c>
      <c r="D723" s="1557"/>
      <c r="E723" s="1558"/>
      <c r="F723" s="416"/>
      <c r="G723" s="1251"/>
      <c r="H723" s="511"/>
      <c r="I723" s="512"/>
      <c r="J723" s="1425">
        <v>1</v>
      </c>
      <c r="K723" s="1426">
        <v>1</v>
      </c>
      <c r="L723" s="59"/>
      <c r="M723" s="1541">
        <f t="shared" si="2036"/>
        <v>0</v>
      </c>
      <c r="N723" s="524"/>
      <c r="O723" s="525">
        <f>+L723*N723</f>
        <v>0</v>
      </c>
      <c r="P723" s="197"/>
      <c r="Q723" s="526"/>
      <c r="R723" s="527"/>
      <c r="S723" s="527"/>
      <c r="T723" s="564">
        <f t="shared" si="2037"/>
        <v>0</v>
      </c>
      <c r="U723" s="439">
        <f t="shared" si="2038"/>
        <v>0</v>
      </c>
      <c r="V723" s="529">
        <f t="shared" si="2039"/>
        <v>0</v>
      </c>
      <c r="W723" s="94">
        <f>IF((-P723*R723)-(-P723*S723)&gt;0,(-P723*R723)-(-P723*S723),0)</f>
        <v>0</v>
      </c>
      <c r="X723" s="530">
        <f>IF((-P723*R723)-(-P723*S723)&lt;0,(-P723*R723)-(-P723*S723),0)</f>
        <v>0</v>
      </c>
      <c r="Y723" s="531"/>
      <c r="Z723" s="1056"/>
      <c r="AA723" s="198"/>
      <c r="AB723" s="707"/>
      <c r="AC723" s="707"/>
      <c r="AD723" s="707"/>
      <c r="AE723" s="707"/>
      <c r="AF723" s="707"/>
      <c r="AG723" s="707"/>
      <c r="AH723" s="707"/>
      <c r="AI723" s="707"/>
      <c r="AJ723" s="707"/>
      <c r="AK723" s="707"/>
      <c r="AL723" s="1577"/>
      <c r="AM723" s="707"/>
      <c r="AN723" s="707"/>
      <c r="AO723" s="707"/>
      <c r="AP723" s="707"/>
      <c r="AQ723" s="707"/>
      <c r="AR723" s="707"/>
      <c r="AS723" s="707"/>
      <c r="AT723" s="707"/>
      <c r="AU723" s="707"/>
      <c r="AV723" s="707"/>
      <c r="AW723" s="707"/>
      <c r="AX723" s="707"/>
      <c r="AY723" s="707"/>
      <c r="AZ723" s="707"/>
      <c r="BA723" s="707"/>
      <c r="BB723" s="707"/>
      <c r="BC723" s="707"/>
      <c r="BD723" s="707"/>
      <c r="BE723" s="707"/>
      <c r="BF723" s="707"/>
      <c r="BG723" s="707"/>
      <c r="BH723" s="707"/>
      <c r="BI723" s="707"/>
      <c r="BJ723" s="707"/>
      <c r="BK723" s="707"/>
      <c r="BL723" s="707"/>
      <c r="BM723" s="707"/>
      <c r="BN723" s="707"/>
      <c r="BO723" s="707"/>
      <c r="BP723" s="707"/>
      <c r="BQ723" s="707"/>
      <c r="BR723" s="707"/>
      <c r="BS723" s="707"/>
      <c r="BT723" s="707"/>
      <c r="BU723" s="707"/>
      <c r="BV723" s="707"/>
      <c r="BW723" s="707"/>
      <c r="BX723" s="707"/>
      <c r="BY723" s="707"/>
      <c r="BZ723" s="707"/>
      <c r="CA723" s="707"/>
      <c r="CB723" s="736"/>
      <c r="CC723" s="736"/>
      <c r="CD723" s="736"/>
      <c r="CE723" s="736"/>
      <c r="CF723" s="736"/>
      <c r="CG723" s="736"/>
      <c r="CH723" s="736"/>
      <c r="CI723" s="736"/>
      <c r="CJ723" s="736"/>
      <c r="CK723" s="736"/>
      <c r="CL723" s="736"/>
      <c r="CM723" s="736"/>
      <c r="CN723" s="736"/>
      <c r="CO723" s="736"/>
      <c r="CP723" s="736"/>
      <c r="CQ723" s="736"/>
      <c r="CR723" s="736"/>
      <c r="CS723" s="736"/>
      <c r="CT723" s="736">
        <f>+M723</f>
        <v>0</v>
      </c>
      <c r="CU723" s="736"/>
      <c r="CV723" s="736"/>
      <c r="CW723" s="736"/>
      <c r="CX723" s="736"/>
      <c r="CY723" s="736"/>
      <c r="CZ723" s="736"/>
      <c r="DA723" s="736"/>
      <c r="DB723" s="736"/>
      <c r="DC723" s="736"/>
      <c r="DD723" s="736"/>
      <c r="DE723" s="736"/>
      <c r="DF723" s="736"/>
      <c r="DG723" s="736"/>
      <c r="DH723" s="736"/>
      <c r="DI723" s="736"/>
      <c r="DJ723" s="736"/>
      <c r="DK723" s="736"/>
      <c r="DL723" s="736"/>
      <c r="DM723" s="736"/>
      <c r="DN723" s="736"/>
      <c r="DO723" s="736"/>
      <c r="DP723" s="736"/>
    </row>
    <row r="724" spans="1:120" s="61" customFormat="1" hidden="1" outlineLevel="1">
      <c r="A724" s="57">
        <v>1110052095</v>
      </c>
      <c r="B724" s="195"/>
      <c r="C724" s="196" t="s">
        <v>64</v>
      </c>
      <c r="D724" s="1557"/>
      <c r="E724" s="1558"/>
      <c r="F724" s="416"/>
      <c r="G724" s="1251"/>
      <c r="H724" s="511"/>
      <c r="I724" s="512"/>
      <c r="J724" s="1425">
        <v>1</v>
      </c>
      <c r="K724" s="1426">
        <v>1</v>
      </c>
      <c r="L724" s="59"/>
      <c r="M724" s="1541"/>
      <c r="N724" s="524"/>
      <c r="O724" s="525">
        <f>+L724*N724</f>
        <v>0</v>
      </c>
      <c r="P724" s="197"/>
      <c r="Q724" s="526">
        <f t="shared" ref="Q724" si="2040">+P724*K724</f>
        <v>0</v>
      </c>
      <c r="R724" s="527"/>
      <c r="S724" s="527"/>
      <c r="T724" s="564">
        <f t="shared" si="2037"/>
        <v>0</v>
      </c>
      <c r="U724" s="439">
        <f t="shared" si="2038"/>
        <v>0</v>
      </c>
      <c r="V724" s="529">
        <f t="shared" si="2039"/>
        <v>0</v>
      </c>
      <c r="W724" s="94">
        <f>IF((-P724*R724)-(-P724*S724)&gt;0,(-P724*R724)-(-P724*S724),0)</f>
        <v>0</v>
      </c>
      <c r="X724" s="530">
        <f>IF((-P724*R724)-(-P724*S724)&lt;0,(-P724*R724)-(-P724*S724),0)</f>
        <v>0</v>
      </c>
      <c r="Y724" s="531"/>
      <c r="Z724" s="1056"/>
      <c r="AA724" s="198"/>
      <c r="AB724" s="707"/>
      <c r="AC724" s="707"/>
      <c r="AD724" s="707"/>
      <c r="AE724" s="707"/>
      <c r="AF724" s="707"/>
      <c r="AG724" s="707"/>
      <c r="AH724" s="707"/>
      <c r="AI724" s="707"/>
      <c r="AJ724" s="707"/>
      <c r="AK724" s="707"/>
      <c r="AL724" s="1577"/>
      <c r="AM724" s="707"/>
      <c r="AN724" s="707"/>
      <c r="AO724" s="707"/>
      <c r="AP724" s="707"/>
      <c r="AQ724" s="707"/>
      <c r="AR724" s="707"/>
      <c r="AS724" s="707"/>
      <c r="AT724" s="707"/>
      <c r="AU724" s="707"/>
      <c r="AV724" s="707"/>
      <c r="AW724" s="707"/>
      <c r="AX724" s="707"/>
      <c r="AY724" s="707"/>
      <c r="AZ724" s="707"/>
      <c r="BA724" s="707"/>
      <c r="BB724" s="707"/>
      <c r="BC724" s="707"/>
      <c r="BD724" s="707"/>
      <c r="BE724" s="707"/>
      <c r="BF724" s="707"/>
      <c r="BG724" s="707"/>
      <c r="BH724" s="707"/>
      <c r="BI724" s="707"/>
      <c r="BJ724" s="707"/>
      <c r="BK724" s="707"/>
      <c r="BL724" s="707"/>
      <c r="BM724" s="707"/>
      <c r="BN724" s="707"/>
      <c r="BO724" s="707"/>
      <c r="BP724" s="707"/>
      <c r="BQ724" s="707"/>
      <c r="BR724" s="707"/>
      <c r="BS724" s="707"/>
      <c r="BT724" s="707"/>
      <c r="BU724" s="707"/>
      <c r="BV724" s="707"/>
      <c r="BW724" s="707"/>
      <c r="BX724" s="707"/>
      <c r="BY724" s="707"/>
      <c r="BZ724" s="707"/>
      <c r="CA724" s="707"/>
      <c r="CB724" s="736"/>
      <c r="CC724" s="736"/>
      <c r="CD724" s="736"/>
      <c r="CE724" s="736"/>
      <c r="CF724" s="736"/>
      <c r="CG724" s="736"/>
      <c r="CH724" s="736"/>
      <c r="CI724" s="736"/>
      <c r="CJ724" s="736"/>
      <c r="CK724" s="736"/>
      <c r="CL724" s="736"/>
      <c r="CM724" s="736"/>
      <c r="CN724" s="736"/>
      <c r="CO724" s="736"/>
      <c r="CP724" s="736">
        <f>+Q724</f>
        <v>0</v>
      </c>
      <c r="CQ724" s="736"/>
      <c r="CR724" s="736"/>
      <c r="CS724" s="736"/>
      <c r="CT724" s="736"/>
      <c r="CU724" s="736"/>
      <c r="CV724" s="736"/>
      <c r="CW724" s="736"/>
      <c r="CX724" s="736"/>
      <c r="CY724" s="736"/>
      <c r="CZ724" s="736"/>
      <c r="DA724" s="736"/>
      <c r="DB724" s="736"/>
      <c r="DC724" s="736"/>
      <c r="DD724" s="736"/>
      <c r="DE724" s="736"/>
      <c r="DF724" s="736"/>
      <c r="DG724" s="736"/>
      <c r="DH724" s="736"/>
      <c r="DI724" s="736"/>
      <c r="DJ724" s="736"/>
      <c r="DK724" s="736"/>
      <c r="DL724" s="736"/>
      <c r="DM724" s="736"/>
      <c r="DN724" s="736"/>
      <c r="DO724" s="736"/>
      <c r="DP724" s="736"/>
    </row>
    <row r="725" spans="1:120" s="61" customFormat="1" hidden="1" outlineLevel="1">
      <c r="A725" s="57">
        <v>1110052095</v>
      </c>
      <c r="B725" s="195"/>
      <c r="C725" s="196" t="s">
        <v>64</v>
      </c>
      <c r="D725" s="1557"/>
      <c r="E725" s="1558"/>
      <c r="F725" s="416"/>
      <c r="G725" s="1251"/>
      <c r="H725" s="511"/>
      <c r="I725" s="512"/>
      <c r="J725" s="1381"/>
      <c r="K725" s="1427"/>
      <c r="L725" s="59"/>
      <c r="M725" s="1541"/>
      <c r="N725" s="524"/>
      <c r="O725" s="525">
        <f>+L725*N725</f>
        <v>0</v>
      </c>
      <c r="P725" s="197"/>
      <c r="Q725" s="526"/>
      <c r="R725" s="527"/>
      <c r="S725" s="527"/>
      <c r="T725" s="564">
        <f t="shared" si="2037"/>
        <v>0</v>
      </c>
      <c r="U725" s="439">
        <f t="shared" si="2038"/>
        <v>0</v>
      </c>
      <c r="V725" s="529">
        <f t="shared" si="2039"/>
        <v>0</v>
      </c>
      <c r="W725" s="94">
        <f>IF((-P725*R725)-(-P725*S725)&gt;0,(-P725*R725)-(-P725*S725),0)</f>
        <v>0</v>
      </c>
      <c r="X725" s="530">
        <f>IF((-P725*R725)-(-P725*S725)&lt;0,(-P725*R725)-(-P725*S725),0)</f>
        <v>0</v>
      </c>
      <c r="Y725" s="531"/>
      <c r="Z725" s="1056"/>
      <c r="AA725" s="198"/>
      <c r="AB725" s="707"/>
      <c r="AC725" s="707"/>
      <c r="AD725" s="707"/>
      <c r="AE725" s="707"/>
      <c r="AF725" s="707"/>
      <c r="AG725" s="707"/>
      <c r="AH725" s="707"/>
      <c r="AI725" s="707"/>
      <c r="AJ725" s="707"/>
      <c r="AK725" s="707"/>
      <c r="AL725" s="1577"/>
      <c r="AM725" s="707"/>
      <c r="AN725" s="707"/>
      <c r="AO725" s="707"/>
      <c r="AP725" s="707"/>
      <c r="AQ725" s="707"/>
      <c r="AR725" s="707"/>
      <c r="AS725" s="707"/>
      <c r="AT725" s="707"/>
      <c r="AU725" s="707"/>
      <c r="AV725" s="707"/>
      <c r="AW725" s="707"/>
      <c r="AX725" s="707"/>
      <c r="AY725" s="707"/>
      <c r="AZ725" s="707"/>
      <c r="BA725" s="707"/>
      <c r="BB725" s="707"/>
      <c r="BC725" s="707"/>
      <c r="BD725" s="707"/>
      <c r="BE725" s="707"/>
      <c r="BF725" s="707"/>
      <c r="BG725" s="707"/>
      <c r="BH725" s="707"/>
      <c r="BI725" s="707"/>
      <c r="BJ725" s="707"/>
      <c r="BK725" s="707"/>
      <c r="BL725" s="707"/>
      <c r="BM725" s="707"/>
      <c r="BN725" s="707"/>
      <c r="BO725" s="707"/>
      <c r="BP725" s="707"/>
      <c r="BQ725" s="707"/>
      <c r="BR725" s="707"/>
      <c r="BS725" s="707"/>
      <c r="BT725" s="707"/>
      <c r="BU725" s="707"/>
      <c r="BV725" s="707"/>
      <c r="BW725" s="707"/>
      <c r="BX725" s="707"/>
      <c r="BY725" s="707"/>
      <c r="BZ725" s="707"/>
      <c r="CA725" s="707"/>
      <c r="CB725" s="736"/>
      <c r="CC725" s="736"/>
      <c r="CD725" s="736"/>
      <c r="CE725" s="736"/>
      <c r="CF725" s="736"/>
      <c r="CG725" s="736"/>
      <c r="CH725" s="736"/>
      <c r="CI725" s="736"/>
      <c r="CJ725" s="736"/>
      <c r="CK725" s="736"/>
      <c r="CL725" s="736"/>
      <c r="CM725" s="736"/>
      <c r="CN725" s="736"/>
      <c r="CO725" s="736"/>
      <c r="CP725" s="736"/>
      <c r="CQ725" s="736"/>
      <c r="CR725" s="736"/>
      <c r="CS725" s="736"/>
      <c r="CT725" s="736"/>
      <c r="CU725" s="736"/>
      <c r="CV725" s="736"/>
      <c r="CW725" s="736"/>
      <c r="CX725" s="736"/>
      <c r="CY725" s="736"/>
      <c r="CZ725" s="736"/>
      <c r="DA725" s="736"/>
      <c r="DB725" s="736"/>
      <c r="DC725" s="736"/>
      <c r="DD725" s="736"/>
      <c r="DE725" s="736"/>
      <c r="DF725" s="736"/>
      <c r="DG725" s="736"/>
      <c r="DH725" s="736"/>
      <c r="DI725" s="736"/>
      <c r="DJ725" s="736"/>
      <c r="DK725" s="736"/>
      <c r="DL725" s="736"/>
      <c r="DM725" s="736"/>
      <c r="DN725" s="736"/>
      <c r="DO725" s="736"/>
      <c r="DP725" s="736"/>
    </row>
    <row r="726" spans="1:120" hidden="1" outlineLevel="1">
      <c r="A726" s="55"/>
      <c r="B726" s="90"/>
      <c r="C726" s="91"/>
      <c r="D726" s="1538"/>
      <c r="E726" s="1539"/>
      <c r="F726" s="416"/>
      <c r="G726" s="1251"/>
      <c r="H726" s="511"/>
      <c r="I726" s="512"/>
      <c r="J726" s="1381"/>
      <c r="K726" s="1427"/>
      <c r="L726" s="417"/>
      <c r="M726" s="1540"/>
      <c r="N726" s="504"/>
      <c r="O726" s="513"/>
      <c r="P726" s="431"/>
      <c r="Q726" s="514"/>
      <c r="R726" s="515"/>
      <c r="S726" s="515"/>
      <c r="T726" s="562">
        <f t="shared" si="2037"/>
        <v>0</v>
      </c>
      <c r="U726" s="439">
        <f t="shared" si="2038"/>
        <v>0</v>
      </c>
      <c r="V726" s="517">
        <f t="shared" si="2039"/>
        <v>0</v>
      </c>
      <c r="W726" s="976">
        <f>(IF(R726&gt;S726,(-P726*R726)-(-P726*S726),0))</f>
        <v>0</v>
      </c>
      <c r="X726" s="975">
        <f>(IF(R726&lt;S726,(-P726*R726)-(-P726*S726),0))</f>
        <v>0</v>
      </c>
      <c r="Y726" s="519"/>
      <c r="AA726" s="199"/>
      <c r="AB726" s="561"/>
      <c r="AC726" s="561"/>
      <c r="AD726" s="561"/>
      <c r="AE726" s="561"/>
      <c r="AF726" s="561"/>
      <c r="AG726" s="561"/>
      <c r="AH726" s="561"/>
      <c r="AI726" s="561"/>
      <c r="AJ726" s="561"/>
      <c r="AK726" s="561"/>
      <c r="AL726" s="1542"/>
      <c r="AM726" s="561"/>
      <c r="AN726" s="561"/>
      <c r="AO726" s="561"/>
      <c r="AP726" s="561"/>
      <c r="AQ726" s="561"/>
      <c r="AR726" s="561"/>
      <c r="AS726" s="561"/>
      <c r="AT726" s="561"/>
      <c r="AU726" s="561"/>
      <c r="AV726" s="561"/>
      <c r="AW726" s="561"/>
      <c r="AX726" s="561"/>
      <c r="AY726" s="561"/>
      <c r="AZ726" s="561"/>
      <c r="BA726" s="561"/>
      <c r="BB726" s="561"/>
      <c r="BC726" s="561"/>
      <c r="BD726" s="561"/>
      <c r="BE726" s="561"/>
      <c r="BF726" s="561"/>
      <c r="BG726" s="561"/>
      <c r="BH726" s="561"/>
      <c r="BI726" s="561"/>
      <c r="BJ726" s="561"/>
      <c r="BK726" s="561"/>
      <c r="BL726" s="561"/>
      <c r="BM726" s="561"/>
      <c r="BN726" s="561"/>
      <c r="BO726" s="561"/>
      <c r="BP726" s="561"/>
      <c r="BQ726" s="561"/>
      <c r="BR726" s="561"/>
      <c r="BS726" s="561"/>
      <c r="BT726" s="561"/>
      <c r="BU726" s="561"/>
      <c r="BV726" s="561"/>
      <c r="BW726" s="561"/>
      <c r="BX726" s="561"/>
      <c r="BY726" s="561"/>
      <c r="BZ726" s="561"/>
      <c r="CA726" s="561"/>
      <c r="CB726" s="737"/>
      <c r="CC726" s="737"/>
      <c r="CD726" s="737"/>
      <c r="CE726" s="737"/>
      <c r="CF726" s="737"/>
      <c r="CG726" s="737"/>
      <c r="CH726" s="737"/>
      <c r="CI726" s="737"/>
      <c r="CJ726" s="737"/>
      <c r="CK726" s="737"/>
      <c r="CL726" s="737"/>
      <c r="CM726" s="737"/>
      <c r="CN726" s="737"/>
      <c r="CO726" s="737"/>
      <c r="CP726" s="737"/>
      <c r="CQ726" s="737"/>
      <c r="CR726" s="737"/>
      <c r="CS726" s="737"/>
      <c r="CT726" s="737"/>
      <c r="CU726" s="737"/>
      <c r="CV726" s="737"/>
      <c r="CW726" s="737"/>
      <c r="CX726" s="737"/>
      <c r="CY726" s="737"/>
      <c r="CZ726" s="737"/>
      <c r="DA726" s="737"/>
      <c r="DB726" s="737"/>
      <c r="DC726" s="737"/>
      <c r="DD726" s="737"/>
      <c r="DE726" s="737"/>
      <c r="DF726" s="737"/>
      <c r="DG726" s="737"/>
      <c r="DH726" s="737"/>
      <c r="DI726" s="737"/>
      <c r="DJ726" s="737"/>
      <c r="DK726" s="737"/>
      <c r="DL726" s="737"/>
      <c r="DM726" s="737"/>
      <c r="DN726" s="737"/>
      <c r="DO726" s="737"/>
      <c r="DP726" s="737"/>
    </row>
    <row r="727" spans="1:120" ht="16.5" collapsed="1" thickBot="1">
      <c r="A727" s="62" t="s">
        <v>234</v>
      </c>
      <c r="B727" s="63"/>
      <c r="C727" s="64"/>
      <c r="D727" s="1473"/>
      <c r="E727" s="1474"/>
      <c r="F727" s="66">
        <f>SUM(F721:F726)</f>
        <v>0</v>
      </c>
      <c r="G727" s="1253"/>
      <c r="H727" s="67"/>
      <c r="I727" s="68">
        <f>SUM(I721:I726)</f>
        <v>0</v>
      </c>
      <c r="J727" s="1376"/>
      <c r="K727" s="76"/>
      <c r="L727" s="69">
        <f>SUM(L721:L726)</f>
        <v>0</v>
      </c>
      <c r="M727" s="168"/>
      <c r="N727" s="70"/>
      <c r="O727" s="71">
        <f>SUM(O721:O726)</f>
        <v>0</v>
      </c>
      <c r="P727" s="72">
        <f>SUM(P721:P726)</f>
        <v>0</v>
      </c>
      <c r="Q727" s="1339"/>
      <c r="R727" s="73"/>
      <c r="S727" s="73"/>
      <c r="T727" s="96">
        <f>SUM(T721:T726)</f>
        <v>0</v>
      </c>
      <c r="U727" s="173">
        <f>SUM(U721:U726)</f>
        <v>0</v>
      </c>
      <c r="V727" s="76">
        <f>SUM(V721:V726)</f>
        <v>0</v>
      </c>
      <c r="W727" s="97">
        <f>SUM(W721:W726)</f>
        <v>0</v>
      </c>
      <c r="X727" s="98">
        <f>SUM(X721:X726)</f>
        <v>0</v>
      </c>
      <c r="Y727" s="43"/>
      <c r="AA727" s="192">
        <f t="shared" ref="AA727:BD727" ca="1" si="2041">SUM(AA719:AA726)</f>
        <v>6.9849193096160889E-10</v>
      </c>
      <c r="AB727" s="193">
        <f t="shared" ca="1" si="2041"/>
        <v>0</v>
      </c>
      <c r="AC727" s="193">
        <f t="shared" ref="AC727:AD727" ca="1" si="2042">SUM(AC719:AC726)</f>
        <v>-2.3283064365386963E-10</v>
      </c>
      <c r="AD727" s="193">
        <f t="shared" ca="1" si="2042"/>
        <v>0</v>
      </c>
      <c r="AE727" s="193">
        <f t="shared" ref="AE727:AF727" ca="1" si="2043">SUM(AE719:AE726)</f>
        <v>0</v>
      </c>
      <c r="AF727" s="193">
        <f t="shared" ca="1" si="2043"/>
        <v>0</v>
      </c>
      <c r="AG727" s="193">
        <f t="shared" ref="AG727" ca="1" si="2044">SUM(AG719:AG726)</f>
        <v>0</v>
      </c>
      <c r="AH727" s="193">
        <f t="shared" ca="1" si="2041"/>
        <v>0</v>
      </c>
      <c r="AI727" s="193">
        <f t="shared" ref="AI727" ca="1" si="2045">SUM(AI719:AI726)</f>
        <v>-5.8207660913467407E-10</v>
      </c>
      <c r="AJ727" s="193">
        <f t="shared" ca="1" si="2041"/>
        <v>0</v>
      </c>
      <c r="AK727" s="193">
        <f t="shared" ca="1" si="2041"/>
        <v>0</v>
      </c>
      <c r="AL727" s="193">
        <f t="shared" ca="1" si="2041"/>
        <v>0</v>
      </c>
      <c r="AM727" s="193">
        <f t="shared" ca="1" si="2041"/>
        <v>0</v>
      </c>
      <c r="AN727" s="193">
        <f t="shared" ca="1" si="2041"/>
        <v>0</v>
      </c>
      <c r="AO727" s="193">
        <f t="shared" ca="1" si="2041"/>
        <v>0</v>
      </c>
      <c r="AP727" s="193">
        <f t="shared" ca="1" si="2041"/>
        <v>0</v>
      </c>
      <c r="AQ727" s="193">
        <f t="shared" ca="1" si="2041"/>
        <v>0</v>
      </c>
      <c r="AR727" s="193">
        <f t="shared" ca="1" si="2041"/>
        <v>0</v>
      </c>
      <c r="AS727" s="193">
        <f t="shared" ca="1" si="2041"/>
        <v>0</v>
      </c>
      <c r="AT727" s="193">
        <f t="shared" ca="1" si="2041"/>
        <v>0</v>
      </c>
      <c r="AU727" s="193">
        <f t="shared" ca="1" si="2041"/>
        <v>0</v>
      </c>
      <c r="AV727" s="193">
        <f t="shared" ca="1" si="2041"/>
        <v>2.3283064365386963E-10</v>
      </c>
      <c r="AW727" s="193">
        <f t="shared" ca="1" si="2041"/>
        <v>2.3283064365386963E-10</v>
      </c>
      <c r="AX727" s="193">
        <f t="shared" ca="1" si="2041"/>
        <v>0</v>
      </c>
      <c r="AY727" s="193">
        <f t="shared" ca="1" si="2041"/>
        <v>0</v>
      </c>
      <c r="AZ727" s="193">
        <f t="shared" ca="1" si="2041"/>
        <v>0</v>
      </c>
      <c r="BA727" s="193">
        <f t="shared" ca="1" si="2041"/>
        <v>2481654.2199999997</v>
      </c>
      <c r="BB727" s="193">
        <f t="shared" ca="1" si="2041"/>
        <v>11818681.52</v>
      </c>
      <c r="BC727" s="193">
        <f t="shared" ca="1" si="2041"/>
        <v>23716111.969999999</v>
      </c>
      <c r="BD727" s="193">
        <f t="shared" ca="1" si="2041"/>
        <v>0</v>
      </c>
      <c r="BE727" s="193">
        <f t="shared" ref="BE727:CG727" ca="1" si="2046">SUM(BE719:BE726)</f>
        <v>0</v>
      </c>
      <c r="BF727" s="193">
        <f t="shared" ca="1" si="2046"/>
        <v>0</v>
      </c>
      <c r="BG727" s="193">
        <f t="shared" ca="1" si="2046"/>
        <v>0</v>
      </c>
      <c r="BH727" s="193">
        <f t="shared" ca="1" si="2046"/>
        <v>0</v>
      </c>
      <c r="BI727" s="193">
        <f t="shared" ca="1" si="2046"/>
        <v>0</v>
      </c>
      <c r="BJ727" s="193">
        <f t="shared" ca="1" si="2046"/>
        <v>0</v>
      </c>
      <c r="BK727" s="193">
        <f t="shared" ca="1" si="2046"/>
        <v>0</v>
      </c>
      <c r="BL727" s="193">
        <f t="shared" ca="1" si="2046"/>
        <v>0</v>
      </c>
      <c r="BM727" s="193">
        <f t="shared" ca="1" si="2046"/>
        <v>0</v>
      </c>
      <c r="BN727" s="193">
        <f t="shared" ca="1" si="2046"/>
        <v>0</v>
      </c>
      <c r="BO727" s="193">
        <f t="shared" ca="1" si="2046"/>
        <v>0</v>
      </c>
      <c r="BP727" s="193">
        <f t="shared" ca="1" si="2046"/>
        <v>0</v>
      </c>
      <c r="BQ727" s="193">
        <f t="shared" ca="1" si="2046"/>
        <v>0</v>
      </c>
      <c r="BR727" s="193">
        <f t="shared" ca="1" si="2046"/>
        <v>0</v>
      </c>
      <c r="BS727" s="193">
        <f t="shared" ca="1" si="2046"/>
        <v>0</v>
      </c>
      <c r="BT727" s="193">
        <f t="shared" ca="1" si="2046"/>
        <v>0</v>
      </c>
      <c r="BU727" s="193">
        <f t="shared" ca="1" si="2046"/>
        <v>0</v>
      </c>
      <c r="BV727" s="193">
        <f t="shared" si="2046"/>
        <v>0</v>
      </c>
      <c r="BW727" s="193">
        <f t="shared" si="2046"/>
        <v>0</v>
      </c>
      <c r="BX727" s="193">
        <f t="shared" si="2046"/>
        <v>0</v>
      </c>
      <c r="BY727" s="193">
        <f t="shared" si="2046"/>
        <v>0</v>
      </c>
      <c r="BZ727" s="193">
        <f t="shared" si="2046"/>
        <v>0</v>
      </c>
      <c r="CA727" s="193">
        <f t="shared" si="2046"/>
        <v>0</v>
      </c>
      <c r="CB727" s="207">
        <f t="shared" si="2046"/>
        <v>0</v>
      </c>
      <c r="CC727" s="207">
        <f t="shared" si="2046"/>
        <v>0</v>
      </c>
      <c r="CD727" s="207">
        <f t="shared" si="2046"/>
        <v>0</v>
      </c>
      <c r="CE727" s="207">
        <f t="shared" si="2046"/>
        <v>0</v>
      </c>
      <c r="CF727" s="207">
        <f t="shared" si="2046"/>
        <v>0</v>
      </c>
      <c r="CG727" s="207">
        <f t="shared" si="2046"/>
        <v>0</v>
      </c>
      <c r="CH727" s="207">
        <f t="shared" ref="CH727:DM727" si="2047">SUM(CH719:CH726)</f>
        <v>0</v>
      </c>
      <c r="CI727" s="207">
        <f t="shared" si="2047"/>
        <v>0</v>
      </c>
      <c r="CJ727" s="207">
        <f t="shared" si="2047"/>
        <v>0</v>
      </c>
      <c r="CK727" s="207">
        <f t="shared" si="2047"/>
        <v>0</v>
      </c>
      <c r="CL727" s="207">
        <f t="shared" si="2047"/>
        <v>0</v>
      </c>
      <c r="CM727" s="207">
        <f t="shared" si="2047"/>
        <v>0</v>
      </c>
      <c r="CN727" s="207">
        <f t="shared" si="2047"/>
        <v>0</v>
      </c>
      <c r="CO727" s="207">
        <f t="shared" si="2047"/>
        <v>0</v>
      </c>
      <c r="CP727" s="207">
        <f t="shared" si="2047"/>
        <v>0</v>
      </c>
      <c r="CQ727" s="207">
        <f t="shared" si="2047"/>
        <v>0</v>
      </c>
      <c r="CR727" s="207">
        <f t="shared" si="2047"/>
        <v>0</v>
      </c>
      <c r="CS727" s="207">
        <f t="shared" si="2047"/>
        <v>0</v>
      </c>
      <c r="CT727" s="207">
        <f t="shared" si="2047"/>
        <v>0</v>
      </c>
      <c r="CU727" s="207">
        <f t="shared" si="2047"/>
        <v>0</v>
      </c>
      <c r="CV727" s="207">
        <f t="shared" si="2047"/>
        <v>0</v>
      </c>
      <c r="CW727" s="207">
        <f t="shared" si="2047"/>
        <v>0</v>
      </c>
      <c r="CX727" s="207">
        <f t="shared" si="2047"/>
        <v>0</v>
      </c>
      <c r="CY727" s="207">
        <f t="shared" si="2047"/>
        <v>0</v>
      </c>
      <c r="CZ727" s="207">
        <f t="shared" si="2047"/>
        <v>0</v>
      </c>
      <c r="DA727" s="207">
        <f t="shared" si="2047"/>
        <v>0</v>
      </c>
      <c r="DB727" s="207">
        <f t="shared" si="2047"/>
        <v>0</v>
      </c>
      <c r="DC727" s="207">
        <f t="shared" si="2047"/>
        <v>0</v>
      </c>
      <c r="DD727" s="207">
        <f t="shared" si="2047"/>
        <v>0</v>
      </c>
      <c r="DE727" s="207">
        <f t="shared" si="2047"/>
        <v>0</v>
      </c>
      <c r="DF727" s="207">
        <f t="shared" si="2047"/>
        <v>0</v>
      </c>
      <c r="DG727" s="207">
        <f t="shared" si="2047"/>
        <v>0</v>
      </c>
      <c r="DH727" s="207">
        <f t="shared" si="2047"/>
        <v>0</v>
      </c>
      <c r="DI727" s="207">
        <f t="shared" si="2047"/>
        <v>0</v>
      </c>
      <c r="DJ727" s="207">
        <f t="shared" si="2047"/>
        <v>0</v>
      </c>
      <c r="DK727" s="207">
        <f t="shared" si="2047"/>
        <v>0</v>
      </c>
      <c r="DL727" s="207">
        <f t="shared" si="2047"/>
        <v>0</v>
      </c>
      <c r="DM727" s="207">
        <f t="shared" si="2047"/>
        <v>0</v>
      </c>
      <c r="DN727" s="207">
        <f t="shared" ref="DN727:DO727" si="2048">SUM(DN719:DN726)</f>
        <v>0</v>
      </c>
      <c r="DO727" s="207">
        <f t="shared" si="2048"/>
        <v>0</v>
      </c>
      <c r="DP727" s="207">
        <f t="shared" ref="DP727" si="2049">SUM(DP719:DP726)</f>
        <v>0</v>
      </c>
    </row>
    <row r="728" spans="1:120"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  <c r="CD728" s="24"/>
      <c r="CE728" s="24"/>
      <c r="CF728" s="24"/>
      <c r="CG728" s="24"/>
      <c r="CH728" s="24"/>
      <c r="CI728" s="24"/>
      <c r="CJ728" s="24"/>
      <c r="CK728" s="24"/>
      <c r="CL728" s="24"/>
      <c r="CM728" s="24"/>
      <c r="CN728" s="24"/>
      <c r="CO728" s="24"/>
      <c r="CP728" s="24"/>
      <c r="CQ728" s="24"/>
      <c r="CR728" s="24"/>
      <c r="CS728" s="24"/>
      <c r="CT728" s="24"/>
      <c r="CU728" s="24"/>
      <c r="CV728" s="24"/>
      <c r="CW728" s="24"/>
      <c r="CX728" s="24"/>
      <c r="CY728" s="24"/>
      <c r="CZ728" s="24"/>
      <c r="DA728" s="24"/>
      <c r="DB728" s="24"/>
      <c r="DC728" s="24"/>
      <c r="DD728" s="24"/>
      <c r="DE728" s="24"/>
      <c r="DF728" s="24"/>
      <c r="DG728" s="24"/>
      <c r="DH728" s="24"/>
      <c r="DI728" s="24"/>
      <c r="DJ728" s="24"/>
      <c r="DK728" s="24"/>
      <c r="DL728" s="24"/>
      <c r="DM728" s="24"/>
      <c r="DN728" s="24"/>
      <c r="DO728" s="24"/>
      <c r="DP728" s="24"/>
    </row>
    <row r="729" spans="1:120" hidden="1" outlineLevel="1">
      <c r="A729" s="640">
        <v>1110052090</v>
      </c>
      <c r="B729" s="573" t="s">
        <v>78</v>
      </c>
      <c r="C729" s="641" t="s">
        <v>64</v>
      </c>
      <c r="D729" s="1489"/>
      <c r="E729" s="1490"/>
      <c r="F729" s="643"/>
      <c r="G729" s="1262"/>
      <c r="H729" s="644"/>
      <c r="I729" s="645"/>
      <c r="J729" s="1483">
        <v>1</v>
      </c>
      <c r="K729" s="1484">
        <v>1</v>
      </c>
      <c r="L729" s="646"/>
      <c r="M729" s="1428">
        <f t="shared" ref="M729" si="2050">+L729*J729</f>
        <v>0</v>
      </c>
      <c r="N729" s="647"/>
      <c r="O729" s="648">
        <f t="shared" ref="O729:O732" si="2051">+L729*N729</f>
        <v>0</v>
      </c>
      <c r="P729" s="649"/>
      <c r="Q729" s="649"/>
      <c r="R729" s="650"/>
      <c r="S729" s="650"/>
      <c r="T729" s="651">
        <f t="shared" ref="T729:T732" si="2052">+P729*S729</f>
        <v>0</v>
      </c>
      <c r="U729" s="652">
        <f t="shared" ref="U729:U732" si="2053">+L729+P729+F729</f>
        <v>0</v>
      </c>
      <c r="V729" s="648">
        <f t="shared" ref="V729:V732" si="2054">+P729*R729+L729*N729+F729*H729</f>
        <v>0</v>
      </c>
      <c r="W729" s="653">
        <f>IF((-P729*R729)-(-P729*S729)&gt;0,(-P729*R729)-(-P729*S729),0)</f>
        <v>0</v>
      </c>
      <c r="X729" s="654">
        <f>IF((-P729*R729)-(-P729*S729)&lt;0,(-P729*R729)-(-P729*S729),0)</f>
        <v>0</v>
      </c>
      <c r="Y729" s="655"/>
      <c r="AA729" s="730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31"/>
      <c r="BL729" s="731"/>
      <c r="BM729" s="731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  <c r="BX729" s="731"/>
      <c r="BY729" s="731"/>
      <c r="BZ729" s="731"/>
      <c r="CA729" s="731"/>
      <c r="CB729" s="732"/>
      <c r="CC729" s="732"/>
      <c r="CD729" s="732"/>
      <c r="CE729" s="732"/>
      <c r="CF729" s="732"/>
      <c r="CG729" s="732"/>
      <c r="CH729" s="732"/>
      <c r="CI729" s="732"/>
      <c r="CJ729" s="732"/>
      <c r="CK729" s="732"/>
      <c r="CL729" s="732"/>
      <c r="CM729" s="732"/>
      <c r="CN729" s="732"/>
      <c r="CO729" s="732"/>
      <c r="CP729" s="732"/>
      <c r="CQ729" s="732"/>
      <c r="CR729" s="732"/>
      <c r="CS729" s="732"/>
      <c r="CT729" s="732"/>
      <c r="CU729" s="732"/>
      <c r="CV729" s="732"/>
      <c r="CW729" s="732"/>
      <c r="CX729" s="732">
        <f>+M729</f>
        <v>0</v>
      </c>
      <c r="CY729" s="732"/>
      <c r="CZ729" s="732"/>
      <c r="DA729" s="732"/>
      <c r="DB729" s="732"/>
      <c r="DC729" s="732"/>
      <c r="DD729" s="732"/>
      <c r="DE729" s="732"/>
      <c r="DF729" s="732"/>
      <c r="DG729" s="732"/>
      <c r="DH729" s="732"/>
      <c r="DI729" s="732"/>
      <c r="DJ729" s="732"/>
      <c r="DK729" s="732"/>
      <c r="DL729" s="732"/>
      <c r="DM729" s="732"/>
      <c r="DN729" s="732"/>
      <c r="DO729" s="732"/>
      <c r="DP729" s="732"/>
    </row>
    <row r="730" spans="1:120" s="61" customFormat="1" hidden="1" outlineLevel="1">
      <c r="A730" s="57">
        <v>1110052095</v>
      </c>
      <c r="B730" s="195"/>
      <c r="C730" s="196" t="s">
        <v>64</v>
      </c>
      <c r="D730" s="1557"/>
      <c r="E730" s="1558"/>
      <c r="F730" s="416"/>
      <c r="G730" s="1251"/>
      <c r="H730" s="511"/>
      <c r="I730" s="512"/>
      <c r="J730" s="1425">
        <v>1</v>
      </c>
      <c r="K730" s="1426">
        <v>1</v>
      </c>
      <c r="L730" s="59"/>
      <c r="M730" s="1541">
        <f t="shared" ref="M730" si="2055">+L730*J730</f>
        <v>0</v>
      </c>
      <c r="N730" s="524"/>
      <c r="O730" s="525">
        <f t="shared" si="2051"/>
        <v>0</v>
      </c>
      <c r="P730" s="197"/>
      <c r="Q730" s="526"/>
      <c r="R730" s="527"/>
      <c r="S730" s="527"/>
      <c r="T730" s="562">
        <f t="shared" si="2052"/>
        <v>0</v>
      </c>
      <c r="U730" s="439">
        <f t="shared" si="2053"/>
        <v>0</v>
      </c>
      <c r="V730" s="529">
        <f t="shared" si="2054"/>
        <v>0</v>
      </c>
      <c r="W730" s="976">
        <f t="shared" ref="W730:W732" si="2056">(IF(R730&gt;S730,(-P730*R730)-(-P730*S730),0))</f>
        <v>0</v>
      </c>
      <c r="X730" s="975">
        <f t="shared" ref="X730:X732" si="2057">(IF(R730&lt;S730,(-P730*R730)-(-P730*S730),0))</f>
        <v>0</v>
      </c>
      <c r="Y730" s="519"/>
      <c r="Z730" s="1056"/>
      <c r="AA730" s="198"/>
      <c r="AB730" s="707"/>
      <c r="AC730" s="707"/>
      <c r="AD730" s="707"/>
      <c r="AE730" s="707"/>
      <c r="AF730" s="707"/>
      <c r="AG730" s="707"/>
      <c r="AH730" s="707"/>
      <c r="AI730" s="707"/>
      <c r="AJ730" s="707"/>
      <c r="AK730" s="707"/>
      <c r="AL730" s="1577"/>
      <c r="AM730" s="707"/>
      <c r="AN730" s="707"/>
      <c r="AO730" s="707"/>
      <c r="AP730" s="707"/>
      <c r="AQ730" s="707"/>
      <c r="AR730" s="707"/>
      <c r="AS730" s="707"/>
      <c r="AT730" s="707"/>
      <c r="AU730" s="707"/>
      <c r="AV730" s="707"/>
      <c r="AW730" s="707"/>
      <c r="AX730" s="707"/>
      <c r="AY730" s="707"/>
      <c r="AZ730" s="707"/>
      <c r="BA730" s="707"/>
      <c r="BB730" s="707"/>
      <c r="BC730" s="707"/>
      <c r="BD730" s="707"/>
      <c r="BE730" s="707"/>
      <c r="BF730" s="707"/>
      <c r="BG730" s="707"/>
      <c r="BH730" s="707"/>
      <c r="BI730" s="707"/>
      <c r="BJ730" s="707"/>
      <c r="BK730" s="707"/>
      <c r="BL730" s="707"/>
      <c r="BM730" s="707"/>
      <c r="BN730" s="707"/>
      <c r="BO730" s="707"/>
      <c r="BP730" s="707"/>
      <c r="BQ730" s="707"/>
      <c r="BR730" s="707"/>
      <c r="BS730" s="707"/>
      <c r="BT730" s="707"/>
      <c r="BU730" s="707"/>
      <c r="BV730" s="707"/>
      <c r="BW730" s="707"/>
      <c r="BX730" s="707"/>
      <c r="BY730" s="707"/>
      <c r="BZ730" s="707"/>
      <c r="CA730" s="707"/>
      <c r="CB730" s="736"/>
      <c r="CC730" s="736"/>
      <c r="CD730" s="736"/>
      <c r="CE730" s="736"/>
      <c r="CF730" s="736"/>
      <c r="CG730" s="736"/>
      <c r="CH730" s="736"/>
      <c r="CI730" s="736"/>
      <c r="CJ730" s="736"/>
      <c r="CK730" s="736"/>
      <c r="CL730" s="736"/>
      <c r="CM730" s="736"/>
      <c r="CN730" s="736"/>
      <c r="CO730" s="736"/>
      <c r="CP730" s="736"/>
      <c r="CQ730" s="736"/>
      <c r="CR730" s="736"/>
      <c r="CS730" s="736"/>
      <c r="CT730" s="736"/>
      <c r="CU730" s="736"/>
      <c r="CV730" s="736"/>
      <c r="CW730" s="736"/>
      <c r="CX730" s="736"/>
      <c r="CY730" s="736"/>
      <c r="CZ730" s="736"/>
      <c r="DA730" s="736"/>
      <c r="DB730" s="736"/>
      <c r="DC730" s="736"/>
      <c r="DD730" s="736"/>
      <c r="DE730" s="736"/>
      <c r="DF730" s="736"/>
      <c r="DG730" s="736"/>
      <c r="DH730" s="736"/>
      <c r="DI730" s="736"/>
      <c r="DJ730" s="736"/>
      <c r="DK730" s="736"/>
      <c r="DL730" s="736"/>
      <c r="DM730" s="736"/>
      <c r="DN730" s="736"/>
      <c r="DO730" s="736"/>
      <c r="DP730" s="736"/>
    </row>
    <row r="731" spans="1:120" s="61" customFormat="1" hidden="1" outlineLevel="1">
      <c r="A731" s="57">
        <v>1110052095</v>
      </c>
      <c r="B731" s="195"/>
      <c r="C731" s="196" t="s">
        <v>64</v>
      </c>
      <c r="D731" s="1557"/>
      <c r="E731" s="1558"/>
      <c r="F731" s="416"/>
      <c r="G731" s="1251"/>
      <c r="H731" s="511"/>
      <c r="I731" s="512"/>
      <c r="J731" s="1425">
        <v>1</v>
      </c>
      <c r="K731" s="1426">
        <v>1</v>
      </c>
      <c r="L731" s="59"/>
      <c r="M731" s="1541">
        <f t="shared" ref="M731:M732" si="2058">+L731*J731</f>
        <v>0</v>
      </c>
      <c r="N731" s="524"/>
      <c r="O731" s="525">
        <f t="shared" si="2051"/>
        <v>0</v>
      </c>
      <c r="P731" s="197"/>
      <c r="Q731" s="526"/>
      <c r="R731" s="527"/>
      <c r="S731" s="527"/>
      <c r="T731" s="562">
        <f t="shared" si="2052"/>
        <v>0</v>
      </c>
      <c r="U731" s="439">
        <f t="shared" si="2053"/>
        <v>0</v>
      </c>
      <c r="V731" s="529">
        <f t="shared" si="2054"/>
        <v>0</v>
      </c>
      <c r="W731" s="976">
        <f t="shared" si="2056"/>
        <v>0</v>
      </c>
      <c r="X731" s="975">
        <f t="shared" si="2057"/>
        <v>0</v>
      </c>
      <c r="Y731" s="519"/>
      <c r="Z731" s="1056"/>
      <c r="AA731" s="198"/>
      <c r="AB731" s="707"/>
      <c r="AC731" s="707"/>
      <c r="AD731" s="707"/>
      <c r="AE731" s="707"/>
      <c r="AF731" s="707"/>
      <c r="AG731" s="707"/>
      <c r="AH731" s="707"/>
      <c r="AI731" s="707"/>
      <c r="AJ731" s="707"/>
      <c r="AK731" s="707"/>
      <c r="AL731" s="1577"/>
      <c r="AM731" s="707"/>
      <c r="AN731" s="707"/>
      <c r="AO731" s="707"/>
      <c r="AP731" s="707"/>
      <c r="AQ731" s="707"/>
      <c r="AR731" s="707"/>
      <c r="AS731" s="707"/>
      <c r="AT731" s="707"/>
      <c r="AU731" s="707"/>
      <c r="AV731" s="707"/>
      <c r="AW731" s="707"/>
      <c r="AX731" s="707"/>
      <c r="AY731" s="707"/>
      <c r="AZ731" s="707"/>
      <c r="BA731" s="707"/>
      <c r="BB731" s="707"/>
      <c r="BC731" s="707"/>
      <c r="BD731" s="707"/>
      <c r="BE731" s="707"/>
      <c r="BF731" s="707"/>
      <c r="BG731" s="707"/>
      <c r="BH731" s="707"/>
      <c r="BI731" s="707"/>
      <c r="BJ731" s="707"/>
      <c r="BK731" s="707"/>
      <c r="BL731" s="707"/>
      <c r="BM731" s="707"/>
      <c r="BN731" s="707"/>
      <c r="BO731" s="707"/>
      <c r="BP731" s="707"/>
      <c r="BQ731" s="707"/>
      <c r="BR731" s="707"/>
      <c r="BS731" s="707"/>
      <c r="BT731" s="707"/>
      <c r="BU731" s="707"/>
      <c r="BV731" s="707"/>
      <c r="BW731" s="707"/>
      <c r="BX731" s="707"/>
      <c r="BY731" s="707"/>
      <c r="BZ731" s="707"/>
      <c r="CA731" s="707"/>
      <c r="CB731" s="736"/>
      <c r="CC731" s="736"/>
      <c r="CD731" s="736"/>
      <c r="CE731" s="736"/>
      <c r="CF731" s="736"/>
      <c r="CG731" s="736"/>
      <c r="CH731" s="736"/>
      <c r="CI731" s="736"/>
      <c r="CJ731" s="736"/>
      <c r="CK731" s="736"/>
      <c r="CL731" s="736"/>
      <c r="CM731" s="736"/>
      <c r="CN731" s="736"/>
      <c r="CO731" s="736"/>
      <c r="CP731" s="736"/>
      <c r="CQ731" s="736"/>
      <c r="CR731" s="736"/>
      <c r="CS731" s="736"/>
      <c r="CT731" s="736"/>
      <c r="CU731" s="736"/>
      <c r="CV731" s="736"/>
      <c r="CW731" s="736"/>
      <c r="CX731" s="736">
        <f>+M731</f>
        <v>0</v>
      </c>
      <c r="CY731" s="736"/>
      <c r="CZ731" s="736"/>
      <c r="DA731" s="736"/>
      <c r="DB731" s="736"/>
      <c r="DC731" s="736"/>
      <c r="DD731" s="736"/>
      <c r="DE731" s="736"/>
      <c r="DF731" s="736"/>
      <c r="DG731" s="736"/>
      <c r="DH731" s="736"/>
      <c r="DI731" s="736"/>
      <c r="DJ731" s="736"/>
      <c r="DK731" s="736"/>
      <c r="DL731" s="736"/>
      <c r="DM731" s="736"/>
      <c r="DN731" s="736"/>
      <c r="DO731" s="736"/>
      <c r="DP731" s="736"/>
    </row>
    <row r="732" spans="1:120" s="61" customFormat="1" hidden="1" outlineLevel="1">
      <c r="A732" s="57">
        <v>1110052095</v>
      </c>
      <c r="B732" s="195"/>
      <c r="C732" s="196" t="s">
        <v>64</v>
      </c>
      <c r="D732" s="1557"/>
      <c r="E732" s="1558"/>
      <c r="F732" s="416"/>
      <c r="G732" s="1251"/>
      <c r="H732" s="511"/>
      <c r="I732" s="512"/>
      <c r="J732" s="1425">
        <v>1</v>
      </c>
      <c r="K732" s="1426">
        <v>1</v>
      </c>
      <c r="L732" s="59"/>
      <c r="M732" s="1541">
        <f t="shared" si="2058"/>
        <v>0</v>
      </c>
      <c r="N732" s="524"/>
      <c r="O732" s="525">
        <f t="shared" si="2051"/>
        <v>0</v>
      </c>
      <c r="P732" s="197"/>
      <c r="Q732" s="526">
        <f t="shared" ref="Q732" si="2059">+P732*K732</f>
        <v>0</v>
      </c>
      <c r="R732" s="527"/>
      <c r="S732" s="527"/>
      <c r="T732" s="562">
        <f t="shared" si="2052"/>
        <v>0</v>
      </c>
      <c r="U732" s="439">
        <f t="shared" si="2053"/>
        <v>0</v>
      </c>
      <c r="V732" s="529">
        <f t="shared" si="2054"/>
        <v>0</v>
      </c>
      <c r="W732" s="976">
        <f t="shared" si="2056"/>
        <v>0</v>
      </c>
      <c r="X732" s="975">
        <f t="shared" si="2057"/>
        <v>0</v>
      </c>
      <c r="Y732" s="519"/>
      <c r="Z732" s="1056"/>
      <c r="AA732" s="198"/>
      <c r="AB732" s="707"/>
      <c r="AC732" s="707"/>
      <c r="AD732" s="707"/>
      <c r="AE732" s="707"/>
      <c r="AF732" s="707"/>
      <c r="AG732" s="707"/>
      <c r="AH732" s="707"/>
      <c r="AI732" s="707"/>
      <c r="AJ732" s="707"/>
      <c r="AK732" s="707"/>
      <c r="AL732" s="1577"/>
      <c r="AM732" s="707"/>
      <c r="AN732" s="707"/>
      <c r="AO732" s="707"/>
      <c r="AP732" s="707"/>
      <c r="AQ732" s="707"/>
      <c r="AR732" s="707"/>
      <c r="AS732" s="707"/>
      <c r="AT732" s="707"/>
      <c r="AU732" s="707"/>
      <c r="AV732" s="707"/>
      <c r="AW732" s="707"/>
      <c r="AX732" s="707"/>
      <c r="AY732" s="707"/>
      <c r="AZ732" s="707"/>
      <c r="BA732" s="707"/>
      <c r="BB732" s="707"/>
      <c r="BC732" s="707"/>
      <c r="BD732" s="707"/>
      <c r="BE732" s="707"/>
      <c r="BF732" s="707"/>
      <c r="BG732" s="707"/>
      <c r="BH732" s="707"/>
      <c r="BI732" s="707"/>
      <c r="BJ732" s="707"/>
      <c r="BK732" s="707"/>
      <c r="BL732" s="707"/>
      <c r="BM732" s="707"/>
      <c r="BN732" s="707"/>
      <c r="BO732" s="707"/>
      <c r="BP732" s="707"/>
      <c r="BQ732" s="707"/>
      <c r="BR732" s="707"/>
      <c r="BS732" s="707"/>
      <c r="BT732" s="707"/>
      <c r="BU732" s="707"/>
      <c r="BV732" s="707"/>
      <c r="BW732" s="707"/>
      <c r="BX732" s="707"/>
      <c r="BY732" s="707"/>
      <c r="BZ732" s="707"/>
      <c r="CA732" s="707"/>
      <c r="CB732" s="736"/>
      <c r="CC732" s="736"/>
      <c r="CD732" s="736"/>
      <c r="CE732" s="736"/>
      <c r="CF732" s="736"/>
      <c r="CG732" s="736"/>
      <c r="CH732" s="736"/>
      <c r="CI732" s="736"/>
      <c r="CJ732" s="736"/>
      <c r="CK732" s="736"/>
      <c r="CL732" s="736"/>
      <c r="CM732" s="736"/>
      <c r="CN732" s="736"/>
      <c r="CO732" s="736"/>
      <c r="CP732" s="736">
        <f>+Q732</f>
        <v>0</v>
      </c>
      <c r="CQ732" s="736"/>
      <c r="CR732" s="736"/>
      <c r="CS732" s="736"/>
      <c r="CT732" s="736"/>
      <c r="CU732" s="736"/>
      <c r="CV732" s="736"/>
      <c r="CW732" s="736"/>
      <c r="CX732" s="736"/>
      <c r="CY732" s="736"/>
      <c r="CZ732" s="736"/>
      <c r="DA732" s="736"/>
      <c r="DB732" s="736"/>
      <c r="DC732" s="736"/>
      <c r="DD732" s="736"/>
      <c r="DE732" s="736"/>
      <c r="DF732" s="736"/>
      <c r="DG732" s="736"/>
      <c r="DH732" s="736"/>
      <c r="DI732" s="736"/>
      <c r="DJ732" s="736"/>
      <c r="DK732" s="736"/>
      <c r="DL732" s="736"/>
      <c r="DM732" s="736"/>
      <c r="DN732" s="736"/>
      <c r="DO732" s="736"/>
      <c r="DP732" s="736"/>
    </row>
    <row r="733" spans="1:120" s="1915" customFormat="1" hidden="1" outlineLevel="1">
      <c r="A733" s="1895">
        <v>1110052095</v>
      </c>
      <c r="B733" s="2176"/>
      <c r="C733" s="2177" t="s">
        <v>64</v>
      </c>
      <c r="D733" s="2178"/>
      <c r="E733" s="2179"/>
      <c r="F733" s="2180"/>
      <c r="G733" s="2181"/>
      <c r="H733" s="2182"/>
      <c r="I733" s="2183"/>
      <c r="J733" s="2184">
        <v>1</v>
      </c>
      <c r="K733" s="2185">
        <v>1</v>
      </c>
      <c r="L733" s="2186"/>
      <c r="M733" s="2187"/>
      <c r="N733" s="1906"/>
      <c r="O733" s="1907">
        <f>+L733*N733</f>
        <v>0</v>
      </c>
      <c r="P733" s="2188"/>
      <c r="Q733" s="1908">
        <f t="shared" ref="Q733" si="2060">+P733*K733</f>
        <v>0</v>
      </c>
      <c r="R733" s="1909"/>
      <c r="S733" s="1909"/>
      <c r="T733" s="586">
        <f>+P733*S733</f>
        <v>0</v>
      </c>
      <c r="U733" s="2189">
        <f>+L733+P733+F733</f>
        <v>0</v>
      </c>
      <c r="V733" s="1912">
        <f>+P733*R733+L733*N733+F733*H733</f>
        <v>0</v>
      </c>
      <c r="W733" s="436">
        <f>(IF(R733&gt;S733,(-P733*R733)-(-P733*S733),0))</f>
        <v>0</v>
      </c>
      <c r="X733" s="588">
        <f>(IF(R733&lt;S733,(-P733*R733)-(-P733*S733),0))</f>
        <v>0</v>
      </c>
      <c r="Y733" s="589"/>
      <c r="Z733" s="220"/>
      <c r="AA733" s="2190"/>
      <c r="AB733" s="2191"/>
      <c r="AC733" s="2191"/>
      <c r="AD733" s="2191"/>
      <c r="AE733" s="2191"/>
      <c r="AF733" s="2191"/>
      <c r="AG733" s="2191"/>
      <c r="AH733" s="2191"/>
      <c r="AI733" s="2191"/>
      <c r="AJ733" s="2191"/>
      <c r="AK733" s="2191"/>
      <c r="AL733" s="2192"/>
      <c r="AM733" s="2191"/>
      <c r="AN733" s="2191"/>
      <c r="AO733" s="2191"/>
      <c r="AP733" s="2191"/>
      <c r="AQ733" s="2191"/>
      <c r="AR733" s="2191"/>
      <c r="AS733" s="2191"/>
      <c r="AT733" s="2191"/>
      <c r="AU733" s="2191"/>
      <c r="AV733" s="2191"/>
      <c r="AW733" s="2191"/>
      <c r="AX733" s="2191"/>
      <c r="AY733" s="2191"/>
      <c r="AZ733" s="2191"/>
      <c r="BA733" s="2191"/>
      <c r="BB733" s="2191"/>
      <c r="BC733" s="2191"/>
      <c r="BD733" s="2191"/>
      <c r="BE733" s="2191"/>
      <c r="BF733" s="2191"/>
      <c r="BG733" s="2191"/>
      <c r="BH733" s="2191"/>
      <c r="BI733" s="2191"/>
      <c r="BJ733" s="2191"/>
      <c r="BK733" s="2191"/>
      <c r="BL733" s="2191"/>
      <c r="BM733" s="2191"/>
      <c r="BN733" s="2191"/>
      <c r="BO733" s="2191"/>
      <c r="BP733" s="2191"/>
      <c r="BQ733" s="2191"/>
      <c r="BR733" s="2191"/>
      <c r="BS733" s="2191"/>
      <c r="BT733" s="2191"/>
      <c r="BU733" s="2191"/>
      <c r="BV733" s="2191"/>
      <c r="BW733" s="2191"/>
      <c r="BX733" s="2191"/>
      <c r="BY733" s="2191"/>
      <c r="BZ733" s="2191"/>
      <c r="CA733" s="2191"/>
      <c r="CB733" s="2193"/>
      <c r="CC733" s="2193"/>
      <c r="CD733" s="2193"/>
      <c r="CE733" s="2193"/>
      <c r="CF733" s="2193"/>
      <c r="CG733" s="2193"/>
      <c r="CH733" s="2193"/>
      <c r="CI733" s="2193"/>
      <c r="CJ733" s="2193"/>
      <c r="CK733" s="2193"/>
      <c r="CL733" s="2193"/>
      <c r="CM733" s="2193"/>
      <c r="CN733" s="2193"/>
      <c r="CO733" s="2193"/>
      <c r="CP733" s="2193"/>
      <c r="CQ733" s="2193"/>
      <c r="CR733" s="2193"/>
      <c r="CS733" s="2193"/>
      <c r="CT733" s="2193"/>
      <c r="CU733" s="2193"/>
      <c r="CV733" s="2193"/>
      <c r="CW733" s="2193"/>
      <c r="CX733" s="2193">
        <f>+Q733</f>
        <v>0</v>
      </c>
      <c r="CY733" s="2193"/>
      <c r="CZ733" s="2193"/>
      <c r="DA733" s="2193"/>
      <c r="DB733" s="2193"/>
      <c r="DC733" s="2193"/>
      <c r="DD733" s="2193"/>
      <c r="DE733" s="2193"/>
      <c r="DF733" s="2193"/>
      <c r="DG733" s="2193"/>
      <c r="DH733" s="2193"/>
      <c r="DI733" s="2193"/>
      <c r="DJ733" s="2193"/>
      <c r="DK733" s="2193"/>
      <c r="DL733" s="2193"/>
      <c r="DM733" s="2193"/>
      <c r="DN733" s="2193"/>
      <c r="DO733" s="2193"/>
      <c r="DP733" s="2193"/>
    </row>
    <row r="734" spans="1:120" hidden="1" outlineLevel="1">
      <c r="A734" s="55"/>
      <c r="B734" s="90"/>
      <c r="C734" s="91"/>
      <c r="D734" s="1538"/>
      <c r="E734" s="1539"/>
      <c r="F734" s="416"/>
      <c r="G734" s="1251"/>
      <c r="H734" s="511"/>
      <c r="I734" s="512"/>
      <c r="J734" s="1381"/>
      <c r="K734" s="1427"/>
      <c r="L734" s="417"/>
      <c r="M734" s="1540"/>
      <c r="N734" s="504"/>
      <c r="O734" s="513"/>
      <c r="P734" s="431"/>
      <c r="Q734" s="514"/>
      <c r="R734" s="515"/>
      <c r="S734" s="515"/>
      <c r="T734" s="562">
        <f>+P734*S734</f>
        <v>0</v>
      </c>
      <c r="U734" s="439">
        <f>+L734+P734+F734</f>
        <v>0</v>
      </c>
      <c r="V734" s="529">
        <f>+P734*R734+L734*N734+F734*H734</f>
        <v>0</v>
      </c>
      <c r="W734" s="976"/>
      <c r="X734" s="975"/>
      <c r="Y734" s="519"/>
      <c r="AA734" s="199"/>
      <c r="AB734" s="561"/>
      <c r="AC734" s="561"/>
      <c r="AD734" s="561"/>
      <c r="AE734" s="561"/>
      <c r="AF734" s="561"/>
      <c r="AG734" s="561"/>
      <c r="AH734" s="561"/>
      <c r="AI734" s="561"/>
      <c r="AJ734" s="561"/>
      <c r="AK734" s="561"/>
      <c r="AL734" s="1542"/>
      <c r="AM734" s="561"/>
      <c r="AN734" s="561"/>
      <c r="AO734" s="561"/>
      <c r="AP734" s="561"/>
      <c r="AQ734" s="561"/>
      <c r="AR734" s="561"/>
      <c r="AS734" s="561"/>
      <c r="AT734" s="561"/>
      <c r="AU734" s="561"/>
      <c r="AV734" s="561"/>
      <c r="AW734" s="561"/>
      <c r="AX734" s="561"/>
      <c r="AY734" s="561"/>
      <c r="AZ734" s="561"/>
      <c r="BA734" s="561"/>
      <c r="BB734" s="561"/>
      <c r="BC734" s="561"/>
      <c r="BD734" s="561"/>
      <c r="BE734" s="561"/>
      <c r="BF734" s="561"/>
      <c r="BG734" s="561"/>
      <c r="BH734" s="561"/>
      <c r="BI734" s="561"/>
      <c r="BJ734" s="561"/>
      <c r="BK734" s="561"/>
      <c r="BL734" s="561"/>
      <c r="BM734" s="561"/>
      <c r="BN734" s="561"/>
      <c r="BO734" s="561"/>
      <c r="BP734" s="561"/>
      <c r="BQ734" s="561"/>
      <c r="BR734" s="561"/>
      <c r="BS734" s="561"/>
      <c r="BT734" s="561"/>
      <c r="BU734" s="561"/>
      <c r="BV734" s="561"/>
      <c r="BW734" s="561"/>
      <c r="BX734" s="561"/>
      <c r="BY734" s="561"/>
      <c r="BZ734" s="561"/>
      <c r="CA734" s="561"/>
      <c r="CB734" s="737"/>
      <c r="CC734" s="737"/>
      <c r="CD734" s="737"/>
      <c r="CE734" s="737"/>
      <c r="CF734" s="737"/>
      <c r="CG734" s="737"/>
      <c r="CH734" s="737"/>
      <c r="CI734" s="737"/>
      <c r="CJ734" s="737"/>
      <c r="CK734" s="737"/>
      <c r="CL734" s="737"/>
      <c r="CM734" s="737"/>
      <c r="CN734" s="737"/>
      <c r="CO734" s="737"/>
      <c r="CP734" s="737"/>
      <c r="CQ734" s="737"/>
      <c r="CR734" s="737"/>
      <c r="CS734" s="737"/>
      <c r="CT734" s="737"/>
      <c r="CU734" s="737"/>
      <c r="CV734" s="737"/>
      <c r="CW734" s="737"/>
      <c r="CX734" s="737"/>
      <c r="CY734" s="737"/>
      <c r="CZ734" s="737"/>
      <c r="DA734" s="737"/>
      <c r="DB734" s="737"/>
      <c r="DC734" s="737"/>
      <c r="DD734" s="737"/>
      <c r="DE734" s="737"/>
      <c r="DF734" s="737"/>
      <c r="DG734" s="737"/>
      <c r="DH734" s="737"/>
      <c r="DI734" s="737"/>
      <c r="DJ734" s="737"/>
      <c r="DK734" s="737"/>
      <c r="DL734" s="737"/>
      <c r="DM734" s="737"/>
      <c r="DN734" s="737"/>
      <c r="DO734" s="737"/>
      <c r="DP734" s="737"/>
    </row>
    <row r="735" spans="1:120" ht="16.5" collapsed="1" thickBot="1">
      <c r="A735" s="62" t="s">
        <v>235</v>
      </c>
      <c r="B735" s="63"/>
      <c r="C735" s="64"/>
      <c r="D735" s="1473"/>
      <c r="E735" s="1474"/>
      <c r="F735" s="66">
        <f>SUM(F729:F734)</f>
        <v>0</v>
      </c>
      <c r="G735" s="1253"/>
      <c r="H735" s="67"/>
      <c r="I735" s="68">
        <f>SUM(I729:I734)</f>
        <v>0</v>
      </c>
      <c r="J735" s="1376"/>
      <c r="K735" s="76"/>
      <c r="L735" s="69">
        <f>SUM(L729:L734)</f>
        <v>0</v>
      </c>
      <c r="M735" s="168"/>
      <c r="N735" s="70"/>
      <c r="O735" s="71">
        <f>SUM(O729:O734)</f>
        <v>0</v>
      </c>
      <c r="P735" s="72">
        <f>SUM(P729:P734)</f>
        <v>0</v>
      </c>
      <c r="Q735" s="1339"/>
      <c r="R735" s="73"/>
      <c r="S735" s="73"/>
      <c r="T735" s="96">
        <f>SUM(T729:T734)</f>
        <v>0</v>
      </c>
      <c r="U735" s="173">
        <f>SUM(U729:U734)</f>
        <v>0</v>
      </c>
      <c r="V735" s="76">
        <f>SUM(V729:V734)</f>
        <v>0</v>
      </c>
      <c r="W735" s="97">
        <f>SUM(W729:W734)</f>
        <v>0</v>
      </c>
      <c r="X735" s="98">
        <f>SUM(X729:X734)</f>
        <v>0</v>
      </c>
      <c r="Y735" s="43"/>
      <c r="AA735" s="192">
        <f t="shared" ref="AA735:BF735" ca="1" si="2061">SUM(AA727:AA734)</f>
        <v>6.9849193096160889E-10</v>
      </c>
      <c r="AB735" s="193">
        <f t="shared" ca="1" si="2061"/>
        <v>0</v>
      </c>
      <c r="AC735" s="193">
        <f t="shared" ca="1" si="2061"/>
        <v>-2.3283064365386963E-10</v>
      </c>
      <c r="AD735" s="193">
        <f t="shared" ca="1" si="2061"/>
        <v>0</v>
      </c>
      <c r="AE735" s="193">
        <f t="shared" ca="1" si="2061"/>
        <v>0</v>
      </c>
      <c r="AF735" s="193">
        <f t="shared" ca="1" si="2061"/>
        <v>0</v>
      </c>
      <c r="AG735" s="193">
        <f t="shared" ca="1" si="2061"/>
        <v>0</v>
      </c>
      <c r="AH735" s="193">
        <f t="shared" ca="1" si="2061"/>
        <v>0</v>
      </c>
      <c r="AI735" s="193">
        <f t="shared" ca="1" si="2061"/>
        <v>-5.8207660913467407E-10</v>
      </c>
      <c r="AJ735" s="193">
        <f t="shared" ca="1" si="2061"/>
        <v>0</v>
      </c>
      <c r="AK735" s="193">
        <f t="shared" ca="1" si="2061"/>
        <v>0</v>
      </c>
      <c r="AL735" s="193">
        <f t="shared" ca="1" si="2061"/>
        <v>0</v>
      </c>
      <c r="AM735" s="193">
        <f t="shared" ca="1" si="2061"/>
        <v>0</v>
      </c>
      <c r="AN735" s="193">
        <f t="shared" ca="1" si="2061"/>
        <v>0</v>
      </c>
      <c r="AO735" s="193">
        <f t="shared" ca="1" si="2061"/>
        <v>0</v>
      </c>
      <c r="AP735" s="193">
        <f t="shared" ca="1" si="2061"/>
        <v>0</v>
      </c>
      <c r="AQ735" s="193">
        <f t="shared" ca="1" si="2061"/>
        <v>0</v>
      </c>
      <c r="AR735" s="193">
        <f t="shared" ca="1" si="2061"/>
        <v>0</v>
      </c>
      <c r="AS735" s="193">
        <f t="shared" ca="1" si="2061"/>
        <v>0</v>
      </c>
      <c r="AT735" s="193">
        <f t="shared" ca="1" si="2061"/>
        <v>0</v>
      </c>
      <c r="AU735" s="193">
        <f t="shared" ca="1" si="2061"/>
        <v>0</v>
      </c>
      <c r="AV735" s="193">
        <f t="shared" ca="1" si="2061"/>
        <v>2.3283064365386963E-10</v>
      </c>
      <c r="AW735" s="193">
        <f t="shared" ca="1" si="2061"/>
        <v>2.3283064365386963E-10</v>
      </c>
      <c r="AX735" s="193">
        <f t="shared" ca="1" si="2061"/>
        <v>0</v>
      </c>
      <c r="AY735" s="193">
        <f t="shared" ca="1" si="2061"/>
        <v>0</v>
      </c>
      <c r="AZ735" s="193">
        <f t="shared" ca="1" si="2061"/>
        <v>0</v>
      </c>
      <c r="BA735" s="193">
        <f t="shared" ca="1" si="2061"/>
        <v>2481654.2199999997</v>
      </c>
      <c r="BB735" s="193">
        <f t="shared" ca="1" si="2061"/>
        <v>11818681.52</v>
      </c>
      <c r="BC735" s="193">
        <f t="shared" ca="1" si="2061"/>
        <v>23716111.969999999</v>
      </c>
      <c r="BD735" s="193">
        <f t="shared" ca="1" si="2061"/>
        <v>0</v>
      </c>
      <c r="BE735" s="193">
        <f t="shared" ca="1" si="2061"/>
        <v>0</v>
      </c>
      <c r="BF735" s="193">
        <f t="shared" ca="1" si="2061"/>
        <v>0</v>
      </c>
      <c r="BG735" s="193">
        <f t="shared" ref="BG735:CL735" ca="1" si="2062">SUM(BG727:BG734)</f>
        <v>0</v>
      </c>
      <c r="BH735" s="193">
        <f t="shared" ca="1" si="2062"/>
        <v>0</v>
      </c>
      <c r="BI735" s="193">
        <f t="shared" ca="1" si="2062"/>
        <v>0</v>
      </c>
      <c r="BJ735" s="193">
        <f t="shared" ca="1" si="2062"/>
        <v>0</v>
      </c>
      <c r="BK735" s="193">
        <f t="shared" ca="1" si="2062"/>
        <v>0</v>
      </c>
      <c r="BL735" s="193">
        <f t="shared" ca="1" si="2062"/>
        <v>0</v>
      </c>
      <c r="BM735" s="193">
        <f t="shared" ca="1" si="2062"/>
        <v>0</v>
      </c>
      <c r="BN735" s="193">
        <f t="shared" ca="1" si="2062"/>
        <v>0</v>
      </c>
      <c r="BO735" s="193">
        <f t="shared" ca="1" si="2062"/>
        <v>0</v>
      </c>
      <c r="BP735" s="193">
        <f t="shared" ca="1" si="2062"/>
        <v>0</v>
      </c>
      <c r="BQ735" s="193">
        <f t="shared" ca="1" si="2062"/>
        <v>0</v>
      </c>
      <c r="BR735" s="193">
        <f t="shared" ca="1" si="2062"/>
        <v>0</v>
      </c>
      <c r="BS735" s="193">
        <f t="shared" ca="1" si="2062"/>
        <v>0</v>
      </c>
      <c r="BT735" s="193">
        <f t="shared" ca="1" si="2062"/>
        <v>0</v>
      </c>
      <c r="BU735" s="193">
        <f t="shared" ca="1" si="2062"/>
        <v>0</v>
      </c>
      <c r="BV735" s="193">
        <f t="shared" si="2062"/>
        <v>0</v>
      </c>
      <c r="BW735" s="193">
        <f t="shared" si="2062"/>
        <v>0</v>
      </c>
      <c r="BX735" s="193">
        <f t="shared" si="2062"/>
        <v>0</v>
      </c>
      <c r="BY735" s="193">
        <f t="shared" si="2062"/>
        <v>0</v>
      </c>
      <c r="BZ735" s="193">
        <f t="shared" si="2062"/>
        <v>0</v>
      </c>
      <c r="CA735" s="193">
        <f t="shared" si="2062"/>
        <v>0</v>
      </c>
      <c r="CB735" s="207">
        <f t="shared" si="2062"/>
        <v>0</v>
      </c>
      <c r="CC735" s="207">
        <f t="shared" si="2062"/>
        <v>0</v>
      </c>
      <c r="CD735" s="207">
        <f t="shared" si="2062"/>
        <v>0</v>
      </c>
      <c r="CE735" s="207">
        <f t="shared" si="2062"/>
        <v>0</v>
      </c>
      <c r="CF735" s="207">
        <f t="shared" si="2062"/>
        <v>0</v>
      </c>
      <c r="CG735" s="207">
        <f t="shared" si="2062"/>
        <v>0</v>
      </c>
      <c r="CH735" s="207">
        <f t="shared" si="2062"/>
        <v>0</v>
      </c>
      <c r="CI735" s="207">
        <f t="shared" si="2062"/>
        <v>0</v>
      </c>
      <c r="CJ735" s="207">
        <f t="shared" si="2062"/>
        <v>0</v>
      </c>
      <c r="CK735" s="207">
        <f t="shared" si="2062"/>
        <v>0</v>
      </c>
      <c r="CL735" s="207">
        <f t="shared" si="2062"/>
        <v>0</v>
      </c>
      <c r="CM735" s="207">
        <f t="shared" ref="CM735:DM735" si="2063">SUM(CM727:CM734)</f>
        <v>0</v>
      </c>
      <c r="CN735" s="207">
        <f t="shared" si="2063"/>
        <v>0</v>
      </c>
      <c r="CO735" s="207">
        <f t="shared" si="2063"/>
        <v>0</v>
      </c>
      <c r="CP735" s="207">
        <f t="shared" si="2063"/>
        <v>0</v>
      </c>
      <c r="CQ735" s="207">
        <f t="shared" si="2063"/>
        <v>0</v>
      </c>
      <c r="CR735" s="207">
        <f t="shared" si="2063"/>
        <v>0</v>
      </c>
      <c r="CS735" s="207">
        <f t="shared" si="2063"/>
        <v>0</v>
      </c>
      <c r="CT735" s="207">
        <f t="shared" si="2063"/>
        <v>0</v>
      </c>
      <c r="CU735" s="207">
        <f t="shared" si="2063"/>
        <v>0</v>
      </c>
      <c r="CV735" s="207">
        <f t="shared" si="2063"/>
        <v>0</v>
      </c>
      <c r="CW735" s="207">
        <f t="shared" si="2063"/>
        <v>0</v>
      </c>
      <c r="CX735" s="207">
        <f t="shared" si="2063"/>
        <v>0</v>
      </c>
      <c r="CY735" s="207">
        <f t="shared" si="2063"/>
        <v>0</v>
      </c>
      <c r="CZ735" s="207">
        <f t="shared" si="2063"/>
        <v>0</v>
      </c>
      <c r="DA735" s="207">
        <f t="shared" si="2063"/>
        <v>0</v>
      </c>
      <c r="DB735" s="207">
        <f t="shared" si="2063"/>
        <v>0</v>
      </c>
      <c r="DC735" s="207">
        <f t="shared" si="2063"/>
        <v>0</v>
      </c>
      <c r="DD735" s="207">
        <f t="shared" si="2063"/>
        <v>0</v>
      </c>
      <c r="DE735" s="207">
        <f t="shared" si="2063"/>
        <v>0</v>
      </c>
      <c r="DF735" s="207">
        <f t="shared" si="2063"/>
        <v>0</v>
      </c>
      <c r="DG735" s="207">
        <f t="shared" si="2063"/>
        <v>0</v>
      </c>
      <c r="DH735" s="207">
        <f t="shared" si="2063"/>
        <v>0</v>
      </c>
      <c r="DI735" s="207">
        <f t="shared" si="2063"/>
        <v>0</v>
      </c>
      <c r="DJ735" s="207">
        <f t="shared" si="2063"/>
        <v>0</v>
      </c>
      <c r="DK735" s="207">
        <f t="shared" si="2063"/>
        <v>0</v>
      </c>
      <c r="DL735" s="207">
        <f t="shared" si="2063"/>
        <v>0</v>
      </c>
      <c r="DM735" s="207">
        <f t="shared" si="2063"/>
        <v>0</v>
      </c>
      <c r="DN735" s="207">
        <f t="shared" ref="DN735:DO735" si="2064">SUM(DN727:DN734)</f>
        <v>0</v>
      </c>
      <c r="DO735" s="207">
        <f t="shared" si="2064"/>
        <v>0</v>
      </c>
      <c r="DP735" s="207">
        <f t="shared" ref="DP735" si="2065">SUM(DP727:DP734)</f>
        <v>0</v>
      </c>
    </row>
    <row r="736" spans="1:120"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  <c r="CG736" s="24"/>
      <c r="CH736" s="24"/>
      <c r="CI736" s="24"/>
      <c r="CJ736" s="24"/>
      <c r="CK736" s="24"/>
      <c r="CL736" s="24"/>
      <c r="CM736" s="24"/>
      <c r="CN736" s="24"/>
      <c r="CO736" s="24"/>
      <c r="CP736" s="24"/>
      <c r="CQ736" s="24"/>
      <c r="CR736" s="24"/>
      <c r="CS736" s="24"/>
      <c r="CT736" s="24"/>
      <c r="CU736" s="24"/>
      <c r="CV736" s="24"/>
      <c r="CW736" s="24"/>
      <c r="CX736" s="24"/>
      <c r="CY736" s="24"/>
      <c r="CZ736" s="24"/>
      <c r="DA736" s="24"/>
      <c r="DB736" s="24"/>
      <c r="DC736" s="24"/>
      <c r="DD736" s="24"/>
      <c r="DE736" s="24"/>
      <c r="DF736" s="24"/>
      <c r="DG736" s="24"/>
      <c r="DH736" s="24"/>
      <c r="DI736" s="24"/>
      <c r="DJ736" s="24"/>
      <c r="DK736" s="24"/>
      <c r="DL736" s="24"/>
      <c r="DM736" s="24"/>
      <c r="DN736" s="24"/>
      <c r="DO736" s="24"/>
      <c r="DP736" s="24"/>
    </row>
    <row r="737" spans="1:120" hidden="1" outlineLevel="1">
      <c r="A737" s="640">
        <v>1110052090</v>
      </c>
      <c r="B737" s="573" t="s">
        <v>78</v>
      </c>
      <c r="C737" s="641" t="s">
        <v>64</v>
      </c>
      <c r="D737" s="1489"/>
      <c r="E737" s="1490"/>
      <c r="F737" s="643"/>
      <c r="G737" s="1262"/>
      <c r="H737" s="644"/>
      <c r="I737" s="645"/>
      <c r="J737" s="1483">
        <v>1</v>
      </c>
      <c r="K737" s="1484">
        <v>1</v>
      </c>
      <c r="L737" s="646"/>
      <c r="M737" s="1428">
        <f t="shared" ref="M737" si="2066">+L737*J737</f>
        <v>0</v>
      </c>
      <c r="N737" s="647"/>
      <c r="O737" s="648">
        <f t="shared" ref="O737:O748" si="2067">+L737*N737</f>
        <v>0</v>
      </c>
      <c r="P737" s="649"/>
      <c r="Q737" s="649"/>
      <c r="R737" s="650"/>
      <c r="S737" s="650"/>
      <c r="T737" s="651">
        <f t="shared" ref="T737:T749" si="2068">+P737*S737</f>
        <v>0</v>
      </c>
      <c r="U737" s="652">
        <f t="shared" ref="U737:U749" si="2069">+L737+P737+F737</f>
        <v>0</v>
      </c>
      <c r="V737" s="648">
        <f t="shared" ref="V737:V749" si="2070">+P737*R737+L737*N737+F737*H737</f>
        <v>0</v>
      </c>
      <c r="W737" s="653">
        <f>IF((-P737*R737)-(-P737*S737)&gt;0,(-P737*R737)-(-P737*S737),0)</f>
        <v>0</v>
      </c>
      <c r="X737" s="654">
        <f>IF((-P737*R737)-(-P737*S737)&lt;0,(-P737*R737)-(-P737*S737),0)</f>
        <v>0</v>
      </c>
      <c r="Y737" s="655"/>
      <c r="AA737" s="730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31"/>
      <c r="BL737" s="731"/>
      <c r="BM737" s="731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  <c r="BX737" s="731"/>
      <c r="BY737" s="731"/>
      <c r="BZ737" s="731"/>
      <c r="CA737" s="731"/>
      <c r="CB737" s="732"/>
      <c r="CC737" s="732"/>
      <c r="CD737" s="732"/>
      <c r="CE737" s="732"/>
      <c r="CF737" s="732"/>
      <c r="CG737" s="732"/>
      <c r="CH737" s="732"/>
      <c r="CI737" s="732"/>
      <c r="CJ737" s="732"/>
      <c r="CK737" s="732"/>
      <c r="CL737" s="732"/>
      <c r="CM737" s="732"/>
      <c r="CN737" s="732"/>
      <c r="CO737" s="732"/>
      <c r="CP737" s="732"/>
      <c r="CQ737" s="732"/>
      <c r="CR737" s="732"/>
      <c r="CS737" s="732"/>
      <c r="CT737" s="732"/>
      <c r="CU737" s="732"/>
      <c r="CV737" s="732"/>
      <c r="CW737" s="732"/>
      <c r="CX737" s="732"/>
      <c r="CY737" s="732"/>
      <c r="CZ737" s="732"/>
      <c r="DA737" s="732"/>
      <c r="DB737" s="732"/>
      <c r="DC737" s="732"/>
      <c r="DD737" s="732">
        <f>+M737</f>
        <v>0</v>
      </c>
      <c r="DE737" s="732"/>
      <c r="DF737" s="732"/>
      <c r="DG737" s="732"/>
      <c r="DH737" s="732"/>
      <c r="DI737" s="732"/>
      <c r="DJ737" s="732"/>
      <c r="DK737" s="732"/>
      <c r="DL737" s="732"/>
      <c r="DM737" s="732"/>
      <c r="DN737" s="732"/>
      <c r="DO737" s="732"/>
      <c r="DP737" s="732"/>
    </row>
    <row r="738" spans="1:120" s="61" customFormat="1" hidden="1" outlineLevel="1">
      <c r="A738" s="57">
        <v>1110052095</v>
      </c>
      <c r="B738" s="195"/>
      <c r="C738" s="196" t="s">
        <v>64</v>
      </c>
      <c r="D738" s="1557"/>
      <c r="E738" s="1558"/>
      <c r="F738" s="416"/>
      <c r="G738" s="1251"/>
      <c r="H738" s="511"/>
      <c r="I738" s="512"/>
      <c r="J738" s="1425">
        <v>1</v>
      </c>
      <c r="K738" s="1426">
        <v>1</v>
      </c>
      <c r="L738" s="59"/>
      <c r="M738" s="1624">
        <f t="shared" ref="M738:M739" si="2071">+L738*J738</f>
        <v>0</v>
      </c>
      <c r="N738" s="524"/>
      <c r="O738" s="525">
        <f t="shared" si="2067"/>
        <v>0</v>
      </c>
      <c r="P738" s="197"/>
      <c r="Q738" s="526"/>
      <c r="R738" s="527"/>
      <c r="S738" s="527"/>
      <c r="T738" s="562">
        <f t="shared" si="2068"/>
        <v>0</v>
      </c>
      <c r="U738" s="418">
        <f t="shared" si="2069"/>
        <v>0</v>
      </c>
      <c r="V738" s="517">
        <f t="shared" si="2070"/>
        <v>0</v>
      </c>
      <c r="W738" s="976">
        <f t="shared" ref="W738:W748" si="2072">(IF(R738&gt;S738,(-P738*R738)-(-P738*S738),0))</f>
        <v>0</v>
      </c>
      <c r="X738" s="975">
        <f t="shared" ref="X738:X748" si="2073">(IF(R738&lt;S738,(-P738*R738)-(-P738*S738),0))</f>
        <v>0</v>
      </c>
      <c r="Y738" s="519"/>
      <c r="Z738" s="1056"/>
      <c r="AA738" s="198"/>
      <c r="AB738" s="707"/>
      <c r="AC738" s="707"/>
      <c r="AD738" s="707"/>
      <c r="AE738" s="707"/>
      <c r="AF738" s="707"/>
      <c r="AG738" s="707"/>
      <c r="AH738" s="707"/>
      <c r="AI738" s="707"/>
      <c r="AJ738" s="707"/>
      <c r="AK738" s="707"/>
      <c r="AL738" s="1577"/>
      <c r="AM738" s="707"/>
      <c r="AN738" s="707"/>
      <c r="AO738" s="707"/>
      <c r="AP738" s="707"/>
      <c r="AQ738" s="707"/>
      <c r="AR738" s="707"/>
      <c r="AS738" s="707"/>
      <c r="AT738" s="707"/>
      <c r="AU738" s="707"/>
      <c r="AV738" s="707"/>
      <c r="AW738" s="707"/>
      <c r="AX738" s="707"/>
      <c r="AY738" s="707"/>
      <c r="AZ738" s="707"/>
      <c r="BA738" s="707"/>
      <c r="BB738" s="707"/>
      <c r="BC738" s="707"/>
      <c r="BD738" s="707"/>
      <c r="BE738" s="707"/>
      <c r="BF738" s="707"/>
      <c r="BG738" s="707"/>
      <c r="BH738" s="707"/>
      <c r="BI738" s="707"/>
      <c r="BJ738" s="707"/>
      <c r="BK738" s="707"/>
      <c r="BL738" s="707"/>
      <c r="BM738" s="707"/>
      <c r="BN738" s="707"/>
      <c r="BO738" s="707"/>
      <c r="BP738" s="707"/>
      <c r="BQ738" s="707"/>
      <c r="BR738" s="707"/>
      <c r="BS738" s="707"/>
      <c r="BT738" s="707"/>
      <c r="BU738" s="707"/>
      <c r="BV738" s="707"/>
      <c r="BW738" s="707"/>
      <c r="BX738" s="707"/>
      <c r="BY738" s="707"/>
      <c r="BZ738" s="707"/>
      <c r="CA738" s="707"/>
      <c r="CB738" s="736"/>
      <c r="CC738" s="736"/>
      <c r="CD738" s="736"/>
      <c r="CE738" s="736"/>
      <c r="CF738" s="736"/>
      <c r="CG738" s="736"/>
      <c r="CH738" s="736"/>
      <c r="CI738" s="736"/>
      <c r="CJ738" s="736"/>
      <c r="CK738" s="736"/>
      <c r="CL738" s="736"/>
      <c r="CM738" s="736"/>
      <c r="CN738" s="736"/>
      <c r="CO738" s="736"/>
      <c r="CP738" s="736"/>
      <c r="CQ738" s="736"/>
      <c r="CR738" s="736"/>
      <c r="CS738" s="736"/>
      <c r="CT738" s="736"/>
      <c r="CU738" s="736"/>
      <c r="CV738" s="736"/>
      <c r="CW738" s="736"/>
      <c r="CX738" s="736"/>
      <c r="CY738" s="736"/>
      <c r="CZ738" s="736"/>
      <c r="DA738" s="736"/>
      <c r="DB738" s="736"/>
      <c r="DC738" s="736"/>
      <c r="DD738" s="736"/>
      <c r="DE738" s="736"/>
      <c r="DF738" s="736"/>
      <c r="DG738" s="736"/>
      <c r="DH738" s="736"/>
      <c r="DI738" s="736"/>
      <c r="DJ738" s="736"/>
      <c r="DK738" s="736"/>
      <c r="DL738" s="736"/>
      <c r="DM738" s="736"/>
      <c r="DN738" s="736"/>
      <c r="DO738" s="736"/>
      <c r="DP738" s="736"/>
    </row>
    <row r="739" spans="1:120" s="61" customFormat="1" hidden="1" outlineLevel="1">
      <c r="A739" s="57">
        <v>1110052095</v>
      </c>
      <c r="B739" s="195"/>
      <c r="C739" s="196" t="s">
        <v>64</v>
      </c>
      <c r="D739" s="1557"/>
      <c r="E739" s="1558"/>
      <c r="F739" s="416"/>
      <c r="G739" s="1251"/>
      <c r="H739" s="511"/>
      <c r="I739" s="512"/>
      <c r="J739" s="1425">
        <v>1</v>
      </c>
      <c r="K739" s="1426">
        <v>1</v>
      </c>
      <c r="L739" s="59"/>
      <c r="M739" s="1624">
        <f t="shared" si="2071"/>
        <v>0</v>
      </c>
      <c r="N739" s="524"/>
      <c r="O739" s="525">
        <f t="shared" si="2067"/>
        <v>0</v>
      </c>
      <c r="P739" s="197"/>
      <c r="Q739" s="526">
        <f t="shared" ref="Q739:Q740" si="2074">+P739*K739</f>
        <v>0</v>
      </c>
      <c r="R739" s="527"/>
      <c r="S739" s="527"/>
      <c r="T739" s="562">
        <f t="shared" si="2068"/>
        <v>0</v>
      </c>
      <c r="U739" s="418">
        <f t="shared" si="2069"/>
        <v>0</v>
      </c>
      <c r="V739" s="517">
        <f t="shared" si="2070"/>
        <v>0</v>
      </c>
      <c r="W739" s="976">
        <f t="shared" si="2072"/>
        <v>0</v>
      </c>
      <c r="X739" s="975">
        <f t="shared" si="2073"/>
        <v>0</v>
      </c>
      <c r="Y739" s="519"/>
      <c r="Z739" s="1056"/>
      <c r="AA739" s="198"/>
      <c r="AB739" s="707"/>
      <c r="AC739" s="707"/>
      <c r="AD739" s="707"/>
      <c r="AE739" s="707"/>
      <c r="AF739" s="707"/>
      <c r="AG739" s="707"/>
      <c r="AH739" s="707"/>
      <c r="AI739" s="707"/>
      <c r="AJ739" s="707"/>
      <c r="AK739" s="707"/>
      <c r="AL739" s="1577"/>
      <c r="AM739" s="707"/>
      <c r="AN739" s="707"/>
      <c r="AO739" s="707"/>
      <c r="AP739" s="707"/>
      <c r="AQ739" s="707"/>
      <c r="AR739" s="707"/>
      <c r="AS739" s="707"/>
      <c r="AT739" s="707"/>
      <c r="AU739" s="707"/>
      <c r="AV739" s="707"/>
      <c r="AW739" s="707"/>
      <c r="AX739" s="707"/>
      <c r="AY739" s="707"/>
      <c r="AZ739" s="707"/>
      <c r="BA739" s="707"/>
      <c r="BB739" s="707"/>
      <c r="BC739" s="707"/>
      <c r="BD739" s="707"/>
      <c r="BE739" s="707"/>
      <c r="BF739" s="707"/>
      <c r="BG739" s="707"/>
      <c r="BH739" s="707"/>
      <c r="BI739" s="707"/>
      <c r="BJ739" s="707"/>
      <c r="BK739" s="707"/>
      <c r="BL739" s="707"/>
      <c r="BM739" s="707"/>
      <c r="BN739" s="707"/>
      <c r="BO739" s="707"/>
      <c r="BP739" s="707"/>
      <c r="BQ739" s="707"/>
      <c r="BR739" s="707"/>
      <c r="BS739" s="707"/>
      <c r="BT739" s="707"/>
      <c r="BU739" s="707"/>
      <c r="BV739" s="707"/>
      <c r="BW739" s="707"/>
      <c r="BX739" s="707"/>
      <c r="BY739" s="707"/>
      <c r="BZ739" s="707"/>
      <c r="CA739" s="707"/>
      <c r="CB739" s="736"/>
      <c r="CC739" s="736"/>
      <c r="CD739" s="736"/>
      <c r="CE739" s="736"/>
      <c r="CF739" s="736"/>
      <c r="CG739" s="736"/>
      <c r="CH739" s="736"/>
      <c r="CI739" s="736"/>
      <c r="CJ739" s="736"/>
      <c r="CK739" s="736"/>
      <c r="CL739" s="736"/>
      <c r="CM739" s="736"/>
      <c r="CN739" s="736"/>
      <c r="CO739" s="736"/>
      <c r="CP739" s="736"/>
      <c r="CQ739" s="736"/>
      <c r="CR739" s="736"/>
      <c r="CS739" s="736"/>
      <c r="CT739" s="736"/>
      <c r="CU739" s="736"/>
      <c r="CV739" s="736"/>
      <c r="CW739" s="736"/>
      <c r="CX739" s="736"/>
      <c r="CY739" s="736"/>
      <c r="CZ739" s="736"/>
      <c r="DA739" s="736"/>
      <c r="DB739" s="736"/>
      <c r="DC739" s="736"/>
      <c r="DD739" s="736">
        <f>+M739</f>
        <v>0</v>
      </c>
      <c r="DE739" s="736"/>
      <c r="DF739" s="736"/>
      <c r="DG739" s="736"/>
      <c r="DH739" s="736"/>
      <c r="DI739" s="736"/>
      <c r="DJ739" s="736"/>
      <c r="DK739" s="736"/>
      <c r="DL739" s="736"/>
      <c r="DM739" s="736"/>
      <c r="DN739" s="736"/>
      <c r="DO739" s="736"/>
      <c r="DP739" s="736"/>
    </row>
    <row r="740" spans="1:120" s="61" customFormat="1" hidden="1" outlineLevel="1">
      <c r="A740" s="57">
        <v>1110052095</v>
      </c>
      <c r="B740" s="195"/>
      <c r="C740" s="196" t="s">
        <v>64</v>
      </c>
      <c r="D740" s="1557"/>
      <c r="E740" s="1558"/>
      <c r="F740" s="416"/>
      <c r="G740" s="1251"/>
      <c r="H740" s="511"/>
      <c r="I740" s="512"/>
      <c r="J740" s="1425">
        <v>1</v>
      </c>
      <c r="K740" s="1426">
        <v>1</v>
      </c>
      <c r="L740" s="59"/>
      <c r="M740" s="1624">
        <f t="shared" ref="M740:M742" si="2075">+L740*J740</f>
        <v>0</v>
      </c>
      <c r="N740" s="524"/>
      <c r="O740" s="525">
        <f t="shared" si="2067"/>
        <v>0</v>
      </c>
      <c r="P740" s="197"/>
      <c r="Q740" s="526">
        <f t="shared" si="2074"/>
        <v>0</v>
      </c>
      <c r="R740" s="527"/>
      <c r="S740" s="527"/>
      <c r="T740" s="562">
        <f t="shared" si="2068"/>
        <v>0</v>
      </c>
      <c r="U740" s="418">
        <f t="shared" si="2069"/>
        <v>0</v>
      </c>
      <c r="V740" s="517">
        <f t="shared" si="2070"/>
        <v>0</v>
      </c>
      <c r="W740" s="976">
        <f t="shared" si="2072"/>
        <v>0</v>
      </c>
      <c r="X740" s="975">
        <f t="shared" si="2073"/>
        <v>0</v>
      </c>
      <c r="Y740" s="519"/>
      <c r="Z740" s="1056"/>
      <c r="AA740" s="198"/>
      <c r="AB740" s="707"/>
      <c r="AC740" s="707"/>
      <c r="AD740" s="707"/>
      <c r="AE740" s="707"/>
      <c r="AF740" s="707"/>
      <c r="AG740" s="707"/>
      <c r="AH740" s="707"/>
      <c r="AI740" s="707"/>
      <c r="AJ740" s="707"/>
      <c r="AK740" s="707"/>
      <c r="AL740" s="1577"/>
      <c r="AM740" s="707"/>
      <c r="AN740" s="707"/>
      <c r="AO740" s="707"/>
      <c r="AP740" s="707"/>
      <c r="AQ740" s="707"/>
      <c r="AR740" s="707"/>
      <c r="AS740" s="707"/>
      <c r="AT740" s="707"/>
      <c r="AU740" s="707"/>
      <c r="AV740" s="707"/>
      <c r="AW740" s="707"/>
      <c r="AX740" s="707"/>
      <c r="AY740" s="707"/>
      <c r="AZ740" s="707"/>
      <c r="BA740" s="707"/>
      <c r="BB740" s="707"/>
      <c r="BC740" s="707"/>
      <c r="BD740" s="707"/>
      <c r="BE740" s="707"/>
      <c r="BF740" s="707"/>
      <c r="BG740" s="707"/>
      <c r="BH740" s="707"/>
      <c r="BI740" s="707"/>
      <c r="BJ740" s="707"/>
      <c r="BK740" s="707"/>
      <c r="BL740" s="707"/>
      <c r="BM740" s="707"/>
      <c r="BN740" s="707"/>
      <c r="BO740" s="707"/>
      <c r="BP740" s="707"/>
      <c r="BQ740" s="707"/>
      <c r="BR740" s="707"/>
      <c r="BS740" s="707"/>
      <c r="BT740" s="707"/>
      <c r="BU740" s="707"/>
      <c r="BV740" s="707"/>
      <c r="BW740" s="707"/>
      <c r="BX740" s="707"/>
      <c r="BY740" s="707"/>
      <c r="BZ740" s="707"/>
      <c r="CA740" s="707"/>
      <c r="CB740" s="736"/>
      <c r="CC740" s="736"/>
      <c r="CD740" s="736"/>
      <c r="CE740" s="736"/>
      <c r="CF740" s="736"/>
      <c r="CG740" s="736"/>
      <c r="CH740" s="736"/>
      <c r="CI740" s="736"/>
      <c r="CJ740" s="736"/>
      <c r="CK740" s="736"/>
      <c r="CL740" s="736"/>
      <c r="CM740" s="736"/>
      <c r="CN740" s="736"/>
      <c r="CO740" s="736"/>
      <c r="CP740" s="736">
        <f>+Q740</f>
        <v>0</v>
      </c>
      <c r="CQ740" s="736"/>
      <c r="CR740" s="736"/>
      <c r="CS740" s="736"/>
      <c r="CT740" s="736"/>
      <c r="CU740" s="736"/>
      <c r="CV740" s="736"/>
      <c r="CW740" s="736"/>
      <c r="CX740" s="736"/>
      <c r="CY740" s="736"/>
      <c r="CZ740" s="736"/>
      <c r="DA740" s="736"/>
      <c r="DB740" s="736"/>
      <c r="DC740" s="736"/>
      <c r="DD740" s="736"/>
      <c r="DE740" s="736"/>
      <c r="DF740" s="736"/>
      <c r="DG740" s="736"/>
      <c r="DH740" s="736"/>
      <c r="DI740" s="736"/>
      <c r="DJ740" s="736"/>
      <c r="DK740" s="736"/>
      <c r="DL740" s="736"/>
      <c r="DM740" s="736"/>
      <c r="DN740" s="736"/>
      <c r="DO740" s="736"/>
      <c r="DP740" s="736"/>
    </row>
    <row r="741" spans="1:120" s="61" customFormat="1" hidden="1" outlineLevel="1">
      <c r="A741" s="57">
        <v>1110052095</v>
      </c>
      <c r="B741" s="195"/>
      <c r="C741" s="196" t="s">
        <v>64</v>
      </c>
      <c r="D741" s="1557"/>
      <c r="E741" s="1558"/>
      <c r="F741" s="416"/>
      <c r="G741" s="1251"/>
      <c r="H741" s="511"/>
      <c r="I741" s="512"/>
      <c r="J741" s="1425">
        <v>1</v>
      </c>
      <c r="K741" s="1426">
        <v>1</v>
      </c>
      <c r="L741" s="59"/>
      <c r="M741" s="1624">
        <f t="shared" si="2075"/>
        <v>0</v>
      </c>
      <c r="N741" s="524"/>
      <c r="O741" s="525">
        <f t="shared" si="2067"/>
        <v>0</v>
      </c>
      <c r="P741" s="1713"/>
      <c r="Q741" s="526"/>
      <c r="R741" s="527"/>
      <c r="S741" s="527"/>
      <c r="T741" s="562">
        <f t="shared" si="2068"/>
        <v>0</v>
      </c>
      <c r="U741" s="418">
        <f t="shared" si="2069"/>
        <v>0</v>
      </c>
      <c r="V741" s="517">
        <f t="shared" si="2070"/>
        <v>0</v>
      </c>
      <c r="W741" s="976">
        <f t="shared" si="2072"/>
        <v>0</v>
      </c>
      <c r="X741" s="975">
        <f t="shared" si="2073"/>
        <v>0</v>
      </c>
      <c r="Y741" s="519"/>
      <c r="Z741" s="1056"/>
      <c r="AA741" s="198"/>
      <c r="AB741" s="707"/>
      <c r="AC741" s="707"/>
      <c r="AD741" s="707"/>
      <c r="AE741" s="707"/>
      <c r="AF741" s="707"/>
      <c r="AG741" s="707"/>
      <c r="AH741" s="707"/>
      <c r="AI741" s="707"/>
      <c r="AJ741" s="707"/>
      <c r="AK741" s="707"/>
      <c r="AL741" s="1577"/>
      <c r="AM741" s="707"/>
      <c r="AN741" s="707"/>
      <c r="AO741" s="707"/>
      <c r="AP741" s="707"/>
      <c r="AQ741" s="707"/>
      <c r="AR741" s="707"/>
      <c r="AS741" s="707"/>
      <c r="AT741" s="707"/>
      <c r="AU741" s="707"/>
      <c r="AV741" s="707"/>
      <c r="AW741" s="707"/>
      <c r="AX741" s="707"/>
      <c r="AY741" s="707"/>
      <c r="AZ741" s="707"/>
      <c r="BA741" s="707"/>
      <c r="BB741" s="707"/>
      <c r="BC741" s="707"/>
      <c r="BD741" s="707"/>
      <c r="BE741" s="707"/>
      <c r="BF741" s="707"/>
      <c r="BG741" s="707"/>
      <c r="BH741" s="707"/>
      <c r="BI741" s="707"/>
      <c r="BJ741" s="707"/>
      <c r="BK741" s="707"/>
      <c r="BL741" s="707"/>
      <c r="BM741" s="707"/>
      <c r="BN741" s="707"/>
      <c r="BO741" s="707"/>
      <c r="BP741" s="707"/>
      <c r="BQ741" s="707"/>
      <c r="BR741" s="707"/>
      <c r="BS741" s="707"/>
      <c r="BT741" s="707"/>
      <c r="BU741" s="707"/>
      <c r="BV741" s="707"/>
      <c r="BW741" s="707"/>
      <c r="BX741" s="707"/>
      <c r="BY741" s="707"/>
      <c r="BZ741" s="707"/>
      <c r="CA741" s="707"/>
      <c r="CB741" s="736"/>
      <c r="CC741" s="736"/>
      <c r="CD741" s="736"/>
      <c r="CE741" s="736"/>
      <c r="CF741" s="736"/>
      <c r="CG741" s="736"/>
      <c r="CH741" s="736"/>
      <c r="CI741" s="736"/>
      <c r="CJ741" s="736"/>
      <c r="CK741" s="736"/>
      <c r="CL741" s="736"/>
      <c r="CM741" s="736"/>
      <c r="CN741" s="736"/>
      <c r="CO741" s="736"/>
      <c r="CP741" s="736"/>
      <c r="CQ741" s="736"/>
      <c r="CR741" s="736"/>
      <c r="CS741" s="736"/>
      <c r="CT741" s="736"/>
      <c r="CU741" s="736"/>
      <c r="CV741" s="736"/>
      <c r="CW741" s="736"/>
      <c r="CX741" s="736"/>
      <c r="CY741" s="736"/>
      <c r="CZ741" s="736"/>
      <c r="DA741" s="736"/>
      <c r="DB741" s="736"/>
      <c r="DC741" s="736"/>
      <c r="DD741" s="736"/>
      <c r="DE741" s="736"/>
      <c r="DF741" s="736"/>
      <c r="DG741" s="736"/>
      <c r="DH741" s="736"/>
      <c r="DI741" s="736"/>
      <c r="DJ741" s="736"/>
      <c r="DK741" s="736"/>
      <c r="DL741" s="736"/>
      <c r="DM741" s="736"/>
      <c r="DN741" s="736"/>
      <c r="DO741" s="736"/>
      <c r="DP741" s="736"/>
    </row>
    <row r="742" spans="1:120" s="61" customFormat="1" hidden="1" outlineLevel="1">
      <c r="A742" s="1221">
        <v>1110052095</v>
      </c>
      <c r="B742" s="1216"/>
      <c r="C742" s="101" t="s">
        <v>64</v>
      </c>
      <c r="D742" s="1712"/>
      <c r="E742" s="1642"/>
      <c r="F742" s="1224"/>
      <c r="G742" s="1266"/>
      <c r="H742" s="1225"/>
      <c r="I742" s="1226"/>
      <c r="J742" s="1604">
        <v>1</v>
      </c>
      <c r="K742" s="1605">
        <v>1</v>
      </c>
      <c r="L742" s="1227"/>
      <c r="M742" s="1626">
        <f t="shared" si="2075"/>
        <v>0</v>
      </c>
      <c r="N742" s="1228"/>
      <c r="O742" s="1229">
        <f t="shared" si="2067"/>
        <v>0</v>
      </c>
      <c r="P742" s="1713"/>
      <c r="Q742" s="1230">
        <f t="shared" ref="Q742" si="2076">+P742*K742</f>
        <v>0</v>
      </c>
      <c r="R742" s="1231"/>
      <c r="S742" s="1231"/>
      <c r="T742" s="1232">
        <f t="shared" si="2068"/>
        <v>0</v>
      </c>
      <c r="U742" s="111">
        <f t="shared" si="2069"/>
        <v>0</v>
      </c>
      <c r="V742" s="566">
        <f t="shared" si="2070"/>
        <v>0</v>
      </c>
      <c r="W742" s="1235">
        <f t="shared" si="2072"/>
        <v>0</v>
      </c>
      <c r="X742" s="1236">
        <f t="shared" si="2073"/>
        <v>0</v>
      </c>
      <c r="Y742" s="1237"/>
      <c r="Z742" s="1056"/>
      <c r="AA742" s="1714"/>
      <c r="AB742" s="1715"/>
      <c r="AC742" s="1715"/>
      <c r="AD742" s="1715"/>
      <c r="AE742" s="1715"/>
      <c r="AF742" s="1715"/>
      <c r="AG742" s="1715"/>
      <c r="AH742" s="1715"/>
      <c r="AI742" s="1715"/>
      <c r="AJ742" s="1715"/>
      <c r="AK742" s="1715"/>
      <c r="AL742" s="1716"/>
      <c r="AM742" s="1715"/>
      <c r="AN742" s="1715"/>
      <c r="AO742" s="1715"/>
      <c r="AP742" s="1715"/>
      <c r="AQ742" s="1715"/>
      <c r="AR742" s="1715"/>
      <c r="AS742" s="1715"/>
      <c r="AT742" s="1715"/>
      <c r="AU742" s="1715"/>
      <c r="AV742" s="1715"/>
      <c r="AW742" s="1715"/>
      <c r="AX742" s="1715"/>
      <c r="AY742" s="1715"/>
      <c r="AZ742" s="1715"/>
      <c r="BA742" s="1715"/>
      <c r="BB742" s="1715"/>
      <c r="BC742" s="1715"/>
      <c r="BD742" s="1715"/>
      <c r="BE742" s="1715"/>
      <c r="BF742" s="1715"/>
      <c r="BG742" s="1715"/>
      <c r="BH742" s="1715"/>
      <c r="BI742" s="1715"/>
      <c r="BJ742" s="1715"/>
      <c r="BK742" s="1715"/>
      <c r="BL742" s="1715"/>
      <c r="BM742" s="1715"/>
      <c r="BN742" s="1715"/>
      <c r="BO742" s="1715"/>
      <c r="BP742" s="1715"/>
      <c r="BQ742" s="1715"/>
      <c r="BR742" s="1715"/>
      <c r="BS742" s="1715"/>
      <c r="BT742" s="1715"/>
      <c r="BU742" s="1715"/>
      <c r="BV742" s="1715"/>
      <c r="BW742" s="1715"/>
      <c r="BX742" s="1715"/>
      <c r="BY742" s="1715"/>
      <c r="BZ742" s="1715"/>
      <c r="CA742" s="1715"/>
      <c r="CB742" s="2268"/>
      <c r="CC742" s="2268"/>
      <c r="CD742" s="2268"/>
      <c r="CE742" s="2268"/>
      <c r="CF742" s="2268"/>
      <c r="CG742" s="2268"/>
      <c r="CH742" s="2268"/>
      <c r="CI742" s="2268"/>
      <c r="CJ742" s="2268"/>
      <c r="CK742" s="2268"/>
      <c r="CL742" s="2268"/>
      <c r="CM742" s="2268"/>
      <c r="CN742" s="2268"/>
      <c r="CO742" s="2268"/>
      <c r="CP742" s="2268">
        <f>+Q742</f>
        <v>0</v>
      </c>
      <c r="CQ742" s="2268"/>
      <c r="CR742" s="2268"/>
      <c r="CS742" s="2268"/>
      <c r="CT742" s="2268"/>
      <c r="CU742" s="2268"/>
      <c r="CV742" s="2268"/>
      <c r="CW742" s="2268"/>
      <c r="CX742" s="2268"/>
      <c r="CY742" s="2268"/>
      <c r="CZ742" s="2268"/>
      <c r="DA742" s="2268"/>
      <c r="DB742" s="2268"/>
      <c r="DC742" s="2268"/>
      <c r="DD742" s="2268"/>
      <c r="DE742" s="2268"/>
      <c r="DF742" s="2268"/>
      <c r="DG742" s="2268"/>
      <c r="DH742" s="2268"/>
      <c r="DI742" s="2268"/>
      <c r="DJ742" s="2268"/>
      <c r="DK742" s="2268"/>
      <c r="DL742" s="2268"/>
      <c r="DM742" s="2268"/>
      <c r="DN742" s="2268"/>
      <c r="DO742" s="2268"/>
      <c r="DP742" s="2268"/>
    </row>
    <row r="743" spans="1:120" s="61" customFormat="1" hidden="1" outlineLevel="1">
      <c r="A743" s="1221">
        <v>1110052095</v>
      </c>
      <c r="B743" s="1216"/>
      <c r="C743" s="101" t="s">
        <v>64</v>
      </c>
      <c r="D743" s="1712"/>
      <c r="E743" s="1642"/>
      <c r="F743" s="1224"/>
      <c r="G743" s="1266"/>
      <c r="H743" s="1225"/>
      <c r="I743" s="1226"/>
      <c r="J743" s="1604">
        <v>1</v>
      </c>
      <c r="K743" s="1605">
        <v>1</v>
      </c>
      <c r="L743" s="1227"/>
      <c r="M743" s="1626">
        <f t="shared" ref="M743:M747" si="2077">+L743*J743</f>
        <v>0</v>
      </c>
      <c r="N743" s="1228"/>
      <c r="O743" s="1229">
        <f t="shared" ref="O743:O747" si="2078">+L743*N743</f>
        <v>0</v>
      </c>
      <c r="P743" s="1713"/>
      <c r="Q743" s="1230">
        <f t="shared" ref="Q743:Q747" si="2079">+P743*K743</f>
        <v>0</v>
      </c>
      <c r="R743" s="1231"/>
      <c r="S743" s="1231"/>
      <c r="T743" s="1232">
        <f t="shared" ref="T743:T747" si="2080">+P743*S743</f>
        <v>0</v>
      </c>
      <c r="U743" s="111">
        <f t="shared" ref="U743:U747" si="2081">+L743+P743+F743</f>
        <v>0</v>
      </c>
      <c r="V743" s="566">
        <f t="shared" ref="V743:V747" si="2082">+P743*R743+L743*N743+F743*H743</f>
        <v>0</v>
      </c>
      <c r="W743" s="1235">
        <f t="shared" ref="W743:W747" si="2083">(IF(R743&gt;S743,(-P743*R743)-(-P743*S743),0))</f>
        <v>0</v>
      </c>
      <c r="X743" s="1236">
        <f t="shared" ref="X743:X747" si="2084">(IF(R743&lt;S743,(-P743*R743)-(-P743*S743),0))</f>
        <v>0</v>
      </c>
      <c r="Y743" s="1237"/>
      <c r="Z743" s="1056"/>
      <c r="AA743" s="1714"/>
      <c r="AB743" s="1715"/>
      <c r="AC743" s="1715"/>
      <c r="AD743" s="1715"/>
      <c r="AE743" s="1715"/>
      <c r="AF743" s="1715"/>
      <c r="AG743" s="1715"/>
      <c r="AH743" s="1715"/>
      <c r="AI743" s="1715"/>
      <c r="AJ743" s="1715"/>
      <c r="AK743" s="1715"/>
      <c r="AL743" s="1716"/>
      <c r="AM743" s="1715"/>
      <c r="AN743" s="1715"/>
      <c r="AO743" s="1715"/>
      <c r="AP743" s="1715"/>
      <c r="AQ743" s="1715"/>
      <c r="AR743" s="1715"/>
      <c r="AS743" s="1715"/>
      <c r="AT743" s="1715"/>
      <c r="AU743" s="1715"/>
      <c r="AV743" s="1715"/>
      <c r="AW743" s="1715"/>
      <c r="AX743" s="1715"/>
      <c r="AY743" s="1715"/>
      <c r="AZ743" s="1715"/>
      <c r="BA743" s="1715"/>
      <c r="BB743" s="1715"/>
      <c r="BC743" s="1715"/>
      <c r="BD743" s="1715"/>
      <c r="BE743" s="1715"/>
      <c r="BF743" s="1715"/>
      <c r="BG743" s="1715"/>
      <c r="BH743" s="1715"/>
      <c r="BI743" s="1715"/>
      <c r="BJ743" s="1715"/>
      <c r="BK743" s="1715"/>
      <c r="BL743" s="1715"/>
      <c r="BM743" s="1715"/>
      <c r="BN743" s="1715"/>
      <c r="BO743" s="1715"/>
      <c r="BP743" s="1715"/>
      <c r="BQ743" s="1715"/>
      <c r="BR743" s="1715"/>
      <c r="BS743" s="1715"/>
      <c r="BT743" s="1715"/>
      <c r="BU743" s="1715"/>
      <c r="BV743" s="1715"/>
      <c r="BW743" s="1715"/>
      <c r="BX743" s="1715"/>
      <c r="BY743" s="1715"/>
      <c r="BZ743" s="1715"/>
      <c r="CA743" s="1715"/>
      <c r="CB743" s="2268"/>
      <c r="CC743" s="2268"/>
      <c r="CD743" s="2268"/>
      <c r="CE743" s="2268"/>
      <c r="CF743" s="2268"/>
      <c r="CG743" s="2268"/>
      <c r="CH743" s="2268"/>
      <c r="CI743" s="2268"/>
      <c r="CJ743" s="2268"/>
      <c r="CK743" s="2268"/>
      <c r="CL743" s="2268"/>
      <c r="CM743" s="2268"/>
      <c r="CN743" s="2268"/>
      <c r="CO743" s="2268"/>
      <c r="CP743" s="2268"/>
      <c r="CQ743" s="2268"/>
      <c r="CR743" s="2268">
        <f>+Q743</f>
        <v>0</v>
      </c>
      <c r="CS743" s="2268"/>
      <c r="CT743" s="2268"/>
      <c r="CU743" s="2268"/>
      <c r="CV743" s="2268"/>
      <c r="CW743" s="2268"/>
      <c r="CX743" s="2268"/>
      <c r="CY743" s="2268"/>
      <c r="CZ743" s="2268"/>
      <c r="DA743" s="2268"/>
      <c r="DB743" s="2268"/>
      <c r="DC743" s="2268"/>
      <c r="DD743" s="2268"/>
      <c r="DE743" s="2268"/>
      <c r="DF743" s="2268"/>
      <c r="DG743" s="2268"/>
      <c r="DH743" s="2268"/>
      <c r="DI743" s="2268"/>
      <c r="DJ743" s="2268"/>
      <c r="DK743" s="2268"/>
      <c r="DL743" s="2268"/>
      <c r="DM743" s="2268"/>
      <c r="DN743" s="2268"/>
      <c r="DO743" s="2268"/>
      <c r="DP743" s="2268"/>
    </row>
    <row r="744" spans="1:120" s="61" customFormat="1" hidden="1" outlineLevel="1">
      <c r="A744" s="1221">
        <v>1110052095</v>
      </c>
      <c r="B744" s="1216"/>
      <c r="C744" s="101" t="s">
        <v>64</v>
      </c>
      <c r="D744" s="1712"/>
      <c r="E744" s="1642"/>
      <c r="F744" s="1224"/>
      <c r="G744" s="1266"/>
      <c r="H744" s="1225"/>
      <c r="I744" s="1226"/>
      <c r="J744" s="1604">
        <v>1</v>
      </c>
      <c r="K744" s="1605">
        <v>1</v>
      </c>
      <c r="L744" s="1227"/>
      <c r="M744" s="1626">
        <f t="shared" si="2077"/>
        <v>0</v>
      </c>
      <c r="N744" s="1228"/>
      <c r="O744" s="1229">
        <f t="shared" si="2078"/>
        <v>0</v>
      </c>
      <c r="P744" s="1713"/>
      <c r="Q744" s="1230">
        <f t="shared" si="2079"/>
        <v>0</v>
      </c>
      <c r="R744" s="1231"/>
      <c r="S744" s="1231"/>
      <c r="T744" s="1232">
        <f t="shared" si="2080"/>
        <v>0</v>
      </c>
      <c r="U744" s="111">
        <f t="shared" si="2081"/>
        <v>0</v>
      </c>
      <c r="V744" s="566">
        <f t="shared" si="2082"/>
        <v>0</v>
      </c>
      <c r="W744" s="1235">
        <f t="shared" si="2083"/>
        <v>0</v>
      </c>
      <c r="X744" s="1236">
        <f t="shared" si="2084"/>
        <v>0</v>
      </c>
      <c r="Y744" s="1237"/>
      <c r="Z744" s="1056"/>
      <c r="AA744" s="1714"/>
      <c r="AB744" s="1715"/>
      <c r="AC744" s="1715"/>
      <c r="AD744" s="1715"/>
      <c r="AE744" s="1715"/>
      <c r="AF744" s="1715"/>
      <c r="AG744" s="1715"/>
      <c r="AH744" s="1715"/>
      <c r="AI744" s="1715"/>
      <c r="AJ744" s="1715"/>
      <c r="AK744" s="1715"/>
      <c r="AL744" s="1716"/>
      <c r="AM744" s="1715"/>
      <c r="AN744" s="1715"/>
      <c r="AO744" s="1715"/>
      <c r="AP744" s="1715"/>
      <c r="AQ744" s="1715"/>
      <c r="AR744" s="1715"/>
      <c r="AS744" s="1715"/>
      <c r="AT744" s="1715"/>
      <c r="AU744" s="1715"/>
      <c r="AV744" s="1715"/>
      <c r="AW744" s="1715"/>
      <c r="AX744" s="1715"/>
      <c r="AY744" s="1715"/>
      <c r="AZ744" s="1715"/>
      <c r="BA744" s="1715"/>
      <c r="BB744" s="1715"/>
      <c r="BC744" s="1715"/>
      <c r="BD744" s="1715"/>
      <c r="BE744" s="1715"/>
      <c r="BF744" s="1715"/>
      <c r="BG744" s="1715"/>
      <c r="BH744" s="1715"/>
      <c r="BI744" s="1715"/>
      <c r="BJ744" s="1715"/>
      <c r="BK744" s="1715"/>
      <c r="BL744" s="1715"/>
      <c r="BM744" s="1715"/>
      <c r="BN744" s="1715"/>
      <c r="BO744" s="1715"/>
      <c r="BP744" s="1715"/>
      <c r="BQ744" s="1715"/>
      <c r="BR744" s="1715"/>
      <c r="BS744" s="1715"/>
      <c r="BT744" s="1715"/>
      <c r="BU744" s="1715"/>
      <c r="BV744" s="1715"/>
      <c r="BW744" s="1715"/>
      <c r="BX744" s="1715"/>
      <c r="BY744" s="1715"/>
      <c r="BZ744" s="1715"/>
      <c r="CA744" s="1715"/>
      <c r="CB744" s="2268"/>
      <c r="CC744" s="2268"/>
      <c r="CD744" s="2268"/>
      <c r="CE744" s="2268"/>
      <c r="CF744" s="2268"/>
      <c r="CG744" s="2268"/>
      <c r="CH744" s="2268"/>
      <c r="CI744" s="2268"/>
      <c r="CJ744" s="2268"/>
      <c r="CK744" s="2268"/>
      <c r="CL744" s="2268"/>
      <c r="CM744" s="2268"/>
      <c r="CN744" s="2268"/>
      <c r="CO744" s="2268"/>
      <c r="CP744" s="2268"/>
      <c r="CQ744" s="2268"/>
      <c r="CR744" s="2268"/>
      <c r="CS744" s="2268">
        <f>+Q744</f>
        <v>0</v>
      </c>
      <c r="CT744" s="2268"/>
      <c r="CU744" s="2268"/>
      <c r="CV744" s="2268"/>
      <c r="CW744" s="2268"/>
      <c r="CX744" s="2268"/>
      <c r="CY744" s="2268"/>
      <c r="CZ744" s="2268"/>
      <c r="DA744" s="2268"/>
      <c r="DB744" s="2268"/>
      <c r="DC744" s="2268"/>
      <c r="DD744" s="2268"/>
      <c r="DE744" s="2268"/>
      <c r="DF744" s="2268"/>
      <c r="DG744" s="2268"/>
      <c r="DH744" s="2268"/>
      <c r="DI744" s="2268"/>
      <c r="DJ744" s="2268"/>
      <c r="DK744" s="2268"/>
      <c r="DL744" s="2268"/>
      <c r="DM744" s="2268"/>
      <c r="DN744" s="2268"/>
      <c r="DO744" s="2268"/>
      <c r="DP744" s="2268"/>
    </row>
    <row r="745" spans="1:120" s="61" customFormat="1" hidden="1" outlineLevel="1">
      <c r="A745" s="1221">
        <v>1110052095</v>
      </c>
      <c r="B745" s="1216"/>
      <c r="C745" s="101" t="s">
        <v>64</v>
      </c>
      <c r="D745" s="1712"/>
      <c r="E745" s="1642"/>
      <c r="F745" s="1224"/>
      <c r="G745" s="1266"/>
      <c r="H745" s="1225"/>
      <c r="I745" s="1226"/>
      <c r="J745" s="1604">
        <v>1</v>
      </c>
      <c r="K745" s="1605">
        <v>1</v>
      </c>
      <c r="L745" s="1227"/>
      <c r="M745" s="1626">
        <f t="shared" si="2077"/>
        <v>0</v>
      </c>
      <c r="N745" s="1228"/>
      <c r="O745" s="1229">
        <f t="shared" si="2078"/>
        <v>0</v>
      </c>
      <c r="P745" s="1713"/>
      <c r="Q745" s="1230">
        <f t="shared" si="2079"/>
        <v>0</v>
      </c>
      <c r="R745" s="1231"/>
      <c r="S745" s="1231"/>
      <c r="T745" s="1232">
        <f t="shared" si="2080"/>
        <v>0</v>
      </c>
      <c r="U745" s="111">
        <f t="shared" si="2081"/>
        <v>0</v>
      </c>
      <c r="V745" s="566">
        <f t="shared" si="2082"/>
        <v>0</v>
      </c>
      <c r="W745" s="1235">
        <f t="shared" si="2083"/>
        <v>0</v>
      </c>
      <c r="X745" s="1236">
        <f t="shared" si="2084"/>
        <v>0</v>
      </c>
      <c r="Y745" s="1237"/>
      <c r="Z745" s="1056"/>
      <c r="AA745" s="1714"/>
      <c r="AB745" s="1715"/>
      <c r="AC745" s="1715"/>
      <c r="AD745" s="1715"/>
      <c r="AE745" s="1715"/>
      <c r="AF745" s="1715"/>
      <c r="AG745" s="1715"/>
      <c r="AH745" s="1715"/>
      <c r="AI745" s="1715"/>
      <c r="AJ745" s="1715"/>
      <c r="AK745" s="1715"/>
      <c r="AL745" s="1716"/>
      <c r="AM745" s="1715"/>
      <c r="AN745" s="1715"/>
      <c r="AO745" s="1715"/>
      <c r="AP745" s="1715"/>
      <c r="AQ745" s="1715"/>
      <c r="AR745" s="1715"/>
      <c r="AS745" s="1715"/>
      <c r="AT745" s="1715"/>
      <c r="AU745" s="1715"/>
      <c r="AV745" s="1715"/>
      <c r="AW745" s="1715"/>
      <c r="AX745" s="1715"/>
      <c r="AY745" s="1715"/>
      <c r="AZ745" s="1715"/>
      <c r="BA745" s="1715"/>
      <c r="BB745" s="1715"/>
      <c r="BC745" s="1715"/>
      <c r="BD745" s="1715"/>
      <c r="BE745" s="1715"/>
      <c r="BF745" s="1715"/>
      <c r="BG745" s="1715"/>
      <c r="BH745" s="1715"/>
      <c r="BI745" s="1715"/>
      <c r="BJ745" s="1715"/>
      <c r="BK745" s="1715"/>
      <c r="BL745" s="1715"/>
      <c r="BM745" s="1715"/>
      <c r="BN745" s="1715"/>
      <c r="BO745" s="1715"/>
      <c r="BP745" s="1715"/>
      <c r="BQ745" s="1715"/>
      <c r="BR745" s="1715"/>
      <c r="BS745" s="1715"/>
      <c r="BT745" s="1715"/>
      <c r="BU745" s="1715"/>
      <c r="BV745" s="1715"/>
      <c r="BW745" s="1715"/>
      <c r="BX745" s="1715"/>
      <c r="BY745" s="1715"/>
      <c r="BZ745" s="1715"/>
      <c r="CA745" s="1715"/>
      <c r="CB745" s="2268"/>
      <c r="CC745" s="2268"/>
      <c r="CD745" s="2268"/>
      <c r="CE745" s="2268"/>
      <c r="CF745" s="2268"/>
      <c r="CG745" s="2268"/>
      <c r="CH745" s="2268"/>
      <c r="CI745" s="2268"/>
      <c r="CJ745" s="2268"/>
      <c r="CK745" s="2268"/>
      <c r="CL745" s="2268"/>
      <c r="CM745" s="2268"/>
      <c r="CN745" s="2268"/>
      <c r="CO745" s="2268"/>
      <c r="CP745" s="2268"/>
      <c r="CQ745" s="2268"/>
      <c r="CR745" s="2268"/>
      <c r="CS745" s="2268"/>
      <c r="CT745" s="2268">
        <f>+Q745</f>
        <v>0</v>
      </c>
      <c r="CU745" s="2268"/>
      <c r="CV745" s="2268"/>
      <c r="CW745" s="2268"/>
      <c r="CX745" s="2268"/>
      <c r="CY745" s="2268"/>
      <c r="CZ745" s="2268"/>
      <c r="DA745" s="2268"/>
      <c r="DB745" s="2268"/>
      <c r="DC745" s="2268"/>
      <c r="DD745" s="2268"/>
      <c r="DE745" s="2268"/>
      <c r="DF745" s="2268"/>
      <c r="DG745" s="2268"/>
      <c r="DH745" s="2268"/>
      <c r="DI745" s="2268"/>
      <c r="DJ745" s="2268"/>
      <c r="DK745" s="2268"/>
      <c r="DL745" s="2268"/>
      <c r="DM745" s="2268"/>
      <c r="DN745" s="2268"/>
      <c r="DO745" s="2268"/>
      <c r="DP745" s="2268"/>
    </row>
    <row r="746" spans="1:120" s="61" customFormat="1" hidden="1" outlineLevel="1">
      <c r="A746" s="1221">
        <v>1110052095</v>
      </c>
      <c r="B746" s="1216"/>
      <c r="C746" s="101" t="s">
        <v>64</v>
      </c>
      <c r="D746" s="1712"/>
      <c r="E746" s="1642"/>
      <c r="F746" s="1224"/>
      <c r="G746" s="1266"/>
      <c r="H746" s="1225"/>
      <c r="I746" s="1226"/>
      <c r="J746" s="1604">
        <v>1</v>
      </c>
      <c r="K746" s="1605">
        <v>1</v>
      </c>
      <c r="L746" s="1227"/>
      <c r="M746" s="1626">
        <f t="shared" si="2077"/>
        <v>0</v>
      </c>
      <c r="N746" s="1228"/>
      <c r="O746" s="1229">
        <f t="shared" si="2078"/>
        <v>0</v>
      </c>
      <c r="P746" s="1713"/>
      <c r="Q746" s="1230">
        <f t="shared" si="2079"/>
        <v>0</v>
      </c>
      <c r="R746" s="1231"/>
      <c r="S746" s="1231"/>
      <c r="T746" s="1232">
        <f t="shared" si="2080"/>
        <v>0</v>
      </c>
      <c r="U746" s="111">
        <f t="shared" si="2081"/>
        <v>0</v>
      </c>
      <c r="V746" s="566">
        <f t="shared" si="2082"/>
        <v>0</v>
      </c>
      <c r="W746" s="1235">
        <f t="shared" si="2083"/>
        <v>0</v>
      </c>
      <c r="X746" s="1236">
        <f t="shared" si="2084"/>
        <v>0</v>
      </c>
      <c r="Y746" s="1237"/>
      <c r="Z746" s="1056"/>
      <c r="AA746" s="1714"/>
      <c r="AB746" s="1715"/>
      <c r="AC746" s="1715"/>
      <c r="AD746" s="1715"/>
      <c r="AE746" s="1715"/>
      <c r="AF746" s="1715"/>
      <c r="AG746" s="1715"/>
      <c r="AH746" s="1715"/>
      <c r="AI746" s="1715"/>
      <c r="AJ746" s="1715"/>
      <c r="AK746" s="1715"/>
      <c r="AL746" s="1716"/>
      <c r="AM746" s="1715"/>
      <c r="AN746" s="1715"/>
      <c r="AO746" s="1715"/>
      <c r="AP746" s="1715"/>
      <c r="AQ746" s="1715"/>
      <c r="AR746" s="1715"/>
      <c r="AS746" s="1715"/>
      <c r="AT746" s="1715"/>
      <c r="AU746" s="1715"/>
      <c r="AV746" s="1715"/>
      <c r="AW746" s="1715"/>
      <c r="AX746" s="1715"/>
      <c r="AY746" s="1715"/>
      <c r="AZ746" s="1715"/>
      <c r="BA746" s="1715"/>
      <c r="BB746" s="1715"/>
      <c r="BC746" s="1715"/>
      <c r="BD746" s="1715"/>
      <c r="BE746" s="1715"/>
      <c r="BF746" s="1715"/>
      <c r="BG746" s="1715"/>
      <c r="BH746" s="1715"/>
      <c r="BI746" s="1715"/>
      <c r="BJ746" s="1715"/>
      <c r="BK746" s="1715"/>
      <c r="BL746" s="1715"/>
      <c r="BM746" s="1715"/>
      <c r="BN746" s="1715"/>
      <c r="BO746" s="1715"/>
      <c r="BP746" s="1715"/>
      <c r="BQ746" s="1715"/>
      <c r="BR746" s="1715"/>
      <c r="BS746" s="1715"/>
      <c r="BT746" s="1715"/>
      <c r="BU746" s="1715"/>
      <c r="BV746" s="1715"/>
      <c r="BW746" s="1715"/>
      <c r="BX746" s="1715"/>
      <c r="BY746" s="1715"/>
      <c r="BZ746" s="1715"/>
      <c r="CA746" s="1715"/>
      <c r="CB746" s="2268"/>
      <c r="CC746" s="2268"/>
      <c r="CD746" s="2268"/>
      <c r="CE746" s="2268"/>
      <c r="CF746" s="2268"/>
      <c r="CG746" s="2268"/>
      <c r="CH746" s="2268"/>
      <c r="CI746" s="2268"/>
      <c r="CJ746" s="2268"/>
      <c r="CK746" s="2268"/>
      <c r="CL746" s="2268"/>
      <c r="CM746" s="2268"/>
      <c r="CN746" s="2268"/>
      <c r="CO746" s="2268"/>
      <c r="CP746" s="2268"/>
      <c r="CQ746" s="2268"/>
      <c r="CR746" s="2268"/>
      <c r="CS746" s="2268"/>
      <c r="CT746" s="2268"/>
      <c r="CU746" s="2268"/>
      <c r="CV746" s="2268"/>
      <c r="CW746" s="2268"/>
      <c r="CX746" s="2268">
        <f>+Q746</f>
        <v>0</v>
      </c>
      <c r="CY746" s="2268"/>
      <c r="CZ746" s="2268"/>
      <c r="DA746" s="2268"/>
      <c r="DB746" s="2268"/>
      <c r="DC746" s="2268"/>
      <c r="DD746" s="2268"/>
      <c r="DE746" s="2268"/>
      <c r="DF746" s="2268"/>
      <c r="DG746" s="2268"/>
      <c r="DH746" s="2268"/>
      <c r="DI746" s="2268"/>
      <c r="DJ746" s="2268"/>
      <c r="DK746" s="2268"/>
      <c r="DL746" s="2268"/>
      <c r="DM746" s="2268"/>
      <c r="DN746" s="2268"/>
      <c r="DO746" s="2268"/>
      <c r="DP746" s="2268"/>
    </row>
    <row r="747" spans="1:120" s="61" customFormat="1" hidden="1" outlineLevel="1">
      <c r="A747" s="1221">
        <v>1110052095</v>
      </c>
      <c r="B747" s="1216"/>
      <c r="C747" s="101" t="s">
        <v>64</v>
      </c>
      <c r="D747" s="1712"/>
      <c r="E747" s="1642"/>
      <c r="F747" s="1224"/>
      <c r="G747" s="1266"/>
      <c r="H747" s="1225"/>
      <c r="I747" s="1226"/>
      <c r="J747" s="1604">
        <v>1</v>
      </c>
      <c r="K747" s="1605">
        <v>1</v>
      </c>
      <c r="L747" s="1227"/>
      <c r="M747" s="1626">
        <f t="shared" si="2077"/>
        <v>0</v>
      </c>
      <c r="N747" s="1228"/>
      <c r="O747" s="1229">
        <f t="shared" si="2078"/>
        <v>0</v>
      </c>
      <c r="P747" s="1713"/>
      <c r="Q747" s="1230">
        <f t="shared" si="2079"/>
        <v>0</v>
      </c>
      <c r="R747" s="1231"/>
      <c r="S747" s="1231"/>
      <c r="T747" s="1232">
        <f t="shared" si="2080"/>
        <v>0</v>
      </c>
      <c r="U747" s="111">
        <f t="shared" si="2081"/>
        <v>0</v>
      </c>
      <c r="V747" s="566">
        <f t="shared" si="2082"/>
        <v>0</v>
      </c>
      <c r="W747" s="1235">
        <f t="shared" si="2083"/>
        <v>0</v>
      </c>
      <c r="X747" s="1236">
        <f t="shared" si="2084"/>
        <v>0</v>
      </c>
      <c r="Y747" s="1237"/>
      <c r="Z747" s="1056"/>
      <c r="AA747" s="1714"/>
      <c r="AB747" s="1715"/>
      <c r="AC747" s="1715"/>
      <c r="AD747" s="1715"/>
      <c r="AE747" s="1715"/>
      <c r="AF747" s="1715"/>
      <c r="AG747" s="1715"/>
      <c r="AH747" s="1715"/>
      <c r="AI747" s="1715"/>
      <c r="AJ747" s="1715"/>
      <c r="AK747" s="1715"/>
      <c r="AL747" s="1716"/>
      <c r="AM747" s="1715"/>
      <c r="AN747" s="1715"/>
      <c r="AO747" s="1715"/>
      <c r="AP747" s="1715"/>
      <c r="AQ747" s="1715"/>
      <c r="AR747" s="1715"/>
      <c r="AS747" s="1715"/>
      <c r="AT747" s="1715"/>
      <c r="AU747" s="1715"/>
      <c r="AV747" s="1715"/>
      <c r="AW747" s="1715"/>
      <c r="AX747" s="1715"/>
      <c r="AY747" s="1715"/>
      <c r="AZ747" s="1715"/>
      <c r="BA747" s="1715"/>
      <c r="BB747" s="1715"/>
      <c r="BC747" s="1715"/>
      <c r="BD747" s="1715"/>
      <c r="BE747" s="1715"/>
      <c r="BF747" s="1715"/>
      <c r="BG747" s="1715"/>
      <c r="BH747" s="1715"/>
      <c r="BI747" s="1715"/>
      <c r="BJ747" s="1715"/>
      <c r="BK747" s="1715"/>
      <c r="BL747" s="1715"/>
      <c r="BM747" s="1715"/>
      <c r="BN747" s="1715"/>
      <c r="BO747" s="1715"/>
      <c r="BP747" s="1715"/>
      <c r="BQ747" s="1715"/>
      <c r="BR747" s="1715"/>
      <c r="BS747" s="1715"/>
      <c r="BT747" s="1715"/>
      <c r="BU747" s="1715"/>
      <c r="BV747" s="1715"/>
      <c r="BW747" s="1715"/>
      <c r="BX747" s="1715"/>
      <c r="BY747" s="1715"/>
      <c r="BZ747" s="1715"/>
      <c r="CA747" s="1715"/>
      <c r="CB747" s="2268"/>
      <c r="CC747" s="2268"/>
      <c r="CD747" s="2268"/>
      <c r="CE747" s="2268"/>
      <c r="CF747" s="2268"/>
      <c r="CG747" s="2268"/>
      <c r="CH747" s="2268"/>
      <c r="CI747" s="2268"/>
      <c r="CJ747" s="2268"/>
      <c r="CK747" s="2268"/>
      <c r="CL747" s="2268"/>
      <c r="CM747" s="2268"/>
      <c r="CN747" s="2268"/>
      <c r="CO747" s="2268"/>
      <c r="CP747" s="2268"/>
      <c r="CQ747" s="2268"/>
      <c r="CR747" s="2268"/>
      <c r="CS747" s="2268"/>
      <c r="CT747" s="2268"/>
      <c r="CU747" s="2268"/>
      <c r="CV747" s="2268"/>
      <c r="CW747" s="2268"/>
      <c r="CX747" s="2268"/>
      <c r="CY747" s="2268"/>
      <c r="CZ747" s="2268"/>
      <c r="DA747" s="2268"/>
      <c r="DB747" s="2268"/>
      <c r="DC747" s="2268"/>
      <c r="DD747" s="2268">
        <f>+Q747</f>
        <v>0</v>
      </c>
      <c r="DE747" s="2268"/>
      <c r="DF747" s="2268"/>
      <c r="DG747" s="2268"/>
      <c r="DH747" s="2268"/>
      <c r="DI747" s="2268"/>
      <c r="DJ747" s="2268"/>
      <c r="DK747" s="2268"/>
      <c r="DL747" s="2268"/>
      <c r="DM747" s="2268"/>
      <c r="DN747" s="2268"/>
      <c r="DO747" s="2268"/>
      <c r="DP747" s="2268"/>
    </row>
    <row r="748" spans="1:120" s="61" customFormat="1" hidden="1" outlineLevel="1">
      <c r="A748" s="57">
        <v>1110052095</v>
      </c>
      <c r="B748" s="195"/>
      <c r="C748" s="196" t="s">
        <v>64</v>
      </c>
      <c r="D748" s="1557"/>
      <c r="E748" s="1558"/>
      <c r="F748" s="416"/>
      <c r="G748" s="1251"/>
      <c r="H748" s="511"/>
      <c r="I748" s="512"/>
      <c r="J748" s="1425">
        <v>1</v>
      </c>
      <c r="K748" s="1426">
        <v>1</v>
      </c>
      <c r="L748" s="59"/>
      <c r="M748" s="1541"/>
      <c r="N748" s="524"/>
      <c r="O748" s="525">
        <f t="shared" si="2067"/>
        <v>0</v>
      </c>
      <c r="P748" s="197"/>
      <c r="Q748" s="526"/>
      <c r="R748" s="527"/>
      <c r="S748" s="527"/>
      <c r="T748" s="562">
        <f t="shared" si="2068"/>
        <v>0</v>
      </c>
      <c r="U748" s="418">
        <f t="shared" si="2069"/>
        <v>0</v>
      </c>
      <c r="V748" s="517">
        <f t="shared" si="2070"/>
        <v>0</v>
      </c>
      <c r="W748" s="976">
        <f t="shared" si="2072"/>
        <v>0</v>
      </c>
      <c r="X748" s="975">
        <f t="shared" si="2073"/>
        <v>0</v>
      </c>
      <c r="Y748" s="519"/>
      <c r="Z748" s="1056"/>
      <c r="AA748" s="198"/>
      <c r="AB748" s="707"/>
      <c r="AC748" s="707"/>
      <c r="AD748" s="707"/>
      <c r="AE748" s="707"/>
      <c r="AF748" s="707"/>
      <c r="AG748" s="707"/>
      <c r="AH748" s="707"/>
      <c r="AI748" s="707"/>
      <c r="AJ748" s="707"/>
      <c r="AK748" s="707"/>
      <c r="AL748" s="1577"/>
      <c r="AM748" s="707"/>
      <c r="AN748" s="707"/>
      <c r="AO748" s="707"/>
      <c r="AP748" s="707"/>
      <c r="AQ748" s="707"/>
      <c r="AR748" s="707"/>
      <c r="AS748" s="707"/>
      <c r="AT748" s="707"/>
      <c r="AU748" s="707"/>
      <c r="AV748" s="707"/>
      <c r="AW748" s="707"/>
      <c r="AX748" s="707"/>
      <c r="AY748" s="707"/>
      <c r="AZ748" s="707"/>
      <c r="BA748" s="707"/>
      <c r="BB748" s="707"/>
      <c r="BC748" s="707"/>
      <c r="BD748" s="707"/>
      <c r="BE748" s="707"/>
      <c r="BF748" s="707"/>
      <c r="BG748" s="707"/>
      <c r="BH748" s="707"/>
      <c r="BI748" s="707"/>
      <c r="BJ748" s="707"/>
      <c r="BK748" s="707"/>
      <c r="BL748" s="707"/>
      <c r="BM748" s="707"/>
      <c r="BN748" s="707"/>
      <c r="BO748" s="707"/>
      <c r="BP748" s="707"/>
      <c r="BQ748" s="707"/>
      <c r="BR748" s="707"/>
      <c r="BS748" s="707"/>
      <c r="BT748" s="707"/>
      <c r="BU748" s="707"/>
      <c r="BV748" s="707"/>
      <c r="BW748" s="707"/>
      <c r="BX748" s="707"/>
      <c r="BY748" s="707"/>
      <c r="BZ748" s="707"/>
      <c r="CA748" s="707"/>
      <c r="CB748" s="736"/>
      <c r="CC748" s="736"/>
      <c r="CD748" s="736"/>
      <c r="CE748" s="736"/>
      <c r="CF748" s="736"/>
      <c r="CG748" s="736"/>
      <c r="CH748" s="736"/>
      <c r="CI748" s="736"/>
      <c r="CJ748" s="736"/>
      <c r="CK748" s="736"/>
      <c r="CL748" s="736"/>
      <c r="CM748" s="736"/>
      <c r="CN748" s="736"/>
      <c r="CO748" s="736"/>
      <c r="CP748" s="736"/>
      <c r="CQ748" s="736"/>
      <c r="CR748" s="736"/>
      <c r="CS748" s="736"/>
      <c r="CT748" s="736"/>
      <c r="CU748" s="736"/>
      <c r="CV748" s="736"/>
      <c r="CW748" s="736"/>
      <c r="CX748" s="736"/>
      <c r="CY748" s="736"/>
      <c r="CZ748" s="736"/>
      <c r="DA748" s="736"/>
      <c r="DB748" s="736"/>
      <c r="DC748" s="736"/>
      <c r="DD748" s="736"/>
      <c r="DE748" s="736"/>
      <c r="DF748" s="736"/>
      <c r="DG748" s="736"/>
      <c r="DH748" s="736"/>
      <c r="DI748" s="736"/>
      <c r="DJ748" s="736"/>
      <c r="DK748" s="736"/>
      <c r="DL748" s="736"/>
      <c r="DM748" s="736"/>
      <c r="DN748" s="736"/>
      <c r="DO748" s="736"/>
      <c r="DP748" s="736"/>
    </row>
    <row r="749" spans="1:120" hidden="1" outlineLevel="1">
      <c r="A749" s="55"/>
      <c r="B749" s="90"/>
      <c r="C749" s="91"/>
      <c r="D749" s="1538"/>
      <c r="E749" s="1539"/>
      <c r="F749" s="416"/>
      <c r="G749" s="1251"/>
      <c r="H749" s="511"/>
      <c r="I749" s="512"/>
      <c r="J749" s="1381"/>
      <c r="K749" s="1427"/>
      <c r="L749" s="417"/>
      <c r="M749" s="1540"/>
      <c r="N749" s="504"/>
      <c r="O749" s="513"/>
      <c r="P749" s="431"/>
      <c r="Q749" s="514"/>
      <c r="R749" s="515"/>
      <c r="S749" s="515"/>
      <c r="T749" s="562">
        <f t="shared" si="2068"/>
        <v>0</v>
      </c>
      <c r="U749" s="418">
        <f t="shared" si="2069"/>
        <v>0</v>
      </c>
      <c r="V749" s="517">
        <f t="shared" si="2070"/>
        <v>0</v>
      </c>
      <c r="W749" s="976"/>
      <c r="X749" s="975"/>
      <c r="Y749" s="519"/>
      <c r="AA749" s="199"/>
      <c r="AB749" s="561"/>
      <c r="AC749" s="561"/>
      <c r="AD749" s="561"/>
      <c r="AE749" s="561"/>
      <c r="AF749" s="561"/>
      <c r="AG749" s="561"/>
      <c r="AH749" s="561"/>
      <c r="AI749" s="561"/>
      <c r="AJ749" s="561"/>
      <c r="AK749" s="561"/>
      <c r="AL749" s="1542"/>
      <c r="AM749" s="561"/>
      <c r="AN749" s="561"/>
      <c r="AO749" s="561"/>
      <c r="AP749" s="561"/>
      <c r="AQ749" s="561"/>
      <c r="AR749" s="561"/>
      <c r="AS749" s="561"/>
      <c r="AT749" s="561"/>
      <c r="AU749" s="561"/>
      <c r="AV749" s="561"/>
      <c r="AW749" s="561"/>
      <c r="AX749" s="561"/>
      <c r="AY749" s="561"/>
      <c r="AZ749" s="561"/>
      <c r="BA749" s="561"/>
      <c r="BB749" s="561"/>
      <c r="BC749" s="561"/>
      <c r="BD749" s="561"/>
      <c r="BE749" s="561"/>
      <c r="BF749" s="561"/>
      <c r="BG749" s="561"/>
      <c r="BH749" s="561"/>
      <c r="BI749" s="561"/>
      <c r="BJ749" s="561"/>
      <c r="BK749" s="561"/>
      <c r="BL749" s="561"/>
      <c r="BM749" s="561"/>
      <c r="BN749" s="561"/>
      <c r="BO749" s="561"/>
      <c r="BP749" s="561"/>
      <c r="BQ749" s="561"/>
      <c r="BR749" s="561"/>
      <c r="BS749" s="561"/>
      <c r="BT749" s="561"/>
      <c r="BU749" s="561"/>
      <c r="BV749" s="561"/>
      <c r="BW749" s="561"/>
      <c r="BX749" s="561"/>
      <c r="BY749" s="561"/>
      <c r="BZ749" s="561"/>
      <c r="CA749" s="561"/>
      <c r="CB749" s="737"/>
      <c r="CC749" s="737"/>
      <c r="CD749" s="737"/>
      <c r="CE749" s="737"/>
      <c r="CF749" s="737"/>
      <c r="CG749" s="737"/>
      <c r="CH749" s="737"/>
      <c r="CI749" s="737"/>
      <c r="CJ749" s="737"/>
      <c r="CK749" s="737"/>
      <c r="CL749" s="737"/>
      <c r="CM749" s="737"/>
      <c r="CN749" s="737"/>
      <c r="CO749" s="737"/>
      <c r="CP749" s="737"/>
      <c r="CQ749" s="737"/>
      <c r="CR749" s="737"/>
      <c r="CS749" s="737"/>
      <c r="CT749" s="737"/>
      <c r="CU749" s="737"/>
      <c r="CV749" s="737"/>
      <c r="CW749" s="737"/>
      <c r="CX749" s="737"/>
      <c r="CY749" s="737"/>
      <c r="CZ749" s="737"/>
      <c r="DA749" s="737"/>
      <c r="DB749" s="737"/>
      <c r="DC749" s="737"/>
      <c r="DD749" s="737"/>
      <c r="DE749" s="737"/>
      <c r="DF749" s="737"/>
      <c r="DG749" s="737"/>
      <c r="DH749" s="737"/>
      <c r="DI749" s="737"/>
      <c r="DJ749" s="737"/>
      <c r="DK749" s="737"/>
      <c r="DL749" s="737"/>
      <c r="DM749" s="737"/>
      <c r="DN749" s="737"/>
      <c r="DO749" s="737"/>
      <c r="DP749" s="737"/>
    </row>
    <row r="750" spans="1:120" ht="16.5" collapsed="1" thickBot="1">
      <c r="A750" s="62" t="s">
        <v>236</v>
      </c>
      <c r="B750" s="63"/>
      <c r="C750" s="64"/>
      <c r="D750" s="1473"/>
      <c r="E750" s="1474"/>
      <c r="F750" s="66">
        <f>SUM(F737:F749)</f>
        <v>0</v>
      </c>
      <c r="G750" s="1253"/>
      <c r="H750" s="67"/>
      <c r="I750" s="68">
        <f>SUM(I737:I749)</f>
        <v>0</v>
      </c>
      <c r="J750" s="1376"/>
      <c r="K750" s="76"/>
      <c r="L750" s="69">
        <f>SUM(L737:L749)</f>
        <v>0</v>
      </c>
      <c r="M750" s="168"/>
      <c r="N750" s="70"/>
      <c r="O750" s="71">
        <f>SUM(O737:O749)</f>
        <v>0</v>
      </c>
      <c r="P750" s="72">
        <f>SUM(P737:P749)</f>
        <v>0</v>
      </c>
      <c r="Q750" s="1339"/>
      <c r="R750" s="73"/>
      <c r="S750" s="73"/>
      <c r="T750" s="96">
        <f>SUM(T737:T749)</f>
        <v>0</v>
      </c>
      <c r="U750" s="173">
        <f>SUM(U737:U749)</f>
        <v>0</v>
      </c>
      <c r="V750" s="76">
        <f>SUM(V737:V749)</f>
        <v>0</v>
      </c>
      <c r="W750" s="97">
        <f>SUM(W737:W749)</f>
        <v>0</v>
      </c>
      <c r="X750" s="98">
        <f>SUM(X737:X749)</f>
        <v>0</v>
      </c>
      <c r="Y750" s="43"/>
      <c r="AA750" s="192">
        <f t="shared" ref="AA750:BF750" ca="1" si="2085">SUM(AA735:AA749)</f>
        <v>6.9849193096160889E-10</v>
      </c>
      <c r="AB750" s="193">
        <f t="shared" ca="1" si="2085"/>
        <v>0</v>
      </c>
      <c r="AC750" s="193">
        <f t="shared" ca="1" si="2085"/>
        <v>-2.3283064365386963E-10</v>
      </c>
      <c r="AD750" s="193">
        <f t="shared" ca="1" si="2085"/>
        <v>0</v>
      </c>
      <c r="AE750" s="193">
        <f t="shared" ca="1" si="2085"/>
        <v>0</v>
      </c>
      <c r="AF750" s="193">
        <f t="shared" ca="1" si="2085"/>
        <v>0</v>
      </c>
      <c r="AG750" s="193">
        <f t="shared" ca="1" si="2085"/>
        <v>0</v>
      </c>
      <c r="AH750" s="193">
        <f t="shared" ca="1" si="2085"/>
        <v>0</v>
      </c>
      <c r="AI750" s="193">
        <f t="shared" ca="1" si="2085"/>
        <v>-5.8207660913467407E-10</v>
      </c>
      <c r="AJ750" s="193">
        <f t="shared" ca="1" si="2085"/>
        <v>0</v>
      </c>
      <c r="AK750" s="193">
        <f t="shared" ca="1" si="2085"/>
        <v>0</v>
      </c>
      <c r="AL750" s="193">
        <f t="shared" ca="1" si="2085"/>
        <v>0</v>
      </c>
      <c r="AM750" s="193">
        <f t="shared" ca="1" si="2085"/>
        <v>0</v>
      </c>
      <c r="AN750" s="193">
        <f t="shared" ca="1" si="2085"/>
        <v>0</v>
      </c>
      <c r="AO750" s="193">
        <f t="shared" ca="1" si="2085"/>
        <v>0</v>
      </c>
      <c r="AP750" s="193">
        <f t="shared" ca="1" si="2085"/>
        <v>0</v>
      </c>
      <c r="AQ750" s="193">
        <f t="shared" ca="1" si="2085"/>
        <v>0</v>
      </c>
      <c r="AR750" s="193">
        <f t="shared" ca="1" si="2085"/>
        <v>0</v>
      </c>
      <c r="AS750" s="193">
        <f t="shared" ca="1" si="2085"/>
        <v>0</v>
      </c>
      <c r="AT750" s="193">
        <f t="shared" ca="1" si="2085"/>
        <v>0</v>
      </c>
      <c r="AU750" s="193">
        <f t="shared" ca="1" si="2085"/>
        <v>0</v>
      </c>
      <c r="AV750" s="193">
        <f t="shared" ca="1" si="2085"/>
        <v>2.3283064365386963E-10</v>
      </c>
      <c r="AW750" s="193">
        <f t="shared" ca="1" si="2085"/>
        <v>2.3283064365386963E-10</v>
      </c>
      <c r="AX750" s="193">
        <f t="shared" ca="1" si="2085"/>
        <v>0</v>
      </c>
      <c r="AY750" s="193">
        <f t="shared" ca="1" si="2085"/>
        <v>0</v>
      </c>
      <c r="AZ750" s="193">
        <f t="shared" ca="1" si="2085"/>
        <v>0</v>
      </c>
      <c r="BA750" s="193">
        <f t="shared" ca="1" si="2085"/>
        <v>2481654.2199999997</v>
      </c>
      <c r="BB750" s="193">
        <f t="shared" ca="1" si="2085"/>
        <v>11818681.52</v>
      </c>
      <c r="BC750" s="193">
        <f t="shared" ca="1" si="2085"/>
        <v>23716111.969999999</v>
      </c>
      <c r="BD750" s="193">
        <f t="shared" ca="1" si="2085"/>
        <v>0</v>
      </c>
      <c r="BE750" s="193">
        <f t="shared" ca="1" si="2085"/>
        <v>0</v>
      </c>
      <c r="BF750" s="193">
        <f t="shared" ca="1" si="2085"/>
        <v>0</v>
      </c>
      <c r="BG750" s="193">
        <f t="shared" ref="BG750:CL750" ca="1" si="2086">SUM(BG735:BG749)</f>
        <v>0</v>
      </c>
      <c r="BH750" s="193">
        <f t="shared" ca="1" si="2086"/>
        <v>0</v>
      </c>
      <c r="BI750" s="193">
        <f t="shared" ca="1" si="2086"/>
        <v>0</v>
      </c>
      <c r="BJ750" s="193">
        <f t="shared" ca="1" si="2086"/>
        <v>0</v>
      </c>
      <c r="BK750" s="193">
        <f t="shared" ca="1" si="2086"/>
        <v>0</v>
      </c>
      <c r="BL750" s="193">
        <f t="shared" ca="1" si="2086"/>
        <v>0</v>
      </c>
      <c r="BM750" s="193">
        <f t="shared" ca="1" si="2086"/>
        <v>0</v>
      </c>
      <c r="BN750" s="193">
        <f t="shared" ca="1" si="2086"/>
        <v>0</v>
      </c>
      <c r="BO750" s="193">
        <f t="shared" ca="1" si="2086"/>
        <v>0</v>
      </c>
      <c r="BP750" s="193">
        <f t="shared" ca="1" si="2086"/>
        <v>0</v>
      </c>
      <c r="BQ750" s="193">
        <f t="shared" ca="1" si="2086"/>
        <v>0</v>
      </c>
      <c r="BR750" s="193">
        <f t="shared" ca="1" si="2086"/>
        <v>0</v>
      </c>
      <c r="BS750" s="193">
        <f t="shared" ca="1" si="2086"/>
        <v>0</v>
      </c>
      <c r="BT750" s="193">
        <f t="shared" ca="1" si="2086"/>
        <v>0</v>
      </c>
      <c r="BU750" s="193">
        <f t="shared" ca="1" si="2086"/>
        <v>0</v>
      </c>
      <c r="BV750" s="193">
        <f t="shared" si="2086"/>
        <v>0</v>
      </c>
      <c r="BW750" s="193">
        <f t="shared" si="2086"/>
        <v>0</v>
      </c>
      <c r="BX750" s="193">
        <f t="shared" si="2086"/>
        <v>0</v>
      </c>
      <c r="BY750" s="193">
        <f t="shared" si="2086"/>
        <v>0</v>
      </c>
      <c r="BZ750" s="193">
        <f t="shared" si="2086"/>
        <v>0</v>
      </c>
      <c r="CA750" s="193">
        <f t="shared" si="2086"/>
        <v>0</v>
      </c>
      <c r="CB750" s="207">
        <f t="shared" si="2086"/>
        <v>0</v>
      </c>
      <c r="CC750" s="207">
        <f t="shared" si="2086"/>
        <v>0</v>
      </c>
      <c r="CD750" s="207">
        <f t="shared" si="2086"/>
        <v>0</v>
      </c>
      <c r="CE750" s="207">
        <f t="shared" si="2086"/>
        <v>0</v>
      </c>
      <c r="CF750" s="207">
        <f t="shared" si="2086"/>
        <v>0</v>
      </c>
      <c r="CG750" s="207">
        <f t="shared" si="2086"/>
        <v>0</v>
      </c>
      <c r="CH750" s="207">
        <f t="shared" si="2086"/>
        <v>0</v>
      </c>
      <c r="CI750" s="207">
        <f t="shared" si="2086"/>
        <v>0</v>
      </c>
      <c r="CJ750" s="207">
        <f t="shared" si="2086"/>
        <v>0</v>
      </c>
      <c r="CK750" s="207">
        <f t="shared" si="2086"/>
        <v>0</v>
      </c>
      <c r="CL750" s="207">
        <f t="shared" si="2086"/>
        <v>0</v>
      </c>
      <c r="CM750" s="207">
        <f t="shared" ref="CM750:DM750" si="2087">SUM(CM735:CM749)</f>
        <v>0</v>
      </c>
      <c r="CN750" s="207">
        <f t="shared" si="2087"/>
        <v>0</v>
      </c>
      <c r="CO750" s="207">
        <f t="shared" si="2087"/>
        <v>0</v>
      </c>
      <c r="CP750" s="207">
        <f t="shared" si="2087"/>
        <v>0</v>
      </c>
      <c r="CQ750" s="207">
        <f t="shared" si="2087"/>
        <v>0</v>
      </c>
      <c r="CR750" s="207">
        <f t="shared" si="2087"/>
        <v>0</v>
      </c>
      <c r="CS750" s="207">
        <f t="shared" si="2087"/>
        <v>0</v>
      </c>
      <c r="CT750" s="207">
        <f t="shared" si="2087"/>
        <v>0</v>
      </c>
      <c r="CU750" s="207">
        <f t="shared" si="2087"/>
        <v>0</v>
      </c>
      <c r="CV750" s="207">
        <f t="shared" si="2087"/>
        <v>0</v>
      </c>
      <c r="CW750" s="207">
        <f t="shared" si="2087"/>
        <v>0</v>
      </c>
      <c r="CX750" s="207">
        <f t="shared" si="2087"/>
        <v>0</v>
      </c>
      <c r="CY750" s="207">
        <f t="shared" si="2087"/>
        <v>0</v>
      </c>
      <c r="CZ750" s="207">
        <f t="shared" si="2087"/>
        <v>0</v>
      </c>
      <c r="DA750" s="207">
        <f t="shared" si="2087"/>
        <v>0</v>
      </c>
      <c r="DB750" s="207">
        <f t="shared" si="2087"/>
        <v>0</v>
      </c>
      <c r="DC750" s="207">
        <f t="shared" si="2087"/>
        <v>0</v>
      </c>
      <c r="DD750" s="207">
        <f t="shared" si="2087"/>
        <v>0</v>
      </c>
      <c r="DE750" s="207">
        <f t="shared" si="2087"/>
        <v>0</v>
      </c>
      <c r="DF750" s="207">
        <f t="shared" si="2087"/>
        <v>0</v>
      </c>
      <c r="DG750" s="207">
        <f t="shared" si="2087"/>
        <v>0</v>
      </c>
      <c r="DH750" s="207">
        <f t="shared" si="2087"/>
        <v>0</v>
      </c>
      <c r="DI750" s="207">
        <f t="shared" si="2087"/>
        <v>0</v>
      </c>
      <c r="DJ750" s="207">
        <f t="shared" si="2087"/>
        <v>0</v>
      </c>
      <c r="DK750" s="207">
        <f t="shared" si="2087"/>
        <v>0</v>
      </c>
      <c r="DL750" s="207">
        <f t="shared" si="2087"/>
        <v>0</v>
      </c>
      <c r="DM750" s="207">
        <f t="shared" si="2087"/>
        <v>0</v>
      </c>
      <c r="DN750" s="207">
        <f t="shared" ref="DN750:DO750" si="2088">SUM(DN735:DN749)</f>
        <v>0</v>
      </c>
      <c r="DO750" s="207">
        <f t="shared" si="2088"/>
        <v>0</v>
      </c>
      <c r="DP750" s="207">
        <f t="shared" ref="DP750" si="2089">SUM(DP735:DP749)</f>
        <v>0</v>
      </c>
    </row>
    <row r="751" spans="1:120"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/>
      <c r="CT751" s="24"/>
      <c r="CU751" s="24"/>
      <c r="CV751" s="24"/>
      <c r="CW751" s="24"/>
      <c r="CX751" s="24"/>
      <c r="CY751" s="24"/>
      <c r="CZ751" s="24"/>
      <c r="DA751" s="24"/>
      <c r="DB751" s="24"/>
      <c r="DC751" s="24"/>
      <c r="DD751" s="24"/>
      <c r="DE751" s="24"/>
      <c r="DF751" s="24"/>
      <c r="DG751" s="24"/>
      <c r="DH751" s="24"/>
      <c r="DI751" s="24"/>
      <c r="DJ751" s="24"/>
      <c r="DK751" s="24"/>
      <c r="DL751" s="24"/>
      <c r="DM751" s="24"/>
      <c r="DN751" s="24"/>
      <c r="DO751" s="24"/>
      <c r="DP751" s="24"/>
    </row>
    <row r="752" spans="1:120" hidden="1" outlineLevel="1">
      <c r="A752" s="640">
        <v>1110052095</v>
      </c>
      <c r="B752" s="573" t="s">
        <v>78</v>
      </c>
      <c r="C752" s="641" t="s">
        <v>64</v>
      </c>
      <c r="D752" s="1489"/>
      <c r="E752" s="1490"/>
      <c r="F752" s="643"/>
      <c r="G752" s="1262"/>
      <c r="H752" s="644"/>
      <c r="I752" s="645"/>
      <c r="J752" s="1483">
        <v>1</v>
      </c>
      <c r="K752" s="1484">
        <v>1</v>
      </c>
      <c r="L752" s="646"/>
      <c r="M752" s="1428">
        <f t="shared" ref="M752" si="2090">+L752*J752</f>
        <v>0</v>
      </c>
      <c r="N752" s="1238"/>
      <c r="O752" s="648">
        <f>+L752*N752</f>
        <v>0</v>
      </c>
      <c r="P752" s="649"/>
      <c r="Q752" s="649"/>
      <c r="R752" s="650"/>
      <c r="S752" s="650"/>
      <c r="T752" s="651">
        <f>+P752*S752</f>
        <v>0</v>
      </c>
      <c r="U752" s="652">
        <f>+L752+P752+F752</f>
        <v>0</v>
      </c>
      <c r="V752" s="648">
        <f>+P752*R752+L752*N752+F752*H752</f>
        <v>0</v>
      </c>
      <c r="W752" s="653">
        <f>IF((-P752*R752)-(-P752*S752)&gt;0,(-P752*R752)-(-P752*S752),0)</f>
        <v>0</v>
      </c>
      <c r="X752" s="654">
        <f>IF((-P752*R752)-(-P752*S752)&lt;0,(-P752*R752)-(-P752*S752),0)</f>
        <v>0</v>
      </c>
      <c r="Y752" s="655"/>
      <c r="AA752" s="730"/>
      <c r="AB752" s="731"/>
      <c r="AC752" s="731"/>
      <c r="AD752" s="731"/>
      <c r="AE752" s="731"/>
      <c r="AF752" s="731"/>
      <c r="AG752" s="731"/>
      <c r="AH752" s="731"/>
      <c r="AI752" s="731"/>
      <c r="AJ752" s="731"/>
      <c r="AK752" s="731"/>
      <c r="AL752" s="731"/>
      <c r="AM752" s="731"/>
      <c r="AN752" s="731"/>
      <c r="AO752" s="731"/>
      <c r="AP752" s="731"/>
      <c r="AQ752" s="731"/>
      <c r="AR752" s="731"/>
      <c r="AS752" s="731"/>
      <c r="AT752" s="731"/>
      <c r="AU752" s="731"/>
      <c r="AV752" s="731"/>
      <c r="AW752" s="731"/>
      <c r="AX752" s="731"/>
      <c r="AY752" s="731"/>
      <c r="AZ752" s="731"/>
      <c r="BA752" s="731"/>
      <c r="BB752" s="731"/>
      <c r="BC752" s="731"/>
      <c r="BD752" s="731"/>
      <c r="BE752" s="731"/>
      <c r="BF752" s="731"/>
      <c r="BG752" s="731"/>
      <c r="BH752" s="731"/>
      <c r="BI752" s="731"/>
      <c r="BJ752" s="731"/>
      <c r="BK752" s="731"/>
      <c r="BL752" s="731"/>
      <c r="BM752" s="731"/>
      <c r="BN752" s="731"/>
      <c r="BO752" s="731"/>
      <c r="BP752" s="731"/>
      <c r="BQ752" s="731"/>
      <c r="BR752" s="731"/>
      <c r="BS752" s="731"/>
      <c r="BT752" s="731"/>
      <c r="BU752" s="731"/>
      <c r="BV752" s="731"/>
      <c r="BW752" s="731"/>
      <c r="BX752" s="731"/>
      <c r="BY752" s="731"/>
      <c r="BZ752" s="731"/>
      <c r="CA752" s="731"/>
      <c r="CB752" s="732"/>
      <c r="CC752" s="732"/>
      <c r="CD752" s="732"/>
      <c r="CE752" s="732"/>
      <c r="CF752" s="732"/>
      <c r="CG752" s="732"/>
      <c r="CH752" s="732"/>
      <c r="CI752" s="732"/>
      <c r="CJ752" s="732"/>
      <c r="CK752" s="732"/>
      <c r="CL752" s="732"/>
      <c r="CM752" s="732"/>
      <c r="CN752" s="732"/>
      <c r="CO752" s="732"/>
      <c r="CP752" s="732"/>
      <c r="CQ752" s="732"/>
      <c r="CR752" s="732"/>
      <c r="CS752" s="732"/>
      <c r="CT752" s="732"/>
      <c r="CU752" s="732"/>
      <c r="CV752" s="732"/>
      <c r="CW752" s="732"/>
      <c r="CX752" s="732"/>
      <c r="CY752" s="732"/>
      <c r="CZ752" s="732"/>
      <c r="DA752" s="732"/>
      <c r="DB752" s="732"/>
      <c r="DC752" s="732"/>
      <c r="DD752" s="732"/>
      <c r="DE752" s="732"/>
      <c r="DF752" s="732"/>
      <c r="DG752" s="732"/>
      <c r="DH752" s="732"/>
      <c r="DI752" s="732">
        <f>+M752</f>
        <v>0</v>
      </c>
      <c r="DJ752" s="732"/>
      <c r="DK752" s="732"/>
      <c r="DL752" s="732"/>
      <c r="DM752" s="732"/>
      <c r="DN752" s="732"/>
      <c r="DO752" s="732"/>
      <c r="DP752" s="732"/>
    </row>
    <row r="753" spans="1:120" s="61" customFormat="1" hidden="1" outlineLevel="1">
      <c r="A753" s="57">
        <v>1110052090</v>
      </c>
      <c r="B753" s="195"/>
      <c r="C753" s="196" t="s">
        <v>64</v>
      </c>
      <c r="D753" s="1557"/>
      <c r="E753" s="1558"/>
      <c r="F753" s="416"/>
      <c r="G753" s="1251"/>
      <c r="H753" s="511"/>
      <c r="I753" s="512"/>
      <c r="J753" s="1381"/>
      <c r="K753" s="1427"/>
      <c r="L753" s="59"/>
      <c r="M753" s="1541"/>
      <c r="N753" s="524"/>
      <c r="O753" s="525">
        <f>+L753*N753</f>
        <v>0</v>
      </c>
      <c r="P753" s="197"/>
      <c r="Q753" s="526"/>
      <c r="R753" s="527"/>
      <c r="S753" s="527"/>
      <c r="T753" s="562">
        <f>+P753*S753</f>
        <v>0</v>
      </c>
      <c r="U753" s="418">
        <f>+L753+P753+F753</f>
        <v>0</v>
      </c>
      <c r="V753" s="517">
        <f>+P753*R753+L753*N753+F753*H753</f>
        <v>0</v>
      </c>
      <c r="W753" s="1101">
        <f>IF((-P753*R753)-(-P753*S753)&gt;0,(-P753*R753)-(-P753*S753),0)</f>
        <v>0</v>
      </c>
      <c r="X753" s="1102">
        <f>IF((-P753*R753)-(-P753*S753)&lt;0,(-P753*R753)-(-P753*S753),0)</f>
        <v>0</v>
      </c>
      <c r="Y753" s="519"/>
      <c r="Z753" s="1056"/>
      <c r="AA753" s="198"/>
      <c r="AB753" s="707"/>
      <c r="AC753" s="707"/>
      <c r="AD753" s="707"/>
      <c r="AE753" s="707"/>
      <c r="AF753" s="707"/>
      <c r="AG753" s="707"/>
      <c r="AH753" s="707"/>
      <c r="AI753" s="707"/>
      <c r="AJ753" s="707"/>
      <c r="AK753" s="707"/>
      <c r="AL753" s="1577"/>
      <c r="AM753" s="707"/>
      <c r="AN753" s="707"/>
      <c r="AO753" s="707"/>
      <c r="AP753" s="707"/>
      <c r="AQ753" s="707"/>
      <c r="AR753" s="707"/>
      <c r="AS753" s="707"/>
      <c r="AT753" s="707"/>
      <c r="AU753" s="707"/>
      <c r="AV753" s="707"/>
      <c r="AW753" s="707"/>
      <c r="AX753" s="707"/>
      <c r="AY753" s="707"/>
      <c r="AZ753" s="707"/>
      <c r="BA753" s="707"/>
      <c r="BB753" s="707"/>
      <c r="BC753" s="707"/>
      <c r="BD753" s="707"/>
      <c r="BE753" s="707"/>
      <c r="BF753" s="707"/>
      <c r="BG753" s="707"/>
      <c r="BH753" s="707"/>
      <c r="BI753" s="707"/>
      <c r="BJ753" s="707"/>
      <c r="BK753" s="707"/>
      <c r="BL753" s="707"/>
      <c r="BM753" s="707"/>
      <c r="BN753" s="707"/>
      <c r="BO753" s="707"/>
      <c r="BP753" s="707"/>
      <c r="BQ753" s="707"/>
      <c r="BR753" s="707"/>
      <c r="BS753" s="707"/>
      <c r="BT753" s="707"/>
      <c r="BU753" s="707"/>
      <c r="BV753" s="707"/>
      <c r="BW753" s="707"/>
      <c r="BX753" s="707"/>
      <c r="BY753" s="707"/>
      <c r="BZ753" s="707"/>
      <c r="CA753" s="707"/>
      <c r="CB753" s="736"/>
      <c r="CC753" s="736"/>
      <c r="CD753" s="736"/>
      <c r="CE753" s="736"/>
      <c r="CF753" s="736"/>
      <c r="CG753" s="736"/>
      <c r="CH753" s="736"/>
      <c r="CI753" s="736"/>
      <c r="CJ753" s="736"/>
      <c r="CK753" s="736"/>
      <c r="CL753" s="736"/>
      <c r="CM753" s="736"/>
      <c r="CN753" s="736"/>
      <c r="CO753" s="736"/>
      <c r="CP753" s="736"/>
      <c r="CQ753" s="736"/>
      <c r="CR753" s="736"/>
      <c r="CS753" s="736"/>
      <c r="CT753" s="736"/>
      <c r="CU753" s="736"/>
      <c r="CV753" s="736"/>
      <c r="CW753" s="736"/>
      <c r="CX753" s="736"/>
      <c r="CY753" s="736"/>
      <c r="CZ753" s="736"/>
      <c r="DA753" s="736"/>
      <c r="DB753" s="736"/>
      <c r="DC753" s="736"/>
      <c r="DD753" s="736"/>
      <c r="DE753" s="736"/>
      <c r="DF753" s="736"/>
      <c r="DG753" s="736"/>
      <c r="DH753" s="736"/>
      <c r="DI753" s="736"/>
      <c r="DJ753" s="736"/>
      <c r="DK753" s="736"/>
      <c r="DL753" s="736"/>
      <c r="DM753" s="736"/>
      <c r="DN753" s="736"/>
      <c r="DO753" s="736"/>
      <c r="DP753" s="736"/>
    </row>
    <row r="754" spans="1:120" s="61" customFormat="1" hidden="1" outlineLevel="1">
      <c r="A754" s="57">
        <v>1110052095</v>
      </c>
      <c r="B754" s="195"/>
      <c r="C754" s="196" t="s">
        <v>64</v>
      </c>
      <c r="D754" s="1557"/>
      <c r="E754" s="1558"/>
      <c r="F754" s="416"/>
      <c r="G754" s="1251"/>
      <c r="H754" s="511"/>
      <c r="I754" s="512"/>
      <c r="J754" s="1381"/>
      <c r="K754" s="1427"/>
      <c r="L754" s="59"/>
      <c r="M754" s="1541"/>
      <c r="N754" s="524"/>
      <c r="O754" s="525">
        <f>+L754*N754</f>
        <v>0</v>
      </c>
      <c r="P754" s="197"/>
      <c r="Q754" s="526"/>
      <c r="R754" s="527"/>
      <c r="S754" s="527"/>
      <c r="T754" s="562">
        <f>+P754*S754</f>
        <v>0</v>
      </c>
      <c r="U754" s="418">
        <f>+L754+P754+F754</f>
        <v>0</v>
      </c>
      <c r="V754" s="517">
        <f>+P754*R754+L754*N754+F754*H754</f>
        <v>0</v>
      </c>
      <c r="W754" s="1101">
        <f>IF((-P754*R754)-(-P754*S754)&gt;0,(-P754*R754)-(-P754*S754),0)</f>
        <v>0</v>
      </c>
      <c r="X754" s="1102">
        <f>IF((-P754*R754)-(-P754*S754)&lt;0,(-P754*R754)-(-P754*S754),0)</f>
        <v>0</v>
      </c>
      <c r="Y754" s="519"/>
      <c r="Z754" s="1056"/>
      <c r="AA754" s="198"/>
      <c r="AB754" s="707"/>
      <c r="AC754" s="707"/>
      <c r="AD754" s="707"/>
      <c r="AE754" s="707"/>
      <c r="AF754" s="707"/>
      <c r="AG754" s="707"/>
      <c r="AH754" s="707"/>
      <c r="AI754" s="707"/>
      <c r="AJ754" s="707"/>
      <c r="AK754" s="707"/>
      <c r="AL754" s="1577"/>
      <c r="AM754" s="707"/>
      <c r="AN754" s="707"/>
      <c r="AO754" s="707"/>
      <c r="AP754" s="707"/>
      <c r="AQ754" s="707"/>
      <c r="AR754" s="707"/>
      <c r="AS754" s="707"/>
      <c r="AT754" s="707"/>
      <c r="AU754" s="707"/>
      <c r="AV754" s="707"/>
      <c r="AW754" s="707"/>
      <c r="AX754" s="707"/>
      <c r="AY754" s="707"/>
      <c r="AZ754" s="707"/>
      <c r="BA754" s="707"/>
      <c r="BB754" s="707"/>
      <c r="BC754" s="707"/>
      <c r="BD754" s="707"/>
      <c r="BE754" s="707"/>
      <c r="BF754" s="707"/>
      <c r="BG754" s="707"/>
      <c r="BH754" s="707"/>
      <c r="BI754" s="707"/>
      <c r="BJ754" s="707"/>
      <c r="BK754" s="707"/>
      <c r="BL754" s="707"/>
      <c r="BM754" s="707"/>
      <c r="BN754" s="707"/>
      <c r="BO754" s="707"/>
      <c r="BP754" s="707"/>
      <c r="BQ754" s="707"/>
      <c r="BR754" s="707"/>
      <c r="BS754" s="707"/>
      <c r="BT754" s="707"/>
      <c r="BU754" s="707"/>
      <c r="BV754" s="707"/>
      <c r="BW754" s="707"/>
      <c r="BX754" s="707"/>
      <c r="BY754" s="707"/>
      <c r="BZ754" s="707"/>
      <c r="CA754" s="707"/>
      <c r="CB754" s="736"/>
      <c r="CC754" s="736"/>
      <c r="CD754" s="736"/>
      <c r="CE754" s="736"/>
      <c r="CF754" s="736"/>
      <c r="CG754" s="736"/>
      <c r="CH754" s="736"/>
      <c r="CI754" s="736"/>
      <c r="CJ754" s="736"/>
      <c r="CK754" s="736"/>
      <c r="CL754" s="736"/>
      <c r="CM754" s="736"/>
      <c r="CN754" s="736"/>
      <c r="CO754" s="736"/>
      <c r="CP754" s="736"/>
      <c r="CQ754" s="736"/>
      <c r="CR754" s="736"/>
      <c r="CS754" s="736"/>
      <c r="CT754" s="736"/>
      <c r="CU754" s="736"/>
      <c r="CV754" s="736"/>
      <c r="CW754" s="736"/>
      <c r="CX754" s="736"/>
      <c r="CY754" s="736"/>
      <c r="CZ754" s="736"/>
      <c r="DA754" s="736"/>
      <c r="DB754" s="736"/>
      <c r="DC754" s="736"/>
      <c r="DD754" s="736"/>
      <c r="DE754" s="736"/>
      <c r="DF754" s="736"/>
      <c r="DG754" s="736"/>
      <c r="DH754" s="736"/>
      <c r="DI754" s="736"/>
      <c r="DJ754" s="736"/>
      <c r="DK754" s="736"/>
      <c r="DL754" s="736"/>
      <c r="DM754" s="736"/>
      <c r="DN754" s="736"/>
      <c r="DO754" s="736"/>
      <c r="DP754" s="736"/>
    </row>
    <row r="755" spans="1:120" hidden="1" outlineLevel="1">
      <c r="A755" s="55"/>
      <c r="B755" s="90"/>
      <c r="C755" s="91"/>
      <c r="D755" s="1538"/>
      <c r="E755" s="1539"/>
      <c r="F755" s="416"/>
      <c r="G755" s="1251"/>
      <c r="H755" s="511"/>
      <c r="I755" s="512"/>
      <c r="J755" s="1381"/>
      <c r="K755" s="1427"/>
      <c r="L755" s="417"/>
      <c r="M755" s="1540"/>
      <c r="N755" s="504"/>
      <c r="O755" s="525">
        <f>+L755*N755</f>
        <v>0</v>
      </c>
      <c r="P755" s="431"/>
      <c r="Q755" s="514"/>
      <c r="R755" s="515"/>
      <c r="S755" s="515"/>
      <c r="T755" s="562">
        <f>+P755*S755</f>
        <v>0</v>
      </c>
      <c r="U755" s="418">
        <f>+L755+P755+F755</f>
        <v>0</v>
      </c>
      <c r="V755" s="517">
        <f>+P755*R755+L755*N755+F755*H755</f>
        <v>0</v>
      </c>
      <c r="W755" s="1101">
        <f>IF((-P755*R755)-(-P755*S755)&gt;0,(-P755*R755)-(-P755*S755),0)</f>
        <v>0</v>
      </c>
      <c r="X755" s="1102">
        <f>IF((-P755*R755)-(-P755*S755)&lt;0,(-P755*R755)-(-P755*S755),0)</f>
        <v>0</v>
      </c>
      <c r="Y755" s="519"/>
      <c r="AA755" s="199"/>
      <c r="AB755" s="561"/>
      <c r="AC755" s="561"/>
      <c r="AD755" s="561"/>
      <c r="AE755" s="561"/>
      <c r="AF755" s="561"/>
      <c r="AG755" s="561"/>
      <c r="AH755" s="561"/>
      <c r="AI755" s="561"/>
      <c r="AJ755" s="561"/>
      <c r="AK755" s="561"/>
      <c r="AL755" s="1542"/>
      <c r="AM755" s="561"/>
      <c r="AN755" s="561"/>
      <c r="AO755" s="561"/>
      <c r="AP755" s="561"/>
      <c r="AQ755" s="561"/>
      <c r="AR755" s="561"/>
      <c r="AS755" s="561"/>
      <c r="AT755" s="561"/>
      <c r="AU755" s="561"/>
      <c r="AV755" s="561"/>
      <c r="AW755" s="561"/>
      <c r="AX755" s="561"/>
      <c r="AY755" s="561"/>
      <c r="AZ755" s="561"/>
      <c r="BA755" s="561"/>
      <c r="BB755" s="561"/>
      <c r="BC755" s="561"/>
      <c r="BD755" s="561"/>
      <c r="BE755" s="561"/>
      <c r="BF755" s="561"/>
      <c r="BG755" s="561"/>
      <c r="BH755" s="561"/>
      <c r="BI755" s="561"/>
      <c r="BJ755" s="561"/>
      <c r="BK755" s="561"/>
      <c r="BL755" s="561"/>
      <c r="BM755" s="561"/>
      <c r="BN755" s="561"/>
      <c r="BO755" s="561"/>
      <c r="BP755" s="561"/>
      <c r="BQ755" s="561"/>
      <c r="BR755" s="561"/>
      <c r="BS755" s="561"/>
      <c r="BT755" s="561"/>
      <c r="BU755" s="561"/>
      <c r="BV755" s="561"/>
      <c r="BW755" s="561"/>
      <c r="BX755" s="561"/>
      <c r="BY755" s="561"/>
      <c r="BZ755" s="561"/>
      <c r="CA755" s="561"/>
      <c r="CB755" s="737"/>
      <c r="CC755" s="737"/>
      <c r="CD755" s="737"/>
      <c r="CE755" s="737"/>
      <c r="CF755" s="737"/>
      <c r="CG755" s="737"/>
      <c r="CH755" s="737"/>
      <c r="CI755" s="737"/>
      <c r="CJ755" s="737"/>
      <c r="CK755" s="737"/>
      <c r="CL755" s="737"/>
      <c r="CM755" s="737"/>
      <c r="CN755" s="737"/>
      <c r="CO755" s="737"/>
      <c r="CP755" s="737"/>
      <c r="CQ755" s="737"/>
      <c r="CR755" s="737"/>
      <c r="CS755" s="737"/>
      <c r="CT755" s="737"/>
      <c r="CU755" s="737"/>
      <c r="CV755" s="737"/>
      <c r="CW755" s="737"/>
      <c r="CX755" s="737"/>
      <c r="CY755" s="737"/>
      <c r="CZ755" s="737"/>
      <c r="DA755" s="737"/>
      <c r="DB755" s="737"/>
      <c r="DC755" s="737"/>
      <c r="DD755" s="737"/>
      <c r="DE755" s="737"/>
      <c r="DF755" s="737"/>
      <c r="DG755" s="737"/>
      <c r="DH755" s="737"/>
      <c r="DI755" s="737"/>
      <c r="DJ755" s="737"/>
      <c r="DK755" s="737"/>
      <c r="DL755" s="737"/>
      <c r="DM755" s="737"/>
      <c r="DN755" s="737"/>
      <c r="DO755" s="737"/>
      <c r="DP755" s="737"/>
    </row>
    <row r="756" spans="1:120" ht="16.5" collapsed="1" thickBot="1">
      <c r="A756" s="62" t="s">
        <v>237</v>
      </c>
      <c r="B756" s="63"/>
      <c r="C756" s="64"/>
      <c r="D756" s="1473"/>
      <c r="E756" s="1474"/>
      <c r="F756" s="66">
        <f>SUM(F752:F755)</f>
        <v>0</v>
      </c>
      <c r="G756" s="1253"/>
      <c r="H756" s="67"/>
      <c r="I756" s="68">
        <f>SUM(I752:I755)</f>
        <v>0</v>
      </c>
      <c r="J756" s="1376"/>
      <c r="K756" s="76"/>
      <c r="L756" s="69">
        <f>SUM(L752:L755)</f>
        <v>0</v>
      </c>
      <c r="M756" s="168"/>
      <c r="N756" s="70"/>
      <c r="O756" s="71">
        <f>SUM(O752:O755)</f>
        <v>0</v>
      </c>
      <c r="P756" s="72">
        <f>SUM(P752:P755)</f>
        <v>0</v>
      </c>
      <c r="Q756" s="1339"/>
      <c r="R756" s="73"/>
      <c r="S756" s="73"/>
      <c r="T756" s="96">
        <f>SUM(T752:T755)</f>
        <v>0</v>
      </c>
      <c r="U756" s="173">
        <f>SUM(U752:U755)</f>
        <v>0</v>
      </c>
      <c r="V756" s="76">
        <f>SUM(V752:V755)</f>
        <v>0</v>
      </c>
      <c r="W756" s="97">
        <f>SUM(W752:W755)</f>
        <v>0</v>
      </c>
      <c r="X756" s="98">
        <f>SUM(X752:X755)</f>
        <v>0</v>
      </c>
      <c r="Y756" s="43"/>
      <c r="AA756" s="192">
        <f t="shared" ref="AA756:BD756" ca="1" si="2091">SUM(AA750:AA755)</f>
        <v>6.9849193096160889E-10</v>
      </c>
      <c r="AB756" s="193">
        <f t="shared" ca="1" si="2091"/>
        <v>0</v>
      </c>
      <c r="AC756" s="193">
        <f t="shared" ca="1" si="2091"/>
        <v>-2.3283064365386963E-10</v>
      </c>
      <c r="AD756" s="193">
        <f t="shared" ca="1" si="2091"/>
        <v>0</v>
      </c>
      <c r="AE756" s="193">
        <f t="shared" ca="1" si="2091"/>
        <v>0</v>
      </c>
      <c r="AF756" s="193">
        <f t="shared" ca="1" si="2091"/>
        <v>0</v>
      </c>
      <c r="AG756" s="193">
        <f t="shared" ca="1" si="2091"/>
        <v>0</v>
      </c>
      <c r="AH756" s="193">
        <f t="shared" ca="1" si="2091"/>
        <v>0</v>
      </c>
      <c r="AI756" s="193">
        <f t="shared" ca="1" si="2091"/>
        <v>-5.8207660913467407E-10</v>
      </c>
      <c r="AJ756" s="193">
        <f t="shared" ca="1" si="2091"/>
        <v>0</v>
      </c>
      <c r="AK756" s="193">
        <f t="shared" ca="1" si="2091"/>
        <v>0</v>
      </c>
      <c r="AL756" s="193">
        <f t="shared" ca="1" si="2091"/>
        <v>0</v>
      </c>
      <c r="AM756" s="193">
        <f t="shared" ca="1" si="2091"/>
        <v>0</v>
      </c>
      <c r="AN756" s="193">
        <f t="shared" ca="1" si="2091"/>
        <v>0</v>
      </c>
      <c r="AO756" s="193">
        <f t="shared" ca="1" si="2091"/>
        <v>0</v>
      </c>
      <c r="AP756" s="193">
        <f t="shared" ca="1" si="2091"/>
        <v>0</v>
      </c>
      <c r="AQ756" s="193">
        <f t="shared" ca="1" si="2091"/>
        <v>0</v>
      </c>
      <c r="AR756" s="193">
        <f t="shared" ca="1" si="2091"/>
        <v>0</v>
      </c>
      <c r="AS756" s="193">
        <f t="shared" ca="1" si="2091"/>
        <v>0</v>
      </c>
      <c r="AT756" s="193">
        <f t="shared" ca="1" si="2091"/>
        <v>0</v>
      </c>
      <c r="AU756" s="193">
        <f t="shared" ca="1" si="2091"/>
        <v>0</v>
      </c>
      <c r="AV756" s="193">
        <f t="shared" ca="1" si="2091"/>
        <v>2.3283064365386963E-10</v>
      </c>
      <c r="AW756" s="193">
        <f t="shared" ca="1" si="2091"/>
        <v>2.3283064365386963E-10</v>
      </c>
      <c r="AX756" s="193">
        <f t="shared" ca="1" si="2091"/>
        <v>0</v>
      </c>
      <c r="AY756" s="193">
        <f t="shared" ca="1" si="2091"/>
        <v>0</v>
      </c>
      <c r="AZ756" s="193">
        <f t="shared" ca="1" si="2091"/>
        <v>0</v>
      </c>
      <c r="BA756" s="193">
        <f t="shared" ca="1" si="2091"/>
        <v>2481654.2199999997</v>
      </c>
      <c r="BB756" s="193">
        <f t="shared" ca="1" si="2091"/>
        <v>11818681.52</v>
      </c>
      <c r="BC756" s="193">
        <f t="shared" ca="1" si="2091"/>
        <v>23716111.969999999</v>
      </c>
      <c r="BD756" s="193">
        <f t="shared" ca="1" si="2091"/>
        <v>0</v>
      </c>
      <c r="BE756" s="193">
        <f t="shared" ref="BE756:CG756" ca="1" si="2092">SUM(BE750:BE755)</f>
        <v>0</v>
      </c>
      <c r="BF756" s="193">
        <f t="shared" ca="1" si="2092"/>
        <v>0</v>
      </c>
      <c r="BG756" s="193">
        <f t="shared" ca="1" si="2092"/>
        <v>0</v>
      </c>
      <c r="BH756" s="193">
        <f t="shared" ca="1" si="2092"/>
        <v>0</v>
      </c>
      <c r="BI756" s="193">
        <f t="shared" ca="1" si="2092"/>
        <v>0</v>
      </c>
      <c r="BJ756" s="193">
        <f t="shared" ca="1" si="2092"/>
        <v>0</v>
      </c>
      <c r="BK756" s="193">
        <f t="shared" ca="1" si="2092"/>
        <v>0</v>
      </c>
      <c r="BL756" s="193">
        <f t="shared" ca="1" si="2092"/>
        <v>0</v>
      </c>
      <c r="BM756" s="193">
        <f t="shared" ca="1" si="2092"/>
        <v>0</v>
      </c>
      <c r="BN756" s="193">
        <f t="shared" ca="1" si="2092"/>
        <v>0</v>
      </c>
      <c r="BO756" s="193">
        <f t="shared" ca="1" si="2092"/>
        <v>0</v>
      </c>
      <c r="BP756" s="193">
        <f t="shared" ca="1" si="2092"/>
        <v>0</v>
      </c>
      <c r="BQ756" s="193">
        <f t="shared" ca="1" si="2092"/>
        <v>0</v>
      </c>
      <c r="BR756" s="193">
        <f t="shared" ca="1" si="2092"/>
        <v>0</v>
      </c>
      <c r="BS756" s="193">
        <f t="shared" ca="1" si="2092"/>
        <v>0</v>
      </c>
      <c r="BT756" s="193">
        <f t="shared" ca="1" si="2092"/>
        <v>0</v>
      </c>
      <c r="BU756" s="193">
        <f t="shared" ca="1" si="2092"/>
        <v>0</v>
      </c>
      <c r="BV756" s="193">
        <f t="shared" si="2092"/>
        <v>0</v>
      </c>
      <c r="BW756" s="193">
        <f t="shared" si="2092"/>
        <v>0</v>
      </c>
      <c r="BX756" s="193">
        <f t="shared" si="2092"/>
        <v>0</v>
      </c>
      <c r="BY756" s="193">
        <f t="shared" si="2092"/>
        <v>0</v>
      </c>
      <c r="BZ756" s="193">
        <f t="shared" si="2092"/>
        <v>0</v>
      </c>
      <c r="CA756" s="193">
        <f t="shared" si="2092"/>
        <v>0</v>
      </c>
      <c r="CB756" s="207">
        <f t="shared" si="2092"/>
        <v>0</v>
      </c>
      <c r="CC756" s="207">
        <f t="shared" si="2092"/>
        <v>0</v>
      </c>
      <c r="CD756" s="207">
        <f t="shared" si="2092"/>
        <v>0</v>
      </c>
      <c r="CE756" s="207">
        <f t="shared" si="2092"/>
        <v>0</v>
      </c>
      <c r="CF756" s="207">
        <f t="shared" si="2092"/>
        <v>0</v>
      </c>
      <c r="CG756" s="207">
        <f t="shared" si="2092"/>
        <v>0</v>
      </c>
      <c r="CH756" s="207">
        <f t="shared" ref="CH756:DM756" si="2093">SUM(CH750:CH755)</f>
        <v>0</v>
      </c>
      <c r="CI756" s="207">
        <f t="shared" si="2093"/>
        <v>0</v>
      </c>
      <c r="CJ756" s="207">
        <f t="shared" si="2093"/>
        <v>0</v>
      </c>
      <c r="CK756" s="207">
        <f t="shared" si="2093"/>
        <v>0</v>
      </c>
      <c r="CL756" s="207">
        <f t="shared" si="2093"/>
        <v>0</v>
      </c>
      <c r="CM756" s="207">
        <f t="shared" si="2093"/>
        <v>0</v>
      </c>
      <c r="CN756" s="207">
        <f t="shared" si="2093"/>
        <v>0</v>
      </c>
      <c r="CO756" s="207">
        <f t="shared" si="2093"/>
        <v>0</v>
      </c>
      <c r="CP756" s="207">
        <f t="shared" si="2093"/>
        <v>0</v>
      </c>
      <c r="CQ756" s="207">
        <f t="shared" si="2093"/>
        <v>0</v>
      </c>
      <c r="CR756" s="207">
        <f t="shared" si="2093"/>
        <v>0</v>
      </c>
      <c r="CS756" s="207">
        <f t="shared" si="2093"/>
        <v>0</v>
      </c>
      <c r="CT756" s="207">
        <f t="shared" si="2093"/>
        <v>0</v>
      </c>
      <c r="CU756" s="207">
        <f t="shared" si="2093"/>
        <v>0</v>
      </c>
      <c r="CV756" s="207">
        <f t="shared" si="2093"/>
        <v>0</v>
      </c>
      <c r="CW756" s="207">
        <f t="shared" si="2093"/>
        <v>0</v>
      </c>
      <c r="CX756" s="207">
        <f t="shared" si="2093"/>
        <v>0</v>
      </c>
      <c r="CY756" s="207">
        <f t="shared" si="2093"/>
        <v>0</v>
      </c>
      <c r="CZ756" s="207">
        <f t="shared" si="2093"/>
        <v>0</v>
      </c>
      <c r="DA756" s="207">
        <f t="shared" si="2093"/>
        <v>0</v>
      </c>
      <c r="DB756" s="207">
        <f t="shared" si="2093"/>
        <v>0</v>
      </c>
      <c r="DC756" s="207">
        <f t="shared" si="2093"/>
        <v>0</v>
      </c>
      <c r="DD756" s="207">
        <f t="shared" si="2093"/>
        <v>0</v>
      </c>
      <c r="DE756" s="207">
        <f t="shared" si="2093"/>
        <v>0</v>
      </c>
      <c r="DF756" s="207">
        <f t="shared" si="2093"/>
        <v>0</v>
      </c>
      <c r="DG756" s="207">
        <f t="shared" si="2093"/>
        <v>0</v>
      </c>
      <c r="DH756" s="207">
        <f t="shared" si="2093"/>
        <v>0</v>
      </c>
      <c r="DI756" s="207">
        <f t="shared" si="2093"/>
        <v>0</v>
      </c>
      <c r="DJ756" s="207">
        <f t="shared" si="2093"/>
        <v>0</v>
      </c>
      <c r="DK756" s="207">
        <f t="shared" si="2093"/>
        <v>0</v>
      </c>
      <c r="DL756" s="207">
        <f t="shared" si="2093"/>
        <v>0</v>
      </c>
      <c r="DM756" s="207">
        <f t="shared" si="2093"/>
        <v>0</v>
      </c>
      <c r="DN756" s="207">
        <f t="shared" ref="DN756:DO756" si="2094">SUM(DN750:DN755)</f>
        <v>0</v>
      </c>
      <c r="DO756" s="207">
        <f t="shared" si="2094"/>
        <v>0</v>
      </c>
      <c r="DP756" s="207">
        <f t="shared" ref="DP756" si="2095">SUM(DP750:DP755)</f>
        <v>0</v>
      </c>
    </row>
    <row r="757" spans="1:120" ht="15.75" thickBot="1"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  <c r="CD757" s="24"/>
      <c r="CE757" s="24"/>
      <c r="CF757" s="24"/>
      <c r="CG757" s="24"/>
      <c r="CH757" s="24"/>
      <c r="CI757" s="24"/>
      <c r="CJ757" s="24"/>
      <c r="CK757" s="24"/>
      <c r="CL757" s="24"/>
      <c r="CM757" s="24"/>
      <c r="CN757" s="24"/>
      <c r="CO757" s="24"/>
      <c r="CP757" s="24"/>
      <c r="CQ757" s="24"/>
      <c r="CR757" s="24"/>
      <c r="CS757" s="24"/>
      <c r="CT757" s="24"/>
      <c r="CU757" s="24"/>
      <c r="CV757" s="24"/>
      <c r="CW757" s="24"/>
      <c r="CX757" s="24"/>
      <c r="CY757" s="24"/>
      <c r="CZ757" s="24"/>
      <c r="DA757" s="24"/>
      <c r="DB757" s="24"/>
      <c r="DC757" s="24"/>
      <c r="DD757" s="24"/>
      <c r="DE757" s="24"/>
      <c r="DF757" s="24"/>
      <c r="DG757" s="24"/>
      <c r="DH757" s="24"/>
      <c r="DI757" s="24"/>
      <c r="DJ757" s="24"/>
      <c r="DK757" s="24"/>
      <c r="DL757" s="24"/>
      <c r="DM757" s="24"/>
      <c r="DN757" s="24"/>
      <c r="DO757" s="24"/>
      <c r="DP757" s="24"/>
    </row>
    <row r="758" spans="1:120" s="182" customFormat="1" ht="19.5" thickBot="1">
      <c r="A758" s="667" t="s">
        <v>82</v>
      </c>
      <c r="B758" s="668"/>
      <c r="C758" s="669"/>
      <c r="D758" s="669"/>
      <c r="E758" s="670"/>
      <c r="F758" s="671">
        <f>+F602+F590+F628+F640+F756+F750+F735+F727+F719+F691+F685+F660+SUM(F564:F566)</f>
        <v>567503.60999999975</v>
      </c>
      <c r="G758" s="671"/>
      <c r="H758" s="672"/>
      <c r="I758" s="673">
        <f>+I602+I590+I628+I640+I756+I750+I735+I727+I719+I691+I685+I660+SUM(I564:I566)</f>
        <v>2775278652.0363989</v>
      </c>
      <c r="J758" s="673"/>
      <c r="K758" s="673"/>
      <c r="L758" s="671">
        <f>+L602+L590+L628+L640+L756+L750+L735+L727+L719+L691+L685+L660+SUM(L564:L566)</f>
        <v>137344673.62</v>
      </c>
      <c r="M758" s="671"/>
      <c r="N758" s="672"/>
      <c r="O758" s="673">
        <f ca="1">+O602+O590+O628+O640+O756+O750+O735+O727+O719+O691+O685+O660+SUM(O564:O566)</f>
        <v>636802654689.08643</v>
      </c>
      <c r="P758" s="671">
        <f>+P602+P590+P628+P640+P756+P750+P735+P727+P719+P691+P685+P660+SUM(P564:P566)</f>
        <v>-99895729.519999996</v>
      </c>
      <c r="Q758" s="671"/>
      <c r="R758" s="672"/>
      <c r="S758" s="672"/>
      <c r="T758" s="673">
        <f ca="1">+T602+T590+T628+T640+T756+T750+T735+T727+T719+T691+T685+T660+SUM(T564:T566)</f>
        <v>-470830737109.78607</v>
      </c>
      <c r="U758" s="671">
        <f>+SUM(U564:U566)+U602+U590+U628+U640+U756+U750+U735+U727+U719+U691+U685+U660</f>
        <v>38016447.709999993</v>
      </c>
      <c r="V758" s="673">
        <f ca="1">+SUM(V564:V566)+V602+V590+V628+V640+V756+V750+V735+V727+V719+V691+V685+V660</f>
        <v>172418485075.79431</v>
      </c>
      <c r="W758" s="673">
        <f ca="1">+W602+W590+W628+W640+W756+W750+W735+W727+W719+W691+W685+W660+SUM(W564:W566)</f>
        <v>1890190901.9876857</v>
      </c>
      <c r="X758" s="673">
        <f ca="1">+X602+X590+X628+X640+X756+X750+X735+X727+X719+X691+X685+X660+SUM(X564:X566)</f>
        <v>-5561479746.4452047</v>
      </c>
      <c r="Y758" s="674"/>
      <c r="Z758" s="1059"/>
      <c r="AA758" s="741">
        <f t="shared" ref="AA758:CF758" ca="1" si="2096">+AA756</f>
        <v>6.9849193096160889E-10</v>
      </c>
      <c r="AB758" s="742">
        <f t="shared" ref="AB758:AG758" ca="1" si="2097">+AB756</f>
        <v>0</v>
      </c>
      <c r="AC758" s="742">
        <f t="shared" ca="1" si="2097"/>
        <v>-2.3283064365386963E-10</v>
      </c>
      <c r="AD758" s="742">
        <f t="shared" ca="1" si="2097"/>
        <v>0</v>
      </c>
      <c r="AE758" s="742">
        <f t="shared" ca="1" si="2097"/>
        <v>0</v>
      </c>
      <c r="AF758" s="742">
        <f t="shared" ca="1" si="2097"/>
        <v>0</v>
      </c>
      <c r="AG758" s="742">
        <f t="shared" ca="1" si="2097"/>
        <v>0</v>
      </c>
      <c r="AH758" s="742">
        <f t="shared" ca="1" si="2096"/>
        <v>0</v>
      </c>
      <c r="AI758" s="742">
        <f t="shared" ref="AI758:AJ758" ca="1" si="2098">+AI756</f>
        <v>-5.8207660913467407E-10</v>
      </c>
      <c r="AJ758" s="742">
        <f t="shared" ca="1" si="2098"/>
        <v>0</v>
      </c>
      <c r="AK758" s="742">
        <f t="shared" ca="1" si="2096"/>
        <v>0</v>
      </c>
      <c r="AL758" s="742">
        <f ca="1">+AL756</f>
        <v>0</v>
      </c>
      <c r="AM758" s="742">
        <f ca="1">+AM756</f>
        <v>0</v>
      </c>
      <c r="AN758" s="742">
        <f t="shared" ca="1" si="2096"/>
        <v>0</v>
      </c>
      <c r="AO758" s="742">
        <f t="shared" ca="1" si="2096"/>
        <v>0</v>
      </c>
      <c r="AP758" s="742">
        <f t="shared" ca="1" si="2096"/>
        <v>0</v>
      </c>
      <c r="AQ758" s="742">
        <f t="shared" ca="1" si="2096"/>
        <v>0</v>
      </c>
      <c r="AR758" s="742">
        <f ca="1">+AR756</f>
        <v>0</v>
      </c>
      <c r="AS758" s="742">
        <f t="shared" ca="1" si="2096"/>
        <v>0</v>
      </c>
      <c r="AT758" s="742">
        <f t="shared" ca="1" si="2096"/>
        <v>0</v>
      </c>
      <c r="AU758" s="742">
        <f t="shared" ca="1" si="2096"/>
        <v>0</v>
      </c>
      <c r="AV758" s="742">
        <f ca="1">+AV756</f>
        <v>2.3283064365386963E-10</v>
      </c>
      <c r="AW758" s="742">
        <f t="shared" ca="1" si="2096"/>
        <v>2.3283064365386963E-10</v>
      </c>
      <c r="AX758" s="742">
        <f ca="1">+AX756</f>
        <v>0</v>
      </c>
      <c r="AY758" s="742">
        <f t="shared" ca="1" si="2096"/>
        <v>0</v>
      </c>
      <c r="AZ758" s="742">
        <f t="shared" ca="1" si="2096"/>
        <v>0</v>
      </c>
      <c r="BA758" s="742">
        <f t="shared" ca="1" si="2096"/>
        <v>2481654.2199999997</v>
      </c>
      <c r="BB758" s="742">
        <f t="shared" ca="1" si="2096"/>
        <v>11818681.52</v>
      </c>
      <c r="BC758" s="742">
        <f t="shared" ca="1" si="2096"/>
        <v>23716111.969999999</v>
      </c>
      <c r="BD758" s="742">
        <f t="shared" ca="1" si="2096"/>
        <v>0</v>
      </c>
      <c r="BE758" s="742">
        <f t="shared" ca="1" si="2096"/>
        <v>0</v>
      </c>
      <c r="BF758" s="742">
        <f t="shared" ca="1" si="2096"/>
        <v>0</v>
      </c>
      <c r="BG758" s="742">
        <f t="shared" ca="1" si="2096"/>
        <v>0</v>
      </c>
      <c r="BH758" s="742">
        <f t="shared" ca="1" si="2096"/>
        <v>0</v>
      </c>
      <c r="BI758" s="742">
        <f t="shared" ca="1" si="2096"/>
        <v>0</v>
      </c>
      <c r="BJ758" s="742">
        <f t="shared" ca="1" si="2096"/>
        <v>0</v>
      </c>
      <c r="BK758" s="742">
        <f t="shared" ca="1" si="2096"/>
        <v>0</v>
      </c>
      <c r="BL758" s="742">
        <f t="shared" ca="1" si="2096"/>
        <v>0</v>
      </c>
      <c r="BM758" s="742">
        <f t="shared" ca="1" si="2096"/>
        <v>0</v>
      </c>
      <c r="BN758" s="742">
        <f t="shared" ref="BN758:BO758" ca="1" si="2099">+BN756</f>
        <v>0</v>
      </c>
      <c r="BO758" s="742">
        <f t="shared" ca="1" si="2099"/>
        <v>0</v>
      </c>
      <c r="BP758" s="742">
        <f t="shared" ref="BP758:BQ758" ca="1" si="2100">+BP756</f>
        <v>0</v>
      </c>
      <c r="BQ758" s="742">
        <f t="shared" ca="1" si="2100"/>
        <v>0</v>
      </c>
      <c r="BR758" s="742">
        <f t="shared" ca="1" si="2096"/>
        <v>0</v>
      </c>
      <c r="BS758" s="742">
        <f t="shared" ca="1" si="2096"/>
        <v>0</v>
      </c>
      <c r="BT758" s="742">
        <f t="shared" ca="1" si="2096"/>
        <v>0</v>
      </c>
      <c r="BU758" s="742">
        <f t="shared" ca="1" si="2096"/>
        <v>0</v>
      </c>
      <c r="BV758" s="742">
        <f t="shared" si="2096"/>
        <v>0</v>
      </c>
      <c r="BW758" s="742">
        <f t="shared" si="2096"/>
        <v>0</v>
      </c>
      <c r="BX758" s="742">
        <f t="shared" si="2096"/>
        <v>0</v>
      </c>
      <c r="BY758" s="742">
        <f t="shared" si="2096"/>
        <v>0</v>
      </c>
      <c r="BZ758" s="742">
        <f t="shared" si="2096"/>
        <v>0</v>
      </c>
      <c r="CA758" s="742">
        <f t="shared" si="2096"/>
        <v>0</v>
      </c>
      <c r="CB758" s="743">
        <f t="shared" si="2096"/>
        <v>0</v>
      </c>
      <c r="CC758" s="743">
        <f t="shared" si="2096"/>
        <v>0</v>
      </c>
      <c r="CD758" s="743">
        <f t="shared" si="2096"/>
        <v>0</v>
      </c>
      <c r="CE758" s="743">
        <f t="shared" si="2096"/>
        <v>0</v>
      </c>
      <c r="CF758" s="743">
        <f t="shared" si="2096"/>
        <v>0</v>
      </c>
      <c r="CG758" s="743">
        <f t="shared" ref="CG758:DK758" si="2101">+CG756</f>
        <v>0</v>
      </c>
      <c r="CH758" s="743">
        <f t="shared" si="2101"/>
        <v>0</v>
      </c>
      <c r="CI758" s="743">
        <f t="shared" si="2101"/>
        <v>0</v>
      </c>
      <c r="CJ758" s="743">
        <f t="shared" si="2101"/>
        <v>0</v>
      </c>
      <c r="CK758" s="743">
        <f t="shared" si="2101"/>
        <v>0</v>
      </c>
      <c r="CL758" s="743">
        <f t="shared" si="2101"/>
        <v>0</v>
      </c>
      <c r="CM758" s="743">
        <f t="shared" si="2101"/>
        <v>0</v>
      </c>
      <c r="CN758" s="743">
        <f t="shared" si="2101"/>
        <v>0</v>
      </c>
      <c r="CO758" s="743">
        <f t="shared" si="2101"/>
        <v>0</v>
      </c>
      <c r="CP758" s="743">
        <f t="shared" si="2101"/>
        <v>0</v>
      </c>
      <c r="CQ758" s="743">
        <f t="shared" si="2101"/>
        <v>0</v>
      </c>
      <c r="CR758" s="743">
        <f t="shared" si="2101"/>
        <v>0</v>
      </c>
      <c r="CS758" s="743">
        <f t="shared" si="2101"/>
        <v>0</v>
      </c>
      <c r="CT758" s="743">
        <f t="shared" si="2101"/>
        <v>0</v>
      </c>
      <c r="CU758" s="743">
        <f t="shared" si="2101"/>
        <v>0</v>
      </c>
      <c r="CV758" s="743">
        <f t="shared" si="2101"/>
        <v>0</v>
      </c>
      <c r="CW758" s="743">
        <f t="shared" si="2101"/>
        <v>0</v>
      </c>
      <c r="CX758" s="743">
        <f t="shared" si="2101"/>
        <v>0</v>
      </c>
      <c r="CY758" s="743">
        <f t="shared" si="2101"/>
        <v>0</v>
      </c>
      <c r="CZ758" s="743">
        <f t="shared" si="2101"/>
        <v>0</v>
      </c>
      <c r="DA758" s="743">
        <f t="shared" si="2101"/>
        <v>0</v>
      </c>
      <c r="DB758" s="743">
        <f t="shared" si="2101"/>
        <v>0</v>
      </c>
      <c r="DC758" s="743">
        <f t="shared" si="2101"/>
        <v>0</v>
      </c>
      <c r="DD758" s="743">
        <f t="shared" si="2101"/>
        <v>0</v>
      </c>
      <c r="DE758" s="743">
        <f t="shared" si="2101"/>
        <v>0</v>
      </c>
      <c r="DF758" s="743">
        <f t="shared" si="2101"/>
        <v>0</v>
      </c>
      <c r="DG758" s="743">
        <f t="shared" si="2101"/>
        <v>0</v>
      </c>
      <c r="DH758" s="743">
        <f t="shared" si="2101"/>
        <v>0</v>
      </c>
      <c r="DI758" s="743">
        <f t="shared" si="2101"/>
        <v>0</v>
      </c>
      <c r="DJ758" s="743">
        <f t="shared" si="2101"/>
        <v>0</v>
      </c>
      <c r="DK758" s="743">
        <f t="shared" si="2101"/>
        <v>0</v>
      </c>
      <c r="DL758" s="743">
        <f>+DL756</f>
        <v>0</v>
      </c>
      <c r="DM758" s="743">
        <f>+DM756</f>
        <v>0</v>
      </c>
      <c r="DN758" s="743">
        <f>+DN756</f>
        <v>0</v>
      </c>
      <c r="DO758" s="743">
        <f>+DO756</f>
        <v>0</v>
      </c>
      <c r="DP758" s="743">
        <f>+DP756</f>
        <v>0</v>
      </c>
    </row>
    <row r="759" spans="1:120" s="4" customFormat="1" ht="15.75" thickBot="1">
      <c r="C759" s="148"/>
      <c r="D759" s="148"/>
      <c r="E759" s="149"/>
      <c r="F759" s="150"/>
      <c r="G759" s="150"/>
      <c r="H759" s="208"/>
      <c r="I759" s="152"/>
      <c r="J759" s="1385"/>
      <c r="K759" s="1385"/>
      <c r="L759" s="153"/>
      <c r="M759" s="153"/>
      <c r="N759" s="154"/>
      <c r="O759" s="152"/>
      <c r="P759" s="150"/>
      <c r="Q759" s="150"/>
      <c r="R759" s="155"/>
      <c r="S759" s="154"/>
      <c r="T759" s="156"/>
      <c r="U759" s="157">
        <f>38016447.47-U758</f>
        <v>-0.23999999463558197</v>
      </c>
      <c r="V759" s="44">
        <f ca="1">V758-(BA758*BA6+BB758*BB6+BC758*BC6)</f>
        <v>0</v>
      </c>
      <c r="W759" s="158"/>
      <c r="X759" s="152"/>
      <c r="Y759" s="345"/>
      <c r="Z759" s="14"/>
      <c r="AA759" s="24"/>
      <c r="AB759" s="24"/>
      <c r="AC759" s="24"/>
      <c r="AD759" s="24"/>
      <c r="AE759" s="24"/>
      <c r="CL759" s="209"/>
      <c r="CM759" s="209">
        <f ca="1">+CM758*CM6</f>
        <v>0</v>
      </c>
      <c r="CP759" s="209"/>
    </row>
    <row r="760" spans="1:120" ht="15.75" thickBot="1">
      <c r="A760" s="4"/>
      <c r="B760" s="4"/>
      <c r="C760" s="148"/>
      <c r="D760" s="148"/>
      <c r="E760" s="149"/>
      <c r="F760" s="150"/>
      <c r="G760" s="150"/>
      <c r="H760" s="151"/>
      <c r="I760" s="152"/>
      <c r="J760" s="1385"/>
      <c r="K760" s="1385"/>
      <c r="L760" s="153"/>
      <c r="M760" s="153"/>
      <c r="N760" s="154"/>
      <c r="O760" s="152"/>
      <c r="P760" s="150"/>
      <c r="Q760" s="150"/>
      <c r="R760" s="155"/>
      <c r="S760" s="154"/>
      <c r="T760" s="156"/>
      <c r="U760" s="1632"/>
      <c r="V760" s="1633"/>
      <c r="W760" s="158"/>
      <c r="X760" s="152"/>
      <c r="Y760" s="148"/>
      <c r="AA760" s="497">
        <f t="shared" ref="AA760:BF760" si="2102">+AA5</f>
        <v>44918</v>
      </c>
      <c r="AB760" s="612">
        <f t="shared" si="2102"/>
        <v>44922</v>
      </c>
      <c r="AC760" s="612">
        <f t="shared" si="2102"/>
        <v>44866</v>
      </c>
      <c r="AD760" s="612">
        <f t="shared" si="2102"/>
        <v>44896</v>
      </c>
      <c r="AE760" s="2331">
        <f t="shared" si="2102"/>
        <v>44802</v>
      </c>
      <c r="AF760" s="683">
        <f t="shared" si="2102"/>
        <v>44927</v>
      </c>
      <c r="AG760" s="683">
        <f t="shared" si="2102"/>
        <v>44929</v>
      </c>
      <c r="AH760" s="683">
        <f t="shared" si="2102"/>
        <v>44931</v>
      </c>
      <c r="AI760" s="683">
        <f t="shared" si="2102"/>
        <v>44938</v>
      </c>
      <c r="AJ760" s="683">
        <f t="shared" si="2102"/>
        <v>44943</v>
      </c>
      <c r="AK760" s="683">
        <f t="shared" si="2102"/>
        <v>44953</v>
      </c>
      <c r="AL760" s="683">
        <f t="shared" si="2102"/>
        <v>44956</v>
      </c>
      <c r="AM760" s="683">
        <f t="shared" si="2102"/>
        <v>44957</v>
      </c>
      <c r="AN760" s="683">
        <f t="shared" si="2102"/>
        <v>44958</v>
      </c>
      <c r="AO760" s="683">
        <f t="shared" si="2102"/>
        <v>44981</v>
      </c>
      <c r="AP760" s="683">
        <f t="shared" si="2102"/>
        <v>44984</v>
      </c>
      <c r="AQ760" s="683">
        <f t="shared" si="2102"/>
        <v>44985</v>
      </c>
      <c r="AR760" s="683">
        <f t="shared" si="2102"/>
        <v>44986</v>
      </c>
      <c r="AS760" s="683">
        <f t="shared" si="2102"/>
        <v>44987</v>
      </c>
      <c r="AT760" s="683">
        <f t="shared" si="2102"/>
        <v>44991</v>
      </c>
      <c r="AU760" s="683">
        <f t="shared" si="2102"/>
        <v>44993</v>
      </c>
      <c r="AV760" s="683">
        <f t="shared" si="2102"/>
        <v>45009</v>
      </c>
      <c r="AW760" s="683">
        <f t="shared" si="2102"/>
        <v>45014</v>
      </c>
      <c r="AX760" s="683">
        <f t="shared" si="2102"/>
        <v>45016</v>
      </c>
      <c r="AY760" s="683">
        <f t="shared" si="2102"/>
        <v>45017</v>
      </c>
      <c r="AZ760" s="683">
        <f t="shared" si="2102"/>
        <v>45019</v>
      </c>
      <c r="BA760" s="683">
        <f t="shared" si="2102"/>
        <v>45020</v>
      </c>
      <c r="BB760" s="683">
        <f t="shared" si="2102"/>
        <v>45042</v>
      </c>
      <c r="BC760" s="683">
        <f t="shared" si="2102"/>
        <v>45043</v>
      </c>
      <c r="BD760" s="683">
        <f t="shared" si="2102"/>
        <v>45046</v>
      </c>
      <c r="BE760" s="683">
        <f t="shared" si="2102"/>
        <v>0</v>
      </c>
      <c r="BF760" s="683">
        <f t="shared" si="2102"/>
        <v>0</v>
      </c>
      <c r="BG760" s="683">
        <f t="shared" ref="BG760:CL760" si="2103">+BG5</f>
        <v>0</v>
      </c>
      <c r="BH760" s="683">
        <f t="shared" si="2103"/>
        <v>0</v>
      </c>
      <c r="BI760" s="683">
        <f t="shared" si="2103"/>
        <v>0</v>
      </c>
      <c r="BJ760" s="683">
        <f t="shared" si="2103"/>
        <v>0</v>
      </c>
      <c r="BK760" s="683">
        <f t="shared" si="2103"/>
        <v>0</v>
      </c>
      <c r="BL760" s="683">
        <f t="shared" si="2103"/>
        <v>0</v>
      </c>
      <c r="BM760" s="683">
        <f t="shared" si="2103"/>
        <v>0</v>
      </c>
      <c r="BN760" s="683">
        <f t="shared" si="2103"/>
        <v>0</v>
      </c>
      <c r="BO760" s="683">
        <f t="shared" si="2103"/>
        <v>0</v>
      </c>
      <c r="BP760" s="683">
        <f t="shared" si="2103"/>
        <v>0</v>
      </c>
      <c r="BQ760" s="683">
        <f t="shared" si="2103"/>
        <v>0</v>
      </c>
      <c r="BR760" s="683">
        <f t="shared" si="2103"/>
        <v>0</v>
      </c>
      <c r="BS760" s="683">
        <f t="shared" si="2103"/>
        <v>0</v>
      </c>
      <c r="BT760" s="683">
        <f t="shared" si="2103"/>
        <v>0</v>
      </c>
      <c r="BU760" s="683">
        <f t="shared" si="2103"/>
        <v>0</v>
      </c>
      <c r="BV760" s="683">
        <f t="shared" si="2103"/>
        <v>0</v>
      </c>
      <c r="BW760" s="683">
        <f t="shared" si="2103"/>
        <v>0</v>
      </c>
      <c r="BX760" s="683">
        <f t="shared" si="2103"/>
        <v>0</v>
      </c>
      <c r="BY760" s="683">
        <f t="shared" si="2103"/>
        <v>0</v>
      </c>
      <c r="BZ760" s="683">
        <f t="shared" si="2103"/>
        <v>0</v>
      </c>
      <c r="CA760" s="683">
        <f t="shared" si="2103"/>
        <v>0</v>
      </c>
      <c r="CB760" s="683">
        <f t="shared" si="2103"/>
        <v>0</v>
      </c>
      <c r="CC760" s="683">
        <f t="shared" si="2103"/>
        <v>0</v>
      </c>
      <c r="CD760" s="683">
        <f t="shared" si="2103"/>
        <v>0</v>
      </c>
      <c r="CE760" s="683">
        <f t="shared" si="2103"/>
        <v>0</v>
      </c>
      <c r="CF760" s="683">
        <f t="shared" si="2103"/>
        <v>0</v>
      </c>
      <c r="CG760" s="683">
        <f t="shared" si="2103"/>
        <v>0</v>
      </c>
      <c r="CH760" s="683">
        <f t="shared" si="2103"/>
        <v>0</v>
      </c>
      <c r="CI760" s="683">
        <f t="shared" si="2103"/>
        <v>0</v>
      </c>
      <c r="CJ760" s="683">
        <f t="shared" si="2103"/>
        <v>0</v>
      </c>
      <c r="CK760" s="683">
        <f t="shared" si="2103"/>
        <v>0</v>
      </c>
      <c r="CL760" s="683">
        <f t="shared" si="2103"/>
        <v>0</v>
      </c>
      <c r="CM760" s="683">
        <f t="shared" ref="CM760:DP760" si="2104">+CM5</f>
        <v>0</v>
      </c>
      <c r="CN760" s="683">
        <f t="shared" si="2104"/>
        <v>0</v>
      </c>
      <c r="CO760" s="683">
        <f t="shared" si="2104"/>
        <v>0</v>
      </c>
      <c r="CP760" s="683">
        <f t="shared" si="2104"/>
        <v>0</v>
      </c>
      <c r="CQ760" s="683">
        <f t="shared" si="2104"/>
        <v>0</v>
      </c>
      <c r="CR760" s="683">
        <f t="shared" si="2104"/>
        <v>0</v>
      </c>
      <c r="CS760" s="683">
        <f t="shared" si="2104"/>
        <v>0</v>
      </c>
      <c r="CT760" s="683">
        <f t="shared" si="2104"/>
        <v>0</v>
      </c>
      <c r="CU760" s="683">
        <f t="shared" si="2104"/>
        <v>0</v>
      </c>
      <c r="CV760" s="683">
        <f t="shared" si="2104"/>
        <v>0</v>
      </c>
      <c r="CW760" s="683">
        <f t="shared" si="2104"/>
        <v>0</v>
      </c>
      <c r="CX760" s="683">
        <f t="shared" si="2104"/>
        <v>0</v>
      </c>
      <c r="CY760" s="683">
        <f t="shared" si="2104"/>
        <v>0</v>
      </c>
      <c r="CZ760" s="683">
        <f t="shared" si="2104"/>
        <v>0</v>
      </c>
      <c r="DA760" s="683">
        <f t="shared" si="2104"/>
        <v>0</v>
      </c>
      <c r="DB760" s="683">
        <f t="shared" si="2104"/>
        <v>0</v>
      </c>
      <c r="DC760" s="683">
        <f t="shared" si="2104"/>
        <v>0</v>
      </c>
      <c r="DD760" s="683">
        <f t="shared" si="2104"/>
        <v>0</v>
      </c>
      <c r="DE760" s="683">
        <f t="shared" si="2104"/>
        <v>0</v>
      </c>
      <c r="DF760" s="683">
        <f t="shared" si="2104"/>
        <v>0</v>
      </c>
      <c r="DG760" s="683">
        <f t="shared" si="2104"/>
        <v>0</v>
      </c>
      <c r="DH760" s="683">
        <f t="shared" si="2104"/>
        <v>0</v>
      </c>
      <c r="DI760" s="683">
        <f t="shared" si="2104"/>
        <v>0</v>
      </c>
      <c r="DJ760" s="683">
        <f t="shared" si="2104"/>
        <v>0</v>
      </c>
      <c r="DK760" s="683">
        <f t="shared" si="2104"/>
        <v>0</v>
      </c>
      <c r="DL760" s="683">
        <f t="shared" si="2104"/>
        <v>0</v>
      </c>
      <c r="DM760" s="683">
        <f t="shared" si="2104"/>
        <v>0</v>
      </c>
      <c r="DN760" s="683">
        <f t="shared" si="2104"/>
        <v>0</v>
      </c>
      <c r="DO760" s="683">
        <f t="shared" si="2104"/>
        <v>0</v>
      </c>
      <c r="DP760" s="683">
        <f t="shared" si="2104"/>
        <v>0</v>
      </c>
    </row>
    <row r="761" spans="1:120" s="27" customFormat="1" ht="21">
      <c r="A761" s="500" t="s">
        <v>1462</v>
      </c>
      <c r="B761" s="501"/>
      <c r="C761" s="2558" t="s">
        <v>57</v>
      </c>
      <c r="D761" s="2560" t="s">
        <v>59</v>
      </c>
      <c r="E761" s="2562" t="s">
        <v>58</v>
      </c>
      <c r="F761" s="2564" t="str">
        <f>+F6</f>
        <v>SALDO FISCAL 31/12/2022</v>
      </c>
      <c r="G761" s="2565"/>
      <c r="H761" s="2565"/>
      <c r="I761" s="2566"/>
      <c r="J761" s="2567" t="str">
        <f>+J6</f>
        <v>Tasa Mon Extranj</v>
      </c>
      <c r="K761" s="2568"/>
      <c r="L761" s="2569" t="str">
        <f>+L6</f>
        <v>ENTRADAS</v>
      </c>
      <c r="M761" s="2570"/>
      <c r="N761" s="2570"/>
      <c r="O761" s="2571"/>
      <c r="P761" s="2572" t="str">
        <f>+P6</f>
        <v>SALIDAS</v>
      </c>
      <c r="Q761" s="2573"/>
      <c r="R761" s="2573"/>
      <c r="S761" s="2573"/>
      <c r="T761" s="2574"/>
      <c r="U761" s="2575" t="s">
        <v>62</v>
      </c>
      <c r="V761" s="2576"/>
      <c r="W761" s="2577" t="s">
        <v>63</v>
      </c>
      <c r="X761" s="2578"/>
      <c r="Y761" s="2579"/>
      <c r="Z761" s="14"/>
      <c r="AA761" s="1553">
        <f t="shared" ref="AA761:BF761" ca="1" si="2105">+AA6</f>
        <v>4760.6099999999997</v>
      </c>
      <c r="AB761" s="614">
        <f t="shared" ca="1" si="2105"/>
        <v>4745.04</v>
      </c>
      <c r="AC761" s="614">
        <f t="shared" ca="1" si="2105"/>
        <v>4898.74</v>
      </c>
      <c r="AD761" s="614">
        <f t="shared" ca="1" si="2105"/>
        <v>4815.59</v>
      </c>
      <c r="AE761" s="2332">
        <f t="shared" ca="1" si="2105"/>
        <v>4388.0200000000004</v>
      </c>
      <c r="AF761" s="502">
        <f t="shared" ca="1" si="2105"/>
        <v>4810.2</v>
      </c>
      <c r="AG761" s="502">
        <f t="shared" ca="1" si="2105"/>
        <v>4810.2</v>
      </c>
      <c r="AH761" s="502">
        <f t="shared" ca="1" si="2105"/>
        <v>4924</v>
      </c>
      <c r="AI761" s="502">
        <f t="shared" ca="1" si="2105"/>
        <v>4748.54</v>
      </c>
      <c r="AJ761" s="502">
        <f t="shared" ca="1" si="2105"/>
        <v>4693.99</v>
      </c>
      <c r="AK761" s="502">
        <f t="shared" ca="1" si="2105"/>
        <v>4531.75</v>
      </c>
      <c r="AL761" s="502">
        <f t="shared" ca="1" si="2105"/>
        <v>4548.5</v>
      </c>
      <c r="AM761" s="502">
        <f t="shared" ca="1" si="2105"/>
        <v>4632.2</v>
      </c>
      <c r="AN761" s="502">
        <f t="shared" ca="1" si="2105"/>
        <v>4648.7</v>
      </c>
      <c r="AO761" s="502">
        <f t="shared" ca="1" si="2105"/>
        <v>4853.8999999999996</v>
      </c>
      <c r="AP761" s="502">
        <f t="shared" ca="1" si="2105"/>
        <v>4849.6499999999996</v>
      </c>
      <c r="AQ761" s="502">
        <f t="shared" ca="1" si="2105"/>
        <v>4808.1400000000003</v>
      </c>
      <c r="AR761" s="502">
        <f t="shared" ca="1" si="2105"/>
        <v>4814.1099999999997</v>
      </c>
      <c r="AS761" s="502">
        <f t="shared" ca="1" si="2105"/>
        <v>4848.78</v>
      </c>
      <c r="AT761" s="502">
        <f t="shared" ca="1" si="2105"/>
        <v>4780.8900000000003</v>
      </c>
      <c r="AU761" s="502">
        <f t="shared" ca="1" si="2105"/>
        <v>4744.95</v>
      </c>
      <c r="AV761" s="502">
        <f t="shared" ca="1" si="2105"/>
        <v>4755.12</v>
      </c>
      <c r="AW761" s="502">
        <f t="shared" ca="1" si="2105"/>
        <v>4658.79</v>
      </c>
      <c r="AX761" s="502">
        <f t="shared" ca="1" si="2105"/>
        <v>4627.2700000000004</v>
      </c>
      <c r="AY761" s="502">
        <f t="shared" ca="1" si="2105"/>
        <v>4646.08</v>
      </c>
      <c r="AZ761" s="502">
        <f t="shared" ca="1" si="2105"/>
        <v>4646.08</v>
      </c>
      <c r="BA761" s="502">
        <f t="shared" ca="1" si="2105"/>
        <v>4603</v>
      </c>
      <c r="BB761" s="502">
        <f t="shared" ca="1" si="2105"/>
        <v>4486.6000000000004</v>
      </c>
      <c r="BC761" s="502">
        <f t="shared" ca="1" si="2105"/>
        <v>4552.59</v>
      </c>
      <c r="BD761" s="502">
        <f t="shared" ca="1" si="2105"/>
        <v>4669</v>
      </c>
      <c r="BE761" s="502">
        <f t="shared" ca="1" si="2105"/>
        <v>0</v>
      </c>
      <c r="BF761" s="502">
        <f t="shared" ca="1" si="2105"/>
        <v>0</v>
      </c>
      <c r="BG761" s="502">
        <f t="shared" ref="BG761:CL761" ca="1" si="2106">+BG6</f>
        <v>0</v>
      </c>
      <c r="BH761" s="502">
        <f t="shared" ca="1" si="2106"/>
        <v>0</v>
      </c>
      <c r="BI761" s="502">
        <f t="shared" ca="1" si="2106"/>
        <v>0</v>
      </c>
      <c r="BJ761" s="502">
        <f t="shared" ca="1" si="2106"/>
        <v>0</v>
      </c>
      <c r="BK761" s="502">
        <f t="shared" ca="1" si="2106"/>
        <v>0</v>
      </c>
      <c r="BL761" s="502">
        <f t="shared" ca="1" si="2106"/>
        <v>0</v>
      </c>
      <c r="BM761" s="502">
        <f t="shared" ca="1" si="2106"/>
        <v>0</v>
      </c>
      <c r="BN761" s="502">
        <f t="shared" ca="1" si="2106"/>
        <v>0</v>
      </c>
      <c r="BO761" s="502">
        <f t="shared" ca="1" si="2106"/>
        <v>0</v>
      </c>
      <c r="BP761" s="502">
        <f t="shared" ca="1" si="2106"/>
        <v>0</v>
      </c>
      <c r="BQ761" s="502">
        <f t="shared" ca="1" si="2106"/>
        <v>0</v>
      </c>
      <c r="BR761" s="502">
        <f t="shared" ca="1" si="2106"/>
        <v>0</v>
      </c>
      <c r="BS761" s="502">
        <f t="shared" ca="1" si="2106"/>
        <v>0</v>
      </c>
      <c r="BT761" s="502">
        <f t="shared" ca="1" si="2106"/>
        <v>0</v>
      </c>
      <c r="BU761" s="502">
        <f t="shared" ca="1" si="2106"/>
        <v>0</v>
      </c>
      <c r="BV761" s="502">
        <f t="shared" ca="1" si="2106"/>
        <v>0</v>
      </c>
      <c r="BW761" s="502">
        <f t="shared" ca="1" si="2106"/>
        <v>0</v>
      </c>
      <c r="BX761" s="502">
        <f t="shared" ca="1" si="2106"/>
        <v>0</v>
      </c>
      <c r="BY761" s="502">
        <f t="shared" ca="1" si="2106"/>
        <v>0</v>
      </c>
      <c r="BZ761" s="502">
        <f t="shared" ca="1" si="2106"/>
        <v>0</v>
      </c>
      <c r="CA761" s="502">
        <f t="shared" ca="1" si="2106"/>
        <v>0</v>
      </c>
      <c r="CB761" s="502">
        <f t="shared" ca="1" si="2106"/>
        <v>0</v>
      </c>
      <c r="CC761" s="502">
        <f t="shared" ca="1" si="2106"/>
        <v>0</v>
      </c>
      <c r="CD761" s="502">
        <f t="shared" ca="1" si="2106"/>
        <v>0</v>
      </c>
      <c r="CE761" s="502">
        <f t="shared" ca="1" si="2106"/>
        <v>0</v>
      </c>
      <c r="CF761" s="502">
        <f t="shared" ca="1" si="2106"/>
        <v>0</v>
      </c>
      <c r="CG761" s="502">
        <f t="shared" ca="1" si="2106"/>
        <v>0</v>
      </c>
      <c r="CH761" s="502">
        <f t="shared" ca="1" si="2106"/>
        <v>0</v>
      </c>
      <c r="CI761" s="502">
        <f t="shared" ca="1" si="2106"/>
        <v>0</v>
      </c>
      <c r="CJ761" s="502">
        <f t="shared" ca="1" si="2106"/>
        <v>0</v>
      </c>
      <c r="CK761" s="502">
        <f t="shared" ca="1" si="2106"/>
        <v>0</v>
      </c>
      <c r="CL761" s="502">
        <f t="shared" ca="1" si="2106"/>
        <v>0</v>
      </c>
      <c r="CM761" s="502">
        <f t="shared" ref="CM761:DP761" ca="1" si="2107">+CM6</f>
        <v>0</v>
      </c>
      <c r="CN761" s="502">
        <f t="shared" ca="1" si="2107"/>
        <v>0</v>
      </c>
      <c r="CO761" s="502">
        <f t="shared" ca="1" si="2107"/>
        <v>0</v>
      </c>
      <c r="CP761" s="502">
        <f t="shared" ca="1" si="2107"/>
        <v>0</v>
      </c>
      <c r="CQ761" s="502">
        <f t="shared" ca="1" si="2107"/>
        <v>0</v>
      </c>
      <c r="CR761" s="502">
        <f t="shared" ca="1" si="2107"/>
        <v>0</v>
      </c>
      <c r="CS761" s="502">
        <f t="shared" ca="1" si="2107"/>
        <v>0</v>
      </c>
      <c r="CT761" s="502">
        <f t="shared" ca="1" si="2107"/>
        <v>0</v>
      </c>
      <c r="CU761" s="502">
        <f t="shared" ca="1" si="2107"/>
        <v>0</v>
      </c>
      <c r="CV761" s="502">
        <f t="shared" ca="1" si="2107"/>
        <v>0</v>
      </c>
      <c r="CW761" s="502">
        <f t="shared" ca="1" si="2107"/>
        <v>0</v>
      </c>
      <c r="CX761" s="502">
        <f t="shared" ca="1" si="2107"/>
        <v>0</v>
      </c>
      <c r="CY761" s="502">
        <f t="shared" ca="1" si="2107"/>
        <v>0</v>
      </c>
      <c r="CZ761" s="502">
        <f t="shared" ca="1" si="2107"/>
        <v>0</v>
      </c>
      <c r="DA761" s="502">
        <f t="shared" ca="1" si="2107"/>
        <v>0</v>
      </c>
      <c r="DB761" s="502">
        <f t="shared" ca="1" si="2107"/>
        <v>0</v>
      </c>
      <c r="DC761" s="502">
        <f t="shared" ca="1" si="2107"/>
        <v>0</v>
      </c>
      <c r="DD761" s="502">
        <f t="shared" ca="1" si="2107"/>
        <v>0</v>
      </c>
      <c r="DE761" s="502">
        <f t="shared" ca="1" si="2107"/>
        <v>0</v>
      </c>
      <c r="DF761" s="502">
        <f t="shared" ca="1" si="2107"/>
        <v>0</v>
      </c>
      <c r="DG761" s="502">
        <f t="shared" ca="1" si="2107"/>
        <v>0</v>
      </c>
      <c r="DH761" s="502">
        <f t="shared" ca="1" si="2107"/>
        <v>0</v>
      </c>
      <c r="DI761" s="502">
        <f t="shared" ca="1" si="2107"/>
        <v>0</v>
      </c>
      <c r="DJ761" s="502">
        <f t="shared" ca="1" si="2107"/>
        <v>0</v>
      </c>
      <c r="DK761" s="502">
        <f t="shared" ca="1" si="2107"/>
        <v>0</v>
      </c>
      <c r="DL761" s="502">
        <f t="shared" ca="1" si="2107"/>
        <v>0</v>
      </c>
      <c r="DM761" s="502">
        <f t="shared" ca="1" si="2107"/>
        <v>0</v>
      </c>
      <c r="DN761" s="502">
        <f t="shared" ca="1" si="2107"/>
        <v>0</v>
      </c>
      <c r="DO761" s="502">
        <f t="shared" ca="1" si="2107"/>
        <v>0</v>
      </c>
      <c r="DP761" s="502">
        <f t="shared" ca="1" si="2107"/>
        <v>0</v>
      </c>
    </row>
    <row r="762" spans="1:120" s="27" customFormat="1" ht="15.75" thickBot="1">
      <c r="A762" s="28" t="s">
        <v>45</v>
      </c>
      <c r="B762" s="29" t="s">
        <v>47</v>
      </c>
      <c r="C762" s="2559"/>
      <c r="D762" s="2561"/>
      <c r="E762" s="2563"/>
      <c r="F762" s="30" t="str">
        <f>+F7</f>
        <v>MON/EX</v>
      </c>
      <c r="G762" s="1249" t="str">
        <f>+G7</f>
        <v>USD</v>
      </c>
      <c r="H762" s="31" t="str">
        <f>+H7</f>
        <v>TRM CIERRE</v>
      </c>
      <c r="I762" s="32" t="str">
        <f>+I7</f>
        <v>SALDO PESOS</v>
      </c>
      <c r="J762" s="1423" t="str">
        <f>+J7</f>
        <v>Inicial</v>
      </c>
      <c r="K762" s="1338" t="str">
        <f>+K7</f>
        <v>Pago</v>
      </c>
      <c r="L762" s="33" t="str">
        <f>+L7</f>
        <v>ENTRADAS MON/EX</v>
      </c>
      <c r="M762" s="1297" t="str">
        <f>+M7</f>
        <v>USD</v>
      </c>
      <c r="N762" s="34" t="str">
        <f>+N7</f>
        <v>TRM INICIAL</v>
      </c>
      <c r="O762" s="35" t="str">
        <f>+O7</f>
        <v>ENTRADAS PESOS</v>
      </c>
      <c r="P762" s="36" t="str">
        <f>+P7</f>
        <v>PAGOS MON/EX</v>
      </c>
      <c r="Q762" s="1338" t="str">
        <f>+Q7</f>
        <v>USD</v>
      </c>
      <c r="R762" s="37" t="str">
        <f>+R7</f>
        <v>TRM INICIAL</v>
      </c>
      <c r="S762" s="37" t="str">
        <f>+S7</f>
        <v>TRM PAGO</v>
      </c>
      <c r="T762" s="38" t="str">
        <f>+T7</f>
        <v>PAGO EN PESOS</v>
      </c>
      <c r="U762" s="39" t="s">
        <v>73</v>
      </c>
      <c r="V762" s="40" t="s">
        <v>74</v>
      </c>
      <c r="W762" s="41" t="s">
        <v>75</v>
      </c>
      <c r="X762" s="42" t="s">
        <v>76</v>
      </c>
      <c r="Y762" s="43"/>
      <c r="Z762" s="1055"/>
      <c r="AA762" s="1554" t="s">
        <v>77</v>
      </c>
      <c r="AB762" s="616" t="s">
        <v>77</v>
      </c>
      <c r="AC762" s="616" t="s">
        <v>77</v>
      </c>
      <c r="AD762" s="616" t="s">
        <v>77</v>
      </c>
      <c r="AE762" s="2333" t="s">
        <v>1469</v>
      </c>
      <c r="AF762" s="617" t="s">
        <v>77</v>
      </c>
      <c r="AG762" s="617" t="s">
        <v>77</v>
      </c>
      <c r="AH762" s="617"/>
      <c r="AI762" s="617"/>
      <c r="AJ762" s="617"/>
      <c r="AK762" s="617"/>
      <c r="AL762" s="1570"/>
      <c r="AM762" s="617"/>
      <c r="AN762" s="617"/>
      <c r="AO762" s="617"/>
      <c r="AP762" s="617"/>
      <c r="AQ762" s="617"/>
      <c r="AR762" s="617"/>
      <c r="AS762" s="617"/>
      <c r="AT762" s="617"/>
      <c r="AU762" s="617"/>
      <c r="AV762" s="617"/>
      <c r="AW762" s="617"/>
      <c r="AX762" s="617"/>
      <c r="AY762" s="617"/>
      <c r="AZ762" s="617"/>
      <c r="BA762" s="617"/>
      <c r="BB762" s="617"/>
      <c r="BC762" s="617"/>
      <c r="BD762" s="617"/>
      <c r="BE762" s="617"/>
      <c r="BF762" s="617"/>
      <c r="BG762" s="617"/>
      <c r="BH762" s="617"/>
      <c r="BI762" s="617"/>
      <c r="BJ762" s="617"/>
      <c r="BK762" s="617"/>
      <c r="BL762" s="617"/>
      <c r="BM762" s="617"/>
      <c r="BN762" s="617"/>
      <c r="BO762" s="617"/>
      <c r="BP762" s="617"/>
      <c r="BQ762" s="617"/>
      <c r="BR762" s="617"/>
      <c r="BS762" s="617"/>
      <c r="BT762" s="617"/>
      <c r="BU762" s="617"/>
      <c r="BV762" s="617"/>
      <c r="BW762" s="617"/>
      <c r="BX762" s="617"/>
      <c r="BY762" s="617"/>
      <c r="BZ762" s="617"/>
      <c r="CA762" s="617"/>
      <c r="CB762" s="617"/>
      <c r="CC762" s="617"/>
      <c r="CD762" s="617"/>
      <c r="CE762" s="617"/>
      <c r="CF762" s="617"/>
      <c r="CG762" s="617"/>
      <c r="CH762" s="617"/>
      <c r="CI762" s="617"/>
      <c r="CJ762" s="617"/>
      <c r="CK762" s="617"/>
      <c r="CL762" s="617"/>
      <c r="CM762" s="617"/>
      <c r="CN762" s="617"/>
      <c r="CO762" s="617"/>
      <c r="CP762" s="617"/>
      <c r="CQ762" s="617"/>
      <c r="CR762" s="617"/>
      <c r="CS762" s="617"/>
      <c r="CT762" s="617"/>
      <c r="CU762" s="617"/>
      <c r="CV762" s="617"/>
      <c r="CW762" s="617"/>
      <c r="CX762" s="617"/>
      <c r="CY762" s="617"/>
      <c r="CZ762" s="617"/>
      <c r="DA762" s="617"/>
      <c r="DB762" s="617"/>
      <c r="DC762" s="617"/>
      <c r="DD762" s="617"/>
      <c r="DE762" s="617"/>
      <c r="DF762" s="617"/>
      <c r="DG762" s="617"/>
      <c r="DH762" s="617"/>
      <c r="DI762" s="617"/>
      <c r="DJ762" s="617"/>
      <c r="DK762" s="617"/>
      <c r="DL762" s="617"/>
      <c r="DM762" s="617"/>
      <c r="DN762" s="617"/>
      <c r="DO762" s="617"/>
      <c r="DP762" s="617"/>
    </row>
    <row r="763" spans="1:120" ht="15.75">
      <c r="A763" s="961">
        <v>1110061050</v>
      </c>
      <c r="B763" s="1496" t="s">
        <v>77</v>
      </c>
      <c r="C763" s="1465" t="s">
        <v>64</v>
      </c>
      <c r="D763" s="1467"/>
      <c r="E763" s="1468"/>
      <c r="F763" s="1250">
        <v>1755</v>
      </c>
      <c r="G763" s="1250">
        <f>+F763*J763</f>
        <v>1755</v>
      </c>
      <c r="H763" s="1242">
        <v>4388.0200000000004</v>
      </c>
      <c r="I763" s="965">
        <f>+F763*J763*H763</f>
        <v>7700975.1000000006</v>
      </c>
      <c r="J763" s="1497">
        <v>1</v>
      </c>
      <c r="K763" s="1498">
        <v>1</v>
      </c>
      <c r="L763" s="49"/>
      <c r="M763" s="1244">
        <f t="shared" ref="M763:M768" si="2108">+L763*J763</f>
        <v>0</v>
      </c>
      <c r="N763" s="1242"/>
      <c r="O763" s="1499">
        <f t="shared" ref="O763:O764" si="2109">+L763*J763*N763</f>
        <v>0</v>
      </c>
      <c r="P763" s="1250"/>
      <c r="Q763" s="1250">
        <f t="shared" ref="Q763:Q768" si="2110">+P763*K763</f>
        <v>0</v>
      </c>
      <c r="R763" s="1242"/>
      <c r="S763" s="1242"/>
      <c r="T763" s="1434">
        <f t="shared" ref="T763:T768" si="2111">+P763*K763*S763</f>
        <v>0</v>
      </c>
      <c r="U763" s="964">
        <f t="shared" ref="U763:U768" si="2112">+L763+P763+F763</f>
        <v>1755</v>
      </c>
      <c r="V763" s="965">
        <f t="shared" ref="V763" si="2113">+P763*J763*R763+L763*J763*N763+F763*J763*H763</f>
        <v>7700975.1000000006</v>
      </c>
      <c r="W763" s="1500">
        <f t="shared" ref="W763:W768" si="2114">IF((-P763*J763*R763)-(-P763*K763*S763)&gt;0,(-P763*J763*R763)-(-P763*K763*S763),0)</f>
        <v>0</v>
      </c>
      <c r="X763" s="1243">
        <f t="shared" ref="X763:X768" si="2115">IF((-P763*J763*R763)-(-P763*K763*S763)&lt;0,(-P763*J763*R763)-(-P763*K763*S763),0)</f>
        <v>0</v>
      </c>
      <c r="Y763" s="967"/>
      <c r="Z763" s="1055"/>
      <c r="AA763" s="1555"/>
      <c r="AB763" s="1846"/>
      <c r="AC763" s="1846"/>
      <c r="AD763" s="1846"/>
      <c r="AE763" s="1846">
        <f>+G763</f>
        <v>1755</v>
      </c>
      <c r="AF763" s="1513"/>
      <c r="AG763" s="1513"/>
      <c r="AH763" s="1513"/>
      <c r="AI763" s="1513"/>
      <c r="AJ763" s="1513"/>
      <c r="AK763" s="1513"/>
      <c r="AL763" s="1513"/>
      <c r="AM763" s="1513"/>
      <c r="AN763" s="1513"/>
      <c r="AO763" s="1513"/>
      <c r="AP763" s="1513"/>
      <c r="AQ763" s="1513"/>
      <c r="AR763" s="1513"/>
      <c r="AS763" s="1513"/>
      <c r="AT763" s="1513"/>
      <c r="AU763" s="1513"/>
      <c r="AV763" s="1513"/>
      <c r="AW763" s="1513"/>
      <c r="AX763" s="1513"/>
      <c r="AY763" s="1513"/>
      <c r="AZ763" s="1513"/>
      <c r="BA763" s="1513"/>
      <c r="BB763" s="1513"/>
      <c r="BC763" s="1513"/>
      <c r="BD763" s="1513"/>
      <c r="BE763" s="1513"/>
      <c r="BF763" s="1513"/>
      <c r="BG763" s="1513"/>
      <c r="BH763" s="1513"/>
      <c r="BI763" s="1513"/>
      <c r="BJ763" s="1513"/>
      <c r="BK763" s="1513"/>
      <c r="BL763" s="1513"/>
      <c r="BM763" s="1513"/>
      <c r="BN763" s="1513"/>
      <c r="BO763" s="1513"/>
      <c r="BP763" s="1513"/>
      <c r="BQ763" s="1513"/>
      <c r="BR763" s="1513"/>
      <c r="BS763" s="1513"/>
      <c r="BT763" s="1513"/>
      <c r="BU763" s="1513"/>
      <c r="BV763" s="1513"/>
      <c r="BW763" s="1513"/>
      <c r="BX763" s="1513"/>
      <c r="BY763" s="1513"/>
      <c r="BZ763" s="1513"/>
      <c r="CA763" s="1513"/>
      <c r="CB763" s="1513"/>
      <c r="CC763" s="1513"/>
      <c r="CD763" s="1513"/>
      <c r="CE763" s="1513"/>
      <c r="CF763" s="1513"/>
      <c r="CG763" s="1513"/>
      <c r="CH763" s="1513"/>
      <c r="CI763" s="1513"/>
      <c r="CJ763" s="1513"/>
      <c r="CK763" s="1513"/>
      <c r="CL763" s="1513"/>
      <c r="CM763" s="1513"/>
      <c r="CN763" s="1513"/>
      <c r="CO763" s="1513"/>
      <c r="CP763" s="1513"/>
      <c r="CQ763" s="1513"/>
      <c r="CR763" s="1513"/>
      <c r="CS763" s="1513"/>
      <c r="CT763" s="1513"/>
      <c r="CU763" s="1513"/>
      <c r="CV763" s="1513"/>
      <c r="CW763" s="1513"/>
      <c r="CX763" s="1513"/>
      <c r="CY763" s="1513"/>
      <c r="CZ763" s="1513"/>
      <c r="DA763" s="1513"/>
      <c r="DB763" s="1513"/>
      <c r="DC763" s="1513"/>
      <c r="DD763" s="1513"/>
      <c r="DE763" s="1513"/>
      <c r="DF763" s="1513"/>
      <c r="DG763" s="1513"/>
      <c r="DH763" s="1513"/>
      <c r="DI763" s="1513"/>
      <c r="DJ763" s="1513"/>
      <c r="DK763" s="1513"/>
      <c r="DL763" s="1513"/>
      <c r="DM763" s="1513"/>
      <c r="DN763" s="1513"/>
      <c r="DO763" s="1513"/>
      <c r="DP763" s="1513"/>
    </row>
    <row r="764" spans="1:120">
      <c r="A764" s="55"/>
      <c r="B764" s="509"/>
      <c r="C764" s="679"/>
      <c r="D764" s="1469"/>
      <c r="E764" s="1470"/>
      <c r="F764" s="1251"/>
      <c r="G764" s="1251"/>
      <c r="H764" s="511"/>
      <c r="I764" s="512"/>
      <c r="J764" s="1424"/>
      <c r="K764" s="1190"/>
      <c r="L764" s="438"/>
      <c r="M764" s="1336">
        <f t="shared" si="2108"/>
        <v>0</v>
      </c>
      <c r="N764" s="504"/>
      <c r="O764" s="513">
        <f t="shared" si="2109"/>
        <v>0</v>
      </c>
      <c r="P764" s="514"/>
      <c r="Q764" s="514">
        <f t="shared" si="2110"/>
        <v>0</v>
      </c>
      <c r="R764" s="515"/>
      <c r="S764" s="515"/>
      <c r="T764" s="516">
        <f t="shared" si="2111"/>
        <v>0</v>
      </c>
      <c r="U764" s="418">
        <f t="shared" si="2112"/>
        <v>0</v>
      </c>
      <c r="V764" s="517">
        <f>+P764*J764*R764+L764*J764*N764+F764*J764*H764</f>
        <v>0</v>
      </c>
      <c r="W764" s="518">
        <f t="shared" si="2114"/>
        <v>0</v>
      </c>
      <c r="X764" s="975">
        <f t="shared" si="2115"/>
        <v>0</v>
      </c>
      <c r="Y764" s="519"/>
      <c r="AA764" s="1555"/>
      <c r="AB764" s="508"/>
      <c r="AC764" s="508"/>
      <c r="AD764" s="508"/>
      <c r="AE764" s="508"/>
      <c r="AF764" s="506"/>
      <c r="AG764" s="506"/>
      <c r="AH764" s="506"/>
      <c r="AI764" s="506"/>
      <c r="AJ764" s="506"/>
      <c r="AK764" s="506"/>
      <c r="AL764" s="1561"/>
      <c r="AM764" s="506"/>
      <c r="AN764" s="506"/>
      <c r="AO764" s="506"/>
      <c r="AP764" s="506"/>
      <c r="AQ764" s="506"/>
      <c r="AR764" s="506"/>
      <c r="AS764" s="506"/>
      <c r="AT764" s="506"/>
      <c r="AU764" s="506"/>
      <c r="AV764" s="506"/>
      <c r="AW764" s="506"/>
      <c r="AX764" s="506"/>
      <c r="AY764" s="506"/>
      <c r="AZ764" s="506"/>
      <c r="BA764" s="506"/>
      <c r="BB764" s="506"/>
      <c r="BC764" s="506"/>
      <c r="BD764" s="506"/>
      <c r="BE764" s="506"/>
      <c r="BF764" s="506"/>
      <c r="BG764" s="506"/>
      <c r="BH764" s="506"/>
      <c r="BI764" s="506"/>
      <c r="BJ764" s="506"/>
      <c r="BK764" s="506"/>
      <c r="BL764" s="506"/>
      <c r="BM764" s="506"/>
      <c r="BN764" s="506"/>
      <c r="BO764" s="506"/>
      <c r="BP764" s="506"/>
      <c r="BQ764" s="506"/>
      <c r="BR764" s="506"/>
      <c r="BS764" s="506"/>
      <c r="BT764" s="506"/>
      <c r="BU764" s="506"/>
      <c r="BV764" s="506"/>
      <c r="BW764" s="506"/>
      <c r="BX764" s="506"/>
      <c r="BY764" s="506"/>
      <c r="BZ764" s="506"/>
      <c r="CA764" s="506"/>
      <c r="CB764" s="506"/>
      <c r="CC764" s="506"/>
      <c r="CD764" s="506"/>
      <c r="CE764" s="506"/>
      <c r="CF764" s="506"/>
      <c r="CG764" s="506"/>
      <c r="CH764" s="506"/>
      <c r="CI764" s="506"/>
      <c r="CJ764" s="506"/>
      <c r="CK764" s="506"/>
      <c r="CL764" s="506"/>
      <c r="CM764" s="506"/>
      <c r="CN764" s="506"/>
      <c r="CO764" s="506"/>
      <c r="CP764" s="506"/>
      <c r="CQ764" s="506"/>
      <c r="CR764" s="506"/>
      <c r="CS764" s="506"/>
      <c r="CT764" s="506"/>
      <c r="CU764" s="506"/>
      <c r="CV764" s="506"/>
      <c r="CW764" s="506"/>
      <c r="CX764" s="506"/>
      <c r="CY764" s="506"/>
      <c r="CZ764" s="506"/>
      <c r="DA764" s="506"/>
      <c r="DB764" s="506"/>
      <c r="DC764" s="506"/>
      <c r="DD764" s="506"/>
      <c r="DE764" s="506"/>
      <c r="DF764" s="506"/>
      <c r="DG764" s="506"/>
      <c r="DH764" s="506"/>
      <c r="DI764" s="506"/>
      <c r="DJ764" s="506"/>
      <c r="DK764" s="506"/>
      <c r="DL764" s="506"/>
      <c r="DM764" s="506"/>
      <c r="DN764" s="506"/>
      <c r="DO764" s="506"/>
      <c r="DP764" s="506"/>
    </row>
    <row r="765" spans="1:120" hidden="1" outlineLevel="1">
      <c r="A765" s="129">
        <v>1110061050</v>
      </c>
      <c r="B765" s="568" t="s">
        <v>78</v>
      </c>
      <c r="C765" s="1485" t="s">
        <v>64</v>
      </c>
      <c r="D765" s="1469">
        <v>1100001750</v>
      </c>
      <c r="E765" s="1470">
        <v>44927</v>
      </c>
      <c r="F765" s="1259"/>
      <c r="G765" s="624"/>
      <c r="H765" s="569"/>
      <c r="I765" s="625"/>
      <c r="J765" s="1425">
        <v>1</v>
      </c>
      <c r="K765" s="1426">
        <v>1</v>
      </c>
      <c r="L765" s="430"/>
      <c r="M765" s="626">
        <f t="shared" si="2108"/>
        <v>0</v>
      </c>
      <c r="N765" s="563">
        <f ca="1">IF(OR(E765="",E765&gt;TODAY()),0,IF(ISERROR(VLOOKUP($E765,'TRM BanRep'!$A:$G,7,0)),0,VLOOKUP($E765,'TRM BanRep'!$A:$G,7,0)))</f>
        <v>4810.2</v>
      </c>
      <c r="O765" s="571">
        <f ca="1">+L765*J765*N765</f>
        <v>0</v>
      </c>
      <c r="P765" s="626">
        <v>-0.1</v>
      </c>
      <c r="Q765" s="626">
        <f t="shared" si="2110"/>
        <v>-0.1</v>
      </c>
      <c r="R765" s="570">
        <v>4388.0200000000004</v>
      </c>
      <c r="S765" s="570">
        <f ca="1">IF(OR(E765="",E765&gt;TODAY()),0,IF(ISERROR(VLOOKUP($E765,'TRM BanRep'!$A:$G,7,0)),0,VLOOKUP($E765,'TRM BanRep'!$A:$G,7,0)))</f>
        <v>4810.2</v>
      </c>
      <c r="T765" s="571">
        <f t="shared" ca="1" si="2111"/>
        <v>-481.02</v>
      </c>
      <c r="U765" s="626">
        <f t="shared" si="2112"/>
        <v>-0.1</v>
      </c>
      <c r="V765" s="571">
        <f t="shared" ref="V765:V768" ca="1" si="2116">+P765*J765*R765+L765*J765*N765+F765*J765*H765</f>
        <v>-438.80200000000008</v>
      </c>
      <c r="W765" s="571">
        <f t="shared" ca="1" si="2114"/>
        <v>0</v>
      </c>
      <c r="X765" s="571">
        <f t="shared" ca="1" si="2115"/>
        <v>-42.217999999999904</v>
      </c>
      <c r="Y765" s="572"/>
      <c r="AA765" s="2311">
        <f t="shared" ref="AA765:CL768" ca="1" si="2117">IF($L765="",IF(OR($P765="",$R765=""),0,IF($R765=AA$6,$Q765,0)),IF($E765=AA$5,$M765,))</f>
        <v>0</v>
      </c>
      <c r="AB765" s="2317">
        <f t="shared" ca="1" si="2117"/>
        <v>0</v>
      </c>
      <c r="AC765" s="2317">
        <f t="shared" ca="1" si="2117"/>
        <v>0</v>
      </c>
      <c r="AD765" s="2317">
        <f t="shared" ca="1" si="2117"/>
        <v>0</v>
      </c>
      <c r="AE765" s="2317">
        <f t="shared" ca="1" si="2117"/>
        <v>-0.1</v>
      </c>
      <c r="AF765" s="2318">
        <f t="shared" ca="1" si="2117"/>
        <v>0</v>
      </c>
      <c r="AG765" s="2318">
        <f t="shared" ca="1" si="2117"/>
        <v>0</v>
      </c>
      <c r="AH765" s="2318">
        <f t="shared" ca="1" si="2117"/>
        <v>0</v>
      </c>
      <c r="AI765" s="2318">
        <f t="shared" ca="1" si="2117"/>
        <v>0</v>
      </c>
      <c r="AJ765" s="2318">
        <f t="shared" ca="1" si="2117"/>
        <v>0</v>
      </c>
      <c r="AK765" s="2318">
        <f t="shared" ca="1" si="2117"/>
        <v>0</v>
      </c>
      <c r="AL765" s="2319">
        <f t="shared" ca="1" si="2117"/>
        <v>0</v>
      </c>
      <c r="AM765" s="2318">
        <f t="shared" ca="1" si="2117"/>
        <v>0</v>
      </c>
      <c r="AN765" s="2318">
        <f t="shared" ca="1" si="2117"/>
        <v>0</v>
      </c>
      <c r="AO765" s="2318">
        <f t="shared" ca="1" si="2117"/>
        <v>0</v>
      </c>
      <c r="AP765" s="2318">
        <f t="shared" ca="1" si="2117"/>
        <v>0</v>
      </c>
      <c r="AQ765" s="2318">
        <f t="shared" ca="1" si="2117"/>
        <v>0</v>
      </c>
      <c r="AR765" s="2318">
        <f t="shared" ca="1" si="2117"/>
        <v>0</v>
      </c>
      <c r="AS765" s="2318">
        <f t="shared" ca="1" si="2117"/>
        <v>0</v>
      </c>
      <c r="AT765" s="2318">
        <f t="shared" ca="1" si="2117"/>
        <v>0</v>
      </c>
      <c r="AU765" s="2318">
        <f t="shared" ca="1" si="2117"/>
        <v>0</v>
      </c>
      <c r="AV765" s="2318">
        <f t="shared" ca="1" si="2117"/>
        <v>0</v>
      </c>
      <c r="AW765" s="2318">
        <f t="shared" ca="1" si="2117"/>
        <v>0</v>
      </c>
      <c r="AX765" s="2318">
        <f t="shared" ca="1" si="2117"/>
        <v>0</v>
      </c>
      <c r="AY765" s="2318">
        <f t="shared" ca="1" si="2117"/>
        <v>0</v>
      </c>
      <c r="AZ765" s="2318">
        <f t="shared" ca="1" si="2117"/>
        <v>0</v>
      </c>
      <c r="BA765" s="2318">
        <f t="shared" ca="1" si="2117"/>
        <v>0</v>
      </c>
      <c r="BB765" s="2318">
        <f t="shared" ca="1" si="2117"/>
        <v>0</v>
      </c>
      <c r="BC765" s="2318">
        <f t="shared" ca="1" si="2117"/>
        <v>0</v>
      </c>
      <c r="BD765" s="2318">
        <f t="shared" ca="1" si="2117"/>
        <v>0</v>
      </c>
      <c r="BE765" s="2318">
        <f t="shared" ca="1" si="2117"/>
        <v>0</v>
      </c>
      <c r="BF765" s="2318">
        <f t="shared" ca="1" si="2117"/>
        <v>0</v>
      </c>
      <c r="BG765" s="2318">
        <f t="shared" ca="1" si="2117"/>
        <v>0</v>
      </c>
      <c r="BH765" s="2318">
        <f t="shared" ca="1" si="2117"/>
        <v>0</v>
      </c>
      <c r="BI765" s="2318">
        <f t="shared" ca="1" si="2117"/>
        <v>0</v>
      </c>
      <c r="BJ765" s="2318">
        <f t="shared" ca="1" si="2117"/>
        <v>0</v>
      </c>
      <c r="BK765" s="2318">
        <f t="shared" ca="1" si="2117"/>
        <v>0</v>
      </c>
      <c r="BL765" s="2318">
        <f t="shared" ca="1" si="2117"/>
        <v>0</v>
      </c>
      <c r="BM765" s="2318">
        <f t="shared" ca="1" si="2117"/>
        <v>0</v>
      </c>
      <c r="BN765" s="2318">
        <f t="shared" ca="1" si="2117"/>
        <v>0</v>
      </c>
      <c r="BO765" s="2318">
        <f t="shared" ca="1" si="2117"/>
        <v>0</v>
      </c>
      <c r="BP765" s="2318">
        <f t="shared" ca="1" si="2117"/>
        <v>0</v>
      </c>
      <c r="BQ765" s="2318">
        <f t="shared" ca="1" si="2117"/>
        <v>0</v>
      </c>
      <c r="BR765" s="2318">
        <f t="shared" ca="1" si="2117"/>
        <v>0</v>
      </c>
      <c r="BS765" s="2318">
        <f t="shared" ca="1" si="2117"/>
        <v>0</v>
      </c>
      <c r="BT765" s="2318">
        <f t="shared" ca="1" si="2117"/>
        <v>0</v>
      </c>
      <c r="BU765" s="2318">
        <f t="shared" ca="1" si="2117"/>
        <v>0</v>
      </c>
      <c r="BV765" s="2318">
        <f t="shared" ca="1" si="2117"/>
        <v>0</v>
      </c>
      <c r="BW765" s="2318">
        <f t="shared" ca="1" si="2117"/>
        <v>0</v>
      </c>
      <c r="BX765" s="2318">
        <f t="shared" ca="1" si="2117"/>
        <v>0</v>
      </c>
      <c r="BY765" s="2318">
        <f t="shared" ca="1" si="2117"/>
        <v>0</v>
      </c>
      <c r="BZ765" s="2318">
        <f t="shared" ca="1" si="2117"/>
        <v>0</v>
      </c>
      <c r="CA765" s="2318">
        <f t="shared" ca="1" si="2117"/>
        <v>0</v>
      </c>
      <c r="CB765" s="2318">
        <f t="shared" ca="1" si="2117"/>
        <v>0</v>
      </c>
      <c r="CC765" s="2318">
        <f t="shared" ca="1" si="2117"/>
        <v>0</v>
      </c>
      <c r="CD765" s="2318">
        <f t="shared" ca="1" si="2117"/>
        <v>0</v>
      </c>
      <c r="CE765" s="2318">
        <f t="shared" ca="1" si="2117"/>
        <v>0</v>
      </c>
      <c r="CF765" s="2318">
        <f t="shared" ca="1" si="2117"/>
        <v>0</v>
      </c>
      <c r="CG765" s="2318">
        <f t="shared" ca="1" si="2117"/>
        <v>0</v>
      </c>
      <c r="CH765" s="2318">
        <f t="shared" ca="1" si="2117"/>
        <v>0</v>
      </c>
      <c r="CI765" s="2318">
        <f t="shared" ca="1" si="2117"/>
        <v>0</v>
      </c>
      <c r="CJ765" s="2318">
        <f t="shared" ca="1" si="2117"/>
        <v>0</v>
      </c>
      <c r="CK765" s="2318">
        <f t="shared" ca="1" si="2117"/>
        <v>0</v>
      </c>
      <c r="CL765" s="2318">
        <f t="shared" ca="1" si="2117"/>
        <v>0</v>
      </c>
      <c r="CM765" s="2318">
        <f t="shared" ref="CM765:DP767" ca="1" si="2118">IF($L765="",IF(OR($P765="",$R765=""),0,IF($R765=CM$6,$Q765,0)),IF($E765=CM$5,$M765,))</f>
        <v>0</v>
      </c>
      <c r="CN765" s="2318">
        <f t="shared" ca="1" si="2118"/>
        <v>0</v>
      </c>
      <c r="CO765" s="2318">
        <f t="shared" ca="1" si="2118"/>
        <v>0</v>
      </c>
      <c r="CP765" s="2318">
        <f t="shared" ca="1" si="2118"/>
        <v>0</v>
      </c>
      <c r="CQ765" s="2318">
        <f t="shared" ca="1" si="2118"/>
        <v>0</v>
      </c>
      <c r="CR765" s="2318">
        <f t="shared" ca="1" si="2118"/>
        <v>0</v>
      </c>
      <c r="CS765" s="2318">
        <f t="shared" ca="1" si="2118"/>
        <v>0</v>
      </c>
      <c r="CT765" s="2318">
        <f t="shared" ca="1" si="2118"/>
        <v>0</v>
      </c>
      <c r="CU765" s="2318">
        <f t="shared" ca="1" si="2118"/>
        <v>0</v>
      </c>
      <c r="CV765" s="2318">
        <f t="shared" ca="1" si="2118"/>
        <v>0</v>
      </c>
      <c r="CW765" s="2318">
        <f t="shared" ca="1" si="2118"/>
        <v>0</v>
      </c>
      <c r="CX765" s="2318">
        <f t="shared" ca="1" si="2118"/>
        <v>0</v>
      </c>
      <c r="CY765" s="2318">
        <f t="shared" ca="1" si="2118"/>
        <v>0</v>
      </c>
      <c r="CZ765" s="2318">
        <f t="shared" ca="1" si="2118"/>
        <v>0</v>
      </c>
      <c r="DA765" s="2318">
        <f t="shared" ca="1" si="2118"/>
        <v>0</v>
      </c>
      <c r="DB765" s="2318">
        <f t="shared" ca="1" si="2118"/>
        <v>0</v>
      </c>
      <c r="DC765" s="2318">
        <f t="shared" ca="1" si="2118"/>
        <v>0</v>
      </c>
      <c r="DD765" s="2318">
        <f t="shared" ca="1" si="2118"/>
        <v>0</v>
      </c>
      <c r="DE765" s="2318">
        <f t="shared" ca="1" si="2118"/>
        <v>0</v>
      </c>
      <c r="DF765" s="2318">
        <f t="shared" ca="1" si="2118"/>
        <v>0</v>
      </c>
      <c r="DG765" s="2318">
        <f t="shared" ca="1" si="2118"/>
        <v>0</v>
      </c>
      <c r="DH765" s="2318">
        <f t="shared" ca="1" si="2118"/>
        <v>0</v>
      </c>
      <c r="DI765" s="2318">
        <f t="shared" ca="1" si="2118"/>
        <v>0</v>
      </c>
      <c r="DJ765" s="2318">
        <f t="shared" ca="1" si="2118"/>
        <v>0</v>
      </c>
      <c r="DK765" s="2318">
        <f t="shared" ca="1" si="2118"/>
        <v>0</v>
      </c>
      <c r="DL765" s="2318">
        <f t="shared" ca="1" si="2118"/>
        <v>0</v>
      </c>
      <c r="DM765" s="2318">
        <f t="shared" ca="1" si="2118"/>
        <v>0</v>
      </c>
      <c r="DN765" s="2318">
        <f t="shared" ca="1" si="2118"/>
        <v>0</v>
      </c>
      <c r="DO765" s="2318">
        <f t="shared" ca="1" si="2118"/>
        <v>0</v>
      </c>
      <c r="DP765" s="2318">
        <f t="shared" ca="1" si="2118"/>
        <v>0</v>
      </c>
    </row>
    <row r="766" spans="1:120" hidden="1" outlineLevel="1">
      <c r="A766" s="55">
        <v>1110061050</v>
      </c>
      <c r="B766" s="509"/>
      <c r="C766" s="679" t="s">
        <v>64</v>
      </c>
      <c r="D766" s="1469">
        <v>1100001752</v>
      </c>
      <c r="E766" s="1470">
        <v>44927</v>
      </c>
      <c r="F766" s="1251"/>
      <c r="G766" s="1251"/>
      <c r="H766" s="511"/>
      <c r="I766" s="1374"/>
      <c r="J766" s="1425">
        <v>1</v>
      </c>
      <c r="K766" s="1426">
        <v>1</v>
      </c>
      <c r="L766" s="419"/>
      <c r="M766" s="1337">
        <f t="shared" ref="M766" si="2119">+L766*J766</f>
        <v>0</v>
      </c>
      <c r="N766" s="504">
        <f ca="1">IF(OR(E766="",E766&gt;TODAY()),0,IF(ISERROR(VLOOKUP($E766,'TRM BanRep'!$A:$G,7,0)),0,VLOOKUP($E766,'TRM BanRep'!$A:$G,7,0)))</f>
        <v>4810.2</v>
      </c>
      <c r="O766" s="513">
        <f t="shared" ref="O766" ca="1" si="2120">+L766*J766*N766</f>
        <v>0</v>
      </c>
      <c r="P766" s="514">
        <v>-135</v>
      </c>
      <c r="Q766" s="514">
        <f t="shared" ref="Q766" si="2121">+P766*K766</f>
        <v>-135</v>
      </c>
      <c r="R766" s="515">
        <v>4388.0200000000004</v>
      </c>
      <c r="S766" s="515">
        <f ca="1">IF(OR(E766="",E766&gt;TODAY()),0,IF(ISERROR(VLOOKUP($E766,'TRM BanRep'!$A:$G,7,0)),0,VLOOKUP($E766,'TRM BanRep'!$A:$G,7,0)))</f>
        <v>4810.2</v>
      </c>
      <c r="T766" s="516">
        <f t="shared" ref="T766" ca="1" si="2122">+P766*K766*S766</f>
        <v>-649377</v>
      </c>
      <c r="U766" s="418">
        <f t="shared" ref="U766" si="2123">+L766+P766+F766</f>
        <v>-135</v>
      </c>
      <c r="V766" s="517">
        <f t="shared" ref="V766" ca="1" si="2124">+P766*J766*R766+L766*J766*N766+F766*J766*H766</f>
        <v>-592382.70000000007</v>
      </c>
      <c r="W766" s="518">
        <f t="shared" ref="W766" ca="1" si="2125">IF((-P766*J766*R766)-(-P766*K766*S766)&gt;0,(-P766*J766*R766)-(-P766*K766*S766),0)</f>
        <v>0</v>
      </c>
      <c r="X766" s="975">
        <f t="shared" ref="X766" ca="1" si="2126">IF((-P766*J766*R766)-(-P766*K766*S766)&lt;0,(-P766*J766*R766)-(-P766*K766*S766),0)</f>
        <v>-56994.29999999993</v>
      </c>
      <c r="Y766" s="519"/>
      <c r="Z766" s="1055"/>
      <c r="AA766" s="2311">
        <f t="shared" ca="1" si="2117"/>
        <v>0</v>
      </c>
      <c r="AB766" s="2310">
        <f t="shared" ca="1" si="2117"/>
        <v>0</v>
      </c>
      <c r="AC766" s="2310">
        <f t="shared" ca="1" si="2117"/>
        <v>0</v>
      </c>
      <c r="AD766" s="2310">
        <f t="shared" ca="1" si="2117"/>
        <v>0</v>
      </c>
      <c r="AE766" s="2310">
        <f t="shared" ca="1" si="2117"/>
        <v>-135</v>
      </c>
      <c r="AF766" s="2307">
        <f t="shared" ca="1" si="2117"/>
        <v>0</v>
      </c>
      <c r="AG766" s="2307">
        <f t="shared" ca="1" si="2117"/>
        <v>0</v>
      </c>
      <c r="AH766" s="2307">
        <f t="shared" ca="1" si="2117"/>
        <v>0</v>
      </c>
      <c r="AI766" s="2307">
        <f t="shared" ca="1" si="2117"/>
        <v>0</v>
      </c>
      <c r="AJ766" s="2307">
        <f t="shared" ca="1" si="2117"/>
        <v>0</v>
      </c>
      <c r="AK766" s="2307">
        <f t="shared" ca="1" si="2117"/>
        <v>0</v>
      </c>
      <c r="AL766" s="2308">
        <f t="shared" ca="1" si="2117"/>
        <v>0</v>
      </c>
      <c r="AM766" s="2307">
        <f t="shared" ca="1" si="2117"/>
        <v>0</v>
      </c>
      <c r="AN766" s="2307">
        <f t="shared" ca="1" si="2117"/>
        <v>0</v>
      </c>
      <c r="AO766" s="2307">
        <f t="shared" ca="1" si="2117"/>
        <v>0</v>
      </c>
      <c r="AP766" s="2307">
        <f t="shared" ca="1" si="2117"/>
        <v>0</v>
      </c>
      <c r="AQ766" s="2307">
        <f t="shared" ca="1" si="2117"/>
        <v>0</v>
      </c>
      <c r="AR766" s="2307">
        <f t="shared" ca="1" si="2117"/>
        <v>0</v>
      </c>
      <c r="AS766" s="2307">
        <f t="shared" ca="1" si="2117"/>
        <v>0</v>
      </c>
      <c r="AT766" s="2307">
        <f t="shared" ca="1" si="2117"/>
        <v>0</v>
      </c>
      <c r="AU766" s="2307">
        <f t="shared" ca="1" si="2117"/>
        <v>0</v>
      </c>
      <c r="AV766" s="2307">
        <f t="shared" ca="1" si="2117"/>
        <v>0</v>
      </c>
      <c r="AW766" s="2307">
        <f t="shared" ca="1" si="2117"/>
        <v>0</v>
      </c>
      <c r="AX766" s="2307">
        <f t="shared" ca="1" si="2117"/>
        <v>0</v>
      </c>
      <c r="AY766" s="2307">
        <f t="shared" ca="1" si="2117"/>
        <v>0</v>
      </c>
      <c r="AZ766" s="2307">
        <f t="shared" ca="1" si="2117"/>
        <v>0</v>
      </c>
      <c r="BA766" s="2307">
        <f t="shared" ca="1" si="2117"/>
        <v>0</v>
      </c>
      <c r="BB766" s="2307">
        <f t="shared" ca="1" si="2117"/>
        <v>0</v>
      </c>
      <c r="BC766" s="2307">
        <f t="shared" ca="1" si="2117"/>
        <v>0</v>
      </c>
      <c r="BD766" s="2307">
        <f t="shared" ca="1" si="2117"/>
        <v>0</v>
      </c>
      <c r="BE766" s="2307">
        <f t="shared" ca="1" si="2117"/>
        <v>0</v>
      </c>
      <c r="BF766" s="2307">
        <f t="shared" ca="1" si="2117"/>
        <v>0</v>
      </c>
      <c r="BG766" s="2307">
        <f t="shared" ca="1" si="2117"/>
        <v>0</v>
      </c>
      <c r="BH766" s="2307">
        <f t="shared" ca="1" si="2117"/>
        <v>0</v>
      </c>
      <c r="BI766" s="2307">
        <f t="shared" ca="1" si="2117"/>
        <v>0</v>
      </c>
      <c r="BJ766" s="2307">
        <f t="shared" ca="1" si="2117"/>
        <v>0</v>
      </c>
      <c r="BK766" s="2307">
        <f t="shared" ca="1" si="2117"/>
        <v>0</v>
      </c>
      <c r="BL766" s="2307">
        <f t="shared" ca="1" si="2117"/>
        <v>0</v>
      </c>
      <c r="BM766" s="2307">
        <f t="shared" ca="1" si="2117"/>
        <v>0</v>
      </c>
      <c r="BN766" s="2307">
        <f t="shared" ca="1" si="2117"/>
        <v>0</v>
      </c>
      <c r="BO766" s="2307">
        <f t="shared" ca="1" si="2117"/>
        <v>0</v>
      </c>
      <c r="BP766" s="2307">
        <f t="shared" ca="1" si="2117"/>
        <v>0</v>
      </c>
      <c r="BQ766" s="2307">
        <f t="shared" ca="1" si="2117"/>
        <v>0</v>
      </c>
      <c r="BR766" s="2307">
        <f t="shared" ca="1" si="2117"/>
        <v>0</v>
      </c>
      <c r="BS766" s="2307">
        <f t="shared" ca="1" si="2117"/>
        <v>0</v>
      </c>
      <c r="BT766" s="2307">
        <f t="shared" ca="1" si="2117"/>
        <v>0</v>
      </c>
      <c r="BU766" s="2307">
        <f t="shared" ca="1" si="2117"/>
        <v>0</v>
      </c>
      <c r="BV766" s="2307">
        <f t="shared" ca="1" si="2117"/>
        <v>0</v>
      </c>
      <c r="BW766" s="2307">
        <f t="shared" ca="1" si="2117"/>
        <v>0</v>
      </c>
      <c r="BX766" s="2307">
        <f t="shared" ca="1" si="2117"/>
        <v>0</v>
      </c>
      <c r="BY766" s="2307">
        <f t="shared" ca="1" si="2117"/>
        <v>0</v>
      </c>
      <c r="BZ766" s="2307">
        <f t="shared" ca="1" si="2117"/>
        <v>0</v>
      </c>
      <c r="CA766" s="2307">
        <f t="shared" ca="1" si="2117"/>
        <v>0</v>
      </c>
      <c r="CB766" s="2307">
        <f t="shared" ca="1" si="2117"/>
        <v>0</v>
      </c>
      <c r="CC766" s="2307">
        <f t="shared" ca="1" si="2117"/>
        <v>0</v>
      </c>
      <c r="CD766" s="2307">
        <f t="shared" ca="1" si="2117"/>
        <v>0</v>
      </c>
      <c r="CE766" s="2307">
        <f t="shared" ca="1" si="2117"/>
        <v>0</v>
      </c>
      <c r="CF766" s="2307">
        <f t="shared" ca="1" si="2117"/>
        <v>0</v>
      </c>
      <c r="CG766" s="2307">
        <f t="shared" ca="1" si="2117"/>
        <v>0</v>
      </c>
      <c r="CH766" s="2307">
        <f t="shared" ca="1" si="2117"/>
        <v>0</v>
      </c>
      <c r="CI766" s="2307">
        <f t="shared" ca="1" si="2117"/>
        <v>0</v>
      </c>
      <c r="CJ766" s="2307">
        <f t="shared" ca="1" si="2117"/>
        <v>0</v>
      </c>
      <c r="CK766" s="2307">
        <f t="shared" ca="1" si="2117"/>
        <v>0</v>
      </c>
      <c r="CL766" s="2307">
        <f t="shared" ca="1" si="2117"/>
        <v>0</v>
      </c>
      <c r="CM766" s="2307">
        <f t="shared" ca="1" si="2118"/>
        <v>0</v>
      </c>
      <c r="CN766" s="2307">
        <f t="shared" ca="1" si="2118"/>
        <v>0</v>
      </c>
      <c r="CO766" s="2307">
        <f t="shared" ca="1" si="2118"/>
        <v>0</v>
      </c>
      <c r="CP766" s="2307">
        <f t="shared" ca="1" si="2118"/>
        <v>0</v>
      </c>
      <c r="CQ766" s="2307">
        <f t="shared" ca="1" si="2118"/>
        <v>0</v>
      </c>
      <c r="CR766" s="2307">
        <f t="shared" ca="1" si="2118"/>
        <v>0</v>
      </c>
      <c r="CS766" s="2307">
        <f t="shared" ca="1" si="2118"/>
        <v>0</v>
      </c>
      <c r="CT766" s="2307">
        <f t="shared" ca="1" si="2118"/>
        <v>0</v>
      </c>
      <c r="CU766" s="2307">
        <f t="shared" ca="1" si="2118"/>
        <v>0</v>
      </c>
      <c r="CV766" s="2307">
        <f t="shared" ca="1" si="2118"/>
        <v>0</v>
      </c>
      <c r="CW766" s="2307">
        <f t="shared" ca="1" si="2118"/>
        <v>0</v>
      </c>
      <c r="CX766" s="2307">
        <f t="shared" ca="1" si="2118"/>
        <v>0</v>
      </c>
      <c r="CY766" s="2307">
        <f t="shared" ca="1" si="2118"/>
        <v>0</v>
      </c>
      <c r="CZ766" s="2307">
        <f t="shared" ca="1" si="2118"/>
        <v>0</v>
      </c>
      <c r="DA766" s="2307">
        <f t="shared" ca="1" si="2118"/>
        <v>0</v>
      </c>
      <c r="DB766" s="2307">
        <f t="shared" ca="1" si="2118"/>
        <v>0</v>
      </c>
      <c r="DC766" s="2307">
        <f t="shared" ca="1" si="2118"/>
        <v>0</v>
      </c>
      <c r="DD766" s="2307">
        <f t="shared" ca="1" si="2118"/>
        <v>0</v>
      </c>
      <c r="DE766" s="2307">
        <f t="shared" ca="1" si="2118"/>
        <v>0</v>
      </c>
      <c r="DF766" s="2307">
        <f t="shared" ca="1" si="2118"/>
        <v>0</v>
      </c>
      <c r="DG766" s="2307">
        <f t="shared" ca="1" si="2118"/>
        <v>0</v>
      </c>
      <c r="DH766" s="2307">
        <f t="shared" ca="1" si="2118"/>
        <v>0</v>
      </c>
      <c r="DI766" s="2307">
        <f t="shared" ca="1" si="2118"/>
        <v>0</v>
      </c>
      <c r="DJ766" s="2307">
        <f t="shared" ca="1" si="2118"/>
        <v>0</v>
      </c>
      <c r="DK766" s="2307">
        <f t="shared" ca="1" si="2118"/>
        <v>0</v>
      </c>
      <c r="DL766" s="2307">
        <f t="shared" ca="1" si="2118"/>
        <v>0</v>
      </c>
      <c r="DM766" s="2307">
        <f t="shared" ca="1" si="2118"/>
        <v>0</v>
      </c>
      <c r="DN766" s="2307">
        <f t="shared" ca="1" si="2118"/>
        <v>0</v>
      </c>
      <c r="DO766" s="2307">
        <f t="shared" ca="1" si="2118"/>
        <v>0</v>
      </c>
      <c r="DP766" s="2307">
        <f t="shared" ca="1" si="2118"/>
        <v>0</v>
      </c>
    </row>
    <row r="767" spans="1:120" hidden="1" outlineLevel="1">
      <c r="A767" s="55">
        <v>1110061050</v>
      </c>
      <c r="B767" s="509" t="s">
        <v>1477</v>
      </c>
      <c r="C767" s="679" t="s">
        <v>64</v>
      </c>
      <c r="D767" s="1469">
        <v>100005287</v>
      </c>
      <c r="E767" s="1470">
        <v>44957</v>
      </c>
      <c r="F767" s="1251"/>
      <c r="G767" s="1251"/>
      <c r="H767" s="511"/>
      <c r="I767" s="1374"/>
      <c r="J767" s="1425">
        <v>1</v>
      </c>
      <c r="K767" s="1426">
        <v>1</v>
      </c>
      <c r="L767" s="419"/>
      <c r="M767" s="1337">
        <f t="shared" si="2108"/>
        <v>0</v>
      </c>
      <c r="N767" s="504">
        <f ca="1">IF(OR(E767="",E767&gt;TODAY()),0,IF(ISERROR(VLOOKUP($E767,'TRM BanRep'!$A:$G,7,0)),0,VLOOKUP($E767,'TRM BanRep'!$A:$G,7,0)))</f>
        <v>4632.2</v>
      </c>
      <c r="O767" s="513">
        <f t="shared" ref="O767:O768" ca="1" si="2127">+L767*J767*N767</f>
        <v>0</v>
      </c>
      <c r="P767" s="514">
        <v>-129</v>
      </c>
      <c r="Q767" s="514">
        <f t="shared" si="2110"/>
        <v>-129</v>
      </c>
      <c r="R767" s="515">
        <v>4388.0200000000004</v>
      </c>
      <c r="S767" s="515">
        <f ca="1">IF(OR(E767="",E767&gt;TODAY()),0,IF(ISERROR(VLOOKUP($E767,'TRM BanRep'!$A:$G,7,0)),0,VLOOKUP($E767,'TRM BanRep'!$A:$G,7,0)))</f>
        <v>4632.2</v>
      </c>
      <c r="T767" s="516">
        <f t="shared" ca="1" si="2111"/>
        <v>-597553.79999999993</v>
      </c>
      <c r="U767" s="418">
        <f t="shared" si="2112"/>
        <v>-129</v>
      </c>
      <c r="V767" s="517">
        <f t="shared" ca="1" si="2116"/>
        <v>-566054.58000000007</v>
      </c>
      <c r="W767" s="518">
        <f t="shared" ca="1" si="2114"/>
        <v>0</v>
      </c>
      <c r="X767" s="975">
        <f t="shared" ca="1" si="2115"/>
        <v>-31499.219999999856</v>
      </c>
      <c r="Y767" s="519"/>
      <c r="Z767" s="1055"/>
      <c r="AA767" s="2311">
        <f t="shared" ca="1" si="2117"/>
        <v>0</v>
      </c>
      <c r="AB767" s="2310">
        <f t="shared" ca="1" si="2117"/>
        <v>0</v>
      </c>
      <c r="AC767" s="2310">
        <f t="shared" ca="1" si="2117"/>
        <v>0</v>
      </c>
      <c r="AD767" s="2310">
        <f t="shared" ca="1" si="2117"/>
        <v>0</v>
      </c>
      <c r="AE767" s="2310">
        <f t="shared" ca="1" si="2117"/>
        <v>-129</v>
      </c>
      <c r="AF767" s="2307">
        <f t="shared" ca="1" si="2117"/>
        <v>0</v>
      </c>
      <c r="AG767" s="2307">
        <f t="shared" ca="1" si="2117"/>
        <v>0</v>
      </c>
      <c r="AH767" s="2307">
        <f t="shared" ca="1" si="2117"/>
        <v>0</v>
      </c>
      <c r="AI767" s="2307">
        <f t="shared" ca="1" si="2117"/>
        <v>0</v>
      </c>
      <c r="AJ767" s="2307">
        <f t="shared" ca="1" si="2117"/>
        <v>0</v>
      </c>
      <c r="AK767" s="2307">
        <f t="shared" ca="1" si="2117"/>
        <v>0</v>
      </c>
      <c r="AL767" s="2308">
        <f t="shared" ca="1" si="2117"/>
        <v>0</v>
      </c>
      <c r="AM767" s="2307">
        <f t="shared" ca="1" si="2117"/>
        <v>0</v>
      </c>
      <c r="AN767" s="2307">
        <f t="shared" ca="1" si="2117"/>
        <v>0</v>
      </c>
      <c r="AO767" s="2307">
        <f t="shared" ca="1" si="2117"/>
        <v>0</v>
      </c>
      <c r="AP767" s="2307">
        <f t="shared" ca="1" si="2117"/>
        <v>0</v>
      </c>
      <c r="AQ767" s="2307">
        <f t="shared" ca="1" si="2117"/>
        <v>0</v>
      </c>
      <c r="AR767" s="2307">
        <f t="shared" ca="1" si="2117"/>
        <v>0</v>
      </c>
      <c r="AS767" s="2307">
        <f t="shared" ca="1" si="2117"/>
        <v>0</v>
      </c>
      <c r="AT767" s="2307">
        <f t="shared" ca="1" si="2117"/>
        <v>0</v>
      </c>
      <c r="AU767" s="2307">
        <f t="shared" ca="1" si="2117"/>
        <v>0</v>
      </c>
      <c r="AV767" s="2307">
        <f t="shared" ca="1" si="2117"/>
        <v>0</v>
      </c>
      <c r="AW767" s="2307">
        <f t="shared" ca="1" si="2117"/>
        <v>0</v>
      </c>
      <c r="AX767" s="2307">
        <f t="shared" ca="1" si="2117"/>
        <v>0</v>
      </c>
      <c r="AY767" s="2307">
        <f t="shared" ca="1" si="2117"/>
        <v>0</v>
      </c>
      <c r="AZ767" s="2307">
        <f t="shared" ca="1" si="2117"/>
        <v>0</v>
      </c>
      <c r="BA767" s="2307">
        <f t="shared" ca="1" si="2117"/>
        <v>0</v>
      </c>
      <c r="BB767" s="2307">
        <f t="shared" ca="1" si="2117"/>
        <v>0</v>
      </c>
      <c r="BC767" s="2307">
        <f t="shared" ca="1" si="2117"/>
        <v>0</v>
      </c>
      <c r="BD767" s="2307">
        <f t="shared" ca="1" si="2117"/>
        <v>0</v>
      </c>
      <c r="BE767" s="2307">
        <f t="shared" ca="1" si="2117"/>
        <v>0</v>
      </c>
      <c r="BF767" s="2307">
        <f t="shared" ca="1" si="2117"/>
        <v>0</v>
      </c>
      <c r="BG767" s="2307">
        <f t="shared" ca="1" si="2117"/>
        <v>0</v>
      </c>
      <c r="BH767" s="2307">
        <f t="shared" ca="1" si="2117"/>
        <v>0</v>
      </c>
      <c r="BI767" s="2307">
        <f t="shared" ca="1" si="2117"/>
        <v>0</v>
      </c>
      <c r="BJ767" s="2307">
        <f t="shared" ca="1" si="2117"/>
        <v>0</v>
      </c>
      <c r="BK767" s="2307">
        <f t="shared" ca="1" si="2117"/>
        <v>0</v>
      </c>
      <c r="BL767" s="2307">
        <f t="shared" ca="1" si="2117"/>
        <v>0</v>
      </c>
      <c r="BM767" s="2307">
        <f t="shared" ca="1" si="2117"/>
        <v>0</v>
      </c>
      <c r="BN767" s="2307">
        <f t="shared" ca="1" si="2117"/>
        <v>0</v>
      </c>
      <c r="BO767" s="2307">
        <f t="shared" ca="1" si="2117"/>
        <v>0</v>
      </c>
      <c r="BP767" s="2307">
        <f t="shared" ca="1" si="2117"/>
        <v>0</v>
      </c>
      <c r="BQ767" s="2307">
        <f t="shared" ca="1" si="2117"/>
        <v>0</v>
      </c>
      <c r="BR767" s="2307">
        <f t="shared" ca="1" si="2117"/>
        <v>0</v>
      </c>
      <c r="BS767" s="2307">
        <f t="shared" ca="1" si="2117"/>
        <v>0</v>
      </c>
      <c r="BT767" s="2307">
        <f t="shared" ca="1" si="2117"/>
        <v>0</v>
      </c>
      <c r="BU767" s="2307">
        <f t="shared" ca="1" si="2117"/>
        <v>0</v>
      </c>
      <c r="BV767" s="2307">
        <f t="shared" ca="1" si="2117"/>
        <v>0</v>
      </c>
      <c r="BW767" s="2307">
        <f t="shared" ca="1" si="2117"/>
        <v>0</v>
      </c>
      <c r="BX767" s="2307">
        <f t="shared" ca="1" si="2117"/>
        <v>0</v>
      </c>
      <c r="BY767" s="2307">
        <f t="shared" ca="1" si="2117"/>
        <v>0</v>
      </c>
      <c r="BZ767" s="2307">
        <f t="shared" ca="1" si="2117"/>
        <v>0</v>
      </c>
      <c r="CA767" s="2307">
        <f t="shared" ca="1" si="2117"/>
        <v>0</v>
      </c>
      <c r="CB767" s="2307">
        <f t="shared" ca="1" si="2117"/>
        <v>0</v>
      </c>
      <c r="CC767" s="2307">
        <f t="shared" ca="1" si="2117"/>
        <v>0</v>
      </c>
      <c r="CD767" s="2307">
        <f t="shared" ca="1" si="2117"/>
        <v>0</v>
      </c>
      <c r="CE767" s="2307">
        <f t="shared" ca="1" si="2117"/>
        <v>0</v>
      </c>
      <c r="CF767" s="2307">
        <f t="shared" ca="1" si="2117"/>
        <v>0</v>
      </c>
      <c r="CG767" s="2307">
        <f t="shared" ca="1" si="2117"/>
        <v>0</v>
      </c>
      <c r="CH767" s="2307">
        <f t="shared" ca="1" si="2117"/>
        <v>0</v>
      </c>
      <c r="CI767" s="2307">
        <f t="shared" ca="1" si="2117"/>
        <v>0</v>
      </c>
      <c r="CJ767" s="2307">
        <f t="shared" ca="1" si="2117"/>
        <v>0</v>
      </c>
      <c r="CK767" s="2307">
        <f t="shared" ca="1" si="2117"/>
        <v>0</v>
      </c>
      <c r="CL767" s="2307">
        <f t="shared" ca="1" si="2117"/>
        <v>0</v>
      </c>
      <c r="CM767" s="2307">
        <f t="shared" ca="1" si="2118"/>
        <v>0</v>
      </c>
      <c r="CN767" s="2307">
        <f t="shared" ca="1" si="2118"/>
        <v>0</v>
      </c>
      <c r="CO767" s="2307">
        <f t="shared" ca="1" si="2118"/>
        <v>0</v>
      </c>
      <c r="CP767" s="2307">
        <f t="shared" ca="1" si="2118"/>
        <v>0</v>
      </c>
      <c r="CQ767" s="2307">
        <f t="shared" ca="1" si="2118"/>
        <v>0</v>
      </c>
      <c r="CR767" s="2307">
        <f t="shared" ca="1" si="2118"/>
        <v>0</v>
      </c>
      <c r="CS767" s="2307">
        <f t="shared" ca="1" si="2118"/>
        <v>0</v>
      </c>
      <c r="CT767" s="2307">
        <f t="shared" ca="1" si="2118"/>
        <v>0</v>
      </c>
      <c r="CU767" s="2307">
        <f t="shared" ca="1" si="2118"/>
        <v>0</v>
      </c>
      <c r="CV767" s="2307">
        <f t="shared" ca="1" si="2118"/>
        <v>0</v>
      </c>
      <c r="CW767" s="2307">
        <f t="shared" ca="1" si="2118"/>
        <v>0</v>
      </c>
      <c r="CX767" s="2307">
        <f t="shared" ca="1" si="2118"/>
        <v>0</v>
      </c>
      <c r="CY767" s="2307">
        <f t="shared" ca="1" si="2118"/>
        <v>0</v>
      </c>
      <c r="CZ767" s="2307">
        <f t="shared" ca="1" si="2118"/>
        <v>0</v>
      </c>
      <c r="DA767" s="2307">
        <f t="shared" ca="1" si="2118"/>
        <v>0</v>
      </c>
      <c r="DB767" s="2307">
        <f t="shared" ca="1" si="2118"/>
        <v>0</v>
      </c>
      <c r="DC767" s="2307">
        <f t="shared" ca="1" si="2118"/>
        <v>0</v>
      </c>
      <c r="DD767" s="2307">
        <f t="shared" ca="1" si="2118"/>
        <v>0</v>
      </c>
      <c r="DE767" s="2307">
        <f t="shared" ca="1" si="2118"/>
        <v>0</v>
      </c>
      <c r="DF767" s="2307">
        <f t="shared" ca="1" si="2118"/>
        <v>0</v>
      </c>
      <c r="DG767" s="2307">
        <f t="shared" ca="1" si="2118"/>
        <v>0</v>
      </c>
      <c r="DH767" s="2307">
        <f t="shared" ca="1" si="2118"/>
        <v>0</v>
      </c>
      <c r="DI767" s="2307">
        <f t="shared" ca="1" si="2118"/>
        <v>0</v>
      </c>
      <c r="DJ767" s="2307">
        <f t="shared" ca="1" si="2118"/>
        <v>0</v>
      </c>
      <c r="DK767" s="2307">
        <f t="shared" ca="1" si="2118"/>
        <v>0</v>
      </c>
      <c r="DL767" s="2307">
        <f t="shared" ca="1" si="2118"/>
        <v>0</v>
      </c>
      <c r="DM767" s="2307">
        <f t="shared" ca="1" si="2118"/>
        <v>0</v>
      </c>
      <c r="DN767" s="2307">
        <f t="shared" ca="1" si="2118"/>
        <v>0</v>
      </c>
      <c r="DO767" s="2307">
        <f t="shared" ca="1" si="2118"/>
        <v>0</v>
      </c>
      <c r="DP767" s="2307">
        <f t="shared" ca="1" si="2118"/>
        <v>0</v>
      </c>
    </row>
    <row r="768" spans="1:120" hidden="1" outlineLevel="1">
      <c r="A768" s="55"/>
      <c r="B768" s="509"/>
      <c r="C768" s="679"/>
      <c r="D768" s="1469"/>
      <c r="E768" s="1470"/>
      <c r="F768" s="1251"/>
      <c r="G768" s="1251"/>
      <c r="H768" s="511"/>
      <c r="I768" s="512"/>
      <c r="J768" s="1425"/>
      <c r="K768" s="1426"/>
      <c r="L768" s="438"/>
      <c r="M768" s="1336">
        <f t="shared" si="2108"/>
        <v>0</v>
      </c>
      <c r="N768" s="504"/>
      <c r="O768" s="513">
        <f t="shared" si="2127"/>
        <v>0</v>
      </c>
      <c r="P768" s="514"/>
      <c r="Q768" s="514">
        <f t="shared" si="2110"/>
        <v>0</v>
      </c>
      <c r="R768" s="515"/>
      <c r="S768" s="515"/>
      <c r="T768" s="562">
        <f t="shared" si="2111"/>
        <v>0</v>
      </c>
      <c r="U768" s="1493">
        <f t="shared" si="2112"/>
        <v>0</v>
      </c>
      <c r="V768" s="1127">
        <f t="shared" si="2116"/>
        <v>0</v>
      </c>
      <c r="W768" s="976">
        <f t="shared" si="2114"/>
        <v>0</v>
      </c>
      <c r="X768" s="975">
        <f t="shared" si="2115"/>
        <v>0</v>
      </c>
      <c r="Y768" s="519"/>
      <c r="AA768" s="1555">
        <f t="shared" si="2117"/>
        <v>0</v>
      </c>
      <c r="AB768" s="623">
        <f t="shared" si="2117"/>
        <v>0</v>
      </c>
      <c r="AC768" s="623">
        <f t="shared" si="2117"/>
        <v>0</v>
      </c>
      <c r="AD768" s="623">
        <f t="shared" si="2117"/>
        <v>0</v>
      </c>
      <c r="AE768" s="623">
        <f t="shared" si="2117"/>
        <v>0</v>
      </c>
      <c r="AF768" s="580">
        <f t="shared" si="2117"/>
        <v>0</v>
      </c>
      <c r="AG768" s="580">
        <f t="shared" si="2117"/>
        <v>0</v>
      </c>
      <c r="AH768" s="580">
        <f t="shared" si="2117"/>
        <v>0</v>
      </c>
      <c r="AI768" s="580">
        <f t="shared" si="2117"/>
        <v>0</v>
      </c>
      <c r="AJ768" s="580">
        <f t="shared" si="2117"/>
        <v>0</v>
      </c>
      <c r="AK768" s="580">
        <f t="shared" si="2117"/>
        <v>0</v>
      </c>
      <c r="AL768" s="1513">
        <f t="shared" si="2117"/>
        <v>0</v>
      </c>
      <c r="AM768" s="580">
        <f t="shared" si="2117"/>
        <v>0</v>
      </c>
      <c r="AN768" s="580">
        <f t="shared" si="2117"/>
        <v>0</v>
      </c>
      <c r="AO768" s="580">
        <f t="shared" si="2117"/>
        <v>0</v>
      </c>
      <c r="AP768" s="580">
        <f t="shared" si="2117"/>
        <v>0</v>
      </c>
      <c r="AQ768" s="580">
        <f t="shared" si="2117"/>
        <v>0</v>
      </c>
      <c r="AR768" s="580">
        <f t="shared" si="2117"/>
        <v>0</v>
      </c>
      <c r="AS768" s="580">
        <f t="shared" si="2117"/>
        <v>0</v>
      </c>
      <c r="AT768" s="580">
        <f t="shared" si="2117"/>
        <v>0</v>
      </c>
      <c r="AU768" s="580">
        <f t="shared" si="2117"/>
        <v>0</v>
      </c>
      <c r="AV768" s="580">
        <f t="shared" si="2117"/>
        <v>0</v>
      </c>
      <c r="AW768" s="580">
        <f t="shared" si="2117"/>
        <v>0</v>
      </c>
      <c r="AX768" s="580">
        <f t="shared" si="2117"/>
        <v>0</v>
      </c>
      <c r="AY768" s="580">
        <f t="shared" si="2117"/>
        <v>0</v>
      </c>
      <c r="AZ768" s="580">
        <f t="shared" si="2117"/>
        <v>0</v>
      </c>
      <c r="BA768" s="580">
        <f t="shared" si="2117"/>
        <v>0</v>
      </c>
      <c r="BB768" s="580">
        <f t="shared" si="2117"/>
        <v>0</v>
      </c>
      <c r="BC768" s="580">
        <f t="shared" si="2117"/>
        <v>0</v>
      </c>
      <c r="BD768" s="580">
        <f t="shared" si="2117"/>
        <v>0</v>
      </c>
      <c r="BE768" s="580">
        <f t="shared" si="2117"/>
        <v>0</v>
      </c>
      <c r="BF768" s="580">
        <f t="shared" si="2117"/>
        <v>0</v>
      </c>
      <c r="BG768" s="580">
        <f t="shared" si="2117"/>
        <v>0</v>
      </c>
      <c r="BH768" s="580">
        <f t="shared" si="2117"/>
        <v>0</v>
      </c>
      <c r="BI768" s="580">
        <f t="shared" si="2117"/>
        <v>0</v>
      </c>
      <c r="BJ768" s="580">
        <f t="shared" si="2117"/>
        <v>0</v>
      </c>
      <c r="BK768" s="580">
        <f t="shared" si="2117"/>
        <v>0</v>
      </c>
      <c r="BL768" s="580">
        <f t="shared" si="2117"/>
        <v>0</v>
      </c>
      <c r="BM768" s="580">
        <f t="shared" si="2117"/>
        <v>0</v>
      </c>
      <c r="BN768" s="580">
        <f t="shared" si="2117"/>
        <v>0</v>
      </c>
      <c r="BO768" s="580">
        <f t="shared" si="2117"/>
        <v>0</v>
      </c>
      <c r="BP768" s="580">
        <f t="shared" si="2117"/>
        <v>0</v>
      </c>
      <c r="BQ768" s="580">
        <f t="shared" si="2117"/>
        <v>0</v>
      </c>
      <c r="BR768" s="580">
        <f t="shared" si="2117"/>
        <v>0</v>
      </c>
      <c r="BS768" s="580">
        <f t="shared" si="2117"/>
        <v>0</v>
      </c>
      <c r="BT768" s="580">
        <f t="shared" si="2117"/>
        <v>0</v>
      </c>
      <c r="BU768" s="580">
        <f t="shared" si="2117"/>
        <v>0</v>
      </c>
      <c r="BV768" s="580">
        <f t="shared" si="2117"/>
        <v>0</v>
      </c>
      <c r="BW768" s="580">
        <f t="shared" si="2117"/>
        <v>0</v>
      </c>
      <c r="BX768" s="580">
        <f t="shared" si="2117"/>
        <v>0</v>
      </c>
      <c r="BY768" s="580">
        <f t="shared" si="2117"/>
        <v>0</v>
      </c>
      <c r="BZ768" s="580">
        <f t="shared" si="2117"/>
        <v>0</v>
      </c>
      <c r="CA768" s="580">
        <f t="shared" si="2117"/>
        <v>0</v>
      </c>
      <c r="CB768" s="580">
        <f t="shared" si="2117"/>
        <v>0</v>
      </c>
      <c r="CC768" s="580">
        <f t="shared" si="2117"/>
        <v>0</v>
      </c>
      <c r="CD768" s="580">
        <f t="shared" si="2117"/>
        <v>0</v>
      </c>
      <c r="CE768" s="580">
        <f t="shared" si="2117"/>
        <v>0</v>
      </c>
      <c r="CF768" s="580">
        <f t="shared" si="2117"/>
        <v>0</v>
      </c>
      <c r="CG768" s="580">
        <f t="shared" si="2117"/>
        <v>0</v>
      </c>
      <c r="CH768" s="580">
        <f t="shared" si="2117"/>
        <v>0</v>
      </c>
      <c r="CI768" s="580">
        <f t="shared" si="2117"/>
        <v>0</v>
      </c>
      <c r="CJ768" s="580">
        <f t="shared" si="2117"/>
        <v>0</v>
      </c>
      <c r="CK768" s="580">
        <f t="shared" si="2117"/>
        <v>0</v>
      </c>
      <c r="CL768" s="580">
        <f t="shared" ref="CL768:DP768" si="2128">IF($L768="",IF(OR($P768="",$R768=""),0,IF($R768=CL$6,$Q768,0)),IF($E768=CL$5,$M768,))</f>
        <v>0</v>
      </c>
      <c r="CM768" s="580">
        <f t="shared" si="2128"/>
        <v>0</v>
      </c>
      <c r="CN768" s="580">
        <f t="shared" si="2128"/>
        <v>0</v>
      </c>
      <c r="CO768" s="580">
        <f t="shared" si="2128"/>
        <v>0</v>
      </c>
      <c r="CP768" s="580">
        <f t="shared" si="2128"/>
        <v>0</v>
      </c>
      <c r="CQ768" s="580">
        <f t="shared" si="2128"/>
        <v>0</v>
      </c>
      <c r="CR768" s="580">
        <f t="shared" si="2128"/>
        <v>0</v>
      </c>
      <c r="CS768" s="580">
        <f t="shared" si="2128"/>
        <v>0</v>
      </c>
      <c r="CT768" s="580">
        <f t="shared" si="2128"/>
        <v>0</v>
      </c>
      <c r="CU768" s="580">
        <f t="shared" si="2128"/>
        <v>0</v>
      </c>
      <c r="CV768" s="580">
        <f t="shared" si="2128"/>
        <v>0</v>
      </c>
      <c r="CW768" s="580">
        <f t="shared" si="2128"/>
        <v>0</v>
      </c>
      <c r="CX768" s="580">
        <f t="shared" si="2128"/>
        <v>0</v>
      </c>
      <c r="CY768" s="580">
        <f t="shared" si="2128"/>
        <v>0</v>
      </c>
      <c r="CZ768" s="580">
        <f t="shared" si="2128"/>
        <v>0</v>
      </c>
      <c r="DA768" s="580">
        <f t="shared" si="2128"/>
        <v>0</v>
      </c>
      <c r="DB768" s="580">
        <f t="shared" si="2128"/>
        <v>0</v>
      </c>
      <c r="DC768" s="580">
        <f t="shared" si="2128"/>
        <v>0</v>
      </c>
      <c r="DD768" s="580">
        <f t="shared" si="2128"/>
        <v>0</v>
      </c>
      <c r="DE768" s="580">
        <f t="shared" si="2128"/>
        <v>0</v>
      </c>
      <c r="DF768" s="580">
        <f t="shared" si="2128"/>
        <v>0</v>
      </c>
      <c r="DG768" s="580">
        <f t="shared" si="2128"/>
        <v>0</v>
      </c>
      <c r="DH768" s="580">
        <f t="shared" si="2128"/>
        <v>0</v>
      </c>
      <c r="DI768" s="580">
        <f t="shared" si="2128"/>
        <v>0</v>
      </c>
      <c r="DJ768" s="580">
        <f t="shared" si="2128"/>
        <v>0</v>
      </c>
      <c r="DK768" s="580">
        <f t="shared" si="2128"/>
        <v>0</v>
      </c>
      <c r="DL768" s="580">
        <f t="shared" si="2128"/>
        <v>0</v>
      </c>
      <c r="DM768" s="580">
        <f t="shared" si="2128"/>
        <v>0</v>
      </c>
      <c r="DN768" s="580">
        <f t="shared" si="2128"/>
        <v>0</v>
      </c>
      <c r="DO768" s="580">
        <f t="shared" si="2128"/>
        <v>0</v>
      </c>
      <c r="DP768" s="580">
        <f t="shared" si="2128"/>
        <v>0</v>
      </c>
    </row>
    <row r="769" spans="1:120" ht="16.5" collapsed="1" thickBot="1">
      <c r="A769" s="62" t="s">
        <v>226</v>
      </c>
      <c r="B769" s="63"/>
      <c r="C769" s="184"/>
      <c r="D769" s="1473"/>
      <c r="E769" s="1474"/>
      <c r="F769" s="1253">
        <f>SUM(F765:F768)</f>
        <v>0</v>
      </c>
      <c r="G769" s="166"/>
      <c r="H769" s="67"/>
      <c r="I769" s="167">
        <f>SUM(I765:I768)</f>
        <v>0</v>
      </c>
      <c r="J769" s="1376"/>
      <c r="K769" s="76"/>
      <c r="L769" s="168">
        <f>SUM(L765:L768)</f>
        <v>0</v>
      </c>
      <c r="M769" s="168"/>
      <c r="N769" s="70"/>
      <c r="O769" s="169">
        <f ca="1">SUM(O765:O768)</f>
        <v>0</v>
      </c>
      <c r="P769" s="170">
        <f>SUM(P765:P768)</f>
        <v>-264.10000000000002</v>
      </c>
      <c r="Q769" s="170"/>
      <c r="R769" s="73"/>
      <c r="S769" s="73"/>
      <c r="T769" s="171">
        <f ca="1">SUM(T765:T768)</f>
        <v>-1247411.8199999998</v>
      </c>
      <c r="U769" s="166">
        <f>SUM(U765:U768)</f>
        <v>-264.10000000000002</v>
      </c>
      <c r="V769" s="167">
        <f ca="1">SUM(V765:V768)</f>
        <v>-1158876.0820000002</v>
      </c>
      <c r="W769" s="78">
        <f ca="1">SUM(W765:W768)</f>
        <v>0</v>
      </c>
      <c r="X769" s="78">
        <f ca="1">SUM(X765:X768)</f>
        <v>-88535.737999999779</v>
      </c>
      <c r="Y769" s="43"/>
      <c r="AA769" s="192">
        <f t="shared" ref="AA769:BF769" ca="1" si="2129">SUM(AA763:AA768)</f>
        <v>0</v>
      </c>
      <c r="AB769" s="172">
        <f t="shared" ca="1" si="2129"/>
        <v>0</v>
      </c>
      <c r="AC769" s="172">
        <f t="shared" ca="1" si="2129"/>
        <v>0</v>
      </c>
      <c r="AD769" s="172">
        <f t="shared" ca="1" si="2129"/>
        <v>0</v>
      </c>
      <c r="AE769" s="172">
        <f t="shared" ca="1" si="2129"/>
        <v>1490.9</v>
      </c>
      <c r="AF769" s="172">
        <f t="shared" ca="1" si="2129"/>
        <v>0</v>
      </c>
      <c r="AG769" s="172">
        <f t="shared" ca="1" si="2129"/>
        <v>0</v>
      </c>
      <c r="AH769" s="172">
        <f t="shared" ca="1" si="2129"/>
        <v>0</v>
      </c>
      <c r="AI769" s="172">
        <f t="shared" ca="1" si="2129"/>
        <v>0</v>
      </c>
      <c r="AJ769" s="172">
        <f t="shared" ca="1" si="2129"/>
        <v>0</v>
      </c>
      <c r="AK769" s="172">
        <f t="shared" ca="1" si="2129"/>
        <v>0</v>
      </c>
      <c r="AL769" s="172">
        <f t="shared" ca="1" si="2129"/>
        <v>0</v>
      </c>
      <c r="AM769" s="172">
        <f t="shared" ca="1" si="2129"/>
        <v>0</v>
      </c>
      <c r="AN769" s="172">
        <f t="shared" ca="1" si="2129"/>
        <v>0</v>
      </c>
      <c r="AO769" s="172">
        <f t="shared" ca="1" si="2129"/>
        <v>0</v>
      </c>
      <c r="AP769" s="172">
        <f t="shared" ca="1" si="2129"/>
        <v>0</v>
      </c>
      <c r="AQ769" s="172">
        <f t="shared" ca="1" si="2129"/>
        <v>0</v>
      </c>
      <c r="AR769" s="172">
        <f t="shared" ca="1" si="2129"/>
        <v>0</v>
      </c>
      <c r="AS769" s="172">
        <f t="shared" ca="1" si="2129"/>
        <v>0</v>
      </c>
      <c r="AT769" s="172">
        <f t="shared" ca="1" si="2129"/>
        <v>0</v>
      </c>
      <c r="AU769" s="172">
        <f t="shared" ca="1" si="2129"/>
        <v>0</v>
      </c>
      <c r="AV769" s="172">
        <f t="shared" ca="1" si="2129"/>
        <v>0</v>
      </c>
      <c r="AW769" s="172">
        <f t="shared" ca="1" si="2129"/>
        <v>0</v>
      </c>
      <c r="AX769" s="172">
        <f t="shared" ca="1" si="2129"/>
        <v>0</v>
      </c>
      <c r="AY769" s="172">
        <f t="shared" ca="1" si="2129"/>
        <v>0</v>
      </c>
      <c r="AZ769" s="172">
        <f t="shared" ca="1" si="2129"/>
        <v>0</v>
      </c>
      <c r="BA769" s="172">
        <f t="shared" ca="1" si="2129"/>
        <v>0</v>
      </c>
      <c r="BB769" s="172">
        <f t="shared" ca="1" si="2129"/>
        <v>0</v>
      </c>
      <c r="BC769" s="172">
        <f t="shared" ca="1" si="2129"/>
        <v>0</v>
      </c>
      <c r="BD769" s="172">
        <f t="shared" ca="1" si="2129"/>
        <v>0</v>
      </c>
      <c r="BE769" s="172">
        <f t="shared" ca="1" si="2129"/>
        <v>0</v>
      </c>
      <c r="BF769" s="172">
        <f t="shared" ca="1" si="2129"/>
        <v>0</v>
      </c>
      <c r="BG769" s="172">
        <f t="shared" ref="BG769:CL769" ca="1" si="2130">SUM(BG763:BG768)</f>
        <v>0</v>
      </c>
      <c r="BH769" s="172">
        <f t="shared" ca="1" si="2130"/>
        <v>0</v>
      </c>
      <c r="BI769" s="172">
        <f t="shared" ca="1" si="2130"/>
        <v>0</v>
      </c>
      <c r="BJ769" s="172">
        <f t="shared" ca="1" si="2130"/>
        <v>0</v>
      </c>
      <c r="BK769" s="172">
        <f t="shared" ca="1" si="2130"/>
        <v>0</v>
      </c>
      <c r="BL769" s="172">
        <f t="shared" ca="1" si="2130"/>
        <v>0</v>
      </c>
      <c r="BM769" s="172">
        <f t="shared" ca="1" si="2130"/>
        <v>0</v>
      </c>
      <c r="BN769" s="172">
        <f t="shared" ca="1" si="2130"/>
        <v>0</v>
      </c>
      <c r="BO769" s="172">
        <f t="shared" ca="1" si="2130"/>
        <v>0</v>
      </c>
      <c r="BP769" s="172">
        <f t="shared" ca="1" si="2130"/>
        <v>0</v>
      </c>
      <c r="BQ769" s="172">
        <f t="shared" ca="1" si="2130"/>
        <v>0</v>
      </c>
      <c r="BR769" s="172">
        <f t="shared" ca="1" si="2130"/>
        <v>0</v>
      </c>
      <c r="BS769" s="172">
        <f t="shared" ca="1" si="2130"/>
        <v>0</v>
      </c>
      <c r="BT769" s="172">
        <f t="shared" ca="1" si="2130"/>
        <v>0</v>
      </c>
      <c r="BU769" s="172">
        <f t="shared" ca="1" si="2130"/>
        <v>0</v>
      </c>
      <c r="BV769" s="172">
        <f t="shared" ca="1" si="2130"/>
        <v>0</v>
      </c>
      <c r="BW769" s="172">
        <f t="shared" ca="1" si="2130"/>
        <v>0</v>
      </c>
      <c r="BX769" s="172">
        <f t="shared" ca="1" si="2130"/>
        <v>0</v>
      </c>
      <c r="BY769" s="172">
        <f t="shared" ca="1" si="2130"/>
        <v>0</v>
      </c>
      <c r="BZ769" s="172">
        <f t="shared" ca="1" si="2130"/>
        <v>0</v>
      </c>
      <c r="CA769" s="172">
        <f t="shared" ca="1" si="2130"/>
        <v>0</v>
      </c>
      <c r="CB769" s="172">
        <f t="shared" ca="1" si="2130"/>
        <v>0</v>
      </c>
      <c r="CC769" s="172">
        <f t="shared" ca="1" si="2130"/>
        <v>0</v>
      </c>
      <c r="CD769" s="172">
        <f t="shared" ca="1" si="2130"/>
        <v>0</v>
      </c>
      <c r="CE769" s="172">
        <f t="shared" ca="1" si="2130"/>
        <v>0</v>
      </c>
      <c r="CF769" s="172">
        <f t="shared" ca="1" si="2130"/>
        <v>0</v>
      </c>
      <c r="CG769" s="172">
        <f t="shared" ca="1" si="2130"/>
        <v>0</v>
      </c>
      <c r="CH769" s="172">
        <f t="shared" ca="1" si="2130"/>
        <v>0</v>
      </c>
      <c r="CI769" s="172">
        <f t="shared" ca="1" si="2130"/>
        <v>0</v>
      </c>
      <c r="CJ769" s="172">
        <f t="shared" ca="1" si="2130"/>
        <v>0</v>
      </c>
      <c r="CK769" s="172">
        <f t="shared" ca="1" si="2130"/>
        <v>0</v>
      </c>
      <c r="CL769" s="172">
        <f t="shared" ca="1" si="2130"/>
        <v>0</v>
      </c>
      <c r="CM769" s="172">
        <f t="shared" ref="CM769:DP769" ca="1" si="2131">SUM(CM763:CM768)</f>
        <v>0</v>
      </c>
      <c r="CN769" s="172">
        <f t="shared" ca="1" si="2131"/>
        <v>0</v>
      </c>
      <c r="CO769" s="172">
        <f t="shared" ca="1" si="2131"/>
        <v>0</v>
      </c>
      <c r="CP769" s="172">
        <f t="shared" ca="1" si="2131"/>
        <v>0</v>
      </c>
      <c r="CQ769" s="172">
        <f t="shared" ca="1" si="2131"/>
        <v>0</v>
      </c>
      <c r="CR769" s="172">
        <f t="shared" ca="1" si="2131"/>
        <v>0</v>
      </c>
      <c r="CS769" s="172">
        <f t="shared" ca="1" si="2131"/>
        <v>0</v>
      </c>
      <c r="CT769" s="172">
        <f t="shared" ca="1" si="2131"/>
        <v>0</v>
      </c>
      <c r="CU769" s="172">
        <f t="shared" ca="1" si="2131"/>
        <v>0</v>
      </c>
      <c r="CV769" s="172">
        <f t="shared" ca="1" si="2131"/>
        <v>0</v>
      </c>
      <c r="CW769" s="172">
        <f t="shared" ca="1" si="2131"/>
        <v>0</v>
      </c>
      <c r="CX769" s="172">
        <f t="shared" ca="1" si="2131"/>
        <v>0</v>
      </c>
      <c r="CY769" s="172">
        <f t="shared" ca="1" si="2131"/>
        <v>0</v>
      </c>
      <c r="CZ769" s="172">
        <f t="shared" ca="1" si="2131"/>
        <v>0</v>
      </c>
      <c r="DA769" s="172">
        <f t="shared" ca="1" si="2131"/>
        <v>0</v>
      </c>
      <c r="DB769" s="172">
        <f t="shared" ca="1" si="2131"/>
        <v>0</v>
      </c>
      <c r="DC769" s="172">
        <f t="shared" ca="1" si="2131"/>
        <v>0</v>
      </c>
      <c r="DD769" s="172">
        <f t="shared" ca="1" si="2131"/>
        <v>0</v>
      </c>
      <c r="DE769" s="172">
        <f t="shared" ca="1" si="2131"/>
        <v>0</v>
      </c>
      <c r="DF769" s="172">
        <f t="shared" ca="1" si="2131"/>
        <v>0</v>
      </c>
      <c r="DG769" s="172">
        <f t="shared" ca="1" si="2131"/>
        <v>0</v>
      </c>
      <c r="DH769" s="172">
        <f t="shared" ca="1" si="2131"/>
        <v>0</v>
      </c>
      <c r="DI769" s="172">
        <f t="shared" ca="1" si="2131"/>
        <v>0</v>
      </c>
      <c r="DJ769" s="172">
        <f t="shared" ca="1" si="2131"/>
        <v>0</v>
      </c>
      <c r="DK769" s="172">
        <f t="shared" ca="1" si="2131"/>
        <v>0</v>
      </c>
      <c r="DL769" s="172">
        <f t="shared" ca="1" si="2131"/>
        <v>0</v>
      </c>
      <c r="DM769" s="172">
        <f t="shared" ca="1" si="2131"/>
        <v>0</v>
      </c>
      <c r="DN769" s="172">
        <f t="shared" ca="1" si="2131"/>
        <v>0</v>
      </c>
      <c r="DO769" s="172">
        <f t="shared" ca="1" si="2131"/>
        <v>0</v>
      </c>
      <c r="DP769" s="172">
        <f t="shared" ca="1" si="2131"/>
        <v>0</v>
      </c>
    </row>
    <row r="770" spans="1:120"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  <c r="CD770" s="24"/>
      <c r="CE770" s="24"/>
      <c r="CF770" s="24"/>
      <c r="CG770" s="24"/>
      <c r="CH770" s="24"/>
      <c r="CI770" s="24"/>
      <c r="CJ770" s="24"/>
      <c r="CK770" s="24"/>
      <c r="CL770" s="24"/>
      <c r="CM770" s="24"/>
      <c r="CN770" s="24"/>
      <c r="CO770" s="24"/>
      <c r="CP770" s="24"/>
      <c r="CQ770" s="24"/>
      <c r="CR770" s="24"/>
      <c r="CS770" s="24"/>
      <c r="CT770" s="24"/>
      <c r="CU770" s="24"/>
      <c r="CV770" s="24"/>
      <c r="CW770" s="24"/>
      <c r="CX770" s="24"/>
      <c r="CY770" s="24"/>
      <c r="CZ770" s="24"/>
      <c r="DA770" s="24"/>
      <c r="DB770" s="24"/>
      <c r="DC770" s="24"/>
      <c r="DD770" s="24"/>
      <c r="DE770" s="24"/>
      <c r="DF770" s="24"/>
      <c r="DG770" s="24"/>
      <c r="DH770" s="24"/>
      <c r="DI770" s="24"/>
      <c r="DJ770" s="24"/>
      <c r="DK770" s="24"/>
      <c r="DL770" s="24"/>
      <c r="DM770" s="24"/>
      <c r="DN770" s="24"/>
      <c r="DO770" s="24"/>
      <c r="DP770" s="24"/>
    </row>
    <row r="771" spans="1:120" hidden="1" outlineLevel="1">
      <c r="A771" s="640">
        <v>1110061050</v>
      </c>
      <c r="B771" s="573" t="s">
        <v>78</v>
      </c>
      <c r="C771" s="1488" t="s">
        <v>64</v>
      </c>
      <c r="D771" s="1489"/>
      <c r="E771" s="1490"/>
      <c r="F771" s="643"/>
      <c r="G771" s="1262"/>
      <c r="H771" s="644"/>
      <c r="I771" s="645"/>
      <c r="J771" s="1483">
        <v>1</v>
      </c>
      <c r="K771" s="1484">
        <v>1</v>
      </c>
      <c r="L771" s="646"/>
      <c r="M771" s="1428">
        <f t="shared" ref="M771:M773" si="2132">+L771*J771</f>
        <v>0</v>
      </c>
      <c r="N771" s="647"/>
      <c r="O771" s="648">
        <f t="shared" ref="O771:O773" si="2133">+L771*J771*N771</f>
        <v>0</v>
      </c>
      <c r="P771" s="649"/>
      <c r="Q771" s="649">
        <f t="shared" ref="Q771:Q773" si="2134">+P771*K771</f>
        <v>0</v>
      </c>
      <c r="R771" s="650"/>
      <c r="S771" s="650"/>
      <c r="T771" s="651">
        <f t="shared" ref="T771:T773" si="2135">+P771*K771*S771</f>
        <v>0</v>
      </c>
      <c r="U771" s="1301">
        <f t="shared" ref="U771:U773" si="2136">+L771+P771+F771</f>
        <v>0</v>
      </c>
      <c r="V771" s="651">
        <f>+P771*J771*R771+L771*J771*N771+F771*J771*H771</f>
        <v>0</v>
      </c>
      <c r="W771" s="653">
        <f t="shared" ref="W771:W773" si="2137">IF((-P771*J771*R771)-(-P771*K771*S771)&gt;0,(-P771*J771*R771)-(-P771*K771*S771),0)</f>
        <v>0</v>
      </c>
      <c r="X771" s="654">
        <f t="shared" ref="X771:X773" si="2138">IF((-P771*J771*R771)-(-P771*K771*S771)&lt;0,(-P771*J771*R771)-(-P771*K771*S771),0)</f>
        <v>0</v>
      </c>
      <c r="Y771" s="655"/>
      <c r="AA771" s="730">
        <f t="shared" ref="AA771:AD772" si="2139">IF($L771="",IF(OR($P771="",$R771=""),0,IF($R771=AA$6,$Q771,0)),IF($E771=AA$5,$M771,))</f>
        <v>0</v>
      </c>
      <c r="AB771" s="577">
        <f t="shared" si="2139"/>
        <v>0</v>
      </c>
      <c r="AC771" s="577">
        <f t="shared" si="2139"/>
        <v>0</v>
      </c>
      <c r="AD771" s="577">
        <f t="shared" si="2139"/>
        <v>0</v>
      </c>
      <c r="AE771" s="577">
        <f t="shared" ref="AE771:CQ772" si="2140">IF($L771="",IF(OR($P771="",$R771=""),0,IF($R771=AE$6,$Q771,0)),IF($E771=AE$5,$M771,))</f>
        <v>0</v>
      </c>
      <c r="AF771" s="577">
        <f t="shared" si="2140"/>
        <v>0</v>
      </c>
      <c r="AG771" s="577">
        <f t="shared" si="2140"/>
        <v>0</v>
      </c>
      <c r="AH771" s="577">
        <f t="shared" si="2140"/>
        <v>0</v>
      </c>
      <c r="AI771" s="577">
        <f t="shared" si="2140"/>
        <v>0</v>
      </c>
      <c r="AJ771" s="577">
        <f t="shared" si="2140"/>
        <v>0</v>
      </c>
      <c r="AK771" s="577">
        <f t="shared" si="2140"/>
        <v>0</v>
      </c>
      <c r="AL771" s="577">
        <f t="shared" si="2140"/>
        <v>0</v>
      </c>
      <c r="AM771" s="577">
        <f t="shared" si="2140"/>
        <v>0</v>
      </c>
      <c r="AN771" s="577">
        <f t="shared" si="2140"/>
        <v>0</v>
      </c>
      <c r="AO771" s="577">
        <f t="shared" si="2140"/>
        <v>0</v>
      </c>
      <c r="AP771" s="577">
        <f t="shared" si="2140"/>
        <v>0</v>
      </c>
      <c r="AQ771" s="577">
        <f t="shared" si="2140"/>
        <v>0</v>
      </c>
      <c r="AR771" s="577">
        <f t="shared" si="2140"/>
        <v>0</v>
      </c>
      <c r="AS771" s="577">
        <f t="shared" si="2140"/>
        <v>0</v>
      </c>
      <c r="AT771" s="577">
        <f t="shared" si="2140"/>
        <v>0</v>
      </c>
      <c r="AU771" s="577">
        <f t="shared" si="2140"/>
        <v>0</v>
      </c>
      <c r="AV771" s="577">
        <f t="shared" si="2140"/>
        <v>0</v>
      </c>
      <c r="AW771" s="577">
        <f t="shared" si="2140"/>
        <v>0</v>
      </c>
      <c r="AX771" s="577">
        <f t="shared" si="2140"/>
        <v>0</v>
      </c>
      <c r="AY771" s="577">
        <f t="shared" si="2140"/>
        <v>0</v>
      </c>
      <c r="AZ771" s="577">
        <f t="shared" si="2140"/>
        <v>0</v>
      </c>
      <c r="BA771" s="577">
        <f t="shared" si="2140"/>
        <v>0</v>
      </c>
      <c r="BB771" s="577">
        <f t="shared" si="2140"/>
        <v>0</v>
      </c>
      <c r="BC771" s="577">
        <f t="shared" si="2140"/>
        <v>0</v>
      </c>
      <c r="BD771" s="577">
        <f t="shared" si="2140"/>
        <v>0</v>
      </c>
      <c r="BE771" s="577">
        <f t="shared" si="2140"/>
        <v>0</v>
      </c>
      <c r="BF771" s="577">
        <f t="shared" si="2140"/>
        <v>0</v>
      </c>
      <c r="BG771" s="577">
        <f t="shared" si="2140"/>
        <v>0</v>
      </c>
      <c r="BH771" s="577">
        <f t="shared" si="2140"/>
        <v>0</v>
      </c>
      <c r="BI771" s="577">
        <f t="shared" si="2140"/>
        <v>0</v>
      </c>
      <c r="BJ771" s="577">
        <f t="shared" si="2140"/>
        <v>0</v>
      </c>
      <c r="BK771" s="577">
        <f t="shared" si="2140"/>
        <v>0</v>
      </c>
      <c r="BL771" s="577">
        <f t="shared" si="2140"/>
        <v>0</v>
      </c>
      <c r="BM771" s="577">
        <f t="shared" si="2140"/>
        <v>0</v>
      </c>
      <c r="BN771" s="577">
        <f t="shared" si="2140"/>
        <v>0</v>
      </c>
      <c r="BO771" s="577">
        <f t="shared" si="2140"/>
        <v>0</v>
      </c>
      <c r="BP771" s="577">
        <f t="shared" si="2140"/>
        <v>0</v>
      </c>
      <c r="BQ771" s="577">
        <f t="shared" si="2140"/>
        <v>0</v>
      </c>
      <c r="BR771" s="577">
        <f t="shared" si="2140"/>
        <v>0</v>
      </c>
      <c r="BS771" s="577">
        <f t="shared" si="2140"/>
        <v>0</v>
      </c>
      <c r="BT771" s="577">
        <f t="shared" si="2140"/>
        <v>0</v>
      </c>
      <c r="BU771" s="577">
        <f t="shared" si="2140"/>
        <v>0</v>
      </c>
      <c r="BV771" s="577">
        <f t="shared" si="2140"/>
        <v>0</v>
      </c>
      <c r="BW771" s="577">
        <f t="shared" si="2140"/>
        <v>0</v>
      </c>
      <c r="BX771" s="577">
        <f t="shared" si="2140"/>
        <v>0</v>
      </c>
      <c r="BY771" s="577">
        <f t="shared" si="2140"/>
        <v>0</v>
      </c>
      <c r="BZ771" s="577">
        <f t="shared" si="2140"/>
        <v>0</v>
      </c>
      <c r="CA771" s="577">
        <f t="shared" si="2140"/>
        <v>0</v>
      </c>
      <c r="CB771" s="577">
        <f t="shared" si="2140"/>
        <v>0</v>
      </c>
      <c r="CC771" s="577">
        <f t="shared" si="2140"/>
        <v>0</v>
      </c>
      <c r="CD771" s="577">
        <f t="shared" si="2140"/>
        <v>0</v>
      </c>
      <c r="CE771" s="577">
        <f t="shared" si="2140"/>
        <v>0</v>
      </c>
      <c r="CF771" s="577">
        <f t="shared" si="2140"/>
        <v>0</v>
      </c>
      <c r="CG771" s="577">
        <f t="shared" si="2140"/>
        <v>0</v>
      </c>
      <c r="CH771" s="577">
        <f t="shared" si="2140"/>
        <v>0</v>
      </c>
      <c r="CI771" s="577">
        <f t="shared" si="2140"/>
        <v>0</v>
      </c>
      <c r="CJ771" s="577">
        <f t="shared" si="2140"/>
        <v>0</v>
      </c>
      <c r="CK771" s="577">
        <f t="shared" si="2140"/>
        <v>0</v>
      </c>
      <c r="CL771" s="577">
        <f t="shared" si="2140"/>
        <v>0</v>
      </c>
      <c r="CM771" s="577">
        <f t="shared" si="2140"/>
        <v>0</v>
      </c>
      <c r="CN771" s="577">
        <f t="shared" si="2140"/>
        <v>0</v>
      </c>
      <c r="CO771" s="577">
        <f t="shared" si="2140"/>
        <v>0</v>
      </c>
      <c r="CP771" s="577">
        <f t="shared" si="2140"/>
        <v>0</v>
      </c>
      <c r="CQ771" s="577">
        <f t="shared" si="2140"/>
        <v>0</v>
      </c>
      <c r="CR771" s="577">
        <f t="shared" ref="CR771:DP772" si="2141">IF($L771="",IF(OR($P771="",$R771=""),0,IF($R771=CR$6,$Q771,0)),IF($E771=CR$5,$M771,))</f>
        <v>0</v>
      </c>
      <c r="CS771" s="577">
        <f t="shared" si="2141"/>
        <v>0</v>
      </c>
      <c r="CT771" s="577">
        <f t="shared" si="2141"/>
        <v>0</v>
      </c>
      <c r="CU771" s="577">
        <f t="shared" si="2141"/>
        <v>0</v>
      </c>
      <c r="CV771" s="577">
        <f t="shared" si="2141"/>
        <v>0</v>
      </c>
      <c r="CW771" s="577">
        <f t="shared" si="2141"/>
        <v>0</v>
      </c>
      <c r="CX771" s="577">
        <f t="shared" si="2141"/>
        <v>0</v>
      </c>
      <c r="CY771" s="577">
        <f t="shared" si="2141"/>
        <v>0</v>
      </c>
      <c r="CZ771" s="577">
        <f t="shared" si="2141"/>
        <v>0</v>
      </c>
      <c r="DA771" s="577">
        <f t="shared" si="2141"/>
        <v>0</v>
      </c>
      <c r="DB771" s="577">
        <f t="shared" si="2141"/>
        <v>0</v>
      </c>
      <c r="DC771" s="577">
        <f t="shared" si="2141"/>
        <v>0</v>
      </c>
      <c r="DD771" s="577">
        <f t="shared" si="2141"/>
        <v>0</v>
      </c>
      <c r="DE771" s="577">
        <f t="shared" si="2141"/>
        <v>0</v>
      </c>
      <c r="DF771" s="577">
        <f t="shared" si="2141"/>
        <v>0</v>
      </c>
      <c r="DG771" s="577">
        <f t="shared" si="2141"/>
        <v>0</v>
      </c>
      <c r="DH771" s="577">
        <f t="shared" si="2141"/>
        <v>0</v>
      </c>
      <c r="DI771" s="577">
        <f t="shared" si="2141"/>
        <v>0</v>
      </c>
      <c r="DJ771" s="577">
        <f t="shared" si="2141"/>
        <v>0</v>
      </c>
      <c r="DK771" s="577">
        <f t="shared" si="2141"/>
        <v>0</v>
      </c>
      <c r="DL771" s="577">
        <f t="shared" si="2141"/>
        <v>0</v>
      </c>
      <c r="DM771" s="577">
        <f t="shared" si="2141"/>
        <v>0</v>
      </c>
      <c r="DN771" s="577">
        <f t="shared" si="2141"/>
        <v>0</v>
      </c>
      <c r="DO771" s="577">
        <f t="shared" si="2141"/>
        <v>0</v>
      </c>
      <c r="DP771" s="577">
        <f t="shared" si="2141"/>
        <v>0</v>
      </c>
    </row>
    <row r="772" spans="1:120" hidden="1" outlineLevel="1">
      <c r="A772" s="55">
        <v>1110061050</v>
      </c>
      <c r="B772" s="509" t="s">
        <v>2211</v>
      </c>
      <c r="C772" s="679" t="s">
        <v>64</v>
      </c>
      <c r="D772" s="1469"/>
      <c r="E772" s="1470">
        <v>44984</v>
      </c>
      <c r="F772" s="416"/>
      <c r="G772" s="1251"/>
      <c r="H772" s="511"/>
      <c r="I772" s="512"/>
      <c r="J772" s="1425">
        <v>1</v>
      </c>
      <c r="K772" s="1426">
        <v>1</v>
      </c>
      <c r="L772" s="417"/>
      <c r="M772" s="1336">
        <f t="shared" si="2132"/>
        <v>0</v>
      </c>
      <c r="N772" s="504"/>
      <c r="O772" s="513">
        <f t="shared" si="2133"/>
        <v>0</v>
      </c>
      <c r="P772" s="514">
        <v>-125</v>
      </c>
      <c r="Q772" s="514">
        <f t="shared" si="2134"/>
        <v>-125</v>
      </c>
      <c r="R772" s="515">
        <v>4388.0200000000004</v>
      </c>
      <c r="S772" s="515">
        <f ca="1">IF(OR(E772="",E772&gt;TODAY()),0,IF(ISERROR(VLOOKUP($E772,'TRM BanRep'!$A:$G,7,0)),0,VLOOKUP($E772,'TRM BanRep'!$A:$G,7,0)))</f>
        <v>4849.6499999999996</v>
      </c>
      <c r="T772" s="562">
        <f t="shared" ca="1" si="2135"/>
        <v>-606206.25</v>
      </c>
      <c r="U772" s="1493">
        <f t="shared" si="2136"/>
        <v>-125</v>
      </c>
      <c r="V772" s="1127">
        <f t="shared" ref="V772:V773" si="2142">+P772*J772*R772+L772*J772*N772+F772*J772*H772</f>
        <v>-548502.5</v>
      </c>
      <c r="W772" s="976">
        <f t="shared" ca="1" si="2137"/>
        <v>0</v>
      </c>
      <c r="X772" s="975">
        <f t="shared" ca="1" si="2138"/>
        <v>-57703.75</v>
      </c>
      <c r="Y772" s="519"/>
      <c r="AA772" s="199">
        <f t="shared" ca="1" si="2139"/>
        <v>0</v>
      </c>
      <c r="AB772" s="580">
        <f t="shared" ca="1" si="2139"/>
        <v>0</v>
      </c>
      <c r="AC772" s="580">
        <f t="shared" ca="1" si="2139"/>
        <v>0</v>
      </c>
      <c r="AD772" s="580">
        <f t="shared" ca="1" si="2139"/>
        <v>0</v>
      </c>
      <c r="AE772" s="580">
        <f t="shared" ca="1" si="2140"/>
        <v>-125</v>
      </c>
      <c r="AF772" s="580">
        <f t="shared" ca="1" si="2140"/>
        <v>0</v>
      </c>
      <c r="AG772" s="580">
        <f t="shared" ca="1" si="2140"/>
        <v>0</v>
      </c>
      <c r="AH772" s="580">
        <f t="shared" ca="1" si="2140"/>
        <v>0</v>
      </c>
      <c r="AI772" s="580">
        <f t="shared" ca="1" si="2140"/>
        <v>0</v>
      </c>
      <c r="AJ772" s="580">
        <f t="shared" ca="1" si="2140"/>
        <v>0</v>
      </c>
      <c r="AK772" s="580">
        <f t="shared" ca="1" si="2140"/>
        <v>0</v>
      </c>
      <c r="AL772" s="1513">
        <f t="shared" ca="1" si="2140"/>
        <v>0</v>
      </c>
      <c r="AM772" s="580">
        <f t="shared" ca="1" si="2140"/>
        <v>0</v>
      </c>
      <c r="AN772" s="580">
        <f t="shared" ca="1" si="2140"/>
        <v>0</v>
      </c>
      <c r="AO772" s="580">
        <f t="shared" ca="1" si="2140"/>
        <v>0</v>
      </c>
      <c r="AP772" s="580">
        <f t="shared" ca="1" si="2140"/>
        <v>0</v>
      </c>
      <c r="AQ772" s="580">
        <f t="shared" ca="1" si="2140"/>
        <v>0</v>
      </c>
      <c r="AR772" s="580">
        <f t="shared" ca="1" si="2140"/>
        <v>0</v>
      </c>
      <c r="AS772" s="580">
        <f t="shared" ca="1" si="2140"/>
        <v>0</v>
      </c>
      <c r="AT772" s="580">
        <f t="shared" ca="1" si="2140"/>
        <v>0</v>
      </c>
      <c r="AU772" s="580">
        <f t="shared" ca="1" si="2140"/>
        <v>0</v>
      </c>
      <c r="AV772" s="580">
        <f t="shared" ca="1" si="2140"/>
        <v>0</v>
      </c>
      <c r="AW772" s="580">
        <f t="shared" ca="1" si="2140"/>
        <v>0</v>
      </c>
      <c r="AX772" s="580">
        <f t="shared" ca="1" si="2140"/>
        <v>0</v>
      </c>
      <c r="AY772" s="580">
        <f t="shared" ca="1" si="2140"/>
        <v>0</v>
      </c>
      <c r="AZ772" s="580">
        <f t="shared" ca="1" si="2140"/>
        <v>0</v>
      </c>
      <c r="BA772" s="580">
        <f t="shared" ca="1" si="2140"/>
        <v>0</v>
      </c>
      <c r="BB772" s="580">
        <f t="shared" ca="1" si="2140"/>
        <v>0</v>
      </c>
      <c r="BC772" s="580">
        <f t="shared" ca="1" si="2140"/>
        <v>0</v>
      </c>
      <c r="BD772" s="580">
        <f t="shared" ca="1" si="2140"/>
        <v>0</v>
      </c>
      <c r="BE772" s="580">
        <f t="shared" ca="1" si="2140"/>
        <v>0</v>
      </c>
      <c r="BF772" s="580">
        <f t="shared" ca="1" si="2140"/>
        <v>0</v>
      </c>
      <c r="BG772" s="580">
        <f t="shared" ca="1" si="2140"/>
        <v>0</v>
      </c>
      <c r="BH772" s="580">
        <f t="shared" ca="1" si="2140"/>
        <v>0</v>
      </c>
      <c r="BI772" s="580">
        <f t="shared" ca="1" si="2140"/>
        <v>0</v>
      </c>
      <c r="BJ772" s="580">
        <f t="shared" ca="1" si="2140"/>
        <v>0</v>
      </c>
      <c r="BK772" s="580">
        <f t="shared" ca="1" si="2140"/>
        <v>0</v>
      </c>
      <c r="BL772" s="580">
        <f t="shared" ca="1" si="2140"/>
        <v>0</v>
      </c>
      <c r="BM772" s="580">
        <f t="shared" ca="1" si="2140"/>
        <v>0</v>
      </c>
      <c r="BN772" s="580">
        <f t="shared" ca="1" si="2140"/>
        <v>0</v>
      </c>
      <c r="BO772" s="580">
        <f t="shared" ca="1" si="2140"/>
        <v>0</v>
      </c>
      <c r="BP772" s="580">
        <f t="shared" ca="1" si="2140"/>
        <v>0</v>
      </c>
      <c r="BQ772" s="580">
        <f t="shared" ca="1" si="2140"/>
        <v>0</v>
      </c>
      <c r="BR772" s="580">
        <f t="shared" ca="1" si="2140"/>
        <v>0</v>
      </c>
      <c r="BS772" s="580">
        <f t="shared" ca="1" si="2140"/>
        <v>0</v>
      </c>
      <c r="BT772" s="580">
        <f t="shared" ca="1" si="2140"/>
        <v>0</v>
      </c>
      <c r="BU772" s="580">
        <f t="shared" ca="1" si="2140"/>
        <v>0</v>
      </c>
      <c r="BV772" s="580">
        <f t="shared" ca="1" si="2140"/>
        <v>0</v>
      </c>
      <c r="BW772" s="580">
        <f t="shared" ca="1" si="2140"/>
        <v>0</v>
      </c>
      <c r="BX772" s="580">
        <f t="shared" ca="1" si="2140"/>
        <v>0</v>
      </c>
      <c r="BY772" s="580">
        <f t="shared" ca="1" si="2140"/>
        <v>0</v>
      </c>
      <c r="BZ772" s="580">
        <f t="shared" ca="1" si="2140"/>
        <v>0</v>
      </c>
      <c r="CA772" s="580">
        <f t="shared" ca="1" si="2140"/>
        <v>0</v>
      </c>
      <c r="CB772" s="580">
        <f t="shared" ca="1" si="2140"/>
        <v>0</v>
      </c>
      <c r="CC772" s="580">
        <f t="shared" ca="1" si="2140"/>
        <v>0</v>
      </c>
      <c r="CD772" s="580">
        <f t="shared" ca="1" si="2140"/>
        <v>0</v>
      </c>
      <c r="CE772" s="580">
        <f t="shared" ca="1" si="2140"/>
        <v>0</v>
      </c>
      <c r="CF772" s="580">
        <f t="shared" ca="1" si="2140"/>
        <v>0</v>
      </c>
      <c r="CG772" s="580">
        <f t="shared" ca="1" si="2140"/>
        <v>0</v>
      </c>
      <c r="CH772" s="580">
        <f t="shared" ca="1" si="2140"/>
        <v>0</v>
      </c>
      <c r="CI772" s="580">
        <f t="shared" ca="1" si="2140"/>
        <v>0</v>
      </c>
      <c r="CJ772" s="580">
        <f t="shared" ca="1" si="2140"/>
        <v>0</v>
      </c>
      <c r="CK772" s="580">
        <f t="shared" ca="1" si="2140"/>
        <v>0</v>
      </c>
      <c r="CL772" s="580">
        <f t="shared" ca="1" si="2140"/>
        <v>0</v>
      </c>
      <c r="CM772" s="580">
        <f t="shared" ca="1" si="2140"/>
        <v>0</v>
      </c>
      <c r="CN772" s="580">
        <f t="shared" ca="1" si="2140"/>
        <v>0</v>
      </c>
      <c r="CO772" s="580">
        <f t="shared" ca="1" si="2140"/>
        <v>0</v>
      </c>
      <c r="CP772" s="580">
        <f t="shared" ca="1" si="2140"/>
        <v>0</v>
      </c>
      <c r="CQ772" s="580">
        <f t="shared" ca="1" si="2140"/>
        <v>0</v>
      </c>
      <c r="CR772" s="580">
        <f t="shared" ca="1" si="2141"/>
        <v>0</v>
      </c>
      <c r="CS772" s="580">
        <f t="shared" ca="1" si="2141"/>
        <v>0</v>
      </c>
      <c r="CT772" s="580">
        <f t="shared" ca="1" si="2141"/>
        <v>0</v>
      </c>
      <c r="CU772" s="580">
        <f t="shared" ca="1" si="2141"/>
        <v>0</v>
      </c>
      <c r="CV772" s="580">
        <f t="shared" ca="1" si="2141"/>
        <v>0</v>
      </c>
      <c r="CW772" s="580">
        <f t="shared" ca="1" si="2141"/>
        <v>0</v>
      </c>
      <c r="CX772" s="580">
        <f t="shared" ca="1" si="2141"/>
        <v>0</v>
      </c>
      <c r="CY772" s="580">
        <f t="shared" ca="1" si="2141"/>
        <v>0</v>
      </c>
      <c r="CZ772" s="580">
        <f t="shared" ca="1" si="2141"/>
        <v>0</v>
      </c>
      <c r="DA772" s="580">
        <f t="shared" ca="1" si="2141"/>
        <v>0</v>
      </c>
      <c r="DB772" s="580">
        <f t="shared" ca="1" si="2141"/>
        <v>0</v>
      </c>
      <c r="DC772" s="580">
        <f t="shared" ca="1" si="2141"/>
        <v>0</v>
      </c>
      <c r="DD772" s="580">
        <f t="shared" ca="1" si="2141"/>
        <v>0</v>
      </c>
      <c r="DE772" s="580">
        <f t="shared" ca="1" si="2141"/>
        <v>0</v>
      </c>
      <c r="DF772" s="580">
        <f t="shared" ca="1" si="2141"/>
        <v>0</v>
      </c>
      <c r="DG772" s="580">
        <f t="shared" ca="1" si="2141"/>
        <v>0</v>
      </c>
      <c r="DH772" s="580">
        <f t="shared" ca="1" si="2141"/>
        <v>0</v>
      </c>
      <c r="DI772" s="580">
        <f t="shared" ca="1" si="2141"/>
        <v>0</v>
      </c>
      <c r="DJ772" s="580">
        <f t="shared" ca="1" si="2141"/>
        <v>0</v>
      </c>
      <c r="DK772" s="580">
        <f t="shared" ca="1" si="2141"/>
        <v>0</v>
      </c>
      <c r="DL772" s="580">
        <f t="shared" ca="1" si="2141"/>
        <v>0</v>
      </c>
      <c r="DM772" s="580">
        <f t="shared" ca="1" si="2141"/>
        <v>0</v>
      </c>
      <c r="DN772" s="580">
        <f t="shared" ca="1" si="2141"/>
        <v>0</v>
      </c>
      <c r="DO772" s="580">
        <f t="shared" ca="1" si="2141"/>
        <v>0</v>
      </c>
      <c r="DP772" s="580">
        <f t="shared" ca="1" si="2141"/>
        <v>0</v>
      </c>
    </row>
    <row r="773" spans="1:120" hidden="1" outlineLevel="1">
      <c r="A773" s="55"/>
      <c r="B773" s="509"/>
      <c r="C773" s="679"/>
      <c r="D773" s="1469"/>
      <c r="E773" s="1470"/>
      <c r="F773" s="416"/>
      <c r="G773" s="1251"/>
      <c r="H773" s="511"/>
      <c r="I773" s="512"/>
      <c r="J773" s="1383"/>
      <c r="K773" s="1383"/>
      <c r="L773" s="417"/>
      <c r="M773" s="1336">
        <f t="shared" si="2132"/>
        <v>0</v>
      </c>
      <c r="N773" s="504"/>
      <c r="O773" s="513">
        <f t="shared" si="2133"/>
        <v>0</v>
      </c>
      <c r="P773" s="514"/>
      <c r="Q773" s="514">
        <f t="shared" si="2134"/>
        <v>0</v>
      </c>
      <c r="R773" s="515"/>
      <c r="S773" s="515"/>
      <c r="T773" s="562">
        <f t="shared" si="2135"/>
        <v>0</v>
      </c>
      <c r="U773" s="1493">
        <f t="shared" si="2136"/>
        <v>0</v>
      </c>
      <c r="V773" s="1127">
        <f t="shared" si="2142"/>
        <v>0</v>
      </c>
      <c r="W773" s="976">
        <f t="shared" si="2137"/>
        <v>0</v>
      </c>
      <c r="X773" s="975">
        <f t="shared" si="2138"/>
        <v>0</v>
      </c>
      <c r="Y773" s="519"/>
      <c r="AA773" s="199"/>
      <c r="AB773" s="580"/>
      <c r="AC773" s="580"/>
      <c r="AD773" s="580"/>
      <c r="AE773" s="580"/>
      <c r="AF773" s="580"/>
      <c r="AG773" s="580"/>
      <c r="AH773" s="580"/>
      <c r="AI773" s="580"/>
      <c r="AJ773" s="580"/>
      <c r="AK773" s="580"/>
      <c r="AL773" s="1513"/>
      <c r="AM773" s="580"/>
      <c r="AN773" s="580"/>
      <c r="AO773" s="580"/>
      <c r="AP773" s="580"/>
      <c r="AQ773" s="580"/>
      <c r="AR773" s="580"/>
      <c r="AS773" s="580"/>
      <c r="AT773" s="580"/>
      <c r="AU773" s="580"/>
      <c r="AV773" s="580"/>
      <c r="AW773" s="580"/>
      <c r="AX773" s="580"/>
      <c r="AY773" s="580"/>
      <c r="AZ773" s="580"/>
      <c r="BA773" s="580"/>
      <c r="BB773" s="580"/>
      <c r="BC773" s="580"/>
      <c r="BD773" s="580"/>
      <c r="BE773" s="580"/>
      <c r="BF773" s="580"/>
      <c r="BG773" s="580"/>
      <c r="BH773" s="580"/>
      <c r="BI773" s="580"/>
      <c r="BJ773" s="580"/>
      <c r="BK773" s="580"/>
      <c r="BL773" s="580"/>
      <c r="BM773" s="580"/>
      <c r="BN773" s="580"/>
      <c r="BO773" s="580"/>
      <c r="BP773" s="580"/>
      <c r="BQ773" s="580"/>
      <c r="BR773" s="580"/>
      <c r="BS773" s="580"/>
      <c r="BT773" s="580"/>
      <c r="BU773" s="580"/>
      <c r="BV773" s="580"/>
      <c r="BW773" s="580"/>
      <c r="BX773" s="580"/>
      <c r="BY773" s="580"/>
      <c r="BZ773" s="580"/>
      <c r="CA773" s="580"/>
      <c r="CB773" s="580"/>
      <c r="CC773" s="580"/>
      <c r="CD773" s="580"/>
      <c r="CE773" s="580"/>
      <c r="CF773" s="580"/>
      <c r="CG773" s="580"/>
      <c r="CH773" s="580"/>
      <c r="CI773" s="580"/>
      <c r="CJ773" s="580"/>
      <c r="CK773" s="580"/>
      <c r="CL773" s="580"/>
      <c r="CM773" s="580"/>
      <c r="CN773" s="580"/>
      <c r="CO773" s="580"/>
      <c r="CP773" s="580"/>
      <c r="CQ773" s="580"/>
      <c r="CR773" s="580"/>
      <c r="CS773" s="580"/>
      <c r="CT773" s="580"/>
      <c r="CU773" s="580"/>
      <c r="CV773" s="580"/>
      <c r="CW773" s="580"/>
      <c r="CX773" s="580"/>
      <c r="CY773" s="580"/>
      <c r="CZ773" s="580"/>
      <c r="DA773" s="580"/>
      <c r="DB773" s="580"/>
      <c r="DC773" s="580"/>
      <c r="DD773" s="580"/>
      <c r="DE773" s="580"/>
      <c r="DF773" s="580"/>
      <c r="DG773" s="580"/>
      <c r="DH773" s="580"/>
      <c r="DI773" s="580"/>
      <c r="DJ773" s="580"/>
      <c r="DK773" s="580"/>
      <c r="DL773" s="580"/>
      <c r="DM773" s="580"/>
      <c r="DN773" s="580"/>
      <c r="DO773" s="580"/>
      <c r="DP773" s="580"/>
    </row>
    <row r="774" spans="1:120" ht="16.5" collapsed="1" thickBot="1">
      <c r="A774" s="62" t="s">
        <v>227</v>
      </c>
      <c r="B774" s="63"/>
      <c r="C774" s="184"/>
      <c r="D774" s="1473"/>
      <c r="E774" s="1474"/>
      <c r="F774" s="66">
        <f>SUM(F771:F772)</f>
        <v>0</v>
      </c>
      <c r="G774" s="1253"/>
      <c r="H774" s="67"/>
      <c r="I774" s="68">
        <f>SUM(I771:I772)</f>
        <v>0</v>
      </c>
      <c r="J774" s="1376"/>
      <c r="K774" s="76"/>
      <c r="L774" s="69">
        <f>SUM(L771:L773)</f>
        <v>0</v>
      </c>
      <c r="M774" s="168"/>
      <c r="N774" s="70"/>
      <c r="O774" s="71">
        <f>SUM(O771:O773)</f>
        <v>0</v>
      </c>
      <c r="P774" s="72">
        <f>SUM(P771:P773)</f>
        <v>-125</v>
      </c>
      <c r="Q774" s="1339"/>
      <c r="R774" s="73"/>
      <c r="S774" s="73"/>
      <c r="T774" s="96">
        <f ca="1">SUM(T771:T773)</f>
        <v>-606206.25</v>
      </c>
      <c r="U774" s="1495">
        <f>SUM(U771:U773)</f>
        <v>-125</v>
      </c>
      <c r="V774" s="76">
        <f>SUM(V771:V773)</f>
        <v>-548502.5</v>
      </c>
      <c r="W774" s="97">
        <f ca="1">SUM(W771:W773)</f>
        <v>0</v>
      </c>
      <c r="X774" s="98">
        <f ca="1">SUM(X771:X773)</f>
        <v>-57703.75</v>
      </c>
      <c r="Y774" s="43"/>
      <c r="AA774" s="192">
        <f t="shared" ref="AA774:BF774" ca="1" si="2143">SUM(AA769:AA773)</f>
        <v>0</v>
      </c>
      <c r="AB774" s="172">
        <f t="shared" ca="1" si="2143"/>
        <v>0</v>
      </c>
      <c r="AC774" s="172">
        <f t="shared" ca="1" si="2143"/>
        <v>0</v>
      </c>
      <c r="AD774" s="172">
        <f t="shared" ca="1" si="2143"/>
        <v>0</v>
      </c>
      <c r="AE774" s="172">
        <f t="shared" ca="1" si="2143"/>
        <v>1365.9</v>
      </c>
      <c r="AF774" s="172">
        <f t="shared" ca="1" si="2143"/>
        <v>0</v>
      </c>
      <c r="AG774" s="172">
        <f t="shared" ca="1" si="2143"/>
        <v>0</v>
      </c>
      <c r="AH774" s="172">
        <f t="shared" ca="1" si="2143"/>
        <v>0</v>
      </c>
      <c r="AI774" s="172">
        <f t="shared" ca="1" si="2143"/>
        <v>0</v>
      </c>
      <c r="AJ774" s="172">
        <f t="shared" ca="1" si="2143"/>
        <v>0</v>
      </c>
      <c r="AK774" s="172">
        <f t="shared" ca="1" si="2143"/>
        <v>0</v>
      </c>
      <c r="AL774" s="172">
        <f t="shared" ca="1" si="2143"/>
        <v>0</v>
      </c>
      <c r="AM774" s="172">
        <f t="shared" ca="1" si="2143"/>
        <v>0</v>
      </c>
      <c r="AN774" s="172">
        <f t="shared" ca="1" si="2143"/>
        <v>0</v>
      </c>
      <c r="AO774" s="172">
        <f t="shared" ca="1" si="2143"/>
        <v>0</v>
      </c>
      <c r="AP774" s="172">
        <f t="shared" ca="1" si="2143"/>
        <v>0</v>
      </c>
      <c r="AQ774" s="172">
        <f t="shared" ca="1" si="2143"/>
        <v>0</v>
      </c>
      <c r="AR774" s="172">
        <f t="shared" ca="1" si="2143"/>
        <v>0</v>
      </c>
      <c r="AS774" s="172">
        <f t="shared" ca="1" si="2143"/>
        <v>0</v>
      </c>
      <c r="AT774" s="172">
        <f t="shared" ca="1" si="2143"/>
        <v>0</v>
      </c>
      <c r="AU774" s="172">
        <f t="shared" ca="1" si="2143"/>
        <v>0</v>
      </c>
      <c r="AV774" s="172">
        <f t="shared" ca="1" si="2143"/>
        <v>0</v>
      </c>
      <c r="AW774" s="172">
        <f t="shared" ca="1" si="2143"/>
        <v>0</v>
      </c>
      <c r="AX774" s="172">
        <f t="shared" ca="1" si="2143"/>
        <v>0</v>
      </c>
      <c r="AY774" s="172">
        <f t="shared" ca="1" si="2143"/>
        <v>0</v>
      </c>
      <c r="AZ774" s="172">
        <f t="shared" ca="1" si="2143"/>
        <v>0</v>
      </c>
      <c r="BA774" s="172">
        <f t="shared" ca="1" si="2143"/>
        <v>0</v>
      </c>
      <c r="BB774" s="172">
        <f t="shared" ca="1" si="2143"/>
        <v>0</v>
      </c>
      <c r="BC774" s="172">
        <f t="shared" ca="1" si="2143"/>
        <v>0</v>
      </c>
      <c r="BD774" s="172">
        <f t="shared" ca="1" si="2143"/>
        <v>0</v>
      </c>
      <c r="BE774" s="172">
        <f t="shared" ca="1" si="2143"/>
        <v>0</v>
      </c>
      <c r="BF774" s="172">
        <f t="shared" ca="1" si="2143"/>
        <v>0</v>
      </c>
      <c r="BG774" s="172">
        <f t="shared" ref="BG774:CL774" ca="1" si="2144">SUM(BG769:BG773)</f>
        <v>0</v>
      </c>
      <c r="BH774" s="172">
        <f t="shared" ca="1" si="2144"/>
        <v>0</v>
      </c>
      <c r="BI774" s="172">
        <f t="shared" ca="1" si="2144"/>
        <v>0</v>
      </c>
      <c r="BJ774" s="172">
        <f t="shared" ca="1" si="2144"/>
        <v>0</v>
      </c>
      <c r="BK774" s="172">
        <f t="shared" ca="1" si="2144"/>
        <v>0</v>
      </c>
      <c r="BL774" s="172">
        <f t="shared" ca="1" si="2144"/>
        <v>0</v>
      </c>
      <c r="BM774" s="172">
        <f t="shared" ca="1" si="2144"/>
        <v>0</v>
      </c>
      <c r="BN774" s="172">
        <f t="shared" ca="1" si="2144"/>
        <v>0</v>
      </c>
      <c r="BO774" s="172">
        <f t="shared" ca="1" si="2144"/>
        <v>0</v>
      </c>
      <c r="BP774" s="172">
        <f t="shared" ca="1" si="2144"/>
        <v>0</v>
      </c>
      <c r="BQ774" s="172">
        <f t="shared" ca="1" si="2144"/>
        <v>0</v>
      </c>
      <c r="BR774" s="172">
        <f t="shared" ca="1" si="2144"/>
        <v>0</v>
      </c>
      <c r="BS774" s="172">
        <f t="shared" ca="1" si="2144"/>
        <v>0</v>
      </c>
      <c r="BT774" s="172">
        <f t="shared" ca="1" si="2144"/>
        <v>0</v>
      </c>
      <c r="BU774" s="172">
        <f t="shared" ca="1" si="2144"/>
        <v>0</v>
      </c>
      <c r="BV774" s="172">
        <f t="shared" ca="1" si="2144"/>
        <v>0</v>
      </c>
      <c r="BW774" s="172">
        <f t="shared" ca="1" si="2144"/>
        <v>0</v>
      </c>
      <c r="BX774" s="172">
        <f t="shared" ca="1" si="2144"/>
        <v>0</v>
      </c>
      <c r="BY774" s="172">
        <f t="shared" ca="1" si="2144"/>
        <v>0</v>
      </c>
      <c r="BZ774" s="172">
        <f t="shared" ca="1" si="2144"/>
        <v>0</v>
      </c>
      <c r="CA774" s="172">
        <f t="shared" ca="1" si="2144"/>
        <v>0</v>
      </c>
      <c r="CB774" s="172">
        <f t="shared" ca="1" si="2144"/>
        <v>0</v>
      </c>
      <c r="CC774" s="172">
        <f t="shared" ca="1" si="2144"/>
        <v>0</v>
      </c>
      <c r="CD774" s="172">
        <f t="shared" ca="1" si="2144"/>
        <v>0</v>
      </c>
      <c r="CE774" s="172">
        <f t="shared" ca="1" si="2144"/>
        <v>0</v>
      </c>
      <c r="CF774" s="172">
        <f t="shared" ca="1" si="2144"/>
        <v>0</v>
      </c>
      <c r="CG774" s="172">
        <f t="shared" ca="1" si="2144"/>
        <v>0</v>
      </c>
      <c r="CH774" s="172">
        <f t="shared" ca="1" si="2144"/>
        <v>0</v>
      </c>
      <c r="CI774" s="172">
        <f t="shared" ca="1" si="2144"/>
        <v>0</v>
      </c>
      <c r="CJ774" s="172">
        <f t="shared" ca="1" si="2144"/>
        <v>0</v>
      </c>
      <c r="CK774" s="172">
        <f t="shared" ca="1" si="2144"/>
        <v>0</v>
      </c>
      <c r="CL774" s="172">
        <f t="shared" ca="1" si="2144"/>
        <v>0</v>
      </c>
      <c r="CM774" s="172">
        <f t="shared" ref="CM774:DP774" ca="1" si="2145">SUM(CM769:CM773)</f>
        <v>0</v>
      </c>
      <c r="CN774" s="172">
        <f t="shared" ca="1" si="2145"/>
        <v>0</v>
      </c>
      <c r="CO774" s="172">
        <f t="shared" ca="1" si="2145"/>
        <v>0</v>
      </c>
      <c r="CP774" s="172">
        <f t="shared" ca="1" si="2145"/>
        <v>0</v>
      </c>
      <c r="CQ774" s="172">
        <f t="shared" ca="1" si="2145"/>
        <v>0</v>
      </c>
      <c r="CR774" s="172">
        <f t="shared" ca="1" si="2145"/>
        <v>0</v>
      </c>
      <c r="CS774" s="172">
        <f t="shared" ca="1" si="2145"/>
        <v>0</v>
      </c>
      <c r="CT774" s="172">
        <f t="shared" ca="1" si="2145"/>
        <v>0</v>
      </c>
      <c r="CU774" s="172">
        <f t="shared" ca="1" si="2145"/>
        <v>0</v>
      </c>
      <c r="CV774" s="172">
        <f t="shared" ca="1" si="2145"/>
        <v>0</v>
      </c>
      <c r="CW774" s="172">
        <f t="shared" ca="1" si="2145"/>
        <v>0</v>
      </c>
      <c r="CX774" s="172">
        <f t="shared" ca="1" si="2145"/>
        <v>0</v>
      </c>
      <c r="CY774" s="172">
        <f t="shared" ca="1" si="2145"/>
        <v>0</v>
      </c>
      <c r="CZ774" s="172">
        <f t="shared" ca="1" si="2145"/>
        <v>0</v>
      </c>
      <c r="DA774" s="172">
        <f t="shared" ca="1" si="2145"/>
        <v>0</v>
      </c>
      <c r="DB774" s="172">
        <f t="shared" ca="1" si="2145"/>
        <v>0</v>
      </c>
      <c r="DC774" s="172">
        <f t="shared" ca="1" si="2145"/>
        <v>0</v>
      </c>
      <c r="DD774" s="172">
        <f t="shared" ca="1" si="2145"/>
        <v>0</v>
      </c>
      <c r="DE774" s="172">
        <f t="shared" ca="1" si="2145"/>
        <v>0</v>
      </c>
      <c r="DF774" s="172">
        <f t="shared" ca="1" si="2145"/>
        <v>0</v>
      </c>
      <c r="DG774" s="172">
        <f t="shared" ca="1" si="2145"/>
        <v>0</v>
      </c>
      <c r="DH774" s="172">
        <f t="shared" ca="1" si="2145"/>
        <v>0</v>
      </c>
      <c r="DI774" s="172">
        <f t="shared" ca="1" si="2145"/>
        <v>0</v>
      </c>
      <c r="DJ774" s="172">
        <f t="shared" ca="1" si="2145"/>
        <v>0</v>
      </c>
      <c r="DK774" s="172">
        <f t="shared" ca="1" si="2145"/>
        <v>0</v>
      </c>
      <c r="DL774" s="172">
        <f t="shared" ca="1" si="2145"/>
        <v>0</v>
      </c>
      <c r="DM774" s="172">
        <f t="shared" ca="1" si="2145"/>
        <v>0</v>
      </c>
      <c r="DN774" s="172">
        <f t="shared" ca="1" si="2145"/>
        <v>0</v>
      </c>
      <c r="DO774" s="172">
        <f t="shared" ca="1" si="2145"/>
        <v>0</v>
      </c>
      <c r="DP774" s="172">
        <f t="shared" ca="1" si="2145"/>
        <v>0</v>
      </c>
    </row>
    <row r="775" spans="1:120">
      <c r="Y775" s="1491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  <c r="CD775" s="24"/>
      <c r="CE775" s="24"/>
      <c r="CF775" s="24"/>
      <c r="CG775" s="24"/>
      <c r="CH775" s="24"/>
      <c r="CI775" s="24"/>
      <c r="CJ775" s="24"/>
      <c r="CK775" s="24"/>
      <c r="CL775" s="24"/>
      <c r="CM775" s="24"/>
      <c r="CN775" s="24"/>
      <c r="CO775" s="24"/>
      <c r="CP775" s="24"/>
      <c r="CQ775" s="24"/>
      <c r="CR775" s="24"/>
      <c r="CS775" s="24"/>
      <c r="CT775" s="24"/>
      <c r="CU775" s="24"/>
      <c r="CV775" s="24"/>
      <c r="CW775" s="24"/>
      <c r="CX775" s="24"/>
      <c r="CY775" s="24"/>
      <c r="CZ775" s="24"/>
      <c r="DA775" s="24"/>
      <c r="DB775" s="24"/>
      <c r="DC775" s="24"/>
      <c r="DD775" s="24"/>
      <c r="DE775" s="24"/>
      <c r="DF775" s="24"/>
      <c r="DG775" s="24"/>
      <c r="DH775" s="24"/>
      <c r="DI775" s="24"/>
      <c r="DJ775" s="24"/>
      <c r="DK775" s="24"/>
      <c r="DL775" s="24"/>
      <c r="DM775" s="24"/>
      <c r="DN775" s="24"/>
      <c r="DO775" s="24"/>
      <c r="DP775" s="24"/>
    </row>
    <row r="776" spans="1:120" hidden="1" outlineLevel="1">
      <c r="A776" s="640">
        <v>1110061050</v>
      </c>
      <c r="B776" s="573" t="s">
        <v>78</v>
      </c>
      <c r="C776" s="641" t="s">
        <v>64</v>
      </c>
      <c r="D776" s="1489"/>
      <c r="E776" s="1490"/>
      <c r="F776" s="643"/>
      <c r="G776" s="1262"/>
      <c r="H776" s="644"/>
      <c r="I776" s="645"/>
      <c r="J776" s="1483">
        <v>1</v>
      </c>
      <c r="K776" s="1484">
        <v>1</v>
      </c>
      <c r="L776" s="1510"/>
      <c r="M776" s="1428">
        <f t="shared" ref="M776:M778" si="2146">+L776*J776</f>
        <v>0</v>
      </c>
      <c r="N776" s="647"/>
      <c r="O776" s="648">
        <f t="shared" ref="O776" si="2147">+L776*N776</f>
        <v>0</v>
      </c>
      <c r="P776" s="649"/>
      <c r="Q776" s="649"/>
      <c r="R776" s="650"/>
      <c r="S776" s="650"/>
      <c r="T776" s="651">
        <f>+P776*S776</f>
        <v>0</v>
      </c>
      <c r="U776" s="1301">
        <f>+L776+P776+F776</f>
        <v>0</v>
      </c>
      <c r="V776" s="651">
        <f>+P776*R776+L776*N776+F776*H776</f>
        <v>0</v>
      </c>
      <c r="W776" s="653">
        <f>(IF(R776&gt;S776,(-P776*R776)-(-P776*S776),0))</f>
        <v>0</v>
      </c>
      <c r="X776" s="654">
        <f>(IF(R776&lt;S776,(-P776*R776)-(-P776*S776),0))</f>
        <v>0</v>
      </c>
      <c r="Y776" s="655"/>
      <c r="AA776" s="730">
        <f t="shared" ref="AA776:AP777" si="2148">IF($L776="",IF(OR($P776="",$R776=""),0,IF($R776=AA$6,$Q776,0)),IF($E776=AA$5,$M776,))</f>
        <v>0</v>
      </c>
      <c r="AB776" s="577">
        <f t="shared" si="2148"/>
        <v>0</v>
      </c>
      <c r="AC776" s="577">
        <f t="shared" si="2148"/>
        <v>0</v>
      </c>
      <c r="AD776" s="577">
        <f t="shared" si="2148"/>
        <v>0</v>
      </c>
      <c r="AE776" s="577">
        <f t="shared" si="2148"/>
        <v>0</v>
      </c>
      <c r="AF776" s="577">
        <f t="shared" si="2148"/>
        <v>0</v>
      </c>
      <c r="AG776" s="577">
        <f t="shared" si="2148"/>
        <v>0</v>
      </c>
      <c r="AH776" s="577">
        <f t="shared" si="2148"/>
        <v>0</v>
      </c>
      <c r="AI776" s="577">
        <f t="shared" si="2148"/>
        <v>0</v>
      </c>
      <c r="AJ776" s="577">
        <f t="shared" si="2148"/>
        <v>0</v>
      </c>
      <c r="AK776" s="577">
        <f t="shared" si="2148"/>
        <v>0</v>
      </c>
      <c r="AL776" s="577">
        <f t="shared" si="2148"/>
        <v>0</v>
      </c>
      <c r="AM776" s="577">
        <f t="shared" si="2148"/>
        <v>0</v>
      </c>
      <c r="AN776" s="577">
        <f t="shared" si="2148"/>
        <v>0</v>
      </c>
      <c r="AO776" s="577">
        <f t="shared" si="2148"/>
        <v>0</v>
      </c>
      <c r="AP776" s="577">
        <f t="shared" si="2148"/>
        <v>0</v>
      </c>
      <c r="AQ776" s="577">
        <f t="shared" ref="AQ776:DC777" si="2149">IF($L776="",IF(OR($P776="",$R776=""),0,IF($R776=AQ$6,$Q776,0)),IF($E776=AQ$5,$M776,))</f>
        <v>0</v>
      </c>
      <c r="AR776" s="577">
        <f t="shared" si="2149"/>
        <v>0</v>
      </c>
      <c r="AS776" s="577">
        <f t="shared" si="2149"/>
        <v>0</v>
      </c>
      <c r="AT776" s="577">
        <f t="shared" si="2149"/>
        <v>0</v>
      </c>
      <c r="AU776" s="577">
        <f t="shared" si="2149"/>
        <v>0</v>
      </c>
      <c r="AV776" s="577">
        <f t="shared" si="2149"/>
        <v>0</v>
      </c>
      <c r="AW776" s="577">
        <f t="shared" si="2149"/>
        <v>0</v>
      </c>
      <c r="AX776" s="577">
        <f t="shared" si="2149"/>
        <v>0</v>
      </c>
      <c r="AY776" s="577">
        <f t="shared" si="2149"/>
        <v>0</v>
      </c>
      <c r="AZ776" s="577">
        <f t="shared" si="2149"/>
        <v>0</v>
      </c>
      <c r="BA776" s="577">
        <f t="shared" si="2149"/>
        <v>0</v>
      </c>
      <c r="BB776" s="577">
        <f t="shared" si="2149"/>
        <v>0</v>
      </c>
      <c r="BC776" s="577">
        <f t="shared" si="2149"/>
        <v>0</v>
      </c>
      <c r="BD776" s="577">
        <f t="shared" si="2149"/>
        <v>0</v>
      </c>
      <c r="BE776" s="577">
        <f t="shared" si="2149"/>
        <v>0</v>
      </c>
      <c r="BF776" s="577">
        <f t="shared" si="2149"/>
        <v>0</v>
      </c>
      <c r="BG776" s="577">
        <f t="shared" si="2149"/>
        <v>0</v>
      </c>
      <c r="BH776" s="577">
        <f t="shared" si="2149"/>
        <v>0</v>
      </c>
      <c r="BI776" s="577">
        <f t="shared" si="2149"/>
        <v>0</v>
      </c>
      <c r="BJ776" s="577">
        <f t="shared" si="2149"/>
        <v>0</v>
      </c>
      <c r="BK776" s="577">
        <f t="shared" si="2149"/>
        <v>0</v>
      </c>
      <c r="BL776" s="577">
        <f t="shared" si="2149"/>
        <v>0</v>
      </c>
      <c r="BM776" s="577">
        <f t="shared" si="2149"/>
        <v>0</v>
      </c>
      <c r="BN776" s="577">
        <f t="shared" si="2149"/>
        <v>0</v>
      </c>
      <c r="BO776" s="577">
        <f t="shared" si="2149"/>
        <v>0</v>
      </c>
      <c r="BP776" s="577">
        <f t="shared" si="2149"/>
        <v>0</v>
      </c>
      <c r="BQ776" s="577">
        <f t="shared" si="2149"/>
        <v>0</v>
      </c>
      <c r="BR776" s="577">
        <f t="shared" si="2149"/>
        <v>0</v>
      </c>
      <c r="BS776" s="577">
        <f t="shared" si="2149"/>
        <v>0</v>
      </c>
      <c r="BT776" s="577">
        <f t="shared" si="2149"/>
        <v>0</v>
      </c>
      <c r="BU776" s="577">
        <f t="shared" si="2149"/>
        <v>0</v>
      </c>
      <c r="BV776" s="577">
        <f t="shared" si="2149"/>
        <v>0</v>
      </c>
      <c r="BW776" s="577">
        <f t="shared" si="2149"/>
        <v>0</v>
      </c>
      <c r="BX776" s="577">
        <f t="shared" si="2149"/>
        <v>0</v>
      </c>
      <c r="BY776" s="577">
        <f t="shared" si="2149"/>
        <v>0</v>
      </c>
      <c r="BZ776" s="577">
        <f t="shared" si="2149"/>
        <v>0</v>
      </c>
      <c r="CA776" s="577">
        <f t="shared" si="2149"/>
        <v>0</v>
      </c>
      <c r="CB776" s="577">
        <f t="shared" si="2149"/>
        <v>0</v>
      </c>
      <c r="CC776" s="577">
        <f t="shared" si="2149"/>
        <v>0</v>
      </c>
      <c r="CD776" s="577">
        <f t="shared" si="2149"/>
        <v>0</v>
      </c>
      <c r="CE776" s="577">
        <f t="shared" si="2149"/>
        <v>0</v>
      </c>
      <c r="CF776" s="577">
        <f t="shared" si="2149"/>
        <v>0</v>
      </c>
      <c r="CG776" s="577">
        <f t="shared" si="2149"/>
        <v>0</v>
      </c>
      <c r="CH776" s="577">
        <f t="shared" si="2149"/>
        <v>0</v>
      </c>
      <c r="CI776" s="577">
        <f t="shared" si="2149"/>
        <v>0</v>
      </c>
      <c r="CJ776" s="577">
        <f t="shared" si="2149"/>
        <v>0</v>
      </c>
      <c r="CK776" s="577">
        <f t="shared" si="2149"/>
        <v>0</v>
      </c>
      <c r="CL776" s="577">
        <f t="shared" si="2149"/>
        <v>0</v>
      </c>
      <c r="CM776" s="577">
        <f t="shared" si="2149"/>
        <v>0</v>
      </c>
      <c r="CN776" s="577">
        <f t="shared" si="2149"/>
        <v>0</v>
      </c>
      <c r="CO776" s="577">
        <f t="shared" si="2149"/>
        <v>0</v>
      </c>
      <c r="CP776" s="577">
        <f t="shared" si="2149"/>
        <v>0</v>
      </c>
      <c r="CQ776" s="577">
        <f t="shared" si="2149"/>
        <v>0</v>
      </c>
      <c r="CR776" s="577">
        <f t="shared" si="2149"/>
        <v>0</v>
      </c>
      <c r="CS776" s="577">
        <f t="shared" si="2149"/>
        <v>0</v>
      </c>
      <c r="CT776" s="577">
        <f t="shared" si="2149"/>
        <v>0</v>
      </c>
      <c r="CU776" s="577">
        <f t="shared" si="2149"/>
        <v>0</v>
      </c>
      <c r="CV776" s="577">
        <f t="shared" si="2149"/>
        <v>0</v>
      </c>
      <c r="CW776" s="577">
        <f t="shared" si="2149"/>
        <v>0</v>
      </c>
      <c r="CX776" s="577">
        <f t="shared" si="2149"/>
        <v>0</v>
      </c>
      <c r="CY776" s="577">
        <f t="shared" si="2149"/>
        <v>0</v>
      </c>
      <c r="CZ776" s="577">
        <f t="shared" si="2149"/>
        <v>0</v>
      </c>
      <c r="DA776" s="577">
        <f t="shared" si="2149"/>
        <v>0</v>
      </c>
      <c r="DB776" s="577">
        <f t="shared" si="2149"/>
        <v>0</v>
      </c>
      <c r="DC776" s="577">
        <f t="shared" si="2149"/>
        <v>0</v>
      </c>
      <c r="DD776" s="577">
        <f t="shared" ref="DD776:DP777" si="2150">IF($L776="",IF(OR($P776="",$R776=""),0,IF($R776=DD$6,$Q776,0)),IF($E776=DD$5,$M776,))</f>
        <v>0</v>
      </c>
      <c r="DE776" s="577">
        <f t="shared" si="2150"/>
        <v>0</v>
      </c>
      <c r="DF776" s="577">
        <f t="shared" si="2150"/>
        <v>0</v>
      </c>
      <c r="DG776" s="577">
        <f t="shared" si="2150"/>
        <v>0</v>
      </c>
      <c r="DH776" s="577">
        <f t="shared" si="2150"/>
        <v>0</v>
      </c>
      <c r="DI776" s="577">
        <f t="shared" si="2150"/>
        <v>0</v>
      </c>
      <c r="DJ776" s="577">
        <f t="shared" si="2150"/>
        <v>0</v>
      </c>
      <c r="DK776" s="577">
        <f t="shared" si="2150"/>
        <v>0</v>
      </c>
      <c r="DL776" s="577">
        <f t="shared" si="2150"/>
        <v>0</v>
      </c>
      <c r="DM776" s="577">
        <f t="shared" si="2150"/>
        <v>0</v>
      </c>
      <c r="DN776" s="577">
        <f t="shared" si="2150"/>
        <v>0</v>
      </c>
      <c r="DO776" s="577">
        <f t="shared" si="2150"/>
        <v>0</v>
      </c>
      <c r="DP776" s="577">
        <f t="shared" si="2150"/>
        <v>0</v>
      </c>
    </row>
    <row r="777" spans="1:120" hidden="1" outlineLevel="1">
      <c r="A777" s="55">
        <v>1110061050</v>
      </c>
      <c r="B777" s="509" t="s">
        <v>1477</v>
      </c>
      <c r="C777" s="679" t="s">
        <v>64</v>
      </c>
      <c r="D777" s="1469"/>
      <c r="E777" s="1470">
        <v>45015</v>
      </c>
      <c r="F777" s="416"/>
      <c r="G777" s="1251"/>
      <c r="H777" s="511"/>
      <c r="I777" s="512"/>
      <c r="J777" s="1425">
        <v>1</v>
      </c>
      <c r="K777" s="1426">
        <v>1</v>
      </c>
      <c r="L777" s="438"/>
      <c r="M777" s="1336">
        <f t="shared" si="2146"/>
        <v>0</v>
      </c>
      <c r="N777" s="504"/>
      <c r="O777" s="513">
        <f t="shared" ref="O777:O778" si="2151">+L777*J777*N777</f>
        <v>0</v>
      </c>
      <c r="P777" s="514">
        <v>-125</v>
      </c>
      <c r="Q777" s="514">
        <f t="shared" ref="Q777:Q778" si="2152">+P777*K777</f>
        <v>-125</v>
      </c>
      <c r="R777" s="515">
        <v>4388.0200000000004</v>
      </c>
      <c r="S777" s="515">
        <f ca="1">IF(OR(E777="",E777&gt;TODAY()),0,IF(ISERROR(VLOOKUP($E777,'TRM BanRep'!$A:$G,7,0)),0,VLOOKUP($E777,'TRM BanRep'!$A:$G,7,0)))</f>
        <v>4627.63</v>
      </c>
      <c r="T777" s="562">
        <f t="shared" ref="T777:T778" ca="1" si="2153">+P777*K777*S777</f>
        <v>-578453.75</v>
      </c>
      <c r="U777" s="1493">
        <f t="shared" ref="U777:U778" si="2154">+L777+P777+F777</f>
        <v>-125</v>
      </c>
      <c r="V777" s="1127">
        <f t="shared" ref="V777:V778" si="2155">+P777*J777*R777+L777*J777*N777+F777*J777*H777</f>
        <v>-548502.5</v>
      </c>
      <c r="W777" s="976">
        <f t="shared" ref="W777:W778" ca="1" si="2156">IF((-P777*J777*R777)-(-P777*K777*S777)&gt;0,(-P777*J777*R777)-(-P777*K777*S777),0)</f>
        <v>0</v>
      </c>
      <c r="X777" s="975">
        <f t="shared" ref="X777:X778" ca="1" si="2157">IF((-P777*J777*R777)-(-P777*K777*S777)&lt;0,(-P777*J777*R777)-(-P777*K777*S777),0)</f>
        <v>-29951.25</v>
      </c>
      <c r="Y777" s="519"/>
      <c r="AA777" s="199">
        <f t="shared" ca="1" si="2148"/>
        <v>0</v>
      </c>
      <c r="AB777" s="580">
        <f t="shared" ca="1" si="2148"/>
        <v>0</v>
      </c>
      <c r="AC777" s="580">
        <f t="shared" ca="1" si="2148"/>
        <v>0</v>
      </c>
      <c r="AD777" s="580">
        <f t="shared" ca="1" si="2148"/>
        <v>0</v>
      </c>
      <c r="AE777" s="580">
        <f t="shared" ca="1" si="2148"/>
        <v>-125</v>
      </c>
      <c r="AF777" s="580">
        <f t="shared" ca="1" si="2148"/>
        <v>0</v>
      </c>
      <c r="AG777" s="580">
        <f t="shared" ca="1" si="2148"/>
        <v>0</v>
      </c>
      <c r="AH777" s="580">
        <f t="shared" ca="1" si="2148"/>
        <v>0</v>
      </c>
      <c r="AI777" s="580">
        <f t="shared" ca="1" si="2148"/>
        <v>0</v>
      </c>
      <c r="AJ777" s="580">
        <f t="shared" ca="1" si="2148"/>
        <v>0</v>
      </c>
      <c r="AK777" s="580">
        <f t="shared" ca="1" si="2148"/>
        <v>0</v>
      </c>
      <c r="AL777" s="1513">
        <f t="shared" ca="1" si="2148"/>
        <v>0</v>
      </c>
      <c r="AM777" s="580">
        <f t="shared" ca="1" si="2148"/>
        <v>0</v>
      </c>
      <c r="AN777" s="580">
        <f t="shared" ca="1" si="2148"/>
        <v>0</v>
      </c>
      <c r="AO777" s="580">
        <f t="shared" ca="1" si="2148"/>
        <v>0</v>
      </c>
      <c r="AP777" s="580">
        <f t="shared" ca="1" si="2148"/>
        <v>0</v>
      </c>
      <c r="AQ777" s="580">
        <f t="shared" ca="1" si="2149"/>
        <v>0</v>
      </c>
      <c r="AR777" s="580">
        <f t="shared" ca="1" si="2149"/>
        <v>0</v>
      </c>
      <c r="AS777" s="580">
        <f t="shared" ca="1" si="2149"/>
        <v>0</v>
      </c>
      <c r="AT777" s="580">
        <f t="shared" ca="1" si="2149"/>
        <v>0</v>
      </c>
      <c r="AU777" s="580">
        <f t="shared" ca="1" si="2149"/>
        <v>0</v>
      </c>
      <c r="AV777" s="580">
        <f t="shared" ca="1" si="2149"/>
        <v>0</v>
      </c>
      <c r="AW777" s="580">
        <f t="shared" ca="1" si="2149"/>
        <v>0</v>
      </c>
      <c r="AX777" s="580">
        <f t="shared" ca="1" si="2149"/>
        <v>0</v>
      </c>
      <c r="AY777" s="580">
        <f t="shared" ca="1" si="2149"/>
        <v>0</v>
      </c>
      <c r="AZ777" s="580">
        <f t="shared" ca="1" si="2149"/>
        <v>0</v>
      </c>
      <c r="BA777" s="580">
        <f t="shared" ca="1" si="2149"/>
        <v>0</v>
      </c>
      <c r="BB777" s="580">
        <f t="shared" ca="1" si="2149"/>
        <v>0</v>
      </c>
      <c r="BC777" s="580">
        <f t="shared" ca="1" si="2149"/>
        <v>0</v>
      </c>
      <c r="BD777" s="580">
        <f t="shared" ca="1" si="2149"/>
        <v>0</v>
      </c>
      <c r="BE777" s="580">
        <f t="shared" ca="1" si="2149"/>
        <v>0</v>
      </c>
      <c r="BF777" s="580">
        <f t="shared" ca="1" si="2149"/>
        <v>0</v>
      </c>
      <c r="BG777" s="580">
        <f t="shared" ca="1" si="2149"/>
        <v>0</v>
      </c>
      <c r="BH777" s="580">
        <f t="shared" ca="1" si="2149"/>
        <v>0</v>
      </c>
      <c r="BI777" s="580">
        <f t="shared" ca="1" si="2149"/>
        <v>0</v>
      </c>
      <c r="BJ777" s="580">
        <f t="shared" ca="1" si="2149"/>
        <v>0</v>
      </c>
      <c r="BK777" s="580">
        <f t="shared" ca="1" si="2149"/>
        <v>0</v>
      </c>
      <c r="BL777" s="580">
        <f t="shared" ca="1" si="2149"/>
        <v>0</v>
      </c>
      <c r="BM777" s="580">
        <f t="shared" ca="1" si="2149"/>
        <v>0</v>
      </c>
      <c r="BN777" s="580">
        <f t="shared" ca="1" si="2149"/>
        <v>0</v>
      </c>
      <c r="BO777" s="580">
        <f t="shared" ca="1" si="2149"/>
        <v>0</v>
      </c>
      <c r="BP777" s="580">
        <f t="shared" ca="1" si="2149"/>
        <v>0</v>
      </c>
      <c r="BQ777" s="580">
        <f t="shared" ca="1" si="2149"/>
        <v>0</v>
      </c>
      <c r="BR777" s="580">
        <f t="shared" ca="1" si="2149"/>
        <v>0</v>
      </c>
      <c r="BS777" s="580">
        <f t="shared" ca="1" si="2149"/>
        <v>0</v>
      </c>
      <c r="BT777" s="580">
        <f t="shared" ca="1" si="2149"/>
        <v>0</v>
      </c>
      <c r="BU777" s="580">
        <f t="shared" ca="1" si="2149"/>
        <v>0</v>
      </c>
      <c r="BV777" s="580">
        <f t="shared" ca="1" si="2149"/>
        <v>0</v>
      </c>
      <c r="BW777" s="580">
        <f t="shared" ca="1" si="2149"/>
        <v>0</v>
      </c>
      <c r="BX777" s="580">
        <f t="shared" ca="1" si="2149"/>
        <v>0</v>
      </c>
      <c r="BY777" s="580">
        <f t="shared" ca="1" si="2149"/>
        <v>0</v>
      </c>
      <c r="BZ777" s="580">
        <f t="shared" ca="1" si="2149"/>
        <v>0</v>
      </c>
      <c r="CA777" s="580">
        <f t="shared" ca="1" si="2149"/>
        <v>0</v>
      </c>
      <c r="CB777" s="580">
        <f t="shared" ca="1" si="2149"/>
        <v>0</v>
      </c>
      <c r="CC777" s="580">
        <f t="shared" ca="1" si="2149"/>
        <v>0</v>
      </c>
      <c r="CD777" s="580">
        <f t="shared" ca="1" si="2149"/>
        <v>0</v>
      </c>
      <c r="CE777" s="580">
        <f t="shared" ca="1" si="2149"/>
        <v>0</v>
      </c>
      <c r="CF777" s="580">
        <f t="shared" ca="1" si="2149"/>
        <v>0</v>
      </c>
      <c r="CG777" s="580">
        <f t="shared" ca="1" si="2149"/>
        <v>0</v>
      </c>
      <c r="CH777" s="580">
        <f t="shared" ca="1" si="2149"/>
        <v>0</v>
      </c>
      <c r="CI777" s="580">
        <f t="shared" ca="1" si="2149"/>
        <v>0</v>
      </c>
      <c r="CJ777" s="580">
        <f t="shared" ca="1" si="2149"/>
        <v>0</v>
      </c>
      <c r="CK777" s="580">
        <f t="shared" ca="1" si="2149"/>
        <v>0</v>
      </c>
      <c r="CL777" s="580">
        <f t="shared" ca="1" si="2149"/>
        <v>0</v>
      </c>
      <c r="CM777" s="580">
        <f t="shared" ca="1" si="2149"/>
        <v>0</v>
      </c>
      <c r="CN777" s="580">
        <f t="shared" ca="1" si="2149"/>
        <v>0</v>
      </c>
      <c r="CO777" s="580">
        <f t="shared" ca="1" si="2149"/>
        <v>0</v>
      </c>
      <c r="CP777" s="580">
        <f t="shared" ca="1" si="2149"/>
        <v>0</v>
      </c>
      <c r="CQ777" s="580">
        <f t="shared" ca="1" si="2149"/>
        <v>0</v>
      </c>
      <c r="CR777" s="580">
        <f t="shared" ca="1" si="2149"/>
        <v>0</v>
      </c>
      <c r="CS777" s="580">
        <f t="shared" ca="1" si="2149"/>
        <v>0</v>
      </c>
      <c r="CT777" s="580">
        <f t="shared" ca="1" si="2149"/>
        <v>0</v>
      </c>
      <c r="CU777" s="580">
        <f t="shared" ca="1" si="2149"/>
        <v>0</v>
      </c>
      <c r="CV777" s="580">
        <f t="shared" ca="1" si="2149"/>
        <v>0</v>
      </c>
      <c r="CW777" s="580">
        <f t="shared" ca="1" si="2149"/>
        <v>0</v>
      </c>
      <c r="CX777" s="580">
        <f t="shared" ca="1" si="2149"/>
        <v>0</v>
      </c>
      <c r="CY777" s="580">
        <f t="shared" ca="1" si="2149"/>
        <v>0</v>
      </c>
      <c r="CZ777" s="580">
        <f t="shared" ca="1" si="2149"/>
        <v>0</v>
      </c>
      <c r="DA777" s="580">
        <f t="shared" ca="1" si="2149"/>
        <v>0</v>
      </c>
      <c r="DB777" s="580">
        <f t="shared" ca="1" si="2149"/>
        <v>0</v>
      </c>
      <c r="DC777" s="580">
        <f t="shared" ca="1" si="2149"/>
        <v>0</v>
      </c>
      <c r="DD777" s="580">
        <f t="shared" ca="1" si="2150"/>
        <v>0</v>
      </c>
      <c r="DE777" s="580">
        <f t="shared" ca="1" si="2150"/>
        <v>0</v>
      </c>
      <c r="DF777" s="580">
        <f t="shared" ca="1" si="2150"/>
        <v>0</v>
      </c>
      <c r="DG777" s="580">
        <f t="shared" ca="1" si="2150"/>
        <v>0</v>
      </c>
      <c r="DH777" s="580">
        <f t="shared" ca="1" si="2150"/>
        <v>0</v>
      </c>
      <c r="DI777" s="580">
        <f t="shared" ca="1" si="2150"/>
        <v>0</v>
      </c>
      <c r="DJ777" s="580">
        <f t="shared" ca="1" si="2150"/>
        <v>0</v>
      </c>
      <c r="DK777" s="580">
        <f t="shared" ca="1" si="2150"/>
        <v>0</v>
      </c>
      <c r="DL777" s="580">
        <f t="shared" ca="1" si="2150"/>
        <v>0</v>
      </c>
      <c r="DM777" s="580">
        <f t="shared" ca="1" si="2150"/>
        <v>0</v>
      </c>
      <c r="DN777" s="580">
        <f t="shared" ca="1" si="2150"/>
        <v>0</v>
      </c>
      <c r="DO777" s="580">
        <f t="shared" ca="1" si="2150"/>
        <v>0</v>
      </c>
      <c r="DP777" s="580">
        <f t="shared" ca="1" si="2150"/>
        <v>0</v>
      </c>
    </row>
    <row r="778" spans="1:120" hidden="1" outlineLevel="1">
      <c r="A778" s="55"/>
      <c r="B778" s="509"/>
      <c r="C778" s="679"/>
      <c r="D778" s="1469"/>
      <c r="E778" s="1470"/>
      <c r="F778" s="416"/>
      <c r="G778" s="1251"/>
      <c r="H778" s="511"/>
      <c r="I778" s="512"/>
      <c r="J778" s="1425">
        <v>1</v>
      </c>
      <c r="K778" s="1426">
        <v>1</v>
      </c>
      <c r="L778" s="438"/>
      <c r="M778" s="1336">
        <f t="shared" si="2146"/>
        <v>0</v>
      </c>
      <c r="N778" s="504"/>
      <c r="O778" s="513">
        <f t="shared" si="2151"/>
        <v>0</v>
      </c>
      <c r="P778" s="514"/>
      <c r="Q778" s="514">
        <f t="shared" si="2152"/>
        <v>0</v>
      </c>
      <c r="R778" s="515"/>
      <c r="S778" s="515"/>
      <c r="T778" s="562">
        <f t="shared" si="2153"/>
        <v>0</v>
      </c>
      <c r="U778" s="1493">
        <f t="shared" si="2154"/>
        <v>0</v>
      </c>
      <c r="V778" s="1127">
        <f t="shared" si="2155"/>
        <v>0</v>
      </c>
      <c r="W778" s="976">
        <f t="shared" si="2156"/>
        <v>0</v>
      </c>
      <c r="X778" s="975">
        <f t="shared" si="2157"/>
        <v>0</v>
      </c>
      <c r="Y778" s="519"/>
      <c r="AA778" s="1551"/>
      <c r="AB778" s="580"/>
      <c r="AC778" s="580"/>
      <c r="AD778" s="580"/>
      <c r="AE778" s="580"/>
      <c r="AF778" s="580"/>
      <c r="AG778" s="580"/>
      <c r="AH778" s="580"/>
      <c r="AI778" s="580"/>
      <c r="AJ778" s="580"/>
      <c r="AK778" s="580"/>
      <c r="AL778" s="1513"/>
      <c r="AM778" s="580"/>
      <c r="AN778" s="580"/>
      <c r="AO778" s="580"/>
      <c r="AP778" s="580"/>
      <c r="AQ778" s="580"/>
      <c r="AR778" s="580"/>
      <c r="AS778" s="580"/>
      <c r="AT778" s="580"/>
      <c r="AU778" s="580"/>
      <c r="AV778" s="580"/>
      <c r="AW778" s="580"/>
      <c r="AX778" s="580"/>
      <c r="AY778" s="580"/>
      <c r="AZ778" s="580"/>
      <c r="BA778" s="580"/>
      <c r="BB778" s="580"/>
      <c r="BC778" s="580"/>
      <c r="BD778" s="580"/>
      <c r="BE778" s="580"/>
      <c r="BF778" s="580"/>
      <c r="BG778" s="580"/>
      <c r="BH778" s="580"/>
      <c r="BI778" s="580"/>
      <c r="BJ778" s="580"/>
      <c r="BK778" s="580"/>
      <c r="BL778" s="580"/>
      <c r="BM778" s="580"/>
      <c r="BN778" s="580"/>
      <c r="BO778" s="580"/>
      <c r="BP778" s="580"/>
      <c r="BQ778" s="580"/>
      <c r="BR778" s="580"/>
      <c r="BS778" s="580"/>
      <c r="BT778" s="580"/>
      <c r="BU778" s="580"/>
      <c r="BV778" s="580"/>
      <c r="BW778" s="580"/>
      <c r="BX778" s="580"/>
      <c r="BY778" s="580"/>
      <c r="BZ778" s="580"/>
      <c r="CA778" s="580"/>
      <c r="CB778" s="580"/>
      <c r="CC778" s="580"/>
      <c r="CD778" s="580"/>
      <c r="CE778" s="580"/>
      <c r="CF778" s="580"/>
      <c r="CG778" s="580"/>
      <c r="CH778" s="580"/>
      <c r="CI778" s="580"/>
      <c r="CJ778" s="580"/>
      <c r="CK778" s="580"/>
      <c r="CL778" s="580"/>
      <c r="CM778" s="580"/>
      <c r="CN778" s="580"/>
      <c r="CO778" s="580"/>
      <c r="CP778" s="580"/>
      <c r="CQ778" s="580"/>
      <c r="CR778" s="580"/>
      <c r="CS778" s="580"/>
      <c r="CT778" s="580"/>
      <c r="CU778" s="580"/>
      <c r="CV778" s="580"/>
      <c r="CW778" s="580"/>
      <c r="CX778" s="580"/>
      <c r="CY778" s="580"/>
      <c r="CZ778" s="580"/>
      <c r="DA778" s="580"/>
      <c r="DB778" s="580"/>
      <c r="DC778" s="580"/>
      <c r="DD778" s="580"/>
      <c r="DE778" s="580"/>
      <c r="DF778" s="580"/>
      <c r="DG778" s="580"/>
      <c r="DH778" s="580"/>
      <c r="DI778" s="580"/>
      <c r="DJ778" s="580"/>
      <c r="DK778" s="580"/>
      <c r="DL778" s="580"/>
      <c r="DM778" s="580"/>
      <c r="DN778" s="580"/>
      <c r="DO778" s="580"/>
      <c r="DP778" s="580"/>
    </row>
    <row r="779" spans="1:120" ht="16.5" collapsed="1" thickBot="1">
      <c r="A779" s="62" t="s">
        <v>228</v>
      </c>
      <c r="B779" s="63"/>
      <c r="C779" s="64"/>
      <c r="D779" s="1473"/>
      <c r="E779" s="1474"/>
      <c r="F779" s="66">
        <f>SUM(F776:F778)</f>
        <v>0</v>
      </c>
      <c r="G779" s="1253"/>
      <c r="H779" s="67"/>
      <c r="I779" s="68">
        <f>SUM(I776:I778)</f>
        <v>0</v>
      </c>
      <c r="J779" s="1376"/>
      <c r="K779" s="76"/>
      <c r="L779" s="1511">
        <f>SUM(L776:L778)</f>
        <v>0</v>
      </c>
      <c r="M779" s="1300"/>
      <c r="N779" s="70"/>
      <c r="O779" s="71">
        <f>SUM(O776:O778)</f>
        <v>0</v>
      </c>
      <c r="P779" s="72">
        <f>SUM(P776:P778)</f>
        <v>-125</v>
      </c>
      <c r="Q779" s="1339"/>
      <c r="R779" s="73"/>
      <c r="S779" s="73"/>
      <c r="T779" s="96">
        <f ca="1">SUM(T776:T778)</f>
        <v>-578453.75</v>
      </c>
      <c r="U779" s="1495">
        <f>SUM(U776:U778)</f>
        <v>-125</v>
      </c>
      <c r="V779" s="76">
        <f>SUM(V776:V778)</f>
        <v>-548502.5</v>
      </c>
      <c r="W779" s="97">
        <f ca="1">SUM(W776:W778)</f>
        <v>0</v>
      </c>
      <c r="X779" s="98">
        <f ca="1">SUM(X776:X778)</f>
        <v>-29951.25</v>
      </c>
      <c r="Y779" s="43"/>
      <c r="AA779" s="192">
        <f t="shared" ref="AA779:BF779" ca="1" si="2158">SUM(AA774:AA778)</f>
        <v>0</v>
      </c>
      <c r="AB779" s="172">
        <f t="shared" ca="1" si="2158"/>
        <v>0</v>
      </c>
      <c r="AC779" s="172">
        <f t="shared" ca="1" si="2158"/>
        <v>0</v>
      </c>
      <c r="AD779" s="172">
        <f t="shared" ca="1" si="2158"/>
        <v>0</v>
      </c>
      <c r="AE779" s="172">
        <f t="shared" ca="1" si="2158"/>
        <v>1240.9000000000001</v>
      </c>
      <c r="AF779" s="172">
        <f t="shared" ca="1" si="2158"/>
        <v>0</v>
      </c>
      <c r="AG779" s="172">
        <f t="shared" ca="1" si="2158"/>
        <v>0</v>
      </c>
      <c r="AH779" s="172">
        <f t="shared" ca="1" si="2158"/>
        <v>0</v>
      </c>
      <c r="AI779" s="172">
        <f t="shared" ca="1" si="2158"/>
        <v>0</v>
      </c>
      <c r="AJ779" s="172">
        <f t="shared" ca="1" si="2158"/>
        <v>0</v>
      </c>
      <c r="AK779" s="172">
        <f t="shared" ca="1" si="2158"/>
        <v>0</v>
      </c>
      <c r="AL779" s="172">
        <f t="shared" ca="1" si="2158"/>
        <v>0</v>
      </c>
      <c r="AM779" s="172">
        <f t="shared" ca="1" si="2158"/>
        <v>0</v>
      </c>
      <c r="AN779" s="172">
        <f t="shared" ca="1" si="2158"/>
        <v>0</v>
      </c>
      <c r="AO779" s="172">
        <f t="shared" ca="1" si="2158"/>
        <v>0</v>
      </c>
      <c r="AP779" s="172">
        <f t="shared" ca="1" si="2158"/>
        <v>0</v>
      </c>
      <c r="AQ779" s="172">
        <f t="shared" ca="1" si="2158"/>
        <v>0</v>
      </c>
      <c r="AR779" s="172">
        <f t="shared" ca="1" si="2158"/>
        <v>0</v>
      </c>
      <c r="AS779" s="172">
        <f t="shared" ca="1" si="2158"/>
        <v>0</v>
      </c>
      <c r="AT779" s="172">
        <f t="shared" ca="1" si="2158"/>
        <v>0</v>
      </c>
      <c r="AU779" s="172">
        <f t="shared" ca="1" si="2158"/>
        <v>0</v>
      </c>
      <c r="AV779" s="172">
        <f t="shared" ca="1" si="2158"/>
        <v>0</v>
      </c>
      <c r="AW779" s="172">
        <f t="shared" ca="1" si="2158"/>
        <v>0</v>
      </c>
      <c r="AX779" s="172">
        <f t="shared" ca="1" si="2158"/>
        <v>0</v>
      </c>
      <c r="AY779" s="172">
        <f t="shared" ca="1" si="2158"/>
        <v>0</v>
      </c>
      <c r="AZ779" s="172">
        <f t="shared" ca="1" si="2158"/>
        <v>0</v>
      </c>
      <c r="BA779" s="172">
        <f t="shared" ca="1" si="2158"/>
        <v>0</v>
      </c>
      <c r="BB779" s="172">
        <f t="shared" ca="1" si="2158"/>
        <v>0</v>
      </c>
      <c r="BC779" s="172">
        <f t="shared" ca="1" si="2158"/>
        <v>0</v>
      </c>
      <c r="BD779" s="172">
        <f t="shared" ca="1" si="2158"/>
        <v>0</v>
      </c>
      <c r="BE779" s="172">
        <f t="shared" ca="1" si="2158"/>
        <v>0</v>
      </c>
      <c r="BF779" s="172">
        <f t="shared" ca="1" si="2158"/>
        <v>0</v>
      </c>
      <c r="BG779" s="172">
        <f t="shared" ref="BG779:CL779" ca="1" si="2159">SUM(BG774:BG778)</f>
        <v>0</v>
      </c>
      <c r="BH779" s="172">
        <f t="shared" ca="1" si="2159"/>
        <v>0</v>
      </c>
      <c r="BI779" s="172">
        <f t="shared" ca="1" si="2159"/>
        <v>0</v>
      </c>
      <c r="BJ779" s="172">
        <f t="shared" ca="1" si="2159"/>
        <v>0</v>
      </c>
      <c r="BK779" s="172">
        <f t="shared" ca="1" si="2159"/>
        <v>0</v>
      </c>
      <c r="BL779" s="172">
        <f t="shared" ca="1" si="2159"/>
        <v>0</v>
      </c>
      <c r="BM779" s="172">
        <f t="shared" ca="1" si="2159"/>
        <v>0</v>
      </c>
      <c r="BN779" s="172">
        <f t="shared" ca="1" si="2159"/>
        <v>0</v>
      </c>
      <c r="BO779" s="172">
        <f t="shared" ca="1" si="2159"/>
        <v>0</v>
      </c>
      <c r="BP779" s="172">
        <f t="shared" ca="1" si="2159"/>
        <v>0</v>
      </c>
      <c r="BQ779" s="172">
        <f t="shared" ca="1" si="2159"/>
        <v>0</v>
      </c>
      <c r="BR779" s="172">
        <f t="shared" ca="1" si="2159"/>
        <v>0</v>
      </c>
      <c r="BS779" s="172">
        <f t="shared" ca="1" si="2159"/>
        <v>0</v>
      </c>
      <c r="BT779" s="172">
        <f t="shared" ca="1" si="2159"/>
        <v>0</v>
      </c>
      <c r="BU779" s="172">
        <f t="shared" ca="1" si="2159"/>
        <v>0</v>
      </c>
      <c r="BV779" s="172">
        <f t="shared" ca="1" si="2159"/>
        <v>0</v>
      </c>
      <c r="BW779" s="172">
        <f t="shared" ca="1" si="2159"/>
        <v>0</v>
      </c>
      <c r="BX779" s="172">
        <f t="shared" ca="1" si="2159"/>
        <v>0</v>
      </c>
      <c r="BY779" s="172">
        <f t="shared" ca="1" si="2159"/>
        <v>0</v>
      </c>
      <c r="BZ779" s="172">
        <f t="shared" ca="1" si="2159"/>
        <v>0</v>
      </c>
      <c r="CA779" s="172">
        <f t="shared" ca="1" si="2159"/>
        <v>0</v>
      </c>
      <c r="CB779" s="172">
        <f t="shared" ca="1" si="2159"/>
        <v>0</v>
      </c>
      <c r="CC779" s="172">
        <f t="shared" ca="1" si="2159"/>
        <v>0</v>
      </c>
      <c r="CD779" s="172">
        <f t="shared" ca="1" si="2159"/>
        <v>0</v>
      </c>
      <c r="CE779" s="172">
        <f t="shared" ca="1" si="2159"/>
        <v>0</v>
      </c>
      <c r="CF779" s="172">
        <f t="shared" ca="1" si="2159"/>
        <v>0</v>
      </c>
      <c r="CG779" s="172">
        <f t="shared" ca="1" si="2159"/>
        <v>0</v>
      </c>
      <c r="CH779" s="172">
        <f t="shared" ca="1" si="2159"/>
        <v>0</v>
      </c>
      <c r="CI779" s="172">
        <f t="shared" ca="1" si="2159"/>
        <v>0</v>
      </c>
      <c r="CJ779" s="172">
        <f t="shared" ca="1" si="2159"/>
        <v>0</v>
      </c>
      <c r="CK779" s="172">
        <f t="shared" ca="1" si="2159"/>
        <v>0</v>
      </c>
      <c r="CL779" s="172">
        <f t="shared" ca="1" si="2159"/>
        <v>0</v>
      </c>
      <c r="CM779" s="172">
        <f t="shared" ref="CM779:CN779" ca="1" si="2160">SUM(CM774:CM778)</f>
        <v>0</v>
      </c>
      <c r="CN779" s="172">
        <f t="shared" ca="1" si="2160"/>
        <v>0</v>
      </c>
      <c r="CO779" s="172"/>
      <c r="CP779" s="172"/>
      <c r="CQ779" s="172"/>
      <c r="CR779" s="172"/>
      <c r="CS779" s="172"/>
      <c r="CT779" s="172"/>
      <c r="CU779" s="172"/>
      <c r="CV779" s="172"/>
      <c r="CW779" s="172"/>
      <c r="CX779" s="172"/>
      <c r="CY779" s="172"/>
      <c r="CZ779" s="172"/>
      <c r="DA779" s="172"/>
      <c r="DB779" s="172"/>
      <c r="DC779" s="172"/>
      <c r="DD779" s="172"/>
      <c r="DE779" s="172"/>
      <c r="DF779" s="172"/>
      <c r="DG779" s="172"/>
      <c r="DH779" s="172"/>
      <c r="DI779" s="172"/>
      <c r="DJ779" s="172"/>
      <c r="DK779" s="172"/>
      <c r="DL779" s="172"/>
      <c r="DM779" s="172"/>
      <c r="DN779" s="172"/>
      <c r="DO779" s="172"/>
      <c r="DP779" s="172"/>
    </row>
    <row r="780" spans="1:120"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/>
      <c r="CF780" s="24"/>
      <c r="CG780" s="24"/>
      <c r="CH780" s="24"/>
      <c r="CI780" s="24"/>
      <c r="CJ780" s="24"/>
      <c r="CK780" s="24"/>
      <c r="CL780" s="24"/>
      <c r="CM780" s="24"/>
      <c r="CN780" s="24"/>
      <c r="CO780" s="24"/>
      <c r="CP780" s="24"/>
      <c r="CQ780" s="24"/>
      <c r="CR780" s="24"/>
      <c r="CS780" s="24"/>
      <c r="CT780" s="24"/>
      <c r="CU780" s="24"/>
      <c r="CV780" s="24"/>
      <c r="CW780" s="24"/>
      <c r="CX780" s="24"/>
      <c r="CY780" s="24"/>
      <c r="CZ780" s="24"/>
      <c r="DA780" s="24"/>
      <c r="DB780" s="24"/>
      <c r="DC780" s="24"/>
      <c r="DD780" s="24"/>
      <c r="DE780" s="24"/>
      <c r="DF780" s="24"/>
      <c r="DG780" s="24"/>
      <c r="DH780" s="24"/>
      <c r="DI780" s="24"/>
      <c r="DJ780" s="24"/>
      <c r="DK780" s="24"/>
      <c r="DL780" s="24"/>
      <c r="DM780" s="24"/>
      <c r="DN780" s="24"/>
      <c r="DO780" s="24"/>
      <c r="DP780" s="24"/>
    </row>
    <row r="781" spans="1:120" hidden="1" outlineLevel="1">
      <c r="A781" s="640">
        <v>1110061050</v>
      </c>
      <c r="B781" s="573" t="s">
        <v>78</v>
      </c>
      <c r="C781" s="641" t="s">
        <v>64</v>
      </c>
      <c r="D781" s="1489"/>
      <c r="E781" s="1490"/>
      <c r="F781" s="643"/>
      <c r="G781" s="1262"/>
      <c r="H781" s="644"/>
      <c r="I781" s="645"/>
      <c r="J781" s="1483">
        <v>1</v>
      </c>
      <c r="K781" s="1484">
        <v>1</v>
      </c>
      <c r="L781" s="646"/>
      <c r="M781" s="1428">
        <f t="shared" ref="M781:M782" si="2161">+L781*J781</f>
        <v>0</v>
      </c>
      <c r="N781" s="647"/>
      <c r="O781" s="648">
        <f>+L781*N781</f>
        <v>0</v>
      </c>
      <c r="P781" s="649"/>
      <c r="Q781" s="649"/>
      <c r="R781" s="650"/>
      <c r="S781" s="650"/>
      <c r="T781" s="651">
        <f>+P781*S781</f>
        <v>0</v>
      </c>
      <c r="U781" s="1301">
        <f>+L781+P781+F781</f>
        <v>0</v>
      </c>
      <c r="V781" s="651">
        <f>+P781*R781+L781*N781+F781*H781</f>
        <v>0</v>
      </c>
      <c r="W781" s="653">
        <f>(IF(R781&gt;S781,(-P781*R781)-(-P781*S781),0))</f>
        <v>0</v>
      </c>
      <c r="X781" s="654">
        <f>(IF(R781&lt;S781,(-P781*R781)-(-P781*S781),0))</f>
        <v>0</v>
      </c>
      <c r="Y781" s="655"/>
      <c r="AA781" s="730"/>
      <c r="AB781" s="577"/>
      <c r="AC781" s="577"/>
      <c r="AD781" s="577"/>
      <c r="AE781" s="577"/>
      <c r="AF781" s="577"/>
      <c r="AG781" s="577"/>
      <c r="AH781" s="577"/>
      <c r="AI781" s="577"/>
      <c r="AJ781" s="577"/>
      <c r="AK781" s="577"/>
      <c r="AL781" s="577"/>
      <c r="AM781" s="577"/>
      <c r="AN781" s="577"/>
      <c r="AO781" s="577"/>
      <c r="AP781" s="577"/>
      <c r="AQ781" s="577"/>
      <c r="AR781" s="577"/>
      <c r="AS781" s="577"/>
      <c r="AT781" s="577"/>
      <c r="AU781" s="577"/>
      <c r="AV781" s="577"/>
      <c r="AW781" s="577"/>
      <c r="AX781" s="577"/>
      <c r="AY781" s="577"/>
      <c r="AZ781" s="577"/>
      <c r="BA781" s="577"/>
      <c r="BB781" s="577"/>
      <c r="BC781" s="577"/>
      <c r="BD781" s="577"/>
      <c r="BE781" s="577"/>
      <c r="BF781" s="577"/>
      <c r="BG781" s="577"/>
      <c r="BH781" s="577"/>
      <c r="BI781" s="577"/>
      <c r="BJ781" s="577"/>
      <c r="BK781" s="577">
        <f>+M781</f>
        <v>0</v>
      </c>
      <c r="BL781" s="577"/>
      <c r="BM781" s="577"/>
      <c r="BN781" s="577"/>
      <c r="BO781" s="577"/>
      <c r="BP781" s="577"/>
      <c r="BQ781" s="577"/>
      <c r="BR781" s="577"/>
      <c r="BS781" s="577"/>
      <c r="BT781" s="577"/>
      <c r="BU781" s="577"/>
      <c r="BV781" s="577"/>
      <c r="BW781" s="577"/>
      <c r="BX781" s="577"/>
      <c r="BY781" s="577"/>
      <c r="BZ781" s="577"/>
      <c r="CA781" s="577"/>
      <c r="CB781" s="577"/>
      <c r="CC781" s="577"/>
      <c r="CD781" s="577"/>
      <c r="CE781" s="577"/>
      <c r="CF781" s="577"/>
      <c r="CG781" s="577"/>
      <c r="CH781" s="577"/>
      <c r="CI781" s="577"/>
      <c r="CJ781" s="577"/>
      <c r="CK781" s="577"/>
      <c r="CL781" s="577"/>
      <c r="CM781" s="577"/>
      <c r="CN781" s="577"/>
      <c r="CO781" s="577"/>
      <c r="CP781" s="577"/>
      <c r="CQ781" s="577"/>
      <c r="CR781" s="577"/>
      <c r="CS781" s="577"/>
      <c r="CT781" s="577"/>
      <c r="CU781" s="577"/>
      <c r="CV781" s="577"/>
      <c r="CW781" s="577"/>
      <c r="CX781" s="577"/>
      <c r="CY781" s="577"/>
      <c r="CZ781" s="577"/>
      <c r="DA781" s="577"/>
      <c r="DB781" s="577"/>
      <c r="DC781" s="577"/>
      <c r="DD781" s="577"/>
      <c r="DE781" s="577"/>
      <c r="DF781" s="577"/>
      <c r="DG781" s="577"/>
      <c r="DH781" s="577"/>
      <c r="DI781" s="577"/>
      <c r="DJ781" s="577"/>
      <c r="DK781" s="577"/>
      <c r="DL781" s="577"/>
      <c r="DM781" s="577"/>
      <c r="DN781" s="577"/>
      <c r="DO781" s="577"/>
      <c r="DP781" s="577"/>
    </row>
    <row r="782" spans="1:120" hidden="1" outlineLevel="1">
      <c r="A782" s="55">
        <v>1110061050</v>
      </c>
      <c r="B782" s="509"/>
      <c r="C782" s="679" t="s">
        <v>64</v>
      </c>
      <c r="D782" s="1469"/>
      <c r="E782" s="1470"/>
      <c r="F782" s="416"/>
      <c r="G782" s="1251"/>
      <c r="H782" s="511"/>
      <c r="I782" s="512"/>
      <c r="J782" s="1425">
        <v>1</v>
      </c>
      <c r="K782" s="1426">
        <v>1</v>
      </c>
      <c r="L782" s="417"/>
      <c r="M782" s="1336">
        <f t="shared" si="2161"/>
        <v>0</v>
      </c>
      <c r="N782" s="504"/>
      <c r="O782" s="513">
        <f t="shared" ref="O782" si="2162">+L782*J782*N782</f>
        <v>0</v>
      </c>
      <c r="P782" s="514"/>
      <c r="Q782" s="514">
        <f t="shared" ref="Q782" si="2163">+P782*K782</f>
        <v>0</v>
      </c>
      <c r="R782" s="515"/>
      <c r="S782" s="426"/>
      <c r="T782" s="562">
        <f t="shared" ref="T782" si="2164">+P782*K782*S782</f>
        <v>0</v>
      </c>
      <c r="U782" s="1493">
        <f t="shared" ref="U782" si="2165">+L782+P782+F782</f>
        <v>0</v>
      </c>
      <c r="V782" s="1127">
        <f t="shared" ref="V782" si="2166">+P782*J782*R782+L782*J782*N782+F782*J782*H782</f>
        <v>0</v>
      </c>
      <c r="W782" s="976">
        <f t="shared" ref="W782" si="2167">IF((-P782*J782*R782)-(-P782*K782*S782)&gt;0,(-P782*J782*R782)-(-P782*K782*S782),0)</f>
        <v>0</v>
      </c>
      <c r="X782" s="975">
        <f t="shared" ref="X782" si="2168">IF((-P782*J782*R782)-(-P782*K782*S782)&lt;0,(-P782*J782*R782)-(-P782*K782*S782),0)</f>
        <v>0</v>
      </c>
      <c r="Y782" s="519"/>
      <c r="AA782" s="1551"/>
      <c r="AB782" s="580"/>
      <c r="AC782" s="580"/>
      <c r="AD782" s="580"/>
      <c r="AE782" s="580"/>
      <c r="AF782" s="580"/>
      <c r="AG782" s="580"/>
      <c r="AH782" s="580"/>
      <c r="AI782" s="580">
        <f>+Q782</f>
        <v>0</v>
      </c>
      <c r="AJ782" s="580"/>
      <c r="AK782" s="580"/>
      <c r="AL782" s="1513"/>
      <c r="AM782" s="580"/>
      <c r="AN782" s="580"/>
      <c r="AO782" s="580"/>
      <c r="AP782" s="580"/>
      <c r="AQ782" s="580"/>
      <c r="AR782" s="580"/>
      <c r="AS782" s="580"/>
      <c r="AT782" s="580"/>
      <c r="AU782" s="580"/>
      <c r="AV782" s="580"/>
      <c r="AW782" s="580"/>
      <c r="AX782" s="580"/>
      <c r="AY782" s="580"/>
      <c r="AZ782" s="580"/>
      <c r="BA782" s="580"/>
      <c r="BB782" s="580"/>
      <c r="BC782" s="580"/>
      <c r="BD782" s="580"/>
      <c r="BE782" s="580"/>
      <c r="BF782" s="580"/>
      <c r="BG782" s="580"/>
      <c r="BH782" s="580"/>
      <c r="BI782" s="580"/>
      <c r="BJ782" s="580"/>
      <c r="BK782" s="580"/>
      <c r="BL782" s="580"/>
      <c r="BM782" s="580"/>
      <c r="BN782" s="580"/>
      <c r="BO782" s="580"/>
      <c r="BP782" s="580"/>
      <c r="BQ782" s="580"/>
      <c r="BR782" s="580"/>
      <c r="BS782" s="580"/>
      <c r="BT782" s="580"/>
      <c r="BU782" s="580"/>
      <c r="BV782" s="580"/>
      <c r="BW782" s="580"/>
      <c r="BX782" s="580"/>
      <c r="BY782" s="580"/>
      <c r="BZ782" s="580"/>
      <c r="CA782" s="580"/>
      <c r="CB782" s="580"/>
      <c r="CC782" s="580"/>
      <c r="CD782" s="580"/>
      <c r="CE782" s="580"/>
      <c r="CF782" s="580"/>
      <c r="CG782" s="580"/>
      <c r="CH782" s="580"/>
      <c r="CI782" s="580"/>
      <c r="CJ782" s="580"/>
      <c r="CK782" s="580"/>
      <c r="CL782" s="580"/>
      <c r="CM782" s="580"/>
      <c r="CN782" s="580"/>
      <c r="CO782" s="580"/>
      <c r="CP782" s="580"/>
      <c r="CQ782" s="580"/>
      <c r="CR782" s="580"/>
      <c r="CS782" s="580"/>
      <c r="CT782" s="580"/>
      <c r="CU782" s="580"/>
      <c r="CV782" s="580"/>
      <c r="CW782" s="580"/>
      <c r="CX782" s="580"/>
      <c r="CY782" s="580"/>
      <c r="CZ782" s="580"/>
      <c r="DA782" s="580"/>
      <c r="DB782" s="580"/>
      <c r="DC782" s="580"/>
      <c r="DD782" s="580"/>
      <c r="DE782" s="580"/>
      <c r="DF782" s="580"/>
      <c r="DG782" s="580"/>
      <c r="DH782" s="580"/>
      <c r="DI782" s="580"/>
      <c r="DJ782" s="580"/>
      <c r="DK782" s="580"/>
      <c r="DL782" s="580"/>
      <c r="DM782" s="580"/>
      <c r="DN782" s="580"/>
      <c r="DO782" s="580"/>
      <c r="DP782" s="580"/>
    </row>
    <row r="783" spans="1:120" hidden="1" outlineLevel="1">
      <c r="A783" s="55"/>
      <c r="B783" s="509"/>
      <c r="C783" s="510"/>
      <c r="D783" s="1469"/>
      <c r="E783" s="1470"/>
      <c r="F783" s="416"/>
      <c r="G783" s="1251"/>
      <c r="H783" s="511"/>
      <c r="I783" s="512"/>
      <c r="J783" s="1425">
        <v>1</v>
      </c>
      <c r="K783" s="1426">
        <v>1</v>
      </c>
      <c r="L783" s="417"/>
      <c r="M783" s="1336"/>
      <c r="N783" s="504"/>
      <c r="O783" s="513">
        <f>+L783*N783</f>
        <v>0</v>
      </c>
      <c r="P783" s="514"/>
      <c r="Q783" s="514"/>
      <c r="R783" s="515"/>
      <c r="S783" s="527"/>
      <c r="T783" s="562">
        <f>+P783*S783</f>
        <v>0</v>
      </c>
      <c r="U783" s="1493">
        <f>+L783+P783+F783</f>
        <v>0</v>
      </c>
      <c r="V783" s="1127">
        <f>+P783*R783+L783*N783+F783*H783</f>
        <v>0</v>
      </c>
      <c r="W783" s="976">
        <f>(IF(R783&gt;S783,(-P783*R783)-(-P783*S783),0))</f>
        <v>0</v>
      </c>
      <c r="X783" s="975">
        <f>(IF(R783&lt;S783,(-P783*R783)-(-P783*S783),0))</f>
        <v>0</v>
      </c>
      <c r="Y783" s="519"/>
      <c r="AA783" s="580"/>
      <c r="AB783" s="580"/>
      <c r="AC783" s="580"/>
      <c r="AD783" s="580"/>
      <c r="AE783" s="580"/>
      <c r="AF783" s="580"/>
      <c r="AG783" s="580"/>
      <c r="AH783" s="580"/>
      <c r="AI783" s="580"/>
      <c r="AJ783" s="580"/>
      <c r="AK783" s="580"/>
      <c r="AL783" s="1513"/>
      <c r="AM783" s="580"/>
      <c r="AN783" s="580"/>
      <c r="AO783" s="580"/>
      <c r="AP783" s="580"/>
      <c r="AQ783" s="580"/>
      <c r="AR783" s="580"/>
      <c r="AS783" s="580"/>
      <c r="AT783" s="580"/>
      <c r="AU783" s="580"/>
      <c r="AV783" s="580"/>
      <c r="AW783" s="580"/>
      <c r="AX783" s="580"/>
      <c r="AY783" s="580"/>
      <c r="AZ783" s="580"/>
      <c r="BA783" s="580"/>
      <c r="BB783" s="580"/>
      <c r="BC783" s="580"/>
      <c r="BD783" s="580"/>
      <c r="BE783" s="580"/>
      <c r="BF783" s="580"/>
      <c r="BG783" s="580"/>
      <c r="BH783" s="580"/>
      <c r="BI783" s="580"/>
      <c r="BJ783" s="580"/>
      <c r="BK783" s="580"/>
      <c r="BL783" s="580"/>
      <c r="BM783" s="580"/>
      <c r="BN783" s="580"/>
      <c r="BO783" s="580"/>
      <c r="BP783" s="580"/>
      <c r="BQ783" s="580"/>
      <c r="BR783" s="580"/>
      <c r="BS783" s="580"/>
      <c r="BT783" s="580"/>
      <c r="BU783" s="580"/>
      <c r="BV783" s="580"/>
      <c r="BW783" s="580"/>
      <c r="BX783" s="580"/>
      <c r="BY783" s="580"/>
      <c r="BZ783" s="580"/>
      <c r="CA783" s="580"/>
      <c r="CB783" s="580"/>
      <c r="CC783" s="580"/>
      <c r="CD783" s="580"/>
      <c r="CE783" s="580"/>
      <c r="CF783" s="580"/>
      <c r="CG783" s="580"/>
      <c r="CH783" s="580"/>
      <c r="CI783" s="580"/>
      <c r="CJ783" s="580"/>
      <c r="CK783" s="580"/>
      <c r="CL783" s="580"/>
      <c r="CM783" s="580"/>
      <c r="CN783" s="580"/>
      <c r="CO783" s="580"/>
      <c r="CP783" s="580"/>
      <c r="CQ783" s="580"/>
      <c r="CR783" s="580"/>
      <c r="CS783" s="580"/>
      <c r="CT783" s="580"/>
      <c r="CU783" s="580"/>
      <c r="CV783" s="580"/>
      <c r="CW783" s="580"/>
      <c r="CX783" s="580"/>
      <c r="CY783" s="580"/>
      <c r="CZ783" s="580"/>
      <c r="DA783" s="580"/>
      <c r="DB783" s="580"/>
      <c r="DC783" s="580"/>
      <c r="DD783" s="580"/>
      <c r="DE783" s="580"/>
      <c r="DF783" s="580"/>
      <c r="DG783" s="580"/>
      <c r="DH783" s="580"/>
      <c r="DI783" s="580"/>
      <c r="DJ783" s="580"/>
      <c r="DK783" s="580"/>
      <c r="DL783" s="580"/>
      <c r="DM783" s="580"/>
      <c r="DN783" s="580"/>
      <c r="DO783" s="580"/>
      <c r="DP783" s="580"/>
    </row>
    <row r="784" spans="1:120" ht="16.5" collapsed="1" thickBot="1">
      <c r="A784" s="62" t="s">
        <v>229</v>
      </c>
      <c r="B784" s="63"/>
      <c r="C784" s="64"/>
      <c r="D784" s="1473"/>
      <c r="E784" s="1474"/>
      <c r="F784" s="66">
        <f>SUM(F781:F783)</f>
        <v>0</v>
      </c>
      <c r="G784" s="1253"/>
      <c r="H784" s="67"/>
      <c r="I784" s="68">
        <f>SUM(I781:I783)</f>
        <v>0</v>
      </c>
      <c r="J784" s="1376"/>
      <c r="K784" s="76"/>
      <c r="L784" s="69">
        <f>SUM(L781:L783)</f>
        <v>0</v>
      </c>
      <c r="M784" s="168"/>
      <c r="N784" s="70"/>
      <c r="O784" s="71">
        <f>SUM(O781:O783)</f>
        <v>0</v>
      </c>
      <c r="P784" s="72">
        <f>SUM(P781:P783)</f>
        <v>0</v>
      </c>
      <c r="Q784" s="1339"/>
      <c r="R784" s="73"/>
      <c r="S784" s="73"/>
      <c r="T784" s="96">
        <f>SUM(T781:T783)</f>
        <v>0</v>
      </c>
      <c r="U784" s="66">
        <f>SUM(U781:U783)</f>
        <v>0</v>
      </c>
      <c r="V784" s="76">
        <f>SUM(V781:V783)</f>
        <v>0</v>
      </c>
      <c r="W784" s="97">
        <f>SUM(W781:W783)</f>
        <v>0</v>
      </c>
      <c r="X784" s="98">
        <f>SUM(X781:X783)</f>
        <v>0</v>
      </c>
      <c r="Y784" s="43"/>
      <c r="AA784" s="172">
        <f t="shared" ref="AA784:BF784" ca="1" si="2169">SUM(AA779:AA783)</f>
        <v>0</v>
      </c>
      <c r="AB784" s="172">
        <f t="shared" ca="1" si="2169"/>
        <v>0</v>
      </c>
      <c r="AC784" s="172">
        <f t="shared" ca="1" si="2169"/>
        <v>0</v>
      </c>
      <c r="AD784" s="172">
        <f t="shared" ca="1" si="2169"/>
        <v>0</v>
      </c>
      <c r="AE784" s="172">
        <f t="shared" ca="1" si="2169"/>
        <v>1240.9000000000001</v>
      </c>
      <c r="AF784" s="172">
        <f t="shared" ca="1" si="2169"/>
        <v>0</v>
      </c>
      <c r="AG784" s="172">
        <f t="shared" ca="1" si="2169"/>
        <v>0</v>
      </c>
      <c r="AH784" s="172">
        <f t="shared" ca="1" si="2169"/>
        <v>0</v>
      </c>
      <c r="AI784" s="172">
        <f t="shared" ca="1" si="2169"/>
        <v>0</v>
      </c>
      <c r="AJ784" s="172">
        <f t="shared" ca="1" si="2169"/>
        <v>0</v>
      </c>
      <c r="AK784" s="172">
        <f t="shared" ca="1" si="2169"/>
        <v>0</v>
      </c>
      <c r="AL784" s="172">
        <f t="shared" ca="1" si="2169"/>
        <v>0</v>
      </c>
      <c r="AM784" s="172">
        <f t="shared" ca="1" si="2169"/>
        <v>0</v>
      </c>
      <c r="AN784" s="172">
        <f t="shared" ca="1" si="2169"/>
        <v>0</v>
      </c>
      <c r="AO784" s="172">
        <f t="shared" ca="1" si="2169"/>
        <v>0</v>
      </c>
      <c r="AP784" s="172">
        <f t="shared" ca="1" si="2169"/>
        <v>0</v>
      </c>
      <c r="AQ784" s="172">
        <f t="shared" ca="1" si="2169"/>
        <v>0</v>
      </c>
      <c r="AR784" s="172">
        <f t="shared" ca="1" si="2169"/>
        <v>0</v>
      </c>
      <c r="AS784" s="172">
        <f t="shared" ca="1" si="2169"/>
        <v>0</v>
      </c>
      <c r="AT784" s="172">
        <f t="shared" ca="1" si="2169"/>
        <v>0</v>
      </c>
      <c r="AU784" s="172">
        <f t="shared" ca="1" si="2169"/>
        <v>0</v>
      </c>
      <c r="AV784" s="172">
        <f t="shared" ca="1" si="2169"/>
        <v>0</v>
      </c>
      <c r="AW784" s="172">
        <f t="shared" ca="1" si="2169"/>
        <v>0</v>
      </c>
      <c r="AX784" s="172">
        <f t="shared" ca="1" si="2169"/>
        <v>0</v>
      </c>
      <c r="AY784" s="172">
        <f t="shared" ca="1" si="2169"/>
        <v>0</v>
      </c>
      <c r="AZ784" s="172">
        <f t="shared" ca="1" si="2169"/>
        <v>0</v>
      </c>
      <c r="BA784" s="172">
        <f t="shared" ca="1" si="2169"/>
        <v>0</v>
      </c>
      <c r="BB784" s="172">
        <f t="shared" ca="1" si="2169"/>
        <v>0</v>
      </c>
      <c r="BC784" s="172">
        <f t="shared" ca="1" si="2169"/>
        <v>0</v>
      </c>
      <c r="BD784" s="172">
        <f t="shared" ca="1" si="2169"/>
        <v>0</v>
      </c>
      <c r="BE784" s="172">
        <f t="shared" ca="1" si="2169"/>
        <v>0</v>
      </c>
      <c r="BF784" s="172">
        <f t="shared" ca="1" si="2169"/>
        <v>0</v>
      </c>
      <c r="BG784" s="172">
        <f t="shared" ref="BG784:CL784" ca="1" si="2170">SUM(BG779:BG783)</f>
        <v>0</v>
      </c>
      <c r="BH784" s="172">
        <f t="shared" ca="1" si="2170"/>
        <v>0</v>
      </c>
      <c r="BI784" s="172">
        <f t="shared" ca="1" si="2170"/>
        <v>0</v>
      </c>
      <c r="BJ784" s="172">
        <f t="shared" ca="1" si="2170"/>
        <v>0</v>
      </c>
      <c r="BK784" s="172">
        <f t="shared" ca="1" si="2170"/>
        <v>0</v>
      </c>
      <c r="BL784" s="172">
        <f t="shared" ca="1" si="2170"/>
        <v>0</v>
      </c>
      <c r="BM784" s="172">
        <f t="shared" ca="1" si="2170"/>
        <v>0</v>
      </c>
      <c r="BN784" s="172">
        <f t="shared" ca="1" si="2170"/>
        <v>0</v>
      </c>
      <c r="BO784" s="172">
        <f t="shared" ca="1" si="2170"/>
        <v>0</v>
      </c>
      <c r="BP784" s="172">
        <f t="shared" ca="1" si="2170"/>
        <v>0</v>
      </c>
      <c r="BQ784" s="172">
        <f t="shared" ca="1" si="2170"/>
        <v>0</v>
      </c>
      <c r="BR784" s="172">
        <f t="shared" ca="1" si="2170"/>
        <v>0</v>
      </c>
      <c r="BS784" s="172">
        <f t="shared" ca="1" si="2170"/>
        <v>0</v>
      </c>
      <c r="BT784" s="172">
        <f t="shared" ca="1" si="2170"/>
        <v>0</v>
      </c>
      <c r="BU784" s="172">
        <f t="shared" ca="1" si="2170"/>
        <v>0</v>
      </c>
      <c r="BV784" s="172">
        <f t="shared" ca="1" si="2170"/>
        <v>0</v>
      </c>
      <c r="BW784" s="172">
        <f t="shared" ca="1" si="2170"/>
        <v>0</v>
      </c>
      <c r="BX784" s="172">
        <f t="shared" ca="1" si="2170"/>
        <v>0</v>
      </c>
      <c r="BY784" s="172">
        <f t="shared" ca="1" si="2170"/>
        <v>0</v>
      </c>
      <c r="BZ784" s="172">
        <f t="shared" ca="1" si="2170"/>
        <v>0</v>
      </c>
      <c r="CA784" s="172">
        <f t="shared" ca="1" si="2170"/>
        <v>0</v>
      </c>
      <c r="CB784" s="172">
        <f t="shared" ca="1" si="2170"/>
        <v>0</v>
      </c>
      <c r="CC784" s="172">
        <f t="shared" ca="1" si="2170"/>
        <v>0</v>
      </c>
      <c r="CD784" s="172">
        <f t="shared" ca="1" si="2170"/>
        <v>0</v>
      </c>
      <c r="CE784" s="172">
        <f t="shared" ca="1" si="2170"/>
        <v>0</v>
      </c>
      <c r="CF784" s="172">
        <f t="shared" ca="1" si="2170"/>
        <v>0</v>
      </c>
      <c r="CG784" s="172">
        <f t="shared" ca="1" si="2170"/>
        <v>0</v>
      </c>
      <c r="CH784" s="172">
        <f t="shared" ca="1" si="2170"/>
        <v>0</v>
      </c>
      <c r="CI784" s="172">
        <f t="shared" ca="1" si="2170"/>
        <v>0</v>
      </c>
      <c r="CJ784" s="172">
        <f t="shared" ca="1" si="2170"/>
        <v>0</v>
      </c>
      <c r="CK784" s="172">
        <f t="shared" ca="1" si="2170"/>
        <v>0</v>
      </c>
      <c r="CL784" s="172">
        <f t="shared" ca="1" si="2170"/>
        <v>0</v>
      </c>
      <c r="CM784" s="172">
        <f t="shared" ref="CM784:CN784" ca="1" si="2171">SUM(CM779:CM783)</f>
        <v>0</v>
      </c>
      <c r="CN784" s="172">
        <f t="shared" ca="1" si="2171"/>
        <v>0</v>
      </c>
      <c r="CO784" s="172"/>
      <c r="CP784" s="172"/>
      <c r="CQ784" s="172"/>
      <c r="CR784" s="172"/>
      <c r="CS784" s="172"/>
      <c r="CT784" s="172"/>
      <c r="CU784" s="172"/>
      <c r="CV784" s="172"/>
      <c r="CW784" s="172"/>
      <c r="CX784" s="172"/>
      <c r="CY784" s="172"/>
      <c r="CZ784" s="172"/>
      <c r="DA784" s="172"/>
      <c r="DB784" s="172"/>
      <c r="DC784" s="172"/>
      <c r="DD784" s="172"/>
      <c r="DE784" s="172"/>
      <c r="DF784" s="172"/>
      <c r="DG784" s="172"/>
      <c r="DH784" s="172"/>
      <c r="DI784" s="172"/>
      <c r="DJ784" s="172"/>
      <c r="DK784" s="172"/>
      <c r="DL784" s="172"/>
      <c r="DM784" s="172"/>
      <c r="DN784" s="172"/>
      <c r="DO784" s="172"/>
      <c r="DP784" s="172"/>
    </row>
    <row r="785" spans="1:120"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/>
      <c r="CG785" s="24"/>
      <c r="CH785" s="24"/>
      <c r="CI785" s="24"/>
      <c r="CJ785" s="24"/>
      <c r="CK785" s="24"/>
      <c r="CL785" s="24"/>
      <c r="CM785" s="24"/>
      <c r="CN785" s="24"/>
      <c r="CO785" s="24"/>
      <c r="CP785" s="24"/>
      <c r="CQ785" s="24"/>
      <c r="CR785" s="24"/>
      <c r="CS785" s="24"/>
      <c r="CT785" s="24"/>
      <c r="CU785" s="24"/>
      <c r="CV785" s="24"/>
      <c r="CW785" s="24"/>
      <c r="CX785" s="24"/>
      <c r="CY785" s="24"/>
      <c r="CZ785" s="24"/>
      <c r="DA785" s="24"/>
      <c r="DB785" s="24"/>
      <c r="DC785" s="24"/>
      <c r="DD785" s="24"/>
      <c r="DE785" s="24"/>
      <c r="DF785" s="24"/>
      <c r="DG785" s="24"/>
      <c r="DH785" s="24"/>
      <c r="DI785" s="24"/>
      <c r="DJ785" s="24"/>
      <c r="DK785" s="24"/>
      <c r="DL785" s="24"/>
      <c r="DM785" s="24"/>
      <c r="DN785" s="24"/>
      <c r="DO785" s="24"/>
      <c r="DP785" s="24"/>
    </row>
    <row r="786" spans="1:120" hidden="1" outlineLevel="1">
      <c r="A786" s="640">
        <v>1110061050</v>
      </c>
      <c r="B786" s="573" t="s">
        <v>78</v>
      </c>
      <c r="C786" s="641" t="s">
        <v>64</v>
      </c>
      <c r="D786" s="1489"/>
      <c r="E786" s="1490"/>
      <c r="F786" s="643"/>
      <c r="G786" s="1262"/>
      <c r="H786" s="644"/>
      <c r="I786" s="645"/>
      <c r="J786" s="1483">
        <v>1</v>
      </c>
      <c r="K786" s="1484">
        <v>1</v>
      </c>
      <c r="L786" s="646"/>
      <c r="M786" s="1428">
        <f t="shared" ref="M786" si="2172">+L786*J786</f>
        <v>0</v>
      </c>
      <c r="N786" s="647"/>
      <c r="O786" s="648">
        <f t="shared" ref="O786" si="2173">+L786*N786</f>
        <v>0</v>
      </c>
      <c r="P786" s="649"/>
      <c r="Q786" s="649"/>
      <c r="R786" s="650"/>
      <c r="S786" s="650"/>
      <c r="T786" s="651">
        <f t="shared" ref="T786" si="2174">+P786*S786</f>
        <v>0</v>
      </c>
      <c r="U786" s="1301">
        <f t="shared" ref="U786" si="2175">+L786+P786+F786</f>
        <v>0</v>
      </c>
      <c r="V786" s="651">
        <f t="shared" ref="V786" si="2176">+P786*R786+L786*N786+F786*H786</f>
        <v>0</v>
      </c>
      <c r="W786" s="653">
        <f t="shared" ref="W786" si="2177">(IF(R786&gt;S786,(-P786*R786)-(-P786*S786),0))</f>
        <v>0</v>
      </c>
      <c r="X786" s="654">
        <f t="shared" ref="X786" si="2178">(IF(R786&lt;S786,(-P786*R786)-(-P786*S786),0))</f>
        <v>0</v>
      </c>
      <c r="Y786" s="655"/>
      <c r="AA786" s="577"/>
      <c r="AB786" s="577"/>
      <c r="AC786" s="577"/>
      <c r="AD786" s="577"/>
      <c r="AE786" s="577"/>
      <c r="AF786" s="577"/>
      <c r="AG786" s="577"/>
      <c r="AH786" s="577"/>
      <c r="AI786" s="577"/>
      <c r="AJ786" s="577"/>
      <c r="AK786" s="577"/>
      <c r="AL786" s="577"/>
      <c r="AM786" s="577"/>
      <c r="AN786" s="577"/>
      <c r="AO786" s="577"/>
      <c r="AP786" s="577"/>
      <c r="AQ786" s="577"/>
      <c r="AR786" s="577"/>
      <c r="AS786" s="577"/>
      <c r="AT786" s="577"/>
      <c r="AU786" s="577"/>
      <c r="AV786" s="577"/>
      <c r="AW786" s="577"/>
      <c r="AX786" s="577"/>
      <c r="AY786" s="577"/>
      <c r="AZ786" s="577"/>
      <c r="BA786" s="577"/>
      <c r="BB786" s="577"/>
      <c r="BC786" s="577"/>
      <c r="BD786" s="577"/>
      <c r="BE786" s="577"/>
      <c r="BF786" s="577"/>
      <c r="BG786" s="577"/>
      <c r="BH786" s="577"/>
      <c r="BI786" s="577"/>
      <c r="BJ786" s="577"/>
      <c r="BK786" s="577"/>
      <c r="BL786" s="577"/>
      <c r="BM786" s="577"/>
      <c r="BN786" s="577"/>
      <c r="BO786" s="577"/>
      <c r="BP786" s="577"/>
      <c r="BQ786" s="577"/>
      <c r="BR786" s="577"/>
      <c r="BS786" s="577"/>
      <c r="BT786" s="577"/>
      <c r="BU786" s="577"/>
      <c r="BV786" s="577"/>
      <c r="BW786" s="577"/>
      <c r="BX786" s="577"/>
      <c r="BY786" s="577"/>
      <c r="BZ786" s="577"/>
      <c r="CA786" s="577"/>
      <c r="CB786" s="577"/>
      <c r="CC786" s="577"/>
      <c r="CD786" s="577"/>
      <c r="CE786" s="577"/>
      <c r="CF786" s="577"/>
      <c r="CG786" s="577"/>
      <c r="CH786" s="577"/>
      <c r="CI786" s="577"/>
      <c r="CJ786" s="577"/>
      <c r="CK786" s="577"/>
      <c r="CL786" s="577"/>
      <c r="CM786" s="577"/>
      <c r="CN786" s="577"/>
      <c r="CO786" s="577"/>
      <c r="CP786" s="577"/>
      <c r="CQ786" s="577"/>
      <c r="CR786" s="577"/>
      <c r="CS786" s="577"/>
      <c r="CT786" s="577"/>
      <c r="CU786" s="577"/>
      <c r="CV786" s="577"/>
      <c r="CW786" s="577"/>
      <c r="CX786" s="577"/>
      <c r="CY786" s="577"/>
      <c r="CZ786" s="577"/>
      <c r="DA786" s="577"/>
      <c r="DB786" s="577"/>
      <c r="DC786" s="577"/>
      <c r="DD786" s="577"/>
      <c r="DE786" s="577"/>
      <c r="DF786" s="577"/>
      <c r="DG786" s="577"/>
      <c r="DH786" s="577"/>
      <c r="DI786" s="577"/>
      <c r="DJ786" s="577"/>
      <c r="DK786" s="577"/>
      <c r="DL786" s="577"/>
      <c r="DM786" s="577"/>
      <c r="DN786" s="577"/>
      <c r="DO786" s="577"/>
      <c r="DP786" s="577"/>
    </row>
    <row r="787" spans="1:120" hidden="1" outlineLevel="1">
      <c r="A787" s="55">
        <v>1110061050</v>
      </c>
      <c r="B787" s="509"/>
      <c r="C787" s="510" t="s">
        <v>64</v>
      </c>
      <c r="D787" s="1469"/>
      <c r="E787" s="1470"/>
      <c r="F787" s="416"/>
      <c r="G787" s="1251"/>
      <c r="H787" s="511"/>
      <c r="I787" s="512"/>
      <c r="J787" s="1425">
        <v>1</v>
      </c>
      <c r="K787" s="1426">
        <v>1</v>
      </c>
      <c r="L787" s="419"/>
      <c r="M787" s="1600"/>
      <c r="N787" s="504"/>
      <c r="O787" s="513">
        <f t="shared" ref="O787:O788" si="2179">+L787*N787</f>
        <v>0</v>
      </c>
      <c r="P787" s="514"/>
      <c r="Q787" s="514">
        <f t="shared" ref="Q787" si="2180">+P787*K787</f>
        <v>0</v>
      </c>
      <c r="R787" s="515"/>
      <c r="S787" s="426"/>
      <c r="T787" s="562">
        <f t="shared" ref="T787:T788" si="2181">+P787*S787</f>
        <v>0</v>
      </c>
      <c r="U787" s="1493">
        <f t="shared" ref="U787:U788" si="2182">+L787+P787+F787</f>
        <v>0</v>
      </c>
      <c r="V787" s="1127">
        <f t="shared" ref="V787:V788" si="2183">+P787*R787+L787*N787+F787*H787</f>
        <v>0</v>
      </c>
      <c r="W787" s="976">
        <f t="shared" ref="W787:W788" si="2184">(IF(R787&gt;S787,(-P787*R787)-(-P787*S787),0))</f>
        <v>0</v>
      </c>
      <c r="X787" s="975">
        <f t="shared" ref="X787:X788" si="2185">(IF(R787&lt;S787,(-P787*R787)-(-P787*S787),0))</f>
        <v>0</v>
      </c>
      <c r="Y787" s="519"/>
      <c r="AA787" s="580"/>
      <c r="AB787" s="580"/>
      <c r="AC787" s="580"/>
      <c r="AD787" s="580"/>
      <c r="AE787" s="580"/>
      <c r="AF787" s="580"/>
      <c r="AG787" s="580"/>
      <c r="AH787" s="580"/>
      <c r="AI787" s="580"/>
      <c r="AJ787" s="580">
        <f>+Q787</f>
        <v>0</v>
      </c>
      <c r="AK787" s="580"/>
      <c r="AL787" s="1513"/>
      <c r="AM787" s="580"/>
      <c r="AN787" s="580"/>
      <c r="AO787" s="580"/>
      <c r="AP787" s="580"/>
      <c r="AQ787" s="580"/>
      <c r="AR787" s="580"/>
      <c r="AS787" s="580"/>
      <c r="AT787" s="580"/>
      <c r="AU787" s="580"/>
      <c r="AV787" s="580"/>
      <c r="AW787" s="580"/>
      <c r="AX787" s="580"/>
      <c r="AY787" s="580"/>
      <c r="AZ787" s="580"/>
      <c r="BA787" s="580"/>
      <c r="BB787" s="580"/>
      <c r="BC787" s="580"/>
      <c r="BD787" s="580"/>
      <c r="BE787" s="580"/>
      <c r="BF787" s="580"/>
      <c r="BG787" s="580"/>
      <c r="BH787" s="580"/>
      <c r="BI787" s="580"/>
      <c r="BJ787" s="580"/>
      <c r="BK787" s="580"/>
      <c r="BL787" s="580"/>
      <c r="BM787" s="580"/>
      <c r="BN787" s="580"/>
      <c r="BO787" s="580"/>
      <c r="BP787" s="580"/>
      <c r="BQ787" s="580"/>
      <c r="BR787" s="580"/>
      <c r="BS787" s="580"/>
      <c r="BT787" s="580"/>
      <c r="BU787" s="580"/>
      <c r="BV787" s="580"/>
      <c r="BW787" s="580"/>
      <c r="BX787" s="580"/>
      <c r="BY787" s="580"/>
      <c r="BZ787" s="580"/>
      <c r="CA787" s="580"/>
      <c r="CB787" s="580"/>
      <c r="CC787" s="580"/>
      <c r="CD787" s="580"/>
      <c r="CE787" s="580"/>
      <c r="CF787" s="580"/>
      <c r="CG787" s="580"/>
      <c r="CH787" s="580"/>
      <c r="CI787" s="580"/>
      <c r="CJ787" s="580"/>
      <c r="CK787" s="580"/>
      <c r="CL787" s="580"/>
      <c r="CM787" s="580"/>
      <c r="CN787" s="580"/>
      <c r="CO787" s="580"/>
      <c r="CP787" s="580"/>
      <c r="CQ787" s="580"/>
      <c r="CR787" s="580"/>
      <c r="CS787" s="580"/>
      <c r="CT787" s="580"/>
      <c r="CU787" s="580"/>
      <c r="CV787" s="580"/>
      <c r="CW787" s="580"/>
      <c r="CX787" s="580"/>
      <c r="CY787" s="580"/>
      <c r="CZ787" s="580"/>
      <c r="DA787" s="580"/>
      <c r="DB787" s="580"/>
      <c r="DC787" s="580"/>
      <c r="DD787" s="580"/>
      <c r="DE787" s="580"/>
      <c r="DF787" s="580"/>
      <c r="DG787" s="580"/>
      <c r="DH787" s="580"/>
      <c r="DI787" s="580"/>
      <c r="DJ787" s="580"/>
      <c r="DK787" s="580"/>
      <c r="DL787" s="580"/>
      <c r="DM787" s="580"/>
      <c r="DN787" s="580"/>
      <c r="DO787" s="580"/>
      <c r="DP787" s="580"/>
    </row>
    <row r="788" spans="1:120" hidden="1" outlineLevel="1">
      <c r="A788" s="55"/>
      <c r="B788" s="509"/>
      <c r="C788" s="510"/>
      <c r="D788" s="1469"/>
      <c r="E788" s="1470"/>
      <c r="F788" s="416"/>
      <c r="G788" s="1251"/>
      <c r="H788" s="511"/>
      <c r="I788" s="512"/>
      <c r="J788" s="1425"/>
      <c r="K788" s="1426"/>
      <c r="L788" s="419"/>
      <c r="M788" s="1600"/>
      <c r="N788" s="504"/>
      <c r="O788" s="513">
        <f t="shared" si="2179"/>
        <v>0</v>
      </c>
      <c r="P788" s="514"/>
      <c r="Q788" s="514"/>
      <c r="R788" s="515"/>
      <c r="S788" s="426"/>
      <c r="T788" s="562">
        <f t="shared" si="2181"/>
        <v>0</v>
      </c>
      <c r="U788" s="1493">
        <f t="shared" si="2182"/>
        <v>0</v>
      </c>
      <c r="V788" s="1127">
        <f t="shared" si="2183"/>
        <v>0</v>
      </c>
      <c r="W788" s="976">
        <f t="shared" si="2184"/>
        <v>0</v>
      </c>
      <c r="X788" s="975">
        <f t="shared" si="2185"/>
        <v>0</v>
      </c>
      <c r="Y788" s="519"/>
      <c r="AA788" s="580"/>
      <c r="AB788" s="580"/>
      <c r="AC788" s="580"/>
      <c r="AD788" s="580"/>
      <c r="AE788" s="580"/>
      <c r="AF788" s="580"/>
      <c r="AG788" s="580"/>
      <c r="AH788" s="580"/>
      <c r="AI788" s="580"/>
      <c r="AJ788" s="580"/>
      <c r="AK788" s="580"/>
      <c r="AL788" s="1513"/>
      <c r="AM788" s="580"/>
      <c r="AN788" s="580"/>
      <c r="AO788" s="580"/>
      <c r="AP788" s="580"/>
      <c r="AQ788" s="580"/>
      <c r="AR788" s="580"/>
      <c r="AS788" s="580"/>
      <c r="AT788" s="580"/>
      <c r="AU788" s="580"/>
      <c r="AV788" s="580"/>
      <c r="AW788" s="580"/>
      <c r="AX788" s="580"/>
      <c r="AY788" s="580"/>
      <c r="AZ788" s="580"/>
      <c r="BA788" s="580"/>
      <c r="BB788" s="580"/>
      <c r="BC788" s="580"/>
      <c r="BD788" s="580"/>
      <c r="BE788" s="580"/>
      <c r="BF788" s="580"/>
      <c r="BG788" s="580"/>
      <c r="BH788" s="580"/>
      <c r="BI788" s="580"/>
      <c r="BJ788" s="580"/>
      <c r="BK788" s="580"/>
      <c r="BL788" s="580"/>
      <c r="BM788" s="580"/>
      <c r="BN788" s="580"/>
      <c r="BO788" s="580"/>
      <c r="BP788" s="580"/>
      <c r="BQ788" s="580"/>
      <c r="BR788" s="580"/>
      <c r="BS788" s="580"/>
      <c r="BT788" s="580"/>
      <c r="BU788" s="580"/>
      <c r="BV788" s="580"/>
      <c r="BW788" s="580"/>
      <c r="BX788" s="580"/>
      <c r="BY788" s="580"/>
      <c r="BZ788" s="580"/>
      <c r="CA788" s="580"/>
      <c r="CB788" s="580"/>
      <c r="CC788" s="580"/>
      <c r="CD788" s="580"/>
      <c r="CE788" s="580"/>
      <c r="CF788" s="580"/>
      <c r="CG788" s="580"/>
      <c r="CH788" s="580"/>
      <c r="CI788" s="580"/>
      <c r="CJ788" s="580"/>
      <c r="CK788" s="580"/>
      <c r="CL788" s="580"/>
      <c r="CM788" s="580"/>
      <c r="CN788" s="580"/>
      <c r="CO788" s="580"/>
      <c r="CP788" s="580"/>
      <c r="CQ788" s="580"/>
      <c r="CR788" s="580"/>
      <c r="CS788" s="580"/>
      <c r="CT788" s="580"/>
      <c r="CU788" s="580"/>
      <c r="CV788" s="580"/>
      <c r="CW788" s="580"/>
      <c r="CX788" s="580"/>
      <c r="CY788" s="580"/>
      <c r="CZ788" s="580"/>
      <c r="DA788" s="580"/>
      <c r="DB788" s="580"/>
      <c r="DC788" s="580"/>
      <c r="DD788" s="580"/>
      <c r="DE788" s="580"/>
      <c r="DF788" s="580"/>
      <c r="DG788" s="580"/>
      <c r="DH788" s="580"/>
      <c r="DI788" s="580"/>
      <c r="DJ788" s="580"/>
      <c r="DK788" s="580"/>
      <c r="DL788" s="580"/>
      <c r="DM788" s="580"/>
      <c r="DN788" s="580"/>
      <c r="DO788" s="580"/>
      <c r="DP788" s="580"/>
    </row>
    <row r="789" spans="1:120" ht="16.5" collapsed="1" thickBot="1">
      <c r="A789" s="62" t="s">
        <v>230</v>
      </c>
      <c r="B789" s="63"/>
      <c r="C789" s="64"/>
      <c r="D789" s="1473"/>
      <c r="E789" s="1474"/>
      <c r="F789" s="66">
        <f>SUM(F786:F788)</f>
        <v>0</v>
      </c>
      <c r="G789" s="1253"/>
      <c r="H789" s="67"/>
      <c r="I789" s="68">
        <f>SUM(I786:I788)</f>
        <v>0</v>
      </c>
      <c r="J789" s="1376"/>
      <c r="K789" s="76"/>
      <c r="L789" s="1051">
        <f>SUM(L786:L788)</f>
        <v>0</v>
      </c>
      <c r="M789" s="1598"/>
      <c r="N789" s="70"/>
      <c r="O789" s="71">
        <f>SUM(O786:O788)</f>
        <v>0</v>
      </c>
      <c r="P789" s="72">
        <f>SUM(P786:P788)</f>
        <v>0</v>
      </c>
      <c r="Q789" s="1339"/>
      <c r="R789" s="73"/>
      <c r="S789" s="73"/>
      <c r="T789" s="96">
        <f>SUM(T786:T788)</f>
        <v>0</v>
      </c>
      <c r="U789" s="66">
        <f>SUM(U786:U788)</f>
        <v>0</v>
      </c>
      <c r="V789" s="76">
        <f>SUM(V786:V788)</f>
        <v>0</v>
      </c>
      <c r="W789" s="97">
        <f>SUM(W786:W788)</f>
        <v>0</v>
      </c>
      <c r="X789" s="98">
        <f>SUM(X786:X788)</f>
        <v>0</v>
      </c>
      <c r="Y789" s="43"/>
      <c r="AA789" s="172">
        <f t="shared" ref="AA789:BF789" ca="1" si="2186">SUM(AA784:AA788)</f>
        <v>0</v>
      </c>
      <c r="AB789" s="172">
        <f t="shared" ca="1" si="2186"/>
        <v>0</v>
      </c>
      <c r="AC789" s="172">
        <f t="shared" ca="1" si="2186"/>
        <v>0</v>
      </c>
      <c r="AD789" s="172">
        <f t="shared" ca="1" si="2186"/>
        <v>0</v>
      </c>
      <c r="AE789" s="172">
        <f t="shared" ca="1" si="2186"/>
        <v>1240.9000000000001</v>
      </c>
      <c r="AF789" s="172">
        <f t="shared" ca="1" si="2186"/>
        <v>0</v>
      </c>
      <c r="AG789" s="172">
        <f t="shared" ca="1" si="2186"/>
        <v>0</v>
      </c>
      <c r="AH789" s="172">
        <f t="shared" ca="1" si="2186"/>
        <v>0</v>
      </c>
      <c r="AI789" s="172">
        <f t="shared" ca="1" si="2186"/>
        <v>0</v>
      </c>
      <c r="AJ789" s="172">
        <f t="shared" ca="1" si="2186"/>
        <v>0</v>
      </c>
      <c r="AK789" s="172">
        <f t="shared" ca="1" si="2186"/>
        <v>0</v>
      </c>
      <c r="AL789" s="172">
        <f t="shared" ca="1" si="2186"/>
        <v>0</v>
      </c>
      <c r="AM789" s="172">
        <f t="shared" ca="1" si="2186"/>
        <v>0</v>
      </c>
      <c r="AN789" s="172">
        <f t="shared" ca="1" si="2186"/>
        <v>0</v>
      </c>
      <c r="AO789" s="172">
        <f t="shared" ca="1" si="2186"/>
        <v>0</v>
      </c>
      <c r="AP789" s="172">
        <f t="shared" ca="1" si="2186"/>
        <v>0</v>
      </c>
      <c r="AQ789" s="172">
        <f t="shared" ca="1" si="2186"/>
        <v>0</v>
      </c>
      <c r="AR789" s="172">
        <f t="shared" ca="1" si="2186"/>
        <v>0</v>
      </c>
      <c r="AS789" s="172">
        <f t="shared" ca="1" si="2186"/>
        <v>0</v>
      </c>
      <c r="AT789" s="172">
        <f t="shared" ca="1" si="2186"/>
        <v>0</v>
      </c>
      <c r="AU789" s="172">
        <f t="shared" ca="1" si="2186"/>
        <v>0</v>
      </c>
      <c r="AV789" s="172">
        <f t="shared" ca="1" si="2186"/>
        <v>0</v>
      </c>
      <c r="AW789" s="172">
        <f t="shared" ca="1" si="2186"/>
        <v>0</v>
      </c>
      <c r="AX789" s="172">
        <f t="shared" ca="1" si="2186"/>
        <v>0</v>
      </c>
      <c r="AY789" s="172">
        <f t="shared" ca="1" si="2186"/>
        <v>0</v>
      </c>
      <c r="AZ789" s="172">
        <f t="shared" ca="1" si="2186"/>
        <v>0</v>
      </c>
      <c r="BA789" s="172">
        <f t="shared" ca="1" si="2186"/>
        <v>0</v>
      </c>
      <c r="BB789" s="172">
        <f t="shared" ca="1" si="2186"/>
        <v>0</v>
      </c>
      <c r="BC789" s="172">
        <f t="shared" ca="1" si="2186"/>
        <v>0</v>
      </c>
      <c r="BD789" s="172">
        <f t="shared" ca="1" si="2186"/>
        <v>0</v>
      </c>
      <c r="BE789" s="172">
        <f t="shared" ca="1" si="2186"/>
        <v>0</v>
      </c>
      <c r="BF789" s="172">
        <f t="shared" ca="1" si="2186"/>
        <v>0</v>
      </c>
      <c r="BG789" s="172">
        <f t="shared" ref="BG789:CL789" ca="1" si="2187">SUM(BG784:BG788)</f>
        <v>0</v>
      </c>
      <c r="BH789" s="172">
        <f t="shared" ca="1" si="2187"/>
        <v>0</v>
      </c>
      <c r="BI789" s="172">
        <f t="shared" ca="1" si="2187"/>
        <v>0</v>
      </c>
      <c r="BJ789" s="172">
        <f t="shared" ca="1" si="2187"/>
        <v>0</v>
      </c>
      <c r="BK789" s="172">
        <f t="shared" ca="1" si="2187"/>
        <v>0</v>
      </c>
      <c r="BL789" s="172">
        <f t="shared" ca="1" si="2187"/>
        <v>0</v>
      </c>
      <c r="BM789" s="172">
        <f t="shared" ca="1" si="2187"/>
        <v>0</v>
      </c>
      <c r="BN789" s="172">
        <f t="shared" ca="1" si="2187"/>
        <v>0</v>
      </c>
      <c r="BO789" s="172">
        <f t="shared" ca="1" si="2187"/>
        <v>0</v>
      </c>
      <c r="BP789" s="172">
        <f t="shared" ca="1" si="2187"/>
        <v>0</v>
      </c>
      <c r="BQ789" s="172">
        <f t="shared" ca="1" si="2187"/>
        <v>0</v>
      </c>
      <c r="BR789" s="172">
        <f t="shared" ca="1" si="2187"/>
        <v>0</v>
      </c>
      <c r="BS789" s="172">
        <f t="shared" ca="1" si="2187"/>
        <v>0</v>
      </c>
      <c r="BT789" s="172">
        <f t="shared" ca="1" si="2187"/>
        <v>0</v>
      </c>
      <c r="BU789" s="172">
        <f t="shared" ca="1" si="2187"/>
        <v>0</v>
      </c>
      <c r="BV789" s="172">
        <f t="shared" ca="1" si="2187"/>
        <v>0</v>
      </c>
      <c r="BW789" s="172">
        <f t="shared" ca="1" si="2187"/>
        <v>0</v>
      </c>
      <c r="BX789" s="172">
        <f t="shared" ca="1" si="2187"/>
        <v>0</v>
      </c>
      <c r="BY789" s="172">
        <f t="shared" ca="1" si="2187"/>
        <v>0</v>
      </c>
      <c r="BZ789" s="172">
        <f t="shared" ca="1" si="2187"/>
        <v>0</v>
      </c>
      <c r="CA789" s="172">
        <f t="shared" ca="1" si="2187"/>
        <v>0</v>
      </c>
      <c r="CB789" s="172">
        <f t="shared" ca="1" si="2187"/>
        <v>0</v>
      </c>
      <c r="CC789" s="172">
        <f t="shared" ca="1" si="2187"/>
        <v>0</v>
      </c>
      <c r="CD789" s="172">
        <f t="shared" ca="1" si="2187"/>
        <v>0</v>
      </c>
      <c r="CE789" s="172">
        <f t="shared" ca="1" si="2187"/>
        <v>0</v>
      </c>
      <c r="CF789" s="172">
        <f t="shared" ca="1" si="2187"/>
        <v>0</v>
      </c>
      <c r="CG789" s="172">
        <f t="shared" ca="1" si="2187"/>
        <v>0</v>
      </c>
      <c r="CH789" s="172">
        <f t="shared" ca="1" si="2187"/>
        <v>0</v>
      </c>
      <c r="CI789" s="172">
        <f t="shared" ca="1" si="2187"/>
        <v>0</v>
      </c>
      <c r="CJ789" s="172">
        <f t="shared" ca="1" si="2187"/>
        <v>0</v>
      </c>
      <c r="CK789" s="172">
        <f t="shared" ca="1" si="2187"/>
        <v>0</v>
      </c>
      <c r="CL789" s="172">
        <f t="shared" ca="1" si="2187"/>
        <v>0</v>
      </c>
      <c r="CM789" s="172">
        <f t="shared" ref="CM789:DP789" ca="1" si="2188">SUM(CM784:CM788)</f>
        <v>0</v>
      </c>
      <c r="CN789" s="172">
        <f t="shared" ca="1" si="2188"/>
        <v>0</v>
      </c>
      <c r="CO789" s="172">
        <f t="shared" si="2188"/>
        <v>0</v>
      </c>
      <c r="CP789" s="172">
        <f t="shared" si="2188"/>
        <v>0</v>
      </c>
      <c r="CQ789" s="172">
        <f t="shared" si="2188"/>
        <v>0</v>
      </c>
      <c r="CR789" s="172">
        <f t="shared" si="2188"/>
        <v>0</v>
      </c>
      <c r="CS789" s="172">
        <f t="shared" si="2188"/>
        <v>0</v>
      </c>
      <c r="CT789" s="172">
        <f t="shared" si="2188"/>
        <v>0</v>
      </c>
      <c r="CU789" s="172">
        <f t="shared" si="2188"/>
        <v>0</v>
      </c>
      <c r="CV789" s="172">
        <f t="shared" si="2188"/>
        <v>0</v>
      </c>
      <c r="CW789" s="172">
        <f t="shared" si="2188"/>
        <v>0</v>
      </c>
      <c r="CX789" s="172">
        <f t="shared" si="2188"/>
        <v>0</v>
      </c>
      <c r="CY789" s="172">
        <f t="shared" si="2188"/>
        <v>0</v>
      </c>
      <c r="CZ789" s="172">
        <f t="shared" si="2188"/>
        <v>0</v>
      </c>
      <c r="DA789" s="172">
        <f t="shared" si="2188"/>
        <v>0</v>
      </c>
      <c r="DB789" s="172">
        <f t="shared" si="2188"/>
        <v>0</v>
      </c>
      <c r="DC789" s="172">
        <f t="shared" si="2188"/>
        <v>0</v>
      </c>
      <c r="DD789" s="172">
        <f t="shared" si="2188"/>
        <v>0</v>
      </c>
      <c r="DE789" s="172">
        <f t="shared" si="2188"/>
        <v>0</v>
      </c>
      <c r="DF789" s="172">
        <f t="shared" si="2188"/>
        <v>0</v>
      </c>
      <c r="DG789" s="172">
        <f t="shared" si="2188"/>
        <v>0</v>
      </c>
      <c r="DH789" s="172">
        <f t="shared" si="2188"/>
        <v>0</v>
      </c>
      <c r="DI789" s="172">
        <f t="shared" si="2188"/>
        <v>0</v>
      </c>
      <c r="DJ789" s="172">
        <f t="shared" si="2188"/>
        <v>0</v>
      </c>
      <c r="DK789" s="172">
        <f t="shared" si="2188"/>
        <v>0</v>
      </c>
      <c r="DL789" s="172">
        <f t="shared" si="2188"/>
        <v>0</v>
      </c>
      <c r="DM789" s="172">
        <f t="shared" si="2188"/>
        <v>0</v>
      </c>
      <c r="DN789" s="172">
        <f t="shared" si="2188"/>
        <v>0</v>
      </c>
      <c r="DO789" s="172">
        <f t="shared" si="2188"/>
        <v>0</v>
      </c>
      <c r="DP789" s="172">
        <f t="shared" si="2188"/>
        <v>0</v>
      </c>
    </row>
    <row r="790" spans="1:120"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  <c r="CG790" s="24"/>
      <c r="CH790" s="24"/>
      <c r="CI790" s="24"/>
      <c r="CJ790" s="24"/>
      <c r="CK790" s="24"/>
      <c r="CL790" s="24"/>
      <c r="CM790" s="24"/>
      <c r="CN790" s="24"/>
      <c r="CO790" s="24"/>
      <c r="CP790" s="24"/>
      <c r="CQ790" s="24"/>
      <c r="CR790" s="24"/>
      <c r="CS790" s="24"/>
      <c r="CT790" s="24"/>
      <c r="CU790" s="24"/>
      <c r="CV790" s="24"/>
      <c r="CW790" s="24"/>
      <c r="CX790" s="24"/>
      <c r="CY790" s="24"/>
      <c r="CZ790" s="24"/>
      <c r="DA790" s="24"/>
      <c r="DB790" s="24"/>
      <c r="DC790" s="24"/>
      <c r="DD790" s="24"/>
      <c r="DE790" s="24"/>
      <c r="DF790" s="24"/>
      <c r="DG790" s="24"/>
      <c r="DH790" s="24"/>
      <c r="DI790" s="24"/>
      <c r="DJ790" s="24"/>
      <c r="DK790" s="24"/>
      <c r="DL790" s="24"/>
      <c r="DM790" s="24"/>
      <c r="DN790" s="24"/>
      <c r="DO790" s="24"/>
      <c r="DP790" s="24"/>
    </row>
    <row r="791" spans="1:120" hidden="1" outlineLevel="1">
      <c r="A791" s="640">
        <v>1110061050</v>
      </c>
      <c r="B791" s="573" t="s">
        <v>78</v>
      </c>
      <c r="C791" s="641" t="s">
        <v>64</v>
      </c>
      <c r="D791" s="1489"/>
      <c r="E791" s="1490"/>
      <c r="F791" s="643"/>
      <c r="G791" s="1262"/>
      <c r="H791" s="644"/>
      <c r="I791" s="645"/>
      <c r="J791" s="1483">
        <v>1</v>
      </c>
      <c r="K791" s="1484">
        <v>1</v>
      </c>
      <c r="L791" s="646"/>
      <c r="M791" s="1428">
        <f t="shared" ref="M791:M792" si="2189">+L791*J791</f>
        <v>0</v>
      </c>
      <c r="N791" s="647"/>
      <c r="O791" s="648">
        <f t="shared" ref="O791:O792" si="2190">+L791*N791</f>
        <v>0</v>
      </c>
      <c r="P791" s="649"/>
      <c r="Q791" s="649"/>
      <c r="R791" s="650"/>
      <c r="S791" s="650"/>
      <c r="T791" s="651">
        <f t="shared" ref="T791:T792" si="2191">+P791*S791</f>
        <v>0</v>
      </c>
      <c r="U791" s="1301">
        <f t="shared" ref="U791:U792" si="2192">+L791+P791+F791</f>
        <v>0</v>
      </c>
      <c r="V791" s="651">
        <f t="shared" ref="V791:V792" si="2193">+P791*R791+L791*N791+F791*H791</f>
        <v>0</v>
      </c>
      <c r="W791" s="653">
        <f t="shared" ref="W791:W792" si="2194">(IF(R791&gt;S791,(-P791*R791)-(-P791*S791),0))</f>
        <v>0</v>
      </c>
      <c r="X791" s="654">
        <f t="shared" ref="X791:X792" si="2195">(IF(R791&lt;S791,(-P791*R791)-(-P791*S791),0))</f>
        <v>0</v>
      </c>
      <c r="Y791" s="655"/>
      <c r="AA791" s="577"/>
      <c r="AB791" s="577"/>
      <c r="AC791" s="577"/>
      <c r="AD791" s="577"/>
      <c r="AE791" s="577"/>
      <c r="AF791" s="577"/>
      <c r="AG791" s="577"/>
      <c r="AH791" s="577"/>
      <c r="AI791" s="577"/>
      <c r="AJ791" s="577"/>
      <c r="AK791" s="577"/>
      <c r="AL791" s="577"/>
      <c r="AM791" s="577"/>
      <c r="AN791" s="577"/>
      <c r="AO791" s="577"/>
      <c r="AP791" s="577"/>
      <c r="AQ791" s="577"/>
      <c r="AR791" s="577"/>
      <c r="AS791" s="577"/>
      <c r="AT791" s="577"/>
      <c r="AU791" s="577"/>
      <c r="AV791" s="577"/>
      <c r="AW791" s="577"/>
      <c r="AX791" s="577"/>
      <c r="AY791" s="577"/>
      <c r="AZ791" s="577"/>
      <c r="BA791" s="577"/>
      <c r="BB791" s="577"/>
      <c r="BC791" s="577"/>
      <c r="BD791" s="577"/>
      <c r="BE791" s="577">
        <f>M791</f>
        <v>0</v>
      </c>
      <c r="BF791" s="577"/>
      <c r="BG791" s="577"/>
      <c r="BH791" s="577"/>
      <c r="BI791" s="577"/>
      <c r="BJ791" s="577"/>
      <c r="BK791" s="577"/>
      <c r="BL791" s="577"/>
      <c r="BM791" s="577"/>
      <c r="BN791" s="577"/>
      <c r="BO791" s="577"/>
      <c r="BP791" s="577"/>
      <c r="BQ791" s="577"/>
      <c r="BR791" s="577"/>
      <c r="BS791" s="577"/>
      <c r="BT791" s="577"/>
      <c r="BU791" s="577"/>
      <c r="BV791" s="577"/>
      <c r="BW791" s="577"/>
      <c r="BX791" s="577"/>
      <c r="BY791" s="577"/>
      <c r="BZ791" s="577"/>
      <c r="CA791" s="577"/>
      <c r="CB791" s="577"/>
      <c r="CC791" s="577"/>
      <c r="CD791" s="577"/>
      <c r="CE791" s="577"/>
      <c r="CF791" s="577"/>
      <c r="CG791" s="577"/>
      <c r="CH791" s="577"/>
      <c r="CI791" s="577"/>
      <c r="CJ791" s="577"/>
      <c r="CK791" s="577"/>
      <c r="CL791" s="577"/>
      <c r="CM791" s="577"/>
      <c r="CN791" s="577"/>
      <c r="CO791" s="577"/>
      <c r="CP791" s="577"/>
      <c r="CQ791" s="577"/>
      <c r="CR791" s="577"/>
      <c r="CS791" s="577"/>
      <c r="CT791" s="577"/>
      <c r="CU791" s="577"/>
      <c r="CV791" s="577"/>
      <c r="CW791" s="577"/>
      <c r="CX791" s="577"/>
      <c r="CY791" s="577"/>
      <c r="CZ791" s="577"/>
      <c r="DA791" s="577"/>
      <c r="DB791" s="577"/>
      <c r="DC791" s="577"/>
      <c r="DD791" s="577"/>
      <c r="DE791" s="577"/>
      <c r="DF791" s="577"/>
      <c r="DG791" s="577"/>
      <c r="DH791" s="577"/>
      <c r="DI791" s="577"/>
      <c r="DJ791" s="577"/>
      <c r="DK791" s="577"/>
      <c r="DL791" s="577"/>
      <c r="DM791" s="577"/>
      <c r="DN791" s="577"/>
      <c r="DO791" s="577"/>
      <c r="DP791" s="577"/>
    </row>
    <row r="792" spans="1:120" hidden="1" outlineLevel="1">
      <c r="A792" s="55">
        <v>1110061050</v>
      </c>
      <c r="B792" s="509"/>
      <c r="C792" s="510" t="s">
        <v>64</v>
      </c>
      <c r="D792" s="1469"/>
      <c r="E792" s="1470"/>
      <c r="F792" s="416"/>
      <c r="G792" s="1251"/>
      <c r="H792" s="511"/>
      <c r="I792" s="512"/>
      <c r="J792" s="1425">
        <v>1</v>
      </c>
      <c r="K792" s="1426">
        <v>1</v>
      </c>
      <c r="L792" s="419"/>
      <c r="M792" s="1540">
        <f t="shared" si="2189"/>
        <v>0</v>
      </c>
      <c r="N792" s="504"/>
      <c r="O792" s="513">
        <f t="shared" si="2190"/>
        <v>0</v>
      </c>
      <c r="P792" s="514"/>
      <c r="Q792" s="514"/>
      <c r="R792" s="515"/>
      <c r="S792" s="563"/>
      <c r="T792" s="562">
        <f t="shared" si="2191"/>
        <v>0</v>
      </c>
      <c r="U792" s="1493">
        <f t="shared" si="2192"/>
        <v>0</v>
      </c>
      <c r="V792" s="1127">
        <f t="shared" si="2193"/>
        <v>0</v>
      </c>
      <c r="W792" s="976">
        <f t="shared" si="2194"/>
        <v>0</v>
      </c>
      <c r="X792" s="975">
        <f t="shared" si="2195"/>
        <v>0</v>
      </c>
      <c r="Y792" s="519"/>
      <c r="AA792" s="580"/>
      <c r="AB792" s="580"/>
      <c r="AC792" s="580"/>
      <c r="AD792" s="580"/>
      <c r="AE792" s="580"/>
      <c r="AF792" s="580"/>
      <c r="AG792" s="580"/>
      <c r="AH792" s="580"/>
      <c r="AI792" s="580"/>
      <c r="AJ792" s="580"/>
      <c r="AK792" s="580"/>
      <c r="AL792" s="1513"/>
      <c r="AM792" s="580"/>
      <c r="AN792" s="580"/>
      <c r="AO792" s="580"/>
      <c r="AP792" s="580"/>
      <c r="AQ792" s="580"/>
      <c r="AR792" s="580"/>
      <c r="AS792" s="580"/>
      <c r="AT792" s="580"/>
      <c r="AU792" s="580"/>
      <c r="AV792" s="580"/>
      <c r="AW792" s="580"/>
      <c r="AX792" s="580"/>
      <c r="AY792" s="580"/>
      <c r="AZ792" s="580"/>
      <c r="BA792" s="580"/>
      <c r="BB792" s="580"/>
      <c r="BC792" s="580"/>
      <c r="BD792" s="580"/>
      <c r="BE792" s="580"/>
      <c r="BF792" s="580"/>
      <c r="BG792" s="580">
        <f>M792</f>
        <v>0</v>
      </c>
      <c r="BH792" s="580"/>
      <c r="BI792" s="580"/>
      <c r="BJ792" s="580"/>
      <c r="BK792" s="580"/>
      <c r="BL792" s="580"/>
      <c r="BM792" s="580"/>
      <c r="BN792" s="580"/>
      <c r="BO792" s="580"/>
      <c r="BP792" s="580"/>
      <c r="BQ792" s="580"/>
      <c r="BR792" s="580"/>
      <c r="BS792" s="580"/>
      <c r="BT792" s="580"/>
      <c r="BU792" s="580"/>
      <c r="BV792" s="580"/>
      <c r="BW792" s="580"/>
      <c r="BX792" s="580"/>
      <c r="BY792" s="580"/>
      <c r="BZ792" s="580"/>
      <c r="CA792" s="580"/>
      <c r="CB792" s="580"/>
      <c r="CC792" s="580"/>
      <c r="CD792" s="580"/>
      <c r="CE792" s="580"/>
      <c r="CF792" s="580"/>
      <c r="CG792" s="580"/>
      <c r="CH792" s="580"/>
      <c r="CI792" s="580"/>
      <c r="CJ792" s="580"/>
      <c r="CK792" s="580"/>
      <c r="CL792" s="580"/>
      <c r="CM792" s="580"/>
      <c r="CN792" s="580"/>
      <c r="CO792" s="580"/>
      <c r="CP792" s="580"/>
      <c r="CQ792" s="580"/>
      <c r="CR792" s="580"/>
      <c r="CS792" s="580"/>
      <c r="CT792" s="580"/>
      <c r="CU792" s="580"/>
      <c r="CV792" s="580"/>
      <c r="CW792" s="580"/>
      <c r="CX792" s="580"/>
      <c r="CY792" s="580"/>
      <c r="CZ792" s="580"/>
      <c r="DA792" s="580"/>
      <c r="DB792" s="580"/>
      <c r="DC792" s="580"/>
      <c r="DD792" s="580"/>
      <c r="DE792" s="580"/>
      <c r="DF792" s="580"/>
      <c r="DG792" s="580"/>
      <c r="DH792" s="580"/>
      <c r="DI792" s="580"/>
      <c r="DJ792" s="580"/>
      <c r="DK792" s="580"/>
      <c r="DL792" s="580"/>
      <c r="DM792" s="580"/>
      <c r="DN792" s="580"/>
      <c r="DO792" s="580"/>
      <c r="DP792" s="580"/>
    </row>
    <row r="793" spans="1:120" collapsed="1">
      <c r="A793" s="1168"/>
      <c r="B793" s="1169"/>
      <c r="C793" s="1170"/>
      <c r="D793" s="1469"/>
      <c r="E793" s="1470"/>
      <c r="F793" s="1172"/>
      <c r="G793" s="1265"/>
      <c r="H793" s="1173"/>
      <c r="I793" s="1174"/>
      <c r="J793" s="1425">
        <v>1</v>
      </c>
      <c r="K793" s="1426">
        <v>1</v>
      </c>
      <c r="L793" s="1189"/>
      <c r="M793" s="1601"/>
      <c r="N793" s="1176"/>
      <c r="O793" s="1177"/>
      <c r="P793" s="1178"/>
      <c r="Q793" s="1178"/>
      <c r="R793" s="1179"/>
      <c r="S793" s="1180"/>
      <c r="T793" s="1181"/>
      <c r="U793" s="1182"/>
      <c r="V793" s="1611"/>
      <c r="W793" s="852"/>
      <c r="X793" s="853"/>
      <c r="Y793" s="854"/>
      <c r="AA793" s="1184"/>
      <c r="AB793" s="1184"/>
      <c r="AC793" s="1184"/>
      <c r="AD793" s="1184"/>
      <c r="AE793" s="1184"/>
      <c r="AF793" s="1184"/>
      <c r="AG793" s="1184"/>
      <c r="AH793" s="1184"/>
      <c r="AI793" s="1184"/>
      <c r="AJ793" s="1184"/>
      <c r="AK793" s="1184"/>
      <c r="AL793" s="1574"/>
      <c r="AM793" s="1184"/>
      <c r="AN793" s="1184"/>
      <c r="AO793" s="1184"/>
      <c r="AP793" s="1184"/>
      <c r="AQ793" s="1184"/>
      <c r="AR793" s="1184"/>
      <c r="AS793" s="1184"/>
      <c r="AT793" s="1184"/>
      <c r="AU793" s="1184"/>
      <c r="AV793" s="1184"/>
      <c r="AW793" s="1184"/>
      <c r="AX793" s="1184"/>
      <c r="AY793" s="1184"/>
      <c r="AZ793" s="1184"/>
      <c r="BA793" s="1184"/>
      <c r="BB793" s="1184"/>
      <c r="BC793" s="1184"/>
      <c r="BD793" s="1184"/>
      <c r="BE793" s="1184"/>
      <c r="BF793" s="1184"/>
      <c r="BG793" s="1184"/>
      <c r="BH793" s="1184"/>
      <c r="BI793" s="1184"/>
      <c r="BJ793" s="1184"/>
      <c r="BK793" s="1184"/>
      <c r="BL793" s="1184"/>
      <c r="BM793" s="1184"/>
      <c r="BN793" s="1184"/>
      <c r="BO793" s="1184"/>
      <c r="BP793" s="1184"/>
      <c r="BQ793" s="1184"/>
      <c r="BR793" s="1184"/>
      <c r="BS793" s="1184"/>
      <c r="BT793" s="1184"/>
      <c r="BU793" s="1184"/>
      <c r="BV793" s="1184"/>
      <c r="BW793" s="1184"/>
      <c r="BX793" s="1184"/>
      <c r="BY793" s="1184"/>
      <c r="BZ793" s="1184"/>
      <c r="CA793" s="1184"/>
      <c r="CB793" s="1184"/>
      <c r="CC793" s="1184"/>
      <c r="CD793" s="1184"/>
      <c r="CE793" s="1184"/>
      <c r="CF793" s="1184"/>
      <c r="CG793" s="1184"/>
      <c r="CH793" s="1184"/>
      <c r="CI793" s="1184"/>
      <c r="CJ793" s="1184"/>
      <c r="CK793" s="1184"/>
      <c r="CL793" s="1184"/>
      <c r="CM793" s="1184"/>
      <c r="CN793" s="1184"/>
      <c r="CO793" s="1184"/>
      <c r="CP793" s="1184"/>
      <c r="CQ793" s="1184"/>
      <c r="CR793" s="1184"/>
      <c r="CS793" s="1184"/>
      <c r="CT793" s="1184"/>
      <c r="CU793" s="1184"/>
      <c r="CV793" s="1184"/>
      <c r="CW793" s="1184"/>
      <c r="CX793" s="1184"/>
      <c r="CY793" s="1184"/>
      <c r="CZ793" s="1184"/>
      <c r="DA793" s="1184"/>
      <c r="DB793" s="1184"/>
      <c r="DC793" s="1184"/>
      <c r="DD793" s="1184"/>
      <c r="DE793" s="1184"/>
      <c r="DF793" s="1184"/>
      <c r="DG793" s="1184"/>
      <c r="DH793" s="1184"/>
      <c r="DI793" s="1184"/>
      <c r="DJ793" s="1184"/>
      <c r="DK793" s="1184"/>
      <c r="DL793" s="1184"/>
      <c r="DM793" s="1184"/>
      <c r="DN793" s="1184"/>
      <c r="DO793" s="1184"/>
      <c r="DP793" s="1184"/>
    </row>
    <row r="794" spans="1:120" ht="16.5" thickBot="1">
      <c r="A794" s="62" t="s">
        <v>231</v>
      </c>
      <c r="B794" s="63"/>
      <c r="C794" s="64"/>
      <c r="D794" s="1473"/>
      <c r="E794" s="1474"/>
      <c r="F794" s="66">
        <f>SUM(F791:F792)</f>
        <v>0</v>
      </c>
      <c r="G794" s="1253"/>
      <c r="H794" s="67"/>
      <c r="I794" s="68">
        <f>SUM(I791:I792)</f>
        <v>0</v>
      </c>
      <c r="J794" s="1376"/>
      <c r="K794" s="76"/>
      <c r="L794" s="1051">
        <f>SUM(L791:L793)</f>
        <v>0</v>
      </c>
      <c r="M794" s="1598"/>
      <c r="N794" s="70"/>
      <c r="O794" s="71">
        <f>SUM(O791:O793)</f>
        <v>0</v>
      </c>
      <c r="P794" s="72">
        <f>SUM(P791:P793)</f>
        <v>0</v>
      </c>
      <c r="Q794" s="1339"/>
      <c r="R794" s="73"/>
      <c r="S794" s="73"/>
      <c r="T794" s="96">
        <f>SUM(T791:T793)</f>
        <v>0</v>
      </c>
      <c r="U794" s="1609">
        <f>SUM(U791:U793)</f>
        <v>0</v>
      </c>
      <c r="V794" s="76">
        <f>SUM(V791:V793)</f>
        <v>0</v>
      </c>
      <c r="W794" s="97">
        <f>SUM(W791:W793)</f>
        <v>0</v>
      </c>
      <c r="X794" s="98">
        <f>SUM(X791:X793)</f>
        <v>0</v>
      </c>
      <c r="Y794" s="43"/>
      <c r="AA794" s="172">
        <f t="shared" ref="AA794:BF794" ca="1" si="2196">SUM(AA789:AA793)</f>
        <v>0</v>
      </c>
      <c r="AB794" s="172">
        <f t="shared" ca="1" si="2196"/>
        <v>0</v>
      </c>
      <c r="AC794" s="172">
        <f t="shared" ca="1" si="2196"/>
        <v>0</v>
      </c>
      <c r="AD794" s="172">
        <f t="shared" ca="1" si="2196"/>
        <v>0</v>
      </c>
      <c r="AE794" s="172">
        <f t="shared" ca="1" si="2196"/>
        <v>1240.9000000000001</v>
      </c>
      <c r="AF794" s="172">
        <f t="shared" ca="1" si="2196"/>
        <v>0</v>
      </c>
      <c r="AG794" s="172">
        <f t="shared" ca="1" si="2196"/>
        <v>0</v>
      </c>
      <c r="AH794" s="172">
        <f t="shared" ca="1" si="2196"/>
        <v>0</v>
      </c>
      <c r="AI794" s="172">
        <f t="shared" ca="1" si="2196"/>
        <v>0</v>
      </c>
      <c r="AJ794" s="172">
        <f t="shared" ca="1" si="2196"/>
        <v>0</v>
      </c>
      <c r="AK794" s="172">
        <f t="shared" ca="1" si="2196"/>
        <v>0</v>
      </c>
      <c r="AL794" s="1572">
        <f t="shared" ca="1" si="2196"/>
        <v>0</v>
      </c>
      <c r="AM794" s="172">
        <f t="shared" ca="1" si="2196"/>
        <v>0</v>
      </c>
      <c r="AN794" s="172">
        <f t="shared" ca="1" si="2196"/>
        <v>0</v>
      </c>
      <c r="AO794" s="172">
        <f t="shared" ca="1" si="2196"/>
        <v>0</v>
      </c>
      <c r="AP794" s="172">
        <f t="shared" ca="1" si="2196"/>
        <v>0</v>
      </c>
      <c r="AQ794" s="172">
        <f t="shared" ca="1" si="2196"/>
        <v>0</v>
      </c>
      <c r="AR794" s="172">
        <f t="shared" ca="1" si="2196"/>
        <v>0</v>
      </c>
      <c r="AS794" s="172">
        <f t="shared" ca="1" si="2196"/>
        <v>0</v>
      </c>
      <c r="AT794" s="172">
        <f t="shared" ca="1" si="2196"/>
        <v>0</v>
      </c>
      <c r="AU794" s="172">
        <f t="shared" ca="1" si="2196"/>
        <v>0</v>
      </c>
      <c r="AV794" s="172">
        <f t="shared" ca="1" si="2196"/>
        <v>0</v>
      </c>
      <c r="AW794" s="172">
        <f t="shared" ca="1" si="2196"/>
        <v>0</v>
      </c>
      <c r="AX794" s="172">
        <f t="shared" ca="1" si="2196"/>
        <v>0</v>
      </c>
      <c r="AY794" s="172">
        <f t="shared" ca="1" si="2196"/>
        <v>0</v>
      </c>
      <c r="AZ794" s="172">
        <f t="shared" ca="1" si="2196"/>
        <v>0</v>
      </c>
      <c r="BA794" s="172">
        <f t="shared" ca="1" si="2196"/>
        <v>0</v>
      </c>
      <c r="BB794" s="172">
        <f t="shared" ca="1" si="2196"/>
        <v>0</v>
      </c>
      <c r="BC794" s="172">
        <f t="shared" ca="1" si="2196"/>
        <v>0</v>
      </c>
      <c r="BD794" s="172">
        <f t="shared" ca="1" si="2196"/>
        <v>0</v>
      </c>
      <c r="BE794" s="172">
        <f t="shared" ca="1" si="2196"/>
        <v>0</v>
      </c>
      <c r="BF794" s="172">
        <f t="shared" ca="1" si="2196"/>
        <v>0</v>
      </c>
      <c r="BG794" s="172">
        <f t="shared" ref="BG794:CL794" ca="1" si="2197">SUM(BG789:BG793)</f>
        <v>0</v>
      </c>
      <c r="BH794" s="172">
        <f t="shared" ca="1" si="2197"/>
        <v>0</v>
      </c>
      <c r="BI794" s="172">
        <f t="shared" ca="1" si="2197"/>
        <v>0</v>
      </c>
      <c r="BJ794" s="172">
        <f t="shared" ca="1" si="2197"/>
        <v>0</v>
      </c>
      <c r="BK794" s="172">
        <f t="shared" ca="1" si="2197"/>
        <v>0</v>
      </c>
      <c r="BL794" s="172">
        <f t="shared" ca="1" si="2197"/>
        <v>0</v>
      </c>
      <c r="BM794" s="172">
        <f t="shared" ca="1" si="2197"/>
        <v>0</v>
      </c>
      <c r="BN794" s="172">
        <f t="shared" ca="1" si="2197"/>
        <v>0</v>
      </c>
      <c r="BO794" s="172">
        <f t="shared" ca="1" si="2197"/>
        <v>0</v>
      </c>
      <c r="BP794" s="172">
        <f t="shared" ca="1" si="2197"/>
        <v>0</v>
      </c>
      <c r="BQ794" s="172">
        <f t="shared" ca="1" si="2197"/>
        <v>0</v>
      </c>
      <c r="BR794" s="172">
        <f t="shared" ca="1" si="2197"/>
        <v>0</v>
      </c>
      <c r="BS794" s="172">
        <f t="shared" ca="1" si="2197"/>
        <v>0</v>
      </c>
      <c r="BT794" s="172">
        <f t="shared" ca="1" si="2197"/>
        <v>0</v>
      </c>
      <c r="BU794" s="172">
        <f t="shared" ca="1" si="2197"/>
        <v>0</v>
      </c>
      <c r="BV794" s="172">
        <f t="shared" ca="1" si="2197"/>
        <v>0</v>
      </c>
      <c r="BW794" s="172">
        <f t="shared" ca="1" si="2197"/>
        <v>0</v>
      </c>
      <c r="BX794" s="172">
        <f t="shared" ca="1" si="2197"/>
        <v>0</v>
      </c>
      <c r="BY794" s="172">
        <f t="shared" ca="1" si="2197"/>
        <v>0</v>
      </c>
      <c r="BZ794" s="172">
        <f t="shared" ca="1" si="2197"/>
        <v>0</v>
      </c>
      <c r="CA794" s="172">
        <f t="shared" ca="1" si="2197"/>
        <v>0</v>
      </c>
      <c r="CB794" s="172">
        <f t="shared" ca="1" si="2197"/>
        <v>0</v>
      </c>
      <c r="CC794" s="172">
        <f t="shared" ca="1" si="2197"/>
        <v>0</v>
      </c>
      <c r="CD794" s="172">
        <f t="shared" ca="1" si="2197"/>
        <v>0</v>
      </c>
      <c r="CE794" s="172">
        <f t="shared" ca="1" si="2197"/>
        <v>0</v>
      </c>
      <c r="CF794" s="172">
        <f t="shared" ca="1" si="2197"/>
        <v>0</v>
      </c>
      <c r="CG794" s="172">
        <f t="shared" ca="1" si="2197"/>
        <v>0</v>
      </c>
      <c r="CH794" s="172">
        <f t="shared" ca="1" si="2197"/>
        <v>0</v>
      </c>
      <c r="CI794" s="172">
        <f t="shared" ca="1" si="2197"/>
        <v>0</v>
      </c>
      <c r="CJ794" s="172">
        <f t="shared" ca="1" si="2197"/>
        <v>0</v>
      </c>
      <c r="CK794" s="172">
        <f t="shared" ca="1" si="2197"/>
        <v>0</v>
      </c>
      <c r="CL794" s="172">
        <f t="shared" ca="1" si="2197"/>
        <v>0</v>
      </c>
      <c r="CM794" s="172">
        <f t="shared" ref="CM794:DP794" ca="1" si="2198">SUM(CM789:CM793)</f>
        <v>0</v>
      </c>
      <c r="CN794" s="172">
        <f t="shared" ca="1" si="2198"/>
        <v>0</v>
      </c>
      <c r="CO794" s="172">
        <f t="shared" si="2198"/>
        <v>0</v>
      </c>
      <c r="CP794" s="172">
        <f t="shared" si="2198"/>
        <v>0</v>
      </c>
      <c r="CQ794" s="172">
        <f t="shared" si="2198"/>
        <v>0</v>
      </c>
      <c r="CR794" s="172">
        <f t="shared" si="2198"/>
        <v>0</v>
      </c>
      <c r="CS794" s="172">
        <f t="shared" si="2198"/>
        <v>0</v>
      </c>
      <c r="CT794" s="172">
        <f t="shared" si="2198"/>
        <v>0</v>
      </c>
      <c r="CU794" s="172">
        <f t="shared" si="2198"/>
        <v>0</v>
      </c>
      <c r="CV794" s="172">
        <f t="shared" si="2198"/>
        <v>0</v>
      </c>
      <c r="CW794" s="172">
        <f t="shared" si="2198"/>
        <v>0</v>
      </c>
      <c r="CX794" s="172">
        <f t="shared" si="2198"/>
        <v>0</v>
      </c>
      <c r="CY794" s="172">
        <f t="shared" si="2198"/>
        <v>0</v>
      </c>
      <c r="CZ794" s="172">
        <f t="shared" si="2198"/>
        <v>0</v>
      </c>
      <c r="DA794" s="172">
        <f t="shared" si="2198"/>
        <v>0</v>
      </c>
      <c r="DB794" s="172">
        <f t="shared" si="2198"/>
        <v>0</v>
      </c>
      <c r="DC794" s="172">
        <f t="shared" si="2198"/>
        <v>0</v>
      </c>
      <c r="DD794" s="172">
        <f t="shared" si="2198"/>
        <v>0</v>
      </c>
      <c r="DE794" s="172">
        <f t="shared" si="2198"/>
        <v>0</v>
      </c>
      <c r="DF794" s="172">
        <f t="shared" si="2198"/>
        <v>0</v>
      </c>
      <c r="DG794" s="172">
        <f t="shared" si="2198"/>
        <v>0</v>
      </c>
      <c r="DH794" s="172">
        <f t="shared" si="2198"/>
        <v>0</v>
      </c>
      <c r="DI794" s="172">
        <f t="shared" si="2198"/>
        <v>0</v>
      </c>
      <c r="DJ794" s="172">
        <f t="shared" si="2198"/>
        <v>0</v>
      </c>
      <c r="DK794" s="172">
        <f t="shared" si="2198"/>
        <v>0</v>
      </c>
      <c r="DL794" s="172">
        <f t="shared" si="2198"/>
        <v>0</v>
      </c>
      <c r="DM794" s="172">
        <f t="shared" si="2198"/>
        <v>0</v>
      </c>
      <c r="DN794" s="172">
        <f t="shared" si="2198"/>
        <v>0</v>
      </c>
      <c r="DO794" s="172">
        <f t="shared" si="2198"/>
        <v>0</v>
      </c>
      <c r="DP794" s="172">
        <f t="shared" si="2198"/>
        <v>0</v>
      </c>
    </row>
    <row r="795" spans="1:120"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  <c r="CG795" s="24"/>
      <c r="CH795" s="24"/>
      <c r="CI795" s="24"/>
      <c r="CJ795" s="24"/>
      <c r="CK795" s="24"/>
      <c r="CL795" s="24"/>
      <c r="CM795" s="24"/>
      <c r="CN795" s="24"/>
      <c r="CO795" s="24"/>
      <c r="CP795" s="24"/>
      <c r="CQ795" s="24"/>
      <c r="CR795" s="24"/>
      <c r="CS795" s="24"/>
      <c r="CT795" s="24"/>
      <c r="CU795" s="24"/>
      <c r="CV795" s="24"/>
      <c r="CW795" s="24"/>
      <c r="CX795" s="24"/>
      <c r="CY795" s="24"/>
      <c r="CZ795" s="24"/>
      <c r="DA795" s="24"/>
      <c r="DB795" s="24"/>
      <c r="DC795" s="24"/>
      <c r="DD795" s="24"/>
      <c r="DE795" s="24"/>
      <c r="DF795" s="24"/>
      <c r="DG795" s="24"/>
      <c r="DH795" s="24"/>
      <c r="DI795" s="24"/>
      <c r="DJ795" s="24"/>
      <c r="DK795" s="24"/>
      <c r="DL795" s="24"/>
      <c r="DM795" s="24"/>
      <c r="DN795" s="24"/>
      <c r="DO795" s="24"/>
      <c r="DP795" s="24"/>
    </row>
    <row r="796" spans="1:120" hidden="1" outlineLevel="1">
      <c r="A796" s="640">
        <v>1110061050</v>
      </c>
      <c r="B796" s="573" t="s">
        <v>78</v>
      </c>
      <c r="C796" s="641" t="s">
        <v>64</v>
      </c>
      <c r="D796" s="1489"/>
      <c r="E796" s="1490"/>
      <c r="F796" s="643"/>
      <c r="G796" s="1262"/>
      <c r="H796" s="644"/>
      <c r="I796" s="645"/>
      <c r="J796" s="1483">
        <v>1</v>
      </c>
      <c r="K796" s="1484">
        <v>1</v>
      </c>
      <c r="L796" s="646"/>
      <c r="M796" s="1428">
        <f t="shared" ref="M796" si="2199">+L796*J796</f>
        <v>0</v>
      </c>
      <c r="N796" s="647"/>
      <c r="O796" s="648">
        <f t="shared" ref="O796:O797" si="2200">+L796*N796</f>
        <v>0</v>
      </c>
      <c r="P796" s="649"/>
      <c r="Q796" s="649"/>
      <c r="R796" s="650"/>
      <c r="S796" s="650"/>
      <c r="T796" s="651">
        <f t="shared" ref="T796:T797" si="2201">+P796*S796</f>
        <v>0</v>
      </c>
      <c r="U796" s="652">
        <f t="shared" ref="U796:U797" si="2202">+L796+P796+F796</f>
        <v>0</v>
      </c>
      <c r="V796" s="648">
        <f t="shared" ref="V796:V797" si="2203">+P796*R796+L796*N796+F796*H796</f>
        <v>0</v>
      </c>
      <c r="W796" s="653">
        <f t="shared" ref="W796:W797" si="2204">(IF(R796&gt;S796,(-P796*R796)-(-P796*S796),0))</f>
        <v>0</v>
      </c>
      <c r="X796" s="654">
        <f t="shared" ref="X796:X797" si="2205">(IF(R796&lt;S796,(-P796*R796)-(-P796*S796),0))</f>
        <v>0</v>
      </c>
      <c r="Y796" s="655"/>
      <c r="AA796" s="577"/>
      <c r="AB796" s="577"/>
      <c r="AC796" s="577"/>
      <c r="AD796" s="577"/>
      <c r="AE796" s="577"/>
      <c r="AF796" s="577"/>
      <c r="AG796" s="577"/>
      <c r="AH796" s="577"/>
      <c r="AI796" s="577"/>
      <c r="AJ796" s="577"/>
      <c r="AK796" s="577"/>
      <c r="AL796" s="577"/>
      <c r="AM796" s="577"/>
      <c r="AN796" s="577"/>
      <c r="AO796" s="577"/>
      <c r="AP796" s="577"/>
      <c r="AQ796" s="577"/>
      <c r="AR796" s="577"/>
      <c r="AS796" s="577"/>
      <c r="AT796" s="577"/>
      <c r="AU796" s="577"/>
      <c r="AV796" s="577"/>
      <c r="AW796" s="577"/>
      <c r="AX796" s="577"/>
      <c r="AY796" s="577"/>
      <c r="AZ796" s="577"/>
      <c r="BA796" s="577"/>
      <c r="BB796" s="577"/>
      <c r="BC796" s="577"/>
      <c r="BD796" s="577"/>
      <c r="BE796" s="577"/>
      <c r="BF796" s="577"/>
      <c r="BG796" s="577"/>
      <c r="BH796" s="577"/>
      <c r="BI796" s="577"/>
      <c r="BJ796" s="577"/>
      <c r="BK796" s="577"/>
      <c r="BL796" s="577"/>
      <c r="BM796" s="577"/>
      <c r="BN796" s="577"/>
      <c r="BO796" s="577">
        <f>+M796</f>
        <v>0</v>
      </c>
      <c r="BP796" s="577"/>
      <c r="BQ796" s="577"/>
      <c r="BR796" s="577"/>
      <c r="BS796" s="577"/>
      <c r="BT796" s="577"/>
      <c r="BU796" s="577"/>
      <c r="BV796" s="577"/>
      <c r="BW796" s="577"/>
      <c r="BX796" s="577"/>
      <c r="BY796" s="577"/>
      <c r="BZ796" s="577"/>
      <c r="CA796" s="577"/>
      <c r="CB796" s="577"/>
      <c r="CC796" s="577"/>
      <c r="CD796" s="577"/>
      <c r="CE796" s="577"/>
      <c r="CF796" s="577"/>
      <c r="CG796" s="577"/>
      <c r="CH796" s="577"/>
      <c r="CI796" s="577"/>
      <c r="CJ796" s="577"/>
      <c r="CK796" s="577"/>
      <c r="CL796" s="577"/>
      <c r="CM796" s="577"/>
      <c r="CN796" s="577"/>
      <c r="CO796" s="577"/>
      <c r="CP796" s="577"/>
      <c r="CQ796" s="577"/>
      <c r="CR796" s="577"/>
      <c r="CS796" s="577"/>
      <c r="CT796" s="577"/>
      <c r="CU796" s="577"/>
      <c r="CV796" s="577"/>
      <c r="CW796" s="577"/>
      <c r="CX796" s="577"/>
      <c r="CY796" s="577"/>
      <c r="CZ796" s="577"/>
      <c r="DA796" s="577"/>
      <c r="DB796" s="577"/>
      <c r="DC796" s="577"/>
      <c r="DD796" s="577"/>
      <c r="DE796" s="577"/>
      <c r="DF796" s="577"/>
      <c r="DG796" s="577"/>
      <c r="DH796" s="577"/>
      <c r="DI796" s="577"/>
      <c r="DJ796" s="577"/>
      <c r="DK796" s="577"/>
      <c r="DL796" s="577"/>
      <c r="DM796" s="577"/>
      <c r="DN796" s="577"/>
      <c r="DO796" s="577"/>
      <c r="DP796" s="577"/>
    </row>
    <row r="797" spans="1:120" hidden="1" outlineLevel="1">
      <c r="A797" s="55">
        <v>1110061050</v>
      </c>
      <c r="B797" s="509"/>
      <c r="C797" s="510"/>
      <c r="D797" s="1469"/>
      <c r="E797" s="1470"/>
      <c r="F797" s="416"/>
      <c r="G797" s="1251"/>
      <c r="H797" s="511"/>
      <c r="I797" s="512"/>
      <c r="J797" s="1425">
        <v>1</v>
      </c>
      <c r="K797" s="1426">
        <v>1</v>
      </c>
      <c r="L797" s="419"/>
      <c r="M797" s="1600"/>
      <c r="N797" s="504"/>
      <c r="O797" s="513">
        <f t="shared" si="2200"/>
        <v>0</v>
      </c>
      <c r="P797" s="514"/>
      <c r="Q797" s="514"/>
      <c r="R797" s="515"/>
      <c r="S797" s="563"/>
      <c r="T797" s="562">
        <f t="shared" si="2201"/>
        <v>0</v>
      </c>
      <c r="U797" s="638">
        <f t="shared" si="2202"/>
        <v>0</v>
      </c>
      <c r="V797" s="639">
        <f t="shared" si="2203"/>
        <v>0</v>
      </c>
      <c r="W797" s="976">
        <f t="shared" si="2204"/>
        <v>0</v>
      </c>
      <c r="X797" s="975">
        <f t="shared" si="2205"/>
        <v>0</v>
      </c>
      <c r="Y797" s="519"/>
      <c r="AA797" s="580"/>
      <c r="AB797" s="580"/>
      <c r="AC797" s="580"/>
      <c r="AD797" s="580"/>
      <c r="AE797" s="580"/>
      <c r="AF797" s="580"/>
      <c r="AG797" s="580"/>
      <c r="AH797" s="580"/>
      <c r="AI797" s="580"/>
      <c r="AJ797" s="580"/>
      <c r="AK797" s="580"/>
      <c r="AL797" s="1513"/>
      <c r="AM797" s="580"/>
      <c r="AN797" s="580"/>
      <c r="AO797" s="580"/>
      <c r="AP797" s="580"/>
      <c r="AQ797" s="580"/>
      <c r="AR797" s="580"/>
      <c r="AS797" s="580"/>
      <c r="AT797" s="580"/>
      <c r="AU797" s="580"/>
      <c r="AV797" s="580"/>
      <c r="AW797" s="580"/>
      <c r="AX797" s="580"/>
      <c r="AY797" s="580"/>
      <c r="AZ797" s="580"/>
      <c r="BA797" s="580"/>
      <c r="BB797" s="580"/>
      <c r="BC797" s="580"/>
      <c r="BD797" s="580"/>
      <c r="BE797" s="580"/>
      <c r="BF797" s="580"/>
      <c r="BG797" s="580"/>
      <c r="BH797" s="580"/>
      <c r="BI797" s="580"/>
      <c r="BJ797" s="580"/>
      <c r="BK797" s="580"/>
      <c r="BL797" s="580"/>
      <c r="BM797" s="580"/>
      <c r="BN797" s="580"/>
      <c r="BO797" s="580"/>
      <c r="BP797" s="580"/>
      <c r="BQ797" s="580"/>
      <c r="BR797" s="580"/>
      <c r="BS797" s="580"/>
      <c r="BT797" s="580"/>
      <c r="BU797" s="580"/>
      <c r="BV797" s="580"/>
      <c r="BW797" s="580"/>
      <c r="BX797" s="580"/>
      <c r="BY797" s="580"/>
      <c r="BZ797" s="580"/>
      <c r="CA797" s="580"/>
      <c r="CB797" s="580"/>
      <c r="CC797" s="580"/>
      <c r="CD797" s="580"/>
      <c r="CE797" s="580"/>
      <c r="CF797" s="580"/>
      <c r="CG797" s="580"/>
      <c r="CH797" s="580"/>
      <c r="CI797" s="580"/>
      <c r="CJ797" s="580"/>
      <c r="CK797" s="580"/>
      <c r="CL797" s="580"/>
      <c r="CM797" s="580"/>
      <c r="CN797" s="580"/>
      <c r="CO797" s="580"/>
      <c r="CP797" s="580"/>
      <c r="CQ797" s="580"/>
      <c r="CR797" s="580"/>
      <c r="CS797" s="580"/>
      <c r="CT797" s="580"/>
      <c r="CU797" s="580"/>
      <c r="CV797" s="580"/>
      <c r="CW797" s="580"/>
      <c r="CX797" s="580"/>
      <c r="CY797" s="580"/>
      <c r="CZ797" s="580"/>
      <c r="DA797" s="580"/>
      <c r="DB797" s="580"/>
      <c r="DC797" s="580"/>
      <c r="DD797" s="580"/>
      <c r="DE797" s="580"/>
      <c r="DF797" s="580"/>
      <c r="DG797" s="580"/>
      <c r="DH797" s="580"/>
      <c r="DI797" s="580"/>
      <c r="DJ797" s="580"/>
      <c r="DK797" s="580"/>
      <c r="DL797" s="580"/>
      <c r="DM797" s="580"/>
      <c r="DN797" s="580"/>
      <c r="DO797" s="580"/>
      <c r="DP797" s="580"/>
    </row>
    <row r="798" spans="1:120" collapsed="1">
      <c r="A798" s="1168"/>
      <c r="B798" s="1169"/>
      <c r="C798" s="1170"/>
      <c r="D798" s="1469"/>
      <c r="E798" s="1470"/>
      <c r="F798" s="1172"/>
      <c r="G798" s="1265"/>
      <c r="H798" s="1173"/>
      <c r="I798" s="1174"/>
      <c r="J798" s="1425">
        <v>1</v>
      </c>
      <c r="K798" s="1426">
        <v>1</v>
      </c>
      <c r="L798" s="1189"/>
      <c r="M798" s="1625"/>
      <c r="N798" s="1176"/>
      <c r="O798" s="1177"/>
      <c r="P798" s="1178"/>
      <c r="Q798" s="1178"/>
      <c r="R798" s="1179"/>
      <c r="S798" s="1180"/>
      <c r="T798" s="1181"/>
      <c r="U798" s="1182"/>
      <c r="V798" s="1183"/>
      <c r="W798" s="852"/>
      <c r="X798" s="853"/>
      <c r="Y798" s="854"/>
      <c r="AA798" s="1184"/>
      <c r="AB798" s="1184"/>
      <c r="AC798" s="1184"/>
      <c r="AD798" s="1184"/>
      <c r="AE798" s="1184"/>
      <c r="AF798" s="1184"/>
      <c r="AG798" s="1184"/>
      <c r="AH798" s="1184"/>
      <c r="AI798" s="1184"/>
      <c r="AJ798" s="1184"/>
      <c r="AK798" s="1184"/>
      <c r="AL798" s="1574"/>
      <c r="AM798" s="1184"/>
      <c r="AN798" s="1184"/>
      <c r="AO798" s="1184"/>
      <c r="AP798" s="1184"/>
      <c r="AQ798" s="1184"/>
      <c r="AR798" s="1184"/>
      <c r="AS798" s="1184"/>
      <c r="AT798" s="1184"/>
      <c r="AU798" s="1184"/>
      <c r="AV798" s="1184"/>
      <c r="AW798" s="1184"/>
      <c r="AX798" s="1184"/>
      <c r="AY798" s="1184"/>
      <c r="AZ798" s="1184"/>
      <c r="BA798" s="1184"/>
      <c r="BB798" s="1184"/>
      <c r="BC798" s="1184"/>
      <c r="BD798" s="1184"/>
      <c r="BE798" s="1184"/>
      <c r="BF798" s="1184"/>
      <c r="BG798" s="1184"/>
      <c r="BH798" s="1184"/>
      <c r="BI798" s="1184"/>
      <c r="BJ798" s="1184"/>
      <c r="BK798" s="1184"/>
      <c r="BL798" s="1184"/>
      <c r="BM798" s="1184"/>
      <c r="BN798" s="1184"/>
      <c r="BO798" s="1184"/>
      <c r="BP798" s="1184"/>
      <c r="BQ798" s="1184"/>
      <c r="BR798" s="1184"/>
      <c r="BS798" s="1184"/>
      <c r="BT798" s="1184"/>
      <c r="BU798" s="1184"/>
      <c r="BV798" s="1184"/>
      <c r="BW798" s="1184"/>
      <c r="BX798" s="1184"/>
      <c r="BY798" s="1184"/>
      <c r="BZ798" s="1184"/>
      <c r="CA798" s="1184"/>
      <c r="CB798" s="1184"/>
      <c r="CC798" s="1184"/>
      <c r="CD798" s="1184"/>
      <c r="CE798" s="1184"/>
      <c r="CF798" s="1184"/>
      <c r="CG798" s="1184"/>
      <c r="CH798" s="1184"/>
      <c r="CI798" s="1184"/>
      <c r="CJ798" s="1184"/>
      <c r="CK798" s="1184"/>
      <c r="CL798" s="1184"/>
      <c r="CM798" s="1184"/>
      <c r="CN798" s="1184"/>
      <c r="CO798" s="1184"/>
      <c r="CP798" s="1184"/>
      <c r="CQ798" s="1184"/>
      <c r="CR798" s="1184"/>
      <c r="CS798" s="1184"/>
      <c r="CT798" s="1184"/>
      <c r="CU798" s="1184"/>
      <c r="CV798" s="1184"/>
      <c r="CW798" s="1184"/>
      <c r="CX798" s="1184"/>
      <c r="CY798" s="1184"/>
      <c r="CZ798" s="1184"/>
      <c r="DA798" s="1184"/>
      <c r="DB798" s="1184"/>
      <c r="DC798" s="1184"/>
      <c r="DD798" s="1184"/>
      <c r="DE798" s="1184"/>
      <c r="DF798" s="1184"/>
      <c r="DG798" s="1184"/>
      <c r="DH798" s="1184"/>
      <c r="DI798" s="1184"/>
      <c r="DJ798" s="1184"/>
      <c r="DK798" s="1184"/>
      <c r="DL798" s="1184"/>
      <c r="DM798" s="1184"/>
      <c r="DN798" s="1184"/>
      <c r="DO798" s="1184"/>
      <c r="DP798" s="1184"/>
    </row>
    <row r="799" spans="1:120" ht="16.5" thickBot="1">
      <c r="A799" s="62" t="s">
        <v>232</v>
      </c>
      <c r="B799" s="63"/>
      <c r="C799" s="64"/>
      <c r="D799" s="1473"/>
      <c r="E799" s="1474"/>
      <c r="F799" s="66">
        <f>SUM(F796:F798)</f>
        <v>0</v>
      </c>
      <c r="G799" s="1253"/>
      <c r="H799" s="67"/>
      <c r="I799" s="68">
        <f>SUM(I796:I798)</f>
        <v>0</v>
      </c>
      <c r="J799" s="1376"/>
      <c r="K799" s="76"/>
      <c r="L799" s="1051">
        <f>SUM(L796:L798)</f>
        <v>0</v>
      </c>
      <c r="M799" s="1598"/>
      <c r="N799" s="70"/>
      <c r="O799" s="71">
        <f>SUM(O796:O798)</f>
        <v>0</v>
      </c>
      <c r="P799" s="72">
        <f>SUM(P796:P798)</f>
        <v>0</v>
      </c>
      <c r="Q799" s="1339"/>
      <c r="R799" s="73"/>
      <c r="S799" s="73"/>
      <c r="T799" s="96">
        <f>SUM(T796:T798)</f>
        <v>0</v>
      </c>
      <c r="U799" s="66">
        <f>SUM(U796:U798)</f>
        <v>0</v>
      </c>
      <c r="V799" s="76">
        <f>SUM(V796:V798)</f>
        <v>0</v>
      </c>
      <c r="W799" s="97">
        <f>SUM(W796:W798)</f>
        <v>0</v>
      </c>
      <c r="X799" s="98">
        <f>SUM(X796:X798)</f>
        <v>0</v>
      </c>
      <c r="Y799" s="43"/>
      <c r="AA799" s="172">
        <f t="shared" ref="AA799:BF799" ca="1" si="2206">SUM(AA794:AA798)</f>
        <v>0</v>
      </c>
      <c r="AB799" s="172">
        <f t="shared" ca="1" si="2206"/>
        <v>0</v>
      </c>
      <c r="AC799" s="172">
        <f t="shared" ca="1" si="2206"/>
        <v>0</v>
      </c>
      <c r="AD799" s="172">
        <f t="shared" ca="1" si="2206"/>
        <v>0</v>
      </c>
      <c r="AE799" s="172">
        <f t="shared" ca="1" si="2206"/>
        <v>1240.9000000000001</v>
      </c>
      <c r="AF799" s="172">
        <f t="shared" ca="1" si="2206"/>
        <v>0</v>
      </c>
      <c r="AG799" s="172">
        <f t="shared" ca="1" si="2206"/>
        <v>0</v>
      </c>
      <c r="AH799" s="172">
        <f t="shared" ca="1" si="2206"/>
        <v>0</v>
      </c>
      <c r="AI799" s="172">
        <f t="shared" ca="1" si="2206"/>
        <v>0</v>
      </c>
      <c r="AJ799" s="172">
        <f t="shared" ca="1" si="2206"/>
        <v>0</v>
      </c>
      <c r="AK799" s="172">
        <f t="shared" ca="1" si="2206"/>
        <v>0</v>
      </c>
      <c r="AL799" s="172">
        <f t="shared" ca="1" si="2206"/>
        <v>0</v>
      </c>
      <c r="AM799" s="172">
        <f t="shared" ca="1" si="2206"/>
        <v>0</v>
      </c>
      <c r="AN799" s="172">
        <f t="shared" ca="1" si="2206"/>
        <v>0</v>
      </c>
      <c r="AO799" s="172">
        <f t="shared" ca="1" si="2206"/>
        <v>0</v>
      </c>
      <c r="AP799" s="172">
        <f t="shared" ca="1" si="2206"/>
        <v>0</v>
      </c>
      <c r="AQ799" s="172">
        <f t="shared" ca="1" si="2206"/>
        <v>0</v>
      </c>
      <c r="AR799" s="172">
        <f t="shared" ca="1" si="2206"/>
        <v>0</v>
      </c>
      <c r="AS799" s="172">
        <f t="shared" ca="1" si="2206"/>
        <v>0</v>
      </c>
      <c r="AT799" s="172">
        <f t="shared" ca="1" si="2206"/>
        <v>0</v>
      </c>
      <c r="AU799" s="172">
        <f t="shared" ca="1" si="2206"/>
        <v>0</v>
      </c>
      <c r="AV799" s="172">
        <f t="shared" ca="1" si="2206"/>
        <v>0</v>
      </c>
      <c r="AW799" s="172">
        <f t="shared" ca="1" si="2206"/>
        <v>0</v>
      </c>
      <c r="AX799" s="172">
        <f t="shared" ca="1" si="2206"/>
        <v>0</v>
      </c>
      <c r="AY799" s="172">
        <f t="shared" ca="1" si="2206"/>
        <v>0</v>
      </c>
      <c r="AZ799" s="172">
        <f t="shared" ca="1" si="2206"/>
        <v>0</v>
      </c>
      <c r="BA799" s="172">
        <f t="shared" ca="1" si="2206"/>
        <v>0</v>
      </c>
      <c r="BB799" s="172">
        <f t="shared" ca="1" si="2206"/>
        <v>0</v>
      </c>
      <c r="BC799" s="172">
        <f t="shared" ca="1" si="2206"/>
        <v>0</v>
      </c>
      <c r="BD799" s="172">
        <f t="shared" ca="1" si="2206"/>
        <v>0</v>
      </c>
      <c r="BE799" s="172">
        <f t="shared" ca="1" si="2206"/>
        <v>0</v>
      </c>
      <c r="BF799" s="172">
        <f t="shared" ca="1" si="2206"/>
        <v>0</v>
      </c>
      <c r="BG799" s="172">
        <f t="shared" ref="BG799:CL799" ca="1" si="2207">SUM(BG794:BG798)</f>
        <v>0</v>
      </c>
      <c r="BH799" s="172">
        <f t="shared" ca="1" si="2207"/>
        <v>0</v>
      </c>
      <c r="BI799" s="172">
        <f t="shared" ca="1" si="2207"/>
        <v>0</v>
      </c>
      <c r="BJ799" s="172">
        <f t="shared" ca="1" si="2207"/>
        <v>0</v>
      </c>
      <c r="BK799" s="172">
        <f t="shared" ca="1" si="2207"/>
        <v>0</v>
      </c>
      <c r="BL799" s="172">
        <f t="shared" ca="1" si="2207"/>
        <v>0</v>
      </c>
      <c r="BM799" s="172">
        <f t="shared" ca="1" si="2207"/>
        <v>0</v>
      </c>
      <c r="BN799" s="172">
        <f t="shared" ca="1" si="2207"/>
        <v>0</v>
      </c>
      <c r="BO799" s="172">
        <f t="shared" ca="1" si="2207"/>
        <v>0</v>
      </c>
      <c r="BP799" s="172">
        <f t="shared" ca="1" si="2207"/>
        <v>0</v>
      </c>
      <c r="BQ799" s="172">
        <f t="shared" ca="1" si="2207"/>
        <v>0</v>
      </c>
      <c r="BR799" s="172">
        <f t="shared" ca="1" si="2207"/>
        <v>0</v>
      </c>
      <c r="BS799" s="172">
        <f t="shared" ca="1" si="2207"/>
        <v>0</v>
      </c>
      <c r="BT799" s="172">
        <f t="shared" ca="1" si="2207"/>
        <v>0</v>
      </c>
      <c r="BU799" s="172">
        <f t="shared" ca="1" si="2207"/>
        <v>0</v>
      </c>
      <c r="BV799" s="172">
        <f t="shared" ca="1" si="2207"/>
        <v>0</v>
      </c>
      <c r="BW799" s="172">
        <f t="shared" ca="1" si="2207"/>
        <v>0</v>
      </c>
      <c r="BX799" s="172">
        <f t="shared" ca="1" si="2207"/>
        <v>0</v>
      </c>
      <c r="BY799" s="172">
        <f t="shared" ca="1" si="2207"/>
        <v>0</v>
      </c>
      <c r="BZ799" s="172">
        <f t="shared" ca="1" si="2207"/>
        <v>0</v>
      </c>
      <c r="CA799" s="172">
        <f t="shared" ca="1" si="2207"/>
        <v>0</v>
      </c>
      <c r="CB799" s="172">
        <f t="shared" ca="1" si="2207"/>
        <v>0</v>
      </c>
      <c r="CC799" s="172">
        <f t="shared" ca="1" si="2207"/>
        <v>0</v>
      </c>
      <c r="CD799" s="172">
        <f t="shared" ca="1" si="2207"/>
        <v>0</v>
      </c>
      <c r="CE799" s="172">
        <f t="shared" ca="1" si="2207"/>
        <v>0</v>
      </c>
      <c r="CF799" s="172">
        <f t="shared" ca="1" si="2207"/>
        <v>0</v>
      </c>
      <c r="CG799" s="172">
        <f t="shared" ca="1" si="2207"/>
        <v>0</v>
      </c>
      <c r="CH799" s="172">
        <f t="shared" ca="1" si="2207"/>
        <v>0</v>
      </c>
      <c r="CI799" s="172">
        <f t="shared" ca="1" si="2207"/>
        <v>0</v>
      </c>
      <c r="CJ799" s="172">
        <f t="shared" ca="1" si="2207"/>
        <v>0</v>
      </c>
      <c r="CK799" s="172">
        <f t="shared" ca="1" si="2207"/>
        <v>0</v>
      </c>
      <c r="CL799" s="172">
        <f t="shared" ca="1" si="2207"/>
        <v>0</v>
      </c>
      <c r="CM799" s="172">
        <f t="shared" ref="CM799:DP799" ca="1" si="2208">SUM(CM794:CM798)</f>
        <v>0</v>
      </c>
      <c r="CN799" s="172">
        <f t="shared" ca="1" si="2208"/>
        <v>0</v>
      </c>
      <c r="CO799" s="172">
        <f t="shared" si="2208"/>
        <v>0</v>
      </c>
      <c r="CP799" s="172">
        <f t="shared" si="2208"/>
        <v>0</v>
      </c>
      <c r="CQ799" s="172">
        <f t="shared" si="2208"/>
        <v>0</v>
      </c>
      <c r="CR799" s="172">
        <f t="shared" si="2208"/>
        <v>0</v>
      </c>
      <c r="CS799" s="172">
        <f t="shared" si="2208"/>
        <v>0</v>
      </c>
      <c r="CT799" s="172">
        <f t="shared" si="2208"/>
        <v>0</v>
      </c>
      <c r="CU799" s="172">
        <f t="shared" si="2208"/>
        <v>0</v>
      </c>
      <c r="CV799" s="172">
        <f t="shared" si="2208"/>
        <v>0</v>
      </c>
      <c r="CW799" s="172">
        <f t="shared" si="2208"/>
        <v>0</v>
      </c>
      <c r="CX799" s="172">
        <f t="shared" si="2208"/>
        <v>0</v>
      </c>
      <c r="CY799" s="172">
        <f t="shared" si="2208"/>
        <v>0</v>
      </c>
      <c r="CZ799" s="172">
        <f t="shared" si="2208"/>
        <v>0</v>
      </c>
      <c r="DA799" s="172">
        <f t="shared" si="2208"/>
        <v>0</v>
      </c>
      <c r="DB799" s="172">
        <f t="shared" si="2208"/>
        <v>0</v>
      </c>
      <c r="DC799" s="172">
        <f t="shared" si="2208"/>
        <v>0</v>
      </c>
      <c r="DD799" s="172">
        <f t="shared" si="2208"/>
        <v>0</v>
      </c>
      <c r="DE799" s="172">
        <f t="shared" si="2208"/>
        <v>0</v>
      </c>
      <c r="DF799" s="172">
        <f t="shared" si="2208"/>
        <v>0</v>
      </c>
      <c r="DG799" s="172">
        <f t="shared" si="2208"/>
        <v>0</v>
      </c>
      <c r="DH799" s="172">
        <f t="shared" si="2208"/>
        <v>0</v>
      </c>
      <c r="DI799" s="172">
        <f t="shared" si="2208"/>
        <v>0</v>
      </c>
      <c r="DJ799" s="172">
        <f t="shared" si="2208"/>
        <v>0</v>
      </c>
      <c r="DK799" s="172">
        <f t="shared" si="2208"/>
        <v>0</v>
      </c>
      <c r="DL799" s="172">
        <f t="shared" si="2208"/>
        <v>0</v>
      </c>
      <c r="DM799" s="172">
        <f t="shared" si="2208"/>
        <v>0</v>
      </c>
      <c r="DN799" s="172">
        <f t="shared" si="2208"/>
        <v>0</v>
      </c>
      <c r="DO799" s="172">
        <f t="shared" si="2208"/>
        <v>0</v>
      </c>
      <c r="DP799" s="172">
        <f t="shared" si="2208"/>
        <v>0</v>
      </c>
    </row>
    <row r="800" spans="1:120"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  <c r="CG800" s="24"/>
      <c r="CH800" s="24"/>
      <c r="CI800" s="24"/>
      <c r="CJ800" s="24"/>
      <c r="CK800" s="24"/>
      <c r="CL800" s="24"/>
      <c r="CM800" s="24"/>
      <c r="CN800" s="24"/>
      <c r="CO800" s="24"/>
      <c r="CP800" s="24"/>
      <c r="CQ800" s="24"/>
      <c r="CR800" s="24"/>
      <c r="CS800" s="24"/>
      <c r="CT800" s="24"/>
      <c r="CU800" s="24"/>
      <c r="CV800" s="24"/>
      <c r="CW800" s="24"/>
      <c r="CX800" s="24"/>
      <c r="CY800" s="24"/>
      <c r="CZ800" s="24"/>
      <c r="DA800" s="24"/>
      <c r="DB800" s="24"/>
      <c r="DC800" s="24"/>
      <c r="DD800" s="24"/>
      <c r="DE800" s="24"/>
      <c r="DF800" s="24"/>
      <c r="DG800" s="24"/>
      <c r="DH800" s="24"/>
      <c r="DI800" s="24"/>
      <c r="DJ800" s="24"/>
      <c r="DK800" s="24"/>
      <c r="DL800" s="24"/>
      <c r="DM800" s="24"/>
      <c r="DN800" s="24"/>
      <c r="DO800" s="24"/>
      <c r="DP800" s="24"/>
    </row>
    <row r="801" spans="1:120" hidden="1" outlineLevel="1">
      <c r="A801" s="640">
        <v>1110061050</v>
      </c>
      <c r="B801" s="573" t="s">
        <v>78</v>
      </c>
      <c r="C801" s="1488" t="s">
        <v>64</v>
      </c>
      <c r="D801" s="1489"/>
      <c r="E801" s="1490"/>
      <c r="F801" s="643"/>
      <c r="G801" s="1262"/>
      <c r="H801" s="644"/>
      <c r="I801" s="645"/>
      <c r="J801" s="1483">
        <v>1</v>
      </c>
      <c r="K801" s="1484">
        <v>1</v>
      </c>
      <c r="L801" s="646"/>
      <c r="M801" s="1428">
        <f t="shared" ref="M801" si="2209">+L801*J801</f>
        <v>0</v>
      </c>
      <c r="N801" s="647"/>
      <c r="O801" s="648">
        <f t="shared" ref="O801:O803" si="2210">+L801*N801</f>
        <v>0</v>
      </c>
      <c r="P801" s="649"/>
      <c r="Q801" s="649"/>
      <c r="R801" s="650"/>
      <c r="S801" s="650"/>
      <c r="T801" s="651">
        <f t="shared" ref="T801:T803" si="2211">+P801*S801</f>
        <v>0</v>
      </c>
      <c r="U801" s="652">
        <f t="shared" ref="U801:U803" si="2212">+L801+P801+F801</f>
        <v>0</v>
      </c>
      <c r="V801" s="648">
        <f t="shared" ref="V801:V803" si="2213">+P801*R801+L801*N801+F801*H801</f>
        <v>0</v>
      </c>
      <c r="W801" s="653">
        <f t="shared" ref="W801:W802" si="2214">(IF(R801&gt;S801,(-P801*R801)-(-P801*S801),0))</f>
        <v>0</v>
      </c>
      <c r="X801" s="654">
        <f t="shared" ref="X801:X802" si="2215">(IF(R801&lt;S801,(-P801*R801)-(-P801*S801),0))</f>
        <v>0</v>
      </c>
      <c r="Y801" s="655"/>
      <c r="AA801" s="577"/>
      <c r="AB801" s="577"/>
      <c r="AC801" s="577"/>
      <c r="AD801" s="577"/>
      <c r="AE801" s="577"/>
      <c r="AF801" s="577"/>
      <c r="AG801" s="577"/>
      <c r="AH801" s="577"/>
      <c r="AI801" s="577"/>
      <c r="AJ801" s="577"/>
      <c r="AK801" s="577"/>
      <c r="AL801" s="577"/>
      <c r="AM801" s="577"/>
      <c r="AN801" s="577"/>
      <c r="AO801" s="577"/>
      <c r="AP801" s="577"/>
      <c r="AQ801" s="577"/>
      <c r="AR801" s="577"/>
      <c r="AS801" s="577"/>
      <c r="AT801" s="577"/>
      <c r="AU801" s="577"/>
      <c r="AV801" s="577"/>
      <c r="AW801" s="577"/>
      <c r="AX801" s="577"/>
      <c r="AY801" s="577"/>
      <c r="AZ801" s="577"/>
      <c r="BA801" s="577"/>
      <c r="BB801" s="577"/>
      <c r="BC801" s="577"/>
      <c r="BD801" s="577"/>
      <c r="BE801" s="577"/>
      <c r="BF801" s="577"/>
      <c r="BG801" s="577"/>
      <c r="BH801" s="577"/>
      <c r="BI801" s="577"/>
      <c r="BJ801" s="577"/>
      <c r="BK801" s="577"/>
      <c r="BL801" s="577"/>
      <c r="BM801" s="577"/>
      <c r="BN801" s="577"/>
      <c r="BO801" s="577"/>
      <c r="BP801" s="577"/>
      <c r="BQ801" s="577"/>
      <c r="BR801" s="577"/>
      <c r="BS801" s="577">
        <f>+M801</f>
        <v>0</v>
      </c>
      <c r="BT801" s="577"/>
      <c r="BU801" s="577"/>
      <c r="BV801" s="577"/>
      <c r="BW801" s="577"/>
      <c r="BX801" s="577"/>
      <c r="BY801" s="577"/>
      <c r="BZ801" s="577"/>
      <c r="CA801" s="577"/>
      <c r="CB801" s="577"/>
      <c r="CC801" s="577"/>
      <c r="CD801" s="577"/>
      <c r="CE801" s="577"/>
      <c r="CF801" s="577"/>
      <c r="CG801" s="577"/>
      <c r="CH801" s="577"/>
      <c r="CI801" s="577"/>
      <c r="CJ801" s="577"/>
      <c r="CK801" s="577"/>
      <c r="CL801" s="577"/>
      <c r="CM801" s="577"/>
      <c r="CN801" s="577"/>
      <c r="CO801" s="577"/>
      <c r="CP801" s="577"/>
      <c r="CQ801" s="577"/>
      <c r="CR801" s="577"/>
      <c r="CS801" s="577"/>
      <c r="CT801" s="577"/>
      <c r="CU801" s="577"/>
      <c r="CV801" s="577"/>
      <c r="CW801" s="577"/>
      <c r="CX801" s="577"/>
      <c r="CY801" s="577"/>
      <c r="CZ801" s="577"/>
      <c r="DA801" s="577"/>
      <c r="DB801" s="577"/>
      <c r="DC801" s="577"/>
      <c r="DD801" s="577"/>
      <c r="DE801" s="577"/>
      <c r="DF801" s="577"/>
      <c r="DG801" s="577"/>
      <c r="DH801" s="577"/>
      <c r="DI801" s="577"/>
      <c r="DJ801" s="577"/>
      <c r="DK801" s="577"/>
      <c r="DL801" s="577"/>
      <c r="DM801" s="577"/>
      <c r="DN801" s="577"/>
      <c r="DO801" s="577"/>
      <c r="DP801" s="577"/>
    </row>
    <row r="802" spans="1:120" hidden="1" outlineLevel="1">
      <c r="A802" s="55">
        <v>1110061050</v>
      </c>
      <c r="B802" s="509"/>
      <c r="C802" s="679" t="s">
        <v>64</v>
      </c>
      <c r="D802" s="1469"/>
      <c r="E802" s="1470"/>
      <c r="F802" s="416"/>
      <c r="G802" s="1251"/>
      <c r="H802" s="511"/>
      <c r="I802" s="512"/>
      <c r="J802" s="1425">
        <v>1</v>
      </c>
      <c r="K802" s="1426">
        <v>1</v>
      </c>
      <c r="L802" s="417"/>
      <c r="M802" s="1336"/>
      <c r="N802" s="504"/>
      <c r="O802" s="513">
        <f t="shared" si="2210"/>
        <v>0</v>
      </c>
      <c r="P802" s="514"/>
      <c r="Q802" s="514">
        <f t="shared" ref="Q802" si="2216">+P802*K802</f>
        <v>0</v>
      </c>
      <c r="R802" s="515"/>
      <c r="S802" s="515"/>
      <c r="T802" s="562">
        <f t="shared" si="2211"/>
        <v>0</v>
      </c>
      <c r="U802" s="638">
        <f t="shared" si="2212"/>
        <v>0</v>
      </c>
      <c r="V802" s="639">
        <f t="shared" si="2213"/>
        <v>0</v>
      </c>
      <c r="W802" s="976">
        <f t="shared" si="2214"/>
        <v>0</v>
      </c>
      <c r="X802" s="975">
        <f t="shared" si="2215"/>
        <v>0</v>
      </c>
      <c r="Y802" s="519"/>
      <c r="AA802" s="580"/>
      <c r="AB802" s="580"/>
      <c r="AC802" s="580"/>
      <c r="AD802" s="580"/>
      <c r="AE802" s="580"/>
      <c r="AF802" s="580"/>
      <c r="AG802" s="580"/>
      <c r="AH802" s="580"/>
      <c r="AI802" s="580"/>
      <c r="AJ802" s="580"/>
      <c r="AK802" s="580"/>
      <c r="AL802" s="1513"/>
      <c r="AM802" s="580"/>
      <c r="AN802" s="580"/>
      <c r="AO802" s="580"/>
      <c r="AP802" s="580"/>
      <c r="AQ802" s="580"/>
      <c r="AR802" s="580"/>
      <c r="AS802" s="580"/>
      <c r="AT802" s="580"/>
      <c r="AU802" s="580"/>
      <c r="AV802" s="580"/>
      <c r="AW802" s="580"/>
      <c r="AX802" s="580"/>
      <c r="AY802" s="580"/>
      <c r="AZ802" s="580"/>
      <c r="BA802" s="580"/>
      <c r="BB802" s="580"/>
      <c r="BC802" s="580"/>
      <c r="BD802" s="580"/>
      <c r="BE802" s="580"/>
      <c r="BF802" s="580"/>
      <c r="BG802" s="580"/>
      <c r="BH802" s="580"/>
      <c r="BI802" s="580"/>
      <c r="BJ802" s="580"/>
      <c r="BK802" s="580"/>
      <c r="BL802" s="580"/>
      <c r="BM802" s="580">
        <f>+Q802</f>
        <v>0</v>
      </c>
      <c r="BN802" s="580"/>
      <c r="BO802" s="580"/>
      <c r="BP802" s="580"/>
      <c r="BQ802" s="580"/>
      <c r="BR802" s="580"/>
      <c r="BS802" s="580"/>
      <c r="BT802" s="580"/>
      <c r="BU802" s="580"/>
      <c r="BV802" s="580"/>
      <c r="BW802" s="580"/>
      <c r="BX802" s="580"/>
      <c r="BY802" s="580"/>
      <c r="BZ802" s="580"/>
      <c r="CA802" s="580"/>
      <c r="CB802" s="580"/>
      <c r="CC802" s="580"/>
      <c r="CD802" s="580"/>
      <c r="CE802" s="580"/>
      <c r="CF802" s="580"/>
      <c r="CG802" s="580"/>
      <c r="CH802" s="580"/>
      <c r="CI802" s="580"/>
      <c r="CJ802" s="580"/>
      <c r="CK802" s="580"/>
      <c r="CL802" s="580"/>
      <c r="CM802" s="580"/>
      <c r="CN802" s="580"/>
      <c r="CO802" s="580"/>
      <c r="CP802" s="580"/>
      <c r="CQ802" s="580"/>
      <c r="CR802" s="580"/>
      <c r="CS802" s="580"/>
      <c r="CT802" s="580"/>
      <c r="CU802" s="580"/>
      <c r="CV802" s="580"/>
      <c r="CW802" s="580"/>
      <c r="CX802" s="580"/>
      <c r="CY802" s="580"/>
      <c r="CZ802" s="580"/>
      <c r="DA802" s="580"/>
      <c r="DB802" s="580"/>
      <c r="DC802" s="580"/>
      <c r="DD802" s="580"/>
      <c r="DE802" s="580"/>
      <c r="DF802" s="580"/>
      <c r="DG802" s="580"/>
      <c r="DH802" s="580"/>
      <c r="DI802" s="580"/>
      <c r="DJ802" s="580"/>
      <c r="DK802" s="580"/>
      <c r="DL802" s="580"/>
      <c r="DM802" s="580"/>
      <c r="DN802" s="580"/>
      <c r="DO802" s="580"/>
      <c r="DP802" s="580"/>
    </row>
    <row r="803" spans="1:120" collapsed="1">
      <c r="A803" s="55"/>
      <c r="B803" s="509"/>
      <c r="C803" s="679"/>
      <c r="D803" s="1469"/>
      <c r="E803" s="1470"/>
      <c r="F803" s="416"/>
      <c r="G803" s="1251"/>
      <c r="H803" s="511"/>
      <c r="I803" s="512"/>
      <c r="J803" s="1425">
        <v>1</v>
      </c>
      <c r="K803" s="1426">
        <v>1</v>
      </c>
      <c r="L803" s="417"/>
      <c r="M803" s="1336"/>
      <c r="N803" s="504"/>
      <c r="O803" s="513">
        <f t="shared" si="2210"/>
        <v>0</v>
      </c>
      <c r="P803" s="431"/>
      <c r="Q803" s="514"/>
      <c r="R803" s="515"/>
      <c r="S803" s="515"/>
      <c r="T803" s="562">
        <f t="shared" si="2211"/>
        <v>0</v>
      </c>
      <c r="U803" s="418">
        <f t="shared" si="2212"/>
        <v>0</v>
      </c>
      <c r="V803" s="517">
        <f t="shared" si="2213"/>
        <v>0</v>
      </c>
      <c r="W803" s="976">
        <f>IF((-P803*R803)-(-P803*S803)&gt;0,(-P803*R803)-(-P803*S803),0)</f>
        <v>0</v>
      </c>
      <c r="X803" s="975">
        <f>IF((-P803*R803)-(-P803*S803)&lt;0,(-P803*R803)-(-P803*S803),0)</f>
        <v>0</v>
      </c>
      <c r="Y803" s="519"/>
      <c r="AA803" s="580"/>
      <c r="AB803" s="580"/>
      <c r="AC803" s="580"/>
      <c r="AD803" s="580"/>
      <c r="AE803" s="580"/>
      <c r="AF803" s="580"/>
      <c r="AG803" s="580"/>
      <c r="AH803" s="580"/>
      <c r="AI803" s="580"/>
      <c r="AJ803" s="580"/>
      <c r="AK803" s="580"/>
      <c r="AL803" s="1513"/>
      <c r="AM803" s="580"/>
      <c r="AN803" s="580"/>
      <c r="AO803" s="580"/>
      <c r="AP803" s="580"/>
      <c r="AQ803" s="580"/>
      <c r="AR803" s="580"/>
      <c r="AS803" s="580"/>
      <c r="AT803" s="580"/>
      <c r="AU803" s="580"/>
      <c r="AV803" s="580"/>
      <c r="AW803" s="580"/>
      <c r="AX803" s="580"/>
      <c r="AY803" s="580"/>
      <c r="AZ803" s="580"/>
      <c r="BA803" s="580"/>
      <c r="BB803" s="580"/>
      <c r="BC803" s="580"/>
      <c r="BD803" s="580"/>
      <c r="BE803" s="580"/>
      <c r="BF803" s="580"/>
      <c r="BG803" s="580"/>
      <c r="BH803" s="580"/>
      <c r="BI803" s="580"/>
      <c r="BJ803" s="580"/>
      <c r="BK803" s="580"/>
      <c r="BL803" s="580"/>
      <c r="BM803" s="580"/>
      <c r="BN803" s="580"/>
      <c r="BO803" s="580"/>
      <c r="BP803" s="580"/>
      <c r="BQ803" s="580"/>
      <c r="BR803" s="580"/>
      <c r="BS803" s="580"/>
      <c r="BT803" s="580"/>
      <c r="BU803" s="580"/>
      <c r="BV803" s="580"/>
      <c r="BW803" s="580"/>
      <c r="BX803" s="580"/>
      <c r="BY803" s="580"/>
      <c r="BZ803" s="580"/>
      <c r="CA803" s="580"/>
      <c r="CB803" s="580"/>
      <c r="CC803" s="580"/>
      <c r="CD803" s="580"/>
      <c r="CE803" s="580"/>
      <c r="CF803" s="580"/>
      <c r="CG803" s="580"/>
      <c r="CH803" s="580"/>
      <c r="CI803" s="580"/>
      <c r="CJ803" s="580"/>
      <c r="CK803" s="580"/>
      <c r="CL803" s="580"/>
      <c r="CM803" s="580"/>
      <c r="CN803" s="580"/>
      <c r="CO803" s="580"/>
      <c r="CP803" s="580"/>
      <c r="CQ803" s="580"/>
      <c r="CR803" s="580"/>
      <c r="CS803" s="580"/>
      <c r="CT803" s="580"/>
      <c r="CU803" s="580"/>
      <c r="CV803" s="580"/>
      <c r="CW803" s="580"/>
      <c r="CX803" s="580"/>
      <c r="CY803" s="580"/>
      <c r="CZ803" s="580"/>
      <c r="DA803" s="580"/>
      <c r="DB803" s="580"/>
      <c r="DC803" s="580"/>
      <c r="DD803" s="580"/>
      <c r="DE803" s="580"/>
      <c r="DF803" s="580"/>
      <c r="DG803" s="580"/>
      <c r="DH803" s="580"/>
      <c r="DI803" s="580"/>
      <c r="DJ803" s="580"/>
      <c r="DK803" s="580"/>
      <c r="DL803" s="580"/>
      <c r="DM803" s="580"/>
      <c r="DN803" s="580"/>
      <c r="DO803" s="580"/>
      <c r="DP803" s="580"/>
    </row>
    <row r="804" spans="1:120" ht="16.5" thickBot="1">
      <c r="A804" s="62" t="s">
        <v>233</v>
      </c>
      <c r="B804" s="63"/>
      <c r="C804" s="184"/>
      <c r="D804" s="1473"/>
      <c r="E804" s="1474"/>
      <c r="F804" s="66">
        <f>SUM(F801:F803)</f>
        <v>0</v>
      </c>
      <c r="G804" s="1253"/>
      <c r="H804" s="67"/>
      <c r="I804" s="68">
        <f>SUM(I801:I803)</f>
        <v>0</v>
      </c>
      <c r="J804" s="1376"/>
      <c r="K804" s="76"/>
      <c r="L804" s="69">
        <f>SUM(L801:L803)</f>
        <v>0</v>
      </c>
      <c r="M804" s="168"/>
      <c r="N804" s="70"/>
      <c r="O804" s="71">
        <f>SUM(O801:O803)</f>
        <v>0</v>
      </c>
      <c r="P804" s="72">
        <f>SUM(P801:P803)</f>
        <v>0</v>
      </c>
      <c r="Q804" s="1339"/>
      <c r="R804" s="73"/>
      <c r="S804" s="73"/>
      <c r="T804" s="96">
        <f>SUM(T801:T803)</f>
        <v>0</v>
      </c>
      <c r="U804" s="66">
        <f>SUM(U801:U803)</f>
        <v>0</v>
      </c>
      <c r="V804" s="76">
        <f>SUM(V801:V803)</f>
        <v>0</v>
      </c>
      <c r="W804" s="97">
        <f>SUM(W801:W803)</f>
        <v>0</v>
      </c>
      <c r="X804" s="98">
        <f>SUM(X801:X803)</f>
        <v>0</v>
      </c>
      <c r="Y804" s="43"/>
      <c r="AA804" s="172">
        <f t="shared" ref="AA804:BF804" ca="1" si="2217">SUM(AA799:AA803)</f>
        <v>0</v>
      </c>
      <c r="AB804" s="172">
        <f t="shared" ca="1" si="2217"/>
        <v>0</v>
      </c>
      <c r="AC804" s="172">
        <f t="shared" ca="1" si="2217"/>
        <v>0</v>
      </c>
      <c r="AD804" s="172">
        <f t="shared" ca="1" si="2217"/>
        <v>0</v>
      </c>
      <c r="AE804" s="172">
        <f t="shared" ca="1" si="2217"/>
        <v>1240.9000000000001</v>
      </c>
      <c r="AF804" s="172">
        <f t="shared" ca="1" si="2217"/>
        <v>0</v>
      </c>
      <c r="AG804" s="172">
        <f t="shared" ca="1" si="2217"/>
        <v>0</v>
      </c>
      <c r="AH804" s="172">
        <f t="shared" ca="1" si="2217"/>
        <v>0</v>
      </c>
      <c r="AI804" s="172">
        <f t="shared" ca="1" si="2217"/>
        <v>0</v>
      </c>
      <c r="AJ804" s="172">
        <f t="shared" ca="1" si="2217"/>
        <v>0</v>
      </c>
      <c r="AK804" s="172">
        <f t="shared" ca="1" si="2217"/>
        <v>0</v>
      </c>
      <c r="AL804" s="172">
        <f t="shared" ca="1" si="2217"/>
        <v>0</v>
      </c>
      <c r="AM804" s="172">
        <f t="shared" ca="1" si="2217"/>
        <v>0</v>
      </c>
      <c r="AN804" s="172">
        <f t="shared" ca="1" si="2217"/>
        <v>0</v>
      </c>
      <c r="AO804" s="172">
        <f t="shared" ca="1" si="2217"/>
        <v>0</v>
      </c>
      <c r="AP804" s="172">
        <f t="shared" ca="1" si="2217"/>
        <v>0</v>
      </c>
      <c r="AQ804" s="172">
        <f t="shared" ca="1" si="2217"/>
        <v>0</v>
      </c>
      <c r="AR804" s="172">
        <f t="shared" ca="1" si="2217"/>
        <v>0</v>
      </c>
      <c r="AS804" s="172">
        <f t="shared" ca="1" si="2217"/>
        <v>0</v>
      </c>
      <c r="AT804" s="172">
        <f t="shared" ca="1" si="2217"/>
        <v>0</v>
      </c>
      <c r="AU804" s="172">
        <f t="shared" ca="1" si="2217"/>
        <v>0</v>
      </c>
      <c r="AV804" s="172">
        <f t="shared" ca="1" si="2217"/>
        <v>0</v>
      </c>
      <c r="AW804" s="172">
        <f t="shared" ca="1" si="2217"/>
        <v>0</v>
      </c>
      <c r="AX804" s="172">
        <f t="shared" ca="1" si="2217"/>
        <v>0</v>
      </c>
      <c r="AY804" s="172">
        <f t="shared" ca="1" si="2217"/>
        <v>0</v>
      </c>
      <c r="AZ804" s="172">
        <f t="shared" ca="1" si="2217"/>
        <v>0</v>
      </c>
      <c r="BA804" s="172">
        <f t="shared" ca="1" si="2217"/>
        <v>0</v>
      </c>
      <c r="BB804" s="172">
        <f t="shared" ca="1" si="2217"/>
        <v>0</v>
      </c>
      <c r="BC804" s="172">
        <f t="shared" ca="1" si="2217"/>
        <v>0</v>
      </c>
      <c r="BD804" s="172">
        <f t="shared" ca="1" si="2217"/>
        <v>0</v>
      </c>
      <c r="BE804" s="172">
        <f t="shared" ca="1" si="2217"/>
        <v>0</v>
      </c>
      <c r="BF804" s="172">
        <f t="shared" ca="1" si="2217"/>
        <v>0</v>
      </c>
      <c r="BG804" s="172">
        <f t="shared" ref="BG804:CL804" ca="1" si="2218">SUM(BG799:BG803)</f>
        <v>0</v>
      </c>
      <c r="BH804" s="172">
        <f t="shared" ca="1" si="2218"/>
        <v>0</v>
      </c>
      <c r="BI804" s="172">
        <f t="shared" ca="1" si="2218"/>
        <v>0</v>
      </c>
      <c r="BJ804" s="172">
        <f t="shared" ca="1" si="2218"/>
        <v>0</v>
      </c>
      <c r="BK804" s="172">
        <f t="shared" ca="1" si="2218"/>
        <v>0</v>
      </c>
      <c r="BL804" s="172">
        <f t="shared" ca="1" si="2218"/>
        <v>0</v>
      </c>
      <c r="BM804" s="172">
        <f t="shared" ca="1" si="2218"/>
        <v>0</v>
      </c>
      <c r="BN804" s="172">
        <f t="shared" ca="1" si="2218"/>
        <v>0</v>
      </c>
      <c r="BO804" s="172">
        <f t="shared" ca="1" si="2218"/>
        <v>0</v>
      </c>
      <c r="BP804" s="172">
        <f t="shared" ca="1" si="2218"/>
        <v>0</v>
      </c>
      <c r="BQ804" s="172">
        <f t="shared" ca="1" si="2218"/>
        <v>0</v>
      </c>
      <c r="BR804" s="172">
        <f t="shared" ca="1" si="2218"/>
        <v>0</v>
      </c>
      <c r="BS804" s="172">
        <f t="shared" ca="1" si="2218"/>
        <v>0</v>
      </c>
      <c r="BT804" s="172">
        <f t="shared" ca="1" si="2218"/>
        <v>0</v>
      </c>
      <c r="BU804" s="172">
        <f t="shared" ca="1" si="2218"/>
        <v>0</v>
      </c>
      <c r="BV804" s="172">
        <f t="shared" ca="1" si="2218"/>
        <v>0</v>
      </c>
      <c r="BW804" s="172">
        <f t="shared" ca="1" si="2218"/>
        <v>0</v>
      </c>
      <c r="BX804" s="172">
        <f t="shared" ca="1" si="2218"/>
        <v>0</v>
      </c>
      <c r="BY804" s="172">
        <f t="shared" ca="1" si="2218"/>
        <v>0</v>
      </c>
      <c r="BZ804" s="172">
        <f t="shared" ca="1" si="2218"/>
        <v>0</v>
      </c>
      <c r="CA804" s="172">
        <f t="shared" ca="1" si="2218"/>
        <v>0</v>
      </c>
      <c r="CB804" s="172">
        <f t="shared" ca="1" si="2218"/>
        <v>0</v>
      </c>
      <c r="CC804" s="172">
        <f t="shared" ca="1" si="2218"/>
        <v>0</v>
      </c>
      <c r="CD804" s="172">
        <f t="shared" ca="1" si="2218"/>
        <v>0</v>
      </c>
      <c r="CE804" s="172">
        <f t="shared" ca="1" si="2218"/>
        <v>0</v>
      </c>
      <c r="CF804" s="172">
        <f t="shared" ca="1" si="2218"/>
        <v>0</v>
      </c>
      <c r="CG804" s="172">
        <f t="shared" ca="1" si="2218"/>
        <v>0</v>
      </c>
      <c r="CH804" s="172">
        <f t="shared" ca="1" si="2218"/>
        <v>0</v>
      </c>
      <c r="CI804" s="172">
        <f t="shared" ca="1" si="2218"/>
        <v>0</v>
      </c>
      <c r="CJ804" s="172">
        <f t="shared" ca="1" si="2218"/>
        <v>0</v>
      </c>
      <c r="CK804" s="172">
        <f t="shared" ca="1" si="2218"/>
        <v>0</v>
      </c>
      <c r="CL804" s="172">
        <f t="shared" ca="1" si="2218"/>
        <v>0</v>
      </c>
      <c r="CM804" s="172">
        <f t="shared" ref="CM804:DP804" ca="1" si="2219">SUM(CM799:CM803)</f>
        <v>0</v>
      </c>
      <c r="CN804" s="172">
        <f t="shared" ca="1" si="2219"/>
        <v>0</v>
      </c>
      <c r="CO804" s="172">
        <f t="shared" si="2219"/>
        <v>0</v>
      </c>
      <c r="CP804" s="172">
        <f t="shared" si="2219"/>
        <v>0</v>
      </c>
      <c r="CQ804" s="172">
        <f t="shared" si="2219"/>
        <v>0</v>
      </c>
      <c r="CR804" s="172">
        <f t="shared" si="2219"/>
        <v>0</v>
      </c>
      <c r="CS804" s="172">
        <f t="shared" si="2219"/>
        <v>0</v>
      </c>
      <c r="CT804" s="172">
        <f t="shared" si="2219"/>
        <v>0</v>
      </c>
      <c r="CU804" s="172">
        <f t="shared" si="2219"/>
        <v>0</v>
      </c>
      <c r="CV804" s="172">
        <f t="shared" si="2219"/>
        <v>0</v>
      </c>
      <c r="CW804" s="172">
        <f t="shared" si="2219"/>
        <v>0</v>
      </c>
      <c r="CX804" s="172">
        <f t="shared" si="2219"/>
        <v>0</v>
      </c>
      <c r="CY804" s="172">
        <f t="shared" si="2219"/>
        <v>0</v>
      </c>
      <c r="CZ804" s="172">
        <f t="shared" si="2219"/>
        <v>0</v>
      </c>
      <c r="DA804" s="172">
        <f t="shared" si="2219"/>
        <v>0</v>
      </c>
      <c r="DB804" s="172">
        <f t="shared" si="2219"/>
        <v>0</v>
      </c>
      <c r="DC804" s="172">
        <f t="shared" si="2219"/>
        <v>0</v>
      </c>
      <c r="DD804" s="172">
        <f t="shared" si="2219"/>
        <v>0</v>
      </c>
      <c r="DE804" s="172">
        <f t="shared" si="2219"/>
        <v>0</v>
      </c>
      <c r="DF804" s="172">
        <f t="shared" si="2219"/>
        <v>0</v>
      </c>
      <c r="DG804" s="172">
        <f t="shared" si="2219"/>
        <v>0</v>
      </c>
      <c r="DH804" s="172">
        <f t="shared" si="2219"/>
        <v>0</v>
      </c>
      <c r="DI804" s="172">
        <f t="shared" si="2219"/>
        <v>0</v>
      </c>
      <c r="DJ804" s="172">
        <f t="shared" si="2219"/>
        <v>0</v>
      </c>
      <c r="DK804" s="172">
        <f t="shared" si="2219"/>
        <v>0</v>
      </c>
      <c r="DL804" s="172">
        <f t="shared" si="2219"/>
        <v>0</v>
      </c>
      <c r="DM804" s="172">
        <f t="shared" si="2219"/>
        <v>0</v>
      </c>
      <c r="DN804" s="172">
        <f t="shared" si="2219"/>
        <v>0</v>
      </c>
      <c r="DO804" s="172">
        <f t="shared" si="2219"/>
        <v>0</v>
      </c>
      <c r="DP804" s="172">
        <f t="shared" si="2219"/>
        <v>0</v>
      </c>
    </row>
    <row r="805" spans="1:120"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  <c r="CG805" s="24"/>
      <c r="CH805" s="24"/>
      <c r="CI805" s="24"/>
      <c r="CJ805" s="24"/>
      <c r="CK805" s="24"/>
      <c r="CL805" s="24"/>
      <c r="CM805" s="24"/>
      <c r="CN805" s="24"/>
      <c r="CO805" s="24"/>
      <c r="CP805" s="24"/>
      <c r="CQ805" s="24"/>
      <c r="CR805" s="24"/>
      <c r="CS805" s="24"/>
      <c r="CT805" s="24"/>
      <c r="CU805" s="24"/>
      <c r="CV805" s="24"/>
      <c r="CW805" s="24"/>
      <c r="CX805" s="24"/>
      <c r="CY805" s="24"/>
      <c r="CZ805" s="24"/>
      <c r="DA805" s="24"/>
      <c r="DB805" s="24"/>
      <c r="DC805" s="24"/>
      <c r="DD805" s="24"/>
      <c r="DE805" s="24"/>
      <c r="DF805" s="24"/>
      <c r="DG805" s="24"/>
      <c r="DH805" s="24"/>
      <c r="DI805" s="24"/>
      <c r="DJ805" s="24"/>
      <c r="DK805" s="24"/>
      <c r="DL805" s="24"/>
      <c r="DM805" s="24"/>
      <c r="DN805" s="24"/>
      <c r="DO805" s="24"/>
      <c r="DP805" s="24"/>
    </row>
    <row r="806" spans="1:120" hidden="1" outlineLevel="1">
      <c r="A806" s="640">
        <v>1110061050</v>
      </c>
      <c r="B806" s="573" t="s">
        <v>78</v>
      </c>
      <c r="C806" s="1488" t="s">
        <v>64</v>
      </c>
      <c r="D806" s="1489"/>
      <c r="E806" s="1490"/>
      <c r="F806" s="643"/>
      <c r="G806" s="1262"/>
      <c r="H806" s="644"/>
      <c r="I806" s="645"/>
      <c r="J806" s="1483">
        <v>1</v>
      </c>
      <c r="K806" s="1484">
        <v>1</v>
      </c>
      <c r="L806" s="646"/>
      <c r="M806" s="1428">
        <f t="shared" ref="M806:M807" si="2220">+L806*J806</f>
        <v>0</v>
      </c>
      <c r="N806" s="647"/>
      <c r="O806" s="648">
        <f t="shared" ref="O806:O807" si="2221">+L806*N806</f>
        <v>0</v>
      </c>
      <c r="P806" s="649"/>
      <c r="Q806" s="649"/>
      <c r="R806" s="650"/>
      <c r="S806" s="650"/>
      <c r="T806" s="651">
        <f t="shared" ref="T806:T807" si="2222">+P806*S806</f>
        <v>0</v>
      </c>
      <c r="U806" s="652">
        <f t="shared" ref="U806:U807" si="2223">+L806+P806+F806</f>
        <v>0</v>
      </c>
      <c r="V806" s="648">
        <f t="shared" ref="V806:V807" si="2224">+P806*R806+L806*N806+F806*H806</f>
        <v>0</v>
      </c>
      <c r="W806" s="653">
        <f t="shared" ref="W806:W807" si="2225">(IF(R806&gt;S806,(-P806*R806)-(-P806*S806),0))</f>
        <v>0</v>
      </c>
      <c r="X806" s="654">
        <f t="shared" ref="X806:X807" si="2226">(IF(R806&lt;S806,(-P806*R806)-(-P806*S806),0))</f>
        <v>0</v>
      </c>
      <c r="Y806" s="655"/>
      <c r="AA806" s="577"/>
      <c r="AB806" s="577"/>
      <c r="AC806" s="577"/>
      <c r="AD806" s="577"/>
      <c r="AE806" s="577"/>
      <c r="AF806" s="577"/>
      <c r="AG806" s="577"/>
      <c r="AH806" s="577"/>
      <c r="AI806" s="577"/>
      <c r="AJ806" s="577"/>
      <c r="AK806" s="577"/>
      <c r="AL806" s="577"/>
      <c r="AM806" s="577"/>
      <c r="AN806" s="577"/>
      <c r="AO806" s="577"/>
      <c r="AP806" s="577"/>
      <c r="AQ806" s="577"/>
      <c r="AR806" s="577"/>
      <c r="AS806" s="577"/>
      <c r="AT806" s="577"/>
      <c r="AU806" s="577"/>
      <c r="AV806" s="577"/>
      <c r="AW806" s="577"/>
      <c r="AX806" s="577"/>
      <c r="AY806" s="577"/>
      <c r="AZ806" s="577"/>
      <c r="BA806" s="577"/>
      <c r="BB806" s="577"/>
      <c r="BC806" s="577"/>
      <c r="BD806" s="577"/>
      <c r="BE806" s="577"/>
      <c r="BF806" s="577"/>
      <c r="BG806" s="577"/>
      <c r="BH806" s="577"/>
      <c r="BI806" s="577"/>
      <c r="BJ806" s="577"/>
      <c r="BK806" s="577"/>
      <c r="BL806" s="577"/>
      <c r="BM806" s="577"/>
      <c r="BN806" s="577"/>
      <c r="BO806" s="577"/>
      <c r="BP806" s="577"/>
      <c r="BQ806" s="577"/>
      <c r="BR806" s="577"/>
      <c r="BS806" s="577"/>
      <c r="BT806" s="577"/>
      <c r="BU806" s="577"/>
      <c r="BV806" s="577"/>
      <c r="BW806" s="577"/>
      <c r="BX806" s="577"/>
      <c r="BY806" s="577"/>
      <c r="BZ806" s="577">
        <f>+M806</f>
        <v>0</v>
      </c>
      <c r="CA806" s="577"/>
      <c r="CB806" s="577"/>
      <c r="CC806" s="577"/>
      <c r="CD806" s="577"/>
      <c r="CE806" s="577"/>
      <c r="CF806" s="577"/>
      <c r="CG806" s="577"/>
      <c r="CH806" s="577"/>
      <c r="CI806" s="577"/>
      <c r="CJ806" s="577"/>
      <c r="CK806" s="577"/>
      <c r="CL806" s="577"/>
      <c r="CM806" s="577"/>
      <c r="CN806" s="577"/>
      <c r="CO806" s="577"/>
      <c r="CP806" s="577"/>
      <c r="CQ806" s="577"/>
      <c r="CR806" s="577"/>
      <c r="CS806" s="577"/>
      <c r="CT806" s="577"/>
      <c r="CU806" s="577"/>
      <c r="CV806" s="577"/>
      <c r="CW806" s="577"/>
      <c r="CX806" s="577"/>
      <c r="CY806" s="577"/>
      <c r="CZ806" s="577"/>
      <c r="DA806" s="577"/>
      <c r="DB806" s="577"/>
      <c r="DC806" s="577"/>
      <c r="DD806" s="577"/>
      <c r="DE806" s="577"/>
      <c r="DF806" s="577"/>
      <c r="DG806" s="577"/>
      <c r="DH806" s="577"/>
      <c r="DI806" s="577"/>
      <c r="DJ806" s="577"/>
      <c r="DK806" s="577"/>
      <c r="DL806" s="577"/>
      <c r="DM806" s="577"/>
      <c r="DN806" s="577"/>
      <c r="DO806" s="577"/>
      <c r="DP806" s="577"/>
    </row>
    <row r="807" spans="1:120" hidden="1" outlineLevel="1">
      <c r="A807" s="55">
        <v>1110061050</v>
      </c>
      <c r="B807" s="509"/>
      <c r="C807" s="1512" t="s">
        <v>64</v>
      </c>
      <c r="D807" s="1538"/>
      <c r="E807" s="1539"/>
      <c r="F807" s="416"/>
      <c r="G807" s="1251"/>
      <c r="H807" s="511"/>
      <c r="I807" s="512"/>
      <c r="J807" s="1425">
        <v>1</v>
      </c>
      <c r="K807" s="1426">
        <v>1</v>
      </c>
      <c r="L807" s="417"/>
      <c r="M807" s="1540">
        <f t="shared" si="2220"/>
        <v>0</v>
      </c>
      <c r="N807" s="504"/>
      <c r="O807" s="513">
        <f t="shared" si="2221"/>
        <v>0</v>
      </c>
      <c r="P807" s="514"/>
      <c r="Q807" s="514"/>
      <c r="R807" s="515"/>
      <c r="S807" s="515"/>
      <c r="T807" s="562">
        <f t="shared" si="2222"/>
        <v>0</v>
      </c>
      <c r="U807" s="638">
        <f t="shared" si="2223"/>
        <v>0</v>
      </c>
      <c r="V807" s="639">
        <f t="shared" si="2224"/>
        <v>0</v>
      </c>
      <c r="W807" s="976">
        <f t="shared" si="2225"/>
        <v>0</v>
      </c>
      <c r="X807" s="975">
        <f t="shared" si="2226"/>
        <v>0</v>
      </c>
      <c r="Y807" s="519"/>
      <c r="AA807" s="580"/>
      <c r="AB807" s="580"/>
      <c r="AC807" s="580"/>
      <c r="AD807" s="580"/>
      <c r="AE807" s="580"/>
      <c r="AF807" s="580"/>
      <c r="AG807" s="580"/>
      <c r="AH807" s="580"/>
      <c r="AI807" s="580"/>
      <c r="AJ807" s="580"/>
      <c r="AK807" s="580"/>
      <c r="AL807" s="1513"/>
      <c r="AM807" s="580"/>
      <c r="AN807" s="580"/>
      <c r="AO807" s="580"/>
      <c r="AP807" s="580"/>
      <c r="AQ807" s="580"/>
      <c r="AR807" s="580"/>
      <c r="AS807" s="580"/>
      <c r="AT807" s="580"/>
      <c r="AU807" s="580"/>
      <c r="AV807" s="580"/>
      <c r="AW807" s="580"/>
      <c r="AX807" s="580"/>
      <c r="AY807" s="580"/>
      <c r="AZ807" s="580"/>
      <c r="BA807" s="580"/>
      <c r="BB807" s="580"/>
      <c r="BC807" s="580"/>
      <c r="BD807" s="580"/>
      <c r="BE807" s="580"/>
      <c r="BF807" s="580"/>
      <c r="BG807" s="580"/>
      <c r="BH807" s="580"/>
      <c r="BI807" s="580"/>
      <c r="BJ807" s="580"/>
      <c r="BK807" s="580"/>
      <c r="BL807" s="580"/>
      <c r="BM807" s="580"/>
      <c r="BN807" s="580"/>
      <c r="BO807" s="580"/>
      <c r="BP807" s="580"/>
      <c r="BQ807" s="580"/>
      <c r="BR807" s="580"/>
      <c r="BS807" s="580"/>
      <c r="BT807" s="580"/>
      <c r="BU807" s="580"/>
      <c r="BV807" s="580"/>
      <c r="BW807" s="580"/>
      <c r="BX807" s="580"/>
      <c r="BY807" s="580"/>
      <c r="BZ807" s="580">
        <f>+M807</f>
        <v>0</v>
      </c>
      <c r="CA807" s="580"/>
      <c r="CB807" s="580"/>
      <c r="CC807" s="580"/>
      <c r="CD807" s="580"/>
      <c r="CE807" s="580"/>
      <c r="CF807" s="580"/>
      <c r="CG807" s="580"/>
      <c r="CH807" s="580"/>
      <c r="CI807" s="580"/>
      <c r="CJ807" s="580"/>
      <c r="CK807" s="580"/>
      <c r="CL807" s="580"/>
      <c r="CM807" s="580"/>
      <c r="CN807" s="580"/>
      <c r="CO807" s="580"/>
      <c r="CP807" s="580"/>
      <c r="CQ807" s="580"/>
      <c r="CR807" s="580"/>
      <c r="CS807" s="580"/>
      <c r="CT807" s="580"/>
      <c r="CU807" s="580"/>
      <c r="CV807" s="580"/>
      <c r="CW807" s="580"/>
      <c r="CX807" s="580"/>
      <c r="CY807" s="580"/>
      <c r="CZ807" s="580"/>
      <c r="DA807" s="580"/>
      <c r="DB807" s="580"/>
      <c r="DC807" s="580"/>
      <c r="DD807" s="580"/>
      <c r="DE807" s="580"/>
      <c r="DF807" s="580"/>
      <c r="DG807" s="580"/>
      <c r="DH807" s="580"/>
      <c r="DI807" s="580"/>
      <c r="DJ807" s="580"/>
      <c r="DK807" s="580"/>
      <c r="DL807" s="580"/>
      <c r="DM807" s="580"/>
      <c r="DN807" s="580"/>
      <c r="DO807" s="580"/>
      <c r="DP807" s="580"/>
    </row>
    <row r="808" spans="1:120" collapsed="1">
      <c r="A808" s="55"/>
      <c r="B808" s="509"/>
      <c r="C808" s="1476"/>
      <c r="D808" s="1538"/>
      <c r="E808" s="1539"/>
      <c r="F808" s="416"/>
      <c r="G808" s="1251"/>
      <c r="H808" s="511"/>
      <c r="I808" s="512"/>
      <c r="J808" s="1425"/>
      <c r="K808" s="1426"/>
      <c r="L808" s="417"/>
      <c r="M808" s="1540"/>
      <c r="N808" s="504"/>
      <c r="O808" s="513"/>
      <c r="P808" s="431"/>
      <c r="Q808" s="514"/>
      <c r="R808" s="515"/>
      <c r="S808" s="515"/>
      <c r="T808" s="562"/>
      <c r="U808" s="418"/>
      <c r="V808" s="517"/>
      <c r="W808" s="976"/>
      <c r="X808" s="975"/>
      <c r="Y808" s="519"/>
      <c r="AA808" s="580"/>
      <c r="AB808" s="580"/>
      <c r="AC808" s="580"/>
      <c r="AD808" s="580"/>
      <c r="AE808" s="580"/>
      <c r="AF808" s="580"/>
      <c r="AG808" s="580"/>
      <c r="AH808" s="580"/>
      <c r="AI808" s="580"/>
      <c r="AJ808" s="580"/>
      <c r="AK808" s="580"/>
      <c r="AL808" s="1513"/>
      <c r="AM808" s="580"/>
      <c r="AN808" s="580"/>
      <c r="AO808" s="580"/>
      <c r="AP808" s="580"/>
      <c r="AQ808" s="580"/>
      <c r="AR808" s="580"/>
      <c r="AS808" s="580"/>
      <c r="AT808" s="580"/>
      <c r="AU808" s="580"/>
      <c r="AV808" s="580"/>
      <c r="AW808" s="580"/>
      <c r="AX808" s="580"/>
      <c r="AY808" s="580"/>
      <c r="AZ808" s="580"/>
      <c r="BA808" s="580"/>
      <c r="BB808" s="580"/>
      <c r="BC808" s="580"/>
      <c r="BD808" s="580"/>
      <c r="BE808" s="580"/>
      <c r="BF808" s="580"/>
      <c r="BG808" s="580"/>
      <c r="BH808" s="580"/>
      <c r="BI808" s="580"/>
      <c r="BJ808" s="580"/>
      <c r="BK808" s="580"/>
      <c r="BL808" s="580"/>
      <c r="BM808" s="580"/>
      <c r="BN808" s="580"/>
      <c r="BO808" s="580"/>
      <c r="BP808" s="580"/>
      <c r="BQ808" s="580"/>
      <c r="BR808" s="580"/>
      <c r="BS808" s="580"/>
      <c r="BT808" s="580"/>
      <c r="BU808" s="580"/>
      <c r="BV808" s="580"/>
      <c r="BW808" s="580"/>
      <c r="BX808" s="580"/>
      <c r="BY808" s="580"/>
      <c r="BZ808" s="580"/>
      <c r="CA808" s="580"/>
      <c r="CB808" s="580"/>
      <c r="CC808" s="580"/>
      <c r="CD808" s="580"/>
      <c r="CE808" s="580"/>
      <c r="CF808" s="580"/>
      <c r="CG808" s="580"/>
      <c r="CH808" s="580"/>
      <c r="CI808" s="580"/>
      <c r="CJ808" s="580"/>
      <c r="CK808" s="580"/>
      <c r="CL808" s="580"/>
      <c r="CM808" s="580"/>
      <c r="CN808" s="580"/>
      <c r="CO808" s="580"/>
      <c r="CP808" s="580"/>
      <c r="CQ808" s="580"/>
      <c r="CR808" s="580"/>
      <c r="CS808" s="580"/>
      <c r="CT808" s="580"/>
      <c r="CU808" s="580"/>
      <c r="CV808" s="580"/>
      <c r="CW808" s="580"/>
      <c r="CX808" s="580"/>
      <c r="CY808" s="580"/>
      <c r="CZ808" s="580"/>
      <c r="DA808" s="580"/>
      <c r="DB808" s="580"/>
      <c r="DC808" s="580"/>
      <c r="DD808" s="580"/>
      <c r="DE808" s="580"/>
      <c r="DF808" s="580"/>
      <c r="DG808" s="580"/>
      <c r="DH808" s="580"/>
      <c r="DI808" s="580"/>
      <c r="DJ808" s="580"/>
      <c r="DK808" s="580"/>
      <c r="DL808" s="580"/>
      <c r="DM808" s="580"/>
      <c r="DN808" s="580"/>
      <c r="DO808" s="580"/>
      <c r="DP808" s="580"/>
    </row>
    <row r="809" spans="1:120" ht="16.5" thickBot="1">
      <c r="A809" s="62" t="s">
        <v>234</v>
      </c>
      <c r="B809" s="63"/>
      <c r="C809" s="184"/>
      <c r="D809" s="1473"/>
      <c r="E809" s="1474"/>
      <c r="F809" s="66">
        <f>SUM(F806:F808)</f>
        <v>0</v>
      </c>
      <c r="G809" s="1253"/>
      <c r="H809" s="67"/>
      <c r="I809" s="68">
        <f>SUM(I806:I808)</f>
        <v>0</v>
      </c>
      <c r="J809" s="1376"/>
      <c r="K809" s="76"/>
      <c r="L809" s="69">
        <f>SUM(L806:L808)</f>
        <v>0</v>
      </c>
      <c r="M809" s="168"/>
      <c r="N809" s="70"/>
      <c r="O809" s="71">
        <f>SUM(O806:O808)</f>
        <v>0</v>
      </c>
      <c r="P809" s="72">
        <f>SUM(P806:P808)</f>
        <v>0</v>
      </c>
      <c r="Q809" s="1339"/>
      <c r="R809" s="73"/>
      <c r="S809" s="73"/>
      <c r="T809" s="96">
        <f>SUM(T806:T808)</f>
        <v>0</v>
      </c>
      <c r="U809" s="66">
        <f>SUM(U806:U808)</f>
        <v>0</v>
      </c>
      <c r="V809" s="76">
        <f>SUM(V806:V808)</f>
        <v>0</v>
      </c>
      <c r="W809" s="97">
        <f>SUM(W806:W808)</f>
        <v>0</v>
      </c>
      <c r="X809" s="98">
        <f>SUM(X806:X808)</f>
        <v>0</v>
      </c>
      <c r="Y809" s="43"/>
      <c r="AA809" s="172">
        <f t="shared" ref="AA809:BF809" ca="1" si="2227">SUM(AA804:AA808)</f>
        <v>0</v>
      </c>
      <c r="AB809" s="172">
        <f t="shared" ca="1" si="2227"/>
        <v>0</v>
      </c>
      <c r="AC809" s="172">
        <f t="shared" ca="1" si="2227"/>
        <v>0</v>
      </c>
      <c r="AD809" s="172">
        <f t="shared" ca="1" si="2227"/>
        <v>0</v>
      </c>
      <c r="AE809" s="172">
        <f t="shared" ca="1" si="2227"/>
        <v>1240.9000000000001</v>
      </c>
      <c r="AF809" s="172">
        <f t="shared" ca="1" si="2227"/>
        <v>0</v>
      </c>
      <c r="AG809" s="172">
        <f t="shared" ca="1" si="2227"/>
        <v>0</v>
      </c>
      <c r="AH809" s="172">
        <f t="shared" ca="1" si="2227"/>
        <v>0</v>
      </c>
      <c r="AI809" s="172">
        <f t="shared" ca="1" si="2227"/>
        <v>0</v>
      </c>
      <c r="AJ809" s="172">
        <f t="shared" ca="1" si="2227"/>
        <v>0</v>
      </c>
      <c r="AK809" s="172">
        <f t="shared" ca="1" si="2227"/>
        <v>0</v>
      </c>
      <c r="AL809" s="172">
        <f t="shared" ca="1" si="2227"/>
        <v>0</v>
      </c>
      <c r="AM809" s="172">
        <f t="shared" ca="1" si="2227"/>
        <v>0</v>
      </c>
      <c r="AN809" s="172">
        <f t="shared" ca="1" si="2227"/>
        <v>0</v>
      </c>
      <c r="AO809" s="172">
        <f t="shared" ca="1" si="2227"/>
        <v>0</v>
      </c>
      <c r="AP809" s="172">
        <f t="shared" ca="1" si="2227"/>
        <v>0</v>
      </c>
      <c r="AQ809" s="172">
        <f t="shared" ca="1" si="2227"/>
        <v>0</v>
      </c>
      <c r="AR809" s="172">
        <f t="shared" ca="1" si="2227"/>
        <v>0</v>
      </c>
      <c r="AS809" s="172">
        <f t="shared" ca="1" si="2227"/>
        <v>0</v>
      </c>
      <c r="AT809" s="172">
        <f t="shared" ca="1" si="2227"/>
        <v>0</v>
      </c>
      <c r="AU809" s="172">
        <f t="shared" ca="1" si="2227"/>
        <v>0</v>
      </c>
      <c r="AV809" s="172">
        <f t="shared" ca="1" si="2227"/>
        <v>0</v>
      </c>
      <c r="AW809" s="172">
        <f t="shared" ca="1" si="2227"/>
        <v>0</v>
      </c>
      <c r="AX809" s="172">
        <f t="shared" ca="1" si="2227"/>
        <v>0</v>
      </c>
      <c r="AY809" s="172">
        <f t="shared" ca="1" si="2227"/>
        <v>0</v>
      </c>
      <c r="AZ809" s="172">
        <f t="shared" ca="1" si="2227"/>
        <v>0</v>
      </c>
      <c r="BA809" s="172">
        <f t="shared" ca="1" si="2227"/>
        <v>0</v>
      </c>
      <c r="BB809" s="172">
        <f t="shared" ca="1" si="2227"/>
        <v>0</v>
      </c>
      <c r="BC809" s="172">
        <f t="shared" ca="1" si="2227"/>
        <v>0</v>
      </c>
      <c r="BD809" s="172">
        <f t="shared" ca="1" si="2227"/>
        <v>0</v>
      </c>
      <c r="BE809" s="172">
        <f t="shared" ca="1" si="2227"/>
        <v>0</v>
      </c>
      <c r="BF809" s="172">
        <f t="shared" ca="1" si="2227"/>
        <v>0</v>
      </c>
      <c r="BG809" s="172">
        <f t="shared" ref="BG809:CL809" ca="1" si="2228">SUM(BG804:BG808)</f>
        <v>0</v>
      </c>
      <c r="BH809" s="172">
        <f t="shared" ca="1" si="2228"/>
        <v>0</v>
      </c>
      <c r="BI809" s="172">
        <f t="shared" ca="1" si="2228"/>
        <v>0</v>
      </c>
      <c r="BJ809" s="172">
        <f t="shared" ca="1" si="2228"/>
        <v>0</v>
      </c>
      <c r="BK809" s="172">
        <f t="shared" ca="1" si="2228"/>
        <v>0</v>
      </c>
      <c r="BL809" s="172">
        <f t="shared" ca="1" si="2228"/>
        <v>0</v>
      </c>
      <c r="BM809" s="172">
        <f t="shared" ca="1" si="2228"/>
        <v>0</v>
      </c>
      <c r="BN809" s="172">
        <f t="shared" ca="1" si="2228"/>
        <v>0</v>
      </c>
      <c r="BO809" s="172">
        <f t="shared" ca="1" si="2228"/>
        <v>0</v>
      </c>
      <c r="BP809" s="172">
        <f t="shared" ca="1" si="2228"/>
        <v>0</v>
      </c>
      <c r="BQ809" s="172">
        <f t="shared" ca="1" si="2228"/>
        <v>0</v>
      </c>
      <c r="BR809" s="172">
        <f t="shared" ca="1" si="2228"/>
        <v>0</v>
      </c>
      <c r="BS809" s="172">
        <f t="shared" ca="1" si="2228"/>
        <v>0</v>
      </c>
      <c r="BT809" s="172">
        <f t="shared" ca="1" si="2228"/>
        <v>0</v>
      </c>
      <c r="BU809" s="172">
        <f t="shared" ca="1" si="2228"/>
        <v>0</v>
      </c>
      <c r="BV809" s="172">
        <f t="shared" ca="1" si="2228"/>
        <v>0</v>
      </c>
      <c r="BW809" s="172">
        <f t="shared" ca="1" si="2228"/>
        <v>0</v>
      </c>
      <c r="BX809" s="172">
        <f t="shared" ca="1" si="2228"/>
        <v>0</v>
      </c>
      <c r="BY809" s="172">
        <f t="shared" ca="1" si="2228"/>
        <v>0</v>
      </c>
      <c r="BZ809" s="172">
        <f t="shared" ca="1" si="2228"/>
        <v>0</v>
      </c>
      <c r="CA809" s="172">
        <f t="shared" ca="1" si="2228"/>
        <v>0</v>
      </c>
      <c r="CB809" s="172">
        <f t="shared" ca="1" si="2228"/>
        <v>0</v>
      </c>
      <c r="CC809" s="172">
        <f t="shared" ca="1" si="2228"/>
        <v>0</v>
      </c>
      <c r="CD809" s="172">
        <f t="shared" ca="1" si="2228"/>
        <v>0</v>
      </c>
      <c r="CE809" s="172">
        <f t="shared" ca="1" si="2228"/>
        <v>0</v>
      </c>
      <c r="CF809" s="172">
        <f t="shared" ca="1" si="2228"/>
        <v>0</v>
      </c>
      <c r="CG809" s="172">
        <f t="shared" ca="1" si="2228"/>
        <v>0</v>
      </c>
      <c r="CH809" s="172">
        <f t="shared" ca="1" si="2228"/>
        <v>0</v>
      </c>
      <c r="CI809" s="172">
        <f t="shared" ca="1" si="2228"/>
        <v>0</v>
      </c>
      <c r="CJ809" s="172">
        <f t="shared" ca="1" si="2228"/>
        <v>0</v>
      </c>
      <c r="CK809" s="172">
        <f t="shared" ca="1" si="2228"/>
        <v>0</v>
      </c>
      <c r="CL809" s="172">
        <f t="shared" ca="1" si="2228"/>
        <v>0</v>
      </c>
      <c r="CM809" s="172">
        <f t="shared" ref="CM809:DP809" ca="1" si="2229">SUM(CM804:CM808)</f>
        <v>0</v>
      </c>
      <c r="CN809" s="172">
        <f t="shared" ca="1" si="2229"/>
        <v>0</v>
      </c>
      <c r="CO809" s="172">
        <f t="shared" si="2229"/>
        <v>0</v>
      </c>
      <c r="CP809" s="172">
        <f t="shared" si="2229"/>
        <v>0</v>
      </c>
      <c r="CQ809" s="172">
        <f t="shared" si="2229"/>
        <v>0</v>
      </c>
      <c r="CR809" s="172">
        <f t="shared" si="2229"/>
        <v>0</v>
      </c>
      <c r="CS809" s="172">
        <f t="shared" si="2229"/>
        <v>0</v>
      </c>
      <c r="CT809" s="172">
        <f t="shared" si="2229"/>
        <v>0</v>
      </c>
      <c r="CU809" s="172">
        <f t="shared" si="2229"/>
        <v>0</v>
      </c>
      <c r="CV809" s="172">
        <f t="shared" si="2229"/>
        <v>0</v>
      </c>
      <c r="CW809" s="172">
        <f t="shared" si="2229"/>
        <v>0</v>
      </c>
      <c r="CX809" s="172">
        <f t="shared" si="2229"/>
        <v>0</v>
      </c>
      <c r="CY809" s="172">
        <f t="shared" si="2229"/>
        <v>0</v>
      </c>
      <c r="CZ809" s="172">
        <f t="shared" si="2229"/>
        <v>0</v>
      </c>
      <c r="DA809" s="172">
        <f t="shared" si="2229"/>
        <v>0</v>
      </c>
      <c r="DB809" s="172">
        <f t="shared" si="2229"/>
        <v>0</v>
      </c>
      <c r="DC809" s="172">
        <f t="shared" si="2229"/>
        <v>0</v>
      </c>
      <c r="DD809" s="172">
        <f t="shared" si="2229"/>
        <v>0</v>
      </c>
      <c r="DE809" s="172">
        <f t="shared" si="2229"/>
        <v>0</v>
      </c>
      <c r="DF809" s="172">
        <f t="shared" si="2229"/>
        <v>0</v>
      </c>
      <c r="DG809" s="172">
        <f t="shared" si="2229"/>
        <v>0</v>
      </c>
      <c r="DH809" s="172">
        <f t="shared" si="2229"/>
        <v>0</v>
      </c>
      <c r="DI809" s="172">
        <f t="shared" si="2229"/>
        <v>0</v>
      </c>
      <c r="DJ809" s="172">
        <f t="shared" si="2229"/>
        <v>0</v>
      </c>
      <c r="DK809" s="172">
        <f t="shared" si="2229"/>
        <v>0</v>
      </c>
      <c r="DL809" s="172">
        <f t="shared" si="2229"/>
        <v>0</v>
      </c>
      <c r="DM809" s="172">
        <f t="shared" si="2229"/>
        <v>0</v>
      </c>
      <c r="DN809" s="172">
        <f t="shared" si="2229"/>
        <v>0</v>
      </c>
      <c r="DO809" s="172">
        <f t="shared" si="2229"/>
        <v>0</v>
      </c>
      <c r="DP809" s="172">
        <f t="shared" si="2229"/>
        <v>0</v>
      </c>
    </row>
    <row r="810" spans="1:120"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  <c r="CG810" s="24"/>
      <c r="CH810" s="24"/>
      <c r="CI810" s="24"/>
      <c r="CJ810" s="24"/>
      <c r="CK810" s="24"/>
      <c r="CL810" s="24"/>
      <c r="CM810" s="24"/>
      <c r="CN810" s="24"/>
      <c r="CO810" s="24"/>
      <c r="CP810" s="24"/>
      <c r="CQ810" s="24"/>
      <c r="CR810" s="24"/>
      <c r="CS810" s="24"/>
      <c r="CT810" s="24"/>
      <c r="CU810" s="24"/>
      <c r="CV810" s="24"/>
      <c r="CW810" s="24"/>
      <c r="CX810" s="24"/>
      <c r="CY810" s="24"/>
      <c r="CZ810" s="24"/>
      <c r="DA810" s="24"/>
      <c r="DB810" s="24"/>
      <c r="DC810" s="24"/>
      <c r="DD810" s="24"/>
      <c r="DE810" s="24"/>
      <c r="DF810" s="24"/>
      <c r="DG810" s="24"/>
      <c r="DH810" s="24"/>
      <c r="DI810" s="24"/>
      <c r="DJ810" s="24"/>
      <c r="DK810" s="24"/>
      <c r="DL810" s="24"/>
      <c r="DM810" s="24"/>
      <c r="DN810" s="24"/>
      <c r="DO810" s="24"/>
      <c r="DP810" s="24"/>
    </row>
    <row r="811" spans="1:120" hidden="1" outlineLevel="1">
      <c r="A811" s="640">
        <v>1110061050</v>
      </c>
      <c r="B811" s="573" t="s">
        <v>78</v>
      </c>
      <c r="C811" s="1488" t="s">
        <v>64</v>
      </c>
      <c r="D811" s="1489"/>
      <c r="E811" s="1490"/>
      <c r="F811" s="643"/>
      <c r="G811" s="1262"/>
      <c r="H811" s="644"/>
      <c r="I811" s="645"/>
      <c r="J811" s="1483">
        <v>1</v>
      </c>
      <c r="K811" s="1484">
        <v>1</v>
      </c>
      <c r="L811" s="646"/>
      <c r="M811" s="1428">
        <f t="shared" ref="M811:M812" si="2230">+L811*J811</f>
        <v>0</v>
      </c>
      <c r="N811" s="647"/>
      <c r="O811" s="648">
        <f t="shared" ref="O811:O812" si="2231">+L811*N811</f>
        <v>0</v>
      </c>
      <c r="P811" s="649"/>
      <c r="Q811" s="649"/>
      <c r="R811" s="650"/>
      <c r="S811" s="650"/>
      <c r="T811" s="651">
        <f t="shared" ref="T811:T812" si="2232">+P811*S811</f>
        <v>0</v>
      </c>
      <c r="U811" s="652">
        <f t="shared" ref="U811:U812" si="2233">+L811+P811+F811</f>
        <v>0</v>
      </c>
      <c r="V811" s="648">
        <f t="shared" ref="V811:V812" si="2234">+P811*R811+L811*N811+F811*H811</f>
        <v>0</v>
      </c>
      <c r="W811" s="653">
        <f t="shared" ref="W811:W812" si="2235">(IF(R811&gt;S811,(-P811*R811)-(-P811*S811),0))</f>
        <v>0</v>
      </c>
      <c r="X811" s="654">
        <f t="shared" ref="X811:X812" si="2236">(IF(R811&lt;S811,(-P811*R811)-(-P811*S811),0))</f>
        <v>0</v>
      </c>
      <c r="Y811" s="655"/>
      <c r="AA811" s="577"/>
      <c r="AB811" s="577"/>
      <c r="AC811" s="577"/>
      <c r="AD811" s="577"/>
      <c r="AE811" s="577"/>
      <c r="AF811" s="577"/>
      <c r="AG811" s="577"/>
      <c r="AH811" s="577"/>
      <c r="AI811" s="577"/>
      <c r="AJ811" s="577"/>
      <c r="AK811" s="577"/>
      <c r="AL811" s="577"/>
      <c r="AM811" s="577"/>
      <c r="AN811" s="577"/>
      <c r="AO811" s="577"/>
      <c r="AP811" s="577"/>
      <c r="AQ811" s="577"/>
      <c r="AR811" s="577"/>
      <c r="AS811" s="577"/>
      <c r="AT811" s="577"/>
      <c r="AU811" s="577"/>
      <c r="AV811" s="577"/>
      <c r="AW811" s="577"/>
      <c r="AX811" s="577"/>
      <c r="AY811" s="577"/>
      <c r="AZ811" s="577"/>
      <c r="BA811" s="577"/>
      <c r="BB811" s="577"/>
      <c r="BC811" s="577"/>
      <c r="BD811" s="577"/>
      <c r="BE811" s="577"/>
      <c r="BF811" s="577"/>
      <c r="BG811" s="577"/>
      <c r="BH811" s="577"/>
      <c r="BI811" s="577"/>
      <c r="BJ811" s="577"/>
      <c r="BK811" s="577"/>
      <c r="BL811" s="577"/>
      <c r="BM811" s="577"/>
      <c r="BN811" s="577"/>
      <c r="BO811" s="577"/>
      <c r="BP811" s="577"/>
      <c r="BQ811" s="577"/>
      <c r="BR811" s="577"/>
      <c r="BS811" s="577"/>
      <c r="BT811" s="577"/>
      <c r="BU811" s="577"/>
      <c r="BV811" s="577"/>
      <c r="BW811" s="577"/>
      <c r="BX811" s="577"/>
      <c r="BY811" s="577"/>
      <c r="BZ811" s="577"/>
      <c r="CA811" s="577"/>
      <c r="CB811" s="577">
        <f>+M811</f>
        <v>0</v>
      </c>
      <c r="CC811" s="577"/>
      <c r="CD811" s="577"/>
      <c r="CE811" s="577"/>
      <c r="CF811" s="577"/>
      <c r="CG811" s="577"/>
      <c r="CH811" s="577"/>
      <c r="CI811" s="577"/>
      <c r="CJ811" s="577"/>
      <c r="CK811" s="577"/>
      <c r="CL811" s="577"/>
      <c r="CM811" s="577"/>
      <c r="CN811" s="577"/>
      <c r="CO811" s="577"/>
      <c r="CP811" s="577"/>
      <c r="CQ811" s="577"/>
      <c r="CR811" s="577"/>
      <c r="CS811" s="577"/>
      <c r="CT811" s="577"/>
      <c r="CU811" s="577"/>
      <c r="CV811" s="577"/>
      <c r="CW811" s="577"/>
      <c r="CX811" s="577"/>
      <c r="CY811" s="577"/>
      <c r="CZ811" s="577"/>
      <c r="DA811" s="577"/>
      <c r="DB811" s="577"/>
      <c r="DC811" s="577"/>
      <c r="DD811" s="577"/>
      <c r="DE811" s="577"/>
      <c r="DF811" s="577"/>
      <c r="DG811" s="577"/>
      <c r="DH811" s="577"/>
      <c r="DI811" s="577"/>
      <c r="DJ811" s="577"/>
      <c r="DK811" s="577"/>
      <c r="DL811" s="577"/>
      <c r="DM811" s="577"/>
      <c r="DN811" s="577"/>
      <c r="DO811" s="577"/>
      <c r="DP811" s="577"/>
    </row>
    <row r="812" spans="1:120" hidden="1" outlineLevel="1">
      <c r="A812" s="55">
        <v>1110061050</v>
      </c>
      <c r="B812" s="509"/>
      <c r="C812" s="1512" t="s">
        <v>64</v>
      </c>
      <c r="D812" s="1469"/>
      <c r="E812" s="1470"/>
      <c r="F812" s="416"/>
      <c r="G812" s="1251"/>
      <c r="H812" s="511"/>
      <c r="I812" s="512"/>
      <c r="J812" s="1425">
        <v>1</v>
      </c>
      <c r="K812" s="1426">
        <v>1</v>
      </c>
      <c r="L812" s="417"/>
      <c r="M812" s="1336">
        <f t="shared" si="2230"/>
        <v>0</v>
      </c>
      <c r="N812" s="504"/>
      <c r="O812" s="513">
        <f t="shared" si="2231"/>
        <v>0</v>
      </c>
      <c r="P812" s="514"/>
      <c r="Q812" s="514"/>
      <c r="R812" s="515"/>
      <c r="S812" s="515"/>
      <c r="T812" s="562">
        <f t="shared" si="2232"/>
        <v>0</v>
      </c>
      <c r="U812" s="638">
        <f t="shared" si="2233"/>
        <v>0</v>
      </c>
      <c r="V812" s="639">
        <f t="shared" si="2234"/>
        <v>0</v>
      </c>
      <c r="W812" s="976">
        <f t="shared" si="2235"/>
        <v>0</v>
      </c>
      <c r="X812" s="975">
        <f t="shared" si="2236"/>
        <v>0</v>
      </c>
      <c r="Y812" s="519"/>
      <c r="AA812" s="580"/>
      <c r="AB812" s="580"/>
      <c r="AC812" s="580"/>
      <c r="AD812" s="580"/>
      <c r="AE812" s="580"/>
      <c r="AF812" s="580"/>
      <c r="AG812" s="580"/>
      <c r="AH812" s="580"/>
      <c r="AI812" s="580"/>
      <c r="AJ812" s="580"/>
      <c r="AK812" s="580"/>
      <c r="AL812" s="1513"/>
      <c r="AM812" s="580"/>
      <c r="AN812" s="580"/>
      <c r="AO812" s="580"/>
      <c r="AP812" s="580"/>
      <c r="AQ812" s="580"/>
      <c r="AR812" s="580"/>
      <c r="AS812" s="580"/>
      <c r="AT812" s="580"/>
      <c r="AU812" s="580"/>
      <c r="AV812" s="580"/>
      <c r="AW812" s="580"/>
      <c r="AX812" s="580"/>
      <c r="AY812" s="580"/>
      <c r="AZ812" s="580"/>
      <c r="BA812" s="580"/>
      <c r="BB812" s="580"/>
      <c r="BC812" s="580"/>
      <c r="BD812" s="580"/>
      <c r="BE812" s="580"/>
      <c r="BF812" s="580"/>
      <c r="BG812" s="580"/>
      <c r="BH812" s="580"/>
      <c r="BI812" s="580"/>
      <c r="BJ812" s="580"/>
      <c r="BK812" s="580"/>
      <c r="BL812" s="580"/>
      <c r="BM812" s="580"/>
      <c r="BN812" s="580"/>
      <c r="BO812" s="580"/>
      <c r="BP812" s="580"/>
      <c r="BQ812" s="580"/>
      <c r="BR812" s="580"/>
      <c r="BS812" s="580"/>
      <c r="BT812" s="580"/>
      <c r="BU812" s="580"/>
      <c r="BV812" s="580"/>
      <c r="BW812" s="580"/>
      <c r="BX812" s="580"/>
      <c r="BY812" s="580"/>
      <c r="BZ812" s="580"/>
      <c r="CA812" s="580"/>
      <c r="CB812" s="580"/>
      <c r="CC812" s="580">
        <f>+M812</f>
        <v>0</v>
      </c>
      <c r="CD812" s="580"/>
      <c r="CE812" s="580"/>
      <c r="CF812" s="580"/>
      <c r="CG812" s="580"/>
      <c r="CH812" s="580"/>
      <c r="CI812" s="580"/>
      <c r="CJ812" s="580"/>
      <c r="CK812" s="580"/>
      <c r="CL812" s="580"/>
      <c r="CM812" s="580"/>
      <c r="CN812" s="580"/>
      <c r="CO812" s="580"/>
      <c r="CP812" s="580"/>
      <c r="CQ812" s="580"/>
      <c r="CR812" s="580"/>
      <c r="CS812" s="580"/>
      <c r="CT812" s="580"/>
      <c r="CU812" s="580"/>
      <c r="CV812" s="580"/>
      <c r="CW812" s="580"/>
      <c r="CX812" s="580"/>
      <c r="CY812" s="580"/>
      <c r="CZ812" s="580"/>
      <c r="DA812" s="580"/>
      <c r="DB812" s="580"/>
      <c r="DC812" s="580"/>
      <c r="DD812" s="580"/>
      <c r="DE812" s="580"/>
      <c r="DF812" s="580"/>
      <c r="DG812" s="580"/>
      <c r="DH812" s="580"/>
      <c r="DI812" s="580"/>
      <c r="DJ812" s="580"/>
      <c r="DK812" s="580"/>
      <c r="DL812" s="580"/>
      <c r="DM812" s="580"/>
      <c r="DN812" s="580"/>
      <c r="DO812" s="580"/>
      <c r="DP812" s="580"/>
    </row>
    <row r="813" spans="1:120" s="181" customFormat="1" collapsed="1">
      <c r="A813" s="175"/>
      <c r="B813" s="656"/>
      <c r="C813" s="1699"/>
      <c r="D813" s="1700"/>
      <c r="E813" s="1701"/>
      <c r="F813" s="176"/>
      <c r="G813" s="1267"/>
      <c r="H813" s="657"/>
      <c r="I813" s="658"/>
      <c r="J813" s="1425">
        <v>1</v>
      </c>
      <c r="K813" s="1426">
        <v>1</v>
      </c>
      <c r="L813" s="177"/>
      <c r="M813" s="1702"/>
      <c r="N813" s="659"/>
      <c r="O813" s="660"/>
      <c r="P813" s="178"/>
      <c r="Q813" s="1344"/>
      <c r="R813" s="661"/>
      <c r="S813" s="661"/>
      <c r="T813" s="662"/>
      <c r="U813" s="179"/>
      <c r="V813" s="663"/>
      <c r="W813" s="180"/>
      <c r="X813" s="664"/>
      <c r="Y813" s="665"/>
      <c r="Z813" s="14"/>
      <c r="AA813" s="666"/>
      <c r="AB813" s="666"/>
      <c r="AC813" s="666"/>
      <c r="AD813" s="666"/>
      <c r="AE813" s="666"/>
      <c r="AF813" s="666"/>
      <c r="AG813" s="666"/>
      <c r="AH813" s="666"/>
      <c r="AI813" s="666"/>
      <c r="AJ813" s="666"/>
      <c r="AK813" s="666"/>
      <c r="AL813" s="1575"/>
      <c r="AM813" s="666"/>
      <c r="AN813" s="666"/>
      <c r="AO813" s="666"/>
      <c r="AP813" s="666"/>
      <c r="AQ813" s="666"/>
      <c r="AR813" s="666"/>
      <c r="AS813" s="666"/>
      <c r="AT813" s="666"/>
      <c r="AU813" s="666"/>
      <c r="AV813" s="666"/>
      <c r="AW813" s="666"/>
      <c r="AX813" s="666"/>
      <c r="AY813" s="666"/>
      <c r="AZ813" s="666"/>
      <c r="BA813" s="666"/>
      <c r="BB813" s="666"/>
      <c r="BC813" s="666"/>
      <c r="BD813" s="666"/>
      <c r="BE813" s="666"/>
      <c r="BF813" s="666"/>
      <c r="BG813" s="666"/>
      <c r="BH813" s="666"/>
      <c r="BI813" s="666"/>
      <c r="BJ813" s="666"/>
      <c r="BK813" s="666"/>
      <c r="BL813" s="666"/>
      <c r="BM813" s="666"/>
      <c r="BN813" s="666"/>
      <c r="BO813" s="666"/>
      <c r="BP813" s="666"/>
      <c r="BQ813" s="666"/>
      <c r="BR813" s="666"/>
      <c r="BS813" s="666"/>
      <c r="BT813" s="666"/>
      <c r="BU813" s="666"/>
      <c r="BV813" s="666"/>
      <c r="BW813" s="666"/>
      <c r="BX813" s="666"/>
      <c r="BY813" s="666"/>
      <c r="BZ813" s="666"/>
      <c r="CA813" s="666"/>
      <c r="CB813" s="666"/>
      <c r="CC813" s="666"/>
      <c r="CD813" s="666"/>
      <c r="CE813" s="666"/>
      <c r="CF813" s="666"/>
      <c r="CG813" s="666"/>
      <c r="CH813" s="666"/>
      <c r="CI813" s="666"/>
      <c r="CJ813" s="666"/>
      <c r="CK813" s="666"/>
      <c r="CL813" s="666"/>
      <c r="CM813" s="666"/>
      <c r="CN813" s="666"/>
      <c r="CO813" s="666"/>
      <c r="CP813" s="666"/>
      <c r="CQ813" s="666"/>
      <c r="CR813" s="666"/>
      <c r="CS813" s="666"/>
      <c r="CT813" s="666"/>
      <c r="CU813" s="666"/>
      <c r="CV813" s="666"/>
      <c r="CW813" s="666"/>
      <c r="CX813" s="666"/>
      <c r="CY813" s="666"/>
      <c r="CZ813" s="666"/>
      <c r="DA813" s="666"/>
      <c r="DB813" s="666"/>
      <c r="DC813" s="666"/>
      <c r="DD813" s="666"/>
      <c r="DE813" s="666"/>
      <c r="DF813" s="666"/>
      <c r="DG813" s="666"/>
      <c r="DH813" s="666"/>
      <c r="DI813" s="666"/>
      <c r="DJ813" s="666"/>
      <c r="DK813" s="666"/>
      <c r="DL813" s="666"/>
      <c r="DM813" s="666"/>
      <c r="DN813" s="666"/>
      <c r="DO813" s="666"/>
      <c r="DP813" s="666"/>
    </row>
    <row r="814" spans="1:120" ht="16.5" thickBot="1">
      <c r="A814" s="62" t="s">
        <v>235</v>
      </c>
      <c r="B814" s="63"/>
      <c r="C814" s="184"/>
      <c r="D814" s="1473"/>
      <c r="E814" s="1474"/>
      <c r="F814" s="66">
        <f>SUM(F811:F813)</f>
        <v>0</v>
      </c>
      <c r="G814" s="1253"/>
      <c r="H814" s="67"/>
      <c r="I814" s="68">
        <f>SUM(I811:I813)</f>
        <v>0</v>
      </c>
      <c r="J814" s="1376"/>
      <c r="K814" s="76"/>
      <c r="L814" s="69">
        <f>SUM(L811:L813)</f>
        <v>0</v>
      </c>
      <c r="M814" s="168"/>
      <c r="N814" s="70"/>
      <c r="O814" s="71">
        <f>SUM(O811:O813)</f>
        <v>0</v>
      </c>
      <c r="P814" s="72">
        <f>SUM(P811:P813)</f>
        <v>0</v>
      </c>
      <c r="Q814" s="1339"/>
      <c r="R814" s="73"/>
      <c r="S814" s="73"/>
      <c r="T814" s="96">
        <f>SUM(T811:T813)</f>
        <v>0</v>
      </c>
      <c r="U814" s="66">
        <f>SUM(U811:U813)</f>
        <v>0</v>
      </c>
      <c r="V814" s="76">
        <f>SUM(V811:V813)</f>
        <v>0</v>
      </c>
      <c r="W814" s="97">
        <f>SUM(W811:W813)</f>
        <v>0</v>
      </c>
      <c r="X814" s="98">
        <f>SUM(X811:X813)</f>
        <v>0</v>
      </c>
      <c r="Y814" s="43"/>
      <c r="AA814" s="172">
        <f t="shared" ref="AA814:BF814" ca="1" si="2237">SUM(AA809:AA813)</f>
        <v>0</v>
      </c>
      <c r="AB814" s="172">
        <f t="shared" ca="1" si="2237"/>
        <v>0</v>
      </c>
      <c r="AC814" s="172">
        <f t="shared" ca="1" si="2237"/>
        <v>0</v>
      </c>
      <c r="AD814" s="172">
        <f t="shared" ca="1" si="2237"/>
        <v>0</v>
      </c>
      <c r="AE814" s="172">
        <f t="shared" ca="1" si="2237"/>
        <v>1240.9000000000001</v>
      </c>
      <c r="AF814" s="172">
        <f t="shared" ca="1" si="2237"/>
        <v>0</v>
      </c>
      <c r="AG814" s="172">
        <f t="shared" ca="1" si="2237"/>
        <v>0</v>
      </c>
      <c r="AH814" s="172">
        <f t="shared" ca="1" si="2237"/>
        <v>0</v>
      </c>
      <c r="AI814" s="172">
        <f t="shared" ca="1" si="2237"/>
        <v>0</v>
      </c>
      <c r="AJ814" s="172">
        <f t="shared" ca="1" si="2237"/>
        <v>0</v>
      </c>
      <c r="AK814" s="172">
        <f t="shared" ca="1" si="2237"/>
        <v>0</v>
      </c>
      <c r="AL814" s="172">
        <f t="shared" ca="1" si="2237"/>
        <v>0</v>
      </c>
      <c r="AM814" s="172">
        <f t="shared" ca="1" si="2237"/>
        <v>0</v>
      </c>
      <c r="AN814" s="172">
        <f t="shared" ca="1" si="2237"/>
        <v>0</v>
      </c>
      <c r="AO814" s="172">
        <f t="shared" ca="1" si="2237"/>
        <v>0</v>
      </c>
      <c r="AP814" s="172">
        <f t="shared" ca="1" si="2237"/>
        <v>0</v>
      </c>
      <c r="AQ814" s="172">
        <f t="shared" ca="1" si="2237"/>
        <v>0</v>
      </c>
      <c r="AR814" s="172">
        <f t="shared" ca="1" si="2237"/>
        <v>0</v>
      </c>
      <c r="AS814" s="172">
        <f t="shared" ca="1" si="2237"/>
        <v>0</v>
      </c>
      <c r="AT814" s="172">
        <f t="shared" ca="1" si="2237"/>
        <v>0</v>
      </c>
      <c r="AU814" s="172">
        <f t="shared" ca="1" si="2237"/>
        <v>0</v>
      </c>
      <c r="AV814" s="172">
        <f t="shared" ca="1" si="2237"/>
        <v>0</v>
      </c>
      <c r="AW814" s="172">
        <f t="shared" ca="1" si="2237"/>
        <v>0</v>
      </c>
      <c r="AX814" s="172">
        <f t="shared" ca="1" si="2237"/>
        <v>0</v>
      </c>
      <c r="AY814" s="172">
        <f t="shared" ca="1" si="2237"/>
        <v>0</v>
      </c>
      <c r="AZ814" s="172">
        <f t="shared" ca="1" si="2237"/>
        <v>0</v>
      </c>
      <c r="BA814" s="172">
        <f t="shared" ca="1" si="2237"/>
        <v>0</v>
      </c>
      <c r="BB814" s="172">
        <f t="shared" ca="1" si="2237"/>
        <v>0</v>
      </c>
      <c r="BC814" s="172">
        <f t="shared" ca="1" si="2237"/>
        <v>0</v>
      </c>
      <c r="BD814" s="172">
        <f t="shared" ca="1" si="2237"/>
        <v>0</v>
      </c>
      <c r="BE814" s="172">
        <f t="shared" ca="1" si="2237"/>
        <v>0</v>
      </c>
      <c r="BF814" s="172">
        <f t="shared" ca="1" si="2237"/>
        <v>0</v>
      </c>
      <c r="BG814" s="172">
        <f t="shared" ref="BG814:CL814" ca="1" si="2238">SUM(BG809:BG813)</f>
        <v>0</v>
      </c>
      <c r="BH814" s="172">
        <f t="shared" ca="1" si="2238"/>
        <v>0</v>
      </c>
      <c r="BI814" s="172">
        <f t="shared" ca="1" si="2238"/>
        <v>0</v>
      </c>
      <c r="BJ814" s="172">
        <f t="shared" ca="1" si="2238"/>
        <v>0</v>
      </c>
      <c r="BK814" s="172">
        <f t="shared" ca="1" si="2238"/>
        <v>0</v>
      </c>
      <c r="BL814" s="172">
        <f t="shared" ca="1" si="2238"/>
        <v>0</v>
      </c>
      <c r="BM814" s="172">
        <f t="shared" ca="1" si="2238"/>
        <v>0</v>
      </c>
      <c r="BN814" s="172">
        <f t="shared" ca="1" si="2238"/>
        <v>0</v>
      </c>
      <c r="BO814" s="172">
        <f t="shared" ca="1" si="2238"/>
        <v>0</v>
      </c>
      <c r="BP814" s="172">
        <f t="shared" ca="1" si="2238"/>
        <v>0</v>
      </c>
      <c r="BQ814" s="172">
        <f t="shared" ca="1" si="2238"/>
        <v>0</v>
      </c>
      <c r="BR814" s="172">
        <f t="shared" ca="1" si="2238"/>
        <v>0</v>
      </c>
      <c r="BS814" s="172">
        <f t="shared" ca="1" si="2238"/>
        <v>0</v>
      </c>
      <c r="BT814" s="172">
        <f t="shared" ca="1" si="2238"/>
        <v>0</v>
      </c>
      <c r="BU814" s="172">
        <f t="shared" ca="1" si="2238"/>
        <v>0</v>
      </c>
      <c r="BV814" s="172">
        <f t="shared" ca="1" si="2238"/>
        <v>0</v>
      </c>
      <c r="BW814" s="172">
        <f t="shared" ca="1" si="2238"/>
        <v>0</v>
      </c>
      <c r="BX814" s="172">
        <f t="shared" ca="1" si="2238"/>
        <v>0</v>
      </c>
      <c r="BY814" s="172">
        <f t="shared" ca="1" si="2238"/>
        <v>0</v>
      </c>
      <c r="BZ814" s="172">
        <f t="shared" ca="1" si="2238"/>
        <v>0</v>
      </c>
      <c r="CA814" s="172">
        <f t="shared" ca="1" si="2238"/>
        <v>0</v>
      </c>
      <c r="CB814" s="172">
        <f t="shared" ca="1" si="2238"/>
        <v>0</v>
      </c>
      <c r="CC814" s="172">
        <f t="shared" ca="1" si="2238"/>
        <v>0</v>
      </c>
      <c r="CD814" s="172">
        <f t="shared" ca="1" si="2238"/>
        <v>0</v>
      </c>
      <c r="CE814" s="172">
        <f t="shared" ca="1" si="2238"/>
        <v>0</v>
      </c>
      <c r="CF814" s="172">
        <f t="shared" ca="1" si="2238"/>
        <v>0</v>
      </c>
      <c r="CG814" s="172">
        <f t="shared" ca="1" si="2238"/>
        <v>0</v>
      </c>
      <c r="CH814" s="172">
        <f t="shared" ca="1" si="2238"/>
        <v>0</v>
      </c>
      <c r="CI814" s="172">
        <f t="shared" ca="1" si="2238"/>
        <v>0</v>
      </c>
      <c r="CJ814" s="172">
        <f t="shared" ca="1" si="2238"/>
        <v>0</v>
      </c>
      <c r="CK814" s="172">
        <f t="shared" ca="1" si="2238"/>
        <v>0</v>
      </c>
      <c r="CL814" s="172">
        <f t="shared" ca="1" si="2238"/>
        <v>0</v>
      </c>
      <c r="CM814" s="172">
        <f t="shared" ref="CM814:DP814" ca="1" si="2239">SUM(CM809:CM813)</f>
        <v>0</v>
      </c>
      <c r="CN814" s="172">
        <f t="shared" ca="1" si="2239"/>
        <v>0</v>
      </c>
      <c r="CO814" s="172">
        <f t="shared" si="2239"/>
        <v>0</v>
      </c>
      <c r="CP814" s="172">
        <f t="shared" si="2239"/>
        <v>0</v>
      </c>
      <c r="CQ814" s="172">
        <f t="shared" si="2239"/>
        <v>0</v>
      </c>
      <c r="CR814" s="172">
        <f t="shared" si="2239"/>
        <v>0</v>
      </c>
      <c r="CS814" s="172">
        <f t="shared" si="2239"/>
        <v>0</v>
      </c>
      <c r="CT814" s="172">
        <f t="shared" si="2239"/>
        <v>0</v>
      </c>
      <c r="CU814" s="172">
        <f t="shared" si="2239"/>
        <v>0</v>
      </c>
      <c r="CV814" s="172">
        <f t="shared" si="2239"/>
        <v>0</v>
      </c>
      <c r="CW814" s="172">
        <f t="shared" si="2239"/>
        <v>0</v>
      </c>
      <c r="CX814" s="172">
        <f t="shared" si="2239"/>
        <v>0</v>
      </c>
      <c r="CY814" s="172">
        <f t="shared" si="2239"/>
        <v>0</v>
      </c>
      <c r="CZ814" s="172">
        <f t="shared" si="2239"/>
        <v>0</v>
      </c>
      <c r="DA814" s="172">
        <f t="shared" si="2239"/>
        <v>0</v>
      </c>
      <c r="DB814" s="172">
        <f t="shared" si="2239"/>
        <v>0</v>
      </c>
      <c r="DC814" s="172">
        <f t="shared" si="2239"/>
        <v>0</v>
      </c>
      <c r="DD814" s="172">
        <f t="shared" si="2239"/>
        <v>0</v>
      </c>
      <c r="DE814" s="172">
        <f t="shared" si="2239"/>
        <v>0</v>
      </c>
      <c r="DF814" s="172">
        <f t="shared" si="2239"/>
        <v>0</v>
      </c>
      <c r="DG814" s="172">
        <f t="shared" si="2239"/>
        <v>0</v>
      </c>
      <c r="DH814" s="172">
        <f t="shared" si="2239"/>
        <v>0</v>
      </c>
      <c r="DI814" s="172">
        <f t="shared" si="2239"/>
        <v>0</v>
      </c>
      <c r="DJ814" s="172">
        <f t="shared" si="2239"/>
        <v>0</v>
      </c>
      <c r="DK814" s="172">
        <f t="shared" si="2239"/>
        <v>0</v>
      </c>
      <c r="DL814" s="172">
        <f t="shared" si="2239"/>
        <v>0</v>
      </c>
      <c r="DM814" s="172">
        <f t="shared" si="2239"/>
        <v>0</v>
      </c>
      <c r="DN814" s="172">
        <f t="shared" si="2239"/>
        <v>0</v>
      </c>
      <c r="DO814" s="172">
        <f t="shared" si="2239"/>
        <v>0</v>
      </c>
      <c r="DP814" s="172">
        <f t="shared" si="2239"/>
        <v>0</v>
      </c>
    </row>
    <row r="815" spans="1:120"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  <c r="CG815" s="24"/>
      <c r="CH815" s="24"/>
      <c r="CI815" s="24"/>
      <c r="CJ815" s="24"/>
      <c r="CK815" s="24"/>
      <c r="CL815" s="24"/>
      <c r="CM815" s="24"/>
      <c r="CN815" s="24"/>
      <c r="CO815" s="24"/>
      <c r="CP815" s="24"/>
      <c r="CQ815" s="24"/>
      <c r="CR815" s="24"/>
      <c r="CS815" s="24"/>
      <c r="CT815" s="24"/>
      <c r="CU815" s="24"/>
      <c r="CV815" s="24"/>
      <c r="CW815" s="24"/>
      <c r="CX815" s="24"/>
      <c r="CY815" s="24"/>
      <c r="CZ815" s="24"/>
      <c r="DA815" s="24"/>
      <c r="DB815" s="24"/>
      <c r="DC815" s="24"/>
      <c r="DD815" s="24"/>
      <c r="DE815" s="24"/>
      <c r="DF815" s="24"/>
      <c r="DG815" s="24"/>
      <c r="DH815" s="24"/>
      <c r="DI815" s="24"/>
      <c r="DJ815" s="24"/>
      <c r="DK815" s="24"/>
      <c r="DL815" s="24"/>
      <c r="DM815" s="24"/>
      <c r="DN815" s="24"/>
      <c r="DO815" s="24"/>
      <c r="DP815" s="24"/>
    </row>
    <row r="816" spans="1:120" hidden="1" outlineLevel="1">
      <c r="A816" s="640">
        <v>1110061050</v>
      </c>
      <c r="B816" s="573" t="s">
        <v>78</v>
      </c>
      <c r="C816" s="1488" t="s">
        <v>64</v>
      </c>
      <c r="D816" s="1489"/>
      <c r="E816" s="1490"/>
      <c r="F816" s="643"/>
      <c r="G816" s="1262"/>
      <c r="H816" s="644"/>
      <c r="I816" s="645"/>
      <c r="J816" s="1483">
        <v>1</v>
      </c>
      <c r="K816" s="1484">
        <v>1</v>
      </c>
      <c r="L816" s="646"/>
      <c r="M816" s="1428">
        <f t="shared" ref="M816:M817" si="2240">+L816*J816</f>
        <v>0</v>
      </c>
      <c r="N816" s="647"/>
      <c r="O816" s="648">
        <f t="shared" ref="O816:O818" si="2241">+L816*N816</f>
        <v>0</v>
      </c>
      <c r="P816" s="649"/>
      <c r="Q816" s="649"/>
      <c r="R816" s="650"/>
      <c r="S816" s="650"/>
      <c r="T816" s="651">
        <f t="shared" ref="T816:T818" si="2242">+P816*S816</f>
        <v>0</v>
      </c>
      <c r="U816" s="652">
        <f t="shared" ref="U816:U818" si="2243">+L816+P816+F816</f>
        <v>0</v>
      </c>
      <c r="V816" s="648">
        <f t="shared" ref="V816:V818" si="2244">+P816*R816+L816*N816+F816*H816</f>
        <v>0</v>
      </c>
      <c r="W816" s="653">
        <f t="shared" ref="W816:W817" si="2245">(IF(R816&gt;S816,(-P816*R816)-(-P816*S816),0))</f>
        <v>0</v>
      </c>
      <c r="X816" s="654">
        <f t="shared" ref="X816:X817" si="2246">(IF(R816&lt;S816,(-P816*R816)-(-P816*S816),0))</f>
        <v>0</v>
      </c>
      <c r="Y816" s="655"/>
      <c r="AA816" s="577"/>
      <c r="AB816" s="577"/>
      <c r="AC816" s="577"/>
      <c r="AD816" s="577"/>
      <c r="AE816" s="577"/>
      <c r="AF816" s="577"/>
      <c r="AG816" s="577"/>
      <c r="AH816" s="577"/>
      <c r="AI816" s="577"/>
      <c r="AJ816" s="577"/>
      <c r="AK816" s="577"/>
      <c r="AL816" s="577"/>
      <c r="AM816" s="577"/>
      <c r="AN816" s="577"/>
      <c r="AO816" s="577"/>
      <c r="AP816" s="577"/>
      <c r="AQ816" s="577"/>
      <c r="AR816" s="577"/>
      <c r="AS816" s="577"/>
      <c r="AT816" s="577"/>
      <c r="AU816" s="577"/>
      <c r="AV816" s="577"/>
      <c r="AW816" s="577"/>
      <c r="AX816" s="577"/>
      <c r="AY816" s="577"/>
      <c r="AZ816" s="577"/>
      <c r="BA816" s="577"/>
      <c r="BB816" s="577"/>
      <c r="BC816" s="577"/>
      <c r="BD816" s="577"/>
      <c r="BE816" s="577"/>
      <c r="BF816" s="577"/>
      <c r="BG816" s="577"/>
      <c r="BH816" s="577"/>
      <c r="BI816" s="577"/>
      <c r="BJ816" s="577"/>
      <c r="BK816" s="577"/>
      <c r="BL816" s="577"/>
      <c r="BM816" s="577"/>
      <c r="BN816" s="577"/>
      <c r="BO816" s="577"/>
      <c r="BP816" s="577"/>
      <c r="BQ816" s="577"/>
      <c r="BR816" s="577"/>
      <c r="BS816" s="577"/>
      <c r="BT816" s="577"/>
      <c r="BU816" s="577"/>
      <c r="BV816" s="577"/>
      <c r="BW816" s="577"/>
      <c r="BX816" s="577"/>
      <c r="BY816" s="577"/>
      <c r="BZ816" s="577"/>
      <c r="CA816" s="577"/>
      <c r="CB816" s="577"/>
      <c r="CC816" s="577"/>
      <c r="CD816" s="577"/>
      <c r="CE816" s="577"/>
      <c r="CF816" s="577"/>
      <c r="CG816" s="577"/>
      <c r="CH816" s="577"/>
      <c r="CI816" s="577"/>
      <c r="CJ816" s="577"/>
      <c r="CK816" s="577">
        <f>+M816</f>
        <v>0</v>
      </c>
      <c r="CL816" s="577"/>
      <c r="CM816" s="577"/>
      <c r="CN816" s="577"/>
      <c r="CO816" s="577"/>
      <c r="CP816" s="577"/>
      <c r="CQ816" s="577"/>
      <c r="CR816" s="577"/>
      <c r="CS816" s="577"/>
      <c r="CT816" s="577"/>
      <c r="CU816" s="577"/>
      <c r="CV816" s="577"/>
      <c r="CW816" s="577"/>
      <c r="CX816" s="577"/>
      <c r="CY816" s="577"/>
      <c r="CZ816" s="577"/>
      <c r="DA816" s="577"/>
      <c r="DB816" s="577"/>
      <c r="DC816" s="577"/>
      <c r="DD816" s="577"/>
      <c r="DE816" s="577"/>
      <c r="DF816" s="577"/>
      <c r="DG816" s="577"/>
      <c r="DH816" s="577"/>
      <c r="DI816" s="577"/>
      <c r="DJ816" s="577"/>
      <c r="DK816" s="577"/>
      <c r="DL816" s="577"/>
      <c r="DM816" s="577"/>
      <c r="DN816" s="577"/>
      <c r="DO816" s="577"/>
      <c r="DP816" s="577"/>
    </row>
    <row r="817" spans="1:120" hidden="1" outlineLevel="1">
      <c r="A817" s="55">
        <v>1110061050</v>
      </c>
      <c r="B817" s="509"/>
      <c r="C817" s="679" t="s">
        <v>64</v>
      </c>
      <c r="D817" s="1469"/>
      <c r="E817" s="1470"/>
      <c r="F817" s="416"/>
      <c r="G817" s="1251"/>
      <c r="H817" s="511"/>
      <c r="I817" s="512"/>
      <c r="J817" s="1425">
        <v>1</v>
      </c>
      <c r="K817" s="1426">
        <v>1</v>
      </c>
      <c r="L817" s="417"/>
      <c r="M817" s="1336">
        <f t="shared" si="2240"/>
        <v>0</v>
      </c>
      <c r="N817" s="504"/>
      <c r="O817" s="513">
        <f t="shared" si="2241"/>
        <v>0</v>
      </c>
      <c r="P817" s="514"/>
      <c r="Q817" s="514"/>
      <c r="R817" s="515"/>
      <c r="S817" s="515"/>
      <c r="T817" s="562">
        <f t="shared" si="2242"/>
        <v>0</v>
      </c>
      <c r="U817" s="638">
        <f t="shared" si="2243"/>
        <v>0</v>
      </c>
      <c r="V817" s="639">
        <f t="shared" si="2244"/>
        <v>0</v>
      </c>
      <c r="W817" s="976">
        <f t="shared" si="2245"/>
        <v>0</v>
      </c>
      <c r="X817" s="975">
        <f t="shared" si="2246"/>
        <v>0</v>
      </c>
      <c r="Y817" s="519"/>
      <c r="AA817" s="580"/>
      <c r="AB817" s="580"/>
      <c r="AC817" s="580"/>
      <c r="AD817" s="580"/>
      <c r="AE817" s="580"/>
      <c r="AF817" s="580"/>
      <c r="AG817" s="580"/>
      <c r="AH817" s="580"/>
      <c r="AI817" s="580"/>
      <c r="AJ817" s="580"/>
      <c r="AK817" s="580"/>
      <c r="AL817" s="1513"/>
      <c r="AM817" s="580"/>
      <c r="AN817" s="580"/>
      <c r="AO817" s="580"/>
      <c r="AP817" s="580"/>
      <c r="AQ817" s="580"/>
      <c r="AR817" s="580"/>
      <c r="AS817" s="580"/>
      <c r="AT817" s="580"/>
      <c r="AU817" s="580"/>
      <c r="AV817" s="580"/>
      <c r="AW817" s="580"/>
      <c r="AX817" s="580"/>
      <c r="AY817" s="580"/>
      <c r="AZ817" s="580"/>
      <c r="BA817" s="580"/>
      <c r="BB817" s="580"/>
      <c r="BC817" s="580"/>
      <c r="BD817" s="580"/>
      <c r="BE817" s="580"/>
      <c r="BF817" s="580"/>
      <c r="BG817" s="580"/>
      <c r="BH817" s="580"/>
      <c r="BI817" s="580"/>
      <c r="BJ817" s="580"/>
      <c r="BK817" s="580"/>
      <c r="BL817" s="580"/>
      <c r="BM817" s="580"/>
      <c r="BN817" s="580"/>
      <c r="BO817" s="580"/>
      <c r="BP817" s="580"/>
      <c r="BQ817" s="580"/>
      <c r="BR817" s="580"/>
      <c r="BS817" s="580"/>
      <c r="BT817" s="580"/>
      <c r="BU817" s="580"/>
      <c r="BV817" s="580"/>
      <c r="BW817" s="580"/>
      <c r="BX817" s="580"/>
      <c r="BY817" s="580"/>
      <c r="BZ817" s="580"/>
      <c r="CA817" s="580"/>
      <c r="CB817" s="580"/>
      <c r="CC817" s="580"/>
      <c r="CD817" s="580"/>
      <c r="CE817" s="580"/>
      <c r="CF817" s="580"/>
      <c r="CG817" s="580"/>
      <c r="CH817" s="580"/>
      <c r="CI817" s="580"/>
      <c r="CJ817" s="580"/>
      <c r="CK817" s="580"/>
      <c r="CL817" s="580"/>
      <c r="CM817" s="580">
        <f>+M817</f>
        <v>0</v>
      </c>
      <c r="CN817" s="580"/>
      <c r="CO817" s="580"/>
      <c r="CP817" s="580"/>
      <c r="CQ817" s="580"/>
      <c r="CR817" s="580"/>
      <c r="CS817" s="580"/>
      <c r="CT817" s="580"/>
      <c r="CU817" s="580"/>
      <c r="CV817" s="580"/>
      <c r="CW817" s="580"/>
      <c r="CX817" s="580"/>
      <c r="CY817" s="580"/>
      <c r="CZ817" s="580"/>
      <c r="DA817" s="580"/>
      <c r="DB817" s="580"/>
      <c r="DC817" s="580"/>
      <c r="DD817" s="580"/>
      <c r="DE817" s="580"/>
      <c r="DF817" s="580"/>
      <c r="DG817" s="580"/>
      <c r="DH817" s="580"/>
      <c r="DI817" s="580"/>
      <c r="DJ817" s="580"/>
      <c r="DK817" s="580"/>
      <c r="DL817" s="580"/>
      <c r="DM817" s="580"/>
      <c r="DN817" s="580"/>
      <c r="DO817" s="580"/>
      <c r="DP817" s="580"/>
    </row>
    <row r="818" spans="1:120" collapsed="1">
      <c r="A818" s="55"/>
      <c r="B818" s="509"/>
      <c r="C818" s="679"/>
      <c r="D818" s="1469"/>
      <c r="E818" s="1470"/>
      <c r="F818" s="416"/>
      <c r="G818" s="1251"/>
      <c r="H818" s="511"/>
      <c r="I818" s="512"/>
      <c r="J818" s="1425"/>
      <c r="K818" s="1426"/>
      <c r="L818" s="417"/>
      <c r="M818" s="1336"/>
      <c r="N818" s="504"/>
      <c r="O818" s="513">
        <f t="shared" si="2241"/>
        <v>0</v>
      </c>
      <c r="P818" s="431"/>
      <c r="Q818" s="514"/>
      <c r="R818" s="515"/>
      <c r="S818" s="515"/>
      <c r="T818" s="562">
        <f t="shared" si="2242"/>
        <v>0</v>
      </c>
      <c r="U818" s="418">
        <f t="shared" si="2243"/>
        <v>0</v>
      </c>
      <c r="V818" s="517">
        <f t="shared" si="2244"/>
        <v>0</v>
      </c>
      <c r="W818" s="976">
        <f>IF((-P818*R818)-(-P818*S818)&gt;0,(-P818*R818)-(-P818*S818),0)</f>
        <v>0</v>
      </c>
      <c r="X818" s="975">
        <f>IF((-P818*R818)-(-P818*S818)&lt;0,(-P818*R818)-(-P818*S818),0)</f>
        <v>0</v>
      </c>
      <c r="Y818" s="519"/>
      <c r="AA818" s="580"/>
      <c r="AB818" s="580"/>
      <c r="AC818" s="580"/>
      <c r="AD818" s="580"/>
      <c r="AE818" s="580"/>
      <c r="AF818" s="580"/>
      <c r="AG818" s="580"/>
      <c r="AH818" s="580"/>
      <c r="AI818" s="580"/>
      <c r="AJ818" s="580"/>
      <c r="AK818" s="580"/>
      <c r="AL818" s="1513"/>
      <c r="AM818" s="580"/>
      <c r="AN818" s="580"/>
      <c r="AO818" s="580"/>
      <c r="AP818" s="580"/>
      <c r="AQ818" s="580"/>
      <c r="AR818" s="580"/>
      <c r="AS818" s="580"/>
      <c r="AT818" s="580"/>
      <c r="AU818" s="580"/>
      <c r="AV818" s="580"/>
      <c r="AW818" s="580"/>
      <c r="AX818" s="580"/>
      <c r="AY818" s="580"/>
      <c r="AZ818" s="580"/>
      <c r="BA818" s="580"/>
      <c r="BB818" s="580"/>
      <c r="BC818" s="580"/>
      <c r="BD818" s="580"/>
      <c r="BE818" s="580"/>
      <c r="BF818" s="580"/>
      <c r="BG818" s="580"/>
      <c r="BH818" s="580"/>
      <c r="BI818" s="580"/>
      <c r="BJ818" s="580"/>
      <c r="BK818" s="580"/>
      <c r="BL818" s="580"/>
      <c r="BM818" s="580"/>
      <c r="BN818" s="580"/>
      <c r="BO818" s="580"/>
      <c r="BP818" s="580"/>
      <c r="BQ818" s="580"/>
      <c r="BR818" s="580"/>
      <c r="BS818" s="580"/>
      <c r="BT818" s="580"/>
      <c r="BU818" s="580"/>
      <c r="BV818" s="580"/>
      <c r="BW818" s="580"/>
      <c r="BX818" s="580"/>
      <c r="BY818" s="580"/>
      <c r="BZ818" s="580"/>
      <c r="CA818" s="580"/>
      <c r="CB818" s="580"/>
      <c r="CC818" s="580"/>
      <c r="CD818" s="580"/>
      <c r="CE818" s="580"/>
      <c r="CF818" s="580"/>
      <c r="CG818" s="580"/>
      <c r="CH818" s="580"/>
      <c r="CI818" s="580"/>
      <c r="CJ818" s="580"/>
      <c r="CK818" s="580"/>
      <c r="CL818" s="580"/>
      <c r="CM818" s="580"/>
      <c r="CN818" s="580"/>
      <c r="CO818" s="580"/>
      <c r="CP818" s="580"/>
      <c r="CQ818" s="580"/>
      <c r="CR818" s="580"/>
      <c r="CS818" s="580"/>
      <c r="CT818" s="580"/>
      <c r="CU818" s="580"/>
      <c r="CV818" s="580"/>
      <c r="CW818" s="580"/>
      <c r="CX818" s="580"/>
      <c r="CY818" s="580"/>
      <c r="CZ818" s="580"/>
      <c r="DA818" s="580"/>
      <c r="DB818" s="580"/>
      <c r="DC818" s="580"/>
      <c r="DD818" s="580"/>
      <c r="DE818" s="580"/>
      <c r="DF818" s="580"/>
      <c r="DG818" s="580"/>
      <c r="DH818" s="580"/>
      <c r="DI818" s="580"/>
      <c r="DJ818" s="580"/>
      <c r="DK818" s="580"/>
      <c r="DL818" s="580"/>
      <c r="DM818" s="580"/>
      <c r="DN818" s="580"/>
      <c r="DO818" s="580"/>
      <c r="DP818" s="580"/>
    </row>
    <row r="819" spans="1:120" ht="16.5" thickBot="1">
      <c r="A819" s="62" t="s">
        <v>236</v>
      </c>
      <c r="B819" s="63"/>
      <c r="C819" s="184"/>
      <c r="D819" s="1473"/>
      <c r="E819" s="1474"/>
      <c r="F819" s="66">
        <f>SUM(F816:F818)</f>
        <v>0</v>
      </c>
      <c r="G819" s="1253"/>
      <c r="H819" s="67"/>
      <c r="I819" s="68">
        <f>SUM(I816:I818)</f>
        <v>0</v>
      </c>
      <c r="J819" s="1376"/>
      <c r="K819" s="76"/>
      <c r="L819" s="69">
        <f>SUM(L816:L818)</f>
        <v>0</v>
      </c>
      <c r="M819" s="168"/>
      <c r="N819" s="70"/>
      <c r="O819" s="71">
        <f>SUM(O816:O818)</f>
        <v>0</v>
      </c>
      <c r="P819" s="72">
        <f>SUM(P816:P818)</f>
        <v>0</v>
      </c>
      <c r="Q819" s="1339"/>
      <c r="R819" s="73"/>
      <c r="S819" s="73"/>
      <c r="T819" s="96">
        <f>SUM(T816:T818)</f>
        <v>0</v>
      </c>
      <c r="U819" s="66">
        <f>SUM(U816:U818)</f>
        <v>0</v>
      </c>
      <c r="V819" s="76">
        <f>SUM(V816:V818)</f>
        <v>0</v>
      </c>
      <c r="W819" s="97">
        <f>SUM(W816:W818)</f>
        <v>0</v>
      </c>
      <c r="X819" s="98">
        <f>SUM(X816:X818)</f>
        <v>0</v>
      </c>
      <c r="Y819" s="43"/>
      <c r="AA819" s="172">
        <f t="shared" ref="AA819:BF819" ca="1" si="2247">SUM(AA814:AA818)</f>
        <v>0</v>
      </c>
      <c r="AB819" s="172">
        <f t="shared" ca="1" si="2247"/>
        <v>0</v>
      </c>
      <c r="AC819" s="172">
        <f t="shared" ca="1" si="2247"/>
        <v>0</v>
      </c>
      <c r="AD819" s="172">
        <f t="shared" ca="1" si="2247"/>
        <v>0</v>
      </c>
      <c r="AE819" s="172">
        <f t="shared" ca="1" si="2247"/>
        <v>1240.9000000000001</v>
      </c>
      <c r="AF819" s="172">
        <f t="shared" ca="1" si="2247"/>
        <v>0</v>
      </c>
      <c r="AG819" s="172">
        <f t="shared" ca="1" si="2247"/>
        <v>0</v>
      </c>
      <c r="AH819" s="172">
        <f t="shared" ca="1" si="2247"/>
        <v>0</v>
      </c>
      <c r="AI819" s="172">
        <f t="shared" ca="1" si="2247"/>
        <v>0</v>
      </c>
      <c r="AJ819" s="172">
        <f t="shared" ca="1" si="2247"/>
        <v>0</v>
      </c>
      <c r="AK819" s="172">
        <f t="shared" ca="1" si="2247"/>
        <v>0</v>
      </c>
      <c r="AL819" s="172">
        <f t="shared" ca="1" si="2247"/>
        <v>0</v>
      </c>
      <c r="AM819" s="172">
        <f t="shared" ca="1" si="2247"/>
        <v>0</v>
      </c>
      <c r="AN819" s="172">
        <f t="shared" ca="1" si="2247"/>
        <v>0</v>
      </c>
      <c r="AO819" s="172">
        <f t="shared" ca="1" si="2247"/>
        <v>0</v>
      </c>
      <c r="AP819" s="172">
        <f t="shared" ca="1" si="2247"/>
        <v>0</v>
      </c>
      <c r="AQ819" s="172">
        <f t="shared" ca="1" si="2247"/>
        <v>0</v>
      </c>
      <c r="AR819" s="172">
        <f t="shared" ca="1" si="2247"/>
        <v>0</v>
      </c>
      <c r="AS819" s="172">
        <f t="shared" ca="1" si="2247"/>
        <v>0</v>
      </c>
      <c r="AT819" s="172">
        <f t="shared" ca="1" si="2247"/>
        <v>0</v>
      </c>
      <c r="AU819" s="172">
        <f t="shared" ca="1" si="2247"/>
        <v>0</v>
      </c>
      <c r="AV819" s="172">
        <f t="shared" ca="1" si="2247"/>
        <v>0</v>
      </c>
      <c r="AW819" s="172">
        <f t="shared" ca="1" si="2247"/>
        <v>0</v>
      </c>
      <c r="AX819" s="172">
        <f t="shared" ca="1" si="2247"/>
        <v>0</v>
      </c>
      <c r="AY819" s="172">
        <f t="shared" ca="1" si="2247"/>
        <v>0</v>
      </c>
      <c r="AZ819" s="172">
        <f t="shared" ca="1" si="2247"/>
        <v>0</v>
      </c>
      <c r="BA819" s="172">
        <f t="shared" ca="1" si="2247"/>
        <v>0</v>
      </c>
      <c r="BB819" s="172">
        <f t="shared" ca="1" si="2247"/>
        <v>0</v>
      </c>
      <c r="BC819" s="172">
        <f t="shared" ca="1" si="2247"/>
        <v>0</v>
      </c>
      <c r="BD819" s="172">
        <f t="shared" ca="1" si="2247"/>
        <v>0</v>
      </c>
      <c r="BE819" s="172">
        <f t="shared" ca="1" si="2247"/>
        <v>0</v>
      </c>
      <c r="BF819" s="172">
        <f t="shared" ca="1" si="2247"/>
        <v>0</v>
      </c>
      <c r="BG819" s="172">
        <f t="shared" ref="BG819:CL819" ca="1" si="2248">SUM(BG814:BG818)</f>
        <v>0</v>
      </c>
      <c r="BH819" s="172">
        <f t="shared" ca="1" si="2248"/>
        <v>0</v>
      </c>
      <c r="BI819" s="172">
        <f t="shared" ca="1" si="2248"/>
        <v>0</v>
      </c>
      <c r="BJ819" s="172">
        <f t="shared" ca="1" si="2248"/>
        <v>0</v>
      </c>
      <c r="BK819" s="172">
        <f t="shared" ca="1" si="2248"/>
        <v>0</v>
      </c>
      <c r="BL819" s="172">
        <f t="shared" ca="1" si="2248"/>
        <v>0</v>
      </c>
      <c r="BM819" s="172">
        <f t="shared" ca="1" si="2248"/>
        <v>0</v>
      </c>
      <c r="BN819" s="172">
        <f t="shared" ca="1" si="2248"/>
        <v>0</v>
      </c>
      <c r="BO819" s="172">
        <f t="shared" ca="1" si="2248"/>
        <v>0</v>
      </c>
      <c r="BP819" s="172">
        <f t="shared" ca="1" si="2248"/>
        <v>0</v>
      </c>
      <c r="BQ819" s="172">
        <f t="shared" ca="1" si="2248"/>
        <v>0</v>
      </c>
      <c r="BR819" s="172">
        <f t="shared" ca="1" si="2248"/>
        <v>0</v>
      </c>
      <c r="BS819" s="172">
        <f t="shared" ca="1" si="2248"/>
        <v>0</v>
      </c>
      <c r="BT819" s="172">
        <f t="shared" ca="1" si="2248"/>
        <v>0</v>
      </c>
      <c r="BU819" s="172">
        <f t="shared" ca="1" si="2248"/>
        <v>0</v>
      </c>
      <c r="BV819" s="172">
        <f t="shared" ca="1" si="2248"/>
        <v>0</v>
      </c>
      <c r="BW819" s="172">
        <f t="shared" ca="1" si="2248"/>
        <v>0</v>
      </c>
      <c r="BX819" s="172">
        <f t="shared" ca="1" si="2248"/>
        <v>0</v>
      </c>
      <c r="BY819" s="172">
        <f t="shared" ca="1" si="2248"/>
        <v>0</v>
      </c>
      <c r="BZ819" s="172">
        <f t="shared" ca="1" si="2248"/>
        <v>0</v>
      </c>
      <c r="CA819" s="172">
        <f t="shared" ca="1" si="2248"/>
        <v>0</v>
      </c>
      <c r="CB819" s="172">
        <f t="shared" ca="1" si="2248"/>
        <v>0</v>
      </c>
      <c r="CC819" s="172">
        <f t="shared" ca="1" si="2248"/>
        <v>0</v>
      </c>
      <c r="CD819" s="172">
        <f t="shared" ca="1" si="2248"/>
        <v>0</v>
      </c>
      <c r="CE819" s="172">
        <f t="shared" ca="1" si="2248"/>
        <v>0</v>
      </c>
      <c r="CF819" s="172">
        <f t="shared" ca="1" si="2248"/>
        <v>0</v>
      </c>
      <c r="CG819" s="172">
        <f t="shared" ca="1" si="2248"/>
        <v>0</v>
      </c>
      <c r="CH819" s="172">
        <f t="shared" ca="1" si="2248"/>
        <v>0</v>
      </c>
      <c r="CI819" s="172">
        <f t="shared" ca="1" si="2248"/>
        <v>0</v>
      </c>
      <c r="CJ819" s="172">
        <f t="shared" ca="1" si="2248"/>
        <v>0</v>
      </c>
      <c r="CK819" s="172">
        <f t="shared" ca="1" si="2248"/>
        <v>0</v>
      </c>
      <c r="CL819" s="172">
        <f t="shared" ca="1" si="2248"/>
        <v>0</v>
      </c>
      <c r="CM819" s="172">
        <f t="shared" ref="CM819:DP819" ca="1" si="2249">SUM(CM814:CM818)</f>
        <v>0</v>
      </c>
      <c r="CN819" s="172">
        <f t="shared" ca="1" si="2249"/>
        <v>0</v>
      </c>
      <c r="CO819" s="172">
        <f t="shared" si="2249"/>
        <v>0</v>
      </c>
      <c r="CP819" s="172">
        <f t="shared" si="2249"/>
        <v>0</v>
      </c>
      <c r="CQ819" s="172">
        <f t="shared" si="2249"/>
        <v>0</v>
      </c>
      <c r="CR819" s="172">
        <f t="shared" si="2249"/>
        <v>0</v>
      </c>
      <c r="CS819" s="172">
        <f t="shared" si="2249"/>
        <v>0</v>
      </c>
      <c r="CT819" s="172">
        <f t="shared" si="2249"/>
        <v>0</v>
      </c>
      <c r="CU819" s="172">
        <f t="shared" si="2249"/>
        <v>0</v>
      </c>
      <c r="CV819" s="172">
        <f t="shared" si="2249"/>
        <v>0</v>
      </c>
      <c r="CW819" s="172">
        <f t="shared" si="2249"/>
        <v>0</v>
      </c>
      <c r="CX819" s="172">
        <f t="shared" si="2249"/>
        <v>0</v>
      </c>
      <c r="CY819" s="172">
        <f t="shared" si="2249"/>
        <v>0</v>
      </c>
      <c r="CZ819" s="172">
        <f t="shared" si="2249"/>
        <v>0</v>
      </c>
      <c r="DA819" s="172">
        <f t="shared" si="2249"/>
        <v>0</v>
      </c>
      <c r="DB819" s="172">
        <f t="shared" si="2249"/>
        <v>0</v>
      </c>
      <c r="DC819" s="172">
        <f t="shared" si="2249"/>
        <v>0</v>
      </c>
      <c r="DD819" s="172">
        <f t="shared" si="2249"/>
        <v>0</v>
      </c>
      <c r="DE819" s="172">
        <f t="shared" si="2249"/>
        <v>0</v>
      </c>
      <c r="DF819" s="172">
        <f t="shared" si="2249"/>
        <v>0</v>
      </c>
      <c r="DG819" s="172">
        <f t="shared" si="2249"/>
        <v>0</v>
      </c>
      <c r="DH819" s="172">
        <f t="shared" si="2249"/>
        <v>0</v>
      </c>
      <c r="DI819" s="172">
        <f t="shared" si="2249"/>
        <v>0</v>
      </c>
      <c r="DJ819" s="172">
        <f t="shared" si="2249"/>
        <v>0</v>
      </c>
      <c r="DK819" s="172">
        <f t="shared" si="2249"/>
        <v>0</v>
      </c>
      <c r="DL819" s="172">
        <f t="shared" si="2249"/>
        <v>0</v>
      </c>
      <c r="DM819" s="172">
        <f t="shared" si="2249"/>
        <v>0</v>
      </c>
      <c r="DN819" s="172">
        <f t="shared" si="2249"/>
        <v>0</v>
      </c>
      <c r="DO819" s="172">
        <f t="shared" si="2249"/>
        <v>0</v>
      </c>
      <c r="DP819" s="172">
        <f t="shared" si="2249"/>
        <v>0</v>
      </c>
    </row>
    <row r="820" spans="1:120"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CT820" s="24"/>
      <c r="CU820" s="24"/>
      <c r="CV820" s="24"/>
      <c r="CW820" s="24"/>
      <c r="CX820" s="24"/>
      <c r="CY820" s="24"/>
      <c r="CZ820" s="24"/>
      <c r="DA820" s="24"/>
      <c r="DB820" s="24"/>
      <c r="DC820" s="24"/>
      <c r="DD820" s="24"/>
      <c r="DE820" s="24"/>
      <c r="DF820" s="24"/>
      <c r="DG820" s="24"/>
      <c r="DH820" s="24"/>
      <c r="DI820" s="24"/>
      <c r="DJ820" s="24"/>
      <c r="DK820" s="24"/>
      <c r="DL820" s="24"/>
      <c r="DM820" s="24"/>
      <c r="DN820" s="24"/>
      <c r="DO820" s="24"/>
      <c r="DP820" s="24"/>
    </row>
    <row r="821" spans="1:120" hidden="1" outlineLevel="1">
      <c r="A821" s="640">
        <v>1110061050</v>
      </c>
      <c r="B821" s="573" t="s">
        <v>78</v>
      </c>
      <c r="C821" s="641" t="s">
        <v>64</v>
      </c>
      <c r="D821" s="641"/>
      <c r="E821" s="642"/>
      <c r="F821" s="643"/>
      <c r="G821" s="1262"/>
      <c r="H821" s="644"/>
      <c r="I821" s="645"/>
      <c r="J821" s="1483">
        <v>1</v>
      </c>
      <c r="K821" s="1484">
        <v>1</v>
      </c>
      <c r="L821" s="646"/>
      <c r="M821" s="1428">
        <f t="shared" ref="M821:M822" si="2250">+L821*J821</f>
        <v>0</v>
      </c>
      <c r="N821" s="647"/>
      <c r="O821" s="648">
        <f t="shared" ref="O821:O822" si="2251">+L821*N821</f>
        <v>0</v>
      </c>
      <c r="P821" s="649"/>
      <c r="Q821" s="649"/>
      <c r="R821" s="650"/>
      <c r="S821" s="650"/>
      <c r="T821" s="651">
        <f t="shared" ref="T821:T822" si="2252">+P821*S821</f>
        <v>0</v>
      </c>
      <c r="U821" s="652">
        <f t="shared" ref="U821:U822" si="2253">+L821+P821+F821</f>
        <v>0</v>
      </c>
      <c r="V821" s="648">
        <f t="shared" ref="V821:V822" si="2254">+P821*R821+L821*N821+F821*H821</f>
        <v>0</v>
      </c>
      <c r="W821" s="653">
        <f t="shared" ref="W821:W822" si="2255">(IF(R821&gt;S821,(-P821*R821)-(-P821*S821),0))</f>
        <v>0</v>
      </c>
      <c r="X821" s="654">
        <f t="shared" ref="X821:X822" si="2256">(IF(R821&lt;S821,(-P821*R821)-(-P821*S821),0))</f>
        <v>0</v>
      </c>
      <c r="Y821" s="655"/>
      <c r="AA821" s="577"/>
      <c r="AB821" s="577"/>
      <c r="AC821" s="577"/>
      <c r="AD821" s="577"/>
      <c r="AE821" s="577"/>
      <c r="AF821" s="577"/>
      <c r="AG821" s="577"/>
      <c r="AH821" s="577"/>
      <c r="AI821" s="577"/>
      <c r="AJ821" s="577"/>
      <c r="AK821" s="577"/>
      <c r="AL821" s="577"/>
      <c r="AM821" s="577"/>
      <c r="AN821" s="577"/>
      <c r="AO821" s="577"/>
      <c r="AP821" s="577"/>
      <c r="AQ821" s="577"/>
      <c r="AR821" s="577"/>
      <c r="AS821" s="577"/>
      <c r="AT821" s="577"/>
      <c r="AU821" s="577"/>
      <c r="AV821" s="577"/>
      <c r="AW821" s="577"/>
      <c r="AX821" s="577"/>
      <c r="AY821" s="577"/>
      <c r="AZ821" s="577"/>
      <c r="BA821" s="577"/>
      <c r="BB821" s="577"/>
      <c r="BC821" s="577"/>
      <c r="BD821" s="577"/>
      <c r="BE821" s="577"/>
      <c r="BF821" s="577"/>
      <c r="BG821" s="577"/>
      <c r="BH821" s="577"/>
      <c r="BI821" s="577"/>
      <c r="BJ821" s="577"/>
      <c r="BK821" s="577"/>
      <c r="BL821" s="577"/>
      <c r="BM821" s="577"/>
      <c r="BN821" s="577"/>
      <c r="BO821" s="577"/>
      <c r="BP821" s="577"/>
      <c r="BQ821" s="577"/>
      <c r="BR821" s="577"/>
      <c r="BS821" s="577"/>
      <c r="BT821" s="577"/>
      <c r="BU821" s="577"/>
      <c r="BV821" s="577"/>
      <c r="BW821" s="577"/>
      <c r="BX821" s="577"/>
      <c r="BY821" s="577"/>
      <c r="BZ821" s="577"/>
      <c r="CA821" s="577"/>
      <c r="CB821" s="577"/>
      <c r="CC821" s="577"/>
      <c r="CD821" s="577"/>
      <c r="CE821" s="577"/>
      <c r="CF821" s="577"/>
      <c r="CG821" s="577"/>
      <c r="CH821" s="577"/>
      <c r="CI821" s="577"/>
      <c r="CJ821" s="577"/>
      <c r="CK821" s="577"/>
      <c r="CL821" s="577"/>
      <c r="CM821" s="577"/>
      <c r="CN821" s="577"/>
      <c r="CO821" s="577"/>
      <c r="CP821" s="577"/>
      <c r="CQ821" s="577"/>
      <c r="CR821" s="577"/>
      <c r="CS821" s="577"/>
      <c r="CT821" s="577"/>
      <c r="CU821" s="577"/>
      <c r="CV821" s="577"/>
      <c r="CW821" s="577"/>
      <c r="CX821" s="577"/>
      <c r="CY821" s="577"/>
      <c r="CZ821" s="577"/>
      <c r="DA821" s="577"/>
      <c r="DB821" s="577"/>
      <c r="DC821" s="577"/>
      <c r="DD821" s="577"/>
      <c r="DE821" s="577"/>
      <c r="DF821" s="577"/>
      <c r="DG821" s="577"/>
      <c r="DH821" s="577"/>
      <c r="DI821" s="577"/>
      <c r="DJ821" s="577"/>
      <c r="DK821" s="577"/>
      <c r="DL821" s="577"/>
      <c r="DM821" s="577"/>
      <c r="DN821" s="577"/>
      <c r="DO821" s="577"/>
      <c r="DP821" s="577"/>
    </row>
    <row r="822" spans="1:120" s="116" customFormat="1" hidden="1" outlineLevel="1">
      <c r="A822" s="1221">
        <v>1110061050</v>
      </c>
      <c r="B822" s="1222"/>
      <c r="C822" s="1223" t="s">
        <v>64</v>
      </c>
      <c r="D822" s="1223"/>
      <c r="E822" s="2279"/>
      <c r="F822" s="1224"/>
      <c r="G822" s="1266"/>
      <c r="H822" s="1225"/>
      <c r="I822" s="1226"/>
      <c r="J822" s="1604">
        <v>1</v>
      </c>
      <c r="K822" s="1605">
        <v>1</v>
      </c>
      <c r="L822" s="1227"/>
      <c r="M822" s="1631">
        <f t="shared" si="2250"/>
        <v>0</v>
      </c>
      <c r="N822" s="1228"/>
      <c r="O822" s="1229">
        <f t="shared" si="2251"/>
        <v>0</v>
      </c>
      <c r="P822" s="1230"/>
      <c r="Q822" s="1230"/>
      <c r="R822" s="1231"/>
      <c r="S822" s="1231"/>
      <c r="T822" s="1232">
        <f t="shared" si="2252"/>
        <v>0</v>
      </c>
      <c r="U822" s="1233">
        <f t="shared" si="2253"/>
        <v>0</v>
      </c>
      <c r="V822" s="1234">
        <f t="shared" si="2254"/>
        <v>0</v>
      </c>
      <c r="W822" s="1235">
        <f t="shared" si="2255"/>
        <v>0</v>
      </c>
      <c r="X822" s="1236">
        <f t="shared" si="2256"/>
        <v>0</v>
      </c>
      <c r="Y822" s="1237"/>
      <c r="Z822" s="115"/>
      <c r="AA822" s="637"/>
      <c r="AB822" s="637"/>
      <c r="AC822" s="637"/>
      <c r="AD822" s="637"/>
      <c r="AE822" s="637"/>
      <c r="AF822" s="637"/>
      <c r="AG822" s="637"/>
      <c r="AH822" s="637"/>
      <c r="AI822" s="637"/>
      <c r="AJ822" s="637"/>
      <c r="AK822" s="637"/>
      <c r="AL822" s="1571"/>
      <c r="AM822" s="637"/>
      <c r="AN822" s="637"/>
      <c r="AO822" s="637"/>
      <c r="AP822" s="637"/>
      <c r="AQ822" s="637"/>
      <c r="AR822" s="637"/>
      <c r="AS822" s="637"/>
      <c r="AT822" s="637"/>
      <c r="AU822" s="637"/>
      <c r="AV822" s="637"/>
      <c r="AW822" s="637"/>
      <c r="AX822" s="637"/>
      <c r="AY822" s="637"/>
      <c r="AZ822" s="637"/>
      <c r="BA822" s="637"/>
      <c r="BB822" s="637"/>
      <c r="BC822" s="637"/>
      <c r="BD822" s="637"/>
      <c r="BE822" s="637"/>
      <c r="BF822" s="637"/>
      <c r="BG822" s="637"/>
      <c r="BH822" s="637"/>
      <c r="BI822" s="637"/>
      <c r="BJ822" s="637"/>
      <c r="BK822" s="637"/>
      <c r="BL822" s="637"/>
      <c r="BM822" s="637"/>
      <c r="BN822" s="637"/>
      <c r="BO822" s="637"/>
      <c r="BP822" s="637"/>
      <c r="BQ822" s="637"/>
      <c r="BR822" s="637"/>
      <c r="BS822" s="637"/>
      <c r="BT822" s="637"/>
      <c r="BU822" s="637"/>
      <c r="BV822" s="637"/>
      <c r="BW822" s="637"/>
      <c r="BX822" s="637"/>
      <c r="BY822" s="637"/>
      <c r="BZ822" s="637"/>
      <c r="CA822" s="637"/>
      <c r="CB822" s="637"/>
      <c r="CC822" s="637"/>
      <c r="CD822" s="637"/>
      <c r="CE822" s="637"/>
      <c r="CF822" s="637"/>
      <c r="CG822" s="637"/>
      <c r="CH822" s="637"/>
      <c r="CI822" s="637"/>
      <c r="CJ822" s="637"/>
      <c r="CK822" s="637"/>
      <c r="CL822" s="637"/>
      <c r="CM822" s="637"/>
      <c r="CN822" s="637"/>
      <c r="CO822" s="637"/>
      <c r="CP822" s="637">
        <f>+M822</f>
        <v>0</v>
      </c>
      <c r="CQ822" s="637"/>
      <c r="CR822" s="637"/>
      <c r="CS822" s="637"/>
      <c r="CT822" s="637"/>
      <c r="CU822" s="637"/>
      <c r="CV822" s="637"/>
      <c r="CW822" s="637"/>
      <c r="CX822" s="637"/>
      <c r="CY822" s="637"/>
      <c r="CZ822" s="637"/>
      <c r="DA822" s="637"/>
      <c r="DB822" s="637"/>
      <c r="DC822" s="637"/>
      <c r="DD822" s="637"/>
      <c r="DE822" s="637"/>
      <c r="DF822" s="637"/>
      <c r="DG822" s="637"/>
      <c r="DH822" s="637"/>
      <c r="DI822" s="637"/>
      <c r="DJ822" s="637"/>
      <c r="DK822" s="637"/>
      <c r="DL822" s="637"/>
      <c r="DM822" s="637"/>
      <c r="DN822" s="637"/>
      <c r="DO822" s="637"/>
      <c r="DP822" s="637"/>
    </row>
    <row r="823" spans="1:120" hidden="1" outlineLevel="1">
      <c r="A823" s="55">
        <v>1110061050</v>
      </c>
      <c r="B823" s="509"/>
      <c r="C823" s="510" t="s">
        <v>64</v>
      </c>
      <c r="D823" s="510"/>
      <c r="E823" s="56"/>
      <c r="F823" s="416"/>
      <c r="G823" s="1251"/>
      <c r="H823" s="511"/>
      <c r="I823" s="512"/>
      <c r="J823" s="1425">
        <v>1</v>
      </c>
      <c r="K823" s="1426">
        <v>1</v>
      </c>
      <c r="L823" s="417"/>
      <c r="M823" s="1336">
        <f t="shared" ref="M823" si="2257">+L823*J823</f>
        <v>0</v>
      </c>
      <c r="N823" s="504"/>
      <c r="O823" s="513">
        <f t="shared" ref="O823" si="2258">+L823*N823</f>
        <v>0</v>
      </c>
      <c r="P823" s="514"/>
      <c r="Q823" s="514">
        <f t="shared" ref="Q823" si="2259">+P823*K823</f>
        <v>0</v>
      </c>
      <c r="R823" s="515"/>
      <c r="S823" s="515"/>
      <c r="T823" s="562">
        <f t="shared" ref="T823" si="2260">+P823*S823</f>
        <v>0</v>
      </c>
      <c r="U823" s="638">
        <f t="shared" ref="U823" si="2261">+L823+P823+F823</f>
        <v>0</v>
      </c>
      <c r="V823" s="639">
        <f t="shared" ref="V823" si="2262">+P823*R823+L823*N823+F823*H823</f>
        <v>0</v>
      </c>
      <c r="W823" s="976">
        <f t="shared" ref="W823" si="2263">(IF(R823&gt;S823,(-P823*R823)-(-P823*S823),0))</f>
        <v>0</v>
      </c>
      <c r="X823" s="975">
        <f t="shared" ref="X823" si="2264">(IF(R823&lt;S823,(-P823*R823)-(-P823*S823),0))</f>
        <v>0</v>
      </c>
      <c r="Y823" s="519"/>
      <c r="AA823" s="580"/>
      <c r="AB823" s="580"/>
      <c r="AC823" s="580"/>
      <c r="AD823" s="580"/>
      <c r="AE823" s="580"/>
      <c r="AF823" s="580"/>
      <c r="AG823" s="580"/>
      <c r="AH823" s="580"/>
      <c r="AI823" s="580"/>
      <c r="AJ823" s="580"/>
      <c r="AK823" s="580"/>
      <c r="AL823" s="1513"/>
      <c r="AM823" s="580"/>
      <c r="AN823" s="580"/>
      <c r="AO823" s="580"/>
      <c r="AP823" s="580"/>
      <c r="AQ823" s="580"/>
      <c r="AR823" s="580"/>
      <c r="AS823" s="580"/>
      <c r="AT823" s="580"/>
      <c r="AU823" s="580"/>
      <c r="AV823" s="580"/>
      <c r="AW823" s="580"/>
      <c r="AX823" s="580"/>
      <c r="AY823" s="580"/>
      <c r="AZ823" s="580"/>
      <c r="BA823" s="580"/>
      <c r="BB823" s="580"/>
      <c r="BC823" s="580"/>
      <c r="BD823" s="580"/>
      <c r="BE823" s="580"/>
      <c r="BF823" s="580"/>
      <c r="BG823" s="580"/>
      <c r="BH823" s="580"/>
      <c r="BI823" s="580"/>
      <c r="BJ823" s="580"/>
      <c r="BK823" s="580"/>
      <c r="BL823" s="580"/>
      <c r="BM823" s="580"/>
      <c r="BN823" s="580"/>
      <c r="BO823" s="580"/>
      <c r="BP823" s="580"/>
      <c r="BQ823" s="580"/>
      <c r="BR823" s="580"/>
      <c r="BS823" s="580"/>
      <c r="BT823" s="580"/>
      <c r="BU823" s="580"/>
      <c r="BV823" s="580"/>
      <c r="BW823" s="580"/>
      <c r="BX823" s="580"/>
      <c r="BY823" s="580"/>
      <c r="BZ823" s="580"/>
      <c r="CA823" s="580"/>
      <c r="CB823" s="580"/>
      <c r="CC823" s="580"/>
      <c r="CD823" s="580"/>
      <c r="CE823" s="580"/>
      <c r="CF823" s="580"/>
      <c r="CG823" s="580"/>
      <c r="CH823" s="580"/>
      <c r="CI823" s="580"/>
      <c r="CJ823" s="580"/>
      <c r="CK823" s="580"/>
      <c r="CL823" s="580"/>
      <c r="CM823" s="580"/>
      <c r="CN823" s="580"/>
      <c r="CO823" s="580"/>
      <c r="CP823" s="580">
        <f>+Q823</f>
        <v>0</v>
      </c>
      <c r="CQ823" s="580"/>
      <c r="CR823" s="580"/>
      <c r="CS823" s="580"/>
      <c r="CT823" s="580"/>
      <c r="CU823" s="580"/>
      <c r="CV823" s="580"/>
      <c r="CW823" s="580"/>
      <c r="CX823" s="580"/>
      <c r="CY823" s="580"/>
      <c r="CZ823" s="580"/>
      <c r="DA823" s="580"/>
      <c r="DB823" s="580"/>
      <c r="DC823" s="580"/>
      <c r="DD823" s="580"/>
      <c r="DE823" s="580"/>
      <c r="DF823" s="580"/>
      <c r="DG823" s="580"/>
      <c r="DH823" s="580"/>
      <c r="DI823" s="580"/>
      <c r="DJ823" s="580"/>
      <c r="DK823" s="580"/>
      <c r="DL823" s="580"/>
      <c r="DM823" s="580"/>
      <c r="DN823" s="580"/>
      <c r="DO823" s="580"/>
      <c r="DP823" s="580"/>
    </row>
    <row r="824" spans="1:120" collapsed="1">
      <c r="A824" s="1168"/>
      <c r="B824" s="1169"/>
      <c r="C824" s="1170"/>
      <c r="D824" s="1170"/>
      <c r="E824" s="1171"/>
      <c r="F824" s="1172"/>
      <c r="G824" s="1265"/>
      <c r="H824" s="1173"/>
      <c r="I824" s="1174"/>
      <c r="J824" s="1425">
        <v>1</v>
      </c>
      <c r="K824" s="1426">
        <v>1</v>
      </c>
      <c r="L824" s="1175"/>
      <c r="M824" s="1719"/>
      <c r="N824" s="1176"/>
      <c r="O824" s="1177"/>
      <c r="P824" s="1178"/>
      <c r="Q824" s="1178"/>
      <c r="R824" s="1179"/>
      <c r="S824" s="515"/>
      <c r="T824" s="1181"/>
      <c r="U824" s="1182"/>
      <c r="V824" s="1183"/>
      <c r="W824" s="852"/>
      <c r="X824" s="853"/>
      <c r="Y824" s="854"/>
      <c r="AA824" s="1184"/>
      <c r="AB824" s="1184"/>
      <c r="AC824" s="1184"/>
      <c r="AD824" s="1184"/>
      <c r="AE824" s="1184"/>
      <c r="AF824" s="1184"/>
      <c r="AG824" s="1184"/>
      <c r="AH824" s="1184"/>
      <c r="AI824" s="1184"/>
      <c r="AJ824" s="1184"/>
      <c r="AK824" s="1184"/>
      <c r="AL824" s="1574"/>
      <c r="AM824" s="1184"/>
      <c r="AN824" s="1184"/>
      <c r="AO824" s="1184"/>
      <c r="AP824" s="1184"/>
      <c r="AQ824" s="1184"/>
      <c r="AR824" s="1184"/>
      <c r="AS824" s="1184"/>
      <c r="AT824" s="1184"/>
      <c r="AU824" s="1184"/>
      <c r="AV824" s="1184"/>
      <c r="AW824" s="1184"/>
      <c r="AX824" s="1184"/>
      <c r="AY824" s="1184"/>
      <c r="AZ824" s="1184"/>
      <c r="BA824" s="1184"/>
      <c r="BB824" s="1184"/>
      <c r="BC824" s="1184"/>
      <c r="BD824" s="1184"/>
      <c r="BE824" s="1184"/>
      <c r="BF824" s="1184"/>
      <c r="BG824" s="1184"/>
      <c r="BH824" s="1184"/>
      <c r="BI824" s="1184"/>
      <c r="BJ824" s="1184"/>
      <c r="BK824" s="1184"/>
      <c r="BL824" s="1184"/>
      <c r="BM824" s="1184"/>
      <c r="BN824" s="1184"/>
      <c r="BO824" s="1184"/>
      <c r="BP824" s="1184"/>
      <c r="BQ824" s="1184"/>
      <c r="BR824" s="1184"/>
      <c r="BS824" s="1184"/>
      <c r="BT824" s="1184"/>
      <c r="BU824" s="1184"/>
      <c r="BV824" s="1184"/>
      <c r="BW824" s="1184"/>
      <c r="BX824" s="1184"/>
      <c r="BY824" s="1184"/>
      <c r="BZ824" s="1184"/>
      <c r="CA824" s="1184"/>
      <c r="CB824" s="1184"/>
      <c r="CC824" s="1184"/>
      <c r="CD824" s="1184"/>
      <c r="CE824" s="1184"/>
      <c r="CF824" s="1184"/>
      <c r="CG824" s="1184"/>
      <c r="CH824" s="1184"/>
      <c r="CI824" s="1184"/>
      <c r="CJ824" s="1184"/>
      <c r="CK824" s="1184"/>
      <c r="CL824" s="1184"/>
      <c r="CM824" s="1184"/>
      <c r="CN824" s="1184"/>
      <c r="CO824" s="1184"/>
      <c r="CP824" s="1184"/>
      <c r="CQ824" s="1184"/>
      <c r="CR824" s="1184"/>
      <c r="CS824" s="1184"/>
      <c r="CT824" s="1184"/>
      <c r="CU824" s="1184"/>
      <c r="CV824" s="1184"/>
      <c r="CW824" s="1184"/>
      <c r="CX824" s="1184"/>
      <c r="CY824" s="1184"/>
      <c r="CZ824" s="1184"/>
      <c r="DA824" s="1184"/>
      <c r="DB824" s="1184"/>
      <c r="DC824" s="1184"/>
      <c r="DD824" s="1184"/>
      <c r="DE824" s="1184"/>
      <c r="DF824" s="1184"/>
      <c r="DG824" s="1184"/>
      <c r="DH824" s="1184"/>
      <c r="DI824" s="1184"/>
      <c r="DJ824" s="1184"/>
      <c r="DK824" s="1184"/>
      <c r="DL824" s="1184"/>
      <c r="DM824" s="1184"/>
      <c r="DN824" s="1184"/>
      <c r="DO824" s="1184"/>
      <c r="DP824" s="1184"/>
    </row>
    <row r="825" spans="1:120" ht="16.5" thickBot="1">
      <c r="A825" s="62" t="s">
        <v>237</v>
      </c>
      <c r="B825" s="63"/>
      <c r="C825" s="64"/>
      <c r="D825" s="64"/>
      <c r="E825" s="65"/>
      <c r="F825" s="66">
        <f>SUM(F821:F822)</f>
        <v>0</v>
      </c>
      <c r="G825" s="1253"/>
      <c r="H825" s="67"/>
      <c r="I825" s="68">
        <f>SUM(I821:I822)</f>
        <v>0</v>
      </c>
      <c r="J825" s="1376"/>
      <c r="K825" s="76"/>
      <c r="L825" s="69">
        <f>SUM(L821:L824)</f>
        <v>0</v>
      </c>
      <c r="M825" s="168"/>
      <c r="N825" s="70"/>
      <c r="O825" s="71">
        <f>SUM(O821:O824)</f>
        <v>0</v>
      </c>
      <c r="P825" s="72">
        <f>SUM(P821:P824)</f>
        <v>0</v>
      </c>
      <c r="Q825" s="1339"/>
      <c r="R825" s="73"/>
      <c r="S825" s="73"/>
      <c r="T825" s="96">
        <f>SUM(T821:T824)</f>
        <v>0</v>
      </c>
      <c r="U825" s="66">
        <f>SUM(U821:U824)</f>
        <v>0</v>
      </c>
      <c r="V825" s="76">
        <f>SUM(V821:V824)</f>
        <v>0</v>
      </c>
      <c r="W825" s="97">
        <f t="shared" ref="W825:X825" si="2265">SUM(W821:W824)</f>
        <v>0</v>
      </c>
      <c r="X825" s="98">
        <f t="shared" si="2265"/>
        <v>0</v>
      </c>
      <c r="Y825" s="43"/>
      <c r="AA825" s="172">
        <f ca="1">SUM(AA819:AA824)</f>
        <v>0</v>
      </c>
      <c r="AB825" s="172">
        <f t="shared" ref="AB825:CM825" ca="1" si="2266">SUM(AB819:AB824)</f>
        <v>0</v>
      </c>
      <c r="AC825" s="172">
        <f t="shared" ca="1" si="2266"/>
        <v>0</v>
      </c>
      <c r="AD825" s="172">
        <f t="shared" ca="1" si="2266"/>
        <v>0</v>
      </c>
      <c r="AE825" s="172">
        <f t="shared" ca="1" si="2266"/>
        <v>1240.9000000000001</v>
      </c>
      <c r="AF825" s="172">
        <f t="shared" ca="1" si="2266"/>
        <v>0</v>
      </c>
      <c r="AG825" s="172">
        <f t="shared" ca="1" si="2266"/>
        <v>0</v>
      </c>
      <c r="AH825" s="172">
        <f t="shared" ca="1" si="2266"/>
        <v>0</v>
      </c>
      <c r="AI825" s="172">
        <f t="shared" ca="1" si="2266"/>
        <v>0</v>
      </c>
      <c r="AJ825" s="172">
        <f t="shared" ca="1" si="2266"/>
        <v>0</v>
      </c>
      <c r="AK825" s="172">
        <f t="shared" ca="1" si="2266"/>
        <v>0</v>
      </c>
      <c r="AL825" s="172">
        <f t="shared" ca="1" si="2266"/>
        <v>0</v>
      </c>
      <c r="AM825" s="172">
        <f t="shared" ca="1" si="2266"/>
        <v>0</v>
      </c>
      <c r="AN825" s="172">
        <f t="shared" ca="1" si="2266"/>
        <v>0</v>
      </c>
      <c r="AO825" s="172">
        <f t="shared" ca="1" si="2266"/>
        <v>0</v>
      </c>
      <c r="AP825" s="172">
        <f t="shared" ca="1" si="2266"/>
        <v>0</v>
      </c>
      <c r="AQ825" s="172">
        <f t="shared" ca="1" si="2266"/>
        <v>0</v>
      </c>
      <c r="AR825" s="172">
        <f t="shared" ca="1" si="2266"/>
        <v>0</v>
      </c>
      <c r="AS825" s="172">
        <f t="shared" ca="1" si="2266"/>
        <v>0</v>
      </c>
      <c r="AT825" s="172">
        <f t="shared" ca="1" si="2266"/>
        <v>0</v>
      </c>
      <c r="AU825" s="172">
        <f t="shared" ca="1" si="2266"/>
        <v>0</v>
      </c>
      <c r="AV825" s="172">
        <f t="shared" ca="1" si="2266"/>
        <v>0</v>
      </c>
      <c r="AW825" s="172">
        <f t="shared" ca="1" si="2266"/>
        <v>0</v>
      </c>
      <c r="AX825" s="172">
        <f t="shared" ca="1" si="2266"/>
        <v>0</v>
      </c>
      <c r="AY825" s="172">
        <f t="shared" ca="1" si="2266"/>
        <v>0</v>
      </c>
      <c r="AZ825" s="172">
        <f t="shared" ca="1" si="2266"/>
        <v>0</v>
      </c>
      <c r="BA825" s="172">
        <f t="shared" ca="1" si="2266"/>
        <v>0</v>
      </c>
      <c r="BB825" s="172">
        <f t="shared" ca="1" si="2266"/>
        <v>0</v>
      </c>
      <c r="BC825" s="172">
        <f t="shared" ca="1" si="2266"/>
        <v>0</v>
      </c>
      <c r="BD825" s="172">
        <f t="shared" ca="1" si="2266"/>
        <v>0</v>
      </c>
      <c r="BE825" s="172">
        <f t="shared" ca="1" si="2266"/>
        <v>0</v>
      </c>
      <c r="BF825" s="172">
        <f t="shared" ca="1" si="2266"/>
        <v>0</v>
      </c>
      <c r="BG825" s="172">
        <f t="shared" ca="1" si="2266"/>
        <v>0</v>
      </c>
      <c r="BH825" s="172">
        <f t="shared" ca="1" si="2266"/>
        <v>0</v>
      </c>
      <c r="BI825" s="172">
        <f t="shared" ca="1" si="2266"/>
        <v>0</v>
      </c>
      <c r="BJ825" s="172">
        <f t="shared" ca="1" si="2266"/>
        <v>0</v>
      </c>
      <c r="BK825" s="172">
        <f t="shared" ca="1" si="2266"/>
        <v>0</v>
      </c>
      <c r="BL825" s="172">
        <f t="shared" ca="1" si="2266"/>
        <v>0</v>
      </c>
      <c r="BM825" s="172">
        <f t="shared" ca="1" si="2266"/>
        <v>0</v>
      </c>
      <c r="BN825" s="172">
        <f t="shared" ca="1" si="2266"/>
        <v>0</v>
      </c>
      <c r="BO825" s="172">
        <f t="shared" ca="1" si="2266"/>
        <v>0</v>
      </c>
      <c r="BP825" s="172">
        <f t="shared" ca="1" si="2266"/>
        <v>0</v>
      </c>
      <c r="BQ825" s="172">
        <f t="shared" ca="1" si="2266"/>
        <v>0</v>
      </c>
      <c r="BR825" s="172">
        <f t="shared" ca="1" si="2266"/>
        <v>0</v>
      </c>
      <c r="BS825" s="172">
        <f t="shared" ca="1" si="2266"/>
        <v>0</v>
      </c>
      <c r="BT825" s="172">
        <f t="shared" ca="1" si="2266"/>
        <v>0</v>
      </c>
      <c r="BU825" s="172">
        <f t="shared" ca="1" si="2266"/>
        <v>0</v>
      </c>
      <c r="BV825" s="172">
        <f t="shared" ca="1" si="2266"/>
        <v>0</v>
      </c>
      <c r="BW825" s="172">
        <f t="shared" ca="1" si="2266"/>
        <v>0</v>
      </c>
      <c r="BX825" s="172">
        <f t="shared" ca="1" si="2266"/>
        <v>0</v>
      </c>
      <c r="BY825" s="172">
        <f t="shared" ca="1" si="2266"/>
        <v>0</v>
      </c>
      <c r="BZ825" s="172">
        <f t="shared" ca="1" si="2266"/>
        <v>0</v>
      </c>
      <c r="CA825" s="172">
        <f t="shared" ca="1" si="2266"/>
        <v>0</v>
      </c>
      <c r="CB825" s="172">
        <f t="shared" ca="1" si="2266"/>
        <v>0</v>
      </c>
      <c r="CC825" s="172">
        <f t="shared" ca="1" si="2266"/>
        <v>0</v>
      </c>
      <c r="CD825" s="172">
        <f t="shared" ca="1" si="2266"/>
        <v>0</v>
      </c>
      <c r="CE825" s="172">
        <f t="shared" ca="1" si="2266"/>
        <v>0</v>
      </c>
      <c r="CF825" s="172">
        <f t="shared" ca="1" si="2266"/>
        <v>0</v>
      </c>
      <c r="CG825" s="172">
        <f t="shared" ca="1" si="2266"/>
        <v>0</v>
      </c>
      <c r="CH825" s="172">
        <f t="shared" ca="1" si="2266"/>
        <v>0</v>
      </c>
      <c r="CI825" s="172">
        <f t="shared" ca="1" si="2266"/>
        <v>0</v>
      </c>
      <c r="CJ825" s="172">
        <f t="shared" ca="1" si="2266"/>
        <v>0</v>
      </c>
      <c r="CK825" s="172">
        <f t="shared" ca="1" si="2266"/>
        <v>0</v>
      </c>
      <c r="CL825" s="172">
        <f t="shared" ca="1" si="2266"/>
        <v>0</v>
      </c>
      <c r="CM825" s="172">
        <f t="shared" ca="1" si="2266"/>
        <v>0</v>
      </c>
      <c r="CN825" s="172">
        <f t="shared" ref="CN825:DP825" ca="1" si="2267">SUM(CN819:CN824)</f>
        <v>0</v>
      </c>
      <c r="CO825" s="172">
        <f t="shared" si="2267"/>
        <v>0</v>
      </c>
      <c r="CP825" s="172">
        <f t="shared" si="2267"/>
        <v>0</v>
      </c>
      <c r="CQ825" s="172">
        <f t="shared" si="2267"/>
        <v>0</v>
      </c>
      <c r="CR825" s="172">
        <f t="shared" si="2267"/>
        <v>0</v>
      </c>
      <c r="CS825" s="172">
        <f t="shared" si="2267"/>
        <v>0</v>
      </c>
      <c r="CT825" s="172">
        <f t="shared" si="2267"/>
        <v>0</v>
      </c>
      <c r="CU825" s="172">
        <f t="shared" si="2267"/>
        <v>0</v>
      </c>
      <c r="CV825" s="172">
        <f t="shared" si="2267"/>
        <v>0</v>
      </c>
      <c r="CW825" s="172">
        <f t="shared" si="2267"/>
        <v>0</v>
      </c>
      <c r="CX825" s="172">
        <f t="shared" si="2267"/>
        <v>0</v>
      </c>
      <c r="CY825" s="172">
        <f t="shared" si="2267"/>
        <v>0</v>
      </c>
      <c r="CZ825" s="172">
        <f t="shared" si="2267"/>
        <v>0</v>
      </c>
      <c r="DA825" s="172">
        <f t="shared" si="2267"/>
        <v>0</v>
      </c>
      <c r="DB825" s="172">
        <f t="shared" si="2267"/>
        <v>0</v>
      </c>
      <c r="DC825" s="172">
        <f t="shared" si="2267"/>
        <v>0</v>
      </c>
      <c r="DD825" s="172">
        <f t="shared" si="2267"/>
        <v>0</v>
      </c>
      <c r="DE825" s="172">
        <f t="shared" si="2267"/>
        <v>0</v>
      </c>
      <c r="DF825" s="172">
        <f t="shared" si="2267"/>
        <v>0</v>
      </c>
      <c r="DG825" s="172">
        <f t="shared" si="2267"/>
        <v>0</v>
      </c>
      <c r="DH825" s="172">
        <f t="shared" si="2267"/>
        <v>0</v>
      </c>
      <c r="DI825" s="172">
        <f t="shared" si="2267"/>
        <v>0</v>
      </c>
      <c r="DJ825" s="172">
        <f t="shared" si="2267"/>
        <v>0</v>
      </c>
      <c r="DK825" s="172">
        <f t="shared" si="2267"/>
        <v>0</v>
      </c>
      <c r="DL825" s="172">
        <f t="shared" si="2267"/>
        <v>0</v>
      </c>
      <c r="DM825" s="172">
        <f t="shared" si="2267"/>
        <v>0</v>
      </c>
      <c r="DN825" s="172">
        <f t="shared" si="2267"/>
        <v>0</v>
      </c>
      <c r="DO825" s="172">
        <f t="shared" si="2267"/>
        <v>0</v>
      </c>
      <c r="DP825" s="172">
        <f t="shared" si="2267"/>
        <v>0</v>
      </c>
    </row>
    <row r="826" spans="1:120" ht="15.75" thickBot="1"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  <c r="CG826" s="24"/>
      <c r="CH826" s="24"/>
      <c r="CI826" s="24"/>
      <c r="CJ826" s="24"/>
      <c r="CK826" s="24"/>
      <c r="CL826" s="24"/>
      <c r="CM826" s="24"/>
      <c r="CN826" s="24"/>
      <c r="CO826" s="24"/>
      <c r="CP826" s="24"/>
      <c r="CQ826" s="24"/>
      <c r="CR826" s="24"/>
      <c r="CS826" s="24"/>
      <c r="CT826" s="24"/>
      <c r="CU826" s="24"/>
      <c r="CV826" s="24"/>
      <c r="CW826" s="24"/>
      <c r="CX826" s="24"/>
      <c r="CY826" s="24"/>
      <c r="CZ826" s="24"/>
      <c r="DA826" s="24"/>
      <c r="DB826" s="24"/>
      <c r="DC826" s="24"/>
      <c r="DD826" s="24"/>
      <c r="DE826" s="24"/>
      <c r="DF826" s="24"/>
      <c r="DG826" s="24"/>
      <c r="DH826" s="24"/>
      <c r="DI826" s="24"/>
      <c r="DJ826" s="24"/>
      <c r="DK826" s="24"/>
      <c r="DL826" s="24"/>
      <c r="DM826" s="24"/>
      <c r="DN826" s="24"/>
      <c r="DO826" s="24"/>
      <c r="DP826" s="24"/>
    </row>
    <row r="827" spans="1:120" s="182" customFormat="1" ht="19.5" thickBot="1">
      <c r="A827" s="603" t="s">
        <v>1463</v>
      </c>
      <c r="B827" s="668"/>
      <c r="C827" s="669"/>
      <c r="D827" s="669"/>
      <c r="E827" s="670"/>
      <c r="F827" s="671">
        <f>+F774+F769+F779+F784+F825+F819+F814+F809+F804+F799+F794+F789+SUM(F763:F764)</f>
        <v>1755</v>
      </c>
      <c r="G827" s="671"/>
      <c r="H827" s="672"/>
      <c r="I827" s="671">
        <f>+I774+I769+I779+I784+I825+I819+I814+I809+I804+I799+I794+I789+SUM(I763:I764)</f>
        <v>7700975.1000000006</v>
      </c>
      <c r="J827" s="673"/>
      <c r="K827" s="673"/>
      <c r="L827" s="673">
        <f>L763+L769+L774+L779+L784+L789+L794+L799+L804+L809+L814+L819+L825</f>
        <v>0</v>
      </c>
      <c r="M827" s="671"/>
      <c r="N827" s="672"/>
      <c r="O827" s="673">
        <f ca="1">O763+O769+O774+O779+O784+O789+O794+O799+O804+O809+O814+O819+O825</f>
        <v>0</v>
      </c>
      <c r="P827" s="673">
        <f>P763+P769+P774+P779+P784+P789+P794+P799+P804+P809+P814+P819+P825</f>
        <v>-514.1</v>
      </c>
      <c r="Q827" s="671"/>
      <c r="R827" s="672"/>
      <c r="S827" s="672"/>
      <c r="T827" s="673">
        <f ca="1">T763+T769+T774+T779+T784+T789+T794+T799+T804+T809+T814+T819+T825</f>
        <v>-2432071.8199999998</v>
      </c>
      <c r="U827" s="671">
        <f>SUM(U763:U763)+U769+U774+U779+U784+U789+U794+U799+U804+U809+U814+U819+U825</f>
        <v>1240.9000000000001</v>
      </c>
      <c r="V827" s="673">
        <f ca="1">SUM(V763:V763)+V769+V774+V779+V784+V789+V794+V799+V804+V809+V814+V819+V825</f>
        <v>5445094.0180000002</v>
      </c>
      <c r="W827" s="673">
        <f t="shared" ref="W827:X827" ca="1" si="2268">SUM(W763:W763)+W769+W774+W779+W784+W789+W794+W799+W804+W809+W814+W819+W825</f>
        <v>0</v>
      </c>
      <c r="X827" s="673">
        <f t="shared" ca="1" si="2268"/>
        <v>-176190.73799999978</v>
      </c>
      <c r="Y827" s="674"/>
      <c r="Z827" s="14"/>
      <c r="AA827" s="675">
        <f t="shared" ref="AA827:AW827" ca="1" si="2269">+AA814</f>
        <v>0</v>
      </c>
      <c r="AB827" s="675">
        <f t="shared" ca="1" si="2269"/>
        <v>0</v>
      </c>
      <c r="AC827" s="675">
        <f t="shared" ca="1" si="2269"/>
        <v>0</v>
      </c>
      <c r="AD827" s="675">
        <f t="shared" ca="1" si="2269"/>
        <v>0</v>
      </c>
      <c r="AE827" s="675">
        <f t="shared" ca="1" si="2269"/>
        <v>1240.9000000000001</v>
      </c>
      <c r="AF827" s="675">
        <f t="shared" ca="1" si="2269"/>
        <v>0</v>
      </c>
      <c r="AG827" s="675">
        <f t="shared" ca="1" si="2269"/>
        <v>0</v>
      </c>
      <c r="AH827" s="675">
        <f t="shared" ca="1" si="2269"/>
        <v>0</v>
      </c>
      <c r="AI827" s="675">
        <f t="shared" ca="1" si="2269"/>
        <v>0</v>
      </c>
      <c r="AJ827" s="675">
        <f t="shared" ca="1" si="2269"/>
        <v>0</v>
      </c>
      <c r="AK827" s="675">
        <f t="shared" ca="1" si="2269"/>
        <v>0</v>
      </c>
      <c r="AL827" s="675">
        <f t="shared" ca="1" si="2269"/>
        <v>0</v>
      </c>
      <c r="AM827" s="675">
        <f t="shared" ca="1" si="2269"/>
        <v>0</v>
      </c>
      <c r="AN827" s="675">
        <f t="shared" ca="1" si="2269"/>
        <v>0</v>
      </c>
      <c r="AO827" s="675">
        <f t="shared" ca="1" si="2269"/>
        <v>0</v>
      </c>
      <c r="AP827" s="675">
        <f t="shared" ca="1" si="2269"/>
        <v>0</v>
      </c>
      <c r="AQ827" s="675">
        <f t="shared" ca="1" si="2269"/>
        <v>0</v>
      </c>
      <c r="AR827" s="675">
        <f t="shared" ca="1" si="2269"/>
        <v>0</v>
      </c>
      <c r="AS827" s="675">
        <f t="shared" ca="1" si="2269"/>
        <v>0</v>
      </c>
      <c r="AT827" s="675">
        <f t="shared" ca="1" si="2269"/>
        <v>0</v>
      </c>
      <c r="AU827" s="675">
        <f t="shared" ca="1" si="2269"/>
        <v>0</v>
      </c>
      <c r="AV827" s="675">
        <f t="shared" ca="1" si="2269"/>
        <v>0</v>
      </c>
      <c r="AW827" s="675">
        <f t="shared" ca="1" si="2269"/>
        <v>0</v>
      </c>
      <c r="AX827" s="675">
        <f ca="1">+AX825</f>
        <v>0</v>
      </c>
      <c r="AY827" s="675">
        <f t="shared" ref="AY827:DJ827" ca="1" si="2270">+AY825</f>
        <v>0</v>
      </c>
      <c r="AZ827" s="675">
        <f t="shared" ca="1" si="2270"/>
        <v>0</v>
      </c>
      <c r="BA827" s="675">
        <f t="shared" ca="1" si="2270"/>
        <v>0</v>
      </c>
      <c r="BB827" s="675">
        <f t="shared" ca="1" si="2270"/>
        <v>0</v>
      </c>
      <c r="BC827" s="675">
        <f t="shared" ca="1" si="2270"/>
        <v>0</v>
      </c>
      <c r="BD827" s="675">
        <f t="shared" ca="1" si="2270"/>
        <v>0</v>
      </c>
      <c r="BE827" s="675">
        <f t="shared" ca="1" si="2270"/>
        <v>0</v>
      </c>
      <c r="BF827" s="675">
        <f t="shared" ca="1" si="2270"/>
        <v>0</v>
      </c>
      <c r="BG827" s="675">
        <f t="shared" ca="1" si="2270"/>
        <v>0</v>
      </c>
      <c r="BH827" s="675">
        <f t="shared" ca="1" si="2270"/>
        <v>0</v>
      </c>
      <c r="BI827" s="675">
        <f t="shared" ca="1" si="2270"/>
        <v>0</v>
      </c>
      <c r="BJ827" s="675">
        <f t="shared" ca="1" si="2270"/>
        <v>0</v>
      </c>
      <c r="BK827" s="675">
        <f t="shared" ca="1" si="2270"/>
        <v>0</v>
      </c>
      <c r="BL827" s="675">
        <f t="shared" ca="1" si="2270"/>
        <v>0</v>
      </c>
      <c r="BM827" s="675">
        <f t="shared" ca="1" si="2270"/>
        <v>0</v>
      </c>
      <c r="BN827" s="675">
        <f t="shared" ca="1" si="2270"/>
        <v>0</v>
      </c>
      <c r="BO827" s="675">
        <f t="shared" ca="1" si="2270"/>
        <v>0</v>
      </c>
      <c r="BP827" s="675">
        <f t="shared" ca="1" si="2270"/>
        <v>0</v>
      </c>
      <c r="BQ827" s="675">
        <f t="shared" ca="1" si="2270"/>
        <v>0</v>
      </c>
      <c r="BR827" s="675">
        <f t="shared" ca="1" si="2270"/>
        <v>0</v>
      </c>
      <c r="BS827" s="675">
        <f t="shared" ca="1" si="2270"/>
        <v>0</v>
      </c>
      <c r="BT827" s="675">
        <f t="shared" ca="1" si="2270"/>
        <v>0</v>
      </c>
      <c r="BU827" s="675">
        <f t="shared" ca="1" si="2270"/>
        <v>0</v>
      </c>
      <c r="BV827" s="675">
        <f t="shared" ca="1" si="2270"/>
        <v>0</v>
      </c>
      <c r="BW827" s="675">
        <f t="shared" ca="1" si="2270"/>
        <v>0</v>
      </c>
      <c r="BX827" s="675">
        <f t="shared" ca="1" si="2270"/>
        <v>0</v>
      </c>
      <c r="BY827" s="675">
        <f t="shared" ca="1" si="2270"/>
        <v>0</v>
      </c>
      <c r="BZ827" s="675">
        <f t="shared" ca="1" si="2270"/>
        <v>0</v>
      </c>
      <c r="CA827" s="675">
        <f t="shared" ca="1" si="2270"/>
        <v>0</v>
      </c>
      <c r="CB827" s="675">
        <f t="shared" ca="1" si="2270"/>
        <v>0</v>
      </c>
      <c r="CC827" s="675">
        <f t="shared" ca="1" si="2270"/>
        <v>0</v>
      </c>
      <c r="CD827" s="675">
        <f t="shared" ca="1" si="2270"/>
        <v>0</v>
      </c>
      <c r="CE827" s="675">
        <f t="shared" ca="1" si="2270"/>
        <v>0</v>
      </c>
      <c r="CF827" s="675">
        <f t="shared" ca="1" si="2270"/>
        <v>0</v>
      </c>
      <c r="CG827" s="675">
        <f t="shared" ca="1" si="2270"/>
        <v>0</v>
      </c>
      <c r="CH827" s="675">
        <f t="shared" ca="1" si="2270"/>
        <v>0</v>
      </c>
      <c r="CI827" s="675">
        <f t="shared" ca="1" si="2270"/>
        <v>0</v>
      </c>
      <c r="CJ827" s="675">
        <f t="shared" ca="1" si="2270"/>
        <v>0</v>
      </c>
      <c r="CK827" s="675">
        <f t="shared" ca="1" si="2270"/>
        <v>0</v>
      </c>
      <c r="CL827" s="675">
        <f t="shared" ca="1" si="2270"/>
        <v>0</v>
      </c>
      <c r="CM827" s="675">
        <f t="shared" ca="1" si="2270"/>
        <v>0</v>
      </c>
      <c r="CN827" s="675">
        <f t="shared" ca="1" si="2270"/>
        <v>0</v>
      </c>
      <c r="CO827" s="675">
        <f t="shared" si="2270"/>
        <v>0</v>
      </c>
      <c r="CP827" s="675">
        <f t="shared" si="2270"/>
        <v>0</v>
      </c>
      <c r="CQ827" s="675">
        <f t="shared" si="2270"/>
        <v>0</v>
      </c>
      <c r="CR827" s="675">
        <f t="shared" si="2270"/>
        <v>0</v>
      </c>
      <c r="CS827" s="675">
        <f t="shared" si="2270"/>
        <v>0</v>
      </c>
      <c r="CT827" s="675">
        <f t="shared" si="2270"/>
        <v>0</v>
      </c>
      <c r="CU827" s="675">
        <f t="shared" si="2270"/>
        <v>0</v>
      </c>
      <c r="CV827" s="675">
        <f t="shared" si="2270"/>
        <v>0</v>
      </c>
      <c r="CW827" s="675">
        <f t="shared" si="2270"/>
        <v>0</v>
      </c>
      <c r="CX827" s="675">
        <f t="shared" si="2270"/>
        <v>0</v>
      </c>
      <c r="CY827" s="675">
        <f t="shared" si="2270"/>
        <v>0</v>
      </c>
      <c r="CZ827" s="675">
        <f t="shared" si="2270"/>
        <v>0</v>
      </c>
      <c r="DA827" s="675">
        <f t="shared" si="2270"/>
        <v>0</v>
      </c>
      <c r="DB827" s="675">
        <f t="shared" si="2270"/>
        <v>0</v>
      </c>
      <c r="DC827" s="675">
        <f t="shared" si="2270"/>
        <v>0</v>
      </c>
      <c r="DD827" s="675">
        <f t="shared" si="2270"/>
        <v>0</v>
      </c>
      <c r="DE827" s="675">
        <f t="shared" si="2270"/>
        <v>0</v>
      </c>
      <c r="DF827" s="675">
        <f t="shared" si="2270"/>
        <v>0</v>
      </c>
      <c r="DG827" s="675">
        <f t="shared" si="2270"/>
        <v>0</v>
      </c>
      <c r="DH827" s="675">
        <f t="shared" si="2270"/>
        <v>0</v>
      </c>
      <c r="DI827" s="675">
        <f t="shared" si="2270"/>
        <v>0</v>
      </c>
      <c r="DJ827" s="675">
        <f t="shared" si="2270"/>
        <v>0</v>
      </c>
      <c r="DK827" s="675">
        <f t="shared" ref="DK827:DP827" si="2271">+DK825</f>
        <v>0</v>
      </c>
      <c r="DL827" s="675">
        <f t="shared" si="2271"/>
        <v>0</v>
      </c>
      <c r="DM827" s="675">
        <f t="shared" si="2271"/>
        <v>0</v>
      </c>
      <c r="DN827" s="675">
        <f t="shared" si="2271"/>
        <v>0</v>
      </c>
      <c r="DO827" s="675">
        <f t="shared" si="2271"/>
        <v>0</v>
      </c>
      <c r="DP827" s="675">
        <f t="shared" si="2271"/>
        <v>0</v>
      </c>
    </row>
    <row r="828" spans="1:120" s="4" customFormat="1">
      <c r="C828" s="148"/>
      <c r="D828" s="148"/>
      <c r="E828" s="149"/>
      <c r="F828" s="150"/>
      <c r="G828" s="150"/>
      <c r="H828" s="154"/>
      <c r="I828" s="152"/>
      <c r="J828" s="1385"/>
      <c r="K828" s="1385"/>
      <c r="L828" s="153"/>
      <c r="M828" s="153"/>
      <c r="N828" s="154"/>
      <c r="O828" s="152"/>
      <c r="P828" s="150"/>
      <c r="Q828" s="150"/>
      <c r="R828" s="154"/>
      <c r="S828" s="154"/>
      <c r="T828" s="156"/>
      <c r="U828" s="157">
        <f>1365.9-125-U827</f>
        <v>0</v>
      </c>
      <c r="V828" s="437">
        <f ca="1">V827-(AE827*AE6)</f>
        <v>0</v>
      </c>
      <c r="W828" s="158"/>
      <c r="X828" s="152"/>
      <c r="Y828" s="148"/>
      <c r="Z828" s="14"/>
      <c r="AA828" s="24"/>
      <c r="AB828" s="24"/>
      <c r="AC828" s="24"/>
      <c r="AD828" s="24"/>
      <c r="AE828" s="24"/>
    </row>
    <row r="829" spans="1:120" s="4" customFormat="1" ht="15.75" thickBot="1">
      <c r="C829" s="148"/>
      <c r="D829" s="148"/>
      <c r="E829" s="149"/>
      <c r="F829" s="150"/>
      <c r="G829" s="150"/>
      <c r="H829" s="154"/>
      <c r="I829" s="152"/>
      <c r="J829" s="1385"/>
      <c r="K829" s="1385"/>
      <c r="L829" s="153"/>
      <c r="M829" s="153"/>
      <c r="N829" s="154"/>
      <c r="O829" s="152"/>
      <c r="P829" s="150"/>
      <c r="Q829" s="150"/>
      <c r="R829" s="154"/>
      <c r="S829" s="154"/>
      <c r="T829" s="156"/>
      <c r="U829" s="157"/>
      <c r="V829" s="44"/>
      <c r="W829" s="158"/>
      <c r="X829" s="152"/>
      <c r="Y829" s="148"/>
      <c r="Z829" s="14"/>
      <c r="AA829" s="24"/>
      <c r="AB829" s="24"/>
      <c r="AC829" s="24"/>
      <c r="AD829" s="24"/>
      <c r="AE829" s="24"/>
    </row>
    <row r="830" spans="1:120" s="210" customFormat="1" ht="20.25" thickBot="1">
      <c r="A830" s="744" t="s">
        <v>83</v>
      </c>
      <c r="B830" s="745"/>
      <c r="C830" s="746"/>
      <c r="D830" s="746"/>
      <c r="E830" s="747"/>
      <c r="F830" s="750">
        <f>+F558+F463+F758+F827</f>
        <v>15675997.939999998</v>
      </c>
      <c r="G830" s="748"/>
      <c r="H830" s="749"/>
      <c r="I830" s="750">
        <f>+I558+I463+I758+I827</f>
        <v>74700273948.927689</v>
      </c>
      <c r="J830" s="750"/>
      <c r="K830" s="750"/>
      <c r="L830" s="750">
        <f>+L558+L463+L758+L827</f>
        <v>225743740.41000003</v>
      </c>
      <c r="M830" s="748"/>
      <c r="N830" s="749"/>
      <c r="O830" s="750">
        <f ca="1">+O558+O463+O758+O827</f>
        <v>1054117472307.2969</v>
      </c>
      <c r="P830" s="750">
        <f>+P558+P463+P758+P827</f>
        <v>-202034279.40000001</v>
      </c>
      <c r="Q830" s="748"/>
      <c r="R830" s="749"/>
      <c r="S830" s="749"/>
      <c r="T830" s="750">
        <f ca="1">+T558+T463+T758+T827</f>
        <v>-953900991848.25781</v>
      </c>
      <c r="U830" s="748">
        <f>+U558+U463+U758+U827</f>
        <v>39392881.789999984</v>
      </c>
      <c r="V830" s="751">
        <f ca="1">+V558+V463+V758+V827</f>
        <v>178753944377.35229</v>
      </c>
      <c r="W830" s="752">
        <f ca="1">+W558+W463+W758+W827</f>
        <v>5732928114.279377</v>
      </c>
      <c r="X830" s="753">
        <f ca="1">+X558+X463+X758+X827</f>
        <v>-9534896410.9514103</v>
      </c>
      <c r="Y830" s="754"/>
      <c r="Z830" s="1060"/>
      <c r="AA830" s="183">
        <f ca="1">+Y831-U831</f>
        <v>0.4999999925494194</v>
      </c>
      <c r="AB830" s="183"/>
      <c r="AC830" s="183"/>
      <c r="AD830" s="183"/>
      <c r="AE830" s="183"/>
    </row>
    <row r="831" spans="1:120" s="27" customFormat="1">
      <c r="A831"/>
      <c r="B831"/>
      <c r="C831" s="7"/>
      <c r="D831" s="7"/>
      <c r="E831" s="8"/>
      <c r="F831" s="211"/>
      <c r="G831" s="211"/>
      <c r="J831" s="1387"/>
      <c r="K831" s="1387"/>
      <c r="L831" s="441"/>
      <c r="M831" s="441"/>
      <c r="N831" s="442"/>
      <c r="O831" s="443"/>
      <c r="P831" s="444"/>
      <c r="Q831" s="444"/>
      <c r="R831" s="442"/>
      <c r="S831" s="442"/>
      <c r="T831" s="1103" t="s">
        <v>222</v>
      </c>
      <c r="U831" s="1108">
        <v>39392881.289999999</v>
      </c>
      <c r="V831" s="211">
        <f>+U830-U831</f>
        <v>0.49999998509883881</v>
      </c>
      <c r="W831" s="1149">
        <f>+V831*B4</f>
        <v>2334.4999304264784</v>
      </c>
      <c r="X831" s="1917" t="s">
        <v>1227</v>
      </c>
      <c r="Y831" s="1916">
        <f ca="1">SUM(AA831:DM831)</f>
        <v>39392881.789999992</v>
      </c>
      <c r="Z831" s="44"/>
      <c r="AA831" s="220">
        <f t="shared" ref="AA831:BF831" ca="1" si="2272">AA758+AA558+AA463+AA827</f>
        <v>-2.0954757928848267E-9</v>
      </c>
      <c r="AB831" s="220">
        <f t="shared" ca="1" si="2272"/>
        <v>0</v>
      </c>
      <c r="AC831" s="220">
        <f t="shared" ca="1" si="2272"/>
        <v>-2.3283064365386963E-10</v>
      </c>
      <c r="AD831" s="220">
        <f t="shared" ca="1" si="2272"/>
        <v>0</v>
      </c>
      <c r="AE831" s="220">
        <f t="shared" ca="1" si="2272"/>
        <v>1240.9000000000001</v>
      </c>
      <c r="AF831" s="220">
        <f t="shared" ca="1" si="2272"/>
        <v>0</v>
      </c>
      <c r="AG831" s="220">
        <f t="shared" ca="1" si="2272"/>
        <v>0</v>
      </c>
      <c r="AH831" s="220">
        <f t="shared" ca="1" si="2272"/>
        <v>0</v>
      </c>
      <c r="AI831" s="220">
        <f t="shared" ca="1" si="2272"/>
        <v>-5.8207660913467407E-10</v>
      </c>
      <c r="AJ831" s="220">
        <f t="shared" ca="1" si="2272"/>
        <v>-2.3283064365386963E-10</v>
      </c>
      <c r="AK831" s="220">
        <f t="shared" ca="1" si="2272"/>
        <v>-2.3283064365386963E-10</v>
      </c>
      <c r="AL831" s="220">
        <f t="shared" ca="1" si="2272"/>
        <v>0</v>
      </c>
      <c r="AM831" s="220">
        <f t="shared" ca="1" si="2272"/>
        <v>2.3283064365386963E-10</v>
      </c>
      <c r="AN831" s="220">
        <f t="shared" ca="1" si="2272"/>
        <v>0</v>
      </c>
      <c r="AO831" s="220">
        <f t="shared" ca="1" si="2272"/>
        <v>0</v>
      </c>
      <c r="AP831" s="220">
        <f t="shared" ca="1" si="2272"/>
        <v>0</v>
      </c>
      <c r="AQ831" s="220">
        <f t="shared" ca="1" si="2272"/>
        <v>0</v>
      </c>
      <c r="AR831" s="220">
        <f t="shared" ca="1" si="2272"/>
        <v>0</v>
      </c>
      <c r="AS831" s="220">
        <f t="shared" ca="1" si="2272"/>
        <v>-4.3655745685100555E-11</v>
      </c>
      <c r="AT831" s="220">
        <f t="shared" ca="1" si="2272"/>
        <v>0</v>
      </c>
      <c r="AU831" s="220">
        <f t="shared" ca="1" si="2272"/>
        <v>0</v>
      </c>
      <c r="AV831" s="220">
        <f t="shared" ca="1" si="2272"/>
        <v>0</v>
      </c>
      <c r="AW831" s="220">
        <f t="shared" ca="1" si="2272"/>
        <v>0</v>
      </c>
      <c r="AX831" s="220">
        <f t="shared" ca="1" si="2272"/>
        <v>0</v>
      </c>
      <c r="AY831" s="220">
        <f t="shared" ca="1" si="2272"/>
        <v>0</v>
      </c>
      <c r="AZ831" s="220">
        <f t="shared" ca="1" si="2272"/>
        <v>0</v>
      </c>
      <c r="BA831" s="220">
        <f t="shared" ca="1" si="2272"/>
        <v>3856847.4000000004</v>
      </c>
      <c r="BB831" s="220">
        <f t="shared" ca="1" si="2272"/>
        <v>11818681.52</v>
      </c>
      <c r="BC831" s="220">
        <f t="shared" ca="1" si="2272"/>
        <v>23716111.969999999</v>
      </c>
      <c r="BD831" s="220">
        <f t="shared" ca="1" si="2272"/>
        <v>0</v>
      </c>
      <c r="BE831" s="220">
        <f t="shared" ca="1" si="2272"/>
        <v>0</v>
      </c>
      <c r="BF831" s="220">
        <f t="shared" ca="1" si="2272"/>
        <v>0</v>
      </c>
      <c r="BG831" s="220">
        <f t="shared" ref="BG831:CL831" ca="1" si="2273">BG758+BG558+BG463+BG827</f>
        <v>0</v>
      </c>
      <c r="BH831" s="220">
        <f t="shared" ca="1" si="2273"/>
        <v>0</v>
      </c>
      <c r="BI831" s="220">
        <f t="shared" ca="1" si="2273"/>
        <v>0</v>
      </c>
      <c r="BJ831" s="220">
        <f t="shared" ca="1" si="2273"/>
        <v>0</v>
      </c>
      <c r="BK831" s="220">
        <f t="shared" ca="1" si="2273"/>
        <v>0</v>
      </c>
      <c r="BL831" s="220">
        <f t="shared" ca="1" si="2273"/>
        <v>0</v>
      </c>
      <c r="BM831" s="220">
        <f t="shared" ca="1" si="2273"/>
        <v>0</v>
      </c>
      <c r="BN831" s="220">
        <f t="shared" ca="1" si="2273"/>
        <v>0</v>
      </c>
      <c r="BO831" s="220">
        <f t="shared" ca="1" si="2273"/>
        <v>0</v>
      </c>
      <c r="BP831" s="220">
        <f t="shared" ca="1" si="2273"/>
        <v>0</v>
      </c>
      <c r="BQ831" s="220">
        <f t="shared" ca="1" si="2273"/>
        <v>0</v>
      </c>
      <c r="BR831" s="220">
        <f t="shared" ca="1" si="2273"/>
        <v>0</v>
      </c>
      <c r="BS831" s="220">
        <f t="shared" ca="1" si="2273"/>
        <v>0</v>
      </c>
      <c r="BT831" s="220">
        <f t="shared" ca="1" si="2273"/>
        <v>0</v>
      </c>
      <c r="BU831" s="220">
        <f t="shared" ca="1" si="2273"/>
        <v>0</v>
      </c>
      <c r="BV831" s="220">
        <f t="shared" ca="1" si="2273"/>
        <v>0</v>
      </c>
      <c r="BW831" s="220">
        <f t="shared" ca="1" si="2273"/>
        <v>0</v>
      </c>
      <c r="BX831" s="220">
        <f t="shared" ca="1" si="2273"/>
        <v>0</v>
      </c>
      <c r="BY831" s="220">
        <f t="shared" ca="1" si="2273"/>
        <v>0</v>
      </c>
      <c r="BZ831" s="220">
        <f t="shared" ca="1" si="2273"/>
        <v>0</v>
      </c>
      <c r="CA831" s="220">
        <f t="shared" ca="1" si="2273"/>
        <v>0</v>
      </c>
      <c r="CB831" s="220">
        <f t="shared" ca="1" si="2273"/>
        <v>0</v>
      </c>
      <c r="CC831" s="220">
        <f t="shared" ca="1" si="2273"/>
        <v>4.0972736314870402E-10</v>
      </c>
      <c r="CD831" s="220">
        <f t="shared" ca="1" si="2273"/>
        <v>0</v>
      </c>
      <c r="CE831" s="220">
        <f t="shared" ca="1" si="2273"/>
        <v>0</v>
      </c>
      <c r="CF831" s="220">
        <f t="shared" ca="1" si="2273"/>
        <v>0</v>
      </c>
      <c r="CG831" s="220">
        <f t="shared" ca="1" si="2273"/>
        <v>0</v>
      </c>
      <c r="CH831" s="220">
        <f t="shared" ca="1" si="2273"/>
        <v>0</v>
      </c>
      <c r="CI831" s="220">
        <f t="shared" ca="1" si="2273"/>
        <v>0</v>
      </c>
      <c r="CJ831" s="220">
        <f t="shared" ca="1" si="2273"/>
        <v>0</v>
      </c>
      <c r="CK831" s="220">
        <f t="shared" ca="1" si="2273"/>
        <v>0</v>
      </c>
      <c r="CL831" s="220">
        <f t="shared" ca="1" si="2273"/>
        <v>0</v>
      </c>
      <c r="CM831" s="220">
        <f t="shared" ref="CM831:DP831" ca="1" si="2274">CM758+CM558+CM463+CM827</f>
        <v>0</v>
      </c>
      <c r="CN831" s="220">
        <f t="shared" ca="1" si="2274"/>
        <v>0</v>
      </c>
      <c r="CO831" s="220">
        <f t="shared" ca="1" si="2274"/>
        <v>0</v>
      </c>
      <c r="CP831" s="220">
        <f t="shared" ca="1" si="2274"/>
        <v>0</v>
      </c>
      <c r="CQ831" s="220">
        <f t="shared" ca="1" si="2274"/>
        <v>0</v>
      </c>
      <c r="CR831" s="220">
        <f t="shared" ca="1" si="2274"/>
        <v>0</v>
      </c>
      <c r="CS831" s="220">
        <f t="shared" ca="1" si="2274"/>
        <v>0</v>
      </c>
      <c r="CT831" s="220">
        <f t="shared" ca="1" si="2274"/>
        <v>0</v>
      </c>
      <c r="CU831" s="220">
        <f t="shared" ca="1" si="2274"/>
        <v>0</v>
      </c>
      <c r="CV831" s="220">
        <f t="shared" ca="1" si="2274"/>
        <v>0</v>
      </c>
      <c r="CW831" s="220">
        <f t="shared" ca="1" si="2274"/>
        <v>0</v>
      </c>
      <c r="CX831" s="220">
        <f t="shared" ca="1" si="2274"/>
        <v>0</v>
      </c>
      <c r="CY831" s="220">
        <f t="shared" ca="1" si="2274"/>
        <v>0</v>
      </c>
      <c r="CZ831" s="220">
        <f t="shared" ca="1" si="2274"/>
        <v>0</v>
      </c>
      <c r="DA831" s="220">
        <f t="shared" ca="1" si="2274"/>
        <v>0</v>
      </c>
      <c r="DB831" s="220">
        <f t="shared" ca="1" si="2274"/>
        <v>0</v>
      </c>
      <c r="DC831" s="220">
        <f t="shared" ca="1" si="2274"/>
        <v>0</v>
      </c>
      <c r="DD831" s="220">
        <f t="shared" ca="1" si="2274"/>
        <v>0</v>
      </c>
      <c r="DE831" s="220">
        <f t="shared" ca="1" si="2274"/>
        <v>0</v>
      </c>
      <c r="DF831" s="220">
        <f t="shared" ca="1" si="2274"/>
        <v>0</v>
      </c>
      <c r="DG831" s="220">
        <f t="shared" ca="1" si="2274"/>
        <v>0</v>
      </c>
      <c r="DH831" s="220">
        <f t="shared" ca="1" si="2274"/>
        <v>0</v>
      </c>
      <c r="DI831" s="220">
        <f t="shared" ca="1" si="2274"/>
        <v>0</v>
      </c>
      <c r="DJ831" s="220">
        <f t="shared" ca="1" si="2274"/>
        <v>0</v>
      </c>
      <c r="DK831" s="220">
        <f t="shared" ca="1" si="2274"/>
        <v>0</v>
      </c>
      <c r="DL831" s="220">
        <f t="shared" ca="1" si="2274"/>
        <v>0</v>
      </c>
      <c r="DM831" s="220">
        <f t="shared" ca="1" si="2274"/>
        <v>0</v>
      </c>
      <c r="DN831" s="220">
        <f t="shared" ca="1" si="2274"/>
        <v>0</v>
      </c>
      <c r="DO831" s="220">
        <f t="shared" ca="1" si="2274"/>
        <v>0</v>
      </c>
      <c r="DP831" s="220">
        <f t="shared" ca="1" si="2274"/>
        <v>0</v>
      </c>
    </row>
    <row r="832" spans="1:120" s="27" customFormat="1">
      <c r="A832"/>
      <c r="B832"/>
      <c r="C832" s="7"/>
      <c r="D832" s="1599"/>
      <c r="E832" s="8"/>
      <c r="F832" s="211"/>
      <c r="G832" s="211"/>
      <c r="J832" s="1387"/>
      <c r="K832" s="1387"/>
      <c r="L832" s="441"/>
      <c r="M832" s="441"/>
      <c r="N832" s="442"/>
      <c r="O832" s="443"/>
      <c r="P832" s="444"/>
      <c r="Q832" s="444"/>
      <c r="R832" s="442"/>
      <c r="S832" s="442"/>
      <c r="T832" s="1103" t="s">
        <v>258</v>
      </c>
      <c r="U832" s="1108">
        <v>183925362742</v>
      </c>
      <c r="V832" s="1148">
        <f>U831*B4-U832</f>
        <v>1.010009765625</v>
      </c>
      <c r="W832" s="1149">
        <f>+V832/B4</f>
        <v>2.1632250281109446E-4</v>
      </c>
      <c r="X832" s="212"/>
      <c r="Y832" s="1860">
        <f ca="1">+U833-Y833</f>
        <v>-2335.50998878479</v>
      </c>
      <c r="Z832" s="44"/>
      <c r="AA832" s="220">
        <f t="shared" ref="AA832:BF832" ca="1" si="2275">$B$4-AA6</f>
        <v>-91.609999999999673</v>
      </c>
      <c r="AB832" s="220">
        <f t="shared" ca="1" si="2275"/>
        <v>-76.039999999999964</v>
      </c>
      <c r="AC832" s="220">
        <f t="shared" ca="1" si="2275"/>
        <v>-229.73999999999978</v>
      </c>
      <c r="AD832" s="220">
        <f t="shared" ca="1" si="2275"/>
        <v>-146.59000000000015</v>
      </c>
      <c r="AE832" s="220">
        <f t="shared" ca="1" si="2275"/>
        <v>280.97999999999956</v>
      </c>
      <c r="AF832" s="220">
        <f t="shared" ca="1" si="2275"/>
        <v>-141.19999999999982</v>
      </c>
      <c r="AG832" s="220">
        <f t="shared" ca="1" si="2275"/>
        <v>-141.19999999999982</v>
      </c>
      <c r="AH832" s="220">
        <f t="shared" ca="1" si="2275"/>
        <v>-255</v>
      </c>
      <c r="AI832" s="220">
        <f t="shared" ca="1" si="2275"/>
        <v>-79.539999999999964</v>
      </c>
      <c r="AJ832" s="220">
        <f t="shared" ca="1" si="2275"/>
        <v>-24.989999999999782</v>
      </c>
      <c r="AK832" s="220">
        <f t="shared" ca="1" si="2275"/>
        <v>137.25</v>
      </c>
      <c r="AL832" s="220">
        <f t="shared" ca="1" si="2275"/>
        <v>120.5</v>
      </c>
      <c r="AM832" s="220">
        <f t="shared" ca="1" si="2275"/>
        <v>36.800000000000182</v>
      </c>
      <c r="AN832" s="220">
        <f t="shared" ca="1" si="2275"/>
        <v>20.300000000000182</v>
      </c>
      <c r="AO832" s="220">
        <f t="shared" ca="1" si="2275"/>
        <v>-184.89999999999964</v>
      </c>
      <c r="AP832" s="220">
        <f t="shared" ca="1" si="2275"/>
        <v>-180.64999999999964</v>
      </c>
      <c r="AQ832" s="220">
        <f t="shared" ca="1" si="2275"/>
        <v>-139.14000000000033</v>
      </c>
      <c r="AR832" s="220">
        <f t="shared" ca="1" si="2275"/>
        <v>-145.10999999999967</v>
      </c>
      <c r="AS832" s="220">
        <f t="shared" ca="1" si="2275"/>
        <v>-179.77999999999975</v>
      </c>
      <c r="AT832" s="220">
        <f t="shared" ca="1" si="2275"/>
        <v>-111.89000000000033</v>
      </c>
      <c r="AU832" s="220">
        <f t="shared" ca="1" si="2275"/>
        <v>-75.949999999999818</v>
      </c>
      <c r="AV832" s="220">
        <f t="shared" ca="1" si="2275"/>
        <v>-86.119999999999891</v>
      </c>
      <c r="AW832" s="220">
        <f t="shared" ca="1" si="2275"/>
        <v>10.210000000000036</v>
      </c>
      <c r="AX832" s="220">
        <f t="shared" ca="1" si="2275"/>
        <v>41.729999999999563</v>
      </c>
      <c r="AY832" s="220">
        <f t="shared" ca="1" si="2275"/>
        <v>22.920000000000073</v>
      </c>
      <c r="AZ832" s="220">
        <f t="shared" ca="1" si="2275"/>
        <v>22.920000000000073</v>
      </c>
      <c r="BA832" s="220">
        <f t="shared" ca="1" si="2275"/>
        <v>66</v>
      </c>
      <c r="BB832" s="220">
        <f t="shared" ca="1" si="2275"/>
        <v>182.39999999999964</v>
      </c>
      <c r="BC832" s="220">
        <f t="shared" ca="1" si="2275"/>
        <v>116.40999999999985</v>
      </c>
      <c r="BD832" s="220">
        <f t="shared" ca="1" si="2275"/>
        <v>0</v>
      </c>
      <c r="BE832" s="220">
        <f t="shared" ca="1" si="2275"/>
        <v>4669</v>
      </c>
      <c r="BF832" s="220">
        <f t="shared" ca="1" si="2275"/>
        <v>4669</v>
      </c>
      <c r="BG832" s="220">
        <f t="shared" ref="BG832:CL832" ca="1" si="2276">$B$4-BG6</f>
        <v>4669</v>
      </c>
      <c r="BH832" s="220">
        <f t="shared" ca="1" si="2276"/>
        <v>4669</v>
      </c>
      <c r="BI832" s="220">
        <f t="shared" ca="1" si="2276"/>
        <v>4669</v>
      </c>
      <c r="BJ832" s="220">
        <f t="shared" ca="1" si="2276"/>
        <v>4669</v>
      </c>
      <c r="BK832" s="220">
        <f t="shared" ca="1" si="2276"/>
        <v>4669</v>
      </c>
      <c r="BL832" s="220">
        <f t="shared" ca="1" si="2276"/>
        <v>4669</v>
      </c>
      <c r="BM832" s="220">
        <f t="shared" ca="1" si="2276"/>
        <v>4669</v>
      </c>
      <c r="BN832" s="220">
        <f t="shared" ca="1" si="2276"/>
        <v>4669</v>
      </c>
      <c r="BO832" s="220">
        <f t="shared" ca="1" si="2276"/>
        <v>4669</v>
      </c>
      <c r="BP832" s="220">
        <f t="shared" ca="1" si="2276"/>
        <v>4669</v>
      </c>
      <c r="BQ832" s="220">
        <f t="shared" ca="1" si="2276"/>
        <v>4669</v>
      </c>
      <c r="BR832" s="220">
        <f t="shared" ca="1" si="2276"/>
        <v>4669</v>
      </c>
      <c r="BS832" s="220">
        <f t="shared" ca="1" si="2276"/>
        <v>4669</v>
      </c>
      <c r="BT832" s="220">
        <f t="shared" ca="1" si="2276"/>
        <v>4669</v>
      </c>
      <c r="BU832" s="220">
        <f t="shared" ca="1" si="2276"/>
        <v>4669</v>
      </c>
      <c r="BV832" s="220">
        <f t="shared" ca="1" si="2276"/>
        <v>4669</v>
      </c>
      <c r="BW832" s="220">
        <f t="shared" ca="1" si="2276"/>
        <v>4669</v>
      </c>
      <c r="BX832" s="220">
        <f t="shared" ca="1" si="2276"/>
        <v>4669</v>
      </c>
      <c r="BY832" s="220">
        <f t="shared" ca="1" si="2276"/>
        <v>4669</v>
      </c>
      <c r="BZ832" s="220">
        <f t="shared" ca="1" si="2276"/>
        <v>4669</v>
      </c>
      <c r="CA832" s="220">
        <f t="shared" ca="1" si="2276"/>
        <v>4669</v>
      </c>
      <c r="CB832" s="220">
        <f t="shared" ca="1" si="2276"/>
        <v>4669</v>
      </c>
      <c r="CC832" s="220">
        <f t="shared" ca="1" si="2276"/>
        <v>4669</v>
      </c>
      <c r="CD832" s="220">
        <f t="shared" ca="1" si="2276"/>
        <v>4669</v>
      </c>
      <c r="CE832" s="220">
        <f t="shared" ca="1" si="2276"/>
        <v>4669</v>
      </c>
      <c r="CF832" s="220">
        <f t="shared" ca="1" si="2276"/>
        <v>4669</v>
      </c>
      <c r="CG832" s="220">
        <f t="shared" ca="1" si="2276"/>
        <v>4669</v>
      </c>
      <c r="CH832" s="220">
        <f t="shared" ca="1" si="2276"/>
        <v>4669</v>
      </c>
      <c r="CI832" s="220">
        <f t="shared" ca="1" si="2276"/>
        <v>4669</v>
      </c>
      <c r="CJ832" s="220">
        <f t="shared" ca="1" si="2276"/>
        <v>4669</v>
      </c>
      <c r="CK832" s="220">
        <f t="shared" ca="1" si="2276"/>
        <v>4669</v>
      </c>
      <c r="CL832" s="220">
        <f t="shared" ca="1" si="2276"/>
        <v>4669</v>
      </c>
      <c r="CM832" s="220">
        <f t="shared" ref="CM832:DP832" ca="1" si="2277">$B$4-CM6</f>
        <v>4669</v>
      </c>
      <c r="CN832" s="220">
        <f t="shared" ca="1" si="2277"/>
        <v>4669</v>
      </c>
      <c r="CO832" s="220">
        <f t="shared" ca="1" si="2277"/>
        <v>4669</v>
      </c>
      <c r="CP832" s="220">
        <f t="shared" ca="1" si="2277"/>
        <v>4669</v>
      </c>
      <c r="CQ832" s="220">
        <f t="shared" ca="1" si="2277"/>
        <v>4669</v>
      </c>
      <c r="CR832" s="220">
        <f t="shared" ca="1" si="2277"/>
        <v>4669</v>
      </c>
      <c r="CS832" s="220">
        <f t="shared" ca="1" si="2277"/>
        <v>4669</v>
      </c>
      <c r="CT832" s="220">
        <f t="shared" ca="1" si="2277"/>
        <v>4669</v>
      </c>
      <c r="CU832" s="220">
        <f t="shared" ca="1" si="2277"/>
        <v>4669</v>
      </c>
      <c r="CV832" s="220">
        <f t="shared" ca="1" si="2277"/>
        <v>4669</v>
      </c>
      <c r="CW832" s="220">
        <f t="shared" ca="1" si="2277"/>
        <v>4669</v>
      </c>
      <c r="CX832" s="220">
        <f t="shared" ca="1" si="2277"/>
        <v>4669</v>
      </c>
      <c r="CY832" s="220">
        <f t="shared" ca="1" si="2277"/>
        <v>4669</v>
      </c>
      <c r="CZ832" s="220">
        <f t="shared" ca="1" si="2277"/>
        <v>4669</v>
      </c>
      <c r="DA832" s="220">
        <f t="shared" ca="1" si="2277"/>
        <v>4669</v>
      </c>
      <c r="DB832" s="220">
        <f t="shared" ca="1" si="2277"/>
        <v>4669</v>
      </c>
      <c r="DC832" s="220">
        <f t="shared" ca="1" si="2277"/>
        <v>4669</v>
      </c>
      <c r="DD832" s="220">
        <f t="shared" ca="1" si="2277"/>
        <v>4669</v>
      </c>
      <c r="DE832" s="220">
        <f t="shared" ca="1" si="2277"/>
        <v>4669</v>
      </c>
      <c r="DF832" s="220">
        <f t="shared" ca="1" si="2277"/>
        <v>4669</v>
      </c>
      <c r="DG832" s="220">
        <f t="shared" ca="1" si="2277"/>
        <v>4669</v>
      </c>
      <c r="DH832" s="220">
        <f t="shared" ca="1" si="2277"/>
        <v>4669</v>
      </c>
      <c r="DI832" s="220">
        <f t="shared" ca="1" si="2277"/>
        <v>4669</v>
      </c>
      <c r="DJ832" s="220">
        <f t="shared" ca="1" si="2277"/>
        <v>4669</v>
      </c>
      <c r="DK832" s="220">
        <f t="shared" ca="1" si="2277"/>
        <v>4669</v>
      </c>
      <c r="DL832" s="220">
        <f t="shared" ca="1" si="2277"/>
        <v>4669</v>
      </c>
      <c r="DM832" s="220">
        <f t="shared" ca="1" si="2277"/>
        <v>4669</v>
      </c>
      <c r="DN832" s="220">
        <f t="shared" ca="1" si="2277"/>
        <v>4669</v>
      </c>
      <c r="DO832" s="220">
        <f t="shared" ca="1" si="2277"/>
        <v>4669</v>
      </c>
      <c r="DP832" s="220">
        <f t="shared" ca="1" si="2277"/>
        <v>4669</v>
      </c>
    </row>
    <row r="833" spans="1:132" s="27" customFormat="1">
      <c r="A833"/>
      <c r="B833"/>
      <c r="C833" s="7"/>
      <c r="D833" s="7"/>
      <c r="E833" s="8"/>
      <c r="F833" s="211"/>
      <c r="G833" s="211"/>
      <c r="J833" s="1387"/>
      <c r="K833" s="1387"/>
      <c r="L833" s="441"/>
      <c r="M833" s="441"/>
      <c r="N833" s="442"/>
      <c r="O833" s="443"/>
      <c r="P833" s="444"/>
      <c r="Q833" s="444"/>
      <c r="R833" s="442"/>
      <c r="S833" s="442"/>
      <c r="T833" s="2280">
        <f>+U831*B4</f>
        <v>183925362743.01001</v>
      </c>
      <c r="U833" s="1961">
        <f ca="1">+U832-V830</f>
        <v>5171418364.6477051</v>
      </c>
      <c r="V833" s="1962" t="s">
        <v>1319</v>
      </c>
      <c r="W833" s="1963"/>
      <c r="X833" s="1964"/>
      <c r="Y833" s="2016">
        <f ca="1">SUM(AA833:DP833)</f>
        <v>5171420700.1576939</v>
      </c>
      <c r="Z833" s="44"/>
      <c r="AA833" s="1057">
        <f t="shared" ref="AA833:AE833" ca="1" si="2278">+AA831*AA832</f>
        <v>1.9196653738617828E-7</v>
      </c>
      <c r="AB833" s="1057">
        <f t="shared" ca="1" si="2278"/>
        <v>0</v>
      </c>
      <c r="AC833" s="1057">
        <f t="shared" ca="1" si="2278"/>
        <v>5.3490512073039958E-8</v>
      </c>
      <c r="AD833" s="1057">
        <f t="shared" ca="1" si="2278"/>
        <v>0</v>
      </c>
      <c r="AE833" s="1057">
        <f t="shared" ca="1" si="2278"/>
        <v>348668.08199999947</v>
      </c>
      <c r="AF833" s="1057">
        <f ca="1">+AF831*AF832</f>
        <v>0</v>
      </c>
      <c r="AG833" s="1057">
        <f t="shared" ref="AG833:CN833" ca="1" si="2279">+AG831*AG832</f>
        <v>0</v>
      </c>
      <c r="AH833" s="1057">
        <f t="shared" ca="1" si="2279"/>
        <v>0</v>
      </c>
      <c r="AI833" s="1057">
        <f t="shared" ca="1" si="2279"/>
        <v>4.6298373490571955E-8</v>
      </c>
      <c r="AJ833" s="1057">
        <f t="shared" ca="1" si="2279"/>
        <v>5.8184377849101512E-9</v>
      </c>
      <c r="AK833" s="1057">
        <f t="shared" ca="1" si="2279"/>
        <v>-3.1956005841493607E-8</v>
      </c>
      <c r="AL833" s="1057">
        <f t="shared" ca="1" si="2279"/>
        <v>0</v>
      </c>
      <c r="AM833" s="1057">
        <f t="shared" ca="1" si="2279"/>
        <v>8.5681676864624447E-9</v>
      </c>
      <c r="AN833" s="1057">
        <f t="shared" ca="1" si="2279"/>
        <v>0</v>
      </c>
      <c r="AO833" s="1057">
        <f t="shared" ca="1" si="2279"/>
        <v>0</v>
      </c>
      <c r="AP833" s="1057">
        <f t="shared" ca="1" si="2279"/>
        <v>0</v>
      </c>
      <c r="AQ833" s="1057">
        <f t="shared" ca="1" si="2279"/>
        <v>0</v>
      </c>
      <c r="AR833" s="1057">
        <f t="shared" ca="1" si="2279"/>
        <v>0</v>
      </c>
      <c r="AS833" s="1057">
        <f t="shared" ca="1" si="2279"/>
        <v>7.8484299592673667E-9</v>
      </c>
      <c r="AT833" s="1057">
        <f t="shared" ca="1" si="2279"/>
        <v>0</v>
      </c>
      <c r="AU833" s="1057">
        <f t="shared" ca="1" si="2279"/>
        <v>0</v>
      </c>
      <c r="AV833" s="1057">
        <f t="shared" ca="1" si="2279"/>
        <v>0</v>
      </c>
      <c r="AW833" s="1057">
        <f t="shared" ca="1" si="2279"/>
        <v>0</v>
      </c>
      <c r="AX833" s="1057">
        <f t="shared" ca="1" si="2279"/>
        <v>0</v>
      </c>
      <c r="AY833" s="1057">
        <f t="shared" ca="1" si="2279"/>
        <v>0</v>
      </c>
      <c r="AZ833" s="1057">
        <f t="shared" ca="1" si="2279"/>
        <v>0</v>
      </c>
      <c r="BA833" s="1057">
        <f t="shared" ca="1" si="2279"/>
        <v>254551928.40000004</v>
      </c>
      <c r="BB833" s="1057">
        <f t="shared" ca="1" si="2279"/>
        <v>2155727509.2479959</v>
      </c>
      <c r="BC833" s="1057">
        <f t="shared" ca="1" si="2279"/>
        <v>2760792594.4276962</v>
      </c>
      <c r="BD833" s="1057">
        <f t="shared" ca="1" si="2279"/>
        <v>0</v>
      </c>
      <c r="BE833" s="1057">
        <f t="shared" ca="1" si="2279"/>
        <v>0</v>
      </c>
      <c r="BF833" s="1057">
        <f t="shared" ca="1" si="2279"/>
        <v>0</v>
      </c>
      <c r="BG833" s="1057">
        <f t="shared" ca="1" si="2279"/>
        <v>0</v>
      </c>
      <c r="BH833" s="1057">
        <f t="shared" ca="1" si="2279"/>
        <v>0</v>
      </c>
      <c r="BI833" s="1057">
        <f t="shared" ca="1" si="2279"/>
        <v>0</v>
      </c>
      <c r="BJ833" s="1057">
        <f t="shared" ca="1" si="2279"/>
        <v>0</v>
      </c>
      <c r="BK833" s="1057">
        <f t="shared" ca="1" si="2279"/>
        <v>0</v>
      </c>
      <c r="BL833" s="1057">
        <f t="shared" ca="1" si="2279"/>
        <v>0</v>
      </c>
      <c r="BM833" s="1057">
        <f t="shared" ca="1" si="2279"/>
        <v>0</v>
      </c>
      <c r="BN833" s="1057">
        <f t="shared" ca="1" si="2279"/>
        <v>0</v>
      </c>
      <c r="BO833" s="1057">
        <f t="shared" ca="1" si="2279"/>
        <v>0</v>
      </c>
      <c r="BP833" s="1057">
        <f t="shared" ca="1" si="2279"/>
        <v>0</v>
      </c>
      <c r="BQ833" s="1057">
        <f t="shared" ca="1" si="2279"/>
        <v>0</v>
      </c>
      <c r="BR833" s="1057">
        <f t="shared" ca="1" si="2279"/>
        <v>0</v>
      </c>
      <c r="BS833" s="1057">
        <f t="shared" ca="1" si="2279"/>
        <v>0</v>
      </c>
      <c r="BT833" s="1057">
        <f t="shared" ca="1" si="2279"/>
        <v>0</v>
      </c>
      <c r="BU833" s="1057">
        <f t="shared" ca="1" si="2279"/>
        <v>0</v>
      </c>
      <c r="BV833" s="1057">
        <f t="shared" ca="1" si="2279"/>
        <v>0</v>
      </c>
      <c r="BW833" s="1057">
        <f t="shared" ca="1" si="2279"/>
        <v>0</v>
      </c>
      <c r="BX833" s="1057">
        <f t="shared" ca="1" si="2279"/>
        <v>0</v>
      </c>
      <c r="BY833" s="1057">
        <f t="shared" ca="1" si="2279"/>
        <v>0</v>
      </c>
      <c r="BZ833" s="1057">
        <f t="shared" ca="1" si="2279"/>
        <v>0</v>
      </c>
      <c r="CA833" s="1057">
        <f t="shared" ca="1" si="2279"/>
        <v>0</v>
      </c>
      <c r="CB833" s="1057">
        <f t="shared" ca="1" si="2279"/>
        <v>0</v>
      </c>
      <c r="CC833" s="1057">
        <f t="shared" ca="1" si="2279"/>
        <v>1.9130170585412989E-6</v>
      </c>
      <c r="CD833" s="1057">
        <f t="shared" ca="1" si="2279"/>
        <v>0</v>
      </c>
      <c r="CE833" s="1057">
        <f t="shared" ca="1" si="2279"/>
        <v>0</v>
      </c>
      <c r="CF833" s="1057">
        <f t="shared" ca="1" si="2279"/>
        <v>0</v>
      </c>
      <c r="CG833" s="1057">
        <f t="shared" ca="1" si="2279"/>
        <v>0</v>
      </c>
      <c r="CH833" s="1057">
        <f t="shared" ca="1" si="2279"/>
        <v>0</v>
      </c>
      <c r="CI833" s="1057">
        <f t="shared" ca="1" si="2279"/>
        <v>0</v>
      </c>
      <c r="CJ833" s="1057">
        <f t="shared" ca="1" si="2279"/>
        <v>0</v>
      </c>
      <c r="CK833" s="1057">
        <f t="shared" ca="1" si="2279"/>
        <v>0</v>
      </c>
      <c r="CL833" s="1057">
        <f t="shared" ca="1" si="2279"/>
        <v>0</v>
      </c>
      <c r="CM833" s="1057">
        <f t="shared" ca="1" si="2279"/>
        <v>0</v>
      </c>
      <c r="CN833" s="1057">
        <f t="shared" ca="1" si="2279"/>
        <v>0</v>
      </c>
      <c r="CO833" s="1057">
        <f t="shared" ref="CO833:DM833" ca="1" si="2280">+CO831*CO832</f>
        <v>0</v>
      </c>
      <c r="CP833" s="1057">
        <f t="shared" ca="1" si="2280"/>
        <v>0</v>
      </c>
      <c r="CQ833" s="1057">
        <f t="shared" ca="1" si="2280"/>
        <v>0</v>
      </c>
      <c r="CR833" s="1057">
        <f t="shared" ca="1" si="2280"/>
        <v>0</v>
      </c>
      <c r="CS833" s="1057">
        <f t="shared" ca="1" si="2280"/>
        <v>0</v>
      </c>
      <c r="CT833" s="1057">
        <f t="shared" ca="1" si="2280"/>
        <v>0</v>
      </c>
      <c r="CU833" s="1057">
        <f t="shared" ca="1" si="2280"/>
        <v>0</v>
      </c>
      <c r="CV833" s="1057">
        <f t="shared" ca="1" si="2280"/>
        <v>0</v>
      </c>
      <c r="CW833" s="1057">
        <f t="shared" ca="1" si="2280"/>
        <v>0</v>
      </c>
      <c r="CX833" s="1057">
        <f t="shared" ca="1" si="2280"/>
        <v>0</v>
      </c>
      <c r="CY833" s="1057">
        <f t="shared" ca="1" si="2280"/>
        <v>0</v>
      </c>
      <c r="CZ833" s="1057">
        <f t="shared" ca="1" si="2280"/>
        <v>0</v>
      </c>
      <c r="DA833" s="1057">
        <f t="shared" ca="1" si="2280"/>
        <v>0</v>
      </c>
      <c r="DB833" s="1057">
        <f t="shared" ca="1" si="2280"/>
        <v>0</v>
      </c>
      <c r="DC833" s="1057">
        <f t="shared" ca="1" si="2280"/>
        <v>0</v>
      </c>
      <c r="DD833" s="1057">
        <f t="shared" ca="1" si="2280"/>
        <v>0</v>
      </c>
      <c r="DE833" s="1057">
        <f t="shared" ca="1" si="2280"/>
        <v>0</v>
      </c>
      <c r="DF833" s="1057">
        <f t="shared" ca="1" si="2280"/>
        <v>0</v>
      </c>
      <c r="DG833" s="1057">
        <f t="shared" ca="1" si="2280"/>
        <v>0</v>
      </c>
      <c r="DH833" s="1057">
        <f t="shared" ca="1" si="2280"/>
        <v>0</v>
      </c>
      <c r="DI833" s="1057">
        <f t="shared" ca="1" si="2280"/>
        <v>0</v>
      </c>
      <c r="DJ833" s="1057">
        <f t="shared" ca="1" si="2280"/>
        <v>0</v>
      </c>
      <c r="DK833" s="1057">
        <f t="shared" ca="1" si="2280"/>
        <v>0</v>
      </c>
      <c r="DL833" s="1057">
        <f t="shared" ca="1" si="2280"/>
        <v>0</v>
      </c>
      <c r="DM833" s="1057">
        <f t="shared" ca="1" si="2280"/>
        <v>0</v>
      </c>
      <c r="DN833" s="1057">
        <f t="shared" ref="DN833:DO833" ca="1" si="2281">+DN831*DN832</f>
        <v>0</v>
      </c>
      <c r="DO833" s="1057">
        <f t="shared" ca="1" si="2281"/>
        <v>0</v>
      </c>
      <c r="DP833" s="1057">
        <f t="shared" ref="DP833" ca="1" si="2282">+DP831*DP832</f>
        <v>0</v>
      </c>
    </row>
    <row r="834" spans="1:132" s="27" customFormat="1">
      <c r="A834"/>
      <c r="B834"/>
      <c r="C834" s="7"/>
      <c r="D834" s="7"/>
      <c r="E834" s="8"/>
      <c r="F834" s="211"/>
      <c r="G834" s="211"/>
      <c r="L834" s="441"/>
      <c r="M834" s="441"/>
      <c r="N834" s="442"/>
      <c r="O834" s="443"/>
      <c r="P834" s="444"/>
      <c r="Q834" s="444"/>
      <c r="R834" s="442"/>
      <c r="S834" s="442"/>
      <c r="T834" s="2280">
        <f>+U832-T833</f>
        <v>-1.010009765625</v>
      </c>
      <c r="U834" s="2022"/>
      <c r="V834" s="1068"/>
      <c r="W834" s="1149"/>
      <c r="X834" s="2023"/>
      <c r="Y834" s="2024"/>
      <c r="Z834" s="44"/>
      <c r="AA834" s="1057"/>
      <c r="AB834" s="1057"/>
      <c r="AC834" s="1057"/>
      <c r="AD834" s="1057"/>
      <c r="AE834" s="1057"/>
      <c r="AF834" s="1057"/>
      <c r="AG834" s="1057"/>
      <c r="AH834" s="1057"/>
      <c r="AI834" s="1057"/>
      <c r="AJ834" s="1057"/>
      <c r="AK834" s="1057"/>
      <c r="AL834" s="1057"/>
      <c r="AM834" s="1057"/>
      <c r="AN834" s="1057"/>
      <c r="AO834" s="1057"/>
      <c r="AP834" s="1057"/>
      <c r="AQ834" s="1057"/>
      <c r="AR834" s="1057"/>
      <c r="AS834" s="1057"/>
      <c r="AT834" s="1057"/>
      <c r="AU834" s="1057"/>
      <c r="AV834" s="1057"/>
      <c r="AW834" s="1057"/>
      <c r="AX834" s="1057"/>
      <c r="AY834" s="1057"/>
      <c r="AZ834" s="1057"/>
      <c r="BA834" s="1057"/>
      <c r="BB834" s="1057"/>
      <c r="BC834" s="1057"/>
      <c r="BD834" s="1057"/>
      <c r="BE834" s="1057"/>
      <c r="BF834" s="1057"/>
      <c r="BG834" s="1057"/>
      <c r="BH834" s="1057"/>
      <c r="BI834" s="1057"/>
      <c r="BJ834" s="1057"/>
      <c r="BK834" s="1057"/>
      <c r="BL834" s="1057"/>
      <c r="BM834" s="1057"/>
      <c r="BN834" s="1057"/>
      <c r="BO834" s="1057"/>
      <c r="BP834" s="1057"/>
      <c r="BQ834" s="1057"/>
      <c r="BR834" s="1057"/>
      <c r="BS834" s="1057"/>
      <c r="BT834" s="1057"/>
      <c r="BU834" s="1057"/>
      <c r="BV834" s="1057"/>
      <c r="BW834" s="1057"/>
      <c r="BX834" s="1057"/>
      <c r="BY834" s="1057"/>
      <c r="BZ834" s="1057"/>
      <c r="CA834" s="1057"/>
      <c r="CB834" s="1057"/>
      <c r="CC834" s="1057"/>
      <c r="CD834" s="1057"/>
      <c r="CE834" s="1057"/>
      <c r="CF834" s="1057"/>
      <c r="CG834" s="1057"/>
      <c r="CH834" s="1057"/>
      <c r="CI834" s="1057"/>
      <c r="CJ834" s="1057"/>
      <c r="CK834" s="1057"/>
      <c r="CL834" s="1057"/>
      <c r="CM834" s="1057"/>
      <c r="CN834" s="1057"/>
      <c r="CO834" s="1057"/>
      <c r="CP834" s="1057"/>
      <c r="CQ834" s="1057"/>
      <c r="CR834" s="1057"/>
      <c r="CS834" s="1057"/>
      <c r="CT834" s="1057"/>
      <c r="CU834" s="1057"/>
      <c r="CV834" s="1057"/>
      <c r="CW834" s="1057"/>
      <c r="CX834" s="1057"/>
      <c r="CY834" s="1057"/>
      <c r="CZ834" s="1057"/>
      <c r="DA834" s="1057"/>
      <c r="DB834" s="1057"/>
      <c r="DC834" s="1057"/>
      <c r="DD834" s="1057"/>
      <c r="DE834" s="1057"/>
      <c r="DF834" s="1057"/>
      <c r="DG834" s="1057"/>
      <c r="DH834" s="1057"/>
      <c r="DI834" s="1057"/>
      <c r="DJ834" s="1057"/>
      <c r="DK834" s="1057"/>
      <c r="DL834" s="1057"/>
      <c r="DM834" s="1057"/>
      <c r="DN834" s="1057"/>
      <c r="DO834" s="1057"/>
      <c r="DP834" s="1057"/>
    </row>
    <row r="835" spans="1:132" s="766" customFormat="1" ht="15.75" thickBot="1">
      <c r="A835" s="755"/>
      <c r="B835" s="755"/>
      <c r="C835" s="756"/>
      <c r="D835" s="757"/>
      <c r="E835" s="756"/>
      <c r="F835" s="758"/>
      <c r="G835" s="758"/>
      <c r="H835" s="759"/>
      <c r="I835" s="760"/>
      <c r="J835" s="1388"/>
      <c r="K835" s="1388"/>
      <c r="L835" s="761"/>
      <c r="M835" s="761"/>
      <c r="N835" s="759"/>
      <c r="O835" s="760"/>
      <c r="P835" s="762"/>
      <c r="Q835" s="762"/>
      <c r="R835" s="759"/>
      <c r="S835" s="759"/>
      <c r="T835" s="760"/>
      <c r="U835" s="758"/>
      <c r="V835" s="763"/>
      <c r="W835" s="760"/>
      <c r="X835" s="760"/>
      <c r="Y835" s="756"/>
      <c r="Z835" s="764"/>
      <c r="AA835" s="765"/>
      <c r="AB835" s="765"/>
      <c r="AC835" s="765"/>
      <c r="AD835" s="765"/>
      <c r="AE835" s="765"/>
      <c r="AF835" s="765"/>
      <c r="AG835" s="765"/>
      <c r="AH835" s="765"/>
      <c r="AI835" s="765"/>
      <c r="AJ835" s="765"/>
      <c r="AK835" s="765"/>
      <c r="AL835" s="1579"/>
      <c r="AM835" s="765"/>
      <c r="AN835" s="765"/>
      <c r="AO835" s="765"/>
      <c r="AP835" s="765"/>
      <c r="AQ835" s="765"/>
      <c r="AR835" s="765"/>
      <c r="AS835" s="765"/>
      <c r="AT835" s="765"/>
      <c r="AU835" s="765"/>
      <c r="AV835" s="765"/>
      <c r="AW835" s="765"/>
    </row>
    <row r="836" spans="1:132" ht="19.5" thickBot="1">
      <c r="A836" s="488" t="s">
        <v>1355</v>
      </c>
      <c r="B836" s="489"/>
      <c r="C836" s="490"/>
      <c r="D836" s="491"/>
      <c r="E836" s="490"/>
      <c r="F836" s="492"/>
      <c r="G836" s="492"/>
      <c r="H836" s="493"/>
      <c r="I836" s="494"/>
      <c r="J836" s="494"/>
      <c r="K836" s="494"/>
      <c r="L836" s="495"/>
      <c r="M836" s="495"/>
      <c r="N836" s="493"/>
      <c r="O836" s="494"/>
      <c r="P836" s="492"/>
      <c r="Q836" s="492"/>
      <c r="R836" s="492"/>
      <c r="S836" s="493"/>
      <c r="T836" s="494"/>
      <c r="U836" s="489"/>
      <c r="V836" s="489"/>
      <c r="W836" s="494"/>
      <c r="X836" s="494"/>
      <c r="Y836" s="496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</row>
    <row r="837" spans="1:132" s="27" customFormat="1" ht="24" thickBot="1">
      <c r="A837" s="2025" t="s">
        <v>1356</v>
      </c>
      <c r="B837" s="768"/>
      <c r="C837" s="2558" t="s">
        <v>57</v>
      </c>
      <c r="D837" s="2560" t="s">
        <v>59</v>
      </c>
      <c r="E837" s="2562" t="s">
        <v>58</v>
      </c>
      <c r="F837" s="2564" t="str">
        <f>$F$6</f>
        <v>SALDO FISCAL 31/12/2022</v>
      </c>
      <c r="G837" s="2565"/>
      <c r="H837" s="2565"/>
      <c r="I837" s="2566"/>
      <c r="J837" s="2567" t="s">
        <v>287</v>
      </c>
      <c r="K837" s="2568"/>
      <c r="L837" s="2569" t="s">
        <v>1416</v>
      </c>
      <c r="M837" s="2570"/>
      <c r="N837" s="2570"/>
      <c r="O837" s="2571"/>
      <c r="P837" s="2572" t="s">
        <v>1415</v>
      </c>
      <c r="Q837" s="2573"/>
      <c r="R837" s="2573"/>
      <c r="S837" s="2573"/>
      <c r="T837" s="2574"/>
      <c r="U837" s="2575" t="s">
        <v>62</v>
      </c>
      <c r="V837" s="2576"/>
      <c r="W837" s="2577" t="s">
        <v>63</v>
      </c>
      <c r="X837" s="2578"/>
      <c r="Y837" s="2579"/>
      <c r="Z837" s="44"/>
      <c r="AA837" s="213"/>
      <c r="AB837" s="213"/>
      <c r="AC837" s="213"/>
      <c r="AD837" s="213"/>
      <c r="AE837" s="213"/>
      <c r="AF837" s="213"/>
      <c r="AG837" s="213"/>
      <c r="AH837" s="213"/>
      <c r="AI837" s="213"/>
      <c r="AJ837" s="213"/>
      <c r="AK837" s="213"/>
      <c r="AL837" s="213"/>
      <c r="AM837" s="213"/>
      <c r="AN837" s="213"/>
      <c r="AO837" s="213"/>
      <c r="AP837" s="213"/>
      <c r="AQ837" s="213"/>
      <c r="AR837" s="213"/>
      <c r="AS837" s="213"/>
      <c r="AT837" s="213"/>
      <c r="AU837" s="213"/>
      <c r="AV837" s="213"/>
      <c r="AW837" s="213"/>
    </row>
    <row r="838" spans="1:132" s="216" customFormat="1" ht="15.75" thickBot="1">
      <c r="A838" s="769" t="s">
        <v>87</v>
      </c>
      <c r="B838" s="770" t="s">
        <v>88</v>
      </c>
      <c r="C838" s="2559"/>
      <c r="D838" s="2561"/>
      <c r="E838" s="2563"/>
      <c r="F838" s="30" t="s">
        <v>1351</v>
      </c>
      <c r="G838" s="1249" t="s">
        <v>64</v>
      </c>
      <c r="H838" s="31" t="s">
        <v>65</v>
      </c>
      <c r="I838" s="32" t="s">
        <v>66</v>
      </c>
      <c r="J838" s="1520" t="s">
        <v>285</v>
      </c>
      <c r="K838" s="1521" t="s">
        <v>286</v>
      </c>
      <c r="L838" s="1522" t="s">
        <v>1352</v>
      </c>
      <c r="M838" s="1523" t="s">
        <v>64</v>
      </c>
      <c r="N838" s="34" t="s">
        <v>68</v>
      </c>
      <c r="O838" s="35" t="s">
        <v>69</v>
      </c>
      <c r="P838" s="1526" t="s">
        <v>1353</v>
      </c>
      <c r="Q838" s="1521" t="s">
        <v>64</v>
      </c>
      <c r="R838" s="37" t="s">
        <v>68</v>
      </c>
      <c r="S838" s="37" t="s">
        <v>71</v>
      </c>
      <c r="T838" s="38" t="s">
        <v>72</v>
      </c>
      <c r="U838" s="39" t="s">
        <v>73</v>
      </c>
      <c r="V838" s="40" t="s">
        <v>74</v>
      </c>
      <c r="W838" s="41" t="s">
        <v>75</v>
      </c>
      <c r="X838" s="42" t="s">
        <v>76</v>
      </c>
      <c r="Y838" s="43"/>
      <c r="Z838" s="214"/>
      <c r="AA838" s="215"/>
      <c r="AB838" s="215"/>
      <c r="AC838" s="215"/>
      <c r="AD838" s="215"/>
      <c r="AE838" s="215"/>
      <c r="AF838" s="215"/>
      <c r="AG838" s="215"/>
      <c r="AH838" s="215"/>
      <c r="AI838" s="215"/>
      <c r="AJ838" s="215"/>
      <c r="AK838" s="215"/>
      <c r="AL838" s="215"/>
      <c r="AM838" s="215"/>
      <c r="AN838" s="215"/>
      <c r="AO838" s="215"/>
      <c r="AP838" s="215"/>
      <c r="AQ838" s="215"/>
      <c r="AR838" s="215"/>
      <c r="AS838" s="215"/>
      <c r="AT838" s="215"/>
      <c r="AU838" s="215"/>
      <c r="AV838" s="215"/>
      <c r="AW838" s="215"/>
    </row>
    <row r="839" spans="1:132" ht="15.75">
      <c r="A839" s="618">
        <v>1201060100</v>
      </c>
      <c r="B839" s="619"/>
      <c r="C839" s="771" t="s">
        <v>64</v>
      </c>
      <c r="D839" s="772"/>
      <c r="E839" s="622"/>
      <c r="F839" s="773"/>
      <c r="G839" s="1273"/>
      <c r="H839" s="620"/>
      <c r="I839" s="774">
        <f>+F839*H839</f>
        <v>0</v>
      </c>
      <c r="J839" s="1367"/>
      <c r="K839" s="1367"/>
      <c r="L839" s="773"/>
      <c r="M839" s="1273"/>
      <c r="N839" s="620"/>
      <c r="O839" s="774">
        <f>+L839*N839</f>
        <v>0</v>
      </c>
      <c r="P839" s="773"/>
      <c r="Q839" s="1273"/>
      <c r="R839" s="620"/>
      <c r="S839" s="620"/>
      <c r="T839" s="774">
        <f>+P839*S839</f>
        <v>0</v>
      </c>
      <c r="U839" s="773">
        <f>+L839+P839+F839</f>
        <v>0</v>
      </c>
      <c r="V839" s="774">
        <f>+P839*R839+L839*N839+F839*H839</f>
        <v>0</v>
      </c>
      <c r="W839" s="776"/>
      <c r="X839" s="621"/>
      <c r="Y839" s="622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</row>
    <row r="840" spans="1:132" outlineLevel="1">
      <c r="A840" s="55"/>
      <c r="B840" s="1209"/>
      <c r="C840" s="679"/>
      <c r="D840" s="1207"/>
      <c r="E840" s="219"/>
      <c r="F840" s="416"/>
      <c r="G840" s="1251"/>
      <c r="H840" s="676"/>
      <c r="I840" s="1193"/>
      <c r="J840" s="1386"/>
      <c r="K840" s="1386"/>
      <c r="L840" s="449"/>
      <c r="M840" s="2026"/>
      <c r="N840" s="415"/>
      <c r="O840" s="1194"/>
      <c r="P840" s="431"/>
      <c r="Q840" s="514"/>
      <c r="R840" s="515"/>
      <c r="S840" s="515"/>
      <c r="T840" s="1190"/>
      <c r="U840" s="418"/>
      <c r="V840" s="1127"/>
      <c r="W840" s="976"/>
      <c r="X840" s="975"/>
      <c r="Y840" s="1128"/>
      <c r="Z840" s="220"/>
      <c r="AA840" s="220"/>
      <c r="AB840" s="220"/>
      <c r="AC840" s="220"/>
      <c r="AD840" s="220"/>
      <c r="AE840" s="220"/>
      <c r="AF840" s="220"/>
      <c r="AG840" s="220"/>
      <c r="AH840" s="220"/>
      <c r="AI840" s="220"/>
      <c r="AJ840" s="220"/>
      <c r="AK840" s="220"/>
      <c r="AL840" s="220"/>
      <c r="AM840" s="220"/>
      <c r="AN840" s="220"/>
      <c r="AO840" s="220"/>
      <c r="AP840" s="220"/>
      <c r="AQ840" s="220"/>
      <c r="AR840" s="220"/>
      <c r="AS840" s="220"/>
      <c r="AT840" s="220"/>
      <c r="AU840" s="220"/>
      <c r="AV840" s="220"/>
      <c r="AW840" s="220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  <c r="CD840" s="24"/>
      <c r="CE840" s="24"/>
      <c r="CF840" s="24"/>
      <c r="CG840" s="24"/>
      <c r="CH840" s="24"/>
      <c r="CI840" s="24"/>
      <c r="CJ840" s="24"/>
      <c r="CK840" s="24"/>
      <c r="CL840" s="24"/>
      <c r="CM840" s="24"/>
      <c r="CN840" s="24"/>
      <c r="CO840" s="24"/>
      <c r="CP840" s="24"/>
      <c r="CQ840" s="24"/>
      <c r="CR840" s="24"/>
      <c r="CS840" s="24"/>
      <c r="CT840" s="24"/>
      <c r="CU840" s="24"/>
      <c r="CV840" s="24"/>
      <c r="CW840" s="24"/>
      <c r="CX840" s="24"/>
      <c r="CY840" s="24"/>
      <c r="CZ840" s="24"/>
      <c r="DA840" s="24"/>
      <c r="DB840" s="24"/>
      <c r="DC840" s="24"/>
      <c r="DD840" s="24"/>
      <c r="DE840" s="24"/>
      <c r="DF840" s="24"/>
      <c r="DG840" s="24"/>
      <c r="DH840" s="24"/>
      <c r="DI840" s="24"/>
      <c r="DJ840" s="24"/>
      <c r="DK840" s="24"/>
      <c r="DL840" s="24"/>
      <c r="DM840" s="24"/>
      <c r="DN840" s="24"/>
      <c r="DO840" s="24"/>
      <c r="DP840" s="24"/>
      <c r="DQ840" s="24"/>
      <c r="DR840" s="24"/>
      <c r="DS840" s="24"/>
      <c r="DT840" s="24"/>
      <c r="DU840" s="24"/>
      <c r="DV840" s="24"/>
      <c r="DW840" s="24"/>
      <c r="DX840" s="24"/>
      <c r="DY840" s="24"/>
      <c r="DZ840" s="24"/>
      <c r="EA840" s="24"/>
      <c r="EB840" s="24"/>
    </row>
    <row r="841" spans="1:132" outlineLevel="1">
      <c r="A841" s="55">
        <v>1201060100</v>
      </c>
      <c r="B841" s="509" t="s">
        <v>1526</v>
      </c>
      <c r="C841" s="679" t="s">
        <v>64</v>
      </c>
      <c r="D841" s="2027">
        <v>7900000771</v>
      </c>
      <c r="E841" s="219">
        <v>44939</v>
      </c>
      <c r="F841" s="416"/>
      <c r="G841" s="1251"/>
      <c r="H841" s="676"/>
      <c r="I841" s="1193">
        <f t="shared" ref="I841" si="2283">+F841*H841</f>
        <v>0</v>
      </c>
      <c r="J841" s="1425">
        <v>1</v>
      </c>
      <c r="K841" s="1426">
        <v>1</v>
      </c>
      <c r="L841" s="449">
        <v>28000000</v>
      </c>
      <c r="M841" s="2026">
        <f t="shared" ref="M841:M847" si="2284">+L841*J841</f>
        <v>28000000</v>
      </c>
      <c r="N841" s="504">
        <f ca="1">IF(OR(E841="",E841&gt;TODAY()),0,IF(ISERROR(VLOOKUP($E841,'TRM BanRep'!$A:$G,7,0)),0,VLOOKUP($E841,'TRM BanRep'!$A:$G,7,0)))</f>
        <v>4692.04</v>
      </c>
      <c r="O841" s="1194">
        <f t="shared" ref="O841:O842" ca="1" si="2285">+L841*N841</f>
        <v>131377120000</v>
      </c>
      <c r="P841" s="431"/>
      <c r="Q841" s="514"/>
      <c r="R841" s="515"/>
      <c r="S841" s="515"/>
      <c r="T841" s="1190">
        <f t="shared" ref="T841:T842" si="2286">+P841*S841</f>
        <v>0</v>
      </c>
      <c r="U841" s="418">
        <f t="shared" ref="U841" si="2287">+L841+P841+F841</f>
        <v>28000000</v>
      </c>
      <c r="V841" s="1127">
        <f t="shared" ref="V841" ca="1" si="2288">+P841*R841+L841*N841+F841*H841</f>
        <v>131377120000</v>
      </c>
      <c r="W841" s="993">
        <f t="shared" ref="W841:W842" si="2289">IF((-P841*R841)-(-P841*S841)&gt;0,(-P841*R841)-(-P841*S841),0)</f>
        <v>0</v>
      </c>
      <c r="X841" s="994">
        <f t="shared" ref="X841:X842" si="2290">IF((-P841*R841)-(-P841*S841)&lt;0,(-P841*R841)-(-P841*S841),0)</f>
        <v>0</v>
      </c>
      <c r="Y841" s="1128"/>
      <c r="Z841" s="220"/>
      <c r="AA841" s="24">
        <f ca="1">$B$4-N841</f>
        <v>-23.039999999999964</v>
      </c>
      <c r="AB841" s="24">
        <f t="shared" ref="AB841:AB847" ca="1" si="2291">+U841*AA841</f>
        <v>-645119999.99999893</v>
      </c>
      <c r="AC841" s="220"/>
      <c r="AD841" s="220"/>
      <c r="AE841" s="220"/>
      <c r="AF841" s="220"/>
      <c r="AG841" s="220"/>
      <c r="AH841" s="220"/>
      <c r="AI841" s="220"/>
      <c r="AJ841" s="220"/>
      <c r="AK841" s="220"/>
      <c r="AL841" s="220"/>
      <c r="AM841" s="220"/>
      <c r="AN841" s="220"/>
      <c r="AO841" s="220"/>
      <c r="AP841" s="220"/>
      <c r="AQ841" s="220"/>
      <c r="AR841" s="220"/>
      <c r="AS841" s="220"/>
      <c r="AT841" s="220"/>
      <c r="AU841" s="220"/>
      <c r="AV841" s="220"/>
      <c r="AW841" s="220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/>
      <c r="CG841" s="24"/>
      <c r="CH841" s="24"/>
      <c r="CI841" s="24"/>
      <c r="CJ841" s="24"/>
      <c r="CK841" s="24"/>
      <c r="CL841" s="24"/>
      <c r="CM841" s="24"/>
      <c r="CN841" s="24"/>
      <c r="CO841" s="24"/>
      <c r="CP841" s="24"/>
      <c r="CQ841" s="24"/>
      <c r="CR841" s="24"/>
      <c r="CS841" s="24"/>
      <c r="CT841" s="24"/>
      <c r="CU841" s="24"/>
      <c r="CV841" s="24"/>
      <c r="CW841" s="24"/>
      <c r="CX841" s="24"/>
      <c r="CY841" s="24"/>
      <c r="CZ841" s="24"/>
      <c r="DA841" s="24"/>
      <c r="DB841" s="24"/>
      <c r="DC841" s="24"/>
      <c r="DD841" s="24"/>
      <c r="DE841" s="24"/>
      <c r="DF841" s="24"/>
      <c r="DG841" s="24"/>
      <c r="DH841" s="24"/>
      <c r="DI841" s="24"/>
      <c r="DJ841" s="24"/>
      <c r="DK841" s="24"/>
      <c r="DL841" s="24"/>
      <c r="DM841" s="24"/>
      <c r="DN841" s="24"/>
      <c r="DO841" s="24"/>
      <c r="DP841" s="24"/>
      <c r="DQ841" s="24"/>
      <c r="DR841" s="24"/>
      <c r="DS841" s="24"/>
      <c r="DT841" s="24"/>
      <c r="DU841" s="24"/>
      <c r="DV841" s="24"/>
      <c r="DW841" s="24"/>
      <c r="DX841" s="24"/>
      <c r="DY841" s="24"/>
      <c r="DZ841" s="24"/>
      <c r="EA841" s="24"/>
      <c r="EB841" s="24"/>
    </row>
    <row r="842" spans="1:132" outlineLevel="1">
      <c r="A842" s="55">
        <v>1201060100</v>
      </c>
      <c r="B842" s="509" t="s">
        <v>1529</v>
      </c>
      <c r="C842" s="679" t="s">
        <v>64</v>
      </c>
      <c r="D842" s="2027">
        <v>7900001743</v>
      </c>
      <c r="E842" s="219">
        <v>44953</v>
      </c>
      <c r="F842" s="416"/>
      <c r="G842" s="1251"/>
      <c r="H842" s="676"/>
      <c r="I842" s="1193"/>
      <c r="J842" s="1425">
        <v>1</v>
      </c>
      <c r="K842" s="1426">
        <v>1</v>
      </c>
      <c r="L842" s="449"/>
      <c r="M842" s="2026">
        <f t="shared" si="2284"/>
        <v>0</v>
      </c>
      <c r="N842" s="504">
        <f ca="1">IF(OR(E842="",E842&gt;TODAY()),0,IF(ISERROR(VLOOKUP($E842,'TRM BanRep'!$A:$G,7,0)),0,VLOOKUP($E842,'TRM BanRep'!$A:$G,7,0)))</f>
        <v>4531.75</v>
      </c>
      <c r="O842" s="1194">
        <f t="shared" ca="1" si="2285"/>
        <v>0</v>
      </c>
      <c r="P842" s="431">
        <f>-L841</f>
        <v>-28000000</v>
      </c>
      <c r="Q842" s="514">
        <f t="shared" ref="Q842" si="2292">+P842*K842</f>
        <v>-28000000</v>
      </c>
      <c r="R842" s="515">
        <f ca="1">N841</f>
        <v>4692.04</v>
      </c>
      <c r="S842" s="515">
        <f ca="1">IF(OR(E842="",E842&gt;TODAY()),0,IF(ISERROR(VLOOKUP($E842,'TRM BanRep'!$A:$G,7,0)),0,VLOOKUP($E842,'TRM BanRep'!$A:$G,7,0)))</f>
        <v>4531.75</v>
      </c>
      <c r="T842" s="1190">
        <f t="shared" ca="1" si="2286"/>
        <v>-126889000000</v>
      </c>
      <c r="U842" s="418">
        <f t="shared" ref="U842:U843" si="2293">+L842+P842+F842</f>
        <v>-28000000</v>
      </c>
      <c r="V842" s="1127">
        <f t="shared" ref="V842:V843" ca="1" si="2294">+P842*R842+L842*N842+F842*H842</f>
        <v>-131377120000</v>
      </c>
      <c r="W842" s="993">
        <f t="shared" ca="1" si="2289"/>
        <v>4488120000</v>
      </c>
      <c r="X842" s="994">
        <f t="shared" ca="1" si="2290"/>
        <v>0</v>
      </c>
      <c r="Y842" s="1128"/>
      <c r="Z842" s="220"/>
      <c r="AA842" s="24">
        <f ca="1">$B$4-R842</f>
        <v>-23.039999999999964</v>
      </c>
      <c r="AB842" s="24">
        <f t="shared" ca="1" si="2291"/>
        <v>645119999.99999893</v>
      </c>
      <c r="AC842" s="220"/>
      <c r="AD842" s="220"/>
      <c r="AE842" s="220"/>
      <c r="AF842" s="220"/>
      <c r="AG842" s="220"/>
      <c r="AH842" s="220"/>
      <c r="AI842" s="220"/>
      <c r="AJ842" s="220"/>
      <c r="AK842" s="220"/>
      <c r="AL842" s="220"/>
      <c r="AM842" s="220"/>
      <c r="AN842" s="220"/>
      <c r="AO842" s="220"/>
      <c r="AP842" s="220"/>
      <c r="AQ842" s="220"/>
      <c r="AR842" s="220"/>
      <c r="AS842" s="220"/>
      <c r="AT842" s="220"/>
      <c r="AU842" s="220"/>
      <c r="AV842" s="220"/>
      <c r="AW842" s="220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  <c r="CD842" s="24"/>
      <c r="CE842" s="24"/>
      <c r="CF842" s="24"/>
      <c r="CG842" s="24"/>
      <c r="CH842" s="24"/>
      <c r="CI842" s="24"/>
      <c r="CJ842" s="24"/>
      <c r="CK842" s="24"/>
      <c r="CL842" s="24"/>
      <c r="CM842" s="24"/>
      <c r="CN842" s="24"/>
      <c r="CO842" s="24"/>
      <c r="CP842" s="24"/>
      <c r="CQ842" s="24"/>
      <c r="CR842" s="24"/>
      <c r="CS842" s="24"/>
      <c r="CT842" s="24"/>
      <c r="CU842" s="24"/>
      <c r="CV842" s="24"/>
      <c r="CW842" s="24"/>
      <c r="CX842" s="24"/>
      <c r="CY842" s="24"/>
      <c r="CZ842" s="24"/>
      <c r="DA842" s="24"/>
      <c r="DB842" s="24"/>
      <c r="DC842" s="24"/>
      <c r="DD842" s="24"/>
      <c r="DE842" s="24"/>
      <c r="DF842" s="24"/>
      <c r="DG842" s="24"/>
      <c r="DH842" s="24"/>
      <c r="DI842" s="24"/>
      <c r="DJ842" s="24"/>
      <c r="DK842" s="24"/>
      <c r="DL842" s="24"/>
      <c r="DM842" s="24"/>
      <c r="DN842" s="24"/>
      <c r="DO842" s="24"/>
      <c r="DP842" s="24"/>
      <c r="DQ842" s="24"/>
      <c r="DR842" s="24"/>
      <c r="DS842" s="24"/>
      <c r="DT842" s="24"/>
      <c r="DU842" s="24"/>
      <c r="DV842" s="24"/>
      <c r="DW842" s="24"/>
      <c r="DX842" s="24"/>
      <c r="DY842" s="24"/>
      <c r="DZ842" s="24"/>
      <c r="EA842" s="24"/>
      <c r="EB842" s="24"/>
    </row>
    <row r="843" spans="1:132" outlineLevel="1">
      <c r="A843" s="55">
        <v>1201060100</v>
      </c>
      <c r="B843" s="509" t="s">
        <v>1527</v>
      </c>
      <c r="C843" s="679" t="s">
        <v>64</v>
      </c>
      <c r="D843" s="2027">
        <v>7900000779</v>
      </c>
      <c r="E843" s="219">
        <v>44945</v>
      </c>
      <c r="F843" s="416"/>
      <c r="G843" s="1251"/>
      <c r="H843" s="676"/>
      <c r="I843" s="1193"/>
      <c r="J843" s="1425">
        <v>1</v>
      </c>
      <c r="K843" s="1426">
        <v>1</v>
      </c>
      <c r="L843" s="449">
        <v>2560000</v>
      </c>
      <c r="M843" s="2026">
        <f t="shared" si="2284"/>
        <v>2560000</v>
      </c>
      <c r="N843" s="504">
        <f ca="1">IF(OR(E843="",E843&gt;TODAY()),0,IF(ISERROR(VLOOKUP($E843,'TRM BanRep'!$A:$G,7,0)),0,VLOOKUP($E843,'TRM BanRep'!$A:$G,7,0)))</f>
        <v>4702.67</v>
      </c>
      <c r="O843" s="1194">
        <f t="shared" ref="O843:O845" ca="1" si="2295">+L843*N843</f>
        <v>12038835200</v>
      </c>
      <c r="P843" s="431"/>
      <c r="Q843" s="514"/>
      <c r="R843" s="515"/>
      <c r="S843" s="515"/>
      <c r="T843" s="1190">
        <f t="shared" ref="T843:T845" si="2296">+P843*S843</f>
        <v>0</v>
      </c>
      <c r="U843" s="418">
        <f t="shared" si="2293"/>
        <v>2560000</v>
      </c>
      <c r="V843" s="1127">
        <f t="shared" ca="1" si="2294"/>
        <v>12038835200</v>
      </c>
      <c r="W843" s="993">
        <f t="shared" ref="W843:W845" si="2297">IF((-P843*R843)-(-P843*S843)&gt;0,(-P843*R843)-(-P843*S843),0)</f>
        <v>0</v>
      </c>
      <c r="X843" s="994">
        <f t="shared" ref="X843:X845" si="2298">IF((-P843*R843)-(-P843*S843)&lt;0,(-P843*R843)-(-P843*S843),0)</f>
        <v>0</v>
      </c>
      <c r="Y843" s="1128"/>
      <c r="Z843" s="220"/>
      <c r="AA843" s="24">
        <f ca="1">$B$4-N843</f>
        <v>-33.670000000000073</v>
      </c>
      <c r="AB843" s="24">
        <f t="shared" ca="1" si="2291"/>
        <v>-86195200.000000179</v>
      </c>
      <c r="AC843" s="220"/>
      <c r="AD843" s="220"/>
      <c r="AE843" s="220"/>
      <c r="AF843" s="220"/>
      <c r="AG843" s="220"/>
      <c r="AH843" s="220"/>
      <c r="AI843" s="220"/>
      <c r="AJ843" s="220"/>
      <c r="AK843" s="220"/>
      <c r="AL843" s="220"/>
      <c r="AM843" s="220"/>
      <c r="AN843" s="220"/>
      <c r="AO843" s="220"/>
      <c r="AP843" s="220"/>
      <c r="AQ843" s="220"/>
      <c r="AR843" s="220"/>
      <c r="AS843" s="220"/>
      <c r="AT843" s="220"/>
      <c r="AU843" s="220"/>
      <c r="AV843" s="220"/>
      <c r="AW843" s="220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  <c r="CZ843" s="24"/>
      <c r="DA843" s="24"/>
      <c r="DB843" s="24"/>
      <c r="DC843" s="24"/>
      <c r="DD843" s="24"/>
      <c r="DE843" s="24"/>
      <c r="DF843" s="24"/>
      <c r="DG843" s="24"/>
      <c r="DH843" s="24"/>
      <c r="DI843" s="24"/>
      <c r="DJ843" s="24"/>
      <c r="DK843" s="24"/>
      <c r="DL843" s="24"/>
      <c r="DM843" s="24"/>
      <c r="DN843" s="24"/>
      <c r="DO843" s="24"/>
      <c r="DP843" s="24"/>
      <c r="DQ843" s="24"/>
      <c r="DR843" s="24"/>
      <c r="DS843" s="24"/>
      <c r="DT843" s="24"/>
      <c r="DU843" s="24"/>
      <c r="DV843" s="24"/>
      <c r="DW843" s="24"/>
      <c r="DX843" s="24"/>
      <c r="DY843" s="24"/>
      <c r="DZ843" s="24"/>
      <c r="EA843" s="24"/>
      <c r="EB843" s="24"/>
    </row>
    <row r="844" spans="1:132" outlineLevel="1">
      <c r="A844" s="55">
        <v>1201060100</v>
      </c>
      <c r="B844" s="509" t="s">
        <v>1528</v>
      </c>
      <c r="C844" s="679" t="s">
        <v>64</v>
      </c>
      <c r="D844" s="2027">
        <v>7900000775</v>
      </c>
      <c r="E844" s="219">
        <v>44945</v>
      </c>
      <c r="F844" s="416"/>
      <c r="G844" s="1251"/>
      <c r="H844" s="676"/>
      <c r="I844" s="1193">
        <f t="shared" ref="I844" si="2299">+F844*H844</f>
        <v>0</v>
      </c>
      <c r="J844" s="1425">
        <v>1</v>
      </c>
      <c r="K844" s="1426">
        <v>1</v>
      </c>
      <c r="L844" s="449">
        <v>2760000</v>
      </c>
      <c r="M844" s="2026">
        <f t="shared" si="2284"/>
        <v>2760000</v>
      </c>
      <c r="N844" s="504">
        <f ca="1">IF(OR(E844="",E844&gt;TODAY()),0,IF(ISERROR(VLOOKUP($E844,'TRM BanRep'!$A:$G,7,0)),0,VLOOKUP($E844,'TRM BanRep'!$A:$G,7,0)))</f>
        <v>4702.67</v>
      </c>
      <c r="O844" s="1194">
        <f t="shared" ca="1" si="2295"/>
        <v>12979369200</v>
      </c>
      <c r="P844" s="431"/>
      <c r="Q844" s="514">
        <f t="shared" ref="Q844:Q845" si="2300">+P844*K844</f>
        <v>0</v>
      </c>
      <c r="R844" s="515"/>
      <c r="S844" s="515"/>
      <c r="T844" s="1190">
        <f t="shared" si="2296"/>
        <v>0</v>
      </c>
      <c r="U844" s="418">
        <f t="shared" ref="U844:U845" si="2301">+L844+P844+F844</f>
        <v>2760000</v>
      </c>
      <c r="V844" s="1127">
        <f t="shared" ref="V844:V845" ca="1" si="2302">+P844*R844+L844*N844+F844*H844</f>
        <v>12979369200</v>
      </c>
      <c r="W844" s="993">
        <f t="shared" si="2297"/>
        <v>0</v>
      </c>
      <c r="X844" s="994">
        <f t="shared" si="2298"/>
        <v>0</v>
      </c>
      <c r="Y844" s="1128"/>
      <c r="Z844" s="220"/>
      <c r="AA844" s="24">
        <f ca="1">$B$4-N844</f>
        <v>-33.670000000000073</v>
      </c>
      <c r="AB844" s="24">
        <f t="shared" ca="1" si="2291"/>
        <v>-92929200.000000194</v>
      </c>
      <c r="AC844" s="220"/>
      <c r="AD844" s="220"/>
      <c r="AE844" s="220"/>
      <c r="AF844" s="220"/>
      <c r="AG844" s="220"/>
      <c r="AH844" s="220"/>
      <c r="AI844" s="220"/>
      <c r="AJ844" s="220"/>
      <c r="AK844" s="220"/>
      <c r="AL844" s="220"/>
      <c r="AM844" s="220"/>
      <c r="AN844" s="220"/>
      <c r="AO844" s="220"/>
      <c r="AP844" s="220"/>
      <c r="AQ844" s="220"/>
      <c r="AR844" s="220"/>
      <c r="AS844" s="220"/>
      <c r="AT844" s="220"/>
      <c r="AU844" s="220"/>
      <c r="AV844" s="220"/>
      <c r="AW844" s="220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  <c r="CG844" s="24"/>
      <c r="CH844" s="24"/>
      <c r="CI844" s="24"/>
      <c r="CJ844" s="24"/>
      <c r="CK844" s="24"/>
      <c r="CL844" s="24"/>
      <c r="CM844" s="24"/>
      <c r="CN844" s="24"/>
      <c r="CO844" s="24"/>
      <c r="CP844" s="24"/>
      <c r="CQ844" s="24"/>
      <c r="CR844" s="24"/>
      <c r="CS844" s="24"/>
      <c r="CT844" s="24"/>
      <c r="CU844" s="24"/>
      <c r="CV844" s="24"/>
      <c r="CW844" s="24"/>
      <c r="CX844" s="24"/>
      <c r="CY844" s="24"/>
      <c r="CZ844" s="24"/>
      <c r="DA844" s="24"/>
      <c r="DB844" s="24"/>
      <c r="DC844" s="24"/>
      <c r="DD844" s="24"/>
      <c r="DE844" s="24"/>
      <c r="DF844" s="24"/>
      <c r="DG844" s="24"/>
      <c r="DH844" s="24"/>
      <c r="DI844" s="24"/>
      <c r="DJ844" s="24"/>
      <c r="DK844" s="24"/>
      <c r="DL844" s="24"/>
      <c r="DM844" s="24"/>
      <c r="DN844" s="24"/>
      <c r="DO844" s="24"/>
      <c r="DP844" s="24"/>
      <c r="DQ844" s="24"/>
      <c r="DR844" s="24"/>
      <c r="DS844" s="24"/>
      <c r="DT844" s="24"/>
      <c r="DU844" s="24"/>
      <c r="DV844" s="24"/>
      <c r="DW844" s="24"/>
      <c r="DX844" s="24"/>
      <c r="DY844" s="24"/>
      <c r="DZ844" s="24"/>
      <c r="EA844" s="24"/>
      <c r="EB844" s="24"/>
    </row>
    <row r="845" spans="1:132" outlineLevel="1">
      <c r="A845" s="55">
        <v>1201060100</v>
      </c>
      <c r="B845" s="509" t="s">
        <v>1529</v>
      </c>
      <c r="C845" s="679" t="s">
        <v>64</v>
      </c>
      <c r="D845" s="2027">
        <v>7900001743</v>
      </c>
      <c r="E845" s="219">
        <v>44981</v>
      </c>
      <c r="F845" s="416"/>
      <c r="G845" s="1251"/>
      <c r="H845" s="676"/>
      <c r="I845" s="1193"/>
      <c r="J845" s="1425">
        <v>1</v>
      </c>
      <c r="K845" s="1426">
        <v>1</v>
      </c>
      <c r="L845" s="449"/>
      <c r="M845" s="2026">
        <f t="shared" si="2284"/>
        <v>0</v>
      </c>
      <c r="N845" s="504">
        <f ca="1">IF(OR(E845="",E845&gt;TODAY()),0,IF(ISERROR(VLOOKUP($E845,'TRM BanRep'!$A:$G,7,0)),0,VLOOKUP($E845,'TRM BanRep'!$A:$G,7,0)))</f>
        <v>4853.8999999999996</v>
      </c>
      <c r="O845" s="1194">
        <f t="shared" ca="1" si="2295"/>
        <v>0</v>
      </c>
      <c r="P845" s="431">
        <f>-L844</f>
        <v>-2760000</v>
      </c>
      <c r="Q845" s="514">
        <f t="shared" si="2300"/>
        <v>-2760000</v>
      </c>
      <c r="R845" s="515">
        <f ca="1">N844</f>
        <v>4702.67</v>
      </c>
      <c r="S845" s="515">
        <f ca="1">IF(OR(E845="",E845&gt;TODAY()),0,IF(ISERROR(VLOOKUP($E845,'TRM BanRep'!$A:$G,7,0)),0,VLOOKUP($E845,'TRM BanRep'!$A:$G,7,0)))</f>
        <v>4853.8999999999996</v>
      </c>
      <c r="T845" s="1190">
        <f t="shared" ca="1" si="2296"/>
        <v>-13396763999.999998</v>
      </c>
      <c r="U845" s="418">
        <f t="shared" si="2301"/>
        <v>-2760000</v>
      </c>
      <c r="V845" s="1127">
        <f t="shared" ca="1" si="2302"/>
        <v>-12979369200</v>
      </c>
      <c r="W845" s="993">
        <f t="shared" ca="1" si="2297"/>
        <v>0</v>
      </c>
      <c r="X845" s="994">
        <f t="shared" ca="1" si="2298"/>
        <v>-417394799.99999809</v>
      </c>
      <c r="Y845" s="1128"/>
      <c r="Z845" s="220"/>
      <c r="AA845" s="24">
        <f ca="1">$B$4-R845</f>
        <v>-33.670000000000073</v>
      </c>
      <c r="AB845" s="24">
        <f t="shared" ca="1" si="2291"/>
        <v>92929200.000000194</v>
      </c>
      <c r="AC845" s="220"/>
      <c r="AD845" s="220"/>
      <c r="AE845" s="220"/>
      <c r="AF845" s="220"/>
      <c r="AG845" s="220"/>
      <c r="AH845" s="220"/>
      <c r="AI845" s="220"/>
      <c r="AJ845" s="220"/>
      <c r="AK845" s="220"/>
      <c r="AL845" s="220"/>
      <c r="AM845" s="220"/>
      <c r="AN845" s="220"/>
      <c r="AO845" s="220"/>
      <c r="AP845" s="220"/>
      <c r="AQ845" s="220"/>
      <c r="AR845" s="220"/>
      <c r="AS845" s="220"/>
      <c r="AT845" s="220"/>
      <c r="AU845" s="220"/>
      <c r="AV845" s="220"/>
      <c r="AW845" s="220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/>
      <c r="CG845" s="24"/>
      <c r="CH845" s="24"/>
      <c r="CI845" s="24"/>
      <c r="CJ845" s="24"/>
      <c r="CK845" s="24"/>
      <c r="CL845" s="24"/>
      <c r="CM845" s="24"/>
      <c r="CN845" s="24"/>
      <c r="CO845" s="24"/>
      <c r="CP845" s="24"/>
      <c r="CQ845" s="24"/>
      <c r="CR845" s="24"/>
      <c r="CS845" s="24"/>
      <c r="CT845" s="24"/>
      <c r="CU845" s="24"/>
      <c r="CV845" s="24"/>
      <c r="CW845" s="24"/>
      <c r="CX845" s="24"/>
      <c r="CY845" s="24"/>
      <c r="CZ845" s="24"/>
      <c r="DA845" s="24"/>
      <c r="DB845" s="24"/>
      <c r="DC845" s="24"/>
      <c r="DD845" s="24"/>
      <c r="DE845" s="24"/>
      <c r="DF845" s="24"/>
      <c r="DG845" s="24"/>
      <c r="DH845" s="24"/>
      <c r="DI845" s="24"/>
      <c r="DJ845" s="24"/>
      <c r="DK845" s="24"/>
      <c r="DL845" s="24"/>
      <c r="DM845" s="24"/>
      <c r="DN845" s="24"/>
      <c r="DO845" s="24"/>
      <c r="DP845" s="24"/>
      <c r="DQ845" s="24"/>
      <c r="DR845" s="24"/>
      <c r="DS845" s="24"/>
      <c r="DT845" s="24"/>
      <c r="DU845" s="24"/>
      <c r="DV845" s="24"/>
      <c r="DW845" s="24"/>
      <c r="DX845" s="24"/>
      <c r="DY845" s="24"/>
      <c r="DZ845" s="24"/>
      <c r="EA845" s="24"/>
      <c r="EB845" s="24"/>
    </row>
    <row r="846" spans="1:132" outlineLevel="1">
      <c r="A846" s="55">
        <v>1201060100</v>
      </c>
      <c r="B846" s="509" t="s">
        <v>2510</v>
      </c>
      <c r="C846" s="679" t="s">
        <v>64</v>
      </c>
      <c r="D846" s="2027">
        <v>7900003363</v>
      </c>
      <c r="E846" s="219">
        <v>45012</v>
      </c>
      <c r="F846" s="416"/>
      <c r="G846" s="1251"/>
      <c r="H846" s="676"/>
      <c r="I846" s="1193">
        <f t="shared" ref="I846" si="2303">+F846*H846</f>
        <v>0</v>
      </c>
      <c r="J846" s="1425">
        <v>1</v>
      </c>
      <c r="K846" s="1426">
        <v>1</v>
      </c>
      <c r="L846" s="449">
        <v>4254209</v>
      </c>
      <c r="M846" s="2026">
        <f t="shared" si="2284"/>
        <v>4254209</v>
      </c>
      <c r="N846" s="504">
        <f ca="1">IF(OR(E846="",E846&gt;TODAY()),0,IF(ISERROR(VLOOKUP($E846,'TRM BanRep'!$A:$G,7,0)),0,VLOOKUP($E846,'TRM BanRep'!$A:$G,7,0)))</f>
        <v>4741.76</v>
      </c>
      <c r="O846" s="1194">
        <f t="shared" ref="O846:O847" ca="1" si="2304">+L846*N846</f>
        <v>20172438067.84</v>
      </c>
      <c r="P846" s="431"/>
      <c r="Q846" s="514">
        <f t="shared" ref="Q846:Q847" si="2305">+P846*K846</f>
        <v>0</v>
      </c>
      <c r="R846" s="515"/>
      <c r="S846" s="515"/>
      <c r="T846" s="1190">
        <f t="shared" ref="T846:T847" si="2306">+P846*S846</f>
        <v>0</v>
      </c>
      <c r="U846" s="418">
        <f t="shared" ref="U846:U847" si="2307">+L846+P846+F846</f>
        <v>4254209</v>
      </c>
      <c r="V846" s="1127">
        <f ca="1">+P846*R846+L846*N846+F846*H846</f>
        <v>20172438067.84</v>
      </c>
      <c r="W846" s="993">
        <f t="shared" ref="W846:W847" si="2308">IF((-P846*R846)-(-P846*S846)&gt;0,(-P846*R846)-(-P846*S846),0)</f>
        <v>0</v>
      </c>
      <c r="X846" s="994">
        <f t="shared" ref="X846:X847" si="2309">IF((-P846*R846)-(-P846*S846)&lt;0,(-P846*R846)-(-P846*S846),0)</f>
        <v>0</v>
      </c>
      <c r="Y846" s="1128"/>
      <c r="Z846" s="220"/>
      <c r="AA846" s="24">
        <f ca="1">$B$4-N846</f>
        <v>-72.760000000000218</v>
      </c>
      <c r="AB846" s="24">
        <f t="shared" ca="1" si="2291"/>
        <v>-309536246.84000093</v>
      </c>
      <c r="AC846" s="220"/>
      <c r="AD846" s="220"/>
      <c r="AE846" s="220"/>
      <c r="AF846" s="220"/>
      <c r="AG846" s="220"/>
      <c r="AH846" s="220"/>
      <c r="AI846" s="220"/>
      <c r="AJ846" s="220"/>
      <c r="AK846" s="220"/>
      <c r="AL846" s="220"/>
      <c r="AM846" s="220"/>
      <c r="AN846" s="220"/>
      <c r="AO846" s="220"/>
      <c r="AP846" s="220"/>
      <c r="AQ846" s="220"/>
      <c r="AR846" s="220"/>
      <c r="AS846" s="220"/>
      <c r="AT846" s="220"/>
      <c r="AU846" s="220"/>
      <c r="AV846" s="220"/>
      <c r="AW846" s="220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  <c r="CD846" s="24"/>
      <c r="CE846" s="24"/>
      <c r="CF846" s="24"/>
      <c r="CG846" s="24"/>
      <c r="CH846" s="24"/>
      <c r="CI846" s="24"/>
      <c r="CJ846" s="24"/>
      <c r="CK846" s="24"/>
      <c r="CL846" s="24"/>
      <c r="CM846" s="24"/>
      <c r="CN846" s="24"/>
      <c r="CO846" s="24"/>
      <c r="CP846" s="24"/>
      <c r="CQ846" s="24"/>
      <c r="CR846" s="24"/>
      <c r="CS846" s="24"/>
      <c r="CT846" s="24"/>
      <c r="CU846" s="24"/>
      <c r="CV846" s="24"/>
      <c r="CW846" s="24"/>
      <c r="CX846" s="24"/>
      <c r="CY846" s="24"/>
      <c r="CZ846" s="24"/>
      <c r="DA846" s="24"/>
      <c r="DB846" s="24"/>
      <c r="DC846" s="24"/>
      <c r="DD846" s="24"/>
      <c r="DE846" s="24"/>
      <c r="DF846" s="24"/>
      <c r="DG846" s="24"/>
      <c r="DH846" s="24"/>
      <c r="DI846" s="24"/>
      <c r="DJ846" s="24"/>
      <c r="DK846" s="24"/>
      <c r="DL846" s="24"/>
      <c r="DM846" s="24"/>
      <c r="DN846" s="24"/>
      <c r="DO846" s="24"/>
      <c r="DP846" s="24"/>
      <c r="DQ846" s="24"/>
      <c r="DR846" s="24"/>
      <c r="DS846" s="24"/>
      <c r="DT846" s="24"/>
      <c r="DU846" s="24"/>
      <c r="DV846" s="24"/>
      <c r="DW846" s="24"/>
      <c r="DX846" s="24"/>
      <c r="DY846" s="24"/>
      <c r="DZ846" s="24"/>
      <c r="EA846" s="24"/>
      <c r="EB846" s="24"/>
    </row>
    <row r="847" spans="1:132" outlineLevel="1">
      <c r="A847" s="55">
        <v>1201060100</v>
      </c>
      <c r="B847" s="509" t="s">
        <v>2511</v>
      </c>
      <c r="C847" s="679" t="s">
        <v>64</v>
      </c>
      <c r="D847" s="2027">
        <v>7900003381</v>
      </c>
      <c r="E847" s="219">
        <v>45014</v>
      </c>
      <c r="F847" s="416"/>
      <c r="G847" s="1251"/>
      <c r="H847" s="676"/>
      <c r="I847" s="1193"/>
      <c r="J847" s="1425">
        <v>1</v>
      </c>
      <c r="K847" s="1426">
        <v>1</v>
      </c>
      <c r="L847" s="449"/>
      <c r="M847" s="2026">
        <f t="shared" si="2284"/>
        <v>0</v>
      </c>
      <c r="N847" s="504">
        <f ca="1">IF(OR(E847="",E847&gt;TODAY()),0,IF(ISERROR(VLOOKUP($E847,'TRM BanRep'!$A:$G,7,0)),0,VLOOKUP($E847,'TRM BanRep'!$A:$G,7,0)))</f>
        <v>4658.79</v>
      </c>
      <c r="O847" s="1194">
        <f t="shared" ca="1" si="2304"/>
        <v>0</v>
      </c>
      <c r="P847" s="431">
        <f>-L843</f>
        <v>-2560000</v>
      </c>
      <c r="Q847" s="514">
        <f t="shared" si="2305"/>
        <v>-2560000</v>
      </c>
      <c r="R847" s="515">
        <f ca="1">N843</f>
        <v>4702.67</v>
      </c>
      <c r="S847" s="515">
        <f ca="1">IF(OR(E847="",E847&gt;TODAY()),0,IF(ISERROR(VLOOKUP($E847,'TRM BanRep'!$A:$G,7,0)),0,VLOOKUP($E847,'TRM BanRep'!$A:$G,7,0)))</f>
        <v>4658.79</v>
      </c>
      <c r="T847" s="1190">
        <f t="shared" ca="1" si="2306"/>
        <v>-11926502400</v>
      </c>
      <c r="U847" s="418">
        <f t="shared" si="2307"/>
        <v>-2560000</v>
      </c>
      <c r="V847" s="1127">
        <f t="shared" ref="V847" ca="1" si="2310">+P847*R847+L847*N847+F847*H847</f>
        <v>-12038835200</v>
      </c>
      <c r="W847" s="993">
        <f t="shared" ca="1" si="2308"/>
        <v>112332800</v>
      </c>
      <c r="X847" s="994">
        <f t="shared" ca="1" si="2309"/>
        <v>0</v>
      </c>
      <c r="Y847" s="1128"/>
      <c r="Z847" s="220"/>
      <c r="AA847" s="24">
        <f ca="1">$B$4-R847</f>
        <v>-33.670000000000073</v>
      </c>
      <c r="AB847" s="24">
        <f t="shared" ca="1" si="2291"/>
        <v>86195200.000000179</v>
      </c>
      <c r="AC847" s="220"/>
      <c r="AD847" s="220"/>
      <c r="AE847" s="220"/>
      <c r="AF847" s="220"/>
      <c r="AG847" s="220"/>
      <c r="AH847" s="220"/>
      <c r="AI847" s="220"/>
      <c r="AJ847" s="220"/>
      <c r="AK847" s="220"/>
      <c r="AL847" s="220"/>
      <c r="AM847" s="220"/>
      <c r="AN847" s="220"/>
      <c r="AO847" s="220"/>
      <c r="AP847" s="220"/>
      <c r="AQ847" s="220"/>
      <c r="AR847" s="220"/>
      <c r="AS847" s="220"/>
      <c r="AT847" s="220"/>
      <c r="AU847" s="220"/>
      <c r="AV847" s="220"/>
      <c r="AW847" s="220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  <c r="CD847" s="24"/>
      <c r="CE847" s="24"/>
      <c r="CF847" s="24"/>
      <c r="CG847" s="24"/>
      <c r="CH847" s="24"/>
      <c r="CI847" s="24"/>
      <c r="CJ847" s="24"/>
      <c r="CK847" s="24"/>
      <c r="CL847" s="24"/>
      <c r="CM847" s="24"/>
      <c r="CN847" s="24"/>
      <c r="CO847" s="24"/>
      <c r="CP847" s="24"/>
      <c r="CQ847" s="24"/>
      <c r="CR847" s="24"/>
      <c r="CS847" s="24"/>
      <c r="CT847" s="24"/>
      <c r="CU847" s="24"/>
      <c r="CV847" s="24"/>
      <c r="CW847" s="24"/>
      <c r="CX847" s="24"/>
      <c r="CY847" s="24"/>
      <c r="CZ847" s="24"/>
      <c r="DA847" s="24"/>
      <c r="DB847" s="24"/>
      <c r="DC847" s="24"/>
      <c r="DD847" s="24"/>
      <c r="DE847" s="24"/>
      <c r="DF847" s="24"/>
      <c r="DG847" s="24"/>
      <c r="DH847" s="24"/>
      <c r="DI847" s="24"/>
      <c r="DJ847" s="24"/>
      <c r="DK847" s="24"/>
      <c r="DL847" s="24"/>
      <c r="DM847" s="24"/>
      <c r="DN847" s="24"/>
      <c r="DO847" s="24"/>
      <c r="DP847" s="24"/>
      <c r="DQ847" s="24"/>
      <c r="DR847" s="24"/>
      <c r="DS847" s="24"/>
      <c r="DT847" s="24"/>
      <c r="DU847" s="24"/>
      <c r="DV847" s="24"/>
      <c r="DW847" s="24"/>
      <c r="DX847" s="24"/>
      <c r="DY847" s="24"/>
      <c r="DZ847" s="24"/>
      <c r="EA847" s="24"/>
      <c r="EB847" s="24"/>
    </row>
    <row r="848" spans="1:132" outlineLevel="1">
      <c r="A848" s="55">
        <v>1201060100</v>
      </c>
      <c r="B848" s="509" t="s">
        <v>2545</v>
      </c>
      <c r="C848" s="679" t="s">
        <v>64</v>
      </c>
      <c r="D848" s="2027">
        <v>7900005558</v>
      </c>
      <c r="E848" s="219">
        <v>45042</v>
      </c>
      <c r="F848" s="416"/>
      <c r="G848" s="1251"/>
      <c r="H848" s="676"/>
      <c r="I848" s="1193"/>
      <c r="J848" s="1425">
        <v>1</v>
      </c>
      <c r="K848" s="1426">
        <v>1</v>
      </c>
      <c r="L848" s="449"/>
      <c r="M848" s="2026">
        <f t="shared" ref="M848" si="2311">+L848*J848</f>
        <v>0</v>
      </c>
      <c r="N848" s="504">
        <f ca="1">IF(OR(E848="",E848&gt;TODAY()),0,IF(ISERROR(VLOOKUP($E848,'TRM BanRep'!$A:$G,7,0)),0,VLOOKUP($E848,'TRM BanRep'!$A:$G,7,0)))</f>
        <v>4486.6000000000004</v>
      </c>
      <c r="O848" s="1194">
        <f t="shared" ref="O848" ca="1" si="2312">+L848*N848</f>
        <v>0</v>
      </c>
      <c r="P848" s="431">
        <f>-L846</f>
        <v>-4254209</v>
      </c>
      <c r="Q848" s="514">
        <f t="shared" ref="Q848" si="2313">+P848*K848</f>
        <v>-4254209</v>
      </c>
      <c r="R848" s="515">
        <f ca="1">N846</f>
        <v>4741.76</v>
      </c>
      <c r="S848" s="515">
        <f ca="1">IF(OR(E848="",E848&gt;TODAY()),0,IF(ISERROR(VLOOKUP($E848,'TRM BanRep'!$A:$G,7,0)),0,VLOOKUP($E848,'TRM BanRep'!$A:$G,7,0)))</f>
        <v>4486.6000000000004</v>
      </c>
      <c r="T848" s="1190">
        <f t="shared" ref="T848" ca="1" si="2314">+P848*S848</f>
        <v>-19086934099.400002</v>
      </c>
      <c r="U848" s="418">
        <f t="shared" ref="U848" si="2315">+L848+P848+F848</f>
        <v>-4254209</v>
      </c>
      <c r="V848" s="1127">
        <f t="shared" ref="V848" ca="1" si="2316">+P848*R848+L848*N848+F848*H848</f>
        <v>-20172438067.84</v>
      </c>
      <c r="W848" s="993">
        <f ca="1">IF((-P848*R848)-(-P848*S848)&gt;0,(-P848*R848)-(-P848*S848),0)</f>
        <v>1085503968.4399986</v>
      </c>
      <c r="X848" s="994">
        <f t="shared" ref="X848" ca="1" si="2317">IF((-P848*R848)-(-P848*S848)&lt;0,(-P848*R848)-(-P848*S848),0)</f>
        <v>0</v>
      </c>
      <c r="Y848" s="1128"/>
      <c r="Z848" s="220"/>
      <c r="AA848" s="24">
        <f ca="1">$B$4-R848</f>
        <v>-72.760000000000218</v>
      </c>
      <c r="AB848" s="24">
        <f t="shared" ref="AB848" ca="1" si="2318">+U848*AA848</f>
        <v>309536246.84000093</v>
      </c>
      <c r="AC848" s="220"/>
      <c r="AD848" s="220"/>
      <c r="AE848" s="220"/>
      <c r="AF848" s="220"/>
      <c r="AG848" s="220"/>
      <c r="AH848" s="220"/>
      <c r="AI848" s="220"/>
      <c r="AJ848" s="220"/>
      <c r="AK848" s="220"/>
      <c r="AL848" s="220"/>
      <c r="AM848" s="220"/>
      <c r="AN848" s="220"/>
      <c r="AO848" s="220"/>
      <c r="AP848" s="220"/>
      <c r="AQ848" s="220"/>
      <c r="AR848" s="220"/>
      <c r="AS848" s="220"/>
      <c r="AT848" s="220"/>
      <c r="AU848" s="220"/>
      <c r="AV848" s="220"/>
      <c r="AW848" s="220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  <c r="CD848" s="24"/>
      <c r="CE848" s="24"/>
      <c r="CF848" s="24"/>
      <c r="CG848" s="24"/>
      <c r="CH848" s="24"/>
      <c r="CI848" s="24"/>
      <c r="CJ848" s="24"/>
      <c r="CK848" s="24"/>
      <c r="CL848" s="24"/>
      <c r="CM848" s="24"/>
      <c r="CN848" s="24"/>
      <c r="CO848" s="24"/>
      <c r="CP848" s="24"/>
      <c r="CQ848" s="24"/>
      <c r="CR848" s="24"/>
      <c r="CS848" s="24"/>
      <c r="CT848" s="24"/>
      <c r="CU848" s="24"/>
      <c r="CV848" s="24"/>
      <c r="CW848" s="24"/>
      <c r="CX848" s="24"/>
      <c r="CY848" s="24"/>
      <c r="CZ848" s="24"/>
      <c r="DA848" s="24"/>
      <c r="DB848" s="24"/>
      <c r="DC848" s="24"/>
      <c r="DD848" s="24"/>
      <c r="DE848" s="24"/>
      <c r="DF848" s="24"/>
      <c r="DG848" s="24"/>
      <c r="DH848" s="24"/>
      <c r="DI848" s="24"/>
      <c r="DJ848" s="24"/>
      <c r="DK848" s="24"/>
      <c r="DL848" s="24"/>
      <c r="DM848" s="24"/>
      <c r="DN848" s="24"/>
      <c r="DO848" s="24"/>
      <c r="DP848" s="24"/>
      <c r="DQ848" s="24"/>
      <c r="DR848" s="24"/>
      <c r="DS848" s="24"/>
      <c r="DT848" s="24"/>
      <c r="DU848" s="24"/>
      <c r="DV848" s="24"/>
      <c r="DW848" s="24"/>
      <c r="DX848" s="24"/>
      <c r="DY848" s="24"/>
      <c r="DZ848" s="24"/>
      <c r="EA848" s="24"/>
      <c r="EB848" s="24"/>
    </row>
    <row r="849" spans="1:132">
      <c r="A849" s="55"/>
      <c r="B849" s="509"/>
      <c r="C849" s="679"/>
      <c r="D849" s="219"/>
      <c r="E849" s="1192"/>
      <c r="F849" s="416"/>
      <c r="G849" s="1251"/>
      <c r="H849" s="676"/>
      <c r="I849" s="1193"/>
      <c r="J849" s="1386"/>
      <c r="K849" s="1386"/>
      <c r="L849" s="449"/>
      <c r="M849" s="1312"/>
      <c r="N849" s="504"/>
      <c r="O849" s="1194"/>
      <c r="P849" s="431"/>
      <c r="Q849" s="514"/>
      <c r="R849" s="515"/>
      <c r="S849" s="515"/>
      <c r="T849" s="1190">
        <f t="shared" ref="T849:T851" si="2319">+P849*S849</f>
        <v>0</v>
      </c>
      <c r="U849" s="418"/>
      <c r="V849" s="1127"/>
      <c r="W849" s="976"/>
      <c r="X849" s="975"/>
      <c r="Y849" s="1128"/>
      <c r="Z849" s="220"/>
      <c r="AA849" s="220"/>
      <c r="AB849" s="220"/>
      <c r="AC849" s="220"/>
      <c r="AD849" s="220"/>
      <c r="AE849" s="220"/>
      <c r="AF849" s="220"/>
      <c r="AG849" s="220"/>
      <c r="AH849" s="220"/>
      <c r="AI849" s="220"/>
      <c r="AJ849" s="220"/>
      <c r="AK849" s="220"/>
      <c r="AL849" s="220"/>
      <c r="AM849" s="220"/>
      <c r="AN849" s="220"/>
      <c r="AO849" s="220"/>
      <c r="AP849" s="220"/>
      <c r="AQ849" s="220"/>
      <c r="AR849" s="220"/>
      <c r="AS849" s="220"/>
      <c r="AT849" s="220"/>
      <c r="AU849" s="220"/>
      <c r="AV849" s="220"/>
      <c r="AW849" s="220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  <c r="CG849" s="24"/>
      <c r="CH849" s="24"/>
      <c r="CI849" s="24"/>
      <c r="CJ849" s="24"/>
      <c r="CK849" s="24"/>
      <c r="CL849" s="24"/>
      <c r="CM849" s="24"/>
      <c r="CN849" s="24"/>
      <c r="CO849" s="24"/>
      <c r="CP849" s="24"/>
      <c r="CQ849" s="24"/>
      <c r="CR849" s="24"/>
      <c r="CS849" s="24"/>
      <c r="CT849" s="24"/>
      <c r="CU849" s="24"/>
      <c r="CV849" s="24"/>
      <c r="CW849" s="24"/>
      <c r="CX849" s="24"/>
      <c r="CY849" s="24"/>
      <c r="CZ849" s="24"/>
      <c r="DA849" s="24"/>
      <c r="DB849" s="24"/>
      <c r="DC849" s="24"/>
      <c r="DD849" s="24"/>
      <c r="DE849" s="24"/>
      <c r="DF849" s="24"/>
      <c r="DG849" s="24"/>
      <c r="DH849" s="24"/>
      <c r="DI849" s="24"/>
      <c r="DJ849" s="24"/>
      <c r="DK849" s="24"/>
      <c r="DL849" s="24"/>
      <c r="DM849" s="24"/>
      <c r="DN849" s="24"/>
      <c r="DO849" s="24"/>
      <c r="DP849" s="24"/>
      <c r="DQ849" s="24"/>
      <c r="DR849" s="24"/>
      <c r="DS849" s="24"/>
      <c r="DT849" s="24"/>
      <c r="DU849" s="24"/>
      <c r="DV849" s="24"/>
      <c r="DW849" s="24"/>
      <c r="DX849" s="24"/>
      <c r="DY849" s="24"/>
      <c r="DZ849" s="24"/>
      <c r="EA849" s="24"/>
      <c r="EB849" s="24"/>
    </row>
    <row r="850" spans="1:132" s="2495" customFormat="1">
      <c r="A850" s="221">
        <v>1201060100</v>
      </c>
      <c r="B850" s="777" t="s">
        <v>277</v>
      </c>
      <c r="C850" s="778" t="s">
        <v>64</v>
      </c>
      <c r="D850" s="222"/>
      <c r="E850" s="1195"/>
      <c r="F850" s="223"/>
      <c r="G850" s="1272"/>
      <c r="H850" s="779"/>
      <c r="I850" s="1196"/>
      <c r="J850" s="1389"/>
      <c r="K850" s="1389"/>
      <c r="L850" s="224"/>
      <c r="M850" s="1306"/>
      <c r="N850" s="780"/>
      <c r="O850" s="1198">
        <f>+L850*N850</f>
        <v>0</v>
      </c>
      <c r="P850" s="190">
        <f>-F850</f>
        <v>0</v>
      </c>
      <c r="Q850" s="632"/>
      <c r="R850" s="633"/>
      <c r="S850" s="633"/>
      <c r="T850" s="1190">
        <f t="shared" si="2319"/>
        <v>0</v>
      </c>
      <c r="U850" s="224">
        <f>+L850+P850+F850</f>
        <v>0</v>
      </c>
      <c r="V850" s="1198">
        <f>+P850*R850+L850*N850+F850*H850</f>
        <v>0</v>
      </c>
      <c r="W850" s="225">
        <f>(IF(R850&gt;S850,(-P850*R850)-(-P850*S850),0))</f>
        <v>0</v>
      </c>
      <c r="X850" s="739">
        <f>(IF(R850&lt;S850,(-P850*R850)-(-P850*S850),0))</f>
        <v>0</v>
      </c>
      <c r="Y850" s="1199"/>
      <c r="Z850" s="115"/>
      <c r="AA850" s="115"/>
      <c r="AB850" s="115"/>
      <c r="AC850" s="115"/>
      <c r="AD850" s="115"/>
      <c r="AE850" s="115"/>
      <c r="AF850" s="115"/>
      <c r="AG850" s="115"/>
      <c r="AH850" s="115"/>
      <c r="AI850" s="115"/>
      <c r="AJ850" s="115"/>
      <c r="AK850" s="115"/>
      <c r="AL850" s="115"/>
      <c r="AM850" s="115"/>
      <c r="AN850" s="115"/>
      <c r="AO850" s="115"/>
      <c r="AP850" s="115"/>
      <c r="AQ850" s="115"/>
      <c r="AR850" s="115"/>
      <c r="AS850" s="115"/>
      <c r="AT850" s="115"/>
      <c r="AU850" s="115"/>
      <c r="AV850" s="115"/>
      <c r="AW850" s="115"/>
      <c r="AX850" s="226"/>
      <c r="AY850" s="226"/>
      <c r="AZ850" s="226"/>
      <c r="BA850" s="226"/>
      <c r="BB850" s="226"/>
      <c r="BC850" s="226"/>
      <c r="BD850" s="226"/>
      <c r="BE850" s="226"/>
      <c r="BF850" s="226"/>
      <c r="BG850" s="226"/>
      <c r="BH850" s="226"/>
      <c r="BI850" s="226"/>
      <c r="BJ850" s="226"/>
      <c r="BK850" s="226"/>
      <c r="BL850" s="226"/>
      <c r="BM850" s="226"/>
      <c r="BN850" s="226"/>
      <c r="BO850" s="226"/>
      <c r="BP850" s="226"/>
      <c r="BQ850" s="226"/>
      <c r="BR850" s="226"/>
      <c r="BS850" s="226"/>
      <c r="BT850" s="226"/>
      <c r="BU850" s="226"/>
      <c r="BV850" s="226"/>
      <c r="BW850" s="226"/>
      <c r="BX850" s="226"/>
      <c r="BY850" s="226"/>
      <c r="BZ850" s="226"/>
      <c r="CA850" s="226"/>
      <c r="CB850" s="226"/>
      <c r="CC850" s="226"/>
      <c r="CD850" s="226"/>
      <c r="CE850" s="226"/>
      <c r="CF850" s="226"/>
      <c r="CG850" s="226"/>
      <c r="CH850" s="226"/>
      <c r="CI850" s="226"/>
      <c r="CJ850" s="226"/>
      <c r="CK850" s="226"/>
      <c r="CL850" s="226"/>
      <c r="CM850" s="226"/>
      <c r="CN850" s="226"/>
      <c r="CO850" s="226"/>
      <c r="CP850" s="226"/>
      <c r="CQ850" s="226"/>
      <c r="CR850" s="226"/>
      <c r="CS850" s="226"/>
      <c r="CT850" s="226"/>
      <c r="CU850" s="226"/>
      <c r="CV850" s="226"/>
      <c r="CW850" s="226"/>
      <c r="CX850" s="226"/>
      <c r="CY850" s="226"/>
      <c r="CZ850" s="226"/>
      <c r="DA850" s="226"/>
      <c r="DB850" s="226"/>
      <c r="DC850" s="226"/>
      <c r="DD850" s="226"/>
      <c r="DE850" s="226"/>
      <c r="DF850" s="226"/>
      <c r="DG850" s="226"/>
      <c r="DH850" s="226"/>
      <c r="DI850" s="226"/>
      <c r="DJ850" s="226"/>
      <c r="DK850" s="226"/>
      <c r="DL850" s="226"/>
      <c r="DM850" s="226"/>
      <c r="DN850" s="226"/>
      <c r="DO850" s="226"/>
      <c r="DP850" s="226"/>
      <c r="DQ850" s="226"/>
      <c r="DR850" s="226"/>
      <c r="DS850" s="226"/>
      <c r="DT850" s="226"/>
      <c r="DU850" s="226"/>
      <c r="DV850" s="226"/>
      <c r="DW850" s="226"/>
      <c r="DX850" s="226"/>
      <c r="DY850" s="226"/>
      <c r="DZ850" s="226"/>
      <c r="EA850" s="226"/>
      <c r="EB850" s="226"/>
    </row>
    <row r="851" spans="1:132" s="2495" customFormat="1">
      <c r="A851" s="221">
        <v>1201060100</v>
      </c>
      <c r="B851" s="777" t="s">
        <v>277</v>
      </c>
      <c r="C851" s="778" t="s">
        <v>64</v>
      </c>
      <c r="D851" s="222"/>
      <c r="E851" s="1195"/>
      <c r="F851" s="223"/>
      <c r="G851" s="1272"/>
      <c r="H851" s="779"/>
      <c r="I851" s="1196"/>
      <c r="J851" s="1389"/>
      <c r="K851" s="1389"/>
      <c r="L851" s="224"/>
      <c r="M851" s="1306"/>
      <c r="N851" s="780"/>
      <c r="O851" s="1198">
        <f>+L851*N851</f>
        <v>0</v>
      </c>
      <c r="P851" s="227"/>
      <c r="Q851" s="1347"/>
      <c r="R851" s="738"/>
      <c r="S851" s="738"/>
      <c r="T851" s="1190">
        <f t="shared" si="2319"/>
        <v>0</v>
      </c>
      <c r="U851" s="224">
        <f>+L851+P851+F851</f>
        <v>0</v>
      </c>
      <c r="V851" s="1198">
        <f>+P851*R851+L851*N851+F851*H851</f>
        <v>0</v>
      </c>
      <c r="W851" s="225"/>
      <c r="X851" s="739"/>
      <c r="Y851" s="1199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  <c r="AW851" s="115"/>
      <c r="AX851" s="226"/>
      <c r="AY851" s="226"/>
      <c r="AZ851" s="226"/>
      <c r="BA851" s="226"/>
      <c r="BB851" s="226"/>
      <c r="BC851" s="226"/>
      <c r="BD851" s="226"/>
      <c r="BE851" s="226"/>
      <c r="BF851" s="226"/>
      <c r="BG851" s="226"/>
      <c r="BH851" s="226"/>
      <c r="BI851" s="226"/>
      <c r="BJ851" s="226"/>
      <c r="BK851" s="226"/>
      <c r="BL851" s="226"/>
      <c r="BM851" s="226"/>
      <c r="BN851" s="226"/>
      <c r="BO851" s="226"/>
      <c r="BP851" s="226"/>
      <c r="BQ851" s="226"/>
      <c r="BR851" s="226"/>
      <c r="BS851" s="226"/>
      <c r="BT851" s="226"/>
      <c r="BU851" s="226"/>
      <c r="BV851" s="226"/>
      <c r="BW851" s="226"/>
      <c r="BX851" s="226"/>
      <c r="BY851" s="226"/>
      <c r="BZ851" s="226"/>
      <c r="CA851" s="226"/>
      <c r="CB851" s="226"/>
      <c r="CC851" s="226"/>
      <c r="CD851" s="226"/>
      <c r="CE851" s="226"/>
      <c r="CF851" s="226"/>
      <c r="CG851" s="226"/>
      <c r="CH851" s="226"/>
      <c r="CI851" s="226"/>
      <c r="CJ851" s="226"/>
      <c r="CK851" s="226"/>
      <c r="CL851" s="226"/>
      <c r="CM851" s="226"/>
      <c r="CN851" s="226"/>
      <c r="CO851" s="226"/>
      <c r="CP851" s="226"/>
      <c r="CQ851" s="226"/>
      <c r="CR851" s="226"/>
      <c r="CS851" s="226"/>
      <c r="CT851" s="226"/>
      <c r="CU851" s="226"/>
      <c r="CV851" s="226"/>
      <c r="CW851" s="226"/>
      <c r="CX851" s="226"/>
      <c r="CY851" s="226"/>
      <c r="CZ851" s="226"/>
      <c r="DA851" s="226"/>
      <c r="DB851" s="226"/>
      <c r="DC851" s="226"/>
      <c r="DD851" s="226"/>
      <c r="DE851" s="226"/>
      <c r="DF851" s="226"/>
      <c r="DG851" s="226"/>
      <c r="DH851" s="226"/>
      <c r="DI851" s="226"/>
      <c r="DJ851" s="226"/>
      <c r="DK851" s="226"/>
      <c r="DL851" s="226"/>
      <c r="DM851" s="226"/>
      <c r="DN851" s="226"/>
      <c r="DO851" s="226"/>
      <c r="DP851" s="226"/>
      <c r="DQ851" s="226"/>
      <c r="DR851" s="226"/>
      <c r="DS851" s="226"/>
      <c r="DT851" s="226"/>
      <c r="DU851" s="226"/>
      <c r="DV851" s="226"/>
      <c r="DW851" s="226"/>
      <c r="DX851" s="226"/>
      <c r="DY851" s="226"/>
      <c r="DZ851" s="226"/>
      <c r="EA851" s="226"/>
      <c r="EB851" s="226"/>
    </row>
    <row r="852" spans="1:132" s="235" customFormat="1">
      <c r="A852" s="228"/>
      <c r="B852" s="781"/>
      <c r="C852" s="782"/>
      <c r="D852" s="229"/>
      <c r="E852" s="1200"/>
      <c r="F852" s="230"/>
      <c r="G852" s="1274"/>
      <c r="H852" s="784"/>
      <c r="I852" s="1201"/>
      <c r="J852" s="1390"/>
      <c r="K852" s="1390"/>
      <c r="L852" s="241"/>
      <c r="M852" s="1311"/>
      <c r="N852" s="786"/>
      <c r="O852" s="1202"/>
      <c r="P852" s="232"/>
      <c r="Q852" s="1348"/>
      <c r="R852" s="788"/>
      <c r="S852" s="788"/>
      <c r="T852" s="1203"/>
      <c r="U852" s="233"/>
      <c r="V852" s="1204"/>
      <c r="W852" s="234"/>
      <c r="X852" s="791"/>
      <c r="Y852" s="1205"/>
      <c r="Z852" s="220"/>
      <c r="AA852" s="220"/>
      <c r="AB852" s="220"/>
      <c r="AC852" s="220"/>
      <c r="AD852" s="220"/>
      <c r="AE852" s="220"/>
      <c r="AF852" s="220"/>
      <c r="AG852" s="220"/>
      <c r="AH852" s="220"/>
      <c r="AI852" s="220"/>
      <c r="AJ852" s="220"/>
      <c r="AK852" s="220"/>
      <c r="AL852" s="220"/>
      <c r="AM852" s="220"/>
      <c r="AN852" s="220"/>
      <c r="AO852" s="220"/>
      <c r="AP852" s="220"/>
      <c r="AQ852" s="220"/>
      <c r="AR852" s="220"/>
      <c r="AS852" s="220"/>
      <c r="AT852" s="220"/>
      <c r="AU852" s="220"/>
      <c r="AV852" s="220"/>
      <c r="AW852" s="220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</row>
    <row r="853" spans="1:132" ht="15.75" thickBot="1">
      <c r="A853" s="55"/>
      <c r="B853" s="509"/>
      <c r="C853" s="679"/>
      <c r="D853" s="219"/>
      <c r="E853" s="1192"/>
      <c r="F853" s="416"/>
      <c r="G853" s="1251"/>
      <c r="H853" s="676"/>
      <c r="I853" s="1193"/>
      <c r="J853" s="1386"/>
      <c r="K853" s="1386"/>
      <c r="L853" s="449"/>
      <c r="M853" s="1312"/>
      <c r="N853" s="504"/>
      <c r="O853" s="1202">
        <f>+L853*N853</f>
        <v>0</v>
      </c>
      <c r="P853" s="431"/>
      <c r="Q853" s="514"/>
      <c r="R853" s="515"/>
      <c r="S853" s="515"/>
      <c r="T853" s="1190">
        <f>+P853*S853</f>
        <v>0</v>
      </c>
      <c r="U853" s="418">
        <f>+L853+P853+F853</f>
        <v>0</v>
      </c>
      <c r="V853" s="1127">
        <f>+P853*R853+L853*N853+F853*H853</f>
        <v>0</v>
      </c>
      <c r="W853" s="976">
        <f>(IF(R853&gt;S853,(-P853*R853)-(-P853*S853),0))</f>
        <v>0</v>
      </c>
      <c r="X853" s="975">
        <f>(IF(R853&lt;S853,(-P853*R853)-(-P853*S853),0))</f>
        <v>0</v>
      </c>
      <c r="Y853" s="1128"/>
      <c r="Z853" s="220"/>
      <c r="AA853" s="220"/>
      <c r="AB853" s="220"/>
      <c r="AC853" s="220"/>
      <c r="AD853" s="220"/>
      <c r="AE853" s="220"/>
      <c r="AF853" s="220"/>
      <c r="AG853" s="220"/>
      <c r="AH853" s="220"/>
      <c r="AI853" s="220"/>
      <c r="AJ853" s="220"/>
      <c r="AK853" s="220"/>
      <c r="AL853" s="220"/>
      <c r="AM853" s="220"/>
      <c r="AN853" s="220"/>
      <c r="AO853" s="220"/>
      <c r="AP853" s="220"/>
      <c r="AQ853" s="220"/>
      <c r="AR853" s="220"/>
      <c r="AS853" s="220"/>
      <c r="AT853" s="220"/>
      <c r="AU853" s="220"/>
      <c r="AV853" s="220"/>
      <c r="AW853" s="220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R853" s="24"/>
      <c r="BS853" s="24"/>
      <c r="BT853" s="24"/>
      <c r="BU853" s="24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  <c r="CG853" s="24"/>
      <c r="CH853" s="24"/>
      <c r="CI853" s="24"/>
      <c r="CJ853" s="24"/>
      <c r="CK853" s="24"/>
      <c r="CL853" s="24"/>
      <c r="CM853" s="24"/>
      <c r="CN853" s="24"/>
      <c r="CO853" s="24"/>
      <c r="CP853" s="24"/>
      <c r="CQ853" s="24"/>
      <c r="CR853" s="24"/>
      <c r="CS853" s="24"/>
      <c r="CT853" s="24"/>
      <c r="CU853" s="24"/>
      <c r="CV853" s="24"/>
      <c r="CW853" s="24"/>
      <c r="CX853" s="24"/>
      <c r="CY853" s="24"/>
      <c r="CZ853" s="24"/>
      <c r="DA853" s="24"/>
      <c r="DB853" s="24"/>
      <c r="DC853" s="24"/>
      <c r="DD853" s="24"/>
      <c r="DE853" s="24"/>
      <c r="DF853" s="24"/>
      <c r="DG853" s="24"/>
      <c r="DH853" s="24"/>
      <c r="DI853" s="24"/>
      <c r="DJ853" s="24"/>
      <c r="DK853" s="24"/>
      <c r="DL853" s="24"/>
      <c r="DM853" s="24"/>
      <c r="DN853" s="24"/>
      <c r="DO853" s="24"/>
      <c r="DP853" s="24"/>
      <c r="DQ853" s="24"/>
      <c r="DR853" s="24"/>
      <c r="DS853" s="24"/>
      <c r="DT853" s="24"/>
      <c r="DU853" s="24"/>
      <c r="DV853" s="24"/>
      <c r="DW853" s="24"/>
      <c r="DX853" s="24"/>
      <c r="DY853" s="24"/>
      <c r="DZ853" s="24"/>
      <c r="EA853" s="24"/>
      <c r="EB853" s="24"/>
    </row>
    <row r="854" spans="1:132" s="249" customFormat="1" ht="16.5" thickBot="1">
      <c r="A854" s="799" t="s">
        <v>272</v>
      </c>
      <c r="B854" s="800"/>
      <c r="C854" s="801"/>
      <c r="D854" s="802"/>
      <c r="E854" s="801"/>
      <c r="F854" s="803">
        <f>SUM(F839:F853)</f>
        <v>0</v>
      </c>
      <c r="G854" s="1275"/>
      <c r="H854" s="804"/>
      <c r="I854" s="805">
        <f>SUM(I839:I853)</f>
        <v>0</v>
      </c>
      <c r="J854" s="1368"/>
      <c r="K854" s="1368"/>
      <c r="L854" s="806">
        <f>SUM(L839:L853)</f>
        <v>37574209</v>
      </c>
      <c r="M854" s="1308"/>
      <c r="N854" s="807"/>
      <c r="O854" s="808">
        <f ca="1">SUM(O839:O853)</f>
        <v>176567762467.84</v>
      </c>
      <c r="P854" s="809">
        <f>SUM(P839:P853)</f>
        <v>-37574209</v>
      </c>
      <c r="Q854" s="1349"/>
      <c r="R854" s="810"/>
      <c r="S854" s="810"/>
      <c r="T854" s="811">
        <f ca="1">SUM(T839:T853)</f>
        <v>-171299200499.39999</v>
      </c>
      <c r="U854" s="812">
        <f>SUM(U839:U853)</f>
        <v>0</v>
      </c>
      <c r="V854" s="813">
        <f ca="1">SUM(V839:V853)</f>
        <v>0</v>
      </c>
      <c r="W854" s="814">
        <f ca="1">SUM(W839:W853)</f>
        <v>5685956768.4399986</v>
      </c>
      <c r="X854" s="815">
        <f ca="1">SUM(X839:X853)</f>
        <v>-417394799.99999809</v>
      </c>
      <c r="Y854" s="816"/>
      <c r="Z854" s="248"/>
      <c r="AA854" s="248"/>
      <c r="AB854" s="248"/>
      <c r="AC854" s="248"/>
      <c r="AD854" s="248"/>
      <c r="AE854" s="248"/>
      <c r="AF854" s="248"/>
      <c r="AG854" s="248"/>
      <c r="AH854" s="248"/>
      <c r="AI854" s="248"/>
      <c r="AJ854" s="248"/>
      <c r="AK854" s="248"/>
      <c r="AL854" s="248"/>
      <c r="AM854" s="248"/>
      <c r="AN854" s="248"/>
      <c r="AO854" s="248"/>
      <c r="AP854" s="248"/>
      <c r="AQ854" s="248"/>
      <c r="AR854" s="248"/>
      <c r="AS854" s="248"/>
      <c r="AT854" s="248"/>
      <c r="AU854" s="248"/>
      <c r="AV854" s="248"/>
      <c r="AW854" s="248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183"/>
      <c r="BR854" s="183"/>
      <c r="BS854" s="183"/>
      <c r="BT854" s="183"/>
      <c r="BU854" s="183"/>
      <c r="BV854" s="183"/>
      <c r="BW854" s="183"/>
      <c r="BX854" s="183"/>
      <c r="BY854" s="183"/>
      <c r="BZ854" s="183"/>
      <c r="CA854" s="183"/>
      <c r="CB854" s="183"/>
      <c r="CC854" s="183"/>
      <c r="CD854" s="183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</row>
    <row r="855" spans="1:132">
      <c r="D855" s="8"/>
      <c r="E855" s="7"/>
      <c r="U855" s="445">
        <v>0</v>
      </c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  <c r="BQ855" s="24"/>
      <c r="BR855" s="24"/>
      <c r="BS855" s="24"/>
      <c r="BT855" s="24"/>
      <c r="BU855" s="24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  <c r="CG855" s="24"/>
      <c r="CH855" s="24"/>
      <c r="CI855" s="24"/>
      <c r="CJ855" s="24"/>
      <c r="CK855" s="24"/>
      <c r="CL855" s="24"/>
      <c r="CM855" s="24"/>
      <c r="CN855" s="24"/>
      <c r="CO855" s="24"/>
      <c r="CP855" s="24"/>
      <c r="CQ855" s="24"/>
      <c r="CR855" s="24"/>
      <c r="CS855" s="24"/>
      <c r="CT855" s="24"/>
      <c r="CU855" s="24"/>
      <c r="CV855" s="24"/>
      <c r="CW855" s="24"/>
      <c r="CX855" s="24"/>
      <c r="CY855" s="24"/>
      <c r="CZ855" s="24"/>
      <c r="DA855" s="24"/>
      <c r="DB855" s="24"/>
      <c r="DC855" s="24"/>
      <c r="DD855" s="24"/>
      <c r="DE855" s="24"/>
      <c r="DF855" s="24"/>
      <c r="DG855" s="24"/>
      <c r="DH855" s="24"/>
      <c r="DI855" s="24"/>
      <c r="DJ855" s="24"/>
      <c r="DK855" s="24"/>
      <c r="DL855" s="24"/>
      <c r="DM855" s="24"/>
      <c r="DN855" s="24"/>
      <c r="DO855" s="24"/>
      <c r="DP855" s="24"/>
      <c r="DQ855" s="24"/>
      <c r="DR855" s="24"/>
      <c r="DS855" s="24"/>
      <c r="DT855" s="24"/>
      <c r="DU855" s="24"/>
      <c r="DV855" s="24"/>
      <c r="DW855" s="24"/>
      <c r="DX855" s="24"/>
      <c r="DY855" s="24"/>
      <c r="DZ855" s="24"/>
      <c r="EA855" s="24"/>
      <c r="EB855" s="24"/>
    </row>
    <row r="856" spans="1:132" ht="15.75" thickBot="1">
      <c r="D856" s="8"/>
      <c r="E856" s="7"/>
      <c r="U856" s="250">
        <f>+U855-U854</f>
        <v>0</v>
      </c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  <c r="BQ856" s="24"/>
      <c r="BR856" s="24"/>
      <c r="BS856" s="24"/>
      <c r="BT856" s="24"/>
      <c r="BU856" s="24"/>
      <c r="BV856" s="24"/>
      <c r="BW856" s="24"/>
      <c r="BX856" s="24"/>
      <c r="BY856" s="24"/>
      <c r="BZ856" s="24"/>
      <c r="CA856" s="24"/>
      <c r="CB856" s="24"/>
      <c r="CC856" s="24"/>
      <c r="CD856" s="24"/>
      <c r="CE856" s="24"/>
      <c r="CF856" s="24"/>
      <c r="CG856" s="24"/>
      <c r="CH856" s="24"/>
      <c r="CI856" s="24"/>
      <c r="CJ856" s="24"/>
      <c r="CK856" s="24"/>
      <c r="CL856" s="24"/>
      <c r="CM856" s="24"/>
      <c r="CN856" s="24"/>
      <c r="CO856" s="24"/>
      <c r="CP856" s="24"/>
      <c r="CQ856" s="24"/>
      <c r="CR856" s="24"/>
      <c r="CS856" s="24"/>
      <c r="CT856" s="24"/>
      <c r="CU856" s="24"/>
      <c r="CV856" s="24"/>
      <c r="CW856" s="24"/>
      <c r="CX856" s="24"/>
      <c r="CY856" s="24"/>
      <c r="CZ856" s="24"/>
      <c r="DA856" s="24"/>
      <c r="DB856" s="24"/>
      <c r="DC856" s="24"/>
      <c r="DD856" s="24"/>
      <c r="DE856" s="24"/>
      <c r="DF856" s="24"/>
      <c r="DG856" s="24"/>
      <c r="DH856" s="24"/>
      <c r="DI856" s="24"/>
      <c r="DJ856" s="24"/>
      <c r="DK856" s="24"/>
      <c r="DL856" s="24"/>
      <c r="DM856" s="24"/>
      <c r="DN856" s="24"/>
      <c r="DO856" s="24"/>
      <c r="DP856" s="24"/>
      <c r="DQ856" s="24"/>
      <c r="DR856" s="24"/>
      <c r="DS856" s="24"/>
      <c r="DT856" s="24"/>
      <c r="DU856" s="24"/>
      <c r="DV856" s="24"/>
      <c r="DW856" s="24"/>
      <c r="DX856" s="24"/>
      <c r="DY856" s="24"/>
      <c r="DZ856" s="24"/>
      <c r="EA856" s="24"/>
      <c r="EB856" s="24"/>
    </row>
    <row r="857" spans="1:132" s="252" customFormat="1" ht="19.5" thickBot="1">
      <c r="A857" s="817" t="s">
        <v>1357</v>
      </c>
      <c r="B857" s="818"/>
      <c r="C857" s="819"/>
      <c r="D857" s="820"/>
      <c r="E857" s="819"/>
      <c r="F857" s="821">
        <f>+F854</f>
        <v>0</v>
      </c>
      <c r="G857" s="821"/>
      <c r="H857" s="822"/>
      <c r="I857" s="823">
        <f>+I854</f>
        <v>0</v>
      </c>
      <c r="J857" s="823"/>
      <c r="K857" s="823"/>
      <c r="L857" s="821">
        <f>+L854</f>
        <v>37574209</v>
      </c>
      <c r="M857" s="821"/>
      <c r="N857" s="822"/>
      <c r="O857" s="823">
        <f ca="1">+O854</f>
        <v>176567762467.84</v>
      </c>
      <c r="P857" s="821">
        <f>+P854</f>
        <v>-37574209</v>
      </c>
      <c r="Q857" s="821"/>
      <c r="R857" s="822"/>
      <c r="S857" s="822"/>
      <c r="T857" s="823">
        <f ca="1">+T854</f>
        <v>-171299200499.39999</v>
      </c>
      <c r="U857" s="821">
        <f>+U854</f>
        <v>0</v>
      </c>
      <c r="V857" s="824">
        <f ca="1">+V854</f>
        <v>0</v>
      </c>
      <c r="W857" s="823">
        <f ca="1">+W854</f>
        <v>5685956768.4399986</v>
      </c>
      <c r="X857" s="825">
        <f ca="1">+X854</f>
        <v>-417394799.99999809</v>
      </c>
      <c r="Y857" s="826"/>
      <c r="Z857" s="251"/>
      <c r="AA857" s="251"/>
      <c r="AB857" s="251"/>
      <c r="AC857" s="251"/>
      <c r="AD857" s="251"/>
      <c r="AE857" s="251"/>
      <c r="AF857" s="251"/>
      <c r="AG857" s="251"/>
      <c r="AH857" s="251"/>
      <c r="AI857" s="251"/>
      <c r="AJ857" s="251"/>
      <c r="AK857" s="251"/>
      <c r="AL857" s="251"/>
      <c r="AM857" s="251"/>
      <c r="AN857" s="251"/>
      <c r="AO857" s="251"/>
      <c r="AP857" s="251"/>
      <c r="AQ857" s="251"/>
      <c r="AR857" s="251"/>
      <c r="AS857" s="251"/>
      <c r="AT857" s="251"/>
      <c r="AU857" s="251"/>
      <c r="AV857" s="251"/>
      <c r="AW857" s="251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183"/>
      <c r="BR857" s="183"/>
      <c r="BS857" s="183"/>
      <c r="BT857" s="183"/>
      <c r="BU857" s="183"/>
      <c r="BV857" s="183"/>
      <c r="BW857" s="183"/>
      <c r="BX857" s="183"/>
      <c r="BY857" s="183"/>
      <c r="BZ857" s="183"/>
      <c r="CA857" s="183"/>
      <c r="CB857" s="183"/>
      <c r="CC857" s="183"/>
      <c r="CD857" s="183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</row>
    <row r="858" spans="1:132" s="27" customFormat="1">
      <c r="A858"/>
      <c r="B858"/>
      <c r="C858" s="7"/>
      <c r="D858" s="8"/>
      <c r="E858" s="7"/>
      <c r="F858" s="211"/>
      <c r="G858" s="211"/>
      <c r="J858" s="1387"/>
      <c r="K858" s="1387"/>
      <c r="L858" s="441"/>
      <c r="M858" s="441"/>
      <c r="N858" s="442"/>
      <c r="O858" s="443"/>
      <c r="P858" s="444"/>
      <c r="Q858" s="444"/>
      <c r="R858" s="442"/>
      <c r="S858" s="442"/>
      <c r="T858" s="1103"/>
      <c r="U858" s="1108"/>
      <c r="V858" s="211">
        <f ca="1">+U861-V857</f>
        <v>0</v>
      </c>
      <c r="W858" s="1206"/>
      <c r="X858" s="212"/>
      <c r="Y858" s="1940" t="s">
        <v>1271</v>
      </c>
      <c r="Z858" s="14"/>
      <c r="AA858" s="1940"/>
      <c r="AB858" s="1940">
        <f ca="1">SUM(AB841:AB857)</f>
        <v>0</v>
      </c>
      <c r="AC858" s="213"/>
      <c r="AD858" s="213"/>
      <c r="AE858" s="213"/>
      <c r="AF858" s="213"/>
      <c r="AG858" s="213"/>
      <c r="AH858" s="213"/>
      <c r="AI858" s="213"/>
      <c r="AJ858" s="213"/>
      <c r="AK858" s="213"/>
      <c r="AL858" s="213"/>
      <c r="AM858" s="213"/>
      <c r="AN858" s="213"/>
      <c r="AO858" s="213"/>
      <c r="AP858" s="213"/>
      <c r="AQ858" s="213"/>
      <c r="AR858" s="213"/>
      <c r="AS858" s="213"/>
      <c r="AT858" s="213"/>
      <c r="AU858" s="213"/>
      <c r="AV858" s="213"/>
      <c r="AW858" s="213"/>
    </row>
    <row r="859" spans="1:132" s="27" customFormat="1">
      <c r="A859"/>
      <c r="B859"/>
      <c r="C859" s="7"/>
      <c r="D859" s="8"/>
      <c r="E859" s="7"/>
      <c r="F859" s="211"/>
      <c r="G859" s="211"/>
      <c r="J859" s="1387"/>
      <c r="K859" s="1387"/>
      <c r="L859" s="441"/>
      <c r="M859" s="441"/>
      <c r="N859" s="442"/>
      <c r="O859" s="443"/>
      <c r="P859" s="444"/>
      <c r="Q859" s="444"/>
      <c r="R859" s="442"/>
      <c r="S859" s="442"/>
      <c r="T859" s="1068" t="s">
        <v>238</v>
      </c>
      <c r="U859" s="1108">
        <v>0</v>
      </c>
      <c r="V859" s="211">
        <f>+U859-U857</f>
        <v>0</v>
      </c>
      <c r="W859" s="1206"/>
      <c r="X859" s="212"/>
      <c r="Y859" s="7"/>
      <c r="Z859" s="44"/>
      <c r="AA859" s="213"/>
      <c r="AB859" s="213"/>
      <c r="AC859" s="213"/>
      <c r="AD859" s="213"/>
      <c r="AE859" s="213"/>
      <c r="AF859" s="213"/>
      <c r="AG859" s="213"/>
      <c r="AH859" s="213"/>
      <c r="AI859" s="213"/>
      <c r="AJ859" s="213"/>
      <c r="AK859" s="213"/>
      <c r="AL859" s="213"/>
      <c r="AM859" s="213"/>
      <c r="AN859" s="213"/>
      <c r="AO859" s="213"/>
      <c r="AP859" s="213"/>
      <c r="AQ859" s="213"/>
      <c r="AR859" s="213"/>
      <c r="AS859" s="213"/>
      <c r="AT859" s="213"/>
      <c r="AU859" s="213"/>
      <c r="AV859" s="213"/>
      <c r="AW859" s="213"/>
    </row>
    <row r="860" spans="1:132" s="27" customFormat="1">
      <c r="A860"/>
      <c r="B860"/>
      <c r="C860" s="7"/>
      <c r="D860" s="8"/>
      <c r="E860" s="7"/>
      <c r="F860" s="211"/>
      <c r="G860" s="211"/>
      <c r="J860" s="1387"/>
      <c r="K860" s="1387"/>
      <c r="L860" s="441"/>
      <c r="M860" s="441"/>
      <c r="N860" s="442"/>
      <c r="O860" s="443"/>
      <c r="P860" s="444"/>
      <c r="Q860" s="444"/>
      <c r="R860" s="442"/>
      <c r="S860" s="442"/>
      <c r="T860" s="1068" t="s">
        <v>259</v>
      </c>
      <c r="U860" s="1108">
        <v>0</v>
      </c>
      <c r="V860" s="211"/>
      <c r="W860" s="1206"/>
      <c r="X860" s="212"/>
      <c r="Y860" s="7"/>
      <c r="Z860" s="44"/>
      <c r="AA860" s="213"/>
      <c r="AB860" s="213"/>
      <c r="AC860" s="213"/>
      <c r="AD860" s="213"/>
      <c r="AE860" s="213"/>
      <c r="AF860" s="213"/>
      <c r="AG860" s="213"/>
      <c r="AH860" s="213"/>
      <c r="AI860" s="213"/>
      <c r="AJ860" s="213"/>
      <c r="AK860" s="213"/>
      <c r="AL860" s="213"/>
      <c r="AM860" s="213"/>
      <c r="AN860" s="213"/>
      <c r="AO860" s="213"/>
      <c r="AP860" s="213"/>
      <c r="AQ860" s="213"/>
      <c r="AR860" s="213"/>
      <c r="AS860" s="213"/>
      <c r="AT860" s="213"/>
      <c r="AU860" s="213"/>
      <c r="AV860" s="213"/>
      <c r="AW860" s="213"/>
    </row>
    <row r="861" spans="1:132" s="27" customFormat="1">
      <c r="A861"/>
      <c r="B861"/>
      <c r="C861" s="7"/>
      <c r="D861" s="8"/>
      <c r="E861" s="7"/>
      <c r="F861" s="211"/>
      <c r="G861" s="211"/>
      <c r="J861" s="1387"/>
      <c r="K861" s="1387"/>
      <c r="L861" s="441"/>
      <c r="M861" s="441"/>
      <c r="N861" s="442"/>
      <c r="O861" s="443"/>
      <c r="P861" s="444"/>
      <c r="Q861" s="444"/>
      <c r="R861" s="442"/>
      <c r="S861" s="442"/>
      <c r="T861" s="1103" t="s">
        <v>260</v>
      </c>
      <c r="U861" s="1108">
        <v>0</v>
      </c>
      <c r="V861" s="211">
        <f>U861-(U857*$B$4+U860)</f>
        <v>0</v>
      </c>
      <c r="W861" s="1206"/>
      <c r="X861" s="212"/>
      <c r="Y861" s="7"/>
      <c r="Z861" s="44"/>
      <c r="AA861" s="213"/>
      <c r="AB861" s="213"/>
      <c r="AC861" s="213"/>
      <c r="AD861" s="213"/>
      <c r="AE861" s="213"/>
      <c r="AF861" s="213"/>
      <c r="AG861" s="213"/>
      <c r="AH861" s="213"/>
      <c r="AI861" s="213"/>
      <c r="AJ861" s="213"/>
      <c r="AK861" s="213"/>
      <c r="AL861" s="213"/>
      <c r="AM861" s="213"/>
      <c r="AN861" s="213"/>
      <c r="AO861" s="213"/>
      <c r="AP861" s="213"/>
      <c r="AQ861" s="213"/>
      <c r="AR861" s="213"/>
      <c r="AS861" s="213"/>
      <c r="AT861" s="213"/>
      <c r="AU861" s="213"/>
      <c r="AV861" s="213"/>
      <c r="AW861" s="213"/>
    </row>
    <row r="862" spans="1:132" s="27" customFormat="1">
      <c r="A862"/>
      <c r="B862"/>
      <c r="C862" s="7"/>
      <c r="D862" s="7"/>
      <c r="E862" s="8"/>
      <c r="F862" s="211"/>
      <c r="G862" s="211"/>
      <c r="L862" s="441"/>
      <c r="M862" s="441"/>
      <c r="N862" s="442"/>
      <c r="O862" s="443"/>
      <c r="P862" s="444"/>
      <c r="Q862" s="444"/>
      <c r="R862" s="442"/>
      <c r="S862" s="442"/>
      <c r="U862" s="2022"/>
      <c r="V862" s="1068"/>
      <c r="W862" s="1149"/>
      <c r="X862" s="2023"/>
      <c r="Y862" s="2024"/>
      <c r="Z862" s="44"/>
      <c r="AA862" s="1057"/>
      <c r="AB862" s="1057"/>
      <c r="AC862" s="1057"/>
      <c r="AD862" s="1057"/>
      <c r="AE862" s="1057"/>
      <c r="AF862" s="1057"/>
      <c r="AG862" s="1057"/>
      <c r="AH862" s="1057"/>
      <c r="AI862" s="1057"/>
      <c r="AJ862" s="1057"/>
      <c r="AK862" s="1057"/>
      <c r="AL862" s="1057"/>
      <c r="AM862" s="1057"/>
      <c r="AN862" s="1057"/>
      <c r="AO862" s="1057"/>
      <c r="AP862" s="1057"/>
      <c r="AQ862" s="1057"/>
      <c r="AR862" s="1057"/>
      <c r="AS862" s="1057"/>
      <c r="AT862" s="1057"/>
      <c r="AU862" s="1057"/>
      <c r="AV862" s="1057"/>
      <c r="AW862" s="1057"/>
      <c r="AX862" s="1057"/>
      <c r="AY862" s="1057"/>
      <c r="AZ862" s="1057"/>
      <c r="BA862" s="1057"/>
      <c r="BB862" s="1057"/>
      <c r="BC862" s="1057"/>
      <c r="BD862" s="1057"/>
      <c r="BE862" s="1057"/>
      <c r="BF862" s="1057"/>
      <c r="BG862" s="1057"/>
      <c r="BH862" s="1057"/>
      <c r="BI862" s="1057"/>
      <c r="BJ862" s="1057"/>
      <c r="BK862" s="1057"/>
      <c r="BL862" s="1057"/>
      <c r="BM862" s="1057"/>
      <c r="BN862" s="1057"/>
      <c r="BO862" s="1057"/>
      <c r="BP862" s="1057"/>
      <c r="BQ862" s="1057"/>
      <c r="BR862" s="1057"/>
      <c r="BS862" s="1057"/>
      <c r="BT862" s="1057"/>
      <c r="BU862" s="1057"/>
      <c r="BV862" s="1057"/>
      <c r="BW862" s="1057"/>
      <c r="BX862" s="1057"/>
      <c r="BY862" s="1057"/>
      <c r="BZ862" s="1057"/>
      <c r="CA862" s="1057"/>
      <c r="CB862" s="1057"/>
      <c r="CC862" s="1057"/>
      <c r="CD862" s="1057"/>
      <c r="CE862" s="1057"/>
      <c r="CF862" s="1057"/>
      <c r="CG862" s="1057"/>
      <c r="CH862" s="1057"/>
      <c r="CI862" s="1057"/>
      <c r="CJ862" s="1057"/>
      <c r="CK862" s="1057"/>
      <c r="CL862" s="1057"/>
      <c r="CM862" s="1057"/>
      <c r="CN862" s="1057"/>
      <c r="CO862" s="1057"/>
      <c r="CP862" s="1057"/>
      <c r="CQ862" s="1057"/>
      <c r="CR862" s="1057"/>
      <c r="CS862" s="1057"/>
      <c r="CT862" s="1057"/>
      <c r="CU862" s="1057"/>
      <c r="CV862" s="1057"/>
      <c r="CW862" s="1057"/>
      <c r="CX862" s="1057"/>
      <c r="CY862" s="1057"/>
      <c r="CZ862" s="1057"/>
      <c r="DA862" s="1057"/>
      <c r="DB862" s="1057"/>
      <c r="DC862" s="1057"/>
      <c r="DD862" s="1057"/>
      <c r="DE862" s="1057"/>
      <c r="DF862" s="1057"/>
      <c r="DG862" s="1057"/>
      <c r="DH862" s="1057"/>
      <c r="DI862" s="1057"/>
      <c r="DJ862" s="1057"/>
      <c r="DK862" s="1057"/>
      <c r="DL862" s="1057"/>
      <c r="DM862" s="1057"/>
      <c r="DN862" s="1057"/>
      <c r="DO862" s="1057"/>
      <c r="DP862" s="1057"/>
    </row>
    <row r="863" spans="1:132" s="766" customFormat="1" ht="15.75" thickBot="1">
      <c r="A863" s="755"/>
      <c r="B863" s="755"/>
      <c r="C863" s="756"/>
      <c r="D863" s="757"/>
      <c r="E863" s="756"/>
      <c r="F863" s="758"/>
      <c r="G863" s="758"/>
      <c r="H863" s="759"/>
      <c r="I863" s="760"/>
      <c r="J863" s="1388"/>
      <c r="K863" s="1388"/>
      <c r="L863" s="761"/>
      <c r="M863" s="761"/>
      <c r="N863" s="759"/>
      <c r="O863" s="760"/>
      <c r="P863" s="762"/>
      <c r="Q863" s="762"/>
      <c r="R863" s="759"/>
      <c r="S863" s="759"/>
      <c r="T863" s="760"/>
      <c r="U863" s="758"/>
      <c r="V863" s="763"/>
      <c r="W863" s="760"/>
      <c r="X863" s="760"/>
      <c r="Y863" s="756"/>
      <c r="Z863" s="764"/>
      <c r="AA863" s="765"/>
      <c r="AB863" s="765"/>
      <c r="AC863" s="765"/>
      <c r="AD863" s="765"/>
      <c r="AE863" s="765"/>
      <c r="AF863" s="765"/>
      <c r="AG863" s="765"/>
      <c r="AH863" s="765"/>
      <c r="AI863" s="765"/>
      <c r="AJ863" s="765"/>
      <c r="AK863" s="765"/>
      <c r="AL863" s="1579"/>
      <c r="AM863" s="765"/>
      <c r="AN863" s="765"/>
      <c r="AO863" s="765"/>
      <c r="AP863" s="765"/>
      <c r="AQ863" s="765"/>
      <c r="AR863" s="765"/>
      <c r="AS863" s="765"/>
      <c r="AT863" s="765"/>
      <c r="AU863" s="765"/>
      <c r="AV863" s="765"/>
      <c r="AW863" s="765"/>
    </row>
    <row r="864" spans="1:132" ht="19.5" thickBot="1">
      <c r="A864" s="488" t="s">
        <v>268</v>
      </c>
      <c r="B864" s="489"/>
      <c r="C864" s="490"/>
      <c r="D864" s="491"/>
      <c r="E864" s="490"/>
      <c r="F864" s="492"/>
      <c r="G864" s="492"/>
      <c r="H864" s="493"/>
      <c r="I864" s="494"/>
      <c r="J864" s="494"/>
      <c r="K864" s="494"/>
      <c r="L864" s="495"/>
      <c r="M864" s="495"/>
      <c r="N864" s="493"/>
      <c r="O864" s="494"/>
      <c r="P864" s="492"/>
      <c r="Q864" s="492"/>
      <c r="R864" s="492"/>
      <c r="S864" s="493"/>
      <c r="T864" s="494"/>
      <c r="U864" s="489"/>
      <c r="V864" s="489"/>
      <c r="W864" s="494"/>
      <c r="X864" s="494"/>
      <c r="Y864" s="496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</row>
    <row r="865" spans="1:132" s="27" customFormat="1" ht="24" thickBot="1">
      <c r="A865" s="767" t="s">
        <v>269</v>
      </c>
      <c r="B865" s="768"/>
      <c r="C865" s="2558" t="s">
        <v>57</v>
      </c>
      <c r="D865" s="2560" t="s">
        <v>59</v>
      </c>
      <c r="E865" s="2562" t="s">
        <v>58</v>
      </c>
      <c r="F865" s="2564" t="s">
        <v>84</v>
      </c>
      <c r="G865" s="2565"/>
      <c r="H865" s="2565"/>
      <c r="I865" s="2566"/>
      <c r="J865" s="1240"/>
      <c r="K865" s="1240"/>
      <c r="L865" s="2569" t="s">
        <v>85</v>
      </c>
      <c r="M865" s="2570"/>
      <c r="N865" s="2570"/>
      <c r="O865" s="2571"/>
      <c r="P865" s="2572" t="s">
        <v>86</v>
      </c>
      <c r="Q865" s="2573"/>
      <c r="R865" s="2573"/>
      <c r="S865" s="2573"/>
      <c r="T865" s="2574"/>
      <c r="U865" s="2575" t="s">
        <v>62</v>
      </c>
      <c r="V865" s="2576"/>
      <c r="W865" s="2577" t="s">
        <v>63</v>
      </c>
      <c r="X865" s="2578"/>
      <c r="Y865" s="2579"/>
      <c r="Z865" s="44"/>
      <c r="AA865" s="213"/>
      <c r="AB865" s="213"/>
      <c r="AC865" s="213"/>
      <c r="AD865" s="213"/>
      <c r="AE865" s="213"/>
      <c r="AF865" s="213"/>
      <c r="AG865" s="213"/>
      <c r="AH865" s="213"/>
      <c r="AI865" s="213"/>
      <c r="AJ865" s="213"/>
      <c r="AK865" s="213"/>
      <c r="AL865" s="213"/>
      <c r="AM865" s="213"/>
      <c r="AN865" s="213"/>
      <c r="AO865" s="213"/>
      <c r="AP865" s="213"/>
      <c r="AQ865" s="213"/>
      <c r="AR865" s="213"/>
      <c r="AS865" s="213"/>
      <c r="AT865" s="213"/>
      <c r="AU865" s="213"/>
      <c r="AV865" s="213"/>
      <c r="AW865" s="213"/>
    </row>
    <row r="866" spans="1:132" s="216" customFormat="1" ht="15.75" hidden="1" outlineLevel="1" thickBot="1">
      <c r="A866" s="769" t="s">
        <v>87</v>
      </c>
      <c r="B866" s="770" t="s">
        <v>88</v>
      </c>
      <c r="C866" s="2559"/>
      <c r="D866" s="2561"/>
      <c r="E866" s="2563"/>
      <c r="F866" s="30" t="s">
        <v>64</v>
      </c>
      <c r="G866" s="1249"/>
      <c r="H866" s="31" t="s">
        <v>65</v>
      </c>
      <c r="I866" s="32" t="s">
        <v>66</v>
      </c>
      <c r="J866" s="1365"/>
      <c r="K866" s="1365"/>
      <c r="L866" s="33" t="s">
        <v>67</v>
      </c>
      <c r="M866" s="1297"/>
      <c r="N866" s="34" t="s">
        <v>68</v>
      </c>
      <c r="O866" s="35" t="s">
        <v>69</v>
      </c>
      <c r="P866" s="36" t="s">
        <v>70</v>
      </c>
      <c r="Q866" s="1338"/>
      <c r="R866" s="37" t="s">
        <v>68</v>
      </c>
      <c r="S866" s="37" t="s">
        <v>71</v>
      </c>
      <c r="T866" s="38" t="s">
        <v>72</v>
      </c>
      <c r="U866" s="39" t="s">
        <v>73</v>
      </c>
      <c r="V866" s="40" t="s">
        <v>74</v>
      </c>
      <c r="W866" s="41" t="s">
        <v>75</v>
      </c>
      <c r="X866" s="42" t="s">
        <v>76</v>
      </c>
      <c r="Y866" s="43"/>
      <c r="Z866" s="214"/>
      <c r="AA866" s="215"/>
      <c r="AB866" s="215"/>
      <c r="AC866" s="215"/>
      <c r="AD866" s="215"/>
      <c r="AE866" s="215"/>
      <c r="AF866" s="215"/>
      <c r="AG866" s="215"/>
      <c r="AH866" s="215"/>
      <c r="AI866" s="215"/>
      <c r="AJ866" s="215"/>
      <c r="AK866" s="215"/>
      <c r="AL866" s="215"/>
      <c r="AM866" s="215"/>
      <c r="AN866" s="215"/>
      <c r="AO866" s="215"/>
      <c r="AP866" s="215"/>
      <c r="AQ866" s="215"/>
      <c r="AR866" s="215"/>
      <c r="AS866" s="215"/>
      <c r="AT866" s="215"/>
      <c r="AU866" s="215"/>
      <c r="AV866" s="215"/>
      <c r="AW866" s="215"/>
    </row>
    <row r="867" spans="1:132" ht="16.5" hidden="1" outlineLevel="1" thickBot="1">
      <c r="A867" s="618">
        <v>1217012407</v>
      </c>
      <c r="B867" s="619"/>
      <c r="C867" s="771" t="s">
        <v>64</v>
      </c>
      <c r="D867" s="772"/>
      <c r="E867" s="622"/>
      <c r="F867" s="773"/>
      <c r="G867" s="1273"/>
      <c r="H867" s="620"/>
      <c r="I867" s="774">
        <f>+F867*H867</f>
        <v>0</v>
      </c>
      <c r="J867" s="1367"/>
      <c r="K867" s="1367"/>
      <c r="L867" s="775"/>
      <c r="M867" s="1303"/>
      <c r="N867" s="620"/>
      <c r="O867" s="774">
        <f>+L867*N867</f>
        <v>0</v>
      </c>
      <c r="P867" s="773"/>
      <c r="Q867" s="1273"/>
      <c r="R867" s="620"/>
      <c r="S867" s="620"/>
      <c r="T867" s="774">
        <f>+P867*S867</f>
        <v>0</v>
      </c>
      <c r="U867" s="773">
        <f>+L867+P867+F867</f>
        <v>0</v>
      </c>
      <c r="V867" s="774">
        <f>+P867*R867+L867*N867+F867*H867</f>
        <v>0</v>
      </c>
      <c r="W867" s="776"/>
      <c r="X867" s="621"/>
      <c r="Y867" s="622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</row>
    <row r="868" spans="1:132" ht="15.75" hidden="1" outlineLevel="2" thickBot="1">
      <c r="A868" s="55"/>
      <c r="B868" s="1209" t="s">
        <v>282</v>
      </c>
      <c r="C868" s="679"/>
      <c r="D868" s="1207"/>
      <c r="E868" s="219"/>
      <c r="F868" s="416"/>
      <c r="G868" s="1251"/>
      <c r="H868" s="676"/>
      <c r="I868" s="1193"/>
      <c r="J868" s="1386"/>
      <c r="K868" s="1386"/>
      <c r="L868" s="438"/>
      <c r="M868" s="1304"/>
      <c r="N868" s="415"/>
      <c r="O868" s="1194"/>
      <c r="P868" s="431"/>
      <c r="Q868" s="514"/>
      <c r="R868" s="515"/>
      <c r="S868" s="515"/>
      <c r="T868" s="1190"/>
      <c r="U868" s="418"/>
      <c r="V868" s="1127"/>
      <c r="W868" s="976"/>
      <c r="X868" s="975"/>
      <c r="Y868" s="1128"/>
      <c r="Z868" s="220"/>
      <c r="AA868" s="220"/>
      <c r="AB868" s="220"/>
      <c r="AC868" s="220"/>
      <c r="AD868" s="220"/>
      <c r="AE868" s="220"/>
      <c r="AF868" s="220"/>
      <c r="AG868" s="220"/>
      <c r="AH868" s="220"/>
      <c r="AI868" s="220"/>
      <c r="AJ868" s="220"/>
      <c r="AK868" s="220"/>
      <c r="AL868" s="220"/>
      <c r="AM868" s="220"/>
      <c r="AN868" s="220"/>
      <c r="AO868" s="220"/>
      <c r="AP868" s="220"/>
      <c r="AQ868" s="220"/>
      <c r="AR868" s="220"/>
      <c r="AS868" s="220"/>
      <c r="AT868" s="220"/>
      <c r="AU868" s="220"/>
      <c r="AV868" s="220"/>
      <c r="AW868" s="220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  <c r="BQ868" s="24"/>
      <c r="BR868" s="24"/>
      <c r="BS868" s="24"/>
      <c r="BT868" s="24"/>
      <c r="BU868" s="24"/>
      <c r="BV868" s="24"/>
      <c r="BW868" s="24"/>
      <c r="BX868" s="24"/>
      <c r="BY868" s="24"/>
      <c r="BZ868" s="24"/>
      <c r="CA868" s="24"/>
      <c r="CB868" s="24"/>
      <c r="CC868" s="24"/>
      <c r="CD868" s="24"/>
      <c r="CE868" s="24"/>
      <c r="CF868" s="24"/>
      <c r="CG868" s="24"/>
      <c r="CH868" s="24"/>
      <c r="CI868" s="24"/>
      <c r="CJ868" s="24"/>
      <c r="CK868" s="24"/>
      <c r="CL868" s="24"/>
      <c r="CM868" s="24"/>
      <c r="CN868" s="24"/>
      <c r="CO868" s="24"/>
      <c r="CP868" s="24"/>
      <c r="CQ868" s="24"/>
      <c r="CR868" s="24"/>
      <c r="CS868" s="24"/>
      <c r="CT868" s="24"/>
      <c r="CU868" s="24"/>
      <c r="CV868" s="24"/>
      <c r="CW868" s="24"/>
      <c r="CX868" s="24"/>
      <c r="CY868" s="24"/>
      <c r="CZ868" s="24"/>
      <c r="DA868" s="24"/>
      <c r="DB868" s="24"/>
      <c r="DC868" s="24"/>
      <c r="DD868" s="24"/>
      <c r="DE868" s="24"/>
      <c r="DF868" s="24"/>
      <c r="DG868" s="24"/>
      <c r="DH868" s="24"/>
      <c r="DI868" s="24"/>
      <c r="DJ868" s="24"/>
      <c r="DK868" s="24"/>
      <c r="DL868" s="24"/>
      <c r="DM868" s="24"/>
      <c r="DN868" s="24"/>
      <c r="DO868" s="24"/>
      <c r="DP868" s="24"/>
      <c r="DQ868" s="24"/>
      <c r="DR868" s="24"/>
      <c r="DS868" s="24"/>
      <c r="DT868" s="24"/>
      <c r="DU868" s="24"/>
      <c r="DV868" s="24"/>
      <c r="DW868" s="24"/>
      <c r="DX868" s="24"/>
      <c r="DY868" s="24"/>
      <c r="DZ868" s="24"/>
      <c r="EA868" s="24"/>
      <c r="EB868" s="24"/>
    </row>
    <row r="869" spans="1:132" ht="15.75" hidden="1" outlineLevel="2" thickBot="1">
      <c r="A869" s="55">
        <v>1217012407</v>
      </c>
      <c r="B869" s="509" t="s">
        <v>274</v>
      </c>
      <c r="C869" s="679" t="s">
        <v>64</v>
      </c>
      <c r="D869" s="1207" t="s">
        <v>270</v>
      </c>
      <c r="E869" s="219">
        <v>44007</v>
      </c>
      <c r="F869" s="416"/>
      <c r="G869" s="1251"/>
      <c r="H869" s="676"/>
      <c r="I869" s="1193">
        <f t="shared" ref="I869:I876" si="2320">+F869*H869</f>
        <v>0</v>
      </c>
      <c r="J869" s="1386"/>
      <c r="K869" s="1386"/>
      <c r="L869" s="438">
        <v>21058826.359999999</v>
      </c>
      <c r="M869" s="1304"/>
      <c r="N869" s="415"/>
      <c r="O869" s="1194">
        <f t="shared" ref="O869:O876" si="2321">+L869*N869</f>
        <v>0</v>
      </c>
      <c r="P869" s="431"/>
      <c r="Q869" s="514"/>
      <c r="R869" s="515"/>
      <c r="S869" s="515"/>
      <c r="T869" s="1190">
        <f t="shared" ref="T869:T876" si="2322">+P869*S869</f>
        <v>0</v>
      </c>
      <c r="U869" s="418">
        <f t="shared" ref="U869:U876" si="2323">+L869+P869+F869</f>
        <v>21058826.359999999</v>
      </c>
      <c r="V869" s="1127">
        <f t="shared" ref="V869:V876" si="2324">+P869*R869+L869*N869+F869*H869</f>
        <v>0</v>
      </c>
      <c r="W869" s="1211">
        <f t="shared" ref="W869:W876" si="2325">(IF(R869&gt;S869,(-P869*R869)-(-P869*S869),0))</f>
        <v>0</v>
      </c>
      <c r="X869" s="1212">
        <f t="shared" ref="X869:X876" si="2326">(IF(R869&lt;S869,(-P869*R869)-(-P869*S869),0))</f>
        <v>0</v>
      </c>
      <c r="Y869" s="1128"/>
      <c r="Z869" s="220"/>
      <c r="AA869" s="220"/>
      <c r="AB869" s="220"/>
      <c r="AC869" s="220"/>
      <c r="AD869" s="220"/>
      <c r="AE869" s="220"/>
      <c r="AF869" s="220"/>
      <c r="AG869" s="220"/>
      <c r="AH869" s="220"/>
      <c r="AI869" s="220"/>
      <c r="AJ869" s="220"/>
      <c r="AK869" s="220"/>
      <c r="AL869" s="220"/>
      <c r="AM869" s="220"/>
      <c r="AN869" s="220"/>
      <c r="AO869" s="220"/>
      <c r="AP869" s="220"/>
      <c r="AQ869" s="220"/>
      <c r="AR869" s="220"/>
      <c r="AS869" s="220"/>
      <c r="AT869" s="220"/>
      <c r="AU869" s="220"/>
      <c r="AV869" s="220"/>
      <c r="AW869" s="220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R869" s="24"/>
      <c r="BS869" s="24"/>
      <c r="BT869" s="24"/>
      <c r="BU869" s="24"/>
      <c r="BV869" s="24"/>
      <c r="BW869" s="24"/>
      <c r="BX869" s="24"/>
      <c r="BY869" s="24"/>
      <c r="BZ869" s="24"/>
      <c r="CA869" s="24"/>
      <c r="CB869" s="24"/>
      <c r="CC869" s="24"/>
      <c r="CD869" s="24"/>
      <c r="CE869" s="24"/>
      <c r="CF869" s="24"/>
      <c r="CG869" s="24"/>
      <c r="CH869" s="24"/>
      <c r="CI869" s="24"/>
      <c r="CJ869" s="24"/>
      <c r="CK869" s="24"/>
      <c r="CL869" s="24"/>
      <c r="CM869" s="24"/>
      <c r="CN869" s="24"/>
      <c r="CO869" s="24"/>
      <c r="CP869" s="24"/>
      <c r="CQ869" s="24"/>
      <c r="CR869" s="24"/>
      <c r="CS869" s="24"/>
      <c r="CT869" s="24"/>
      <c r="CU869" s="24"/>
      <c r="CV869" s="24"/>
      <c r="CW869" s="24"/>
      <c r="CX869" s="24"/>
      <c r="CY869" s="24"/>
      <c r="CZ869" s="24"/>
      <c r="DA869" s="24"/>
      <c r="DB869" s="24"/>
      <c r="DC869" s="24"/>
      <c r="DD869" s="24"/>
      <c r="DE869" s="24"/>
      <c r="DF869" s="24"/>
      <c r="DG869" s="24"/>
      <c r="DH869" s="24"/>
      <c r="DI869" s="24"/>
      <c r="DJ869" s="24"/>
      <c r="DK869" s="24"/>
      <c r="DL869" s="24"/>
      <c r="DM869" s="24"/>
      <c r="DN869" s="24"/>
      <c r="DO869" s="24"/>
      <c r="DP869" s="24"/>
      <c r="DQ869" s="24"/>
      <c r="DR869" s="24"/>
      <c r="DS869" s="24"/>
      <c r="DT869" s="24"/>
      <c r="DU869" s="24"/>
      <c r="DV869" s="24"/>
      <c r="DW869" s="24"/>
      <c r="DX869" s="24"/>
      <c r="DY869" s="24"/>
      <c r="DZ869" s="24"/>
      <c r="EA869" s="24"/>
      <c r="EB869" s="24"/>
    </row>
    <row r="870" spans="1:132" ht="15.75" hidden="1" outlineLevel="2" thickBot="1">
      <c r="A870" s="55">
        <v>1217012407</v>
      </c>
      <c r="B870" s="509" t="s">
        <v>271</v>
      </c>
      <c r="C870" s="679" t="s">
        <v>64</v>
      </c>
      <c r="D870" s="1207"/>
      <c r="E870" s="219">
        <v>44018</v>
      </c>
      <c r="F870" s="416"/>
      <c r="G870" s="1251"/>
      <c r="H870" s="676"/>
      <c r="I870" s="1193">
        <f t="shared" si="2320"/>
        <v>0</v>
      </c>
      <c r="J870" s="1386"/>
      <c r="K870" s="1386"/>
      <c r="L870" s="438"/>
      <c r="M870" s="1302"/>
      <c r="N870" s="504"/>
      <c r="O870" s="1194">
        <f t="shared" si="2321"/>
        <v>0</v>
      </c>
      <c r="P870" s="431">
        <f>-L869</f>
        <v>-21058826.359999999</v>
      </c>
      <c r="Q870" s="514"/>
      <c r="R870" s="515">
        <f>+N869</f>
        <v>0</v>
      </c>
      <c r="S870" s="515"/>
      <c r="T870" s="1190">
        <f t="shared" si="2322"/>
        <v>0</v>
      </c>
      <c r="U870" s="418">
        <f t="shared" si="2323"/>
        <v>-21058826.359999999</v>
      </c>
      <c r="V870" s="1127">
        <f t="shared" si="2324"/>
        <v>0</v>
      </c>
      <c r="W870" s="1211">
        <f t="shared" si="2325"/>
        <v>0</v>
      </c>
      <c r="X870" s="1212">
        <f t="shared" si="2326"/>
        <v>0</v>
      </c>
      <c r="Y870" s="1128"/>
      <c r="Z870" s="220"/>
      <c r="AA870" s="220"/>
      <c r="AB870" s="220"/>
      <c r="AC870" s="220"/>
      <c r="AD870" s="220"/>
      <c r="AE870" s="220"/>
      <c r="AF870" s="220"/>
      <c r="AG870" s="220"/>
      <c r="AH870" s="220"/>
      <c r="AI870" s="220"/>
      <c r="AJ870" s="220"/>
      <c r="AK870" s="220"/>
      <c r="AL870" s="220"/>
      <c r="AM870" s="220"/>
      <c r="AN870" s="220"/>
      <c r="AO870" s="220"/>
      <c r="AP870" s="220"/>
      <c r="AQ870" s="220"/>
      <c r="AR870" s="220"/>
      <c r="AS870" s="220"/>
      <c r="AT870" s="220"/>
      <c r="AU870" s="220"/>
      <c r="AV870" s="220"/>
      <c r="AW870" s="220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  <c r="BQ870" s="24"/>
      <c r="BR870" s="24"/>
      <c r="BS870" s="24"/>
      <c r="BT870" s="24"/>
      <c r="BU870" s="24"/>
      <c r="BV870" s="24"/>
      <c r="BW870" s="24"/>
      <c r="BX870" s="24"/>
      <c r="BY870" s="24"/>
      <c r="BZ870" s="24"/>
      <c r="CA870" s="24"/>
      <c r="CB870" s="24"/>
      <c r="CC870" s="24"/>
      <c r="CD870" s="24"/>
      <c r="CE870" s="24"/>
      <c r="CF870" s="24"/>
      <c r="CG870" s="24"/>
      <c r="CH870" s="24"/>
      <c r="CI870" s="24"/>
      <c r="CJ870" s="24"/>
      <c r="CK870" s="24"/>
      <c r="CL870" s="24"/>
      <c r="CM870" s="24"/>
      <c r="CN870" s="24"/>
      <c r="CO870" s="24"/>
      <c r="CP870" s="24"/>
      <c r="CQ870" s="24"/>
      <c r="CR870" s="24"/>
      <c r="CS870" s="24"/>
      <c r="CT870" s="24"/>
      <c r="CU870" s="24"/>
      <c r="CV870" s="24"/>
      <c r="CW870" s="24"/>
      <c r="CX870" s="24"/>
      <c r="CY870" s="24"/>
      <c r="CZ870" s="24"/>
      <c r="DA870" s="24"/>
      <c r="DB870" s="24"/>
      <c r="DC870" s="24"/>
      <c r="DD870" s="24"/>
      <c r="DE870" s="24"/>
      <c r="DF870" s="24"/>
      <c r="DG870" s="24"/>
      <c r="DH870" s="24"/>
      <c r="DI870" s="24"/>
      <c r="DJ870" s="24"/>
      <c r="DK870" s="24"/>
      <c r="DL870" s="24"/>
      <c r="DM870" s="24"/>
      <c r="DN870" s="24"/>
      <c r="DO870" s="24"/>
      <c r="DP870" s="24"/>
      <c r="DQ870" s="24"/>
      <c r="DR870" s="24"/>
      <c r="DS870" s="24"/>
      <c r="DT870" s="24"/>
      <c r="DU870" s="24"/>
      <c r="DV870" s="24"/>
      <c r="DW870" s="24"/>
      <c r="DX870" s="24"/>
      <c r="DY870" s="24"/>
      <c r="DZ870" s="24"/>
      <c r="EA870" s="24"/>
      <c r="EB870" s="24"/>
    </row>
    <row r="871" spans="1:132" ht="15.75" hidden="1" outlineLevel="2" thickBot="1">
      <c r="A871" s="55">
        <v>1217012407</v>
      </c>
      <c r="B871" s="509" t="s">
        <v>275</v>
      </c>
      <c r="C871" s="679" t="s">
        <v>64</v>
      </c>
      <c r="D871" s="1207" t="s">
        <v>270</v>
      </c>
      <c r="E871" s="219">
        <v>44007</v>
      </c>
      <c r="F871" s="416"/>
      <c r="G871" s="1251"/>
      <c r="H871" s="676"/>
      <c r="I871" s="1193">
        <f t="shared" si="2320"/>
        <v>0</v>
      </c>
      <c r="J871" s="1386"/>
      <c r="K871" s="1386"/>
      <c r="L871" s="438">
        <v>21029236.949999999</v>
      </c>
      <c r="M871" s="1304"/>
      <c r="N871" s="415"/>
      <c r="O871" s="1194">
        <f t="shared" si="2321"/>
        <v>0</v>
      </c>
      <c r="P871" s="431"/>
      <c r="Q871" s="514"/>
      <c r="R871" s="515"/>
      <c r="S871" s="515"/>
      <c r="T871" s="1190">
        <f t="shared" si="2322"/>
        <v>0</v>
      </c>
      <c r="U871" s="418">
        <f t="shared" si="2323"/>
        <v>21029236.949999999</v>
      </c>
      <c r="V871" s="1127">
        <f t="shared" si="2324"/>
        <v>0</v>
      </c>
      <c r="W871" s="1211">
        <f t="shared" si="2325"/>
        <v>0</v>
      </c>
      <c r="X871" s="1212">
        <f t="shared" si="2326"/>
        <v>0</v>
      </c>
      <c r="Y871" s="1128"/>
      <c r="Z871" s="220"/>
      <c r="AA871" s="220"/>
      <c r="AB871" s="220"/>
      <c r="AC871" s="220"/>
      <c r="AD871" s="220"/>
      <c r="AE871" s="220"/>
      <c r="AF871" s="220"/>
      <c r="AG871" s="220"/>
      <c r="AH871" s="220"/>
      <c r="AI871" s="220"/>
      <c r="AJ871" s="220"/>
      <c r="AK871" s="220"/>
      <c r="AL871" s="220"/>
      <c r="AM871" s="220"/>
      <c r="AN871" s="220"/>
      <c r="AO871" s="220"/>
      <c r="AP871" s="220"/>
      <c r="AQ871" s="220"/>
      <c r="AR871" s="220"/>
      <c r="AS871" s="220"/>
      <c r="AT871" s="220"/>
      <c r="AU871" s="220"/>
      <c r="AV871" s="220"/>
      <c r="AW871" s="220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  <c r="BQ871" s="24"/>
      <c r="BR871" s="24"/>
      <c r="BS871" s="24"/>
      <c r="BT871" s="24"/>
      <c r="BU871" s="24"/>
      <c r="BV871" s="24"/>
      <c r="BW871" s="24"/>
      <c r="BX871" s="24"/>
      <c r="BY871" s="24"/>
      <c r="BZ871" s="24"/>
      <c r="CA871" s="24"/>
      <c r="CB871" s="24"/>
      <c r="CC871" s="24"/>
      <c r="CD871" s="24"/>
      <c r="CE871" s="24"/>
      <c r="CF871" s="24"/>
      <c r="CG871" s="24"/>
      <c r="CH871" s="24"/>
      <c r="CI871" s="24"/>
      <c r="CJ871" s="24"/>
      <c r="CK871" s="24"/>
      <c r="CL871" s="24"/>
      <c r="CM871" s="24"/>
      <c r="CN871" s="24"/>
      <c r="CO871" s="24"/>
      <c r="CP871" s="24"/>
      <c r="CQ871" s="24"/>
      <c r="CR871" s="24"/>
      <c r="CS871" s="24"/>
      <c r="CT871" s="24"/>
      <c r="CU871" s="24"/>
      <c r="CV871" s="24"/>
      <c r="CW871" s="24"/>
      <c r="CX871" s="24"/>
      <c r="CY871" s="24"/>
      <c r="CZ871" s="24"/>
      <c r="DA871" s="24"/>
      <c r="DB871" s="24"/>
      <c r="DC871" s="24"/>
      <c r="DD871" s="24"/>
      <c r="DE871" s="24"/>
      <c r="DF871" s="24"/>
      <c r="DG871" s="24"/>
      <c r="DH871" s="24"/>
      <c r="DI871" s="24"/>
      <c r="DJ871" s="24"/>
      <c r="DK871" s="24"/>
      <c r="DL871" s="24"/>
      <c r="DM871" s="24"/>
      <c r="DN871" s="24"/>
      <c r="DO871" s="24"/>
      <c r="DP871" s="24"/>
      <c r="DQ871" s="24"/>
      <c r="DR871" s="24"/>
      <c r="DS871" s="24"/>
      <c r="DT871" s="24"/>
      <c r="DU871" s="24"/>
      <c r="DV871" s="24"/>
      <c r="DW871" s="24"/>
      <c r="DX871" s="24"/>
      <c r="DY871" s="24"/>
      <c r="DZ871" s="24"/>
      <c r="EA871" s="24"/>
      <c r="EB871" s="24"/>
    </row>
    <row r="872" spans="1:132" ht="15.75" hidden="1" outlineLevel="2" thickBot="1">
      <c r="A872" s="55">
        <v>1217012407</v>
      </c>
      <c r="B872" s="509" t="s">
        <v>271</v>
      </c>
      <c r="C872" s="679" t="s">
        <v>64</v>
      </c>
      <c r="D872" s="1207"/>
      <c r="E872" s="219">
        <v>44018</v>
      </c>
      <c r="F872" s="416"/>
      <c r="G872" s="1251"/>
      <c r="H872" s="676"/>
      <c r="I872" s="1193">
        <f t="shared" si="2320"/>
        <v>0</v>
      </c>
      <c r="J872" s="1386"/>
      <c r="K872" s="1386"/>
      <c r="L872" s="438"/>
      <c r="M872" s="1302"/>
      <c r="N872" s="504"/>
      <c r="O872" s="1194">
        <f t="shared" si="2321"/>
        <v>0</v>
      </c>
      <c r="P872" s="431">
        <f>-L871</f>
        <v>-21029236.949999999</v>
      </c>
      <c r="Q872" s="514"/>
      <c r="R872" s="515">
        <f>+N871</f>
        <v>0</v>
      </c>
      <c r="S872" s="515"/>
      <c r="T872" s="1190">
        <f t="shared" si="2322"/>
        <v>0</v>
      </c>
      <c r="U872" s="418">
        <f t="shared" si="2323"/>
        <v>-21029236.949999999</v>
      </c>
      <c r="V872" s="1127">
        <f t="shared" si="2324"/>
        <v>0</v>
      </c>
      <c r="W872" s="1211">
        <f t="shared" si="2325"/>
        <v>0</v>
      </c>
      <c r="X872" s="1212">
        <f t="shared" si="2326"/>
        <v>0</v>
      </c>
      <c r="Y872" s="1128"/>
      <c r="Z872" s="220"/>
      <c r="AA872" s="220"/>
      <c r="AB872" s="220"/>
      <c r="AC872" s="220"/>
      <c r="AD872" s="220"/>
      <c r="AE872" s="220"/>
      <c r="AF872" s="220"/>
      <c r="AG872" s="220"/>
      <c r="AH872" s="220"/>
      <c r="AI872" s="220"/>
      <c r="AJ872" s="220"/>
      <c r="AK872" s="220"/>
      <c r="AL872" s="220"/>
      <c r="AM872" s="220"/>
      <c r="AN872" s="220"/>
      <c r="AO872" s="220"/>
      <c r="AP872" s="220"/>
      <c r="AQ872" s="220"/>
      <c r="AR872" s="220"/>
      <c r="AS872" s="220"/>
      <c r="AT872" s="220"/>
      <c r="AU872" s="220"/>
      <c r="AV872" s="220"/>
      <c r="AW872" s="220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  <c r="BQ872" s="24"/>
      <c r="BR872" s="24"/>
      <c r="BS872" s="24"/>
      <c r="BT872" s="24"/>
      <c r="BU872" s="24"/>
      <c r="BV872" s="24"/>
      <c r="BW872" s="24"/>
      <c r="BX872" s="24"/>
      <c r="BY872" s="24"/>
      <c r="BZ872" s="24"/>
      <c r="CA872" s="24"/>
      <c r="CB872" s="24"/>
      <c r="CC872" s="24"/>
      <c r="CD872" s="24"/>
      <c r="CE872" s="24"/>
      <c r="CF872" s="24"/>
      <c r="CG872" s="24"/>
      <c r="CH872" s="24"/>
      <c r="CI872" s="24"/>
      <c r="CJ872" s="24"/>
      <c r="CK872" s="24"/>
      <c r="CL872" s="24"/>
      <c r="CM872" s="24"/>
      <c r="CN872" s="24"/>
      <c r="CO872" s="24"/>
      <c r="CP872" s="24"/>
      <c r="CQ872" s="24"/>
      <c r="CR872" s="24"/>
      <c r="CS872" s="24"/>
      <c r="CT872" s="24"/>
      <c r="CU872" s="24"/>
      <c r="CV872" s="24"/>
      <c r="CW872" s="24"/>
      <c r="CX872" s="24"/>
      <c r="CY872" s="24"/>
      <c r="CZ872" s="24"/>
      <c r="DA872" s="24"/>
      <c r="DB872" s="24"/>
      <c r="DC872" s="24"/>
      <c r="DD872" s="24"/>
      <c r="DE872" s="24"/>
      <c r="DF872" s="24"/>
      <c r="DG872" s="24"/>
      <c r="DH872" s="24"/>
      <c r="DI872" s="24"/>
      <c r="DJ872" s="24"/>
      <c r="DK872" s="24"/>
      <c r="DL872" s="24"/>
      <c r="DM872" s="24"/>
      <c r="DN872" s="24"/>
      <c r="DO872" s="24"/>
      <c r="DP872" s="24"/>
      <c r="DQ872" s="24"/>
      <c r="DR872" s="24"/>
      <c r="DS872" s="24"/>
      <c r="DT872" s="24"/>
      <c r="DU872" s="24"/>
      <c r="DV872" s="24"/>
      <c r="DW872" s="24"/>
      <c r="DX872" s="24"/>
      <c r="DY872" s="24"/>
      <c r="DZ872" s="24"/>
      <c r="EA872" s="24"/>
      <c r="EB872" s="24"/>
    </row>
    <row r="873" spans="1:132" ht="15.75" hidden="1" outlineLevel="2" thickBot="1">
      <c r="A873" s="55">
        <v>1217012407</v>
      </c>
      <c r="B873" s="509" t="s">
        <v>275</v>
      </c>
      <c r="C873" s="679" t="s">
        <v>64</v>
      </c>
      <c r="D873" s="1207" t="s">
        <v>270</v>
      </c>
      <c r="E873" s="219">
        <v>44008</v>
      </c>
      <c r="F873" s="416"/>
      <c r="G873" s="1251"/>
      <c r="H873" s="676"/>
      <c r="I873" s="1193">
        <f t="shared" si="2320"/>
        <v>0</v>
      </c>
      <c r="J873" s="1386"/>
      <c r="K873" s="1386"/>
      <c r="L873" s="438">
        <v>20333290.149999999</v>
      </c>
      <c r="M873" s="1304"/>
      <c r="N873" s="415"/>
      <c r="O873" s="1194">
        <f t="shared" si="2321"/>
        <v>0</v>
      </c>
      <c r="P873" s="431"/>
      <c r="Q873" s="514"/>
      <c r="R873" s="515"/>
      <c r="S873" s="515"/>
      <c r="T873" s="1190">
        <f t="shared" si="2322"/>
        <v>0</v>
      </c>
      <c r="U873" s="418">
        <f t="shared" si="2323"/>
        <v>20333290.149999999</v>
      </c>
      <c r="V873" s="1127">
        <f t="shared" si="2324"/>
        <v>0</v>
      </c>
      <c r="W873" s="1211">
        <f t="shared" si="2325"/>
        <v>0</v>
      </c>
      <c r="X873" s="1212">
        <f t="shared" si="2326"/>
        <v>0</v>
      </c>
      <c r="Y873" s="1128"/>
      <c r="Z873" s="220"/>
      <c r="AA873" s="220"/>
      <c r="AB873" s="220"/>
      <c r="AC873" s="220"/>
      <c r="AD873" s="220"/>
      <c r="AE873" s="220"/>
      <c r="AF873" s="220"/>
      <c r="AG873" s="220"/>
      <c r="AH873" s="220"/>
      <c r="AI873" s="220"/>
      <c r="AJ873" s="220"/>
      <c r="AK873" s="220"/>
      <c r="AL873" s="220"/>
      <c r="AM873" s="220"/>
      <c r="AN873" s="220"/>
      <c r="AO873" s="220"/>
      <c r="AP873" s="220"/>
      <c r="AQ873" s="220"/>
      <c r="AR873" s="220"/>
      <c r="AS873" s="220"/>
      <c r="AT873" s="220"/>
      <c r="AU873" s="220"/>
      <c r="AV873" s="220"/>
      <c r="AW873" s="220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R873" s="24"/>
      <c r="BS873" s="24"/>
      <c r="BT873" s="24"/>
      <c r="BU873" s="24"/>
      <c r="BV873" s="24"/>
      <c r="BW873" s="24"/>
      <c r="BX873" s="24"/>
      <c r="BY873" s="24"/>
      <c r="BZ873" s="24"/>
      <c r="CA873" s="24"/>
      <c r="CB873" s="24"/>
      <c r="CC873" s="24"/>
      <c r="CD873" s="24"/>
      <c r="CE873" s="24"/>
      <c r="CF873" s="24"/>
      <c r="CG873" s="24"/>
      <c r="CH873" s="24"/>
      <c r="CI873" s="24"/>
      <c r="CJ873" s="24"/>
      <c r="CK873" s="24"/>
      <c r="CL873" s="24"/>
      <c r="CM873" s="24"/>
      <c r="CN873" s="24"/>
      <c r="CO873" s="24"/>
      <c r="CP873" s="24"/>
      <c r="CQ873" s="24"/>
      <c r="CR873" s="24"/>
      <c r="CS873" s="24"/>
      <c r="CT873" s="24"/>
      <c r="CU873" s="24"/>
      <c r="CV873" s="24"/>
      <c r="CW873" s="24"/>
      <c r="CX873" s="24"/>
      <c r="CY873" s="24"/>
      <c r="CZ873" s="24"/>
      <c r="DA873" s="24"/>
      <c r="DB873" s="24"/>
      <c r="DC873" s="24"/>
      <c r="DD873" s="24"/>
      <c r="DE873" s="24"/>
      <c r="DF873" s="24"/>
      <c r="DG873" s="24"/>
      <c r="DH873" s="24"/>
      <c r="DI873" s="24"/>
      <c r="DJ873" s="24"/>
      <c r="DK873" s="24"/>
      <c r="DL873" s="24"/>
      <c r="DM873" s="24"/>
      <c r="DN873" s="24"/>
      <c r="DO873" s="24"/>
      <c r="DP873" s="24"/>
      <c r="DQ873" s="24"/>
      <c r="DR873" s="24"/>
      <c r="DS873" s="24"/>
      <c r="DT873" s="24"/>
      <c r="DU873" s="24"/>
      <c r="DV873" s="24"/>
      <c r="DW873" s="24"/>
      <c r="DX873" s="24"/>
      <c r="DY873" s="24"/>
      <c r="DZ873" s="24"/>
      <c r="EA873" s="24"/>
      <c r="EB873" s="24"/>
    </row>
    <row r="874" spans="1:132" ht="15.75" hidden="1" outlineLevel="2" thickBot="1">
      <c r="A874" s="55">
        <v>1217012407</v>
      </c>
      <c r="B874" s="509" t="s">
        <v>271</v>
      </c>
      <c r="C874" s="679" t="s">
        <v>64</v>
      </c>
      <c r="D874" s="1207"/>
      <c r="E874" s="219">
        <v>44018</v>
      </c>
      <c r="F874" s="416"/>
      <c r="G874" s="1251"/>
      <c r="H874" s="676"/>
      <c r="I874" s="1193">
        <f t="shared" si="2320"/>
        <v>0</v>
      </c>
      <c r="J874" s="1386"/>
      <c r="K874" s="1386"/>
      <c r="L874" s="438"/>
      <c r="M874" s="1302"/>
      <c r="N874" s="504"/>
      <c r="O874" s="1194">
        <f t="shared" si="2321"/>
        <v>0</v>
      </c>
      <c r="P874" s="431">
        <f>-L873</f>
        <v>-20333290.149999999</v>
      </c>
      <c r="Q874" s="514"/>
      <c r="R874" s="515">
        <f>+N873</f>
        <v>0</v>
      </c>
      <c r="S874" s="515"/>
      <c r="T874" s="1190">
        <f t="shared" si="2322"/>
        <v>0</v>
      </c>
      <c r="U874" s="418">
        <f t="shared" si="2323"/>
        <v>-20333290.149999999</v>
      </c>
      <c r="V874" s="1127">
        <f t="shared" si="2324"/>
        <v>0</v>
      </c>
      <c r="W874" s="1211">
        <f t="shared" si="2325"/>
        <v>0</v>
      </c>
      <c r="X874" s="1212">
        <f t="shared" si="2326"/>
        <v>0</v>
      </c>
      <c r="Y874" s="1128"/>
      <c r="Z874" s="220"/>
      <c r="AA874" s="220"/>
      <c r="AB874" s="220"/>
      <c r="AC874" s="220"/>
      <c r="AD874" s="220"/>
      <c r="AE874" s="220"/>
      <c r="AF874" s="220"/>
      <c r="AG874" s="220"/>
      <c r="AH874" s="220"/>
      <c r="AI874" s="220"/>
      <c r="AJ874" s="220"/>
      <c r="AK874" s="220"/>
      <c r="AL874" s="220"/>
      <c r="AM874" s="220"/>
      <c r="AN874" s="220"/>
      <c r="AO874" s="220"/>
      <c r="AP874" s="220"/>
      <c r="AQ874" s="220"/>
      <c r="AR874" s="220"/>
      <c r="AS874" s="220"/>
      <c r="AT874" s="220"/>
      <c r="AU874" s="220"/>
      <c r="AV874" s="220"/>
      <c r="AW874" s="220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  <c r="CZ874" s="24"/>
      <c r="DA874" s="24"/>
      <c r="DB874" s="24"/>
      <c r="DC874" s="24"/>
      <c r="DD874" s="24"/>
      <c r="DE874" s="24"/>
      <c r="DF874" s="24"/>
      <c r="DG874" s="24"/>
      <c r="DH874" s="24"/>
      <c r="DI874" s="24"/>
      <c r="DJ874" s="24"/>
      <c r="DK874" s="24"/>
      <c r="DL874" s="24"/>
      <c r="DM874" s="24"/>
      <c r="DN874" s="24"/>
      <c r="DO874" s="24"/>
      <c r="DP874" s="24"/>
      <c r="DQ874" s="24"/>
      <c r="DR874" s="24"/>
      <c r="DS874" s="24"/>
      <c r="DT874" s="24"/>
      <c r="DU874" s="24"/>
      <c r="DV874" s="24"/>
      <c r="DW874" s="24"/>
      <c r="DX874" s="24"/>
      <c r="DY874" s="24"/>
      <c r="DZ874" s="24"/>
      <c r="EA874" s="24"/>
      <c r="EB874" s="24"/>
    </row>
    <row r="875" spans="1:132" ht="15.75" hidden="1" outlineLevel="2" thickBot="1">
      <c r="A875" s="55">
        <v>1217012407</v>
      </c>
      <c r="B875" s="509" t="s">
        <v>274</v>
      </c>
      <c r="C875" s="679" t="s">
        <v>64</v>
      </c>
      <c r="D875" s="1207" t="s">
        <v>270</v>
      </c>
      <c r="E875" s="219">
        <v>44008</v>
      </c>
      <c r="F875" s="416"/>
      <c r="G875" s="1251"/>
      <c r="H875" s="676"/>
      <c r="I875" s="1193">
        <f t="shared" si="2320"/>
        <v>0</v>
      </c>
      <c r="J875" s="1386"/>
      <c r="K875" s="1386"/>
      <c r="L875" s="438">
        <v>21553949.829999998</v>
      </c>
      <c r="M875" s="1304"/>
      <c r="N875" s="415"/>
      <c r="O875" s="1194">
        <f t="shared" si="2321"/>
        <v>0</v>
      </c>
      <c r="P875" s="431"/>
      <c r="Q875" s="514"/>
      <c r="R875" s="515"/>
      <c r="S875" s="515"/>
      <c r="T875" s="1190">
        <f t="shared" si="2322"/>
        <v>0</v>
      </c>
      <c r="U875" s="418">
        <f t="shared" si="2323"/>
        <v>21553949.829999998</v>
      </c>
      <c r="V875" s="1127">
        <f t="shared" si="2324"/>
        <v>0</v>
      </c>
      <c r="W875" s="1211">
        <f t="shared" si="2325"/>
        <v>0</v>
      </c>
      <c r="X875" s="1212">
        <f t="shared" si="2326"/>
        <v>0</v>
      </c>
      <c r="Y875" s="1128"/>
      <c r="Z875" s="220"/>
      <c r="AA875" s="220"/>
      <c r="AB875" s="220"/>
      <c r="AC875" s="220"/>
      <c r="AD875" s="220"/>
      <c r="AE875" s="220"/>
      <c r="AF875" s="220"/>
      <c r="AG875" s="220"/>
      <c r="AH875" s="220"/>
      <c r="AI875" s="220"/>
      <c r="AJ875" s="220"/>
      <c r="AK875" s="220"/>
      <c r="AL875" s="220"/>
      <c r="AM875" s="220"/>
      <c r="AN875" s="220"/>
      <c r="AO875" s="220"/>
      <c r="AP875" s="220"/>
      <c r="AQ875" s="220"/>
      <c r="AR875" s="220"/>
      <c r="AS875" s="220"/>
      <c r="AT875" s="220"/>
      <c r="AU875" s="220"/>
      <c r="AV875" s="220"/>
      <c r="AW875" s="220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24"/>
      <c r="BU875" s="24"/>
      <c r="BV875" s="24"/>
      <c r="BW875" s="24"/>
      <c r="BX875" s="24"/>
      <c r="BY875" s="24"/>
      <c r="BZ875" s="24"/>
      <c r="CA875" s="24"/>
      <c r="CB875" s="24"/>
      <c r="CC875" s="24"/>
      <c r="CD875" s="24"/>
      <c r="CE875" s="24"/>
      <c r="CF875" s="24"/>
      <c r="CG875" s="24"/>
      <c r="CH875" s="24"/>
      <c r="CI875" s="24"/>
      <c r="CJ875" s="24"/>
      <c r="CK875" s="24"/>
      <c r="CL875" s="24"/>
      <c r="CM875" s="24"/>
      <c r="CN875" s="24"/>
      <c r="CO875" s="24"/>
      <c r="CP875" s="24"/>
      <c r="CQ875" s="24"/>
      <c r="CR875" s="24"/>
      <c r="CS875" s="24"/>
      <c r="CT875" s="24"/>
      <c r="CU875" s="24"/>
      <c r="CV875" s="24"/>
      <c r="CW875" s="24"/>
      <c r="CX875" s="24"/>
      <c r="CY875" s="24"/>
      <c r="CZ875" s="24"/>
      <c r="DA875" s="24"/>
      <c r="DB875" s="24"/>
      <c r="DC875" s="24"/>
      <c r="DD875" s="24"/>
      <c r="DE875" s="24"/>
      <c r="DF875" s="24"/>
      <c r="DG875" s="24"/>
      <c r="DH875" s="24"/>
      <c r="DI875" s="24"/>
      <c r="DJ875" s="24"/>
      <c r="DK875" s="24"/>
      <c r="DL875" s="24"/>
      <c r="DM875" s="24"/>
      <c r="DN875" s="24"/>
      <c r="DO875" s="24"/>
      <c r="DP875" s="24"/>
      <c r="DQ875" s="24"/>
      <c r="DR875" s="24"/>
      <c r="DS875" s="24"/>
      <c r="DT875" s="24"/>
      <c r="DU875" s="24"/>
      <c r="DV875" s="24"/>
      <c r="DW875" s="24"/>
      <c r="DX875" s="24"/>
      <c r="DY875" s="24"/>
      <c r="DZ875" s="24"/>
      <c r="EA875" s="24"/>
      <c r="EB875" s="24"/>
    </row>
    <row r="876" spans="1:132" ht="15.75" hidden="1" outlineLevel="2" thickBot="1">
      <c r="A876" s="55">
        <v>1217012407</v>
      </c>
      <c r="B876" s="509" t="s">
        <v>271</v>
      </c>
      <c r="C876" s="679" t="s">
        <v>64</v>
      </c>
      <c r="D876" s="1207"/>
      <c r="E876" s="219">
        <v>44018</v>
      </c>
      <c r="F876" s="416"/>
      <c r="G876" s="1251"/>
      <c r="H876" s="676"/>
      <c r="I876" s="1193">
        <f t="shared" si="2320"/>
        <v>0</v>
      </c>
      <c r="J876" s="1386"/>
      <c r="K876" s="1386"/>
      <c r="L876" s="438"/>
      <c r="M876" s="1302"/>
      <c r="N876" s="504"/>
      <c r="O876" s="1194">
        <f t="shared" si="2321"/>
        <v>0</v>
      </c>
      <c r="P876" s="431">
        <f>-L875</f>
        <v>-21553949.829999998</v>
      </c>
      <c r="Q876" s="514"/>
      <c r="R876" s="515">
        <f>+N875</f>
        <v>0</v>
      </c>
      <c r="S876" s="515"/>
      <c r="T876" s="1190">
        <f t="shared" si="2322"/>
        <v>0</v>
      </c>
      <c r="U876" s="418">
        <f t="shared" si="2323"/>
        <v>-21553949.829999998</v>
      </c>
      <c r="V876" s="1127">
        <f t="shared" si="2324"/>
        <v>0</v>
      </c>
      <c r="W876" s="1211">
        <f t="shared" si="2325"/>
        <v>0</v>
      </c>
      <c r="X876" s="1212">
        <f t="shared" si="2326"/>
        <v>0</v>
      </c>
      <c r="Y876" s="1128"/>
      <c r="Z876" s="220"/>
      <c r="AA876" s="220"/>
      <c r="AB876" s="220"/>
      <c r="AC876" s="220"/>
      <c r="AD876" s="220"/>
      <c r="AE876" s="220"/>
      <c r="AF876" s="220"/>
      <c r="AG876" s="220"/>
      <c r="AH876" s="220"/>
      <c r="AI876" s="220"/>
      <c r="AJ876" s="220"/>
      <c r="AK876" s="220"/>
      <c r="AL876" s="220"/>
      <c r="AM876" s="220"/>
      <c r="AN876" s="220"/>
      <c r="AO876" s="220"/>
      <c r="AP876" s="220"/>
      <c r="AQ876" s="220"/>
      <c r="AR876" s="220"/>
      <c r="AS876" s="220"/>
      <c r="AT876" s="220"/>
      <c r="AU876" s="220"/>
      <c r="AV876" s="220"/>
      <c r="AW876" s="220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  <c r="BQ876" s="24"/>
      <c r="BR876" s="24"/>
      <c r="BS876" s="24"/>
      <c r="BT876" s="24"/>
      <c r="BU876" s="24"/>
      <c r="BV876" s="24"/>
      <c r="BW876" s="24"/>
      <c r="BX876" s="24"/>
      <c r="BY876" s="24"/>
      <c r="BZ876" s="24"/>
      <c r="CA876" s="24"/>
      <c r="CB876" s="24"/>
      <c r="CC876" s="24"/>
      <c r="CD876" s="24"/>
      <c r="CE876" s="24"/>
      <c r="CF876" s="24"/>
      <c r="CG876" s="24"/>
      <c r="CH876" s="24"/>
      <c r="CI876" s="24"/>
      <c r="CJ876" s="24"/>
      <c r="CK876" s="24"/>
      <c r="CL876" s="24"/>
      <c r="CM876" s="24"/>
      <c r="CN876" s="24"/>
      <c r="CO876" s="24"/>
      <c r="CP876" s="24"/>
      <c r="CQ876" s="24"/>
      <c r="CR876" s="24"/>
      <c r="CS876" s="24"/>
      <c r="CT876" s="24"/>
      <c r="CU876" s="24"/>
      <c r="CV876" s="24"/>
      <c r="CW876" s="24"/>
      <c r="CX876" s="24"/>
      <c r="CY876" s="24"/>
      <c r="CZ876" s="24"/>
      <c r="DA876" s="24"/>
      <c r="DB876" s="24"/>
      <c r="DC876" s="24"/>
      <c r="DD876" s="24"/>
      <c r="DE876" s="24"/>
      <c r="DF876" s="24"/>
      <c r="DG876" s="24"/>
      <c r="DH876" s="24"/>
      <c r="DI876" s="24"/>
      <c r="DJ876" s="24"/>
      <c r="DK876" s="24"/>
      <c r="DL876" s="24"/>
      <c r="DM876" s="24"/>
      <c r="DN876" s="24"/>
      <c r="DO876" s="24"/>
      <c r="DP876" s="24"/>
      <c r="DQ876" s="24"/>
      <c r="DR876" s="24"/>
      <c r="DS876" s="24"/>
      <c r="DT876" s="24"/>
      <c r="DU876" s="24"/>
      <c r="DV876" s="24"/>
      <c r="DW876" s="24"/>
      <c r="DX876" s="24"/>
      <c r="DY876" s="24"/>
      <c r="DZ876" s="24"/>
      <c r="EA876" s="24"/>
      <c r="EB876" s="24"/>
    </row>
    <row r="877" spans="1:132" ht="15.75" hidden="1" outlineLevel="2" thickBot="1">
      <c r="A877" s="55"/>
      <c r="B877" s="509"/>
      <c r="C877" s="679"/>
      <c r="D877" s="1207"/>
      <c r="E877" s="219"/>
      <c r="F877" s="416"/>
      <c r="G877" s="1251"/>
      <c r="H877" s="676"/>
      <c r="I877" s="1193"/>
      <c r="J877" s="1386"/>
      <c r="K877" s="1386"/>
      <c r="L877" s="438"/>
      <c r="M877" s="1302"/>
      <c r="N877" s="504"/>
      <c r="O877" s="1194"/>
      <c r="P877" s="431"/>
      <c r="Q877" s="514"/>
      <c r="R877" s="515"/>
      <c r="S877" s="515"/>
      <c r="T877" s="1190"/>
      <c r="U877" s="418"/>
      <c r="V877" s="1127"/>
      <c r="W877" s="1101"/>
      <c r="X877" s="1102"/>
      <c r="Y877" s="1128"/>
      <c r="Z877" s="220"/>
      <c r="AA877" s="220"/>
      <c r="AB877" s="220"/>
      <c r="AC877" s="220"/>
      <c r="AD877" s="220"/>
      <c r="AE877" s="220"/>
      <c r="AF877" s="220"/>
      <c r="AG877" s="220"/>
      <c r="AH877" s="220"/>
      <c r="AI877" s="220"/>
      <c r="AJ877" s="220"/>
      <c r="AK877" s="220"/>
      <c r="AL877" s="220"/>
      <c r="AM877" s="220"/>
      <c r="AN877" s="220"/>
      <c r="AO877" s="220"/>
      <c r="AP877" s="220"/>
      <c r="AQ877" s="220"/>
      <c r="AR877" s="220"/>
      <c r="AS877" s="220"/>
      <c r="AT877" s="220"/>
      <c r="AU877" s="220"/>
      <c r="AV877" s="220"/>
      <c r="AW877" s="220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R877" s="24"/>
      <c r="BS877" s="24"/>
      <c r="BT877" s="24"/>
      <c r="BU877" s="24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  <c r="CG877" s="24"/>
      <c r="CH877" s="24"/>
      <c r="CI877" s="24"/>
      <c r="CJ877" s="24"/>
      <c r="CK877" s="24"/>
      <c r="CL877" s="24"/>
      <c r="CM877" s="24"/>
      <c r="CN877" s="24"/>
      <c r="CO877" s="24"/>
      <c r="CP877" s="24"/>
      <c r="CQ877" s="24"/>
      <c r="CR877" s="24"/>
      <c r="CS877" s="24"/>
      <c r="CT877" s="24"/>
      <c r="CU877" s="24"/>
      <c r="CV877" s="24"/>
      <c r="CW877" s="24"/>
      <c r="CX877" s="24"/>
      <c r="CY877" s="24"/>
      <c r="CZ877" s="24"/>
      <c r="DA877" s="24"/>
      <c r="DB877" s="24"/>
      <c r="DC877" s="24"/>
      <c r="DD877" s="24"/>
      <c r="DE877" s="24"/>
      <c r="DF877" s="24"/>
      <c r="DG877" s="24"/>
      <c r="DH877" s="24"/>
      <c r="DI877" s="24"/>
      <c r="DJ877" s="24"/>
      <c r="DK877" s="24"/>
      <c r="DL877" s="24"/>
      <c r="DM877" s="24"/>
      <c r="DN877" s="24"/>
      <c r="DO877" s="24"/>
      <c r="DP877" s="24"/>
      <c r="DQ877" s="24"/>
      <c r="DR877" s="24"/>
      <c r="DS877" s="24"/>
      <c r="DT877" s="24"/>
      <c r="DU877" s="24"/>
      <c r="DV877" s="24"/>
      <c r="DW877" s="24"/>
      <c r="DX877" s="24"/>
      <c r="DY877" s="24"/>
      <c r="DZ877" s="24"/>
      <c r="EA877" s="24"/>
      <c r="EB877" s="24"/>
    </row>
    <row r="878" spans="1:132" ht="15.75" hidden="1" outlineLevel="2" thickBot="1">
      <c r="A878" s="55"/>
      <c r="B878" s="1210" t="s">
        <v>281</v>
      </c>
      <c r="C878" s="679"/>
      <c r="D878" s="1207"/>
      <c r="E878" s="219"/>
      <c r="F878" s="416"/>
      <c r="G878" s="1251"/>
      <c r="H878" s="676"/>
      <c r="I878" s="1193"/>
      <c r="J878" s="1386"/>
      <c r="K878" s="1386"/>
      <c r="L878" s="438"/>
      <c r="M878" s="1304"/>
      <c r="N878" s="1208"/>
      <c r="O878" s="1194"/>
      <c r="P878" s="431"/>
      <c r="Q878" s="514"/>
      <c r="R878" s="515"/>
      <c r="S878" s="515"/>
      <c r="T878" s="1190"/>
      <c r="U878" s="418"/>
      <c r="V878" s="1127"/>
      <c r="W878" s="1101"/>
      <c r="X878" s="1102"/>
      <c r="Y878" s="1128"/>
      <c r="Z878" s="220"/>
      <c r="AA878" s="220"/>
      <c r="AB878" s="220"/>
      <c r="AC878" s="220"/>
      <c r="AD878" s="220"/>
      <c r="AE878" s="220"/>
      <c r="AF878" s="220"/>
      <c r="AG878" s="220"/>
      <c r="AH878" s="220"/>
      <c r="AI878" s="220"/>
      <c r="AJ878" s="220"/>
      <c r="AK878" s="220"/>
      <c r="AL878" s="220"/>
      <c r="AM878" s="220"/>
      <c r="AN878" s="220"/>
      <c r="AO878" s="220"/>
      <c r="AP878" s="220"/>
      <c r="AQ878" s="220"/>
      <c r="AR878" s="220"/>
      <c r="AS878" s="220"/>
      <c r="AT878" s="220"/>
      <c r="AU878" s="220"/>
      <c r="AV878" s="220"/>
      <c r="AW878" s="220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  <c r="BQ878" s="24"/>
      <c r="BR878" s="24"/>
      <c r="BS878" s="24"/>
      <c r="BT878" s="24"/>
      <c r="BU878" s="24"/>
      <c r="BV878" s="24"/>
      <c r="BW878" s="24"/>
      <c r="BX878" s="24"/>
      <c r="BY878" s="24"/>
      <c r="BZ878" s="24"/>
      <c r="CA878" s="24"/>
      <c r="CB878" s="24"/>
      <c r="CC878" s="24"/>
      <c r="CD878" s="24"/>
      <c r="CE878" s="24"/>
      <c r="CF878" s="24"/>
      <c r="CG878" s="24"/>
      <c r="CH878" s="24"/>
      <c r="CI878" s="24"/>
      <c r="CJ878" s="24"/>
      <c r="CK878" s="24"/>
      <c r="CL878" s="24"/>
      <c r="CM878" s="24"/>
      <c r="CN878" s="24"/>
      <c r="CO878" s="24"/>
      <c r="CP878" s="24"/>
      <c r="CQ878" s="24"/>
      <c r="CR878" s="24"/>
      <c r="CS878" s="24"/>
      <c r="CT878" s="24"/>
      <c r="CU878" s="24"/>
      <c r="CV878" s="24"/>
      <c r="CW878" s="24"/>
      <c r="CX878" s="24"/>
      <c r="CY878" s="24"/>
      <c r="CZ878" s="24"/>
      <c r="DA878" s="24"/>
      <c r="DB878" s="24"/>
      <c r="DC878" s="24"/>
      <c r="DD878" s="24"/>
      <c r="DE878" s="24"/>
      <c r="DF878" s="24"/>
      <c r="DG878" s="24"/>
      <c r="DH878" s="24"/>
      <c r="DI878" s="24"/>
      <c r="DJ878" s="24"/>
      <c r="DK878" s="24"/>
      <c r="DL878" s="24"/>
      <c r="DM878" s="24"/>
      <c r="DN878" s="24"/>
      <c r="DO878" s="24"/>
      <c r="DP878" s="24"/>
      <c r="DQ878" s="24"/>
      <c r="DR878" s="24"/>
      <c r="DS878" s="24"/>
      <c r="DT878" s="24"/>
      <c r="DU878" s="24"/>
      <c r="DV878" s="24"/>
      <c r="DW878" s="24"/>
      <c r="DX878" s="24"/>
      <c r="DY878" s="24"/>
      <c r="DZ878" s="24"/>
      <c r="EA878" s="24"/>
      <c r="EB878" s="24"/>
    </row>
    <row r="879" spans="1:132" ht="15.75" hidden="1" outlineLevel="2" thickBot="1">
      <c r="A879" s="55">
        <v>1217012407</v>
      </c>
      <c r="B879" s="509" t="s">
        <v>279</v>
      </c>
      <c r="C879" s="679" t="s">
        <v>64</v>
      </c>
      <c r="D879" s="1207" t="s">
        <v>270</v>
      </c>
      <c r="E879" s="219">
        <v>44062</v>
      </c>
      <c r="F879" s="416"/>
      <c r="G879" s="1251"/>
      <c r="H879" s="676"/>
      <c r="I879" s="1193">
        <f t="shared" ref="I879:I889" si="2327">+F879*H879</f>
        <v>0</v>
      </c>
      <c r="J879" s="1386"/>
      <c r="K879" s="1386"/>
      <c r="L879" s="438">
        <v>20000000</v>
      </c>
      <c r="M879" s="1304"/>
      <c r="N879" s="415"/>
      <c r="O879" s="1194">
        <f t="shared" ref="O879:O889" si="2328">+L879*N879</f>
        <v>0</v>
      </c>
      <c r="P879" s="431"/>
      <c r="Q879" s="514"/>
      <c r="R879" s="515"/>
      <c r="S879" s="515"/>
      <c r="T879" s="1190">
        <f t="shared" ref="T879:T892" si="2329">+P879*S879</f>
        <v>0</v>
      </c>
      <c r="U879" s="418">
        <f t="shared" ref="U879:U889" si="2330">+L879+P879+F879</f>
        <v>20000000</v>
      </c>
      <c r="V879" s="1127">
        <f t="shared" ref="V879:V889" si="2331">+P879*R879+L879*N879+F879*H879</f>
        <v>0</v>
      </c>
      <c r="W879" s="1213">
        <f t="shared" ref="W879:W888" si="2332">-(IF(R879&lt;S879,(-P879*R879)-(-P879*S879),0))</f>
        <v>0</v>
      </c>
      <c r="X879" s="1214">
        <f t="shared" ref="X879:X888" si="2333">-(IF(R879&gt;S879,(-P879*R879)-(-P879*S879),0))</f>
        <v>0</v>
      </c>
      <c r="Y879" s="1128"/>
      <c r="Z879" s="220"/>
      <c r="AA879" s="220"/>
      <c r="AB879" s="220"/>
      <c r="AC879" s="220"/>
      <c r="AD879" s="220"/>
      <c r="AE879" s="220"/>
      <c r="AF879" s="220"/>
      <c r="AG879" s="220"/>
      <c r="AH879" s="220"/>
      <c r="AI879" s="220"/>
      <c r="AJ879" s="220"/>
      <c r="AK879" s="220"/>
      <c r="AL879" s="220"/>
      <c r="AM879" s="220"/>
      <c r="AN879" s="220"/>
      <c r="AO879" s="220"/>
      <c r="AP879" s="220"/>
      <c r="AQ879" s="220"/>
      <c r="AR879" s="220"/>
      <c r="AS879" s="220"/>
      <c r="AT879" s="220"/>
      <c r="AU879" s="220"/>
      <c r="AV879" s="220"/>
      <c r="AW879" s="220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R879" s="24"/>
      <c r="BS879" s="24"/>
      <c r="BT879" s="24"/>
      <c r="BU879" s="24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  <c r="CG879" s="24"/>
      <c r="CH879" s="24"/>
      <c r="CI879" s="24"/>
      <c r="CJ879" s="24"/>
      <c r="CK879" s="24"/>
      <c r="CL879" s="24"/>
      <c r="CM879" s="24"/>
      <c r="CN879" s="24"/>
      <c r="CO879" s="24"/>
      <c r="CP879" s="24"/>
      <c r="CQ879" s="24"/>
      <c r="CR879" s="24"/>
      <c r="CS879" s="24"/>
      <c r="CT879" s="24"/>
      <c r="CU879" s="24"/>
      <c r="CV879" s="24"/>
      <c r="CW879" s="24"/>
      <c r="CX879" s="24"/>
      <c r="CY879" s="24"/>
      <c r="CZ879" s="24"/>
      <c r="DA879" s="24"/>
      <c r="DB879" s="24"/>
      <c r="DC879" s="24"/>
      <c r="DD879" s="24"/>
      <c r="DE879" s="24"/>
      <c r="DF879" s="24"/>
      <c r="DG879" s="24"/>
      <c r="DH879" s="24"/>
      <c r="DI879" s="24"/>
      <c r="DJ879" s="24"/>
      <c r="DK879" s="24"/>
      <c r="DL879" s="24"/>
      <c r="DM879" s="24"/>
      <c r="DN879" s="24"/>
      <c r="DO879" s="24"/>
      <c r="DP879" s="24"/>
      <c r="DQ879" s="24"/>
      <c r="DR879" s="24"/>
      <c r="DS879" s="24"/>
      <c r="DT879" s="24"/>
      <c r="DU879" s="24"/>
      <c r="DV879" s="24"/>
      <c r="DW879" s="24"/>
      <c r="DX879" s="24"/>
      <c r="DY879" s="24"/>
      <c r="DZ879" s="24"/>
      <c r="EA879" s="24"/>
      <c r="EB879" s="24"/>
    </row>
    <row r="880" spans="1:132" ht="15.75" hidden="1" outlineLevel="2" thickBot="1">
      <c r="A880" s="55">
        <v>1217012407</v>
      </c>
      <c r="B880" s="509" t="s">
        <v>271</v>
      </c>
      <c r="C880" s="679" t="s">
        <v>64</v>
      </c>
      <c r="D880" s="1207"/>
      <c r="E880" s="219">
        <v>44074</v>
      </c>
      <c r="F880" s="416"/>
      <c r="G880" s="1251"/>
      <c r="H880" s="676"/>
      <c r="I880" s="1193">
        <f t="shared" si="2327"/>
        <v>0</v>
      </c>
      <c r="J880" s="1386"/>
      <c r="K880" s="1386"/>
      <c r="L880" s="438"/>
      <c r="M880" s="1302"/>
      <c r="N880" s="504"/>
      <c r="O880" s="1194">
        <f t="shared" si="2328"/>
        <v>0</v>
      </c>
      <c r="P880" s="431">
        <f>-L879</f>
        <v>-20000000</v>
      </c>
      <c r="Q880" s="514"/>
      <c r="R880" s="515">
        <f>+N879</f>
        <v>0</v>
      </c>
      <c r="S880" s="515"/>
      <c r="T880" s="1190">
        <f t="shared" si="2329"/>
        <v>0</v>
      </c>
      <c r="U880" s="418">
        <f t="shared" si="2330"/>
        <v>-20000000</v>
      </c>
      <c r="V880" s="1127">
        <f t="shared" si="2331"/>
        <v>0</v>
      </c>
      <c r="W880" s="1213">
        <f t="shared" si="2332"/>
        <v>0</v>
      </c>
      <c r="X880" s="1214">
        <f t="shared" si="2333"/>
        <v>0</v>
      </c>
      <c r="Y880" s="1128"/>
      <c r="Z880" s="220"/>
      <c r="AA880" s="220"/>
      <c r="AB880" s="220"/>
      <c r="AC880" s="220"/>
      <c r="AD880" s="220"/>
      <c r="AE880" s="220"/>
      <c r="AF880" s="220"/>
      <c r="AG880" s="220"/>
      <c r="AH880" s="220"/>
      <c r="AI880" s="220"/>
      <c r="AJ880" s="220"/>
      <c r="AK880" s="220"/>
      <c r="AL880" s="220"/>
      <c r="AM880" s="220"/>
      <c r="AN880" s="220"/>
      <c r="AO880" s="220"/>
      <c r="AP880" s="220"/>
      <c r="AQ880" s="220"/>
      <c r="AR880" s="220"/>
      <c r="AS880" s="220"/>
      <c r="AT880" s="220"/>
      <c r="AU880" s="220"/>
      <c r="AV880" s="220"/>
      <c r="AW880" s="220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R880" s="24"/>
      <c r="BS880" s="24"/>
      <c r="BT880" s="24"/>
      <c r="BU880" s="24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/>
      <c r="CG880" s="24"/>
      <c r="CH880" s="24"/>
      <c r="CI880" s="24"/>
      <c r="CJ880" s="24"/>
      <c r="CK880" s="24"/>
      <c r="CL880" s="24"/>
      <c r="CM880" s="24"/>
      <c r="CN880" s="24"/>
      <c r="CO880" s="24"/>
      <c r="CP880" s="24"/>
      <c r="CQ880" s="24"/>
      <c r="CR880" s="24"/>
      <c r="CS880" s="24"/>
      <c r="CT880" s="24"/>
      <c r="CU880" s="24"/>
      <c r="CV880" s="24"/>
      <c r="CW880" s="24"/>
      <c r="CX880" s="24"/>
      <c r="CY880" s="24"/>
      <c r="CZ880" s="24"/>
      <c r="DA880" s="24"/>
      <c r="DB880" s="24"/>
      <c r="DC880" s="24"/>
      <c r="DD880" s="24"/>
      <c r="DE880" s="24"/>
      <c r="DF880" s="24"/>
      <c r="DG880" s="24"/>
      <c r="DH880" s="24"/>
      <c r="DI880" s="24"/>
      <c r="DJ880" s="24"/>
      <c r="DK880" s="24"/>
      <c r="DL880" s="24"/>
      <c r="DM880" s="24"/>
      <c r="DN880" s="24"/>
      <c r="DO880" s="24"/>
      <c r="DP880" s="24"/>
      <c r="DQ880" s="24"/>
      <c r="DR880" s="24"/>
      <c r="DS880" s="24"/>
      <c r="DT880" s="24"/>
      <c r="DU880" s="24"/>
      <c r="DV880" s="24"/>
      <c r="DW880" s="24"/>
      <c r="DX880" s="24"/>
      <c r="DY880" s="24"/>
      <c r="DZ880" s="24"/>
      <c r="EA880" s="24"/>
      <c r="EB880" s="24"/>
    </row>
    <row r="881" spans="1:132" ht="15.75" hidden="1" outlineLevel="2" thickBot="1">
      <c r="A881" s="55">
        <v>1217012407</v>
      </c>
      <c r="B881" s="509" t="s">
        <v>279</v>
      </c>
      <c r="C881" s="679" t="s">
        <v>64</v>
      </c>
      <c r="D881" s="1207" t="s">
        <v>270</v>
      </c>
      <c r="E881" s="219">
        <v>44063</v>
      </c>
      <c r="F881" s="416"/>
      <c r="G881" s="1251"/>
      <c r="H881" s="676"/>
      <c r="I881" s="1193">
        <f t="shared" si="2327"/>
        <v>0</v>
      </c>
      <c r="J881" s="1386"/>
      <c r="K881" s="1386"/>
      <c r="L881" s="438">
        <v>10000000</v>
      </c>
      <c r="M881" s="1304"/>
      <c r="N881" s="415"/>
      <c r="O881" s="1194">
        <f t="shared" si="2328"/>
        <v>0</v>
      </c>
      <c r="P881" s="431"/>
      <c r="Q881" s="514"/>
      <c r="R881" s="515"/>
      <c r="S881" s="515"/>
      <c r="T881" s="1190">
        <f t="shared" si="2329"/>
        <v>0</v>
      </c>
      <c r="U881" s="418">
        <f t="shared" si="2330"/>
        <v>10000000</v>
      </c>
      <c r="V881" s="1127">
        <f t="shared" si="2331"/>
        <v>0</v>
      </c>
      <c r="W881" s="1213">
        <f t="shared" si="2332"/>
        <v>0</v>
      </c>
      <c r="X881" s="1214">
        <f t="shared" si="2333"/>
        <v>0</v>
      </c>
      <c r="Y881" s="1128"/>
      <c r="Z881" s="220"/>
      <c r="AA881" s="220"/>
      <c r="AB881" s="220"/>
      <c r="AC881" s="220"/>
      <c r="AD881" s="220"/>
      <c r="AE881" s="220"/>
      <c r="AF881" s="220"/>
      <c r="AG881" s="220"/>
      <c r="AH881" s="220"/>
      <c r="AI881" s="220"/>
      <c r="AJ881" s="220"/>
      <c r="AK881" s="220"/>
      <c r="AL881" s="220"/>
      <c r="AM881" s="220"/>
      <c r="AN881" s="220"/>
      <c r="AO881" s="220"/>
      <c r="AP881" s="220"/>
      <c r="AQ881" s="220"/>
      <c r="AR881" s="220"/>
      <c r="AS881" s="220"/>
      <c r="AT881" s="220"/>
      <c r="AU881" s="220"/>
      <c r="AV881" s="220"/>
      <c r="AW881" s="220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24"/>
      <c r="BU881" s="24"/>
      <c r="BV881" s="24"/>
      <c r="BW881" s="24"/>
      <c r="BX881" s="24"/>
      <c r="BY881" s="24"/>
      <c r="BZ881" s="24"/>
      <c r="CA881" s="24"/>
      <c r="CB881" s="24"/>
      <c r="CC881" s="24"/>
      <c r="CD881" s="24"/>
      <c r="CE881" s="24"/>
      <c r="CF881" s="24"/>
      <c r="CG881" s="24"/>
      <c r="CH881" s="24"/>
      <c r="CI881" s="24"/>
      <c r="CJ881" s="24"/>
      <c r="CK881" s="24"/>
      <c r="CL881" s="24"/>
      <c r="CM881" s="24"/>
      <c r="CN881" s="24"/>
      <c r="CO881" s="24"/>
      <c r="CP881" s="24"/>
      <c r="CQ881" s="24"/>
      <c r="CR881" s="24"/>
      <c r="CS881" s="24"/>
      <c r="CT881" s="24"/>
      <c r="CU881" s="24"/>
      <c r="CV881" s="24"/>
      <c r="CW881" s="24"/>
      <c r="CX881" s="24"/>
      <c r="CY881" s="24"/>
      <c r="CZ881" s="24"/>
      <c r="DA881" s="24"/>
      <c r="DB881" s="24"/>
      <c r="DC881" s="24"/>
      <c r="DD881" s="24"/>
      <c r="DE881" s="24"/>
      <c r="DF881" s="24"/>
      <c r="DG881" s="24"/>
      <c r="DH881" s="24"/>
      <c r="DI881" s="24"/>
      <c r="DJ881" s="24"/>
      <c r="DK881" s="24"/>
      <c r="DL881" s="24"/>
      <c r="DM881" s="24"/>
      <c r="DN881" s="24"/>
      <c r="DO881" s="24"/>
      <c r="DP881" s="24"/>
      <c r="DQ881" s="24"/>
      <c r="DR881" s="24"/>
      <c r="DS881" s="24"/>
      <c r="DT881" s="24"/>
      <c r="DU881" s="24"/>
      <c r="DV881" s="24"/>
      <c r="DW881" s="24"/>
      <c r="DX881" s="24"/>
      <c r="DY881" s="24"/>
      <c r="DZ881" s="24"/>
      <c r="EA881" s="24"/>
      <c r="EB881" s="24"/>
    </row>
    <row r="882" spans="1:132" ht="15.75" hidden="1" outlineLevel="2" thickBot="1">
      <c r="A882" s="55">
        <v>1217012407</v>
      </c>
      <c r="B882" s="509" t="s">
        <v>271</v>
      </c>
      <c r="C882" s="679" t="s">
        <v>64</v>
      </c>
      <c r="D882" s="1207"/>
      <c r="E882" s="219">
        <v>44074</v>
      </c>
      <c r="F882" s="416"/>
      <c r="G882" s="1251"/>
      <c r="H882" s="676"/>
      <c r="I882" s="1193">
        <f t="shared" si="2327"/>
        <v>0</v>
      </c>
      <c r="J882" s="1386"/>
      <c r="K882" s="1386"/>
      <c r="L882" s="438"/>
      <c r="M882" s="1302"/>
      <c r="N882" s="504"/>
      <c r="O882" s="1194">
        <f t="shared" si="2328"/>
        <v>0</v>
      </c>
      <c r="P882" s="431">
        <f>-L881</f>
        <v>-10000000</v>
      </c>
      <c r="Q882" s="514"/>
      <c r="R882" s="515">
        <f>+N881</f>
        <v>0</v>
      </c>
      <c r="S882" s="515"/>
      <c r="T882" s="1190">
        <f t="shared" si="2329"/>
        <v>0</v>
      </c>
      <c r="U882" s="418">
        <f t="shared" si="2330"/>
        <v>-10000000</v>
      </c>
      <c r="V882" s="1127">
        <f t="shared" si="2331"/>
        <v>0</v>
      </c>
      <c r="W882" s="1213">
        <f t="shared" si="2332"/>
        <v>0</v>
      </c>
      <c r="X882" s="1214">
        <f t="shared" si="2333"/>
        <v>0</v>
      </c>
      <c r="Y882" s="1128"/>
      <c r="Z882" s="220"/>
      <c r="AA882" s="220"/>
      <c r="AB882" s="220"/>
      <c r="AC882" s="220"/>
      <c r="AD882" s="220"/>
      <c r="AE882" s="220"/>
      <c r="AF882" s="220"/>
      <c r="AG882" s="220"/>
      <c r="AH882" s="220"/>
      <c r="AI882" s="220"/>
      <c r="AJ882" s="220"/>
      <c r="AK882" s="220"/>
      <c r="AL882" s="220"/>
      <c r="AM882" s="220"/>
      <c r="AN882" s="220"/>
      <c r="AO882" s="220"/>
      <c r="AP882" s="220"/>
      <c r="AQ882" s="220"/>
      <c r="AR882" s="220"/>
      <c r="AS882" s="220"/>
      <c r="AT882" s="220"/>
      <c r="AU882" s="220"/>
      <c r="AV882" s="220"/>
      <c r="AW882" s="220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R882" s="24"/>
      <c r="BS882" s="24"/>
      <c r="BT882" s="24"/>
      <c r="BU882" s="24"/>
      <c r="BV882" s="24"/>
      <c r="BW882" s="24"/>
      <c r="BX882" s="24"/>
      <c r="BY882" s="24"/>
      <c r="BZ882" s="24"/>
      <c r="CA882" s="24"/>
      <c r="CB882" s="24"/>
      <c r="CC882" s="24"/>
      <c r="CD882" s="24"/>
      <c r="CE882" s="24"/>
      <c r="CF882" s="24"/>
      <c r="CG882" s="24"/>
      <c r="CH882" s="24"/>
      <c r="CI882" s="24"/>
      <c r="CJ882" s="24"/>
      <c r="CK882" s="24"/>
      <c r="CL882" s="24"/>
      <c r="CM882" s="24"/>
      <c r="CN882" s="24"/>
      <c r="CO882" s="24"/>
      <c r="CP882" s="24"/>
      <c r="CQ882" s="24"/>
      <c r="CR882" s="24"/>
      <c r="CS882" s="24"/>
      <c r="CT882" s="24"/>
      <c r="CU882" s="24"/>
      <c r="CV882" s="24"/>
      <c r="CW882" s="24"/>
      <c r="CX882" s="24"/>
      <c r="CY882" s="24"/>
      <c r="CZ882" s="24"/>
      <c r="DA882" s="24"/>
      <c r="DB882" s="24"/>
      <c r="DC882" s="24"/>
      <c r="DD882" s="24"/>
      <c r="DE882" s="24"/>
      <c r="DF882" s="24"/>
      <c r="DG882" s="24"/>
      <c r="DH882" s="24"/>
      <c r="DI882" s="24"/>
      <c r="DJ882" s="24"/>
      <c r="DK882" s="24"/>
      <c r="DL882" s="24"/>
      <c r="DM882" s="24"/>
      <c r="DN882" s="24"/>
      <c r="DO882" s="24"/>
      <c r="DP882" s="24"/>
      <c r="DQ882" s="24"/>
      <c r="DR882" s="24"/>
      <c r="DS882" s="24"/>
      <c r="DT882" s="24"/>
      <c r="DU882" s="24"/>
      <c r="DV882" s="24"/>
      <c r="DW882" s="24"/>
      <c r="DX882" s="24"/>
      <c r="DY882" s="24"/>
      <c r="DZ882" s="24"/>
      <c r="EA882" s="24"/>
      <c r="EB882" s="24"/>
    </row>
    <row r="883" spans="1:132" ht="15.75" hidden="1" outlineLevel="2" thickBot="1">
      <c r="A883" s="55">
        <v>1217012407</v>
      </c>
      <c r="B883" s="509" t="s">
        <v>280</v>
      </c>
      <c r="C883" s="679" t="s">
        <v>64</v>
      </c>
      <c r="D883" s="1207" t="s">
        <v>270</v>
      </c>
      <c r="E883" s="219">
        <v>44064</v>
      </c>
      <c r="F883" s="416"/>
      <c r="G883" s="1251"/>
      <c r="H883" s="676"/>
      <c r="I883" s="1193">
        <f t="shared" si="2327"/>
        <v>0</v>
      </c>
      <c r="J883" s="1386"/>
      <c r="K883" s="1386"/>
      <c r="L883" s="438">
        <v>4300000</v>
      </c>
      <c r="M883" s="1304"/>
      <c r="N883" s="415"/>
      <c r="O883" s="1194">
        <f t="shared" si="2328"/>
        <v>0</v>
      </c>
      <c r="P883" s="431"/>
      <c r="Q883" s="514"/>
      <c r="R883" s="515"/>
      <c r="S883" s="515"/>
      <c r="T883" s="1190">
        <f t="shared" si="2329"/>
        <v>0</v>
      </c>
      <c r="U883" s="418">
        <f t="shared" si="2330"/>
        <v>4300000</v>
      </c>
      <c r="V883" s="1127">
        <f t="shared" si="2331"/>
        <v>0</v>
      </c>
      <c r="W883" s="1213">
        <f t="shared" si="2332"/>
        <v>0</v>
      </c>
      <c r="X883" s="1214">
        <f t="shared" si="2333"/>
        <v>0</v>
      </c>
      <c r="Y883" s="1128"/>
      <c r="Z883" s="220"/>
      <c r="AA883" s="220"/>
      <c r="AB883" s="220"/>
      <c r="AC883" s="220"/>
      <c r="AD883" s="220"/>
      <c r="AE883" s="220"/>
      <c r="AF883" s="220"/>
      <c r="AG883" s="220"/>
      <c r="AH883" s="220"/>
      <c r="AI883" s="220"/>
      <c r="AJ883" s="220"/>
      <c r="AK883" s="220"/>
      <c r="AL883" s="220"/>
      <c r="AM883" s="220"/>
      <c r="AN883" s="220"/>
      <c r="AO883" s="220"/>
      <c r="AP883" s="220"/>
      <c r="AQ883" s="220"/>
      <c r="AR883" s="220"/>
      <c r="AS883" s="220"/>
      <c r="AT883" s="220"/>
      <c r="AU883" s="220"/>
      <c r="AV883" s="220"/>
      <c r="AW883" s="220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R883" s="24"/>
      <c r="BS883" s="24"/>
      <c r="BT883" s="24"/>
      <c r="BU883" s="24"/>
      <c r="BV883" s="24"/>
      <c r="BW883" s="24"/>
      <c r="BX883" s="24"/>
      <c r="BY883" s="24"/>
      <c r="BZ883" s="24"/>
      <c r="CA883" s="24"/>
      <c r="CB883" s="24"/>
      <c r="CC883" s="24"/>
      <c r="CD883" s="24"/>
      <c r="CE883" s="24"/>
      <c r="CF883" s="24"/>
      <c r="CG883" s="24"/>
      <c r="CH883" s="24"/>
      <c r="CI883" s="24"/>
      <c r="CJ883" s="24"/>
      <c r="CK883" s="24"/>
      <c r="CL883" s="24"/>
      <c r="CM883" s="24"/>
      <c r="CN883" s="24"/>
      <c r="CO883" s="24"/>
      <c r="CP883" s="24"/>
      <c r="CQ883" s="24"/>
      <c r="CR883" s="24"/>
      <c r="CS883" s="24"/>
      <c r="CT883" s="24"/>
      <c r="CU883" s="24"/>
      <c r="CV883" s="24"/>
      <c r="CW883" s="24"/>
      <c r="CX883" s="24"/>
      <c r="CY883" s="24"/>
      <c r="CZ883" s="24"/>
      <c r="DA883" s="24"/>
      <c r="DB883" s="24"/>
      <c r="DC883" s="24"/>
      <c r="DD883" s="24"/>
      <c r="DE883" s="24"/>
      <c r="DF883" s="24"/>
      <c r="DG883" s="24"/>
      <c r="DH883" s="24"/>
      <c r="DI883" s="24"/>
      <c r="DJ883" s="24"/>
      <c r="DK883" s="24"/>
      <c r="DL883" s="24"/>
      <c r="DM883" s="24"/>
      <c r="DN883" s="24"/>
      <c r="DO883" s="24"/>
      <c r="DP883" s="24"/>
      <c r="DQ883" s="24"/>
      <c r="DR883" s="24"/>
      <c r="DS883" s="24"/>
      <c r="DT883" s="24"/>
      <c r="DU883" s="24"/>
      <c r="DV883" s="24"/>
      <c r="DW883" s="24"/>
      <c r="DX883" s="24"/>
      <c r="DY883" s="24"/>
      <c r="DZ883" s="24"/>
      <c r="EA883" s="24"/>
      <c r="EB883" s="24"/>
    </row>
    <row r="884" spans="1:132" ht="15.75" hidden="1" outlineLevel="2" thickBot="1">
      <c r="A884" s="55">
        <v>1217012407</v>
      </c>
      <c r="B884" s="509" t="s">
        <v>271</v>
      </c>
      <c r="C884" s="679" t="s">
        <v>64</v>
      </c>
      <c r="D884" s="1207"/>
      <c r="E884" s="219">
        <v>44074</v>
      </c>
      <c r="F884" s="416"/>
      <c r="G884" s="1251"/>
      <c r="H884" s="676"/>
      <c r="I884" s="1193">
        <f t="shared" si="2327"/>
        <v>0</v>
      </c>
      <c r="J884" s="1386"/>
      <c r="K884" s="1386"/>
      <c r="L884" s="438"/>
      <c r="M884" s="1302"/>
      <c r="N884" s="504"/>
      <c r="O884" s="1194">
        <f t="shared" si="2328"/>
        <v>0</v>
      </c>
      <c r="P884" s="431">
        <f>-L883</f>
        <v>-4300000</v>
      </c>
      <c r="Q884" s="514"/>
      <c r="R884" s="515">
        <f>+N883</f>
        <v>0</v>
      </c>
      <c r="S884" s="515"/>
      <c r="T884" s="1190">
        <f t="shared" si="2329"/>
        <v>0</v>
      </c>
      <c r="U884" s="418">
        <f t="shared" si="2330"/>
        <v>-4300000</v>
      </c>
      <c r="V884" s="1127">
        <f t="shared" si="2331"/>
        <v>0</v>
      </c>
      <c r="W884" s="1213">
        <f t="shared" si="2332"/>
        <v>0</v>
      </c>
      <c r="X884" s="1214">
        <f t="shared" si="2333"/>
        <v>0</v>
      </c>
      <c r="Y884" s="1128"/>
      <c r="Z884" s="220"/>
      <c r="AA884" s="220"/>
      <c r="AB884" s="220"/>
      <c r="AC884" s="220"/>
      <c r="AD884" s="220"/>
      <c r="AE884" s="220"/>
      <c r="AF884" s="220"/>
      <c r="AG884" s="220"/>
      <c r="AH884" s="220"/>
      <c r="AI884" s="220"/>
      <c r="AJ884" s="220"/>
      <c r="AK884" s="220"/>
      <c r="AL884" s="220"/>
      <c r="AM884" s="220"/>
      <c r="AN884" s="220"/>
      <c r="AO884" s="220"/>
      <c r="AP884" s="220"/>
      <c r="AQ884" s="220"/>
      <c r="AR884" s="220"/>
      <c r="AS884" s="220"/>
      <c r="AT884" s="220"/>
      <c r="AU884" s="220"/>
      <c r="AV884" s="220"/>
      <c r="AW884" s="220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  <c r="BQ884" s="24"/>
      <c r="BR884" s="24"/>
      <c r="BS884" s="24"/>
      <c r="BT884" s="24"/>
      <c r="BU884" s="24"/>
      <c r="BV884" s="24"/>
      <c r="BW884" s="24"/>
      <c r="BX884" s="24"/>
      <c r="BY884" s="24"/>
      <c r="BZ884" s="24"/>
      <c r="CA884" s="24"/>
      <c r="CB884" s="24"/>
      <c r="CC884" s="24"/>
      <c r="CD884" s="24"/>
      <c r="CE884" s="24"/>
      <c r="CF884" s="24"/>
      <c r="CG884" s="24"/>
      <c r="CH884" s="24"/>
      <c r="CI884" s="24"/>
      <c r="CJ884" s="24"/>
      <c r="CK884" s="24"/>
      <c r="CL884" s="24"/>
      <c r="CM884" s="24"/>
      <c r="CN884" s="24"/>
      <c r="CO884" s="24"/>
      <c r="CP884" s="24"/>
      <c r="CQ884" s="24"/>
      <c r="CR884" s="24"/>
      <c r="CS884" s="24"/>
      <c r="CT884" s="24"/>
      <c r="CU884" s="24"/>
      <c r="CV884" s="24"/>
      <c r="CW884" s="24"/>
      <c r="CX884" s="24"/>
      <c r="CY884" s="24"/>
      <c r="CZ884" s="24"/>
      <c r="DA884" s="24"/>
      <c r="DB884" s="24"/>
      <c r="DC884" s="24"/>
      <c r="DD884" s="24"/>
      <c r="DE884" s="24"/>
      <c r="DF884" s="24"/>
      <c r="DG884" s="24"/>
      <c r="DH884" s="24"/>
      <c r="DI884" s="24"/>
      <c r="DJ884" s="24"/>
      <c r="DK884" s="24"/>
      <c r="DL884" s="24"/>
      <c r="DM884" s="24"/>
      <c r="DN884" s="24"/>
      <c r="DO884" s="24"/>
      <c r="DP884" s="24"/>
      <c r="DQ884" s="24"/>
      <c r="DR884" s="24"/>
      <c r="DS884" s="24"/>
      <c r="DT884" s="24"/>
      <c r="DU884" s="24"/>
      <c r="DV884" s="24"/>
      <c r="DW884" s="24"/>
      <c r="DX884" s="24"/>
      <c r="DY884" s="24"/>
      <c r="DZ884" s="24"/>
      <c r="EA884" s="24"/>
      <c r="EB884" s="24"/>
    </row>
    <row r="885" spans="1:132" ht="15.75" hidden="1" outlineLevel="2" thickBot="1">
      <c r="A885" s="55">
        <v>1217012407</v>
      </c>
      <c r="B885" s="509" t="s">
        <v>279</v>
      </c>
      <c r="C885" s="679" t="s">
        <v>64</v>
      </c>
      <c r="D885" s="1207" t="s">
        <v>270</v>
      </c>
      <c r="E885" s="219">
        <v>44064</v>
      </c>
      <c r="F885" s="416"/>
      <c r="G885" s="1251"/>
      <c r="H885" s="676"/>
      <c r="I885" s="1193">
        <f t="shared" si="2327"/>
        <v>0</v>
      </c>
      <c r="J885" s="1386"/>
      <c r="K885" s="1386"/>
      <c r="L885" s="438">
        <v>39000000</v>
      </c>
      <c r="M885" s="1304"/>
      <c r="N885" s="415"/>
      <c r="O885" s="1194">
        <f t="shared" si="2328"/>
        <v>0</v>
      </c>
      <c r="P885" s="431"/>
      <c r="Q885" s="514"/>
      <c r="R885" s="515"/>
      <c r="S885" s="515"/>
      <c r="T885" s="1190">
        <f t="shared" si="2329"/>
        <v>0</v>
      </c>
      <c r="U885" s="418">
        <f t="shared" si="2330"/>
        <v>39000000</v>
      </c>
      <c r="V885" s="1127">
        <f t="shared" si="2331"/>
        <v>0</v>
      </c>
      <c r="W885" s="1213">
        <f t="shared" si="2332"/>
        <v>0</v>
      </c>
      <c r="X885" s="1214">
        <f t="shared" si="2333"/>
        <v>0</v>
      </c>
      <c r="Y885" s="1128"/>
      <c r="Z885" s="220"/>
      <c r="AA885" s="220"/>
      <c r="AB885" s="220"/>
      <c r="AC885" s="220"/>
      <c r="AD885" s="220"/>
      <c r="AE885" s="220"/>
      <c r="AF885" s="220"/>
      <c r="AG885" s="220"/>
      <c r="AH885" s="220"/>
      <c r="AI885" s="220"/>
      <c r="AJ885" s="220"/>
      <c r="AK885" s="220"/>
      <c r="AL885" s="220"/>
      <c r="AM885" s="220"/>
      <c r="AN885" s="220"/>
      <c r="AO885" s="220"/>
      <c r="AP885" s="220"/>
      <c r="AQ885" s="220"/>
      <c r="AR885" s="220"/>
      <c r="AS885" s="220"/>
      <c r="AT885" s="220"/>
      <c r="AU885" s="220"/>
      <c r="AV885" s="220"/>
      <c r="AW885" s="220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  <c r="BQ885" s="24"/>
      <c r="BR885" s="24"/>
      <c r="BS885" s="24"/>
      <c r="BT885" s="24"/>
      <c r="BU885" s="24"/>
      <c r="BV885" s="24"/>
      <c r="BW885" s="24"/>
      <c r="BX885" s="24"/>
      <c r="BY885" s="24"/>
      <c r="BZ885" s="24"/>
      <c r="CA885" s="24"/>
      <c r="CB885" s="24"/>
      <c r="CC885" s="24"/>
      <c r="CD885" s="24"/>
      <c r="CE885" s="24"/>
      <c r="CF885" s="24"/>
      <c r="CG885" s="24"/>
      <c r="CH885" s="24"/>
      <c r="CI885" s="24"/>
      <c r="CJ885" s="24"/>
      <c r="CK885" s="24"/>
      <c r="CL885" s="24"/>
      <c r="CM885" s="24"/>
      <c r="CN885" s="24"/>
      <c r="CO885" s="24"/>
      <c r="CP885" s="24"/>
      <c r="CQ885" s="24"/>
      <c r="CR885" s="24"/>
      <c r="CS885" s="24"/>
      <c r="CT885" s="24"/>
      <c r="CU885" s="24"/>
      <c r="CV885" s="24"/>
      <c r="CW885" s="24"/>
      <c r="CX885" s="24"/>
      <c r="CY885" s="24"/>
      <c r="CZ885" s="24"/>
      <c r="DA885" s="24"/>
      <c r="DB885" s="24"/>
      <c r="DC885" s="24"/>
      <c r="DD885" s="24"/>
      <c r="DE885" s="24"/>
      <c r="DF885" s="24"/>
      <c r="DG885" s="24"/>
      <c r="DH885" s="24"/>
      <c r="DI885" s="24"/>
      <c r="DJ885" s="24"/>
      <c r="DK885" s="24"/>
      <c r="DL885" s="24"/>
      <c r="DM885" s="24"/>
      <c r="DN885" s="24"/>
      <c r="DO885" s="24"/>
      <c r="DP885" s="24"/>
      <c r="DQ885" s="24"/>
      <c r="DR885" s="24"/>
      <c r="DS885" s="24"/>
      <c r="DT885" s="24"/>
      <c r="DU885" s="24"/>
      <c r="DV885" s="24"/>
      <c r="DW885" s="24"/>
      <c r="DX885" s="24"/>
      <c r="DY885" s="24"/>
      <c r="DZ885" s="24"/>
      <c r="EA885" s="24"/>
      <c r="EB885" s="24"/>
    </row>
    <row r="886" spans="1:132" ht="15.75" hidden="1" outlineLevel="2" thickBot="1">
      <c r="A886" s="55">
        <v>1217012407</v>
      </c>
      <c r="B886" s="509" t="s">
        <v>271</v>
      </c>
      <c r="C886" s="679" t="s">
        <v>64</v>
      </c>
      <c r="D886" s="1207"/>
      <c r="E886" s="219">
        <v>44074</v>
      </c>
      <c r="F886" s="416"/>
      <c r="G886" s="1251"/>
      <c r="H886" s="676"/>
      <c r="I886" s="1193">
        <f t="shared" si="2327"/>
        <v>0</v>
      </c>
      <c r="J886" s="1386"/>
      <c r="K886" s="1386"/>
      <c r="L886" s="438"/>
      <c r="M886" s="1302"/>
      <c r="N886" s="504"/>
      <c r="O886" s="1194">
        <f t="shared" si="2328"/>
        <v>0</v>
      </c>
      <c r="P886" s="431">
        <f>-L885</f>
        <v>-39000000</v>
      </c>
      <c r="Q886" s="514"/>
      <c r="R886" s="515">
        <f>+N885</f>
        <v>0</v>
      </c>
      <c r="S886" s="515"/>
      <c r="T886" s="1190">
        <f t="shared" si="2329"/>
        <v>0</v>
      </c>
      <c r="U886" s="418">
        <f t="shared" si="2330"/>
        <v>-39000000</v>
      </c>
      <c r="V886" s="1127">
        <f t="shared" si="2331"/>
        <v>0</v>
      </c>
      <c r="W886" s="1213">
        <f t="shared" si="2332"/>
        <v>0</v>
      </c>
      <c r="X886" s="1214">
        <f t="shared" si="2333"/>
        <v>0</v>
      </c>
      <c r="Y886" s="1128"/>
      <c r="Z886" s="220"/>
      <c r="AA886" s="220"/>
      <c r="AB886" s="220"/>
      <c r="AC886" s="220"/>
      <c r="AD886" s="220"/>
      <c r="AE886" s="220"/>
      <c r="AF886" s="220"/>
      <c r="AG886" s="220"/>
      <c r="AH886" s="220"/>
      <c r="AI886" s="220"/>
      <c r="AJ886" s="220"/>
      <c r="AK886" s="220"/>
      <c r="AL886" s="220"/>
      <c r="AM886" s="220"/>
      <c r="AN886" s="220"/>
      <c r="AO886" s="220"/>
      <c r="AP886" s="220"/>
      <c r="AQ886" s="220"/>
      <c r="AR886" s="220"/>
      <c r="AS886" s="220"/>
      <c r="AT886" s="220"/>
      <c r="AU886" s="220"/>
      <c r="AV886" s="220"/>
      <c r="AW886" s="220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R886" s="24"/>
      <c r="BS886" s="24"/>
      <c r="BT886" s="24"/>
      <c r="BU886" s="24"/>
      <c r="BV886" s="24"/>
      <c r="BW886" s="24"/>
      <c r="BX886" s="24"/>
      <c r="BY886" s="24"/>
      <c r="BZ886" s="24"/>
      <c r="CA886" s="24"/>
      <c r="CB886" s="24"/>
      <c r="CC886" s="24"/>
      <c r="CD886" s="24"/>
      <c r="CE886" s="24"/>
      <c r="CF886" s="24"/>
      <c r="CG886" s="24"/>
      <c r="CH886" s="24"/>
      <c r="CI886" s="24"/>
      <c r="CJ886" s="24"/>
      <c r="CK886" s="24"/>
      <c r="CL886" s="24"/>
      <c r="CM886" s="24"/>
      <c r="CN886" s="24"/>
      <c r="CO886" s="24"/>
      <c r="CP886" s="24"/>
      <c r="CQ886" s="24"/>
      <c r="CR886" s="24"/>
      <c r="CS886" s="24"/>
      <c r="CT886" s="24"/>
      <c r="CU886" s="24"/>
      <c r="CV886" s="24"/>
      <c r="CW886" s="24"/>
      <c r="CX886" s="24"/>
      <c r="CY886" s="24"/>
      <c r="CZ886" s="24"/>
      <c r="DA886" s="24"/>
      <c r="DB886" s="24"/>
      <c r="DC886" s="24"/>
      <c r="DD886" s="24"/>
      <c r="DE886" s="24"/>
      <c r="DF886" s="24"/>
      <c r="DG886" s="24"/>
      <c r="DH886" s="24"/>
      <c r="DI886" s="24"/>
      <c r="DJ886" s="24"/>
      <c r="DK886" s="24"/>
      <c r="DL886" s="24"/>
      <c r="DM886" s="24"/>
      <c r="DN886" s="24"/>
      <c r="DO886" s="24"/>
      <c r="DP886" s="24"/>
      <c r="DQ886" s="24"/>
      <c r="DR886" s="24"/>
      <c r="DS886" s="24"/>
      <c r="DT886" s="24"/>
      <c r="DU886" s="24"/>
      <c r="DV886" s="24"/>
      <c r="DW886" s="24"/>
      <c r="DX886" s="24"/>
      <c r="DY886" s="24"/>
      <c r="DZ886" s="24"/>
      <c r="EA886" s="24"/>
      <c r="EB886" s="24"/>
    </row>
    <row r="887" spans="1:132" ht="15.75" hidden="1" outlineLevel="2" thickBot="1">
      <c r="A887" s="55">
        <v>1217012407</v>
      </c>
      <c r="B887" s="509" t="s">
        <v>279</v>
      </c>
      <c r="C887" s="679" t="s">
        <v>64</v>
      </c>
      <c r="D887" s="1207" t="s">
        <v>270</v>
      </c>
      <c r="E887" s="219">
        <v>44068</v>
      </c>
      <c r="F887" s="416"/>
      <c r="G887" s="1251"/>
      <c r="H887" s="676"/>
      <c r="I887" s="1193">
        <f t="shared" si="2327"/>
        <v>0</v>
      </c>
      <c r="J887" s="1386"/>
      <c r="K887" s="1386"/>
      <c r="L887" s="438">
        <v>38651824.369999997</v>
      </c>
      <c r="M887" s="1304"/>
      <c r="N887" s="415"/>
      <c r="O887" s="1194">
        <f t="shared" si="2328"/>
        <v>0</v>
      </c>
      <c r="P887" s="431"/>
      <c r="Q887" s="514"/>
      <c r="R887" s="515"/>
      <c r="S887" s="515"/>
      <c r="T887" s="1190">
        <f t="shared" si="2329"/>
        <v>0</v>
      </c>
      <c r="U887" s="418">
        <f t="shared" si="2330"/>
        <v>38651824.369999997</v>
      </c>
      <c r="V887" s="1127">
        <f t="shared" si="2331"/>
        <v>0</v>
      </c>
      <c r="W887" s="1213">
        <f t="shared" si="2332"/>
        <v>0</v>
      </c>
      <c r="X887" s="1214">
        <f t="shared" si="2333"/>
        <v>0</v>
      </c>
      <c r="Y887" s="1128"/>
      <c r="Z887" s="220"/>
      <c r="AA887" s="220"/>
      <c r="AB887" s="220"/>
      <c r="AC887" s="220"/>
      <c r="AD887" s="220"/>
      <c r="AE887" s="220"/>
      <c r="AF887" s="220"/>
      <c r="AG887" s="220"/>
      <c r="AH887" s="220"/>
      <c r="AI887" s="220"/>
      <c r="AJ887" s="220"/>
      <c r="AK887" s="220"/>
      <c r="AL887" s="220"/>
      <c r="AM887" s="220"/>
      <c r="AN887" s="220"/>
      <c r="AO887" s="220"/>
      <c r="AP887" s="220"/>
      <c r="AQ887" s="220"/>
      <c r="AR887" s="220"/>
      <c r="AS887" s="220"/>
      <c r="AT887" s="220"/>
      <c r="AU887" s="220"/>
      <c r="AV887" s="220"/>
      <c r="AW887" s="220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R887" s="24"/>
      <c r="BS887" s="24"/>
      <c r="BT887" s="24"/>
      <c r="BU887" s="24"/>
      <c r="BV887" s="24"/>
      <c r="BW887" s="24"/>
      <c r="BX887" s="24"/>
      <c r="BY887" s="24"/>
      <c r="BZ887" s="24"/>
      <c r="CA887" s="24"/>
      <c r="CB887" s="24"/>
      <c r="CC887" s="24"/>
      <c r="CD887" s="24"/>
      <c r="CE887" s="24"/>
      <c r="CF887" s="24"/>
      <c r="CG887" s="24"/>
      <c r="CH887" s="24"/>
      <c r="CI887" s="24"/>
      <c r="CJ887" s="24"/>
      <c r="CK887" s="24"/>
      <c r="CL887" s="24"/>
      <c r="CM887" s="24"/>
      <c r="CN887" s="24"/>
      <c r="CO887" s="24"/>
      <c r="CP887" s="24"/>
      <c r="CQ887" s="24"/>
      <c r="CR887" s="24"/>
      <c r="CS887" s="24"/>
      <c r="CT887" s="24"/>
      <c r="CU887" s="24"/>
      <c r="CV887" s="24"/>
      <c r="CW887" s="24"/>
      <c r="CX887" s="24"/>
      <c r="CY887" s="24"/>
      <c r="CZ887" s="24"/>
      <c r="DA887" s="24"/>
      <c r="DB887" s="24"/>
      <c r="DC887" s="24"/>
      <c r="DD887" s="24"/>
      <c r="DE887" s="24"/>
      <c r="DF887" s="24"/>
      <c r="DG887" s="24"/>
      <c r="DH887" s="24"/>
      <c r="DI887" s="24"/>
      <c r="DJ887" s="24"/>
      <c r="DK887" s="24"/>
      <c r="DL887" s="24"/>
      <c r="DM887" s="24"/>
      <c r="DN887" s="24"/>
      <c r="DO887" s="24"/>
      <c r="DP887" s="24"/>
      <c r="DQ887" s="24"/>
      <c r="DR887" s="24"/>
      <c r="DS887" s="24"/>
      <c r="DT887" s="24"/>
      <c r="DU887" s="24"/>
      <c r="DV887" s="24"/>
      <c r="DW887" s="24"/>
      <c r="DX887" s="24"/>
      <c r="DY887" s="24"/>
      <c r="DZ887" s="24"/>
      <c r="EA887" s="24"/>
      <c r="EB887" s="24"/>
    </row>
    <row r="888" spans="1:132" ht="15.75" hidden="1" outlineLevel="2" thickBot="1">
      <c r="A888" s="55">
        <v>1217012407</v>
      </c>
      <c r="B888" s="509" t="s">
        <v>271</v>
      </c>
      <c r="C888" s="679" t="s">
        <v>64</v>
      </c>
      <c r="D888" s="1207"/>
      <c r="E888" s="219">
        <v>44074</v>
      </c>
      <c r="F888" s="416"/>
      <c r="G888" s="1251"/>
      <c r="H888" s="676"/>
      <c r="I888" s="1193">
        <f t="shared" si="2327"/>
        <v>0</v>
      </c>
      <c r="J888" s="1386"/>
      <c r="K888" s="1386"/>
      <c r="L888" s="438"/>
      <c r="M888" s="1302"/>
      <c r="N888" s="504"/>
      <c r="O888" s="1194">
        <f t="shared" si="2328"/>
        <v>0</v>
      </c>
      <c r="P888" s="431">
        <f>-L887</f>
        <v>-38651824.369999997</v>
      </c>
      <c r="Q888" s="514"/>
      <c r="R888" s="515">
        <f>+N887</f>
        <v>0</v>
      </c>
      <c r="S888" s="515"/>
      <c r="T888" s="1190">
        <f t="shared" si="2329"/>
        <v>0</v>
      </c>
      <c r="U888" s="418">
        <f t="shared" si="2330"/>
        <v>-38651824.369999997</v>
      </c>
      <c r="V888" s="1127">
        <f t="shared" si="2331"/>
        <v>0</v>
      </c>
      <c r="W888" s="1213">
        <f t="shared" si="2332"/>
        <v>0</v>
      </c>
      <c r="X888" s="1214">
        <f t="shared" si="2333"/>
        <v>0</v>
      </c>
      <c r="Y888" s="1128"/>
      <c r="Z888" s="220"/>
      <c r="AA888" s="220"/>
      <c r="AB888" s="220"/>
      <c r="AC888" s="220"/>
      <c r="AD888" s="220"/>
      <c r="AE888" s="220"/>
      <c r="AF888" s="220"/>
      <c r="AG888" s="220"/>
      <c r="AH888" s="220"/>
      <c r="AI888" s="220"/>
      <c r="AJ888" s="220"/>
      <c r="AK888" s="220"/>
      <c r="AL888" s="220"/>
      <c r="AM888" s="220"/>
      <c r="AN888" s="220"/>
      <c r="AO888" s="220"/>
      <c r="AP888" s="220"/>
      <c r="AQ888" s="220"/>
      <c r="AR888" s="220"/>
      <c r="AS888" s="220"/>
      <c r="AT888" s="220"/>
      <c r="AU888" s="220"/>
      <c r="AV888" s="220"/>
      <c r="AW888" s="220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R888" s="24"/>
      <c r="BS888" s="24"/>
      <c r="BT888" s="24"/>
      <c r="BU888" s="24"/>
      <c r="BV888" s="24"/>
      <c r="BW888" s="24"/>
      <c r="BX888" s="24"/>
      <c r="BY888" s="24"/>
      <c r="BZ888" s="24"/>
      <c r="CA888" s="24"/>
      <c r="CB888" s="24"/>
      <c r="CC888" s="24"/>
      <c r="CD888" s="24"/>
      <c r="CE888" s="24"/>
      <c r="CF888" s="24"/>
      <c r="CG888" s="24"/>
      <c r="CH888" s="24"/>
      <c r="CI888" s="24"/>
      <c r="CJ888" s="24"/>
      <c r="CK888" s="24"/>
      <c r="CL888" s="24"/>
      <c r="CM888" s="24"/>
      <c r="CN888" s="24"/>
      <c r="CO888" s="24"/>
      <c r="CP888" s="24"/>
      <c r="CQ888" s="24"/>
      <c r="CR888" s="24"/>
      <c r="CS888" s="24"/>
      <c r="CT888" s="24"/>
      <c r="CU888" s="24"/>
      <c r="CV888" s="24"/>
      <c r="CW888" s="24"/>
      <c r="CX888" s="24"/>
      <c r="CY888" s="24"/>
      <c r="CZ888" s="24"/>
      <c r="DA888" s="24"/>
      <c r="DB888" s="24"/>
      <c r="DC888" s="24"/>
      <c r="DD888" s="24"/>
      <c r="DE888" s="24"/>
      <c r="DF888" s="24"/>
      <c r="DG888" s="24"/>
      <c r="DH888" s="24"/>
      <c r="DI888" s="24"/>
      <c r="DJ888" s="24"/>
      <c r="DK888" s="24"/>
      <c r="DL888" s="24"/>
      <c r="DM888" s="24"/>
      <c r="DN888" s="24"/>
      <c r="DO888" s="24"/>
      <c r="DP888" s="24"/>
      <c r="DQ888" s="24"/>
      <c r="DR888" s="24"/>
      <c r="DS888" s="24"/>
      <c r="DT888" s="24"/>
      <c r="DU888" s="24"/>
      <c r="DV888" s="24"/>
      <c r="DW888" s="24"/>
      <c r="DX888" s="24"/>
      <c r="DY888" s="24"/>
      <c r="DZ888" s="24"/>
      <c r="EA888" s="24"/>
      <c r="EB888" s="24"/>
    </row>
    <row r="889" spans="1:132" ht="15.75" hidden="1" outlineLevel="2" thickBot="1">
      <c r="A889" s="55">
        <v>1217012407</v>
      </c>
      <c r="B889" s="509"/>
      <c r="C889" s="679" t="s">
        <v>64</v>
      </c>
      <c r="D889" s="219"/>
      <c r="E889" s="1192"/>
      <c r="F889" s="416"/>
      <c r="G889" s="1251"/>
      <c r="H889" s="676"/>
      <c r="I889" s="1193">
        <f t="shared" si="2327"/>
        <v>0</v>
      </c>
      <c r="J889" s="1386"/>
      <c r="K889" s="1386"/>
      <c r="L889" s="438"/>
      <c r="M889" s="1302"/>
      <c r="N889" s="504"/>
      <c r="O889" s="1194">
        <f t="shared" si="2328"/>
        <v>0</v>
      </c>
      <c r="P889" s="431"/>
      <c r="Q889" s="514"/>
      <c r="R889" s="515"/>
      <c r="S889" s="515"/>
      <c r="T889" s="1190">
        <f t="shared" si="2329"/>
        <v>0</v>
      </c>
      <c r="U889" s="418">
        <f t="shared" si="2330"/>
        <v>0</v>
      </c>
      <c r="V889" s="1127">
        <f t="shared" si="2331"/>
        <v>0</v>
      </c>
      <c r="W889" s="976">
        <f>(IF(R889&gt;S889,(-P889*R889)-(-P889*S889),0))</f>
        <v>0</v>
      </c>
      <c r="X889" s="975">
        <f>(IF(R889&lt;S889,(-P889*R889)-(-P889*S889),0))</f>
        <v>0</v>
      </c>
      <c r="Y889" s="1128"/>
      <c r="Z889" s="220"/>
      <c r="AA889" s="220"/>
      <c r="AB889" s="220"/>
      <c r="AC889" s="220"/>
      <c r="AD889" s="220"/>
      <c r="AE889" s="220"/>
      <c r="AF889" s="220"/>
      <c r="AG889" s="220"/>
      <c r="AH889" s="220"/>
      <c r="AI889" s="220"/>
      <c r="AJ889" s="220"/>
      <c r="AK889" s="220"/>
      <c r="AL889" s="220"/>
      <c r="AM889" s="220"/>
      <c r="AN889" s="220"/>
      <c r="AO889" s="220"/>
      <c r="AP889" s="220"/>
      <c r="AQ889" s="220"/>
      <c r="AR889" s="220"/>
      <c r="AS889" s="220"/>
      <c r="AT889" s="220"/>
      <c r="AU889" s="220"/>
      <c r="AV889" s="220"/>
      <c r="AW889" s="220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  <c r="BQ889" s="24"/>
      <c r="BR889" s="24"/>
      <c r="BS889" s="24"/>
      <c r="BT889" s="24"/>
      <c r="BU889" s="24"/>
      <c r="BV889" s="24"/>
      <c r="BW889" s="24"/>
      <c r="BX889" s="24"/>
      <c r="BY889" s="24"/>
      <c r="BZ889" s="24"/>
      <c r="CA889" s="24"/>
      <c r="CB889" s="24"/>
      <c r="CC889" s="24"/>
      <c r="CD889" s="24"/>
      <c r="CE889" s="24"/>
      <c r="CF889" s="24"/>
      <c r="CG889" s="24"/>
      <c r="CH889" s="24"/>
      <c r="CI889" s="24"/>
      <c r="CJ889" s="24"/>
      <c r="CK889" s="24"/>
      <c r="CL889" s="24"/>
      <c r="CM889" s="24"/>
      <c r="CN889" s="24"/>
      <c r="CO889" s="24"/>
      <c r="CP889" s="24"/>
      <c r="CQ889" s="24"/>
      <c r="CR889" s="24"/>
      <c r="CS889" s="24"/>
      <c r="CT889" s="24"/>
      <c r="CU889" s="24"/>
      <c r="CV889" s="24"/>
      <c r="CW889" s="24"/>
      <c r="CX889" s="24"/>
      <c r="CY889" s="24"/>
      <c r="CZ889" s="24"/>
      <c r="DA889" s="24"/>
      <c r="DB889" s="24"/>
      <c r="DC889" s="24"/>
      <c r="DD889" s="24"/>
      <c r="DE889" s="24"/>
      <c r="DF889" s="24"/>
      <c r="DG889" s="24"/>
      <c r="DH889" s="24"/>
      <c r="DI889" s="24"/>
      <c r="DJ889" s="24"/>
      <c r="DK889" s="24"/>
      <c r="DL889" s="24"/>
      <c r="DM889" s="24"/>
      <c r="DN889" s="24"/>
      <c r="DO889" s="24"/>
      <c r="DP889" s="24"/>
      <c r="DQ889" s="24"/>
      <c r="DR889" s="24"/>
      <c r="DS889" s="24"/>
      <c r="DT889" s="24"/>
      <c r="DU889" s="24"/>
      <c r="DV889" s="24"/>
      <c r="DW889" s="24"/>
      <c r="DX889" s="24"/>
      <c r="DY889" s="24"/>
      <c r="DZ889" s="24"/>
      <c r="EA889" s="24"/>
      <c r="EB889" s="24"/>
    </row>
    <row r="890" spans="1:132" ht="15.75" hidden="1" outlineLevel="1" collapsed="1" thickBot="1">
      <c r="A890" s="55"/>
      <c r="B890" s="509"/>
      <c r="C890" s="679"/>
      <c r="D890" s="219"/>
      <c r="E890" s="1192"/>
      <c r="F890" s="416"/>
      <c r="G890" s="1251"/>
      <c r="H890" s="676"/>
      <c r="I890" s="1193"/>
      <c r="J890" s="1386"/>
      <c r="K890" s="1386"/>
      <c r="L890" s="438"/>
      <c r="M890" s="1302"/>
      <c r="N890" s="504"/>
      <c r="O890" s="1194"/>
      <c r="P890" s="431"/>
      <c r="Q890" s="514"/>
      <c r="R890" s="515"/>
      <c r="S890" s="515"/>
      <c r="T890" s="1190">
        <f t="shared" si="2329"/>
        <v>0</v>
      </c>
      <c r="U890" s="418"/>
      <c r="V890" s="1127"/>
      <c r="W890" s="976"/>
      <c r="X890" s="975"/>
      <c r="Y890" s="1128"/>
      <c r="Z890" s="220"/>
      <c r="AA890" s="220"/>
      <c r="AB890" s="220"/>
      <c r="AC890" s="220"/>
      <c r="AD890" s="220"/>
      <c r="AE890" s="220"/>
      <c r="AF890" s="220"/>
      <c r="AG890" s="220"/>
      <c r="AH890" s="220"/>
      <c r="AI890" s="220"/>
      <c r="AJ890" s="220"/>
      <c r="AK890" s="220"/>
      <c r="AL890" s="220"/>
      <c r="AM890" s="220"/>
      <c r="AN890" s="220"/>
      <c r="AO890" s="220"/>
      <c r="AP890" s="220"/>
      <c r="AQ890" s="220"/>
      <c r="AR890" s="220"/>
      <c r="AS890" s="220"/>
      <c r="AT890" s="220"/>
      <c r="AU890" s="220"/>
      <c r="AV890" s="220"/>
      <c r="AW890" s="220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R890" s="24"/>
      <c r="BS890" s="24"/>
      <c r="BT890" s="24"/>
      <c r="BU890" s="24"/>
      <c r="BV890" s="24"/>
      <c r="BW890" s="24"/>
      <c r="BX890" s="24"/>
      <c r="BY890" s="24"/>
      <c r="BZ890" s="24"/>
      <c r="CA890" s="24"/>
      <c r="CB890" s="24"/>
      <c r="CC890" s="24"/>
      <c r="CD890" s="24"/>
      <c r="CE890" s="24"/>
      <c r="CF890" s="24"/>
      <c r="CG890" s="24"/>
      <c r="CH890" s="24"/>
      <c r="CI890" s="24"/>
      <c r="CJ890" s="24"/>
      <c r="CK890" s="24"/>
      <c r="CL890" s="24"/>
      <c r="CM890" s="24"/>
      <c r="CN890" s="24"/>
      <c r="CO890" s="24"/>
      <c r="CP890" s="24"/>
      <c r="CQ890" s="24"/>
      <c r="CR890" s="24"/>
      <c r="CS890" s="24"/>
      <c r="CT890" s="24"/>
      <c r="CU890" s="24"/>
      <c r="CV890" s="24"/>
      <c r="CW890" s="24"/>
      <c r="CX890" s="24"/>
      <c r="CY890" s="24"/>
      <c r="CZ890" s="24"/>
      <c r="DA890" s="24"/>
      <c r="DB890" s="24"/>
      <c r="DC890" s="24"/>
      <c r="DD890" s="24"/>
      <c r="DE890" s="24"/>
      <c r="DF890" s="24"/>
      <c r="DG890" s="24"/>
      <c r="DH890" s="24"/>
      <c r="DI890" s="24"/>
      <c r="DJ890" s="24"/>
      <c r="DK890" s="24"/>
      <c r="DL890" s="24"/>
      <c r="DM890" s="24"/>
      <c r="DN890" s="24"/>
      <c r="DO890" s="24"/>
      <c r="DP890" s="24"/>
      <c r="DQ890" s="24"/>
      <c r="DR890" s="24"/>
      <c r="DS890" s="24"/>
      <c r="DT890" s="24"/>
      <c r="DU890" s="24"/>
      <c r="DV890" s="24"/>
      <c r="DW890" s="24"/>
      <c r="DX890" s="24"/>
      <c r="DY890" s="24"/>
      <c r="DZ890" s="24"/>
      <c r="EA890" s="24"/>
      <c r="EB890" s="24"/>
    </row>
    <row r="891" spans="1:132" s="2495" customFormat="1" ht="15.75" hidden="1" outlineLevel="1" thickBot="1">
      <c r="A891" s="221">
        <v>1217012407</v>
      </c>
      <c r="B891" s="777" t="s">
        <v>277</v>
      </c>
      <c r="C891" s="778" t="s">
        <v>64</v>
      </c>
      <c r="D891" s="222"/>
      <c r="E891" s="1195"/>
      <c r="F891" s="223"/>
      <c r="G891" s="1272"/>
      <c r="H891" s="779"/>
      <c r="I891" s="1196"/>
      <c r="J891" s="1389"/>
      <c r="K891" s="1389"/>
      <c r="L891" s="1197"/>
      <c r="M891" s="1305"/>
      <c r="N891" s="780"/>
      <c r="O891" s="1198">
        <f>+L891*N891</f>
        <v>0</v>
      </c>
      <c r="P891" s="190">
        <f>-F891</f>
        <v>0</v>
      </c>
      <c r="Q891" s="632"/>
      <c r="R891" s="633">
        <f>+H891</f>
        <v>0</v>
      </c>
      <c r="S891" s="633">
        <f>+R891</f>
        <v>0</v>
      </c>
      <c r="T891" s="1190">
        <f t="shared" si="2329"/>
        <v>0</v>
      </c>
      <c r="U891" s="224">
        <f>+L891+P891+F891</f>
        <v>0</v>
      </c>
      <c r="V891" s="1198">
        <f>+P891*R891+L891*N891+F891*H891</f>
        <v>0</v>
      </c>
      <c r="W891" s="225">
        <f>(IF(R891&gt;S891,(-P891*R891)-(-P891*S891),0))</f>
        <v>0</v>
      </c>
      <c r="X891" s="739">
        <f>(IF(R891&lt;S891,(-P891*R891)-(-P891*S891),0))</f>
        <v>0</v>
      </c>
      <c r="Y891" s="1199"/>
      <c r="Z891" s="115"/>
      <c r="AA891" s="115"/>
      <c r="AB891" s="115"/>
      <c r="AC891" s="115"/>
      <c r="AD891" s="115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  <c r="AW891" s="115"/>
      <c r="AX891" s="226"/>
      <c r="AY891" s="226"/>
      <c r="AZ891" s="226"/>
      <c r="BA891" s="226"/>
      <c r="BB891" s="226"/>
      <c r="BC891" s="226"/>
      <c r="BD891" s="226"/>
      <c r="BE891" s="226"/>
      <c r="BF891" s="226"/>
      <c r="BG891" s="226"/>
      <c r="BH891" s="226"/>
      <c r="BI891" s="226"/>
      <c r="BJ891" s="226"/>
      <c r="BK891" s="226"/>
      <c r="BL891" s="226"/>
      <c r="BM891" s="226"/>
      <c r="BN891" s="226"/>
      <c r="BO891" s="226"/>
      <c r="BP891" s="226"/>
      <c r="BQ891" s="226"/>
      <c r="BR891" s="226"/>
      <c r="BS891" s="226"/>
      <c r="BT891" s="226"/>
      <c r="BU891" s="226"/>
      <c r="BV891" s="226"/>
      <c r="BW891" s="226"/>
      <c r="BX891" s="226"/>
      <c r="BY891" s="226"/>
      <c r="BZ891" s="226"/>
      <c r="CA891" s="226"/>
      <c r="CB891" s="226"/>
      <c r="CC891" s="226"/>
      <c r="CD891" s="226"/>
      <c r="CE891" s="226"/>
      <c r="CF891" s="226"/>
      <c r="CG891" s="226"/>
      <c r="CH891" s="226"/>
      <c r="CI891" s="226"/>
      <c r="CJ891" s="226"/>
      <c r="CK891" s="226"/>
      <c r="CL891" s="226"/>
      <c r="CM891" s="226"/>
      <c r="CN891" s="226"/>
      <c r="CO891" s="226"/>
      <c r="CP891" s="226"/>
      <c r="CQ891" s="226"/>
      <c r="CR891" s="226"/>
      <c r="CS891" s="226"/>
      <c r="CT891" s="226"/>
      <c r="CU891" s="226"/>
      <c r="CV891" s="226"/>
      <c r="CW891" s="226"/>
      <c r="CX891" s="226"/>
      <c r="CY891" s="226"/>
      <c r="CZ891" s="226"/>
      <c r="DA891" s="226"/>
      <c r="DB891" s="226"/>
      <c r="DC891" s="226"/>
      <c r="DD891" s="226"/>
      <c r="DE891" s="226"/>
      <c r="DF891" s="226"/>
      <c r="DG891" s="226"/>
      <c r="DH891" s="226"/>
      <c r="DI891" s="226"/>
      <c r="DJ891" s="226"/>
      <c r="DK891" s="226"/>
      <c r="DL891" s="226"/>
      <c r="DM891" s="226"/>
      <c r="DN891" s="226"/>
      <c r="DO891" s="226"/>
      <c r="DP891" s="226"/>
      <c r="DQ891" s="226"/>
      <c r="DR891" s="226"/>
      <c r="DS891" s="226"/>
      <c r="DT891" s="226"/>
      <c r="DU891" s="226"/>
      <c r="DV891" s="226"/>
      <c r="DW891" s="226"/>
      <c r="DX891" s="226"/>
      <c r="DY891" s="226"/>
      <c r="DZ891" s="226"/>
      <c r="EA891" s="226"/>
      <c r="EB891" s="226"/>
    </row>
    <row r="892" spans="1:132" s="2495" customFormat="1" ht="15.75" hidden="1" outlineLevel="1" thickBot="1">
      <c r="A892" s="221">
        <v>1217012407</v>
      </c>
      <c r="B892" s="777" t="s">
        <v>277</v>
      </c>
      <c r="C892" s="778" t="s">
        <v>64</v>
      </c>
      <c r="D892" s="222"/>
      <c r="E892" s="1195"/>
      <c r="F892" s="223"/>
      <c r="G892" s="1272"/>
      <c r="H892" s="779"/>
      <c r="I892" s="1196"/>
      <c r="J892" s="1389"/>
      <c r="K892" s="1389"/>
      <c r="L892" s="224"/>
      <c r="M892" s="1306"/>
      <c r="N892" s="780">
        <f>+$B$4</f>
        <v>4669</v>
      </c>
      <c r="O892" s="1198">
        <f>+L892*N892</f>
        <v>0</v>
      </c>
      <c r="P892" s="227"/>
      <c r="Q892" s="1347"/>
      <c r="R892" s="738"/>
      <c r="S892" s="738"/>
      <c r="T892" s="1190">
        <f t="shared" si="2329"/>
        <v>0</v>
      </c>
      <c r="U892" s="224">
        <f>+L892+P892+F892</f>
        <v>0</v>
      </c>
      <c r="V892" s="1198">
        <f>+P892*R892+L892*N892+F892*H892</f>
        <v>0</v>
      </c>
      <c r="W892" s="225"/>
      <c r="X892" s="739"/>
      <c r="Y892" s="1199"/>
      <c r="Z892" s="115"/>
      <c r="AA892" s="115"/>
      <c r="AB892" s="115"/>
      <c r="AC892" s="115"/>
      <c r="AD892" s="115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  <c r="AW892" s="115"/>
      <c r="AX892" s="226"/>
      <c r="AY892" s="226"/>
      <c r="AZ892" s="226"/>
      <c r="BA892" s="226"/>
      <c r="BB892" s="226"/>
      <c r="BC892" s="226"/>
      <c r="BD892" s="226"/>
      <c r="BE892" s="226"/>
      <c r="BF892" s="226"/>
      <c r="BG892" s="226"/>
      <c r="BH892" s="226"/>
      <c r="BI892" s="226"/>
      <c r="BJ892" s="226"/>
      <c r="BK892" s="226"/>
      <c r="BL892" s="226"/>
      <c r="BM892" s="226"/>
      <c r="BN892" s="226"/>
      <c r="BO892" s="226"/>
      <c r="BP892" s="226"/>
      <c r="BQ892" s="226"/>
      <c r="BR892" s="226"/>
      <c r="BS892" s="226"/>
      <c r="BT892" s="226"/>
      <c r="BU892" s="226"/>
      <c r="BV892" s="226"/>
      <c r="BW892" s="226"/>
      <c r="BX892" s="226"/>
      <c r="BY892" s="226"/>
      <c r="BZ892" s="226"/>
      <c r="CA892" s="226"/>
      <c r="CB892" s="226"/>
      <c r="CC892" s="226"/>
      <c r="CD892" s="226"/>
      <c r="CE892" s="226"/>
      <c r="CF892" s="226"/>
      <c r="CG892" s="226"/>
      <c r="CH892" s="226"/>
      <c r="CI892" s="226"/>
      <c r="CJ892" s="226"/>
      <c r="CK892" s="226"/>
      <c r="CL892" s="226"/>
      <c r="CM892" s="226"/>
      <c r="CN892" s="226"/>
      <c r="CO892" s="226"/>
      <c r="CP892" s="226"/>
      <c r="CQ892" s="226"/>
      <c r="CR892" s="226"/>
      <c r="CS892" s="226"/>
      <c r="CT892" s="226"/>
      <c r="CU892" s="226"/>
      <c r="CV892" s="226"/>
      <c r="CW892" s="226"/>
      <c r="CX892" s="226"/>
      <c r="CY892" s="226"/>
      <c r="CZ892" s="226"/>
      <c r="DA892" s="226"/>
      <c r="DB892" s="226"/>
      <c r="DC892" s="226"/>
      <c r="DD892" s="226"/>
      <c r="DE892" s="226"/>
      <c r="DF892" s="226"/>
      <c r="DG892" s="226"/>
      <c r="DH892" s="226"/>
      <c r="DI892" s="226"/>
      <c r="DJ892" s="226"/>
      <c r="DK892" s="226"/>
      <c r="DL892" s="226"/>
      <c r="DM892" s="226"/>
      <c r="DN892" s="226"/>
      <c r="DO892" s="226"/>
      <c r="DP892" s="226"/>
      <c r="DQ892" s="226"/>
      <c r="DR892" s="226"/>
      <c r="DS892" s="226"/>
      <c r="DT892" s="226"/>
      <c r="DU892" s="226"/>
      <c r="DV892" s="226"/>
      <c r="DW892" s="226"/>
      <c r="DX892" s="226"/>
      <c r="DY892" s="226"/>
      <c r="DZ892" s="226"/>
      <c r="EA892" s="226"/>
      <c r="EB892" s="226"/>
    </row>
    <row r="893" spans="1:132" s="235" customFormat="1" ht="15.75" hidden="1" outlineLevel="1" thickBot="1">
      <c r="A893" s="228"/>
      <c r="B893" s="781"/>
      <c r="C893" s="782"/>
      <c r="D893" s="229"/>
      <c r="E893" s="1200"/>
      <c r="F893" s="230"/>
      <c r="G893" s="1274"/>
      <c r="H893" s="784"/>
      <c r="I893" s="1201"/>
      <c r="J893" s="1390"/>
      <c r="K893" s="1390"/>
      <c r="L893" s="231"/>
      <c r="M893" s="1307"/>
      <c r="N893" s="786"/>
      <c r="O893" s="1202"/>
      <c r="P893" s="232"/>
      <c r="Q893" s="1348"/>
      <c r="R893" s="788"/>
      <c r="S893" s="788"/>
      <c r="T893" s="1203"/>
      <c r="U893" s="233"/>
      <c r="V893" s="1204"/>
      <c r="W893" s="234"/>
      <c r="X893" s="791"/>
      <c r="Y893" s="1205"/>
      <c r="Z893" s="220"/>
      <c r="AA893" s="220"/>
      <c r="AB893" s="220"/>
      <c r="AC893" s="220"/>
      <c r="AD893" s="220"/>
      <c r="AE893" s="220"/>
      <c r="AF893" s="220"/>
      <c r="AG893" s="220"/>
      <c r="AH893" s="220"/>
      <c r="AI893" s="220"/>
      <c r="AJ893" s="220"/>
      <c r="AK893" s="220"/>
      <c r="AL893" s="220"/>
      <c r="AM893" s="220"/>
      <c r="AN893" s="220"/>
      <c r="AO893" s="220"/>
      <c r="AP893" s="220"/>
      <c r="AQ893" s="220"/>
      <c r="AR893" s="220"/>
      <c r="AS893" s="220"/>
      <c r="AT893" s="220"/>
      <c r="AU893" s="220"/>
      <c r="AV893" s="220"/>
      <c r="AW893" s="220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</row>
    <row r="894" spans="1:132" ht="15.75" hidden="1" outlineLevel="1" thickBot="1">
      <c r="A894" s="55"/>
      <c r="B894" s="509"/>
      <c r="C894" s="679"/>
      <c r="D894" s="219"/>
      <c r="E894" s="1192"/>
      <c r="F894" s="416"/>
      <c r="G894" s="1251"/>
      <c r="H894" s="676"/>
      <c r="I894" s="1193"/>
      <c r="J894" s="1386"/>
      <c r="K894" s="1386"/>
      <c r="L894" s="438"/>
      <c r="M894" s="1302"/>
      <c r="N894" s="504"/>
      <c r="O894" s="1202">
        <f>+L894*N894</f>
        <v>0</v>
      </c>
      <c r="P894" s="431"/>
      <c r="Q894" s="514"/>
      <c r="R894" s="515"/>
      <c r="S894" s="515"/>
      <c r="T894" s="1190">
        <f>+P894*S894</f>
        <v>0</v>
      </c>
      <c r="U894" s="418">
        <f>+L894+P894+F894</f>
        <v>0</v>
      </c>
      <c r="V894" s="1127">
        <f>+P894*R894+L894*N894+F894*H894</f>
        <v>0</v>
      </c>
      <c r="W894" s="976">
        <f>(IF(R894&gt;S894,(-P894*R894)-(-P894*S894),0))</f>
        <v>0</v>
      </c>
      <c r="X894" s="975">
        <f>(IF(R894&lt;S894,(-P894*R894)-(-P894*S894),0))</f>
        <v>0</v>
      </c>
      <c r="Y894" s="1128"/>
      <c r="Z894" s="220"/>
      <c r="AA894" s="220"/>
      <c r="AB894" s="220"/>
      <c r="AC894" s="220"/>
      <c r="AD894" s="220"/>
      <c r="AE894" s="220"/>
      <c r="AF894" s="220"/>
      <c r="AG894" s="220"/>
      <c r="AH894" s="220"/>
      <c r="AI894" s="220"/>
      <c r="AJ894" s="220"/>
      <c r="AK894" s="220"/>
      <c r="AL894" s="220"/>
      <c r="AM894" s="220"/>
      <c r="AN894" s="220"/>
      <c r="AO894" s="220"/>
      <c r="AP894" s="220"/>
      <c r="AQ894" s="220"/>
      <c r="AR894" s="220"/>
      <c r="AS894" s="220"/>
      <c r="AT894" s="220"/>
      <c r="AU894" s="220"/>
      <c r="AV894" s="220"/>
      <c r="AW894" s="220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  <c r="BQ894" s="24"/>
      <c r="BR894" s="24"/>
      <c r="BS894" s="24"/>
      <c r="BT894" s="24"/>
      <c r="BU894" s="24"/>
      <c r="BV894" s="24"/>
      <c r="BW894" s="24"/>
      <c r="BX894" s="24"/>
      <c r="BY894" s="24"/>
      <c r="BZ894" s="24"/>
      <c r="CA894" s="24"/>
      <c r="CB894" s="24"/>
      <c r="CC894" s="24"/>
      <c r="CD894" s="24"/>
      <c r="CE894" s="24"/>
      <c r="CF894" s="24"/>
      <c r="CG894" s="24"/>
      <c r="CH894" s="24"/>
      <c r="CI894" s="24"/>
      <c r="CJ894" s="24"/>
      <c r="CK894" s="24"/>
      <c r="CL894" s="24"/>
      <c r="CM894" s="24"/>
      <c r="CN894" s="24"/>
      <c r="CO894" s="24"/>
      <c r="CP894" s="24"/>
      <c r="CQ894" s="24"/>
      <c r="CR894" s="24"/>
      <c r="CS894" s="24"/>
      <c r="CT894" s="24"/>
      <c r="CU894" s="24"/>
      <c r="CV894" s="24"/>
      <c r="CW894" s="24"/>
      <c r="CX894" s="24"/>
      <c r="CY894" s="24"/>
      <c r="CZ894" s="24"/>
      <c r="DA894" s="24"/>
      <c r="DB894" s="24"/>
      <c r="DC894" s="24"/>
      <c r="DD894" s="24"/>
      <c r="DE894" s="24"/>
      <c r="DF894" s="24"/>
      <c r="DG894" s="24"/>
      <c r="DH894" s="24"/>
      <c r="DI894" s="24"/>
      <c r="DJ894" s="24"/>
      <c r="DK894" s="24"/>
      <c r="DL894" s="24"/>
      <c r="DM894" s="24"/>
      <c r="DN894" s="24"/>
      <c r="DO894" s="24"/>
      <c r="DP894" s="24"/>
      <c r="DQ894" s="24"/>
      <c r="DR894" s="24"/>
      <c r="DS894" s="24"/>
      <c r="DT894" s="24"/>
      <c r="DU894" s="24"/>
      <c r="DV894" s="24"/>
      <c r="DW894" s="24"/>
      <c r="DX894" s="24"/>
      <c r="DY894" s="24"/>
      <c r="DZ894" s="24"/>
      <c r="EA894" s="24"/>
      <c r="EB894" s="24"/>
    </row>
    <row r="895" spans="1:132" s="249" customFormat="1" ht="16.5" hidden="1" outlineLevel="1" thickBot="1">
      <c r="A895" s="799" t="s">
        <v>272</v>
      </c>
      <c r="B895" s="800"/>
      <c r="C895" s="801"/>
      <c r="D895" s="802"/>
      <c r="E895" s="801"/>
      <c r="F895" s="803">
        <f>SUM(F867:F894)</f>
        <v>0</v>
      </c>
      <c r="G895" s="1275"/>
      <c r="H895" s="804"/>
      <c r="I895" s="805">
        <f>SUM(I867:I894)</f>
        <v>0</v>
      </c>
      <c r="J895" s="1368"/>
      <c r="K895" s="1368"/>
      <c r="L895" s="806">
        <f>SUM(L867:L894)</f>
        <v>195927127.66</v>
      </c>
      <c r="M895" s="1308"/>
      <c r="N895" s="807"/>
      <c r="O895" s="808">
        <f>SUM(O867:O894)</f>
        <v>0</v>
      </c>
      <c r="P895" s="809">
        <f>SUM(P867:P894)</f>
        <v>-195927127.66</v>
      </c>
      <c r="Q895" s="1349"/>
      <c r="R895" s="810"/>
      <c r="S895" s="810"/>
      <c r="T895" s="811">
        <f>SUM(T867:T894)</f>
        <v>0</v>
      </c>
      <c r="U895" s="812">
        <f>SUM(U867:U894)</f>
        <v>0</v>
      </c>
      <c r="V895" s="813">
        <f>SUM(V867:V894)</f>
        <v>0</v>
      </c>
      <c r="W895" s="814">
        <f>SUM(W867:W894)</f>
        <v>0</v>
      </c>
      <c r="X895" s="815">
        <f>SUM(X867:X894)</f>
        <v>0</v>
      </c>
      <c r="Y895" s="816"/>
      <c r="Z895" s="248"/>
      <c r="AA895" s="248"/>
      <c r="AB895" s="248"/>
      <c r="AC895" s="248"/>
      <c r="AD895" s="248"/>
      <c r="AE895" s="248"/>
      <c r="AF895" s="248"/>
      <c r="AG895" s="248"/>
      <c r="AH895" s="248"/>
      <c r="AI895" s="248"/>
      <c r="AJ895" s="248"/>
      <c r="AK895" s="248"/>
      <c r="AL895" s="248"/>
      <c r="AM895" s="248"/>
      <c r="AN895" s="248"/>
      <c r="AO895" s="248"/>
      <c r="AP895" s="248"/>
      <c r="AQ895" s="248"/>
      <c r="AR895" s="248"/>
      <c r="AS895" s="248"/>
      <c r="AT895" s="248"/>
      <c r="AU895" s="248"/>
      <c r="AV895" s="248"/>
      <c r="AW895" s="248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183"/>
      <c r="BR895" s="183"/>
      <c r="BS895" s="183"/>
      <c r="BT895" s="183"/>
      <c r="BU895" s="183"/>
      <c r="BV895" s="183"/>
      <c r="BW895" s="183"/>
      <c r="BX895" s="183"/>
      <c r="BY895" s="183"/>
      <c r="BZ895" s="183"/>
      <c r="CA895" s="183"/>
      <c r="CB895" s="183"/>
      <c r="CC895" s="183"/>
      <c r="CD895" s="183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</row>
    <row r="896" spans="1:132" ht="15.75" hidden="1" outlineLevel="1" thickBot="1">
      <c r="D896" s="8"/>
      <c r="E896" s="7"/>
      <c r="T896" s="412" t="s">
        <v>89</v>
      </c>
      <c r="U896" s="445">
        <v>0</v>
      </c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  <c r="BQ896" s="24"/>
      <c r="BR896" s="24"/>
      <c r="BS896" s="24"/>
      <c r="BT896" s="24"/>
      <c r="BU896" s="24"/>
      <c r="BV896" s="24"/>
      <c r="BW896" s="24"/>
      <c r="BX896" s="24"/>
      <c r="BY896" s="24"/>
      <c r="BZ896" s="24"/>
      <c r="CA896" s="24"/>
      <c r="CB896" s="24"/>
      <c r="CC896" s="24"/>
      <c r="CD896" s="24"/>
      <c r="CE896" s="24"/>
      <c r="CF896" s="24"/>
      <c r="CG896" s="24"/>
      <c r="CH896" s="24"/>
      <c r="CI896" s="24"/>
      <c r="CJ896" s="24"/>
      <c r="CK896" s="24"/>
      <c r="CL896" s="24"/>
      <c r="CM896" s="24"/>
      <c r="CN896" s="24"/>
      <c r="CO896" s="24"/>
      <c r="CP896" s="24"/>
      <c r="CQ896" s="24"/>
      <c r="CR896" s="24"/>
      <c r="CS896" s="24"/>
      <c r="CT896" s="24"/>
      <c r="CU896" s="24"/>
      <c r="CV896" s="24"/>
      <c r="CW896" s="24"/>
      <c r="CX896" s="24"/>
      <c r="CY896" s="24"/>
      <c r="CZ896" s="24"/>
      <c r="DA896" s="24"/>
      <c r="DB896" s="24"/>
      <c r="DC896" s="24"/>
      <c r="DD896" s="24"/>
      <c r="DE896" s="24"/>
      <c r="DF896" s="24"/>
      <c r="DG896" s="24"/>
      <c r="DH896" s="24"/>
      <c r="DI896" s="24"/>
      <c r="DJ896" s="24"/>
      <c r="DK896" s="24"/>
      <c r="DL896" s="24"/>
      <c r="DM896" s="24"/>
      <c r="DN896" s="24"/>
      <c r="DO896" s="24"/>
      <c r="DP896" s="24"/>
      <c r="DQ896" s="24"/>
      <c r="DR896" s="24"/>
      <c r="DS896" s="24"/>
      <c r="DT896" s="24"/>
      <c r="DU896" s="24"/>
      <c r="DV896" s="24"/>
      <c r="DW896" s="24"/>
      <c r="DX896" s="24"/>
      <c r="DY896" s="24"/>
      <c r="DZ896" s="24"/>
      <c r="EA896" s="24"/>
      <c r="EB896" s="24"/>
    </row>
    <row r="897" spans="1:132" ht="15.75" hidden="1" outlineLevel="1" thickBot="1">
      <c r="D897" s="8"/>
      <c r="E897" s="7"/>
      <c r="U897" s="250">
        <f>+U896-U895</f>
        <v>0</v>
      </c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  <c r="BQ897" s="24"/>
      <c r="BR897" s="24"/>
      <c r="BS897" s="24"/>
      <c r="BT897" s="24"/>
      <c r="BU897" s="24"/>
      <c r="BV897" s="24"/>
      <c r="BW897" s="24"/>
      <c r="BX897" s="24"/>
      <c r="BY897" s="24"/>
      <c r="BZ897" s="24"/>
      <c r="CA897" s="24"/>
      <c r="CB897" s="24"/>
      <c r="CC897" s="24"/>
      <c r="CD897" s="24"/>
      <c r="CE897" s="24"/>
      <c r="CF897" s="24"/>
      <c r="CG897" s="24"/>
      <c r="CH897" s="24"/>
      <c r="CI897" s="24"/>
      <c r="CJ897" s="24"/>
      <c r="CK897" s="24"/>
      <c r="CL897" s="24"/>
      <c r="CM897" s="24"/>
      <c r="CN897" s="24"/>
      <c r="CO897" s="24"/>
      <c r="CP897" s="24"/>
      <c r="CQ897" s="24"/>
      <c r="CR897" s="24"/>
      <c r="CS897" s="24"/>
      <c r="CT897" s="24"/>
      <c r="CU897" s="24"/>
      <c r="CV897" s="24"/>
      <c r="CW897" s="24"/>
      <c r="CX897" s="24"/>
      <c r="CY897" s="24"/>
      <c r="CZ897" s="24"/>
      <c r="DA897" s="24"/>
      <c r="DB897" s="24"/>
      <c r="DC897" s="24"/>
      <c r="DD897" s="24"/>
      <c r="DE897" s="24"/>
      <c r="DF897" s="24"/>
      <c r="DG897" s="24"/>
      <c r="DH897" s="24"/>
      <c r="DI897" s="24"/>
      <c r="DJ897" s="24"/>
      <c r="DK897" s="24"/>
      <c r="DL897" s="24"/>
      <c r="DM897" s="24"/>
      <c r="DN897" s="24"/>
      <c r="DO897" s="24"/>
      <c r="DP897" s="24"/>
      <c r="DQ897" s="24"/>
      <c r="DR897" s="24"/>
      <c r="DS897" s="24"/>
      <c r="DT897" s="24"/>
      <c r="DU897" s="24"/>
      <c r="DV897" s="24"/>
      <c r="DW897" s="24"/>
      <c r="DX897" s="24"/>
      <c r="DY897" s="24"/>
      <c r="DZ897" s="24"/>
      <c r="EA897" s="24"/>
      <c r="EB897" s="24"/>
    </row>
    <row r="898" spans="1:132" s="252" customFormat="1" ht="19.5" collapsed="1" thickBot="1">
      <c r="A898" s="817" t="s">
        <v>273</v>
      </c>
      <c r="B898" s="818"/>
      <c r="C898" s="819"/>
      <c r="D898" s="820"/>
      <c r="E898" s="819"/>
      <c r="F898" s="821">
        <f>+F895</f>
        <v>0</v>
      </c>
      <c r="G898" s="821"/>
      <c r="H898" s="822"/>
      <c r="I898" s="823">
        <f>+I895</f>
        <v>0</v>
      </c>
      <c r="J898" s="823"/>
      <c r="K898" s="823"/>
      <c r="L898" s="821">
        <f>+L895</f>
        <v>195927127.66</v>
      </c>
      <c r="M898" s="821"/>
      <c r="N898" s="822"/>
      <c r="O898" s="823">
        <f>+O895</f>
        <v>0</v>
      </c>
      <c r="P898" s="821">
        <f>+P895</f>
        <v>-195927127.66</v>
      </c>
      <c r="Q898" s="821"/>
      <c r="R898" s="822"/>
      <c r="S898" s="822"/>
      <c r="T898" s="823">
        <f>+T895</f>
        <v>0</v>
      </c>
      <c r="U898" s="821">
        <f>+U895</f>
        <v>0</v>
      </c>
      <c r="V898" s="824">
        <f>+V895</f>
        <v>0</v>
      </c>
      <c r="W898" s="823">
        <f>+W895</f>
        <v>0</v>
      </c>
      <c r="X898" s="825">
        <f>+X895</f>
        <v>0</v>
      </c>
      <c r="Y898" s="826"/>
      <c r="Z898" s="251"/>
      <c r="AA898" s="251"/>
      <c r="AB898" s="251"/>
      <c r="AC898" s="251"/>
      <c r="AD898" s="251"/>
      <c r="AE898" s="251"/>
      <c r="AF898" s="251"/>
      <c r="AG898" s="251"/>
      <c r="AH898" s="251"/>
      <c r="AI898" s="251"/>
      <c r="AJ898" s="251"/>
      <c r="AK898" s="251"/>
      <c r="AL898" s="251"/>
      <c r="AM898" s="251"/>
      <c r="AN898" s="251"/>
      <c r="AO898" s="251"/>
      <c r="AP898" s="251"/>
      <c r="AQ898" s="251"/>
      <c r="AR898" s="251"/>
      <c r="AS898" s="251"/>
      <c r="AT898" s="251"/>
      <c r="AU898" s="251"/>
      <c r="AV898" s="251"/>
      <c r="AW898" s="251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183"/>
      <c r="BR898" s="183"/>
      <c r="BS898" s="183"/>
      <c r="BT898" s="183"/>
      <c r="BU898" s="183"/>
      <c r="BV898" s="183"/>
      <c r="BW898" s="183"/>
      <c r="BX898" s="183"/>
      <c r="BY898" s="183"/>
      <c r="BZ898" s="183"/>
      <c r="CA898" s="183"/>
      <c r="CB898" s="183"/>
      <c r="CC898" s="183"/>
      <c r="CD898" s="183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</row>
    <row r="899" spans="1:132" s="27" customFormat="1">
      <c r="A899"/>
      <c r="B899"/>
      <c r="C899" s="7"/>
      <c r="D899" s="8"/>
      <c r="E899" s="7"/>
      <c r="F899" s="211"/>
      <c r="G899" s="211"/>
      <c r="J899" s="1387"/>
      <c r="K899" s="1387"/>
      <c r="L899" s="441"/>
      <c r="M899" s="441"/>
      <c r="N899" s="442"/>
      <c r="O899" s="443"/>
      <c r="P899" s="444"/>
      <c r="Q899" s="444"/>
      <c r="R899" s="442"/>
      <c r="S899" s="442"/>
      <c r="T899" s="1103"/>
      <c r="U899" s="1108"/>
      <c r="V899" s="211"/>
      <c r="W899" s="1206"/>
      <c r="X899" s="212"/>
      <c r="Y899" s="7"/>
      <c r="Z899" s="44"/>
      <c r="AA899" s="213"/>
      <c r="AB899" s="213"/>
      <c r="AC899" s="213"/>
      <c r="AD899" s="213"/>
      <c r="AE899" s="213"/>
      <c r="AF899" s="213"/>
      <c r="AG899" s="213"/>
      <c r="AH899" s="213"/>
      <c r="AI899" s="213"/>
      <c r="AJ899" s="213"/>
      <c r="AK899" s="213"/>
      <c r="AL899" s="213"/>
      <c r="AM899" s="213"/>
      <c r="AN899" s="213"/>
      <c r="AO899" s="213"/>
      <c r="AP899" s="213"/>
      <c r="AQ899" s="213"/>
      <c r="AR899" s="213"/>
      <c r="AS899" s="213"/>
      <c r="AT899" s="213"/>
      <c r="AU899" s="213"/>
      <c r="AV899" s="213"/>
      <c r="AW899" s="213"/>
    </row>
    <row r="900" spans="1:132" s="766" customFormat="1" ht="15.75" thickBot="1">
      <c r="A900" s="755"/>
      <c r="B900" s="755"/>
      <c r="C900" s="756"/>
      <c r="D900" s="756"/>
      <c r="E900" s="757"/>
      <c r="F900" s="758"/>
      <c r="G900" s="758"/>
      <c r="H900" s="759"/>
      <c r="I900" s="760"/>
      <c r="J900" s="1388"/>
      <c r="K900" s="1388"/>
      <c r="L900" s="761"/>
      <c r="M900" s="761"/>
      <c r="N900" s="759"/>
      <c r="O900" s="760"/>
      <c r="P900" s="762"/>
      <c r="Q900" s="762"/>
      <c r="R900" s="759"/>
      <c r="S900" s="759"/>
      <c r="T900" s="760"/>
      <c r="U900" s="758"/>
      <c r="V900" s="763"/>
      <c r="W900" s="760"/>
      <c r="X900" s="760"/>
      <c r="Y900" s="756"/>
      <c r="Z900" s="764"/>
      <c r="AA900" s="765"/>
      <c r="AB900" s="765"/>
      <c r="AC900" s="765"/>
      <c r="AD900" s="765"/>
      <c r="AE900" s="765"/>
      <c r="AL900" s="1580"/>
    </row>
    <row r="901" spans="1:132" ht="19.5" thickBot="1">
      <c r="A901" s="488" t="s">
        <v>213</v>
      </c>
      <c r="B901" s="489"/>
      <c r="C901" s="490"/>
      <c r="D901" s="490"/>
      <c r="E901" s="491"/>
      <c r="F901" s="492"/>
      <c r="G901" s="492"/>
      <c r="H901" s="493"/>
      <c r="I901" s="494"/>
      <c r="J901" s="494"/>
      <c r="K901" s="494"/>
      <c r="L901" s="495"/>
      <c r="M901" s="495"/>
      <c r="N901" s="493"/>
      <c r="O901" s="494"/>
      <c r="P901" s="492"/>
      <c r="Q901" s="492"/>
      <c r="R901" s="492"/>
      <c r="S901" s="493"/>
      <c r="T901" s="494"/>
      <c r="U901" s="489"/>
      <c r="V901" s="489"/>
      <c r="W901" s="494"/>
      <c r="X901" s="494"/>
      <c r="Y901" s="496"/>
      <c r="AA901" s="24"/>
      <c r="AB901" s="24"/>
      <c r="AC901" s="24"/>
      <c r="AD901" s="24"/>
      <c r="AE901" s="24"/>
    </row>
    <row r="902" spans="1:132" s="27" customFormat="1" ht="24" thickBot="1">
      <c r="A902" s="767" t="s">
        <v>214</v>
      </c>
      <c r="B902" s="768"/>
      <c r="C902" s="2558" t="s">
        <v>57</v>
      </c>
      <c r="D902" s="2560" t="s">
        <v>59</v>
      </c>
      <c r="E902" s="2562" t="s">
        <v>58</v>
      </c>
      <c r="F902" s="2564" t="str">
        <f>F6</f>
        <v>SALDO FISCAL 31/12/2022</v>
      </c>
      <c r="G902" s="2565"/>
      <c r="H902" s="2565"/>
      <c r="I902" s="2566"/>
      <c r="J902" s="1240"/>
      <c r="K902" s="1240"/>
      <c r="L902" s="2569" t="s">
        <v>1416</v>
      </c>
      <c r="M902" s="2570"/>
      <c r="N902" s="2570"/>
      <c r="O902" s="2571"/>
      <c r="P902" s="2572" t="s">
        <v>1415</v>
      </c>
      <c r="Q902" s="2573"/>
      <c r="R902" s="2573"/>
      <c r="S902" s="2573"/>
      <c r="T902" s="2574"/>
      <c r="U902" s="2575" t="s">
        <v>62</v>
      </c>
      <c r="V902" s="2576"/>
      <c r="W902" s="2577" t="s">
        <v>63</v>
      </c>
      <c r="X902" s="2578"/>
      <c r="Y902" s="2579"/>
      <c r="Z902" s="44"/>
      <c r="AA902" s="213"/>
      <c r="AB902" s="213"/>
      <c r="AC902" s="213"/>
      <c r="AD902" s="213"/>
      <c r="AE902" s="213"/>
    </row>
    <row r="903" spans="1:132" s="216" customFormat="1" ht="15.75" outlineLevel="1" thickBot="1">
      <c r="A903" s="769" t="s">
        <v>87</v>
      </c>
      <c r="B903" s="770" t="s">
        <v>88</v>
      </c>
      <c r="C903" s="2559"/>
      <c r="D903" s="2561"/>
      <c r="E903" s="2563"/>
      <c r="F903" s="1516" t="s">
        <v>1351</v>
      </c>
      <c r="G903" s="1517" t="s">
        <v>64</v>
      </c>
      <c r="H903" s="31" t="s">
        <v>65</v>
      </c>
      <c r="I903" s="32" t="s">
        <v>66</v>
      </c>
      <c r="J903" s="1365"/>
      <c r="K903" s="1365"/>
      <c r="L903" s="1522" t="s">
        <v>1352</v>
      </c>
      <c r="M903" s="1523" t="s">
        <v>64</v>
      </c>
      <c r="N903" s="34" t="s">
        <v>68</v>
      </c>
      <c r="O903" s="35" t="s">
        <v>69</v>
      </c>
      <c r="P903" s="1526" t="s">
        <v>1353</v>
      </c>
      <c r="Q903" s="1521" t="s">
        <v>64</v>
      </c>
      <c r="R903" s="37" t="s">
        <v>68</v>
      </c>
      <c r="S903" s="37" t="s">
        <v>71</v>
      </c>
      <c r="T903" s="38" t="s">
        <v>72</v>
      </c>
      <c r="U903" s="39" t="s">
        <v>73</v>
      </c>
      <c r="V903" s="40" t="s">
        <v>74</v>
      </c>
      <c r="W903" s="41" t="s">
        <v>75</v>
      </c>
      <c r="X903" s="42" t="s">
        <v>76</v>
      </c>
      <c r="Y903" s="43"/>
      <c r="Z903" s="214"/>
      <c r="AA903" s="215"/>
      <c r="AB903" s="215"/>
      <c r="AC903" s="215"/>
      <c r="AD903" s="215"/>
      <c r="AE903" s="215"/>
    </row>
    <row r="904" spans="1:132" ht="16.5" outlineLevel="1" thickBot="1">
      <c r="A904" s="618">
        <v>1470753000</v>
      </c>
      <c r="B904" s="619" t="s">
        <v>1364</v>
      </c>
      <c r="C904" s="771" t="s">
        <v>64</v>
      </c>
      <c r="D904" s="622"/>
      <c r="E904" s="772">
        <v>44728</v>
      </c>
      <c r="F904" s="773"/>
      <c r="G904" s="1273"/>
      <c r="H904" s="620"/>
      <c r="I904" s="774">
        <v>1638603688884</v>
      </c>
      <c r="J904" s="1367"/>
      <c r="K904" s="1367"/>
      <c r="L904" s="775"/>
      <c r="M904" s="1303"/>
      <c r="N904" s="620"/>
      <c r="O904" s="774">
        <v>0</v>
      </c>
      <c r="P904" s="773"/>
      <c r="Q904" s="1273"/>
      <c r="R904" s="620"/>
      <c r="S904" s="620"/>
      <c r="T904" s="774">
        <f t="shared" ref="T904:T918" si="2334">+P904*S904</f>
        <v>0</v>
      </c>
      <c r="U904" s="773">
        <f t="shared" ref="U904:U916" si="2335">+L904+P904+F904</f>
        <v>0</v>
      </c>
      <c r="V904" s="774">
        <f>I904+O904+T904</f>
        <v>1638603688884</v>
      </c>
      <c r="W904" s="776"/>
      <c r="X904" s="621"/>
      <c r="Y904" s="622"/>
      <c r="AA904" s="24"/>
      <c r="AB904" s="24"/>
      <c r="AC904" s="24"/>
      <c r="AD904" s="24"/>
      <c r="AE904" s="24"/>
    </row>
    <row r="905" spans="1:132" ht="15.75" outlineLevel="1">
      <c r="A905" s="961">
        <v>1470753000</v>
      </c>
      <c r="B905" s="619" t="s">
        <v>1364</v>
      </c>
      <c r="C905" s="217" t="s">
        <v>64</v>
      </c>
      <c r="D905" s="967"/>
      <c r="E905" s="969"/>
      <c r="F905" s="964"/>
      <c r="G905" s="1250"/>
      <c r="H905" s="47"/>
      <c r="I905" s="965">
        <f t="shared" ref="I905:I916" si="2336">+F905*H905</f>
        <v>0</v>
      </c>
      <c r="J905" s="1366"/>
      <c r="K905" s="1366"/>
      <c r="L905" s="218"/>
      <c r="M905" s="1309"/>
      <c r="N905" s="47"/>
      <c r="O905" s="965">
        <v>0</v>
      </c>
      <c r="P905" s="964"/>
      <c r="Q905" s="1250"/>
      <c r="R905" s="47"/>
      <c r="S905" s="47"/>
      <c r="T905" s="965">
        <f t="shared" si="2334"/>
        <v>0</v>
      </c>
      <c r="U905" s="964">
        <f t="shared" si="2335"/>
        <v>0</v>
      </c>
      <c r="V905" s="965">
        <f t="shared" ref="V905:V916" si="2337">I905+O905+T905</f>
        <v>0</v>
      </c>
      <c r="W905" s="968"/>
      <c r="X905" s="966"/>
      <c r="Y905" s="967"/>
      <c r="AA905" s="14"/>
      <c r="AB905" s="14"/>
      <c r="AC905" s="14"/>
      <c r="AD905" s="14"/>
      <c r="AE905" s="14"/>
    </row>
    <row r="906" spans="1:132" ht="15.75" outlineLevel="1">
      <c r="A906" s="961">
        <v>1470753000</v>
      </c>
      <c r="B906" s="962" t="s">
        <v>190</v>
      </c>
      <c r="C906" s="217" t="s">
        <v>64</v>
      </c>
      <c r="D906" s="967"/>
      <c r="E906" s="969"/>
      <c r="F906" s="964"/>
      <c r="G906" s="1250"/>
      <c r="H906" s="47"/>
      <c r="I906" s="965">
        <f t="shared" si="2336"/>
        <v>0</v>
      </c>
      <c r="J906" s="1366"/>
      <c r="K906" s="1366"/>
      <c r="L906" s="218"/>
      <c r="M906" s="1309"/>
      <c r="N906" s="47"/>
      <c r="O906" s="965">
        <f t="shared" ref="O906:O916" si="2338">+L906*N906</f>
        <v>0</v>
      </c>
      <c r="P906" s="964"/>
      <c r="Q906" s="1250"/>
      <c r="R906" s="47"/>
      <c r="S906" s="47"/>
      <c r="T906" s="965">
        <f t="shared" si="2334"/>
        <v>0</v>
      </c>
      <c r="U906" s="964">
        <f t="shared" si="2335"/>
        <v>0</v>
      </c>
      <c r="V906" s="965">
        <f t="shared" si="2337"/>
        <v>0</v>
      </c>
      <c r="W906" s="968"/>
      <c r="X906" s="966"/>
      <c r="Y906" s="967"/>
      <c r="AA906" s="14"/>
      <c r="AB906" s="14"/>
      <c r="AC906" s="14"/>
      <c r="AD906" s="14"/>
      <c r="AE906" s="14"/>
    </row>
    <row r="907" spans="1:132" hidden="1" outlineLevel="2">
      <c r="A907" s="55">
        <v>1470753000</v>
      </c>
      <c r="B907" s="509" t="s">
        <v>191</v>
      </c>
      <c r="C907" s="679" t="s">
        <v>64</v>
      </c>
      <c r="D907" s="680"/>
      <c r="E907" s="219"/>
      <c r="F907" s="416"/>
      <c r="G907" s="1251"/>
      <c r="H907" s="676"/>
      <c r="I907" s="681">
        <f t="shared" si="2336"/>
        <v>0</v>
      </c>
      <c r="J907" s="1386"/>
      <c r="K907" s="1386"/>
      <c r="L907" s="438"/>
      <c r="M907" s="1302"/>
      <c r="N907" s="504"/>
      <c r="O907" s="682">
        <f t="shared" si="2338"/>
        <v>0</v>
      </c>
      <c r="P907" s="431"/>
      <c r="Q907" s="514"/>
      <c r="R907" s="515"/>
      <c r="S907" s="515"/>
      <c r="T907" s="562">
        <f t="shared" si="2334"/>
        <v>0</v>
      </c>
      <c r="U907" s="418">
        <f t="shared" si="2335"/>
        <v>0</v>
      </c>
      <c r="V907" s="517">
        <f t="shared" si="2337"/>
        <v>0</v>
      </c>
      <c r="W907" s="1101">
        <f t="shared" ref="W907:W916" si="2339">IF((-P907*R907)-(-P907*S907)&gt;0,(-P907*R907)-(-P907*S907),0)</f>
        <v>0</v>
      </c>
      <c r="X907" s="1102">
        <f t="shared" ref="X907:X916" si="2340">IF((-P907*R907)-(-P907*S907)&lt;0,(-P907*R907)-(-P907*S907),0)</f>
        <v>0</v>
      </c>
      <c r="Y907" s="519"/>
      <c r="Z907" s="220"/>
      <c r="AA907" s="220"/>
      <c r="AB907" s="220"/>
      <c r="AC907" s="220"/>
      <c r="AD907" s="220"/>
      <c r="AE907" s="220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R907" s="24"/>
      <c r="BS907" s="24"/>
      <c r="BT907" s="24"/>
      <c r="BU907" s="24"/>
      <c r="BV907" s="24"/>
      <c r="BW907" s="24"/>
      <c r="BX907" s="24"/>
      <c r="BY907" s="24"/>
      <c r="BZ907" s="24"/>
      <c r="CA907" s="24"/>
      <c r="CB907" s="24"/>
      <c r="CC907" s="24"/>
      <c r="CD907" s="24"/>
      <c r="CE907" s="24"/>
      <c r="CF907" s="24"/>
      <c r="CG907" s="24"/>
      <c r="CH907" s="24"/>
      <c r="CI907" s="24"/>
      <c r="CJ907" s="24"/>
      <c r="CK907" s="24"/>
      <c r="CL907" s="24"/>
      <c r="CM907" s="24"/>
      <c r="CN907" s="24"/>
      <c r="CO907" s="24"/>
      <c r="CP907" s="24"/>
      <c r="CQ907" s="24"/>
      <c r="CR907" s="24"/>
      <c r="CS907" s="24"/>
      <c r="CT907" s="24"/>
      <c r="CU907" s="24"/>
      <c r="CV907" s="24"/>
      <c r="CW907" s="24"/>
      <c r="CX907" s="24"/>
      <c r="CY907" s="24"/>
      <c r="CZ907" s="24"/>
      <c r="DA907" s="24"/>
      <c r="DB907" s="24"/>
      <c r="DC907" s="24"/>
      <c r="DD907" s="24"/>
      <c r="DE907" s="24"/>
      <c r="DF907" s="24"/>
      <c r="DG907" s="24"/>
      <c r="DH907" s="24"/>
      <c r="DI907" s="24"/>
      <c r="DJ907" s="24"/>
      <c r="DK907" s="24"/>
      <c r="DL907" s="24"/>
      <c r="DM907" s="24"/>
      <c r="DN907" s="24"/>
      <c r="DO907" s="24"/>
      <c r="DP907" s="24"/>
    </row>
    <row r="908" spans="1:132" hidden="1" outlineLevel="2">
      <c r="A908" s="55">
        <v>1470753000</v>
      </c>
      <c r="B908" s="509" t="s">
        <v>192</v>
      </c>
      <c r="C908" s="679" t="s">
        <v>64</v>
      </c>
      <c r="D908" s="680"/>
      <c r="E908" s="219"/>
      <c r="F908" s="416"/>
      <c r="G908" s="1251"/>
      <c r="H908" s="676"/>
      <c r="I908" s="681">
        <f t="shared" si="2336"/>
        <v>0</v>
      </c>
      <c r="J908" s="1386"/>
      <c r="K908" s="1386"/>
      <c r="L908" s="438"/>
      <c r="M908" s="1302"/>
      <c r="N908" s="504"/>
      <c r="O908" s="682">
        <f t="shared" si="2338"/>
        <v>0</v>
      </c>
      <c r="P908" s="431"/>
      <c r="Q908" s="514"/>
      <c r="R908" s="515"/>
      <c r="S908" s="515"/>
      <c r="T908" s="562">
        <f t="shared" si="2334"/>
        <v>0</v>
      </c>
      <c r="U908" s="418">
        <f t="shared" si="2335"/>
        <v>0</v>
      </c>
      <c r="V908" s="517">
        <f t="shared" si="2337"/>
        <v>0</v>
      </c>
      <c r="W908" s="1101">
        <f t="shared" si="2339"/>
        <v>0</v>
      </c>
      <c r="X908" s="1102">
        <f t="shared" si="2340"/>
        <v>0</v>
      </c>
      <c r="Y908" s="519"/>
      <c r="Z908" s="220"/>
      <c r="AA908" s="220"/>
      <c r="AB908" s="220"/>
      <c r="AC908" s="220"/>
      <c r="AD908" s="220"/>
      <c r="AE908" s="220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R908" s="24"/>
      <c r="BS908" s="24"/>
      <c r="BT908" s="24"/>
      <c r="BU908" s="24"/>
      <c r="BV908" s="24"/>
      <c r="BW908" s="24"/>
      <c r="BX908" s="24"/>
      <c r="BY908" s="24"/>
      <c r="BZ908" s="24"/>
      <c r="CA908" s="24"/>
      <c r="CB908" s="24"/>
      <c r="CC908" s="24"/>
      <c r="CD908" s="24"/>
      <c r="CE908" s="24"/>
      <c r="CF908" s="24"/>
      <c r="CG908" s="24"/>
      <c r="CH908" s="24"/>
      <c r="CI908" s="24"/>
      <c r="CJ908" s="24"/>
      <c r="CK908" s="24"/>
      <c r="CL908" s="24"/>
      <c r="CM908" s="24"/>
      <c r="CN908" s="24"/>
      <c r="CO908" s="24"/>
      <c r="CP908" s="24"/>
      <c r="CQ908" s="24"/>
      <c r="CR908" s="24"/>
      <c r="CS908" s="24"/>
      <c r="CT908" s="24"/>
      <c r="CU908" s="24"/>
      <c r="CV908" s="24"/>
      <c r="CW908" s="24"/>
      <c r="CX908" s="24"/>
      <c r="CY908" s="24"/>
      <c r="CZ908" s="24"/>
      <c r="DA908" s="24"/>
      <c r="DB908" s="24"/>
      <c r="DC908" s="24"/>
      <c r="DD908" s="24"/>
      <c r="DE908" s="24"/>
      <c r="DF908" s="24"/>
      <c r="DG908" s="24"/>
      <c r="DH908" s="24"/>
      <c r="DI908" s="24"/>
      <c r="DJ908" s="24"/>
      <c r="DK908" s="24"/>
      <c r="DL908" s="24"/>
      <c r="DM908" s="24"/>
      <c r="DN908" s="24"/>
      <c r="DO908" s="24"/>
      <c r="DP908" s="24"/>
    </row>
    <row r="909" spans="1:132" hidden="1" outlineLevel="2">
      <c r="A909" s="55">
        <v>1470753000</v>
      </c>
      <c r="B909" s="509" t="s">
        <v>193</v>
      </c>
      <c r="C909" s="679" t="s">
        <v>64</v>
      </c>
      <c r="D909" s="680"/>
      <c r="E909" s="219"/>
      <c r="F909" s="416"/>
      <c r="G909" s="1251"/>
      <c r="H909" s="676"/>
      <c r="I909" s="681">
        <f t="shared" si="2336"/>
        <v>0</v>
      </c>
      <c r="J909" s="1386"/>
      <c r="K909" s="1386"/>
      <c r="L909" s="438"/>
      <c r="M909" s="1302"/>
      <c r="N909" s="504"/>
      <c r="O909" s="682">
        <f t="shared" si="2338"/>
        <v>0</v>
      </c>
      <c r="P909" s="431"/>
      <c r="Q909" s="514"/>
      <c r="R909" s="515"/>
      <c r="S909" s="515"/>
      <c r="T909" s="562">
        <f t="shared" si="2334"/>
        <v>0</v>
      </c>
      <c r="U909" s="418">
        <f t="shared" si="2335"/>
        <v>0</v>
      </c>
      <c r="V909" s="517">
        <f t="shared" si="2337"/>
        <v>0</v>
      </c>
      <c r="W909" s="1101">
        <f t="shared" si="2339"/>
        <v>0</v>
      </c>
      <c r="X909" s="1102">
        <f t="shared" si="2340"/>
        <v>0</v>
      </c>
      <c r="Y909" s="519"/>
      <c r="Z909" s="220"/>
      <c r="AA909" s="220"/>
      <c r="AB909" s="220"/>
      <c r="AC909" s="220"/>
      <c r="AD909" s="220"/>
      <c r="AE909" s="220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R909" s="24"/>
      <c r="BS909" s="24"/>
      <c r="BT909" s="24"/>
      <c r="BU909" s="24"/>
      <c r="BV909" s="24"/>
      <c r="BW909" s="24"/>
      <c r="BX909" s="24"/>
      <c r="BY909" s="24"/>
      <c r="BZ909" s="24"/>
      <c r="CA909" s="24"/>
      <c r="CB909" s="24"/>
      <c r="CC909" s="24"/>
      <c r="CD909" s="24"/>
      <c r="CE909" s="24"/>
      <c r="CF909" s="24"/>
      <c r="CG909" s="24"/>
      <c r="CH909" s="24"/>
      <c r="CI909" s="24"/>
      <c r="CJ909" s="24"/>
      <c r="CK909" s="24"/>
      <c r="CL909" s="24"/>
      <c r="CM909" s="24"/>
      <c r="CN909" s="24"/>
      <c r="CO909" s="24"/>
      <c r="CP909" s="24"/>
      <c r="CQ909" s="24"/>
      <c r="CR909" s="24"/>
      <c r="CS909" s="24"/>
      <c r="CT909" s="24"/>
      <c r="CU909" s="24"/>
      <c r="CV909" s="24"/>
      <c r="CW909" s="24"/>
      <c r="CX909" s="24"/>
      <c r="CY909" s="24"/>
      <c r="CZ909" s="24"/>
      <c r="DA909" s="24"/>
      <c r="DB909" s="24"/>
      <c r="DC909" s="24"/>
      <c r="DD909" s="24"/>
      <c r="DE909" s="24"/>
      <c r="DF909" s="24"/>
      <c r="DG909" s="24"/>
      <c r="DH909" s="24"/>
      <c r="DI909" s="24"/>
      <c r="DJ909" s="24"/>
      <c r="DK909" s="24"/>
      <c r="DL909" s="24"/>
      <c r="DM909" s="24"/>
      <c r="DN909" s="24"/>
      <c r="DO909" s="24"/>
      <c r="DP909" s="24"/>
    </row>
    <row r="910" spans="1:132" hidden="1" outlineLevel="2">
      <c r="A910" s="55">
        <v>1470753000</v>
      </c>
      <c r="B910" s="509" t="s">
        <v>193</v>
      </c>
      <c r="C910" s="679" t="s">
        <v>64</v>
      </c>
      <c r="D910" s="680"/>
      <c r="E910" s="219"/>
      <c r="F910" s="416"/>
      <c r="G910" s="1251"/>
      <c r="H910" s="676"/>
      <c r="I910" s="681">
        <f t="shared" si="2336"/>
        <v>0</v>
      </c>
      <c r="J910" s="1386"/>
      <c r="K910" s="1386"/>
      <c r="L910" s="438"/>
      <c r="M910" s="1302"/>
      <c r="N910" s="504"/>
      <c r="O910" s="682">
        <f t="shared" si="2338"/>
        <v>0</v>
      </c>
      <c r="P910" s="431"/>
      <c r="Q910" s="514"/>
      <c r="R910" s="515"/>
      <c r="S910" s="515"/>
      <c r="T910" s="562">
        <f t="shared" si="2334"/>
        <v>0</v>
      </c>
      <c r="U910" s="418">
        <f t="shared" si="2335"/>
        <v>0</v>
      </c>
      <c r="V910" s="517">
        <f t="shared" si="2337"/>
        <v>0</v>
      </c>
      <c r="W910" s="1101">
        <f t="shared" si="2339"/>
        <v>0</v>
      </c>
      <c r="X910" s="1102">
        <f t="shared" si="2340"/>
        <v>0</v>
      </c>
      <c r="Y910" s="519"/>
      <c r="Z910" s="220"/>
      <c r="AA910" s="220"/>
      <c r="AB910" s="220"/>
      <c r="AC910" s="220"/>
      <c r="AD910" s="220"/>
      <c r="AE910" s="220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R910" s="24"/>
      <c r="BS910" s="24"/>
      <c r="BT910" s="24"/>
      <c r="BU910" s="24"/>
      <c r="BV910" s="24"/>
      <c r="BW910" s="24"/>
      <c r="BX910" s="24"/>
      <c r="BY910" s="24"/>
      <c r="BZ910" s="24"/>
      <c r="CA910" s="24"/>
      <c r="CB910" s="24"/>
      <c r="CC910" s="24"/>
      <c r="CD910" s="24"/>
      <c r="CE910" s="24"/>
      <c r="CF910" s="24"/>
      <c r="CG910" s="24"/>
      <c r="CH910" s="24"/>
      <c r="CI910" s="24"/>
      <c r="CJ910" s="24"/>
      <c r="CK910" s="24"/>
      <c r="CL910" s="24"/>
      <c r="CM910" s="24"/>
      <c r="CN910" s="24"/>
      <c r="CO910" s="24"/>
      <c r="CP910" s="24"/>
      <c r="CQ910" s="24"/>
      <c r="CR910" s="24"/>
      <c r="CS910" s="24"/>
      <c r="CT910" s="24"/>
      <c r="CU910" s="24"/>
      <c r="CV910" s="24"/>
      <c r="CW910" s="24"/>
      <c r="CX910" s="24"/>
      <c r="CY910" s="24"/>
      <c r="CZ910" s="24"/>
      <c r="DA910" s="24"/>
      <c r="DB910" s="24"/>
      <c r="DC910" s="24"/>
      <c r="DD910" s="24"/>
      <c r="DE910" s="24"/>
      <c r="DF910" s="24"/>
      <c r="DG910" s="24"/>
      <c r="DH910" s="24"/>
      <c r="DI910" s="24"/>
      <c r="DJ910" s="24"/>
      <c r="DK910" s="24"/>
      <c r="DL910" s="24"/>
      <c r="DM910" s="24"/>
      <c r="DN910" s="24"/>
      <c r="DO910" s="24"/>
      <c r="DP910" s="24"/>
    </row>
    <row r="911" spans="1:132" hidden="1" outlineLevel="2">
      <c r="A911" s="55">
        <v>1470753000</v>
      </c>
      <c r="B911" s="509" t="s">
        <v>193</v>
      </c>
      <c r="C911" s="679" t="s">
        <v>64</v>
      </c>
      <c r="D911" s="680"/>
      <c r="E911" s="219"/>
      <c r="F911" s="416"/>
      <c r="G911" s="1251"/>
      <c r="H911" s="676"/>
      <c r="I911" s="681">
        <f t="shared" si="2336"/>
        <v>0</v>
      </c>
      <c r="J911" s="1386"/>
      <c r="K911" s="1386"/>
      <c r="L911" s="438"/>
      <c r="M911" s="1302"/>
      <c r="N911" s="504"/>
      <c r="O911" s="682">
        <f t="shared" si="2338"/>
        <v>0</v>
      </c>
      <c r="P911" s="431"/>
      <c r="Q911" s="514"/>
      <c r="R911" s="515"/>
      <c r="S911" s="515"/>
      <c r="T911" s="562">
        <f t="shared" si="2334"/>
        <v>0</v>
      </c>
      <c r="U911" s="418">
        <f t="shared" si="2335"/>
        <v>0</v>
      </c>
      <c r="V911" s="517">
        <f t="shared" si="2337"/>
        <v>0</v>
      </c>
      <c r="W911" s="1101">
        <f t="shared" si="2339"/>
        <v>0</v>
      </c>
      <c r="X911" s="1102">
        <f t="shared" si="2340"/>
        <v>0</v>
      </c>
      <c r="Y911" s="519"/>
      <c r="Z911" s="220"/>
      <c r="AA911" s="220"/>
      <c r="AB911" s="220"/>
      <c r="AC911" s="220"/>
      <c r="AD911" s="220"/>
      <c r="AE911" s="220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24"/>
      <c r="BU911" s="24"/>
      <c r="BV911" s="24"/>
      <c r="BW911" s="24"/>
      <c r="BX911" s="24"/>
      <c r="BY911" s="24"/>
      <c r="BZ911" s="24"/>
      <c r="CA911" s="24"/>
      <c r="CB911" s="24"/>
      <c r="CC911" s="24"/>
      <c r="CD911" s="24"/>
      <c r="CE911" s="24"/>
      <c r="CF911" s="24"/>
      <c r="CG911" s="24"/>
      <c r="CH911" s="24"/>
      <c r="CI911" s="24"/>
      <c r="CJ911" s="24"/>
      <c r="CK911" s="24"/>
      <c r="CL911" s="24"/>
      <c r="CM911" s="24"/>
      <c r="CN911" s="24"/>
      <c r="CO911" s="24"/>
      <c r="CP911" s="24"/>
      <c r="CQ911" s="24"/>
      <c r="CR911" s="24"/>
      <c r="CS911" s="24"/>
      <c r="CT911" s="24"/>
      <c r="CU911" s="24"/>
      <c r="CV911" s="24"/>
      <c r="CW911" s="24"/>
      <c r="CX911" s="24"/>
      <c r="CY911" s="24"/>
      <c r="CZ911" s="24"/>
      <c r="DA911" s="24"/>
      <c r="DB911" s="24"/>
      <c r="DC911" s="24"/>
      <c r="DD911" s="24"/>
      <c r="DE911" s="24"/>
      <c r="DF911" s="24"/>
      <c r="DG911" s="24"/>
      <c r="DH911" s="24"/>
      <c r="DI911" s="24"/>
      <c r="DJ911" s="24"/>
      <c r="DK911" s="24"/>
      <c r="DL911" s="24"/>
      <c r="DM911" s="24"/>
      <c r="DN911" s="24"/>
      <c r="DO911" s="24"/>
      <c r="DP911" s="24"/>
    </row>
    <row r="912" spans="1:132" hidden="1" outlineLevel="2">
      <c r="A912" s="55">
        <v>1470753000</v>
      </c>
      <c r="B912" s="509" t="s">
        <v>193</v>
      </c>
      <c r="C912" s="679" t="s">
        <v>64</v>
      </c>
      <c r="D912" s="680"/>
      <c r="E912" s="219"/>
      <c r="F912" s="416"/>
      <c r="G912" s="1251"/>
      <c r="H912" s="676"/>
      <c r="I912" s="681">
        <f t="shared" si="2336"/>
        <v>0</v>
      </c>
      <c r="J912" s="1386"/>
      <c r="K912" s="1386"/>
      <c r="L912" s="438"/>
      <c r="M912" s="1302"/>
      <c r="N912" s="504"/>
      <c r="O912" s="682">
        <f t="shared" si="2338"/>
        <v>0</v>
      </c>
      <c r="P912" s="431"/>
      <c r="Q912" s="514"/>
      <c r="R912" s="515"/>
      <c r="S912" s="515"/>
      <c r="T912" s="562">
        <f t="shared" si="2334"/>
        <v>0</v>
      </c>
      <c r="U912" s="418">
        <f t="shared" si="2335"/>
        <v>0</v>
      </c>
      <c r="V912" s="517">
        <f t="shared" si="2337"/>
        <v>0</v>
      </c>
      <c r="W912" s="1101">
        <f t="shared" si="2339"/>
        <v>0</v>
      </c>
      <c r="X912" s="1102">
        <f t="shared" si="2340"/>
        <v>0</v>
      </c>
      <c r="Y912" s="519"/>
      <c r="Z912" s="220"/>
      <c r="AA912" s="220"/>
      <c r="AB912" s="220"/>
      <c r="AC912" s="220"/>
      <c r="AD912" s="220"/>
      <c r="AE912" s="220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R912" s="24"/>
      <c r="BS912" s="24"/>
      <c r="BT912" s="24"/>
      <c r="BU912" s="24"/>
      <c r="BV912" s="24"/>
      <c r="BW912" s="24"/>
      <c r="BX912" s="24"/>
      <c r="BY912" s="24"/>
      <c r="BZ912" s="24"/>
      <c r="CA912" s="24"/>
      <c r="CB912" s="24"/>
      <c r="CC912" s="24"/>
      <c r="CD912" s="24"/>
      <c r="CE912" s="24"/>
      <c r="CF912" s="24"/>
      <c r="CG912" s="24"/>
      <c r="CH912" s="24"/>
      <c r="CI912" s="24"/>
      <c r="CJ912" s="24"/>
      <c r="CK912" s="24"/>
      <c r="CL912" s="24"/>
      <c r="CM912" s="24"/>
      <c r="CN912" s="24"/>
      <c r="CO912" s="24"/>
      <c r="CP912" s="24"/>
      <c r="CQ912" s="24"/>
      <c r="CR912" s="24"/>
      <c r="CS912" s="24"/>
      <c r="CT912" s="24"/>
      <c r="CU912" s="24"/>
      <c r="CV912" s="24"/>
      <c r="CW912" s="24"/>
      <c r="CX912" s="24"/>
      <c r="CY912" s="24"/>
      <c r="CZ912" s="24"/>
      <c r="DA912" s="24"/>
      <c r="DB912" s="24"/>
      <c r="DC912" s="24"/>
      <c r="DD912" s="24"/>
      <c r="DE912" s="24"/>
      <c r="DF912" s="24"/>
      <c r="DG912" s="24"/>
      <c r="DH912" s="24"/>
      <c r="DI912" s="24"/>
      <c r="DJ912" s="24"/>
      <c r="DK912" s="24"/>
      <c r="DL912" s="24"/>
      <c r="DM912" s="24"/>
      <c r="DN912" s="24"/>
      <c r="DO912" s="24"/>
      <c r="DP912" s="24"/>
    </row>
    <row r="913" spans="1:120" hidden="1" outlineLevel="2">
      <c r="A913" s="55">
        <v>1470753000</v>
      </c>
      <c r="B913" s="509" t="s">
        <v>193</v>
      </c>
      <c r="C913" s="679" t="s">
        <v>64</v>
      </c>
      <c r="D913" s="680"/>
      <c r="E913" s="219"/>
      <c r="F913" s="416"/>
      <c r="G913" s="1251"/>
      <c r="H913" s="676"/>
      <c r="I913" s="681">
        <f t="shared" si="2336"/>
        <v>0</v>
      </c>
      <c r="J913" s="1386"/>
      <c r="K913" s="1386"/>
      <c r="L913" s="438"/>
      <c r="M913" s="1302"/>
      <c r="N913" s="504"/>
      <c r="O913" s="682">
        <f t="shared" si="2338"/>
        <v>0</v>
      </c>
      <c r="P913" s="431"/>
      <c r="Q913" s="514"/>
      <c r="R913" s="515"/>
      <c r="S913" s="515"/>
      <c r="T913" s="562">
        <f t="shared" si="2334"/>
        <v>0</v>
      </c>
      <c r="U913" s="418">
        <f t="shared" si="2335"/>
        <v>0</v>
      </c>
      <c r="V913" s="517">
        <f t="shared" si="2337"/>
        <v>0</v>
      </c>
      <c r="W913" s="1101">
        <f t="shared" si="2339"/>
        <v>0</v>
      </c>
      <c r="X913" s="1102">
        <f t="shared" si="2340"/>
        <v>0</v>
      </c>
      <c r="Y913" s="519"/>
      <c r="Z913" s="220"/>
      <c r="AA913" s="220"/>
      <c r="AB913" s="220"/>
      <c r="AC913" s="220"/>
      <c r="AD913" s="220"/>
      <c r="AE913" s="220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R913" s="24"/>
      <c r="BS913" s="24"/>
      <c r="BT913" s="24"/>
      <c r="BU913" s="24"/>
      <c r="BV913" s="24"/>
      <c r="BW913" s="24"/>
      <c r="BX913" s="24"/>
      <c r="BY913" s="24"/>
      <c r="BZ913" s="24"/>
      <c r="CA913" s="24"/>
      <c r="CB913" s="24"/>
      <c r="CC913" s="24"/>
      <c r="CD913" s="24"/>
      <c r="CE913" s="24"/>
      <c r="CF913" s="24"/>
      <c r="CG913" s="24"/>
      <c r="CH913" s="24"/>
      <c r="CI913" s="24"/>
      <c r="CJ913" s="24"/>
      <c r="CK913" s="24"/>
      <c r="CL913" s="24"/>
      <c r="CM913" s="24"/>
      <c r="CN913" s="24"/>
      <c r="CO913" s="24"/>
      <c r="CP913" s="24"/>
      <c r="CQ913" s="24"/>
      <c r="CR913" s="24"/>
      <c r="CS913" s="24"/>
      <c r="CT913" s="24"/>
      <c r="CU913" s="24"/>
      <c r="CV913" s="24"/>
      <c r="CW913" s="24"/>
      <c r="CX913" s="24"/>
      <c r="CY913" s="24"/>
      <c r="CZ913" s="24"/>
      <c r="DA913" s="24"/>
      <c r="DB913" s="24"/>
      <c r="DC913" s="24"/>
      <c r="DD913" s="24"/>
      <c r="DE913" s="24"/>
      <c r="DF913" s="24"/>
      <c r="DG913" s="24"/>
      <c r="DH913" s="24"/>
      <c r="DI913" s="24"/>
      <c r="DJ913" s="24"/>
      <c r="DK913" s="24"/>
      <c r="DL913" s="24"/>
      <c r="DM913" s="24"/>
      <c r="DN913" s="24"/>
      <c r="DO913" s="24"/>
      <c r="DP913" s="24"/>
    </row>
    <row r="914" spans="1:120" hidden="1" outlineLevel="2">
      <c r="A914" s="55">
        <v>1470753000</v>
      </c>
      <c r="B914" s="509" t="s">
        <v>193</v>
      </c>
      <c r="C914" s="679" t="s">
        <v>64</v>
      </c>
      <c r="D914" s="680"/>
      <c r="E914" s="219"/>
      <c r="F914" s="416"/>
      <c r="G914" s="1251"/>
      <c r="H914" s="676"/>
      <c r="I914" s="681">
        <f t="shared" si="2336"/>
        <v>0</v>
      </c>
      <c r="J914" s="1386"/>
      <c r="K914" s="1386"/>
      <c r="L914" s="438"/>
      <c r="M914" s="1302"/>
      <c r="N914" s="504"/>
      <c r="O914" s="682">
        <f t="shared" si="2338"/>
        <v>0</v>
      </c>
      <c r="P914" s="431"/>
      <c r="Q914" s="514"/>
      <c r="R914" s="515"/>
      <c r="S914" s="515"/>
      <c r="T914" s="562">
        <f t="shared" si="2334"/>
        <v>0</v>
      </c>
      <c r="U914" s="418">
        <f t="shared" si="2335"/>
        <v>0</v>
      </c>
      <c r="V914" s="517">
        <f t="shared" si="2337"/>
        <v>0</v>
      </c>
      <c r="W914" s="1101">
        <f t="shared" si="2339"/>
        <v>0</v>
      </c>
      <c r="X914" s="1102">
        <f t="shared" si="2340"/>
        <v>0</v>
      </c>
      <c r="Y914" s="519"/>
      <c r="Z914" s="220"/>
      <c r="AA914" s="220"/>
      <c r="AB914" s="220"/>
      <c r="AC914" s="220"/>
      <c r="AD914" s="220"/>
      <c r="AE914" s="220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  <c r="BQ914" s="24"/>
      <c r="BR914" s="24"/>
      <c r="BS914" s="24"/>
      <c r="BT914" s="24"/>
      <c r="BU914" s="24"/>
      <c r="BV914" s="24"/>
      <c r="BW914" s="24"/>
      <c r="BX914" s="24"/>
      <c r="BY914" s="24"/>
      <c r="BZ914" s="24"/>
      <c r="CA914" s="24"/>
      <c r="CB914" s="24"/>
      <c r="CC914" s="24"/>
      <c r="CD914" s="24"/>
      <c r="CE914" s="24"/>
      <c r="CF914" s="24"/>
      <c r="CG914" s="24"/>
      <c r="CH914" s="24"/>
      <c r="CI914" s="24"/>
      <c r="CJ914" s="24"/>
      <c r="CK914" s="24"/>
      <c r="CL914" s="24"/>
      <c r="CM914" s="24"/>
      <c r="CN914" s="24"/>
      <c r="CO914" s="24"/>
      <c r="CP914" s="24"/>
      <c r="CQ914" s="24"/>
      <c r="CR914" s="24"/>
      <c r="CS914" s="24"/>
      <c r="CT914" s="24"/>
      <c r="CU914" s="24"/>
      <c r="CV914" s="24"/>
      <c r="CW914" s="24"/>
      <c r="CX914" s="24"/>
      <c r="CY914" s="24"/>
      <c r="CZ914" s="24"/>
      <c r="DA914" s="24"/>
      <c r="DB914" s="24"/>
      <c r="DC914" s="24"/>
      <c r="DD914" s="24"/>
      <c r="DE914" s="24"/>
      <c r="DF914" s="24"/>
      <c r="DG914" s="24"/>
      <c r="DH914" s="24"/>
      <c r="DI914" s="24"/>
      <c r="DJ914" s="24"/>
      <c r="DK914" s="24"/>
      <c r="DL914" s="24"/>
      <c r="DM914" s="24"/>
      <c r="DN914" s="24"/>
      <c r="DO914" s="24"/>
      <c r="DP914" s="24"/>
    </row>
    <row r="915" spans="1:120" hidden="1" outlineLevel="2">
      <c r="A915" s="55">
        <v>1470753000</v>
      </c>
      <c r="B915" s="509" t="s">
        <v>193</v>
      </c>
      <c r="C915" s="679" t="s">
        <v>64</v>
      </c>
      <c r="D915" s="680"/>
      <c r="E915" s="219"/>
      <c r="F915" s="416"/>
      <c r="G915" s="1251"/>
      <c r="H915" s="676"/>
      <c r="I915" s="681">
        <f t="shared" si="2336"/>
        <v>0</v>
      </c>
      <c r="J915" s="1386"/>
      <c r="K915" s="1386"/>
      <c r="L915" s="438"/>
      <c r="M915" s="1302"/>
      <c r="N915" s="504"/>
      <c r="O915" s="682">
        <f t="shared" si="2338"/>
        <v>0</v>
      </c>
      <c r="P915" s="431"/>
      <c r="Q915" s="514"/>
      <c r="R915" s="515"/>
      <c r="S915" s="515"/>
      <c r="T915" s="562">
        <f t="shared" si="2334"/>
        <v>0</v>
      </c>
      <c r="U915" s="418">
        <f t="shared" si="2335"/>
        <v>0</v>
      </c>
      <c r="V915" s="517">
        <f t="shared" si="2337"/>
        <v>0</v>
      </c>
      <c r="W915" s="1101">
        <f t="shared" si="2339"/>
        <v>0</v>
      </c>
      <c r="X915" s="1102">
        <f t="shared" si="2340"/>
        <v>0</v>
      </c>
      <c r="Y915" s="519"/>
      <c r="Z915" s="220"/>
      <c r="AA915" s="220"/>
      <c r="AB915" s="220"/>
      <c r="AC915" s="220"/>
      <c r="AD915" s="220"/>
      <c r="AE915" s="220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  <c r="BQ915" s="24"/>
      <c r="BR915" s="24"/>
      <c r="BS915" s="24"/>
      <c r="BT915" s="24"/>
      <c r="BU915" s="24"/>
      <c r="BV915" s="24"/>
      <c r="BW915" s="24"/>
      <c r="BX915" s="24"/>
      <c r="BY915" s="24"/>
      <c r="BZ915" s="24"/>
      <c r="CA915" s="24"/>
      <c r="CB915" s="24"/>
      <c r="CC915" s="24"/>
      <c r="CD915" s="24"/>
      <c r="CE915" s="24"/>
      <c r="CF915" s="24"/>
      <c r="CG915" s="24"/>
      <c r="CH915" s="24"/>
      <c r="CI915" s="24"/>
      <c r="CJ915" s="24"/>
      <c r="CK915" s="24"/>
      <c r="CL915" s="24"/>
      <c r="CM915" s="24"/>
      <c r="CN915" s="24"/>
      <c r="CO915" s="24"/>
      <c r="CP915" s="24"/>
      <c r="CQ915" s="24"/>
      <c r="CR915" s="24"/>
      <c r="CS915" s="24"/>
      <c r="CT915" s="24"/>
      <c r="CU915" s="24"/>
      <c r="CV915" s="24"/>
      <c r="CW915" s="24"/>
      <c r="CX915" s="24"/>
      <c r="CY915" s="24"/>
      <c r="CZ915" s="24"/>
      <c r="DA915" s="24"/>
      <c r="DB915" s="24"/>
      <c r="DC915" s="24"/>
      <c r="DD915" s="24"/>
      <c r="DE915" s="24"/>
      <c r="DF915" s="24"/>
      <c r="DG915" s="24"/>
      <c r="DH915" s="24"/>
      <c r="DI915" s="24"/>
      <c r="DJ915" s="24"/>
      <c r="DK915" s="24"/>
      <c r="DL915" s="24"/>
      <c r="DM915" s="24"/>
      <c r="DN915" s="24"/>
      <c r="DO915" s="24"/>
      <c r="DP915" s="24"/>
    </row>
    <row r="916" spans="1:120" hidden="1" outlineLevel="2">
      <c r="A916" s="55">
        <v>1470753000</v>
      </c>
      <c r="B916" s="509" t="s">
        <v>193</v>
      </c>
      <c r="C916" s="679" t="s">
        <v>64</v>
      </c>
      <c r="D916" s="680"/>
      <c r="E916" s="219"/>
      <c r="F916" s="416"/>
      <c r="G916" s="1251"/>
      <c r="H916" s="676"/>
      <c r="I916" s="681">
        <f t="shared" si="2336"/>
        <v>0</v>
      </c>
      <c r="J916" s="1386"/>
      <c r="K916" s="1386"/>
      <c r="L916" s="438"/>
      <c r="M916" s="1302"/>
      <c r="N916" s="504"/>
      <c r="O916" s="682">
        <f t="shared" si="2338"/>
        <v>0</v>
      </c>
      <c r="P916" s="431"/>
      <c r="Q916" s="514"/>
      <c r="R916" s="515"/>
      <c r="S916" s="515"/>
      <c r="T916" s="562">
        <f t="shared" si="2334"/>
        <v>0</v>
      </c>
      <c r="U916" s="418">
        <f t="shared" si="2335"/>
        <v>0</v>
      </c>
      <c r="V916" s="517">
        <f t="shared" si="2337"/>
        <v>0</v>
      </c>
      <c r="W916" s="1101">
        <f t="shared" si="2339"/>
        <v>0</v>
      </c>
      <c r="X916" s="1102">
        <f t="shared" si="2340"/>
        <v>0</v>
      </c>
      <c r="Y916" s="519"/>
      <c r="Z916" s="220"/>
      <c r="AA916" s="220"/>
      <c r="AB916" s="220"/>
      <c r="AC916" s="220"/>
      <c r="AD916" s="220"/>
      <c r="AE916" s="220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R916" s="24"/>
      <c r="BS916" s="24"/>
      <c r="BT916" s="24"/>
      <c r="BU916" s="24"/>
      <c r="BV916" s="24"/>
      <c r="BW916" s="24"/>
      <c r="BX916" s="24"/>
      <c r="BY916" s="24"/>
      <c r="BZ916" s="24"/>
      <c r="CA916" s="24"/>
      <c r="CB916" s="24"/>
      <c r="CC916" s="24"/>
      <c r="CD916" s="24"/>
      <c r="CE916" s="24"/>
      <c r="CF916" s="24"/>
      <c r="CG916" s="24"/>
      <c r="CH916" s="24"/>
      <c r="CI916" s="24"/>
      <c r="CJ916" s="24"/>
      <c r="CK916" s="24"/>
      <c r="CL916" s="24"/>
      <c r="CM916" s="24"/>
      <c r="CN916" s="24"/>
      <c r="CO916" s="24"/>
      <c r="CP916" s="24"/>
      <c r="CQ916" s="24"/>
      <c r="CR916" s="24"/>
      <c r="CS916" s="24"/>
      <c r="CT916" s="24"/>
      <c r="CU916" s="24"/>
      <c r="CV916" s="24"/>
      <c r="CW916" s="24"/>
      <c r="CX916" s="24"/>
      <c r="CY916" s="24"/>
      <c r="CZ916" s="24"/>
      <c r="DA916" s="24"/>
      <c r="DB916" s="24"/>
      <c r="DC916" s="24"/>
      <c r="DD916" s="24"/>
      <c r="DE916" s="24"/>
      <c r="DF916" s="24"/>
      <c r="DG916" s="24"/>
      <c r="DH916" s="24"/>
      <c r="DI916" s="24"/>
      <c r="DJ916" s="24"/>
      <c r="DK916" s="24"/>
      <c r="DL916" s="24"/>
      <c r="DM916" s="24"/>
      <c r="DN916" s="24"/>
      <c r="DO916" s="24"/>
      <c r="DP916" s="24"/>
    </row>
    <row r="917" spans="1:120" outlineLevel="1" collapsed="1">
      <c r="A917" s="55"/>
      <c r="B917" s="509"/>
      <c r="C917" s="679"/>
      <c r="D917" s="680"/>
      <c r="E917" s="219"/>
      <c r="F917" s="416"/>
      <c r="G917" s="1251"/>
      <c r="H917" s="676"/>
      <c r="I917" s="681"/>
      <c r="J917" s="1386"/>
      <c r="K917" s="1386"/>
      <c r="L917" s="438"/>
      <c r="M917" s="1302"/>
      <c r="N917" s="504"/>
      <c r="O917" s="682"/>
      <c r="P917" s="431"/>
      <c r="Q917" s="514"/>
      <c r="R917" s="515"/>
      <c r="S917" s="515"/>
      <c r="T917" s="562">
        <f t="shared" si="2334"/>
        <v>0</v>
      </c>
      <c r="U917" s="418"/>
      <c r="V917" s="517"/>
      <c r="W917" s="976"/>
      <c r="X917" s="975"/>
      <c r="Y917" s="519"/>
      <c r="Z917" s="220"/>
      <c r="AA917" s="220"/>
      <c r="AB917" s="220"/>
      <c r="AC917" s="220"/>
      <c r="AD917" s="220"/>
      <c r="AE917" s="220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R917" s="24"/>
      <c r="BS917" s="24"/>
      <c r="BT917" s="24"/>
      <c r="BU917" s="24"/>
      <c r="BV917" s="24"/>
      <c r="BW917" s="24"/>
      <c r="BX917" s="24"/>
      <c r="BY917" s="24"/>
      <c r="BZ917" s="24"/>
      <c r="CA917" s="24"/>
      <c r="CB917" s="24"/>
      <c r="CC917" s="24"/>
      <c r="CD917" s="24"/>
      <c r="CE917" s="24"/>
      <c r="CF917" s="24"/>
      <c r="CG917" s="24"/>
      <c r="CH917" s="24"/>
      <c r="CI917" s="24"/>
      <c r="CJ917" s="24"/>
      <c r="CK917" s="24"/>
      <c r="CL917" s="24"/>
      <c r="CM917" s="24"/>
      <c r="CN917" s="24"/>
      <c r="CO917" s="24"/>
      <c r="CP917" s="24"/>
      <c r="CQ917" s="24"/>
      <c r="CR917" s="24"/>
      <c r="CS917" s="24"/>
      <c r="CT917" s="24"/>
      <c r="CU917" s="24"/>
      <c r="CV917" s="24"/>
      <c r="CW917" s="24"/>
      <c r="CX917" s="24"/>
      <c r="CY917" s="24"/>
      <c r="CZ917" s="24"/>
      <c r="DA917" s="24"/>
      <c r="DB917" s="24"/>
      <c r="DC917" s="24"/>
      <c r="DD917" s="24"/>
      <c r="DE917" s="24"/>
      <c r="DF917" s="24"/>
      <c r="DG917" s="24"/>
      <c r="DH917" s="24"/>
      <c r="DI917" s="24"/>
      <c r="DJ917" s="24"/>
      <c r="DK917" s="24"/>
      <c r="DL917" s="24"/>
      <c r="DM917" s="24"/>
      <c r="DN917" s="24"/>
      <c r="DO917" s="24"/>
      <c r="DP917" s="24"/>
    </row>
    <row r="918" spans="1:120" s="2495" customFormat="1" outlineLevel="1">
      <c r="A918" s="2527">
        <v>1470753000</v>
      </c>
      <c r="B918" s="2528" t="s">
        <v>2233</v>
      </c>
      <c r="C918" s="2529" t="s">
        <v>64</v>
      </c>
      <c r="D918" s="2530"/>
      <c r="E918" s="2531"/>
      <c r="F918" s="2532"/>
      <c r="G918" s="2533"/>
      <c r="H918" s="2534"/>
      <c r="I918" s="2535">
        <f>10711308423-10865990712+1411978869+364102113002+5792157628+6864244018+5817150003-23014354561</f>
        <v>360818606670</v>
      </c>
      <c r="J918" s="2536"/>
      <c r="K918" s="2536"/>
      <c r="L918" s="2537">
        <v>0</v>
      </c>
      <c r="M918" s="2538"/>
      <c r="N918" s="2539"/>
      <c r="O918" s="2535">
        <f>766542366+1527470260+745733293+3100617192</f>
        <v>6140363111</v>
      </c>
      <c r="P918" s="2540"/>
      <c r="Q918" s="2541"/>
      <c r="R918" s="2542"/>
      <c r="S918" s="2542"/>
      <c r="T918" s="2543">
        <f t="shared" si="2334"/>
        <v>0</v>
      </c>
      <c r="U918" s="2537">
        <f>+L918+P918+F918</f>
        <v>0</v>
      </c>
      <c r="V918" s="2535">
        <f>I918+O918+T918</f>
        <v>366958969781</v>
      </c>
      <c r="W918" s="225"/>
      <c r="X918" s="739"/>
      <c r="Y918" s="740"/>
      <c r="Z918" s="115"/>
      <c r="AA918" s="115"/>
      <c r="AB918" s="115"/>
      <c r="AC918" s="115"/>
      <c r="AD918" s="115"/>
      <c r="AE918" s="115"/>
      <c r="AF918" s="226"/>
      <c r="AG918" s="226"/>
      <c r="AH918" s="226"/>
      <c r="AI918" s="226"/>
      <c r="AJ918" s="226"/>
      <c r="AK918" s="226"/>
      <c r="AL918" s="226"/>
      <c r="AM918" s="226"/>
      <c r="AN918" s="226"/>
      <c r="AO918" s="226"/>
      <c r="AP918" s="226"/>
      <c r="AQ918" s="226"/>
      <c r="AR918" s="226"/>
      <c r="AS918" s="226"/>
      <c r="AT918" s="226"/>
      <c r="AU918" s="226"/>
      <c r="AV918" s="226"/>
      <c r="AW918" s="226"/>
      <c r="AX918" s="226"/>
      <c r="AY918" s="226"/>
      <c r="AZ918" s="226"/>
      <c r="BA918" s="226"/>
      <c r="BB918" s="226"/>
      <c r="BC918" s="226"/>
      <c r="BD918" s="226"/>
      <c r="BE918" s="226"/>
      <c r="BF918" s="226"/>
      <c r="BG918" s="226"/>
      <c r="BH918" s="226"/>
      <c r="BI918" s="226"/>
      <c r="BJ918" s="226"/>
      <c r="BK918" s="226"/>
      <c r="BL918" s="226"/>
      <c r="BM918" s="226"/>
      <c r="BN918" s="226"/>
      <c r="BO918" s="226"/>
      <c r="BP918" s="226"/>
      <c r="BQ918" s="226"/>
      <c r="BR918" s="226"/>
      <c r="BS918" s="226"/>
      <c r="BT918" s="226"/>
      <c r="BU918" s="226"/>
      <c r="BV918" s="226"/>
      <c r="BW918" s="226"/>
      <c r="BX918" s="226"/>
      <c r="BY918" s="226"/>
      <c r="BZ918" s="226"/>
      <c r="CA918" s="226"/>
      <c r="CB918" s="226"/>
      <c r="CC918" s="226"/>
      <c r="CD918" s="226"/>
      <c r="CE918" s="226"/>
      <c r="CF918" s="226"/>
      <c r="CG918" s="226"/>
      <c r="CH918" s="226"/>
      <c r="CI918" s="226"/>
      <c r="CJ918" s="226"/>
      <c r="CK918" s="226"/>
      <c r="CL918" s="226"/>
      <c r="CM918" s="226"/>
      <c r="CN918" s="226"/>
      <c r="CO918" s="226"/>
      <c r="CP918" s="226"/>
      <c r="CQ918" s="226"/>
      <c r="CR918" s="226"/>
      <c r="CS918" s="226"/>
      <c r="CT918" s="226"/>
      <c r="CU918" s="226"/>
      <c r="CV918" s="226"/>
      <c r="CW918" s="226"/>
      <c r="CX918" s="226"/>
      <c r="CY918" s="226"/>
      <c r="CZ918" s="226"/>
      <c r="DA918" s="226"/>
      <c r="DB918" s="226"/>
      <c r="DC918" s="226"/>
      <c r="DD918" s="226"/>
      <c r="DE918" s="226"/>
      <c r="DF918" s="226"/>
      <c r="DG918" s="226"/>
      <c r="DH918" s="226"/>
      <c r="DI918" s="226"/>
      <c r="DJ918" s="226"/>
      <c r="DK918" s="226"/>
      <c r="DL918" s="226"/>
      <c r="DM918" s="226"/>
      <c r="DN918" s="226"/>
      <c r="DO918" s="226"/>
      <c r="DP918" s="226"/>
    </row>
    <row r="919" spans="1:120" s="2495" customFormat="1" outlineLevel="1">
      <c r="A919" s="2527">
        <v>1470753099</v>
      </c>
      <c r="B919" s="2528" t="s">
        <v>2233</v>
      </c>
      <c r="C919" s="2529" t="s">
        <v>64</v>
      </c>
      <c r="D919" s="2530"/>
      <c r="E919" s="2531"/>
      <c r="F919" s="2532"/>
      <c r="G919" s="2533"/>
      <c r="H919" s="2534"/>
      <c r="I919" s="2535">
        <f>10865990712+22456380804+22634073724+27520817611+27746113933+26851078001-109503954785</f>
        <v>28570500000</v>
      </c>
      <c r="J919" s="2536"/>
      <c r="K919" s="2536"/>
      <c r="L919" s="2537">
        <v>0</v>
      </c>
      <c r="M919" s="2538"/>
      <c r="N919" s="2539"/>
      <c r="O919" s="2535">
        <f>32803166667+29628666666+32803166667+31745000000</f>
        <v>126980000000</v>
      </c>
      <c r="P919" s="2540"/>
      <c r="Q919" s="2541"/>
      <c r="R919" s="2542"/>
      <c r="S919" s="2542"/>
      <c r="T919" s="2543">
        <f t="shared" ref="T919" si="2341">+P919*S919</f>
        <v>0</v>
      </c>
      <c r="U919" s="2537">
        <f>+L919+P919+F919</f>
        <v>0</v>
      </c>
      <c r="V919" s="2535">
        <f>I919+O919+T919</f>
        <v>155550500000</v>
      </c>
      <c r="W919" s="225"/>
      <c r="X919" s="739"/>
      <c r="Y919" s="740"/>
      <c r="Z919" s="115"/>
      <c r="AA919" s="115"/>
      <c r="AB919" s="115"/>
      <c r="AC919" s="115"/>
      <c r="AD919" s="115"/>
      <c r="AE919" s="115"/>
      <c r="AF919" s="226"/>
      <c r="AG919" s="226"/>
      <c r="AH919" s="226"/>
      <c r="AI919" s="226"/>
      <c r="AJ919" s="226"/>
      <c r="AK919" s="226"/>
      <c r="AL919" s="226"/>
      <c r="AM919" s="226"/>
      <c r="AN919" s="226"/>
      <c r="AO919" s="226"/>
      <c r="AP919" s="226"/>
      <c r="AQ919" s="226"/>
      <c r="AR919" s="226"/>
      <c r="AS919" s="226"/>
      <c r="AT919" s="226"/>
      <c r="AU919" s="226"/>
      <c r="AV919" s="226"/>
      <c r="AW919" s="226"/>
      <c r="AX919" s="226"/>
      <c r="AY919" s="226"/>
      <c r="AZ919" s="226"/>
      <c r="BA919" s="226"/>
      <c r="BB919" s="226"/>
      <c r="BC919" s="226"/>
      <c r="BD919" s="226"/>
      <c r="BE919" s="226"/>
      <c r="BF919" s="226"/>
      <c r="BG919" s="226"/>
      <c r="BH919" s="226"/>
      <c r="BI919" s="226"/>
      <c r="BJ919" s="226"/>
      <c r="BK919" s="226"/>
      <c r="BL919" s="226"/>
      <c r="BM919" s="226"/>
      <c r="BN919" s="226"/>
      <c r="BO919" s="226"/>
      <c r="BP919" s="226"/>
      <c r="BQ919" s="226"/>
      <c r="BR919" s="226"/>
      <c r="BS919" s="226"/>
      <c r="BT919" s="226"/>
      <c r="BU919" s="226"/>
      <c r="BV919" s="226"/>
      <c r="BW919" s="226"/>
      <c r="BX919" s="226"/>
      <c r="BY919" s="226"/>
      <c r="BZ919" s="226"/>
      <c r="CA919" s="226"/>
      <c r="CB919" s="226"/>
      <c r="CC919" s="226"/>
      <c r="CD919" s="226"/>
      <c r="CE919" s="226"/>
      <c r="CF919" s="226"/>
      <c r="CG919" s="226"/>
      <c r="CH919" s="226"/>
      <c r="CI919" s="226"/>
      <c r="CJ919" s="226"/>
      <c r="CK919" s="226"/>
      <c r="CL919" s="226"/>
      <c r="CM919" s="226"/>
      <c r="CN919" s="226"/>
      <c r="CO919" s="226"/>
      <c r="CP919" s="226"/>
      <c r="CQ919" s="226"/>
      <c r="CR919" s="226"/>
      <c r="CS919" s="226"/>
      <c r="CT919" s="226"/>
      <c r="CU919" s="226"/>
      <c r="CV919" s="226"/>
      <c r="CW919" s="226"/>
      <c r="CX919" s="226"/>
      <c r="CY919" s="226"/>
      <c r="CZ919" s="226"/>
      <c r="DA919" s="226"/>
      <c r="DB919" s="226"/>
      <c r="DC919" s="226"/>
      <c r="DD919" s="226"/>
      <c r="DE919" s="226"/>
      <c r="DF919" s="226"/>
      <c r="DG919" s="226"/>
      <c r="DH919" s="226"/>
      <c r="DI919" s="226"/>
      <c r="DJ919" s="226"/>
      <c r="DK919" s="226"/>
      <c r="DL919" s="226"/>
      <c r="DM919" s="226"/>
      <c r="DN919" s="226"/>
      <c r="DO919" s="226"/>
      <c r="DP919" s="226"/>
    </row>
    <row r="920" spans="1:120" s="235" customFormat="1" outlineLevel="1">
      <c r="A920" s="228"/>
      <c r="B920" s="781"/>
      <c r="C920" s="782"/>
      <c r="D920" s="783"/>
      <c r="E920" s="229"/>
      <c r="F920" s="230"/>
      <c r="G920" s="1274"/>
      <c r="H920" s="784"/>
      <c r="I920" s="785"/>
      <c r="J920" s="1390"/>
      <c r="K920" s="1390"/>
      <c r="L920" s="231"/>
      <c r="M920" s="1307"/>
      <c r="N920" s="786"/>
      <c r="O920" s="787"/>
      <c r="P920" s="232"/>
      <c r="Q920" s="1348"/>
      <c r="R920" s="788"/>
      <c r="S920" s="788"/>
      <c r="T920" s="789"/>
      <c r="U920" s="233"/>
      <c r="V920" s="790"/>
      <c r="W920" s="234"/>
      <c r="X920" s="791"/>
      <c r="Y920" s="792"/>
      <c r="Z920" s="220"/>
      <c r="AA920" s="220"/>
      <c r="AB920" s="220"/>
      <c r="AC920" s="220"/>
      <c r="AD920" s="220"/>
      <c r="AE920" s="220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</row>
    <row r="921" spans="1:120" s="235" customFormat="1" ht="15.75" outlineLevel="1">
      <c r="A921" s="236">
        <v>1470754000</v>
      </c>
      <c r="B921" s="793" t="s">
        <v>244</v>
      </c>
      <c r="C921" s="794" t="s">
        <v>64</v>
      </c>
      <c r="D921" s="795"/>
      <c r="E921" s="237"/>
      <c r="F921" s="238"/>
      <c r="G921" s="1276"/>
      <c r="H921" s="796"/>
      <c r="I921" s="797">
        <f t="shared" ref="I921:I929" si="2342">+F921*H921</f>
        <v>0</v>
      </c>
      <c r="J921" s="1369"/>
      <c r="K921" s="1369"/>
      <c r="L921" s="239"/>
      <c r="M921" s="1310"/>
      <c r="N921" s="796"/>
      <c r="O921" s="797">
        <f t="shared" ref="O921:O929" si="2343">+L921*N921</f>
        <v>0</v>
      </c>
      <c r="P921" s="238"/>
      <c r="Q921" s="1276"/>
      <c r="R921" s="796"/>
      <c r="S921" s="796"/>
      <c r="T921" s="797">
        <f t="shared" ref="T921:T929" si="2344">+P921*S921</f>
        <v>0</v>
      </c>
      <c r="U921" s="238">
        <f t="shared" ref="U921:U929" si="2345">+L921+P921+F921</f>
        <v>0</v>
      </c>
      <c r="V921" s="797">
        <f t="shared" ref="V921:V929" si="2346">+P921*R921+L921*N921+F921*H921</f>
        <v>0</v>
      </c>
      <c r="W921" s="240">
        <f t="shared" ref="W921:W941" si="2347">IF((-P921*R921)-(-P921*S921)&gt;0,(-P921*R921)-(-P921*S921),0)</f>
        <v>0</v>
      </c>
      <c r="X921" s="798">
        <f t="shared" ref="X921:X941" si="2348">IF((-P921*R921)-(-P921*S921)&lt;0,(-P921*R921)-(-P921*S921),0)</f>
        <v>0</v>
      </c>
      <c r="Y921" s="795"/>
      <c r="Z921" s="220"/>
      <c r="AA921" s="220"/>
      <c r="AB921" s="220"/>
      <c r="AC921" s="220"/>
      <c r="AD921" s="220"/>
      <c r="AE921" s="220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</row>
    <row r="922" spans="1:120" s="235" customFormat="1" ht="16.5" outlineLevel="1" thickBot="1">
      <c r="A922" s="236">
        <v>1470754000</v>
      </c>
      <c r="B922" s="793"/>
      <c r="C922" s="794" t="s">
        <v>64</v>
      </c>
      <c r="D922" s="795"/>
      <c r="E922" s="237"/>
      <c r="F922" s="238"/>
      <c r="G922" s="1276"/>
      <c r="H922" s="796"/>
      <c r="I922" s="797">
        <f t="shared" si="2342"/>
        <v>0</v>
      </c>
      <c r="J922" s="1369"/>
      <c r="K922" s="1369"/>
      <c r="L922" s="239"/>
      <c r="M922" s="1310"/>
      <c r="N922" s="796"/>
      <c r="O922" s="797">
        <f t="shared" si="2343"/>
        <v>0</v>
      </c>
      <c r="P922" s="238"/>
      <c r="Q922" s="1276"/>
      <c r="R922" s="796"/>
      <c r="S922" s="796"/>
      <c r="T922" s="797">
        <f t="shared" si="2344"/>
        <v>0</v>
      </c>
      <c r="U922" s="238">
        <f t="shared" si="2345"/>
        <v>0</v>
      </c>
      <c r="V922" s="797">
        <f t="shared" si="2346"/>
        <v>0</v>
      </c>
      <c r="W922" s="240">
        <f t="shared" si="2347"/>
        <v>0</v>
      </c>
      <c r="X922" s="798">
        <f t="shared" si="2348"/>
        <v>0</v>
      </c>
      <c r="Y922" s="795"/>
      <c r="Z922" s="220"/>
      <c r="AA922" s="220"/>
      <c r="AB922" s="220"/>
      <c r="AC922" s="220"/>
      <c r="AD922" s="220"/>
      <c r="AE922" s="220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</row>
    <row r="923" spans="1:120" s="235" customFormat="1" ht="15.75" hidden="1" outlineLevel="2" thickBot="1">
      <c r="A923" s="228"/>
      <c r="B923" s="781"/>
      <c r="C923" s="782"/>
      <c r="D923" s="783"/>
      <c r="E923" s="229"/>
      <c r="F923" s="230"/>
      <c r="G923" s="1274"/>
      <c r="H923" s="784"/>
      <c r="I923" s="785">
        <f t="shared" si="2342"/>
        <v>0</v>
      </c>
      <c r="J923" s="1390"/>
      <c r="K923" s="1390"/>
      <c r="L923" s="231"/>
      <c r="M923" s="1307"/>
      <c r="N923" s="786"/>
      <c r="O923" s="787">
        <f t="shared" si="2343"/>
        <v>0</v>
      </c>
      <c r="P923" s="232"/>
      <c r="Q923" s="1348"/>
      <c r="R923" s="788"/>
      <c r="S923" s="788"/>
      <c r="T923" s="789">
        <f t="shared" si="2344"/>
        <v>0</v>
      </c>
      <c r="U923" s="418">
        <f t="shared" si="2345"/>
        <v>0</v>
      </c>
      <c r="V923" s="517">
        <f t="shared" si="2346"/>
        <v>0</v>
      </c>
      <c r="W923" s="976">
        <f t="shared" si="2347"/>
        <v>0</v>
      </c>
      <c r="X923" s="975">
        <f t="shared" si="2348"/>
        <v>0</v>
      </c>
      <c r="Y923" s="792"/>
      <c r="Z923" s="220"/>
      <c r="AA923" s="220"/>
      <c r="AB923" s="220"/>
      <c r="AC923" s="220"/>
      <c r="AD923" s="220"/>
      <c r="AE923" s="220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</row>
    <row r="924" spans="1:120" s="235" customFormat="1" ht="15.75" hidden="1" outlineLevel="2" thickBot="1">
      <c r="A924" s="228">
        <v>1470754000</v>
      </c>
      <c r="B924" s="781" t="s">
        <v>92</v>
      </c>
      <c r="C924" s="782" t="s">
        <v>64</v>
      </c>
      <c r="D924" s="783"/>
      <c r="E924" s="229">
        <v>43496</v>
      </c>
      <c r="F924" s="230"/>
      <c r="G924" s="1274"/>
      <c r="H924" s="784"/>
      <c r="I924" s="785">
        <f t="shared" si="2342"/>
        <v>0</v>
      </c>
      <c r="J924" s="1390"/>
      <c r="K924" s="1390"/>
      <c r="L924" s="241"/>
      <c r="M924" s="1311"/>
      <c r="N924" s="786"/>
      <c r="O924" s="787">
        <f t="shared" si="2343"/>
        <v>0</v>
      </c>
      <c r="P924" s="232"/>
      <c r="Q924" s="1348"/>
      <c r="R924" s="788"/>
      <c r="S924" s="788"/>
      <c r="T924" s="789">
        <f t="shared" si="2344"/>
        <v>0</v>
      </c>
      <c r="U924" s="418">
        <f t="shared" si="2345"/>
        <v>0</v>
      </c>
      <c r="V924" s="517">
        <f t="shared" si="2346"/>
        <v>0</v>
      </c>
      <c r="W924" s="976">
        <f t="shared" si="2347"/>
        <v>0</v>
      </c>
      <c r="X924" s="975">
        <f t="shared" si="2348"/>
        <v>0</v>
      </c>
      <c r="Y924" s="792"/>
      <c r="Z924" s="220"/>
      <c r="AA924" s="220"/>
      <c r="AB924" s="220"/>
      <c r="AC924" s="220"/>
      <c r="AD924" s="220"/>
      <c r="AE924" s="220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</row>
    <row r="925" spans="1:120" s="235" customFormat="1" ht="15.75" hidden="1" outlineLevel="2" thickBot="1">
      <c r="A925" s="228">
        <v>1470754000</v>
      </c>
      <c r="B925" s="781" t="s">
        <v>93</v>
      </c>
      <c r="C925" s="782" t="s">
        <v>64</v>
      </c>
      <c r="D925" s="783"/>
      <c r="E925" s="229">
        <v>43524</v>
      </c>
      <c r="F925" s="230"/>
      <c r="G925" s="1274"/>
      <c r="H925" s="784"/>
      <c r="I925" s="785">
        <f t="shared" si="2342"/>
        <v>0</v>
      </c>
      <c r="J925" s="1390"/>
      <c r="K925" s="1390"/>
      <c r="L925" s="241"/>
      <c r="M925" s="1311"/>
      <c r="N925" s="786"/>
      <c r="O925" s="787">
        <f t="shared" si="2343"/>
        <v>0</v>
      </c>
      <c r="P925" s="232"/>
      <c r="Q925" s="1348"/>
      <c r="R925" s="788"/>
      <c r="S925" s="788"/>
      <c r="T925" s="789">
        <f t="shared" si="2344"/>
        <v>0</v>
      </c>
      <c r="U925" s="418">
        <f t="shared" si="2345"/>
        <v>0</v>
      </c>
      <c r="V925" s="517">
        <f t="shared" si="2346"/>
        <v>0</v>
      </c>
      <c r="W925" s="976">
        <f t="shared" si="2347"/>
        <v>0</v>
      </c>
      <c r="X925" s="975">
        <f t="shared" si="2348"/>
        <v>0</v>
      </c>
      <c r="Y925" s="792"/>
      <c r="Z925" s="220"/>
      <c r="AA925" s="220"/>
      <c r="AB925" s="220"/>
      <c r="AC925" s="220"/>
      <c r="AD925" s="220"/>
      <c r="AE925" s="220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</row>
    <row r="926" spans="1:120" s="235" customFormat="1" ht="15.75" hidden="1" outlineLevel="2" thickBot="1">
      <c r="A926" s="228">
        <v>1470754000</v>
      </c>
      <c r="B926" s="781" t="s">
        <v>94</v>
      </c>
      <c r="C926" s="782" t="s">
        <v>64</v>
      </c>
      <c r="D926" s="783"/>
      <c r="E926" s="229">
        <v>43555</v>
      </c>
      <c r="F926" s="230"/>
      <c r="G926" s="1274"/>
      <c r="H926" s="784"/>
      <c r="I926" s="785">
        <f t="shared" si="2342"/>
        <v>0</v>
      </c>
      <c r="J926" s="1390"/>
      <c r="K926" s="1390"/>
      <c r="L926" s="241"/>
      <c r="M926" s="1311"/>
      <c r="N926" s="786"/>
      <c r="O926" s="787">
        <f t="shared" si="2343"/>
        <v>0</v>
      </c>
      <c r="P926" s="232"/>
      <c r="Q926" s="1348"/>
      <c r="R926" s="788"/>
      <c r="S926" s="788"/>
      <c r="T926" s="789">
        <f t="shared" si="2344"/>
        <v>0</v>
      </c>
      <c r="U926" s="418">
        <f t="shared" si="2345"/>
        <v>0</v>
      </c>
      <c r="V926" s="517">
        <f t="shared" si="2346"/>
        <v>0</v>
      </c>
      <c r="W926" s="976">
        <f t="shared" si="2347"/>
        <v>0</v>
      </c>
      <c r="X926" s="975">
        <f t="shared" si="2348"/>
        <v>0</v>
      </c>
      <c r="Y926" s="792"/>
      <c r="Z926" s="220"/>
      <c r="AA926" s="220"/>
      <c r="AB926" s="220"/>
      <c r="AC926" s="220"/>
      <c r="AD926" s="220"/>
      <c r="AE926" s="220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</row>
    <row r="927" spans="1:120" s="235" customFormat="1" ht="15.75" hidden="1" outlineLevel="2" thickBot="1">
      <c r="A927" s="228">
        <v>1470754000</v>
      </c>
      <c r="B927" s="781" t="s">
        <v>194</v>
      </c>
      <c r="C927" s="782" t="s">
        <v>64</v>
      </c>
      <c r="D927" s="783"/>
      <c r="E927" s="229">
        <v>43585</v>
      </c>
      <c r="F927" s="230"/>
      <c r="G927" s="1274"/>
      <c r="H927" s="784"/>
      <c r="I927" s="785">
        <f t="shared" si="2342"/>
        <v>0</v>
      </c>
      <c r="J927" s="1390"/>
      <c r="K927" s="1390"/>
      <c r="L927" s="241"/>
      <c r="M927" s="1311"/>
      <c r="N927" s="786"/>
      <c r="O927" s="787">
        <f t="shared" si="2343"/>
        <v>0</v>
      </c>
      <c r="P927" s="232"/>
      <c r="Q927" s="1348"/>
      <c r="R927" s="788"/>
      <c r="S927" s="788"/>
      <c r="T927" s="789">
        <f t="shared" si="2344"/>
        <v>0</v>
      </c>
      <c r="U927" s="418">
        <f t="shared" si="2345"/>
        <v>0</v>
      </c>
      <c r="V927" s="517">
        <f t="shared" si="2346"/>
        <v>0</v>
      </c>
      <c r="W927" s="976">
        <f t="shared" si="2347"/>
        <v>0</v>
      </c>
      <c r="X927" s="975">
        <f t="shared" si="2348"/>
        <v>0</v>
      </c>
      <c r="Y927" s="792"/>
      <c r="Z927" s="220"/>
      <c r="AA927" s="220"/>
      <c r="AB927" s="220"/>
      <c r="AC927" s="220"/>
      <c r="AD927" s="220"/>
      <c r="AE927" s="220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</row>
    <row r="928" spans="1:120" s="235" customFormat="1" ht="15.75" hidden="1" outlineLevel="2" thickBot="1">
      <c r="A928" s="228">
        <v>1470754000</v>
      </c>
      <c r="B928" s="781" t="s">
        <v>96</v>
      </c>
      <c r="C928" s="782" t="s">
        <v>64</v>
      </c>
      <c r="D928" s="783"/>
      <c r="E928" s="229">
        <v>43616</v>
      </c>
      <c r="F928" s="230"/>
      <c r="G928" s="1274"/>
      <c r="H928" s="784"/>
      <c r="I928" s="785">
        <f t="shared" si="2342"/>
        <v>0</v>
      </c>
      <c r="J928" s="1390"/>
      <c r="K928" s="1390"/>
      <c r="L928" s="241"/>
      <c r="M928" s="1311"/>
      <c r="N928" s="786"/>
      <c r="O928" s="787">
        <f t="shared" si="2343"/>
        <v>0</v>
      </c>
      <c r="P928" s="232"/>
      <c r="Q928" s="1348"/>
      <c r="R928" s="788"/>
      <c r="S928" s="788"/>
      <c r="T928" s="789">
        <f t="shared" si="2344"/>
        <v>0</v>
      </c>
      <c r="U928" s="418">
        <f t="shared" si="2345"/>
        <v>0</v>
      </c>
      <c r="V928" s="517">
        <f t="shared" si="2346"/>
        <v>0</v>
      </c>
      <c r="W928" s="976">
        <f t="shared" si="2347"/>
        <v>0</v>
      </c>
      <c r="X928" s="975">
        <f t="shared" si="2348"/>
        <v>0</v>
      </c>
      <c r="Y928" s="792"/>
      <c r="Z928" s="220"/>
      <c r="AA928" s="220"/>
      <c r="AB928" s="220"/>
      <c r="AC928" s="220"/>
      <c r="AD928" s="220"/>
      <c r="AE928" s="220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</row>
    <row r="929" spans="1:120" s="235" customFormat="1" ht="15.75" hidden="1" outlineLevel="2" thickBot="1">
      <c r="A929" s="228">
        <v>1470754000</v>
      </c>
      <c r="B929" s="781" t="s">
        <v>218</v>
      </c>
      <c r="C929" s="782" t="s">
        <v>64</v>
      </c>
      <c r="D929" s="783"/>
      <c r="E929" s="229">
        <v>43623</v>
      </c>
      <c r="F929" s="230"/>
      <c r="G929" s="1274"/>
      <c r="H929" s="784"/>
      <c r="I929" s="785">
        <f t="shared" si="2342"/>
        <v>0</v>
      </c>
      <c r="J929" s="1390"/>
      <c r="K929" s="1390"/>
      <c r="L929" s="241"/>
      <c r="M929" s="1311"/>
      <c r="N929" s="786"/>
      <c r="O929" s="787">
        <f t="shared" si="2343"/>
        <v>0</v>
      </c>
      <c r="P929" s="232"/>
      <c r="Q929" s="1348"/>
      <c r="R929" s="788"/>
      <c r="S929" s="788"/>
      <c r="T929" s="789">
        <f t="shared" si="2344"/>
        <v>0</v>
      </c>
      <c r="U929" s="418">
        <f t="shared" si="2345"/>
        <v>0</v>
      </c>
      <c r="V929" s="517">
        <f t="shared" si="2346"/>
        <v>0</v>
      </c>
      <c r="W929" s="976">
        <f t="shared" si="2347"/>
        <v>0</v>
      </c>
      <c r="X929" s="975">
        <f t="shared" si="2348"/>
        <v>0</v>
      </c>
      <c r="Y929" s="792"/>
      <c r="Z929" s="220"/>
      <c r="AA929" s="220"/>
      <c r="AB929" s="220"/>
      <c r="AC929" s="220"/>
      <c r="AD929" s="220"/>
      <c r="AE929" s="220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</row>
    <row r="930" spans="1:120" s="235" customFormat="1" ht="15.75" hidden="1" outlineLevel="2" thickBot="1">
      <c r="A930" s="228"/>
      <c r="B930" s="781"/>
      <c r="C930" s="782"/>
      <c r="D930" s="783"/>
      <c r="E930" s="219"/>
      <c r="F930" s="230"/>
      <c r="G930" s="1274"/>
      <c r="H930" s="784"/>
      <c r="I930" s="785"/>
      <c r="J930" s="1390"/>
      <c r="K930" s="1390"/>
      <c r="L930" s="231"/>
      <c r="M930" s="1307"/>
      <c r="N930" s="786"/>
      <c r="O930" s="787"/>
      <c r="P930" s="232"/>
      <c r="Q930" s="1348"/>
      <c r="R930" s="788"/>
      <c r="S930" s="788"/>
      <c r="T930" s="789"/>
      <c r="U930" s="418"/>
      <c r="V930" s="517"/>
      <c r="W930" s="976">
        <f t="shared" si="2347"/>
        <v>0</v>
      </c>
      <c r="X930" s="975">
        <f t="shared" si="2348"/>
        <v>0</v>
      </c>
      <c r="Y930" s="792"/>
      <c r="Z930" s="220"/>
      <c r="AA930" s="220"/>
      <c r="AB930" s="220"/>
      <c r="AC930" s="220"/>
      <c r="AD930" s="220"/>
      <c r="AE930" s="220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</row>
    <row r="931" spans="1:120" s="235" customFormat="1" ht="15.75" hidden="1" outlineLevel="2" thickBot="1">
      <c r="A931" s="228">
        <v>1470754000</v>
      </c>
      <c r="B931" s="781" t="s">
        <v>195</v>
      </c>
      <c r="C931" s="782" t="s">
        <v>64</v>
      </c>
      <c r="D931" s="783"/>
      <c r="E931" s="219"/>
      <c r="F931" s="230"/>
      <c r="G931" s="1274"/>
      <c r="H931" s="784"/>
      <c r="I931" s="785">
        <f>+F931*H931</f>
        <v>0</v>
      </c>
      <c r="J931" s="1390"/>
      <c r="K931" s="1390"/>
      <c r="L931" s="231"/>
      <c r="M931" s="1307"/>
      <c r="N931" s="786"/>
      <c r="O931" s="787">
        <f t="shared" ref="O931:O941" si="2349">+L931*N931</f>
        <v>0</v>
      </c>
      <c r="P931" s="232"/>
      <c r="Q931" s="1348"/>
      <c r="R931" s="788"/>
      <c r="S931" s="788"/>
      <c r="T931" s="789">
        <f t="shared" ref="T931:T941" si="2350">+P931*S931</f>
        <v>0</v>
      </c>
      <c r="U931" s="418">
        <f t="shared" ref="U931:U941" si="2351">+L931+P931+F931</f>
        <v>0</v>
      </c>
      <c r="V931" s="517">
        <f t="shared" ref="V931:V941" si="2352">+P931*R931+L931*N931+F931*H931</f>
        <v>0</v>
      </c>
      <c r="W931" s="976">
        <f t="shared" si="2347"/>
        <v>0</v>
      </c>
      <c r="X931" s="975">
        <f t="shared" si="2348"/>
        <v>0</v>
      </c>
      <c r="Y931" s="792"/>
      <c r="Z931" s="220"/>
      <c r="AA931" s="220"/>
      <c r="AB931" s="220"/>
      <c r="AC931" s="220"/>
      <c r="AD931" s="220"/>
      <c r="AE931" s="220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</row>
    <row r="932" spans="1:120" s="235" customFormat="1" ht="15.75" hidden="1" outlineLevel="2" thickBot="1">
      <c r="A932" s="228">
        <v>1470754000</v>
      </c>
      <c r="B932" s="781" t="s">
        <v>195</v>
      </c>
      <c r="C932" s="782" t="s">
        <v>64</v>
      </c>
      <c r="D932" s="783"/>
      <c r="E932" s="219"/>
      <c r="F932" s="230"/>
      <c r="G932" s="1274"/>
      <c r="H932" s="784"/>
      <c r="I932" s="785">
        <f>+F932*H932</f>
        <v>0</v>
      </c>
      <c r="J932" s="1390"/>
      <c r="K932" s="1390"/>
      <c r="L932" s="231"/>
      <c r="M932" s="1307"/>
      <c r="N932" s="786"/>
      <c r="O932" s="787">
        <f t="shared" si="2349"/>
        <v>0</v>
      </c>
      <c r="P932" s="232"/>
      <c r="Q932" s="1348"/>
      <c r="R932" s="788"/>
      <c r="S932" s="788"/>
      <c r="T932" s="789">
        <f t="shared" si="2350"/>
        <v>0</v>
      </c>
      <c r="U932" s="418">
        <f t="shared" si="2351"/>
        <v>0</v>
      </c>
      <c r="V932" s="517">
        <f t="shared" si="2352"/>
        <v>0</v>
      </c>
      <c r="W932" s="976">
        <f t="shared" si="2347"/>
        <v>0</v>
      </c>
      <c r="X932" s="975">
        <f t="shared" si="2348"/>
        <v>0</v>
      </c>
      <c r="Y932" s="792"/>
      <c r="Z932" s="220"/>
      <c r="AA932" s="220"/>
      <c r="AB932" s="220"/>
      <c r="AC932" s="220"/>
      <c r="AD932" s="220"/>
      <c r="AE932" s="220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</row>
    <row r="933" spans="1:120" ht="15.75" hidden="1" outlineLevel="2" thickBot="1">
      <c r="A933" s="55"/>
      <c r="B933" s="509"/>
      <c r="C933" s="679"/>
      <c r="D933" s="680"/>
      <c r="E933" s="219"/>
      <c r="F933" s="416"/>
      <c r="G933" s="1251"/>
      <c r="H933" s="676"/>
      <c r="I933" s="681"/>
      <c r="J933" s="1386"/>
      <c r="K933" s="1386"/>
      <c r="L933" s="438"/>
      <c r="M933" s="1302"/>
      <c r="N933" s="504"/>
      <c r="O933" s="787">
        <f t="shared" si="2349"/>
        <v>0</v>
      </c>
      <c r="P933" s="431"/>
      <c r="Q933" s="514"/>
      <c r="R933" s="515"/>
      <c r="S933" s="515"/>
      <c r="T933" s="562">
        <f t="shared" si="2350"/>
        <v>0</v>
      </c>
      <c r="U933" s="418">
        <f t="shared" si="2351"/>
        <v>0</v>
      </c>
      <c r="V933" s="517">
        <f t="shared" si="2352"/>
        <v>0</v>
      </c>
      <c r="W933" s="976">
        <f t="shared" si="2347"/>
        <v>0</v>
      </c>
      <c r="X933" s="975">
        <f t="shared" si="2348"/>
        <v>0</v>
      </c>
      <c r="Y933" s="519"/>
      <c r="Z933" s="220"/>
      <c r="AA933" s="220"/>
      <c r="AB933" s="220"/>
      <c r="AC933" s="220"/>
      <c r="AD933" s="220"/>
      <c r="AE933" s="220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  <c r="BN933" s="24"/>
      <c r="BO933" s="24"/>
      <c r="BP933" s="24"/>
      <c r="BQ933" s="24"/>
      <c r="BR933" s="24"/>
      <c r="BS933" s="24"/>
      <c r="BT933" s="24"/>
      <c r="BU933" s="24"/>
      <c r="BV933" s="24"/>
      <c r="BW933" s="24"/>
      <c r="BX933" s="24"/>
      <c r="BY933" s="24"/>
      <c r="BZ933" s="24"/>
      <c r="CA933" s="24"/>
      <c r="CB933" s="24"/>
      <c r="CC933" s="24"/>
      <c r="CD933" s="24"/>
      <c r="CE933" s="24"/>
      <c r="CF933" s="24"/>
      <c r="CG933" s="24"/>
      <c r="CH933" s="24"/>
      <c r="CI933" s="24"/>
      <c r="CJ933" s="24"/>
      <c r="CK933" s="24"/>
      <c r="CL933" s="24"/>
      <c r="CM933" s="24"/>
      <c r="CN933" s="24"/>
      <c r="CO933" s="24"/>
      <c r="CP933" s="24"/>
      <c r="CQ933" s="24"/>
      <c r="CR933" s="24"/>
      <c r="CS933" s="24"/>
      <c r="CT933" s="24"/>
      <c r="CU933" s="24"/>
      <c r="CV933" s="24"/>
      <c r="CW933" s="24"/>
      <c r="CX933" s="24"/>
      <c r="CY933" s="24"/>
      <c r="CZ933" s="24"/>
      <c r="DA933" s="24"/>
      <c r="DB933" s="24"/>
      <c r="DC933" s="24"/>
      <c r="DD933" s="24"/>
      <c r="DE933" s="24"/>
      <c r="DF933" s="24"/>
      <c r="DG933" s="24"/>
      <c r="DH933" s="24"/>
      <c r="DI933" s="24"/>
      <c r="DJ933" s="24"/>
      <c r="DK933" s="24"/>
      <c r="DL933" s="24"/>
      <c r="DM933" s="24"/>
      <c r="DN933" s="24"/>
      <c r="DO933" s="24"/>
      <c r="DP933" s="24"/>
    </row>
    <row r="934" spans="1:120" ht="15.75" hidden="1" outlineLevel="2" thickBot="1">
      <c r="A934" s="228">
        <v>1470754000</v>
      </c>
      <c r="B934" s="509" t="s">
        <v>196</v>
      </c>
      <c r="C934" s="782" t="s">
        <v>64</v>
      </c>
      <c r="D934" s="680"/>
      <c r="E934" s="219">
        <v>43623</v>
      </c>
      <c r="F934" s="416"/>
      <c r="G934" s="1251"/>
      <c r="H934" s="676"/>
      <c r="I934" s="681"/>
      <c r="J934" s="1386"/>
      <c r="K934" s="1386"/>
      <c r="L934" s="438"/>
      <c r="M934" s="1302"/>
      <c r="N934" s="504"/>
      <c r="O934" s="787">
        <f t="shared" si="2349"/>
        <v>0</v>
      </c>
      <c r="P934" s="431"/>
      <c r="Q934" s="514"/>
      <c r="R934" s="515"/>
      <c r="S934" s="515"/>
      <c r="T934" s="562">
        <f t="shared" si="2350"/>
        <v>0</v>
      </c>
      <c r="U934" s="418">
        <f t="shared" si="2351"/>
        <v>0</v>
      </c>
      <c r="V934" s="517">
        <f t="shared" si="2352"/>
        <v>0</v>
      </c>
      <c r="W934" s="976">
        <f t="shared" si="2347"/>
        <v>0</v>
      </c>
      <c r="X934" s="975">
        <f t="shared" si="2348"/>
        <v>0</v>
      </c>
      <c r="Y934" s="519"/>
      <c r="Z934" s="220"/>
      <c r="AA934" s="220"/>
      <c r="AB934" s="220"/>
      <c r="AC934" s="220"/>
      <c r="AD934" s="220"/>
      <c r="AE934" s="220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  <c r="BQ934" s="24"/>
      <c r="BR934" s="24"/>
      <c r="BS934" s="24"/>
      <c r="BT934" s="24"/>
      <c r="BU934" s="24"/>
      <c r="BV934" s="24"/>
      <c r="BW934" s="24"/>
      <c r="BX934" s="24"/>
      <c r="BY934" s="24"/>
      <c r="BZ934" s="24"/>
      <c r="CA934" s="24"/>
      <c r="CB934" s="24"/>
      <c r="CC934" s="24"/>
      <c r="CD934" s="24"/>
      <c r="CE934" s="24"/>
      <c r="CF934" s="24"/>
      <c r="CG934" s="24"/>
      <c r="CH934" s="24"/>
      <c r="CI934" s="24"/>
      <c r="CJ934" s="24"/>
      <c r="CK934" s="24"/>
      <c r="CL934" s="24"/>
      <c r="CM934" s="24"/>
      <c r="CN934" s="24"/>
      <c r="CO934" s="24"/>
      <c r="CP934" s="24"/>
      <c r="CQ934" s="24"/>
      <c r="CR934" s="24"/>
      <c r="CS934" s="24"/>
      <c r="CT934" s="24"/>
      <c r="CU934" s="24"/>
      <c r="CV934" s="24"/>
      <c r="CW934" s="24"/>
      <c r="CX934" s="24"/>
      <c r="CY934" s="24"/>
      <c r="CZ934" s="24"/>
      <c r="DA934" s="24"/>
      <c r="DB934" s="24"/>
      <c r="DC934" s="24"/>
      <c r="DD934" s="24"/>
      <c r="DE934" s="24"/>
      <c r="DF934" s="24"/>
      <c r="DG934" s="24"/>
      <c r="DH934" s="24"/>
      <c r="DI934" s="24"/>
      <c r="DJ934" s="24"/>
      <c r="DK934" s="24"/>
      <c r="DL934" s="24"/>
      <c r="DM934" s="24"/>
      <c r="DN934" s="24"/>
      <c r="DO934" s="24"/>
      <c r="DP934" s="24"/>
    </row>
    <row r="935" spans="1:120" ht="15.75" hidden="1" outlineLevel="2" thickBot="1">
      <c r="A935" s="228">
        <v>1470754000</v>
      </c>
      <c r="B935" s="509" t="s">
        <v>196</v>
      </c>
      <c r="C935" s="782" t="s">
        <v>64</v>
      </c>
      <c r="D935" s="680"/>
      <c r="E935" s="219">
        <v>43623</v>
      </c>
      <c r="F935" s="416"/>
      <c r="G935" s="1251"/>
      <c r="H935" s="676"/>
      <c r="I935" s="681"/>
      <c r="J935" s="1386"/>
      <c r="K935" s="1386"/>
      <c r="L935" s="438"/>
      <c r="M935" s="1302"/>
      <c r="N935" s="504"/>
      <c r="O935" s="787">
        <f t="shared" si="2349"/>
        <v>0</v>
      </c>
      <c r="P935" s="431"/>
      <c r="Q935" s="514"/>
      <c r="R935" s="515"/>
      <c r="S935" s="515"/>
      <c r="T935" s="562">
        <f t="shared" si="2350"/>
        <v>0</v>
      </c>
      <c r="U935" s="418">
        <f t="shared" si="2351"/>
        <v>0</v>
      </c>
      <c r="V935" s="517">
        <f t="shared" si="2352"/>
        <v>0</v>
      </c>
      <c r="W935" s="976">
        <f t="shared" si="2347"/>
        <v>0</v>
      </c>
      <c r="X935" s="975">
        <f t="shared" si="2348"/>
        <v>0</v>
      </c>
      <c r="Y935" s="519"/>
      <c r="Z935" s="220"/>
      <c r="AA935" s="220"/>
      <c r="AB935" s="220"/>
      <c r="AC935" s="220"/>
      <c r="AD935" s="220"/>
      <c r="AE935" s="220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  <c r="BN935" s="24"/>
      <c r="BO935" s="24"/>
      <c r="BP935" s="24"/>
      <c r="BQ935" s="24"/>
      <c r="BR935" s="24"/>
      <c r="BS935" s="24"/>
      <c r="BT935" s="24"/>
      <c r="BU935" s="24"/>
      <c r="BV935" s="24"/>
      <c r="BW935" s="24"/>
      <c r="BX935" s="24"/>
      <c r="BY935" s="24"/>
      <c r="BZ935" s="24"/>
      <c r="CA935" s="24"/>
      <c r="CB935" s="24"/>
      <c r="CC935" s="24"/>
      <c r="CD935" s="24"/>
      <c r="CE935" s="24"/>
      <c r="CF935" s="24"/>
      <c r="CG935" s="24"/>
      <c r="CH935" s="24"/>
      <c r="CI935" s="24"/>
      <c r="CJ935" s="24"/>
      <c r="CK935" s="24"/>
      <c r="CL935" s="24"/>
      <c r="CM935" s="24"/>
      <c r="CN935" s="24"/>
      <c r="CO935" s="24"/>
      <c r="CP935" s="24"/>
      <c r="CQ935" s="24"/>
      <c r="CR935" s="24"/>
      <c r="CS935" s="24"/>
      <c r="CT935" s="24"/>
      <c r="CU935" s="24"/>
      <c r="CV935" s="24"/>
      <c r="CW935" s="24"/>
      <c r="CX935" s="24"/>
      <c r="CY935" s="24"/>
      <c r="CZ935" s="24"/>
      <c r="DA935" s="24"/>
      <c r="DB935" s="24"/>
      <c r="DC935" s="24"/>
      <c r="DD935" s="24"/>
      <c r="DE935" s="24"/>
      <c r="DF935" s="24"/>
      <c r="DG935" s="24"/>
      <c r="DH935" s="24"/>
      <c r="DI935" s="24"/>
      <c r="DJ935" s="24"/>
      <c r="DK935" s="24"/>
      <c r="DL935" s="24"/>
      <c r="DM935" s="24"/>
      <c r="DN935" s="24"/>
      <c r="DO935" s="24"/>
      <c r="DP935" s="24"/>
    </row>
    <row r="936" spans="1:120" ht="15.75" hidden="1" outlineLevel="2" thickBot="1">
      <c r="A936" s="228">
        <v>1470754000</v>
      </c>
      <c r="B936" s="509" t="s">
        <v>196</v>
      </c>
      <c r="C936" s="782" t="s">
        <v>64</v>
      </c>
      <c r="D936" s="680"/>
      <c r="E936" s="219">
        <v>43623</v>
      </c>
      <c r="F936" s="416"/>
      <c r="G936" s="1251"/>
      <c r="H936" s="676"/>
      <c r="I936" s="681"/>
      <c r="J936" s="1386"/>
      <c r="K936" s="1386"/>
      <c r="L936" s="438"/>
      <c r="M936" s="1302"/>
      <c r="N936" s="504"/>
      <c r="O936" s="787">
        <f t="shared" si="2349"/>
        <v>0</v>
      </c>
      <c r="P936" s="431"/>
      <c r="Q936" s="514"/>
      <c r="R936" s="515"/>
      <c r="S936" s="515"/>
      <c r="T936" s="562">
        <f t="shared" si="2350"/>
        <v>0</v>
      </c>
      <c r="U936" s="418">
        <f t="shared" si="2351"/>
        <v>0</v>
      </c>
      <c r="V936" s="517">
        <f t="shared" si="2352"/>
        <v>0</v>
      </c>
      <c r="W936" s="976">
        <f t="shared" si="2347"/>
        <v>0</v>
      </c>
      <c r="X936" s="975">
        <f t="shared" si="2348"/>
        <v>0</v>
      </c>
      <c r="Y936" s="519"/>
      <c r="Z936" s="220"/>
      <c r="AA936" s="220"/>
      <c r="AB936" s="220"/>
      <c r="AC936" s="220"/>
      <c r="AD936" s="220"/>
      <c r="AE936" s="220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  <c r="CZ936" s="24"/>
      <c r="DA936" s="24"/>
      <c r="DB936" s="24"/>
      <c r="DC936" s="24"/>
      <c r="DD936" s="24"/>
      <c r="DE936" s="24"/>
      <c r="DF936" s="24"/>
      <c r="DG936" s="24"/>
      <c r="DH936" s="24"/>
      <c r="DI936" s="24"/>
      <c r="DJ936" s="24"/>
      <c r="DK936" s="24"/>
      <c r="DL936" s="24"/>
      <c r="DM936" s="24"/>
      <c r="DN936" s="24"/>
      <c r="DO936" s="24"/>
      <c r="DP936" s="24"/>
    </row>
    <row r="937" spans="1:120" ht="15.75" hidden="1" outlineLevel="2" thickBot="1">
      <c r="A937" s="228">
        <v>1470754000</v>
      </c>
      <c r="B937" s="509" t="s">
        <v>196</v>
      </c>
      <c r="C937" s="782" t="s">
        <v>64</v>
      </c>
      <c r="D937" s="680"/>
      <c r="E937" s="219">
        <v>43623</v>
      </c>
      <c r="F937" s="416"/>
      <c r="G937" s="1251"/>
      <c r="H937" s="676"/>
      <c r="I937" s="681"/>
      <c r="J937" s="1386"/>
      <c r="K937" s="1386"/>
      <c r="L937" s="438"/>
      <c r="M937" s="1302"/>
      <c r="N937" s="504"/>
      <c r="O937" s="787">
        <f t="shared" si="2349"/>
        <v>0</v>
      </c>
      <c r="P937" s="431"/>
      <c r="Q937" s="514"/>
      <c r="R937" s="515"/>
      <c r="S937" s="515"/>
      <c r="T937" s="562">
        <f t="shared" si="2350"/>
        <v>0</v>
      </c>
      <c r="U937" s="418">
        <f t="shared" si="2351"/>
        <v>0</v>
      </c>
      <c r="V937" s="517">
        <f t="shared" si="2352"/>
        <v>0</v>
      </c>
      <c r="W937" s="976">
        <f t="shared" si="2347"/>
        <v>0</v>
      </c>
      <c r="X937" s="975">
        <f t="shared" si="2348"/>
        <v>0</v>
      </c>
      <c r="Y937" s="519"/>
      <c r="Z937" s="220"/>
      <c r="AA937" s="220"/>
      <c r="AB937" s="220"/>
      <c r="AC937" s="220"/>
      <c r="AD937" s="220"/>
      <c r="AE937" s="220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  <c r="BQ937" s="24"/>
      <c r="BR937" s="24"/>
      <c r="BS937" s="24"/>
      <c r="BT937" s="24"/>
      <c r="BU937" s="24"/>
      <c r="BV937" s="24"/>
      <c r="BW937" s="24"/>
      <c r="BX937" s="24"/>
      <c r="BY937" s="24"/>
      <c r="BZ937" s="24"/>
      <c r="CA937" s="24"/>
      <c r="CB937" s="24"/>
      <c r="CC937" s="24"/>
      <c r="CD937" s="24"/>
      <c r="CE937" s="24"/>
      <c r="CF937" s="24"/>
      <c r="CG937" s="24"/>
      <c r="CH937" s="24"/>
      <c r="CI937" s="24"/>
      <c r="CJ937" s="24"/>
      <c r="CK937" s="24"/>
      <c r="CL937" s="24"/>
      <c r="CM937" s="24"/>
      <c r="CN937" s="24"/>
      <c r="CO937" s="24"/>
      <c r="CP937" s="24"/>
      <c r="CQ937" s="24"/>
      <c r="CR937" s="24"/>
      <c r="CS937" s="24"/>
      <c r="CT937" s="24"/>
      <c r="CU937" s="24"/>
      <c r="CV937" s="24"/>
      <c r="CW937" s="24"/>
      <c r="CX937" s="24"/>
      <c r="CY937" s="24"/>
      <c r="CZ937" s="24"/>
      <c r="DA937" s="24"/>
      <c r="DB937" s="24"/>
      <c r="DC937" s="24"/>
      <c r="DD937" s="24"/>
      <c r="DE937" s="24"/>
      <c r="DF937" s="24"/>
      <c r="DG937" s="24"/>
      <c r="DH937" s="24"/>
      <c r="DI937" s="24"/>
      <c r="DJ937" s="24"/>
      <c r="DK937" s="24"/>
      <c r="DL937" s="24"/>
      <c r="DM937" s="24"/>
      <c r="DN937" s="24"/>
      <c r="DO937" s="24"/>
      <c r="DP937" s="24"/>
    </row>
    <row r="938" spans="1:120" ht="15.75" hidden="1" outlineLevel="2" thickBot="1">
      <c r="A938" s="228">
        <v>1470754000</v>
      </c>
      <c r="B938" s="509" t="s">
        <v>196</v>
      </c>
      <c r="C938" s="782" t="s">
        <v>64</v>
      </c>
      <c r="D938" s="680"/>
      <c r="E938" s="219">
        <v>43623</v>
      </c>
      <c r="F938" s="416"/>
      <c r="G938" s="1251"/>
      <c r="H938" s="676"/>
      <c r="I938" s="681"/>
      <c r="J938" s="1386"/>
      <c r="K938" s="1386"/>
      <c r="L938" s="438"/>
      <c r="M938" s="1302"/>
      <c r="N938" s="504"/>
      <c r="O938" s="787">
        <f t="shared" si="2349"/>
        <v>0</v>
      </c>
      <c r="P938" s="431"/>
      <c r="Q938" s="514"/>
      <c r="R938" s="515"/>
      <c r="S938" s="515"/>
      <c r="T938" s="562">
        <f t="shared" si="2350"/>
        <v>0</v>
      </c>
      <c r="U938" s="418">
        <f t="shared" si="2351"/>
        <v>0</v>
      </c>
      <c r="V938" s="517">
        <f t="shared" si="2352"/>
        <v>0</v>
      </c>
      <c r="W938" s="976">
        <f t="shared" si="2347"/>
        <v>0</v>
      </c>
      <c r="X938" s="975">
        <f t="shared" si="2348"/>
        <v>0</v>
      </c>
      <c r="Y938" s="519"/>
      <c r="Z938" s="220"/>
      <c r="AA938" s="220"/>
      <c r="AB938" s="220"/>
      <c r="AC938" s="220"/>
      <c r="AD938" s="220"/>
      <c r="AE938" s="220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  <c r="BN938" s="24"/>
      <c r="BO938" s="24"/>
      <c r="BP938" s="24"/>
      <c r="BQ938" s="24"/>
      <c r="BR938" s="24"/>
      <c r="BS938" s="24"/>
      <c r="BT938" s="24"/>
      <c r="BU938" s="24"/>
      <c r="BV938" s="24"/>
      <c r="BW938" s="24"/>
      <c r="BX938" s="24"/>
      <c r="BY938" s="24"/>
      <c r="BZ938" s="24"/>
      <c r="CA938" s="24"/>
      <c r="CB938" s="24"/>
      <c r="CC938" s="24"/>
      <c r="CD938" s="24"/>
      <c r="CE938" s="24"/>
      <c r="CF938" s="24"/>
      <c r="CG938" s="24"/>
      <c r="CH938" s="24"/>
      <c r="CI938" s="24"/>
      <c r="CJ938" s="24"/>
      <c r="CK938" s="24"/>
      <c r="CL938" s="24"/>
      <c r="CM938" s="24"/>
      <c r="CN938" s="24"/>
      <c r="CO938" s="24"/>
      <c r="CP938" s="24"/>
      <c r="CQ938" s="24"/>
      <c r="CR938" s="24"/>
      <c r="CS938" s="24"/>
      <c r="CT938" s="24"/>
      <c r="CU938" s="24"/>
      <c r="CV938" s="24"/>
      <c r="CW938" s="24"/>
      <c r="CX938" s="24"/>
      <c r="CY938" s="24"/>
      <c r="CZ938" s="24"/>
      <c r="DA938" s="24"/>
      <c r="DB938" s="24"/>
      <c r="DC938" s="24"/>
      <c r="DD938" s="24"/>
      <c r="DE938" s="24"/>
      <c r="DF938" s="24"/>
      <c r="DG938" s="24"/>
      <c r="DH938" s="24"/>
      <c r="DI938" s="24"/>
      <c r="DJ938" s="24"/>
      <c r="DK938" s="24"/>
      <c r="DL938" s="24"/>
      <c r="DM938" s="24"/>
      <c r="DN938" s="24"/>
      <c r="DO938" s="24"/>
      <c r="DP938" s="24"/>
    </row>
    <row r="939" spans="1:120" ht="15.75" hidden="1" outlineLevel="2" thickBot="1">
      <c r="A939" s="228">
        <v>1470754000</v>
      </c>
      <c r="B939" s="509" t="s">
        <v>196</v>
      </c>
      <c r="C939" s="782" t="s">
        <v>64</v>
      </c>
      <c r="D939" s="680"/>
      <c r="E939" s="219">
        <v>43623</v>
      </c>
      <c r="F939" s="416"/>
      <c r="G939" s="1251"/>
      <c r="H939" s="676"/>
      <c r="I939" s="681"/>
      <c r="J939" s="1386"/>
      <c r="K939" s="1386"/>
      <c r="L939" s="438"/>
      <c r="M939" s="1302"/>
      <c r="N939" s="504"/>
      <c r="O939" s="787">
        <f t="shared" si="2349"/>
        <v>0</v>
      </c>
      <c r="P939" s="431"/>
      <c r="Q939" s="514"/>
      <c r="R939" s="515"/>
      <c r="S939" s="515"/>
      <c r="T939" s="562">
        <f t="shared" si="2350"/>
        <v>0</v>
      </c>
      <c r="U939" s="418">
        <f t="shared" si="2351"/>
        <v>0</v>
      </c>
      <c r="V939" s="517">
        <f t="shared" si="2352"/>
        <v>0</v>
      </c>
      <c r="W939" s="976">
        <f t="shared" si="2347"/>
        <v>0</v>
      </c>
      <c r="X939" s="975">
        <f t="shared" si="2348"/>
        <v>0</v>
      </c>
      <c r="Y939" s="519"/>
      <c r="Z939" s="220"/>
      <c r="AA939" s="220"/>
      <c r="AB939" s="220"/>
      <c r="AC939" s="220"/>
      <c r="AD939" s="220"/>
      <c r="AE939" s="220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  <c r="BQ939" s="24"/>
      <c r="BR939" s="24"/>
      <c r="BS939" s="24"/>
      <c r="BT939" s="24"/>
      <c r="BU939" s="24"/>
      <c r="BV939" s="24"/>
      <c r="BW939" s="24"/>
      <c r="BX939" s="24"/>
      <c r="BY939" s="24"/>
      <c r="BZ939" s="24"/>
      <c r="CA939" s="24"/>
      <c r="CB939" s="24"/>
      <c r="CC939" s="24"/>
      <c r="CD939" s="24"/>
      <c r="CE939" s="24"/>
      <c r="CF939" s="24"/>
      <c r="CG939" s="24"/>
      <c r="CH939" s="24"/>
      <c r="CI939" s="24"/>
      <c r="CJ939" s="24"/>
      <c r="CK939" s="24"/>
      <c r="CL939" s="24"/>
      <c r="CM939" s="24"/>
      <c r="CN939" s="24"/>
      <c r="CO939" s="24"/>
      <c r="CP939" s="24"/>
      <c r="CQ939" s="24"/>
      <c r="CR939" s="24"/>
      <c r="CS939" s="24"/>
      <c r="CT939" s="24"/>
      <c r="CU939" s="24"/>
      <c r="CV939" s="24"/>
      <c r="CW939" s="24"/>
      <c r="CX939" s="24"/>
      <c r="CY939" s="24"/>
      <c r="CZ939" s="24"/>
      <c r="DA939" s="24"/>
      <c r="DB939" s="24"/>
      <c r="DC939" s="24"/>
      <c r="DD939" s="24"/>
      <c r="DE939" s="24"/>
      <c r="DF939" s="24"/>
      <c r="DG939" s="24"/>
      <c r="DH939" s="24"/>
      <c r="DI939" s="24"/>
      <c r="DJ939" s="24"/>
      <c r="DK939" s="24"/>
      <c r="DL939" s="24"/>
      <c r="DM939" s="24"/>
      <c r="DN939" s="24"/>
      <c r="DO939" s="24"/>
      <c r="DP939" s="24"/>
    </row>
    <row r="940" spans="1:120" ht="15.75" hidden="1" outlineLevel="2" thickBot="1">
      <c r="A940" s="228">
        <v>1470754000</v>
      </c>
      <c r="B940" s="509" t="s">
        <v>196</v>
      </c>
      <c r="C940" s="782" t="s">
        <v>64</v>
      </c>
      <c r="D940" s="680"/>
      <c r="E940" s="219">
        <v>43623</v>
      </c>
      <c r="F940" s="416"/>
      <c r="G940" s="1251"/>
      <c r="H940" s="676"/>
      <c r="I940" s="681"/>
      <c r="J940" s="1386"/>
      <c r="K940" s="1386"/>
      <c r="L940" s="438"/>
      <c r="M940" s="1302"/>
      <c r="N940" s="504"/>
      <c r="O940" s="787">
        <f t="shared" si="2349"/>
        <v>0</v>
      </c>
      <c r="P940" s="431"/>
      <c r="Q940" s="514"/>
      <c r="R940" s="515"/>
      <c r="S940" s="515"/>
      <c r="T940" s="562">
        <f t="shared" si="2350"/>
        <v>0</v>
      </c>
      <c r="U940" s="418">
        <f t="shared" si="2351"/>
        <v>0</v>
      </c>
      <c r="V940" s="517">
        <f t="shared" si="2352"/>
        <v>0</v>
      </c>
      <c r="W940" s="976">
        <f t="shared" si="2347"/>
        <v>0</v>
      </c>
      <c r="X940" s="975">
        <f t="shared" si="2348"/>
        <v>0</v>
      </c>
      <c r="Y940" s="519"/>
      <c r="Z940" s="220"/>
      <c r="AA940" s="220"/>
      <c r="AB940" s="220"/>
      <c r="AC940" s="220"/>
      <c r="AD940" s="220"/>
      <c r="AE940" s="220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  <c r="BN940" s="24"/>
      <c r="BO940" s="24"/>
      <c r="BP940" s="24"/>
      <c r="BQ940" s="24"/>
      <c r="BR940" s="24"/>
      <c r="BS940" s="24"/>
      <c r="BT940" s="24"/>
      <c r="BU940" s="24"/>
      <c r="BV940" s="24"/>
      <c r="BW940" s="24"/>
      <c r="BX940" s="24"/>
      <c r="BY940" s="24"/>
      <c r="BZ940" s="24"/>
      <c r="CA940" s="24"/>
      <c r="CB940" s="24"/>
      <c r="CC940" s="24"/>
      <c r="CD940" s="24"/>
      <c r="CE940" s="24"/>
      <c r="CF940" s="24"/>
      <c r="CG940" s="24"/>
      <c r="CH940" s="24"/>
      <c r="CI940" s="24"/>
      <c r="CJ940" s="24"/>
      <c r="CK940" s="24"/>
      <c r="CL940" s="24"/>
      <c r="CM940" s="24"/>
      <c r="CN940" s="24"/>
      <c r="CO940" s="24"/>
      <c r="CP940" s="24"/>
      <c r="CQ940" s="24"/>
      <c r="CR940" s="24"/>
      <c r="CS940" s="24"/>
      <c r="CT940" s="24"/>
      <c r="CU940" s="24"/>
      <c r="CV940" s="24"/>
      <c r="CW940" s="24"/>
      <c r="CX940" s="24"/>
      <c r="CY940" s="24"/>
      <c r="CZ940" s="24"/>
      <c r="DA940" s="24"/>
      <c r="DB940" s="24"/>
      <c r="DC940" s="24"/>
      <c r="DD940" s="24"/>
      <c r="DE940" s="24"/>
      <c r="DF940" s="24"/>
      <c r="DG940" s="24"/>
      <c r="DH940" s="24"/>
      <c r="DI940" s="24"/>
      <c r="DJ940" s="24"/>
      <c r="DK940" s="24"/>
      <c r="DL940" s="24"/>
      <c r="DM940" s="24"/>
      <c r="DN940" s="24"/>
      <c r="DO940" s="24"/>
      <c r="DP940" s="24"/>
    </row>
    <row r="941" spans="1:120" ht="15.75" hidden="1" outlineLevel="2" thickBot="1">
      <c r="A941" s="55"/>
      <c r="B941" s="509"/>
      <c r="C941" s="679"/>
      <c r="D941" s="680"/>
      <c r="E941" s="219"/>
      <c r="F941" s="416"/>
      <c r="G941" s="1251"/>
      <c r="H941" s="676"/>
      <c r="I941" s="681"/>
      <c r="J941" s="1386"/>
      <c r="K941" s="1386"/>
      <c r="L941" s="438"/>
      <c r="M941" s="1302"/>
      <c r="N941" s="504"/>
      <c r="O941" s="787">
        <f t="shared" si="2349"/>
        <v>0</v>
      </c>
      <c r="P941" s="431"/>
      <c r="Q941" s="514"/>
      <c r="R941" s="515"/>
      <c r="S941" s="515"/>
      <c r="T941" s="562">
        <f t="shared" si="2350"/>
        <v>0</v>
      </c>
      <c r="U941" s="418">
        <f t="shared" si="2351"/>
        <v>0</v>
      </c>
      <c r="V941" s="517">
        <f t="shared" si="2352"/>
        <v>0</v>
      </c>
      <c r="W941" s="976">
        <f t="shared" si="2347"/>
        <v>0</v>
      </c>
      <c r="X941" s="975">
        <f t="shared" si="2348"/>
        <v>0</v>
      </c>
      <c r="Y941" s="519"/>
      <c r="Z941" s="220"/>
      <c r="AA941" s="220"/>
      <c r="AB941" s="220"/>
      <c r="AC941" s="220"/>
      <c r="AD941" s="220"/>
      <c r="AE941" s="220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  <c r="BN941" s="24"/>
      <c r="BO941" s="24"/>
      <c r="BP941" s="24"/>
      <c r="BQ941" s="24"/>
      <c r="BR941" s="24"/>
      <c r="BS941" s="24"/>
      <c r="BT941" s="24"/>
      <c r="BU941" s="24"/>
      <c r="BV941" s="24"/>
      <c r="BW941" s="24"/>
      <c r="BX941" s="24"/>
      <c r="BY941" s="24"/>
      <c r="BZ941" s="24"/>
      <c r="CA941" s="24"/>
      <c r="CB941" s="24"/>
      <c r="CC941" s="24"/>
      <c r="CD941" s="24"/>
      <c r="CE941" s="24"/>
      <c r="CF941" s="24"/>
      <c r="CG941" s="24"/>
      <c r="CH941" s="24"/>
      <c r="CI941" s="24"/>
      <c r="CJ941" s="24"/>
      <c r="CK941" s="24"/>
      <c r="CL941" s="24"/>
      <c r="CM941" s="24"/>
      <c r="CN941" s="24"/>
      <c r="CO941" s="24"/>
      <c r="CP941" s="24"/>
      <c r="CQ941" s="24"/>
      <c r="CR941" s="24"/>
      <c r="CS941" s="24"/>
      <c r="CT941" s="24"/>
      <c r="CU941" s="24"/>
      <c r="CV941" s="24"/>
      <c r="CW941" s="24"/>
      <c r="CX941" s="24"/>
      <c r="CY941" s="24"/>
      <c r="CZ941" s="24"/>
      <c r="DA941" s="24"/>
      <c r="DB941" s="24"/>
      <c r="DC941" s="24"/>
      <c r="DD941" s="24"/>
      <c r="DE941" s="24"/>
      <c r="DF941" s="24"/>
      <c r="DG941" s="24"/>
      <c r="DH941" s="24"/>
      <c r="DI941" s="24"/>
      <c r="DJ941" s="24"/>
      <c r="DK941" s="24"/>
      <c r="DL941" s="24"/>
      <c r="DM941" s="24"/>
      <c r="DN941" s="24"/>
      <c r="DO941" s="24"/>
      <c r="DP941" s="24"/>
    </row>
    <row r="942" spans="1:120" s="249" customFormat="1" ht="16.5" outlineLevel="1" collapsed="1" thickBot="1">
      <c r="A942" s="799" t="s">
        <v>1471</v>
      </c>
      <c r="B942" s="800"/>
      <c r="C942" s="801"/>
      <c r="D942" s="801"/>
      <c r="E942" s="802"/>
      <c r="F942" s="803">
        <f>SUM(F904:F941)</f>
        <v>0</v>
      </c>
      <c r="G942" s="1275"/>
      <c r="H942" s="804"/>
      <c r="I942" s="805">
        <f>SUM(I904:I941)</f>
        <v>2027992795554</v>
      </c>
      <c r="J942" s="1368"/>
      <c r="K942" s="1368"/>
      <c r="L942" s="806">
        <f>SUM(L904:L941)</f>
        <v>0</v>
      </c>
      <c r="M942" s="1308"/>
      <c r="N942" s="807"/>
      <c r="O942" s="808">
        <f>SUM(O904:O941)</f>
        <v>133120363111</v>
      </c>
      <c r="P942" s="809">
        <f>SUM(P904:P941)</f>
        <v>0</v>
      </c>
      <c r="Q942" s="1349"/>
      <c r="R942" s="810"/>
      <c r="S942" s="810"/>
      <c r="T942" s="811">
        <f>SUM(T904:T941)</f>
        <v>0</v>
      </c>
      <c r="U942" s="812">
        <f>SUM(U904:U941)</f>
        <v>0</v>
      </c>
      <c r="V942" s="813">
        <f>SUM(V904:V941)</f>
        <v>2161113158665</v>
      </c>
      <c r="W942" s="814">
        <f>SUM(W904:W941)</f>
        <v>0</v>
      </c>
      <c r="X942" s="815">
        <f>SUM(X904:X941)</f>
        <v>0</v>
      </c>
      <c r="Y942" s="816"/>
      <c r="Z942" s="248"/>
      <c r="AA942" s="248"/>
      <c r="AB942" s="248"/>
      <c r="AC942" s="248"/>
      <c r="AD942" s="248"/>
      <c r="AE942" s="248"/>
      <c r="AF942" s="183"/>
      <c r="AG942" s="183"/>
      <c r="AH942" s="183"/>
      <c r="AI942" s="183"/>
      <c r="AJ942" s="183"/>
      <c r="AK942" s="183"/>
      <c r="AL942" s="183"/>
      <c r="AM942" s="183"/>
      <c r="AN942" s="183"/>
      <c r="AO942" s="183"/>
      <c r="AP942" s="183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183"/>
      <c r="BR942" s="183"/>
      <c r="BS942" s="183"/>
      <c r="BT942" s="183"/>
      <c r="BU942" s="183"/>
      <c r="BV942" s="183"/>
      <c r="BW942" s="183"/>
      <c r="BX942" s="183"/>
      <c r="BY942" s="183"/>
      <c r="BZ942" s="183"/>
      <c r="CA942" s="183"/>
      <c r="CB942" s="183"/>
      <c r="CC942" s="183"/>
      <c r="CD942" s="183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</row>
    <row r="943" spans="1:120" outlineLevel="1">
      <c r="T943" s="3"/>
      <c r="U943" s="445">
        <v>0</v>
      </c>
      <c r="V943" s="412">
        <v>2161130741246</v>
      </c>
      <c r="AA943" s="14"/>
      <c r="AB943" s="14"/>
      <c r="AC943" s="14"/>
      <c r="AD943" s="14"/>
      <c r="AE943" s="1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  <c r="BN943" s="24"/>
      <c r="BO943" s="24"/>
      <c r="BP943" s="24"/>
      <c r="BQ943" s="24"/>
      <c r="BR943" s="24"/>
      <c r="BS943" s="24"/>
      <c r="BT943" s="24"/>
      <c r="BU943" s="24"/>
      <c r="BV943" s="24"/>
      <c r="BW943" s="24"/>
      <c r="BX943" s="24"/>
      <c r="BY943" s="24"/>
      <c r="BZ943" s="24"/>
      <c r="CA943" s="24"/>
      <c r="CB943" s="24"/>
      <c r="CC943" s="24"/>
      <c r="CD943" s="24"/>
      <c r="CE943" s="24"/>
      <c r="CF943" s="24"/>
      <c r="CG943" s="24"/>
      <c r="CH943" s="24"/>
      <c r="CI943" s="24"/>
      <c r="CJ943" s="24"/>
      <c r="CK943" s="24"/>
      <c r="CL943" s="24"/>
      <c r="CM943" s="24"/>
      <c r="CN943" s="24"/>
      <c r="CO943" s="24"/>
      <c r="CP943" s="24"/>
      <c r="CQ943" s="24"/>
      <c r="CR943" s="24"/>
      <c r="CS943" s="24"/>
      <c r="CT943" s="24"/>
      <c r="CU943" s="24"/>
      <c r="CV943" s="24"/>
      <c r="CW943" s="24"/>
      <c r="CX943" s="24"/>
      <c r="CY943" s="24"/>
      <c r="CZ943" s="24"/>
      <c r="DA943" s="24"/>
      <c r="DB943" s="24"/>
      <c r="DC943" s="24"/>
      <c r="DD943" s="24"/>
      <c r="DE943" s="24"/>
      <c r="DF943" s="24"/>
      <c r="DG943" s="24"/>
      <c r="DH943" s="24"/>
      <c r="DI943" s="24"/>
      <c r="DJ943" s="24"/>
      <c r="DK943" s="24"/>
      <c r="DL943" s="24"/>
      <c r="DM943" s="24"/>
      <c r="DN943" s="24"/>
      <c r="DO943" s="24"/>
      <c r="DP943" s="24"/>
    </row>
    <row r="944" spans="1:120" ht="15.75" outlineLevel="1" thickBot="1">
      <c r="U944" s="250">
        <f>+U943-U942</f>
        <v>0</v>
      </c>
      <c r="V944" s="1119">
        <f>+V942-V943</f>
        <v>-17582581</v>
      </c>
      <c r="W944" s="1119" t="s">
        <v>2234</v>
      </c>
      <c r="AA944" s="14"/>
      <c r="AB944" s="14"/>
      <c r="AC944" s="14"/>
      <c r="AD944" s="14"/>
      <c r="AE944" s="1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  <c r="BQ944" s="24"/>
      <c r="BR944" s="24"/>
      <c r="BS944" s="24"/>
      <c r="BT944" s="24"/>
      <c r="BU944" s="24"/>
      <c r="BV944" s="24"/>
      <c r="BW944" s="24"/>
      <c r="BX944" s="24"/>
      <c r="BY944" s="24"/>
      <c r="BZ944" s="24"/>
      <c r="CA944" s="24"/>
      <c r="CB944" s="24"/>
      <c r="CC944" s="24"/>
      <c r="CD944" s="24"/>
      <c r="CE944" s="24"/>
      <c r="CF944" s="24"/>
      <c r="CG944" s="24"/>
      <c r="CH944" s="24"/>
      <c r="CI944" s="24"/>
      <c r="CJ944" s="24"/>
      <c r="CK944" s="24"/>
      <c r="CL944" s="24"/>
      <c r="CM944" s="24"/>
      <c r="CN944" s="24"/>
      <c r="CO944" s="24"/>
      <c r="CP944" s="24"/>
      <c r="CQ944" s="24"/>
      <c r="CR944" s="24"/>
      <c r="CS944" s="24"/>
      <c r="CT944" s="24"/>
      <c r="CU944" s="24"/>
      <c r="CV944" s="24"/>
      <c r="CW944" s="24"/>
      <c r="CX944" s="24"/>
      <c r="CY944" s="24"/>
      <c r="CZ944" s="24"/>
      <c r="DA944" s="24"/>
      <c r="DB944" s="24"/>
      <c r="DC944" s="24"/>
      <c r="DD944" s="24"/>
      <c r="DE944" s="24"/>
      <c r="DF944" s="24"/>
      <c r="DG944" s="24"/>
      <c r="DH944" s="24"/>
      <c r="DI944" s="24"/>
      <c r="DJ944" s="24"/>
      <c r="DK944" s="24"/>
      <c r="DL944" s="24"/>
      <c r="DM944" s="24"/>
      <c r="DN944" s="24"/>
      <c r="DO944" s="24"/>
      <c r="DP944" s="24"/>
    </row>
    <row r="945" spans="1:120" s="252" customFormat="1" ht="19.5" thickBot="1">
      <c r="A945" s="817" t="s">
        <v>90</v>
      </c>
      <c r="B945" s="818"/>
      <c r="C945" s="819"/>
      <c r="D945" s="819"/>
      <c r="E945" s="820"/>
      <c r="F945" s="821">
        <f>+F942</f>
        <v>0</v>
      </c>
      <c r="G945" s="821"/>
      <c r="H945" s="822"/>
      <c r="I945" s="823">
        <f>+I942</f>
        <v>2027992795554</v>
      </c>
      <c r="J945" s="823"/>
      <c r="K945" s="823"/>
      <c r="L945" s="821">
        <f>+L942</f>
        <v>0</v>
      </c>
      <c r="M945" s="821"/>
      <c r="N945" s="822"/>
      <c r="O945" s="823">
        <f>+O942</f>
        <v>133120363111</v>
      </c>
      <c r="P945" s="821">
        <f>+P942</f>
        <v>0</v>
      </c>
      <c r="Q945" s="821"/>
      <c r="R945" s="822"/>
      <c r="S945" s="822"/>
      <c r="T945" s="823">
        <f>+T942</f>
        <v>0</v>
      </c>
      <c r="U945" s="821">
        <f>+U942</f>
        <v>0</v>
      </c>
      <c r="V945" s="824">
        <f>+V942</f>
        <v>2161113158665</v>
      </c>
      <c r="W945" s="823">
        <f>+W942</f>
        <v>0</v>
      </c>
      <c r="X945" s="825">
        <f>+X942</f>
        <v>0</v>
      </c>
      <c r="Y945" s="826"/>
      <c r="Z945" s="251"/>
      <c r="AA945" s="251"/>
      <c r="AB945" s="251"/>
      <c r="AC945" s="251"/>
      <c r="AD945" s="251"/>
      <c r="AE945" s="251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183"/>
      <c r="BR945" s="183"/>
      <c r="BS945" s="183"/>
      <c r="BT945" s="183"/>
      <c r="BU945" s="183"/>
      <c r="BV945" s="183"/>
      <c r="BW945" s="183"/>
      <c r="BX945" s="183"/>
      <c r="BY945" s="183"/>
      <c r="BZ945" s="183"/>
      <c r="CA945" s="183"/>
      <c r="CB945" s="183"/>
      <c r="CC945" s="183"/>
      <c r="CD945" s="183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</row>
    <row r="946" spans="1:120" s="27" customFormat="1">
      <c r="A946"/>
      <c r="B946"/>
      <c r="C946" s="7"/>
      <c r="D946" s="7"/>
      <c r="E946" s="8"/>
      <c r="F946" s="444"/>
      <c r="G946" s="444"/>
      <c r="H946" s="442"/>
      <c r="I946" s="443"/>
      <c r="J946" s="1380"/>
      <c r="K946" s="1380"/>
      <c r="L946" s="441"/>
      <c r="M946" s="441"/>
      <c r="N946" s="442"/>
      <c r="O946" s="443"/>
      <c r="P946" s="444"/>
      <c r="Q946" s="444"/>
      <c r="R946" s="442"/>
      <c r="S946" s="442"/>
      <c r="T946" s="443"/>
      <c r="U946" s="444"/>
      <c r="V946" s="443"/>
      <c r="W946" s="444"/>
      <c r="X946" s="443"/>
      <c r="Y946" s="7"/>
      <c r="Z946" s="44"/>
      <c r="AA946" s="44"/>
      <c r="AB946" s="44"/>
      <c r="AC946" s="44"/>
      <c r="AD946" s="44"/>
      <c r="AE946" s="44"/>
      <c r="AF946" s="213"/>
      <c r="AG946" s="213"/>
      <c r="AH946" s="213"/>
      <c r="AI946" s="213"/>
      <c r="AJ946" s="213"/>
      <c r="AK946" s="213"/>
      <c r="AL946" s="213"/>
      <c r="AM946" s="213"/>
      <c r="AN946" s="213"/>
      <c r="AO946" s="213"/>
      <c r="AP946" s="213"/>
      <c r="AQ946" s="213"/>
      <c r="AR946" s="213"/>
      <c r="AS946" s="213"/>
      <c r="AT946" s="213"/>
      <c r="AU946" s="213"/>
      <c r="AV946" s="213"/>
      <c r="AW946" s="213"/>
      <c r="AX946" s="213"/>
      <c r="AY946" s="213"/>
      <c r="AZ946" s="213"/>
      <c r="BA946" s="213"/>
      <c r="BB946" s="213"/>
      <c r="BC946" s="213"/>
      <c r="BD946" s="213"/>
      <c r="BE946" s="213"/>
      <c r="BF946" s="213"/>
      <c r="BG946" s="213"/>
      <c r="BH946" s="213"/>
      <c r="BI946" s="213"/>
      <c r="BJ946" s="213"/>
      <c r="BK946" s="213"/>
      <c r="BL946" s="213"/>
      <c r="BM946" s="213"/>
      <c r="BN946" s="213"/>
      <c r="BO946" s="213"/>
      <c r="BP946" s="213"/>
      <c r="BQ946" s="213"/>
      <c r="BR946" s="213"/>
      <c r="BS946" s="213"/>
      <c r="BT946" s="213"/>
      <c r="BU946" s="213"/>
      <c r="BV946" s="213"/>
      <c r="BW946" s="213"/>
      <c r="BX946" s="213"/>
      <c r="BY946" s="213"/>
      <c r="BZ946" s="213"/>
      <c r="CA946" s="213"/>
      <c r="CB946" s="213"/>
      <c r="CC946" s="213"/>
      <c r="CD946" s="213"/>
      <c r="CE946" s="213"/>
      <c r="CF946" s="213"/>
      <c r="CG946" s="213"/>
      <c r="CH946" s="213"/>
      <c r="CI946" s="213"/>
      <c r="CJ946" s="213"/>
      <c r="CK946" s="213"/>
      <c r="CL946" s="213"/>
      <c r="CM946" s="213"/>
      <c r="CN946" s="213"/>
      <c r="CO946" s="213"/>
      <c r="CP946" s="213"/>
      <c r="CQ946" s="213"/>
      <c r="CR946" s="213"/>
      <c r="CS946" s="213"/>
      <c r="CT946" s="213"/>
      <c r="CU946" s="213"/>
      <c r="CV946" s="213"/>
      <c r="CW946" s="213"/>
      <c r="CX946" s="213"/>
      <c r="CY946" s="213"/>
      <c r="CZ946" s="213"/>
      <c r="DA946" s="213"/>
      <c r="DB946" s="213"/>
      <c r="DC946" s="213"/>
      <c r="DD946" s="213"/>
      <c r="DE946" s="213"/>
      <c r="DF946" s="213"/>
      <c r="DG946" s="213"/>
      <c r="DH946" s="213"/>
      <c r="DI946" s="213"/>
      <c r="DJ946" s="213"/>
      <c r="DK946" s="213"/>
      <c r="DL946" s="213"/>
      <c r="DM946" s="213"/>
      <c r="DN946" s="213"/>
      <c r="DO946" s="213"/>
      <c r="DP946" s="213"/>
    </row>
    <row r="947" spans="1:120" s="766" customFormat="1" ht="15.75" thickBot="1">
      <c r="A947" s="755"/>
      <c r="B947" s="755"/>
      <c r="C947" s="756"/>
      <c r="D947" s="756"/>
      <c r="E947" s="757"/>
      <c r="F947" s="758"/>
      <c r="G947" s="758"/>
      <c r="H947" s="759"/>
      <c r="I947" s="760"/>
      <c r="J947" s="1388"/>
      <c r="K947" s="1388"/>
      <c r="L947" s="761"/>
      <c r="M947" s="761"/>
      <c r="N947" s="759"/>
      <c r="O947" s="760"/>
      <c r="P947" s="762"/>
      <c r="Q947" s="762"/>
      <c r="R947" s="759"/>
      <c r="S947" s="759"/>
      <c r="T947" s="760"/>
      <c r="U947" s="758"/>
      <c r="V947" s="763"/>
      <c r="W947" s="760"/>
      <c r="X947" s="760"/>
      <c r="Y947" s="756"/>
      <c r="Z947" s="764"/>
      <c r="AA947" s="764"/>
      <c r="AB947" s="764"/>
      <c r="AC947" s="764"/>
      <c r="AD947" s="764"/>
      <c r="AE947" s="764"/>
      <c r="AF947" s="765"/>
      <c r="AG947" s="765"/>
      <c r="AH947" s="765"/>
      <c r="AI947" s="765"/>
      <c r="AJ947" s="765"/>
      <c r="AK947" s="765"/>
      <c r="AL947" s="1579"/>
      <c r="AM947" s="765"/>
      <c r="AN947" s="765"/>
      <c r="AO947" s="765"/>
      <c r="AP947" s="765"/>
      <c r="AQ947" s="765"/>
      <c r="AR947" s="765"/>
      <c r="AS947" s="765"/>
      <c r="AT947" s="765"/>
      <c r="AU947" s="765"/>
      <c r="AV947" s="765"/>
      <c r="AW947" s="765"/>
      <c r="AX947" s="765"/>
      <c r="AY947" s="765"/>
      <c r="AZ947" s="765"/>
      <c r="BA947" s="765"/>
      <c r="BB947" s="765"/>
      <c r="BC947" s="765"/>
      <c r="BD947" s="765"/>
      <c r="BE947" s="765"/>
      <c r="BF947" s="765"/>
      <c r="BG947" s="765"/>
      <c r="BH947" s="765"/>
      <c r="BI947" s="765"/>
      <c r="BJ947" s="765"/>
      <c r="BK947" s="765"/>
      <c r="BL947" s="765"/>
      <c r="BM947" s="765"/>
      <c r="BN947" s="765"/>
      <c r="BO947" s="765"/>
      <c r="BP947" s="765"/>
      <c r="BQ947" s="765"/>
      <c r="BR947" s="765"/>
      <c r="BS947" s="765"/>
      <c r="BT947" s="765"/>
      <c r="BU947" s="765"/>
      <c r="BV947" s="765"/>
      <c r="BW947" s="765"/>
      <c r="BX947" s="765"/>
      <c r="BY947" s="765"/>
      <c r="BZ947" s="765"/>
      <c r="CA947" s="765"/>
      <c r="CB947" s="765"/>
      <c r="CC947" s="765"/>
      <c r="CD947" s="765"/>
      <c r="CE947" s="765"/>
      <c r="CF947" s="765"/>
      <c r="CG947" s="765"/>
      <c r="CH947" s="765"/>
      <c r="CI947" s="765"/>
      <c r="CJ947" s="765"/>
      <c r="CK947" s="765"/>
      <c r="CL947" s="765"/>
      <c r="CM947" s="765"/>
      <c r="CN947" s="765"/>
      <c r="CO947" s="765"/>
      <c r="CP947" s="765"/>
      <c r="CQ947" s="765"/>
      <c r="CR947" s="765"/>
      <c r="CS947" s="765"/>
      <c r="CT947" s="765"/>
      <c r="CU947" s="765"/>
      <c r="CV947" s="765"/>
      <c r="CW947" s="765"/>
      <c r="CX947" s="765"/>
      <c r="CY947" s="765"/>
      <c r="CZ947" s="765"/>
      <c r="DA947" s="765"/>
      <c r="DB947" s="765"/>
      <c r="DC947" s="765"/>
      <c r="DD947" s="765"/>
      <c r="DE947" s="765"/>
      <c r="DF947" s="765"/>
      <c r="DG947" s="765"/>
      <c r="DH947" s="765"/>
      <c r="DI947" s="765"/>
      <c r="DJ947" s="765"/>
      <c r="DK947" s="765"/>
      <c r="DL947" s="765"/>
      <c r="DM947" s="765"/>
      <c r="DN947" s="765"/>
      <c r="DO947" s="765"/>
      <c r="DP947" s="765"/>
    </row>
    <row r="948" spans="1:120" ht="19.5" thickBot="1">
      <c r="A948" s="488" t="s">
        <v>215</v>
      </c>
      <c r="B948" s="489"/>
      <c r="C948" s="490"/>
      <c r="D948" s="490"/>
      <c r="E948" s="491"/>
      <c r="F948" s="492"/>
      <c r="G948" s="492"/>
      <c r="H948" s="493"/>
      <c r="I948" s="494"/>
      <c r="J948" s="494"/>
      <c r="K948" s="494"/>
      <c r="L948" s="495"/>
      <c r="M948" s="495"/>
      <c r="N948" s="493"/>
      <c r="O948" s="494"/>
      <c r="P948" s="492"/>
      <c r="Q948" s="492"/>
      <c r="R948" s="492"/>
      <c r="S948" s="493"/>
      <c r="T948" s="494"/>
      <c r="U948" s="489"/>
      <c r="V948" s="489"/>
      <c r="W948" s="494"/>
      <c r="X948" s="494"/>
      <c r="Y948" s="496"/>
      <c r="AA948" s="14"/>
      <c r="AB948" s="14"/>
      <c r="AC948" s="14"/>
      <c r="AD948" s="14"/>
      <c r="AE948" s="1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  <c r="BN948" s="24"/>
      <c r="BO948" s="24"/>
      <c r="BP948" s="24"/>
      <c r="BQ948" s="24"/>
      <c r="BR948" s="24"/>
      <c r="BS948" s="24"/>
      <c r="BT948" s="24"/>
      <c r="BU948" s="24"/>
      <c r="BV948" s="24"/>
      <c r="BW948" s="24"/>
      <c r="BX948" s="24"/>
      <c r="BY948" s="24"/>
      <c r="BZ948" s="24"/>
      <c r="CA948" s="24"/>
      <c r="CB948" s="24"/>
      <c r="CC948" s="24"/>
      <c r="CD948" s="24"/>
      <c r="CE948" s="24"/>
      <c r="CF948" s="24"/>
      <c r="CG948" s="24"/>
      <c r="CH948" s="24"/>
      <c r="CI948" s="24"/>
      <c r="CJ948" s="24"/>
      <c r="CK948" s="24"/>
      <c r="CL948" s="24"/>
      <c r="CM948" s="24"/>
      <c r="CN948" s="24"/>
      <c r="CO948" s="24"/>
      <c r="CP948" s="24"/>
      <c r="CQ948" s="24"/>
      <c r="CR948" s="24"/>
      <c r="CS948" s="24"/>
      <c r="CT948" s="24"/>
      <c r="CU948" s="24"/>
      <c r="CV948" s="24"/>
      <c r="CW948" s="24"/>
      <c r="CX948" s="24"/>
      <c r="CY948" s="24"/>
      <c r="CZ948" s="24"/>
      <c r="DA948" s="24"/>
      <c r="DB948" s="24"/>
      <c r="DC948" s="24"/>
      <c r="DD948" s="24"/>
      <c r="DE948" s="24"/>
      <c r="DF948" s="24"/>
      <c r="DG948" s="24"/>
      <c r="DH948" s="24"/>
      <c r="DI948" s="24"/>
      <c r="DJ948" s="24"/>
      <c r="DK948" s="24"/>
      <c r="DL948" s="24"/>
      <c r="DM948" s="24"/>
      <c r="DN948" s="24"/>
      <c r="DO948" s="24"/>
      <c r="DP948" s="24"/>
    </row>
    <row r="949" spans="1:120" s="27" customFormat="1" ht="21">
      <c r="A949" s="827" t="s">
        <v>91</v>
      </c>
      <c r="B949" s="828"/>
      <c r="C949" s="2558" t="s">
        <v>57</v>
      </c>
      <c r="D949" s="2560" t="s">
        <v>59</v>
      </c>
      <c r="E949" s="2562" t="s">
        <v>58</v>
      </c>
      <c r="F949" s="2564" t="str">
        <f>+F6</f>
        <v>SALDO FISCAL 31/12/2022</v>
      </c>
      <c r="G949" s="2565"/>
      <c r="H949" s="2565"/>
      <c r="I949" s="2566"/>
      <c r="J949" s="1240"/>
      <c r="K949" s="1240"/>
      <c r="L949" s="2569" t="str">
        <f>+L6</f>
        <v>ENTRADAS</v>
      </c>
      <c r="M949" s="2570"/>
      <c r="N949" s="2570"/>
      <c r="O949" s="2571"/>
      <c r="P949" s="2572" t="str">
        <f>+P6</f>
        <v>SALIDAS</v>
      </c>
      <c r="Q949" s="2573"/>
      <c r="R949" s="2573"/>
      <c r="S949" s="2573"/>
      <c r="T949" s="2574"/>
      <c r="U949" s="2575" t="s">
        <v>62</v>
      </c>
      <c r="V949" s="2576"/>
      <c r="W949" s="2577" t="s">
        <v>63</v>
      </c>
      <c r="X949" s="2578"/>
      <c r="Y949" s="2579"/>
      <c r="Z949" s="44"/>
      <c r="AA949" s="44"/>
      <c r="AB949" s="44"/>
      <c r="AC949" s="44"/>
      <c r="AD949" s="44"/>
      <c r="AE949" s="44"/>
      <c r="AF949" s="213"/>
      <c r="AG949" s="213"/>
      <c r="AH949" s="213"/>
      <c r="AI949" s="213"/>
      <c r="AJ949" s="213"/>
      <c r="AK949" s="213"/>
      <c r="AL949" s="213"/>
      <c r="AM949" s="213"/>
      <c r="AN949" s="213"/>
      <c r="AO949" s="213"/>
      <c r="AP949" s="213"/>
      <c r="AQ949" s="213"/>
      <c r="AR949" s="213"/>
      <c r="AS949" s="213"/>
      <c r="AT949" s="213"/>
      <c r="AU949" s="213"/>
      <c r="AV949" s="213"/>
      <c r="AW949" s="213"/>
      <c r="AX949" s="213"/>
      <c r="AY949" s="213"/>
      <c r="AZ949" s="213"/>
      <c r="BA949" s="213"/>
      <c r="BB949" s="213"/>
      <c r="BC949" s="213"/>
      <c r="BD949" s="213"/>
      <c r="BE949" s="213"/>
      <c r="BF949" s="213"/>
      <c r="BG949" s="213"/>
      <c r="BH949" s="213"/>
      <c r="BI949" s="213"/>
      <c r="BJ949" s="213"/>
      <c r="BK949" s="213"/>
      <c r="BL949" s="213"/>
      <c r="BM949" s="213"/>
      <c r="BN949" s="213"/>
      <c r="BO949" s="213"/>
      <c r="BP949" s="213"/>
      <c r="BQ949" s="213"/>
      <c r="BR949" s="213"/>
      <c r="BS949" s="213"/>
      <c r="BT949" s="213"/>
      <c r="BU949" s="213"/>
      <c r="BV949" s="213"/>
      <c r="BW949" s="213"/>
      <c r="BX949" s="213"/>
      <c r="BY949" s="213"/>
      <c r="BZ949" s="213"/>
      <c r="CA949" s="213"/>
      <c r="CB949" s="213"/>
      <c r="CC949" s="213"/>
      <c r="CD949" s="213"/>
      <c r="CE949" s="213"/>
      <c r="CF949" s="213"/>
      <c r="CG949" s="213"/>
      <c r="CH949" s="213"/>
      <c r="CI949" s="213"/>
      <c r="CJ949" s="213"/>
      <c r="CK949" s="213"/>
      <c r="CL949" s="213"/>
      <c r="CM949" s="213"/>
      <c r="CN949" s="213"/>
      <c r="CO949" s="213"/>
      <c r="CP949" s="213"/>
      <c r="CQ949" s="213"/>
      <c r="CR949" s="213"/>
      <c r="CS949" s="213"/>
      <c r="CT949" s="213"/>
      <c r="CU949" s="213"/>
      <c r="CV949" s="213"/>
      <c r="CW949" s="213"/>
      <c r="CX949" s="213"/>
      <c r="CY949" s="213"/>
      <c r="CZ949" s="213"/>
      <c r="DA949" s="213"/>
      <c r="DB949" s="213"/>
      <c r="DC949" s="213"/>
      <c r="DD949" s="213"/>
      <c r="DE949" s="213"/>
      <c r="DF949" s="213"/>
      <c r="DG949" s="213"/>
      <c r="DH949" s="213"/>
      <c r="DI949" s="213"/>
      <c r="DJ949" s="213"/>
      <c r="DK949" s="213"/>
      <c r="DL949" s="213"/>
      <c r="DM949" s="213"/>
      <c r="DN949" s="213"/>
      <c r="DO949" s="213"/>
      <c r="DP949" s="213"/>
    </row>
    <row r="950" spans="1:120" s="216" customFormat="1" ht="15.75" hidden="1" outlineLevel="1" thickBot="1">
      <c r="A950" s="253" t="s">
        <v>87</v>
      </c>
      <c r="B950" s="254" t="s">
        <v>88</v>
      </c>
      <c r="C950" s="2559"/>
      <c r="D950" s="2561"/>
      <c r="E950" s="2563"/>
      <c r="F950" s="30" t="s">
        <v>64</v>
      </c>
      <c r="G950" s="1249"/>
      <c r="H950" s="31" t="s">
        <v>65</v>
      </c>
      <c r="I950" s="32" t="s">
        <v>66</v>
      </c>
      <c r="J950" s="1365"/>
      <c r="K950" s="1365"/>
      <c r="L950" s="33" t="s">
        <v>67</v>
      </c>
      <c r="M950" s="1297"/>
      <c r="N950" s="34" t="s">
        <v>68</v>
      </c>
      <c r="O950" s="35" t="s">
        <v>69</v>
      </c>
      <c r="P950" s="36" t="s">
        <v>70</v>
      </c>
      <c r="Q950" s="1338"/>
      <c r="R950" s="37" t="s">
        <v>68</v>
      </c>
      <c r="S950" s="37" t="s">
        <v>71</v>
      </c>
      <c r="T950" s="38" t="s">
        <v>72</v>
      </c>
      <c r="U950" s="39" t="s">
        <v>73</v>
      </c>
      <c r="V950" s="40" t="s">
        <v>74</v>
      </c>
      <c r="W950" s="41" t="s">
        <v>75</v>
      </c>
      <c r="X950" s="42" t="s">
        <v>76</v>
      </c>
      <c r="Y950" s="43"/>
      <c r="Z950" s="214"/>
      <c r="AA950" s="214"/>
      <c r="AB950" s="214"/>
      <c r="AC950" s="214"/>
      <c r="AD950" s="214"/>
      <c r="AE950" s="214"/>
      <c r="AF950" s="215"/>
      <c r="AG950" s="215"/>
      <c r="AH950" s="215"/>
      <c r="AI950" s="215"/>
      <c r="AJ950" s="215"/>
      <c r="AK950" s="215"/>
      <c r="AL950" s="215"/>
      <c r="AM950" s="215"/>
      <c r="AN950" s="215"/>
      <c r="AO950" s="215"/>
      <c r="AP950" s="215"/>
      <c r="AQ950" s="215"/>
      <c r="AR950" s="215"/>
      <c r="AS950" s="215"/>
      <c r="AT950" s="215"/>
      <c r="AU950" s="215"/>
      <c r="AV950" s="215"/>
      <c r="AW950" s="215"/>
      <c r="AX950" s="215"/>
      <c r="AY950" s="215"/>
      <c r="AZ950" s="215"/>
      <c r="BA950" s="215"/>
      <c r="BB950" s="215"/>
      <c r="BC950" s="215"/>
      <c r="BD950" s="215"/>
      <c r="BE950" s="215"/>
      <c r="BF950" s="215"/>
      <c r="BG950" s="215"/>
      <c r="BH950" s="215"/>
      <c r="BI950" s="215"/>
      <c r="BJ950" s="215"/>
      <c r="BK950" s="215"/>
      <c r="BL950" s="215"/>
      <c r="BM950" s="215"/>
      <c r="BN950" s="215"/>
      <c r="BO950" s="215"/>
      <c r="BP950" s="215"/>
      <c r="BQ950" s="215"/>
      <c r="BR950" s="215"/>
      <c r="BS950" s="215"/>
      <c r="BT950" s="215"/>
      <c r="BU950" s="215"/>
      <c r="BV950" s="215"/>
      <c r="BW950" s="215"/>
      <c r="BX950" s="215"/>
      <c r="BY950" s="215"/>
      <c r="BZ950" s="215"/>
      <c r="CA950" s="215"/>
      <c r="CB950" s="215"/>
      <c r="CC950" s="215"/>
      <c r="CD950" s="215"/>
      <c r="CE950" s="215"/>
      <c r="CF950" s="215"/>
      <c r="CG950" s="215"/>
      <c r="CH950" s="215"/>
      <c r="CI950" s="215"/>
      <c r="CJ950" s="215"/>
      <c r="CK950" s="215"/>
      <c r="CL950" s="215"/>
      <c r="CM950" s="215"/>
      <c r="CN950" s="215"/>
      <c r="CO950" s="215"/>
      <c r="CP950" s="215"/>
      <c r="CQ950" s="215"/>
      <c r="CR950" s="215"/>
      <c r="CS950" s="215"/>
      <c r="CT950" s="215"/>
      <c r="CU950" s="215"/>
      <c r="CV950" s="215"/>
      <c r="CW950" s="215"/>
      <c r="CX950" s="215"/>
      <c r="CY950" s="215"/>
      <c r="CZ950" s="215"/>
      <c r="DA950" s="215"/>
      <c r="DB950" s="215"/>
      <c r="DC950" s="215"/>
      <c r="DD950" s="215"/>
      <c r="DE950" s="215"/>
      <c r="DF950" s="215"/>
      <c r="DG950" s="215"/>
      <c r="DH950" s="215"/>
      <c r="DI950" s="215"/>
      <c r="DJ950" s="215"/>
      <c r="DK950" s="215"/>
      <c r="DL950" s="215"/>
      <c r="DM950" s="215"/>
      <c r="DN950" s="215"/>
      <c r="DO950" s="215"/>
      <c r="DP950" s="215"/>
    </row>
    <row r="951" spans="1:120" ht="15.75" hidden="1" outlineLevel="1">
      <c r="A951" s="618">
        <v>2309110000</v>
      </c>
      <c r="B951" s="619" t="s">
        <v>77</v>
      </c>
      <c r="C951" s="771" t="s">
        <v>64</v>
      </c>
      <c r="D951" s="622"/>
      <c r="E951" s="772"/>
      <c r="F951" s="773"/>
      <c r="G951" s="1273"/>
      <c r="H951" s="620"/>
      <c r="I951" s="774">
        <f>+F951*H951</f>
        <v>0</v>
      </c>
      <c r="J951" s="1367"/>
      <c r="K951" s="1367"/>
      <c r="L951" s="775"/>
      <c r="M951" s="1303"/>
      <c r="N951" s="620"/>
      <c r="O951" s="774">
        <f>+L951*N951</f>
        <v>0</v>
      </c>
      <c r="P951" s="773"/>
      <c r="Q951" s="1273"/>
      <c r="R951" s="620"/>
      <c r="S951" s="620"/>
      <c r="T951" s="774">
        <f>+P951*S951</f>
        <v>0</v>
      </c>
      <c r="U951" s="773">
        <f>+L951+P951+F951</f>
        <v>0</v>
      </c>
      <c r="V951" s="774">
        <f>+P951*R951+L951*N951+F951*H951</f>
        <v>0</v>
      </c>
      <c r="W951" s="776">
        <f>-(IF((-P951*R951)-(-P951*S951)&lt;0,(-P951*R951)-(-P951*S951),0))</f>
        <v>0</v>
      </c>
      <c r="X951" s="621">
        <f>-(IF((-P951*R951)-(-P951*S951)&gt;0,(-P951*R951)-(-P951*S951),0))</f>
        <v>0</v>
      </c>
      <c r="Y951" s="622"/>
      <c r="AA951" s="14"/>
      <c r="AB951" s="14"/>
      <c r="AC951" s="14"/>
      <c r="AD951" s="14"/>
      <c r="AE951" s="1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  <c r="BQ951" s="24"/>
      <c r="BR951" s="24"/>
      <c r="BS951" s="24"/>
      <c r="BT951" s="24"/>
      <c r="BU951" s="24"/>
      <c r="BV951" s="24"/>
      <c r="BW951" s="24"/>
      <c r="BX951" s="24"/>
      <c r="BY951" s="24"/>
      <c r="BZ951" s="24"/>
      <c r="CA951" s="24"/>
      <c r="CB951" s="24"/>
      <c r="CC951" s="24"/>
      <c r="CD951" s="24"/>
      <c r="CE951" s="24"/>
      <c r="CF951" s="24"/>
      <c r="CG951" s="24"/>
      <c r="CH951" s="24"/>
      <c r="CI951" s="24"/>
      <c r="CJ951" s="24"/>
      <c r="CK951" s="24"/>
      <c r="CL951" s="24"/>
      <c r="CM951" s="24"/>
      <c r="CN951" s="24"/>
      <c r="CO951" s="24"/>
      <c r="CP951" s="24"/>
      <c r="CQ951" s="24"/>
      <c r="CR951" s="24"/>
      <c r="CS951" s="24"/>
      <c r="CT951" s="24"/>
      <c r="CU951" s="24"/>
      <c r="CV951" s="24"/>
      <c r="CW951" s="24"/>
      <c r="CX951" s="24"/>
      <c r="CY951" s="24"/>
      <c r="CZ951" s="24"/>
      <c r="DA951" s="24"/>
      <c r="DB951" s="24"/>
      <c r="DC951" s="24"/>
      <c r="DD951" s="24"/>
      <c r="DE951" s="24"/>
      <c r="DF951" s="24"/>
      <c r="DG951" s="24"/>
      <c r="DH951" s="24"/>
      <c r="DI951" s="24"/>
      <c r="DJ951" s="24"/>
      <c r="DK951" s="24"/>
      <c r="DL951" s="24"/>
      <c r="DM951" s="24"/>
      <c r="DN951" s="24"/>
      <c r="DO951" s="24"/>
      <c r="DP951" s="24"/>
    </row>
    <row r="952" spans="1:120" hidden="1" outlineLevel="2">
      <c r="A952" s="228">
        <v>2309110000</v>
      </c>
      <c r="B952" s="509" t="s">
        <v>79</v>
      </c>
      <c r="C952" s="679" t="s">
        <v>64</v>
      </c>
      <c r="D952" s="680"/>
      <c r="E952" s="219"/>
      <c r="F952" s="416"/>
      <c r="G952" s="1251"/>
      <c r="H952" s="676"/>
      <c r="I952" s="681"/>
      <c r="J952" s="1386"/>
      <c r="K952" s="1386"/>
      <c r="L952" s="438"/>
      <c r="M952" s="1302"/>
      <c r="N952" s="504"/>
      <c r="O952" s="682">
        <f>+L952*N952</f>
        <v>0</v>
      </c>
      <c r="P952" s="431"/>
      <c r="Q952" s="514"/>
      <c r="R952" s="515"/>
      <c r="S952" s="515"/>
      <c r="T952" s="562">
        <f>+P952*S952</f>
        <v>0</v>
      </c>
      <c r="U952" s="418">
        <f>+L952+P952+F952</f>
        <v>0</v>
      </c>
      <c r="V952" s="517">
        <f>+P952*R952+L952*N952+F952*H952</f>
        <v>0</v>
      </c>
      <c r="W952" s="976">
        <f>-(IF((-P952*R952)-(-P952*S952)&lt;0,(-P952*R952)-(-P952*S952),0))</f>
        <v>0</v>
      </c>
      <c r="X952" s="975">
        <f>-(IF((-P952*R952)-(-P952*S952)&gt;0,(-P952*R952)-(-P952*S952),0))</f>
        <v>0</v>
      </c>
      <c r="Y952" s="519"/>
      <c r="AA952" s="24"/>
      <c r="AB952" s="24"/>
      <c r="AC952" s="24"/>
      <c r="AD952" s="24"/>
      <c r="AE952" s="24"/>
    </row>
    <row r="953" spans="1:120" hidden="1" outlineLevel="2">
      <c r="A953" s="228">
        <v>2309110000</v>
      </c>
      <c r="B953" s="509" t="s">
        <v>79</v>
      </c>
      <c r="C953" s="679" t="s">
        <v>64</v>
      </c>
      <c r="D953" s="680"/>
      <c r="E953" s="219"/>
      <c r="F953" s="416"/>
      <c r="G953" s="1251"/>
      <c r="H953" s="676"/>
      <c r="I953" s="681"/>
      <c r="J953" s="1386"/>
      <c r="K953" s="1386"/>
      <c r="L953" s="438"/>
      <c r="M953" s="1302"/>
      <c r="N953" s="504"/>
      <c r="O953" s="682">
        <f>+L953*N953</f>
        <v>0</v>
      </c>
      <c r="P953" s="431"/>
      <c r="Q953" s="514"/>
      <c r="R953" s="515"/>
      <c r="S953" s="515"/>
      <c r="T953" s="562">
        <f>+P953*S953</f>
        <v>0</v>
      </c>
      <c r="U953" s="418">
        <f>+L953+P953+F953</f>
        <v>0</v>
      </c>
      <c r="V953" s="517">
        <f>+P953*R953+L953*N953+F953*H953</f>
        <v>0</v>
      </c>
      <c r="W953" s="976">
        <f>-(IF((-P953*R953)-(-P953*S953)&lt;0,(-P953*R953)-(-P953*S953),0))</f>
        <v>0</v>
      </c>
      <c r="X953" s="975">
        <f>-(IF((-P953*R953)-(-P953*S953)&gt;0,(-P953*R953)-(-P953*S953),0))</f>
        <v>0</v>
      </c>
      <c r="Y953" s="519"/>
      <c r="AA953" s="24"/>
      <c r="AB953" s="24"/>
      <c r="AC953" s="24"/>
      <c r="AD953" s="24"/>
      <c r="AE953" s="24"/>
    </row>
    <row r="954" spans="1:120" hidden="1" outlineLevel="2">
      <c r="A954" s="89"/>
      <c r="B954" s="90"/>
      <c r="C954" s="255"/>
      <c r="D954" s="257"/>
      <c r="E954" s="256"/>
      <c r="F954" s="420"/>
      <c r="G954" s="1256"/>
      <c r="H954" s="676"/>
      <c r="I954" s="681"/>
      <c r="J954" s="1391"/>
      <c r="K954" s="1391"/>
      <c r="L954" s="446"/>
      <c r="M954" s="1304"/>
      <c r="N954" s="415"/>
      <c r="O954" s="682">
        <f>+L954*N954</f>
        <v>0</v>
      </c>
      <c r="P954" s="447"/>
      <c r="Q954" s="1340"/>
      <c r="R954" s="426"/>
      <c r="S954" s="426"/>
      <c r="T954" s="562">
        <f>+P954*S954</f>
        <v>0</v>
      </c>
      <c r="U954" s="418">
        <f>+L954+P954+F954</f>
        <v>0</v>
      </c>
      <c r="V954" s="517">
        <f>+P954*R954+L954*N954+F954*H954</f>
        <v>0</v>
      </c>
      <c r="W954" s="976">
        <f>-(IF((-P954*R954)-(-P954*S954)&lt;0,(-P954*R954)-(-P954*S954),0))</f>
        <v>0</v>
      </c>
      <c r="X954" s="975">
        <f>-(IF((-P954*R954)-(-P954*S954)&gt;0,(-P954*R954)-(-P954*S954),0))</f>
        <v>0</v>
      </c>
      <c r="Y954" s="519"/>
      <c r="AA954" s="24"/>
      <c r="AB954" s="24"/>
      <c r="AC954" s="24"/>
      <c r="AD954" s="24"/>
      <c r="AE954" s="24"/>
    </row>
    <row r="955" spans="1:120" hidden="1" outlineLevel="2">
      <c r="A955" s="89"/>
      <c r="B955" s="90"/>
      <c r="C955" s="255"/>
      <c r="D955" s="257"/>
      <c r="E955" s="256"/>
      <c r="F955" s="420"/>
      <c r="G955" s="1256"/>
      <c r="H955" s="676"/>
      <c r="I955" s="681"/>
      <c r="J955" s="1391"/>
      <c r="K955" s="1391"/>
      <c r="L955" s="446"/>
      <c r="M955" s="1304"/>
      <c r="N955" s="415"/>
      <c r="O955" s="448"/>
      <c r="P955" s="447"/>
      <c r="Q955" s="1340"/>
      <c r="R955" s="426"/>
      <c r="S955" s="426"/>
      <c r="T955" s="427"/>
      <c r="U955" s="977"/>
      <c r="V955" s="978"/>
      <c r="W955" s="428"/>
      <c r="X955" s="429"/>
      <c r="Y955" s="92"/>
      <c r="AA955" s="24"/>
      <c r="AB955" s="24"/>
      <c r="AC955" s="24"/>
      <c r="AD955" s="24"/>
      <c r="AE955" s="24"/>
    </row>
    <row r="956" spans="1:120" ht="15.75" hidden="1" outlineLevel="1">
      <c r="A956" s="961">
        <v>2422091000</v>
      </c>
      <c r="B956" s="962" t="s">
        <v>197</v>
      </c>
      <c r="C956" s="217" t="s">
        <v>64</v>
      </c>
      <c r="D956" s="967"/>
      <c r="E956" s="969"/>
      <c r="F956" s="964"/>
      <c r="G956" s="1250"/>
      <c r="H956" s="47"/>
      <c r="I956" s="965">
        <f>+F956*H956</f>
        <v>0</v>
      </c>
      <c r="J956" s="1366"/>
      <c r="K956" s="1366"/>
      <c r="L956" s="218"/>
      <c r="M956" s="1309"/>
      <c r="N956" s="47"/>
      <c r="O956" s="965">
        <f>+L956*N956</f>
        <v>0</v>
      </c>
      <c r="P956" s="964"/>
      <c r="Q956" s="1250"/>
      <c r="R956" s="47"/>
      <c r="S956" s="47"/>
      <c r="T956" s="965">
        <f>+P956*S956</f>
        <v>0</v>
      </c>
      <c r="U956" s="964">
        <f>+L956+P956+F956</f>
        <v>0</v>
      </c>
      <c r="V956" s="965">
        <f>+P956*R956+L956*N956+F956*H956</f>
        <v>0</v>
      </c>
      <c r="W956" s="968">
        <f>-(IF(R956&lt;S956,(-P956*R956)-(-P956*S956),0))</f>
        <v>0</v>
      </c>
      <c r="X956" s="966">
        <f>-(IF(R956&gt;S956,(-P956*R956)-(-P956*S956),0))</f>
        <v>0</v>
      </c>
      <c r="Y956" s="967"/>
      <c r="AA956" s="24"/>
      <c r="AB956" s="24"/>
      <c r="AC956" s="24"/>
      <c r="AD956" s="24"/>
      <c r="AE956" s="24"/>
    </row>
    <row r="957" spans="1:120" ht="15.75" hidden="1" outlineLevel="1">
      <c r="A957" s="961">
        <v>2422091000</v>
      </c>
      <c r="B957" s="962" t="s">
        <v>197</v>
      </c>
      <c r="C957" s="217" t="s">
        <v>64</v>
      </c>
      <c r="D957" s="967"/>
      <c r="E957" s="969"/>
      <c r="F957" s="964"/>
      <c r="G957" s="1250"/>
      <c r="H957" s="47"/>
      <c r="I957" s="965">
        <f>+F957*H957</f>
        <v>0</v>
      </c>
      <c r="J957" s="1366"/>
      <c r="K957" s="1366"/>
      <c r="L957" s="218"/>
      <c r="M957" s="1309"/>
      <c r="N957" s="47"/>
      <c r="O957" s="965">
        <f>+L957*N957</f>
        <v>0</v>
      </c>
      <c r="P957" s="964"/>
      <c r="Q957" s="1250"/>
      <c r="R957" s="47"/>
      <c r="S957" s="47"/>
      <c r="T957" s="965">
        <f>+P957*S957</f>
        <v>0</v>
      </c>
      <c r="U957" s="964">
        <f>+L957+P957+F957</f>
        <v>0</v>
      </c>
      <c r="V957" s="965">
        <f>+P957*R957+L957*N957+F957*H957</f>
        <v>0</v>
      </c>
      <c r="W957" s="968">
        <f>-(IF(R957&lt;S957,(-P957*R957)-(-P957*S957),0))</f>
        <v>0</v>
      </c>
      <c r="X957" s="966">
        <f>-(IF(R957&gt;S957,(-P957*R957)-(-P957*S957),0))</f>
        <v>0</v>
      </c>
      <c r="Y957" s="967"/>
      <c r="AA957" s="24"/>
      <c r="AB957" s="24"/>
      <c r="AC957" s="24"/>
      <c r="AD957" s="24"/>
      <c r="AE957" s="24"/>
    </row>
    <row r="958" spans="1:120" ht="15.75" hidden="1" outlineLevel="1">
      <c r="A958" s="961">
        <v>2422091000</v>
      </c>
      <c r="B958" s="962" t="s">
        <v>197</v>
      </c>
      <c r="C958" s="217" t="s">
        <v>64</v>
      </c>
      <c r="D958" s="967"/>
      <c r="E958" s="969"/>
      <c r="F958" s="964"/>
      <c r="G958" s="1250"/>
      <c r="H958" s="47"/>
      <c r="I958" s="965">
        <f>+F958*H958</f>
        <v>0</v>
      </c>
      <c r="J958" s="1366"/>
      <c r="K958" s="1366"/>
      <c r="L958" s="218"/>
      <c r="M958" s="1309"/>
      <c r="N958" s="47"/>
      <c r="O958" s="965">
        <f>+L958*N958</f>
        <v>0</v>
      </c>
      <c r="P958" s="964"/>
      <c r="Q958" s="1250"/>
      <c r="R958" s="47"/>
      <c r="S958" s="47"/>
      <c r="T958" s="965">
        <f>+P958*S958</f>
        <v>0</v>
      </c>
      <c r="U958" s="964">
        <f>+L958+P958+F958</f>
        <v>0</v>
      </c>
      <c r="V958" s="965">
        <f>+P958*R958+L958*N958+F958*H958</f>
        <v>0</v>
      </c>
      <c r="W958" s="968">
        <f>-(IF(R958&lt;S958,(-P958*R958)-(-P958*S958),0))</f>
        <v>0</v>
      </c>
      <c r="X958" s="966">
        <f>-(IF(R958&gt;S958,(-P958*R958)-(-P958*S958),0))</f>
        <v>0</v>
      </c>
      <c r="Y958" s="967"/>
      <c r="AA958" s="24"/>
      <c r="AB958" s="24"/>
      <c r="AC958" s="24"/>
      <c r="AD958" s="24"/>
      <c r="AE958" s="24"/>
    </row>
    <row r="959" spans="1:120" hidden="1" outlineLevel="2">
      <c r="A959" s="89"/>
      <c r="B959" s="90"/>
      <c r="C959" s="255"/>
      <c r="D959" s="257"/>
      <c r="E959" s="256"/>
      <c r="F959" s="420"/>
      <c r="G959" s="1256"/>
      <c r="H959" s="676"/>
      <c r="I959" s="681"/>
      <c r="J959" s="1391"/>
      <c r="K959" s="1391"/>
      <c r="L959" s="446"/>
      <c r="M959" s="1304"/>
      <c r="N959" s="415"/>
      <c r="O959" s="448"/>
      <c r="P959" s="447"/>
      <c r="Q959" s="1340"/>
      <c r="R959" s="426"/>
      <c r="S959" s="426"/>
      <c r="T959" s="427"/>
      <c r="U959" s="977"/>
      <c r="V959" s="978"/>
      <c r="W959" s="428"/>
      <c r="X959" s="429"/>
      <c r="Y959" s="92"/>
      <c r="AA959" s="24"/>
      <c r="AB959" s="24"/>
      <c r="AC959" s="24"/>
      <c r="AD959" s="24"/>
      <c r="AE959" s="24"/>
    </row>
    <row r="960" spans="1:120" hidden="1" outlineLevel="2">
      <c r="A960" s="228">
        <v>2422091000</v>
      </c>
      <c r="B960" s="781" t="s">
        <v>92</v>
      </c>
      <c r="C960" s="782" t="s">
        <v>64</v>
      </c>
      <c r="D960" s="680"/>
      <c r="E960" s="229">
        <v>43496</v>
      </c>
      <c r="F960" s="416"/>
      <c r="G960" s="1251"/>
      <c r="H960" s="676"/>
      <c r="I960" s="681"/>
      <c r="J960" s="1386"/>
      <c r="K960" s="1386"/>
      <c r="L960" s="449"/>
      <c r="M960" s="1312"/>
      <c r="N960" s="786"/>
      <c r="O960" s="682">
        <f t="shared" ref="O960:O981" si="2353">+L960*N960</f>
        <v>0</v>
      </c>
      <c r="P960" s="431"/>
      <c r="Q960" s="514"/>
      <c r="R960" s="515"/>
      <c r="S960" s="515"/>
      <c r="T960" s="562">
        <f>+P960*S960</f>
        <v>0</v>
      </c>
      <c r="U960" s="418">
        <f t="shared" ref="U960:U981" si="2354">+L960+P960+F960</f>
        <v>0</v>
      </c>
      <c r="V960" s="517">
        <f t="shared" ref="V960:V981" si="2355">+P960*R960+L960*N960+F960*H960</f>
        <v>0</v>
      </c>
      <c r="W960" s="976">
        <f t="shared" ref="W960:W981" si="2356">-(IF(R960&lt;S960,(-P960*R960)-(-P960*S960),0))</f>
        <v>0</v>
      </c>
      <c r="X960" s="975">
        <f t="shared" ref="X960:X981" si="2357">-(IF(R960&gt;S960,(-P960*R960)-(-P960*S960),0))</f>
        <v>0</v>
      </c>
      <c r="Y960" s="519"/>
      <c r="AA960" s="24"/>
      <c r="AB960" s="24"/>
      <c r="AC960" s="24"/>
      <c r="AD960" s="24"/>
      <c r="AE960" s="24"/>
    </row>
    <row r="961" spans="1:31" hidden="1" outlineLevel="2">
      <c r="A961" s="228">
        <v>2422091000</v>
      </c>
      <c r="B961" s="781" t="s">
        <v>93</v>
      </c>
      <c r="C961" s="782" t="s">
        <v>64</v>
      </c>
      <c r="D961" s="680"/>
      <c r="E961" s="229">
        <v>43524</v>
      </c>
      <c r="F961" s="416"/>
      <c r="G961" s="1251"/>
      <c r="H961" s="676"/>
      <c r="I961" s="681"/>
      <c r="J961" s="1386"/>
      <c r="K961" s="1386"/>
      <c r="L961" s="449"/>
      <c r="M961" s="1312"/>
      <c r="N961" s="504"/>
      <c r="O961" s="682">
        <f t="shared" si="2353"/>
        <v>0</v>
      </c>
      <c r="P961" s="431"/>
      <c r="Q961" s="514"/>
      <c r="R961" s="515"/>
      <c r="S961" s="515"/>
      <c r="T961" s="562">
        <f>+P961*S961</f>
        <v>0</v>
      </c>
      <c r="U961" s="418">
        <f t="shared" si="2354"/>
        <v>0</v>
      </c>
      <c r="V961" s="517">
        <f t="shared" si="2355"/>
        <v>0</v>
      </c>
      <c r="W961" s="976">
        <f t="shared" si="2356"/>
        <v>0</v>
      </c>
      <c r="X961" s="975">
        <f t="shared" si="2357"/>
        <v>0</v>
      </c>
      <c r="Y961" s="519"/>
      <c r="AA961" s="24"/>
      <c r="AB961" s="24"/>
      <c r="AC961" s="24"/>
      <c r="AD961" s="24"/>
      <c r="AE961" s="24"/>
    </row>
    <row r="962" spans="1:31" hidden="1" outlineLevel="2">
      <c r="A962" s="228">
        <v>2422091000</v>
      </c>
      <c r="B962" s="781" t="s">
        <v>94</v>
      </c>
      <c r="C962" s="782" t="s">
        <v>64</v>
      </c>
      <c r="D962" s="680"/>
      <c r="E962" s="229">
        <v>43555</v>
      </c>
      <c r="F962" s="416"/>
      <c r="G962" s="1251"/>
      <c r="H962" s="676"/>
      <c r="I962" s="681"/>
      <c r="J962" s="1386"/>
      <c r="K962" s="1386"/>
      <c r="L962" s="449"/>
      <c r="M962" s="1312"/>
      <c r="N962" s="504"/>
      <c r="O962" s="682">
        <f t="shared" si="2353"/>
        <v>0</v>
      </c>
      <c r="P962" s="431"/>
      <c r="Q962" s="514"/>
      <c r="R962" s="515"/>
      <c r="S962" s="515"/>
      <c r="T962" s="562">
        <f>+P962*S962</f>
        <v>0</v>
      </c>
      <c r="U962" s="418">
        <f t="shared" si="2354"/>
        <v>0</v>
      </c>
      <c r="V962" s="517">
        <f t="shared" si="2355"/>
        <v>0</v>
      </c>
      <c r="W962" s="976">
        <f t="shared" si="2356"/>
        <v>0</v>
      </c>
      <c r="X962" s="975">
        <f t="shared" si="2357"/>
        <v>0</v>
      </c>
      <c r="Y962" s="519"/>
      <c r="AA962" s="24"/>
      <c r="AB962" s="24"/>
      <c r="AC962" s="24"/>
      <c r="AD962" s="24"/>
      <c r="AE962" s="24"/>
    </row>
    <row r="963" spans="1:31" hidden="1" outlineLevel="2">
      <c r="A963" s="228">
        <v>2422091000</v>
      </c>
      <c r="B963" s="781" t="s">
        <v>198</v>
      </c>
      <c r="C963" s="782" t="s">
        <v>64</v>
      </c>
      <c r="D963" s="680"/>
      <c r="E963" s="229">
        <v>43571</v>
      </c>
      <c r="F963" s="416"/>
      <c r="G963" s="1251"/>
      <c r="H963" s="676"/>
      <c r="I963" s="681"/>
      <c r="J963" s="1386"/>
      <c r="K963" s="1386"/>
      <c r="L963" s="449"/>
      <c r="M963" s="1312"/>
      <c r="N963" s="504"/>
      <c r="O963" s="682">
        <f t="shared" si="2353"/>
        <v>0</v>
      </c>
      <c r="P963" s="431"/>
      <c r="Q963" s="514"/>
      <c r="R963" s="515"/>
      <c r="S963" s="515"/>
      <c r="T963" s="562"/>
      <c r="U963" s="418">
        <f t="shared" si="2354"/>
        <v>0</v>
      </c>
      <c r="V963" s="517">
        <f t="shared" si="2355"/>
        <v>0</v>
      </c>
      <c r="W963" s="976">
        <f t="shared" si="2356"/>
        <v>0</v>
      </c>
      <c r="X963" s="975">
        <f t="shared" si="2357"/>
        <v>0</v>
      </c>
      <c r="Y963" s="519"/>
      <c r="AA963" s="24"/>
      <c r="AB963" s="24"/>
      <c r="AC963" s="24"/>
      <c r="AD963" s="24"/>
      <c r="AE963" s="24"/>
    </row>
    <row r="964" spans="1:31" hidden="1" outlineLevel="2">
      <c r="A964" s="228">
        <v>2422091000</v>
      </c>
      <c r="B964" s="781" t="s">
        <v>95</v>
      </c>
      <c r="C964" s="782" t="s">
        <v>64</v>
      </c>
      <c r="D964" s="680"/>
      <c r="E964" s="229">
        <v>43585</v>
      </c>
      <c r="F964" s="416"/>
      <c r="G964" s="1251"/>
      <c r="H964" s="676"/>
      <c r="I964" s="681"/>
      <c r="J964" s="1386"/>
      <c r="K964" s="1386"/>
      <c r="L964" s="449"/>
      <c r="M964" s="1312"/>
      <c r="N964" s="504"/>
      <c r="O964" s="682">
        <f t="shared" si="2353"/>
        <v>0</v>
      </c>
      <c r="P964" s="431"/>
      <c r="Q964" s="514"/>
      <c r="R964" s="515"/>
      <c r="S964" s="515"/>
      <c r="T964" s="562">
        <f t="shared" ref="T964:T981" si="2358">+P964*S964</f>
        <v>0</v>
      </c>
      <c r="U964" s="418">
        <f t="shared" si="2354"/>
        <v>0</v>
      </c>
      <c r="V964" s="517">
        <f t="shared" si="2355"/>
        <v>0</v>
      </c>
      <c r="W964" s="976">
        <f t="shared" si="2356"/>
        <v>0</v>
      </c>
      <c r="X964" s="975">
        <f t="shared" si="2357"/>
        <v>0</v>
      </c>
      <c r="Y964" s="519"/>
      <c r="AA964" s="24"/>
      <c r="AB964" s="24"/>
      <c r="AC964" s="24"/>
      <c r="AD964" s="24"/>
      <c r="AE964" s="24"/>
    </row>
    <row r="965" spans="1:31" hidden="1" outlineLevel="2">
      <c r="A965" s="228">
        <v>2422091000</v>
      </c>
      <c r="B965" s="781" t="s">
        <v>96</v>
      </c>
      <c r="C965" s="782" t="s">
        <v>64</v>
      </c>
      <c r="D965" s="680"/>
      <c r="E965" s="229">
        <v>43616</v>
      </c>
      <c r="F965" s="416"/>
      <c r="G965" s="1251"/>
      <c r="H965" s="676"/>
      <c r="I965" s="681"/>
      <c r="J965" s="1386"/>
      <c r="K965" s="1386"/>
      <c r="L965" s="449"/>
      <c r="M965" s="1312"/>
      <c r="N965" s="504"/>
      <c r="O965" s="682">
        <f t="shared" si="2353"/>
        <v>0</v>
      </c>
      <c r="P965" s="431"/>
      <c r="Q965" s="514"/>
      <c r="R965" s="515"/>
      <c r="S965" s="515"/>
      <c r="T965" s="562">
        <f t="shared" si="2358"/>
        <v>0</v>
      </c>
      <c r="U965" s="418">
        <f t="shared" si="2354"/>
        <v>0</v>
      </c>
      <c r="V965" s="517">
        <f t="shared" si="2355"/>
        <v>0</v>
      </c>
      <c r="W965" s="976">
        <f t="shared" si="2356"/>
        <v>0</v>
      </c>
      <c r="X965" s="975">
        <f t="shared" si="2357"/>
        <v>0</v>
      </c>
      <c r="Y965" s="519"/>
      <c r="AA965" s="24"/>
      <c r="AB965" s="24"/>
      <c r="AC965" s="24"/>
      <c r="AD965" s="24"/>
      <c r="AE965" s="24"/>
    </row>
    <row r="966" spans="1:31" hidden="1" outlineLevel="2">
      <c r="A966" s="228">
        <v>2422091000</v>
      </c>
      <c r="B966" s="781" t="s">
        <v>97</v>
      </c>
      <c r="C966" s="782" t="s">
        <v>64</v>
      </c>
      <c r="D966" s="680"/>
      <c r="E966" s="229">
        <v>43646</v>
      </c>
      <c r="F966" s="416"/>
      <c r="G966" s="1251"/>
      <c r="H966" s="676"/>
      <c r="I966" s="681"/>
      <c r="J966" s="1386"/>
      <c r="K966" s="1386"/>
      <c r="L966" s="449"/>
      <c r="M966" s="1312"/>
      <c r="N966" s="504"/>
      <c r="O966" s="682">
        <f t="shared" si="2353"/>
        <v>0</v>
      </c>
      <c r="P966" s="431"/>
      <c r="Q966" s="514"/>
      <c r="R966" s="515"/>
      <c r="S966" s="515"/>
      <c r="T966" s="562">
        <f t="shared" si="2358"/>
        <v>0</v>
      </c>
      <c r="U966" s="418">
        <f t="shared" si="2354"/>
        <v>0</v>
      </c>
      <c r="V966" s="517">
        <f t="shared" si="2355"/>
        <v>0</v>
      </c>
      <c r="W966" s="976">
        <f t="shared" si="2356"/>
        <v>0</v>
      </c>
      <c r="X966" s="975">
        <f t="shared" si="2357"/>
        <v>0</v>
      </c>
      <c r="Y966" s="519"/>
      <c r="AA966" s="24"/>
      <c r="AB966" s="24"/>
      <c r="AC966" s="24"/>
      <c r="AD966" s="24"/>
      <c r="AE966" s="24"/>
    </row>
    <row r="967" spans="1:31" hidden="1" outlineLevel="2">
      <c r="A967" s="228">
        <v>2422091000</v>
      </c>
      <c r="B967" s="781" t="s">
        <v>98</v>
      </c>
      <c r="C967" s="782" t="s">
        <v>64</v>
      </c>
      <c r="D967" s="680"/>
      <c r="E967" s="229">
        <v>43677</v>
      </c>
      <c r="F967" s="416"/>
      <c r="G967" s="1251"/>
      <c r="H967" s="676"/>
      <c r="I967" s="681"/>
      <c r="J967" s="1386"/>
      <c r="K967" s="1386"/>
      <c r="L967" s="449"/>
      <c r="M967" s="1312"/>
      <c r="N967" s="504"/>
      <c r="O967" s="682">
        <f t="shared" si="2353"/>
        <v>0</v>
      </c>
      <c r="P967" s="431"/>
      <c r="Q967" s="514"/>
      <c r="R967" s="515"/>
      <c r="S967" s="515"/>
      <c r="T967" s="562">
        <f t="shared" si="2358"/>
        <v>0</v>
      </c>
      <c r="U967" s="418">
        <f t="shared" si="2354"/>
        <v>0</v>
      </c>
      <c r="V967" s="517">
        <f t="shared" si="2355"/>
        <v>0</v>
      </c>
      <c r="W967" s="976">
        <f t="shared" si="2356"/>
        <v>0</v>
      </c>
      <c r="X967" s="975">
        <f t="shared" si="2357"/>
        <v>0</v>
      </c>
      <c r="Y967" s="519"/>
      <c r="AA967" s="24"/>
      <c r="AB967" s="24"/>
      <c r="AC967" s="24"/>
      <c r="AD967" s="24"/>
      <c r="AE967" s="24"/>
    </row>
    <row r="968" spans="1:31" hidden="1" outlineLevel="2">
      <c r="A968" s="228">
        <v>2422091000</v>
      </c>
      <c r="B968" s="781" t="s">
        <v>99</v>
      </c>
      <c r="C968" s="782" t="s">
        <v>64</v>
      </c>
      <c r="D968" s="680"/>
      <c r="E968" s="229">
        <v>43708</v>
      </c>
      <c r="F968" s="416"/>
      <c r="G968" s="1251"/>
      <c r="H968" s="676"/>
      <c r="I968" s="681"/>
      <c r="J968" s="1386"/>
      <c r="K968" s="1386"/>
      <c r="L968" s="449"/>
      <c r="M968" s="1312"/>
      <c r="N968" s="504"/>
      <c r="O968" s="682">
        <f t="shared" si="2353"/>
        <v>0</v>
      </c>
      <c r="P968" s="431"/>
      <c r="Q968" s="514"/>
      <c r="R968" s="515"/>
      <c r="S968" s="515"/>
      <c r="T968" s="562">
        <f t="shared" si="2358"/>
        <v>0</v>
      </c>
      <c r="U968" s="418">
        <f t="shared" si="2354"/>
        <v>0</v>
      </c>
      <c r="V968" s="517">
        <f t="shared" si="2355"/>
        <v>0</v>
      </c>
      <c r="W968" s="976">
        <f t="shared" si="2356"/>
        <v>0</v>
      </c>
      <c r="X968" s="975">
        <f t="shared" si="2357"/>
        <v>0</v>
      </c>
      <c r="Y968" s="519"/>
      <c r="AA968" s="24"/>
      <c r="AB968" s="24"/>
      <c r="AC968" s="24"/>
      <c r="AD968" s="24"/>
      <c r="AE968" s="24"/>
    </row>
    <row r="969" spans="1:31" hidden="1" outlineLevel="2">
      <c r="A969" s="228">
        <v>2422091000</v>
      </c>
      <c r="B969" s="781" t="s">
        <v>100</v>
      </c>
      <c r="C969" s="782" t="s">
        <v>64</v>
      </c>
      <c r="D969" s="680"/>
      <c r="E969" s="229">
        <v>43738</v>
      </c>
      <c r="F969" s="416"/>
      <c r="G969" s="1251"/>
      <c r="H969" s="676"/>
      <c r="I969" s="681"/>
      <c r="J969" s="1386"/>
      <c r="K969" s="1386"/>
      <c r="L969" s="449"/>
      <c r="M969" s="1312"/>
      <c r="N969" s="504"/>
      <c r="O969" s="682">
        <f t="shared" si="2353"/>
        <v>0</v>
      </c>
      <c r="P969" s="431"/>
      <c r="Q969" s="514"/>
      <c r="R969" s="515"/>
      <c r="S969" s="515"/>
      <c r="T969" s="562">
        <f t="shared" si="2358"/>
        <v>0</v>
      </c>
      <c r="U969" s="418">
        <f t="shared" si="2354"/>
        <v>0</v>
      </c>
      <c r="V969" s="517">
        <f t="shared" si="2355"/>
        <v>0</v>
      </c>
      <c r="W969" s="976">
        <f t="shared" si="2356"/>
        <v>0</v>
      </c>
      <c r="X969" s="975">
        <f t="shared" si="2357"/>
        <v>0</v>
      </c>
      <c r="Y969" s="519"/>
      <c r="AA969" s="24"/>
      <c r="AB969" s="24"/>
      <c r="AC969" s="24"/>
      <c r="AD969" s="24"/>
      <c r="AE969" s="24"/>
    </row>
    <row r="970" spans="1:31" hidden="1" outlineLevel="2">
      <c r="A970" s="228">
        <v>2422091000</v>
      </c>
      <c r="B970" s="781" t="s">
        <v>199</v>
      </c>
      <c r="C970" s="782" t="s">
        <v>64</v>
      </c>
      <c r="D970" s="680"/>
      <c r="E970" s="229">
        <v>43756</v>
      </c>
      <c r="F970" s="416"/>
      <c r="G970" s="1251"/>
      <c r="H970" s="676"/>
      <c r="I970" s="681"/>
      <c r="J970" s="1386"/>
      <c r="K970" s="1386"/>
      <c r="L970" s="449"/>
      <c r="M970" s="1312"/>
      <c r="N970" s="504"/>
      <c r="O970" s="682">
        <f t="shared" si="2353"/>
        <v>0</v>
      </c>
      <c r="P970" s="431"/>
      <c r="Q970" s="514"/>
      <c r="R970" s="515"/>
      <c r="S970" s="515"/>
      <c r="T970" s="562">
        <f t="shared" si="2358"/>
        <v>0</v>
      </c>
      <c r="U970" s="418">
        <f t="shared" si="2354"/>
        <v>0</v>
      </c>
      <c r="V970" s="517">
        <f t="shared" si="2355"/>
        <v>0</v>
      </c>
      <c r="W970" s="976">
        <f t="shared" si="2356"/>
        <v>0</v>
      </c>
      <c r="X970" s="975">
        <f t="shared" si="2357"/>
        <v>0</v>
      </c>
      <c r="Y970" s="519"/>
      <c r="AA970" s="24"/>
      <c r="AB970" s="24"/>
      <c r="AC970" s="24"/>
      <c r="AD970" s="24"/>
      <c r="AE970" s="24"/>
    </row>
    <row r="971" spans="1:31" hidden="1" outlineLevel="2">
      <c r="A971" s="228">
        <v>2422091000</v>
      </c>
      <c r="B971" s="781" t="s">
        <v>101</v>
      </c>
      <c r="C971" s="782" t="s">
        <v>64</v>
      </c>
      <c r="D971" s="680"/>
      <c r="E971" s="229">
        <v>43769</v>
      </c>
      <c r="F971" s="416"/>
      <c r="G971" s="1251"/>
      <c r="H971" s="676"/>
      <c r="I971" s="681"/>
      <c r="J971" s="1386"/>
      <c r="K971" s="1386"/>
      <c r="L971" s="449"/>
      <c r="M971" s="1312"/>
      <c r="N971" s="504"/>
      <c r="O971" s="682">
        <f t="shared" si="2353"/>
        <v>0</v>
      </c>
      <c r="P971" s="431"/>
      <c r="Q971" s="514"/>
      <c r="R971" s="515"/>
      <c r="S971" s="515"/>
      <c r="T971" s="562">
        <f t="shared" si="2358"/>
        <v>0</v>
      </c>
      <c r="U971" s="418">
        <f t="shared" si="2354"/>
        <v>0</v>
      </c>
      <c r="V971" s="517">
        <f t="shared" si="2355"/>
        <v>0</v>
      </c>
      <c r="W971" s="976">
        <f t="shared" si="2356"/>
        <v>0</v>
      </c>
      <c r="X971" s="975">
        <f t="shared" si="2357"/>
        <v>0</v>
      </c>
      <c r="Y971" s="519"/>
      <c r="AA971" s="24"/>
      <c r="AB971" s="24"/>
      <c r="AC971" s="24"/>
      <c r="AD971" s="24"/>
      <c r="AE971" s="24"/>
    </row>
    <row r="972" spans="1:31" hidden="1" outlineLevel="2">
      <c r="A972" s="228">
        <v>2422091000</v>
      </c>
      <c r="B972" s="781" t="s">
        <v>102</v>
      </c>
      <c r="C972" s="782" t="s">
        <v>64</v>
      </c>
      <c r="D972" s="680"/>
      <c r="E972" s="229">
        <v>43799</v>
      </c>
      <c r="F972" s="416"/>
      <c r="G972" s="1251"/>
      <c r="H972" s="676"/>
      <c r="I972" s="681"/>
      <c r="J972" s="1386"/>
      <c r="K972" s="1386"/>
      <c r="L972" s="438"/>
      <c r="M972" s="1302"/>
      <c r="N972" s="504"/>
      <c r="O972" s="682">
        <f t="shared" si="2353"/>
        <v>0</v>
      </c>
      <c r="P972" s="431"/>
      <c r="Q972" s="514"/>
      <c r="R972" s="515"/>
      <c r="S972" s="515"/>
      <c r="T972" s="562">
        <f t="shared" si="2358"/>
        <v>0</v>
      </c>
      <c r="U972" s="418">
        <f t="shared" si="2354"/>
        <v>0</v>
      </c>
      <c r="V972" s="517">
        <f t="shared" si="2355"/>
        <v>0</v>
      </c>
      <c r="W972" s="976">
        <f t="shared" si="2356"/>
        <v>0</v>
      </c>
      <c r="X972" s="975">
        <f t="shared" si="2357"/>
        <v>0</v>
      </c>
      <c r="Y972" s="519"/>
      <c r="AA972" s="24"/>
      <c r="AB972" s="24"/>
      <c r="AC972" s="24"/>
      <c r="AD972" s="24"/>
      <c r="AE972" s="24"/>
    </row>
    <row r="973" spans="1:31" hidden="1" outlineLevel="2">
      <c r="A973" s="228">
        <v>2422091000</v>
      </c>
      <c r="B973" s="781" t="s">
        <v>103</v>
      </c>
      <c r="C973" s="782" t="s">
        <v>64</v>
      </c>
      <c r="D973" s="680"/>
      <c r="E973" s="229">
        <v>43830</v>
      </c>
      <c r="F973" s="416"/>
      <c r="G973" s="1251"/>
      <c r="H973" s="676"/>
      <c r="I973" s="681"/>
      <c r="J973" s="1386"/>
      <c r="K973" s="1386"/>
      <c r="L973" s="438"/>
      <c r="M973" s="1302"/>
      <c r="N973" s="504"/>
      <c r="O973" s="682">
        <f t="shared" si="2353"/>
        <v>0</v>
      </c>
      <c r="P973" s="431"/>
      <c r="Q973" s="514"/>
      <c r="R973" s="515"/>
      <c r="S973" s="515"/>
      <c r="T973" s="562">
        <f t="shared" si="2358"/>
        <v>0</v>
      </c>
      <c r="U973" s="418">
        <f t="shared" si="2354"/>
        <v>0</v>
      </c>
      <c r="V973" s="517">
        <f t="shared" si="2355"/>
        <v>0</v>
      </c>
      <c r="W973" s="976">
        <f t="shared" si="2356"/>
        <v>0</v>
      </c>
      <c r="X973" s="975">
        <f t="shared" si="2357"/>
        <v>0</v>
      </c>
      <c r="Y973" s="519"/>
      <c r="AA973" s="24"/>
      <c r="AB973" s="24"/>
      <c r="AC973" s="24"/>
      <c r="AD973" s="24"/>
      <c r="AE973" s="24"/>
    </row>
    <row r="974" spans="1:31" hidden="1" outlineLevel="2">
      <c r="A974" s="228"/>
      <c r="B974" s="781"/>
      <c r="C974" s="782"/>
      <c r="D974" s="680"/>
      <c r="E974" s="229"/>
      <c r="F974" s="416"/>
      <c r="G974" s="1251"/>
      <c r="H974" s="676"/>
      <c r="I974" s="681"/>
      <c r="J974" s="1386"/>
      <c r="K974" s="1386"/>
      <c r="L974" s="438"/>
      <c r="M974" s="1302"/>
      <c r="N974" s="504"/>
      <c r="O974" s="682">
        <f t="shared" si="2353"/>
        <v>0</v>
      </c>
      <c r="P974" s="431"/>
      <c r="Q974" s="514"/>
      <c r="R974" s="515"/>
      <c r="S974" s="515"/>
      <c r="T974" s="562">
        <f t="shared" si="2358"/>
        <v>0</v>
      </c>
      <c r="U974" s="418">
        <f t="shared" si="2354"/>
        <v>0</v>
      </c>
      <c r="V974" s="517">
        <f t="shared" si="2355"/>
        <v>0</v>
      </c>
      <c r="W974" s="976">
        <f t="shared" si="2356"/>
        <v>0</v>
      </c>
      <c r="X974" s="975">
        <f t="shared" si="2357"/>
        <v>0</v>
      </c>
      <c r="Y974" s="519"/>
      <c r="AA974" s="24"/>
      <c r="AB974" s="24"/>
      <c r="AC974" s="24"/>
      <c r="AD974" s="24"/>
      <c r="AE974" s="24"/>
    </row>
    <row r="975" spans="1:31" hidden="1" outlineLevel="2">
      <c r="A975" s="258">
        <v>2422091000</v>
      </c>
      <c r="B975" s="829" t="s">
        <v>124</v>
      </c>
      <c r="C975" s="830" t="s">
        <v>64</v>
      </c>
      <c r="D975" s="831">
        <v>43009</v>
      </c>
      <c r="E975" s="259">
        <v>43571</v>
      </c>
      <c r="F975" s="450"/>
      <c r="G975" s="1277"/>
      <c r="H975" s="832"/>
      <c r="I975" s="833">
        <f t="shared" ref="I975:I981" si="2359">+F975*H975</f>
        <v>0</v>
      </c>
      <c r="J975" s="1392"/>
      <c r="K975" s="1392"/>
      <c r="L975" s="451"/>
      <c r="M975" s="1313"/>
      <c r="N975" s="834"/>
      <c r="O975" s="835">
        <f t="shared" si="2353"/>
        <v>0</v>
      </c>
      <c r="P975" s="452"/>
      <c r="Q975" s="1350"/>
      <c r="R975" s="834"/>
      <c r="S975" s="834"/>
      <c r="T975" s="562">
        <f t="shared" si="2358"/>
        <v>0</v>
      </c>
      <c r="U975" s="418">
        <f t="shared" si="2354"/>
        <v>0</v>
      </c>
      <c r="V975" s="517">
        <f t="shared" si="2355"/>
        <v>0</v>
      </c>
      <c r="W975" s="976">
        <f t="shared" si="2356"/>
        <v>0</v>
      </c>
      <c r="X975" s="975">
        <f t="shared" si="2357"/>
        <v>0</v>
      </c>
      <c r="Y975" s="836"/>
      <c r="AA975" s="24"/>
      <c r="AB975" s="24"/>
      <c r="AC975" s="24"/>
      <c r="AD975" s="24"/>
      <c r="AE975" s="24"/>
    </row>
    <row r="976" spans="1:31" hidden="1" outlineLevel="2">
      <c r="A976" s="55">
        <v>2422091000</v>
      </c>
      <c r="B976" s="509" t="s">
        <v>124</v>
      </c>
      <c r="C976" s="679" t="s">
        <v>64</v>
      </c>
      <c r="D976" s="837">
        <v>43040</v>
      </c>
      <c r="E976" s="219">
        <v>43571</v>
      </c>
      <c r="F976" s="416"/>
      <c r="G976" s="1251"/>
      <c r="H976" s="676"/>
      <c r="I976" s="681">
        <f t="shared" si="2359"/>
        <v>0</v>
      </c>
      <c r="J976" s="1386"/>
      <c r="K976" s="1386"/>
      <c r="L976" s="438"/>
      <c r="M976" s="1302"/>
      <c r="N976" s="504"/>
      <c r="O976" s="682">
        <f t="shared" si="2353"/>
        <v>0</v>
      </c>
      <c r="P976" s="431"/>
      <c r="Q976" s="514"/>
      <c r="R976" s="515"/>
      <c r="S976" s="515"/>
      <c r="T976" s="562">
        <f t="shared" si="2358"/>
        <v>0</v>
      </c>
      <c r="U976" s="418">
        <f t="shared" si="2354"/>
        <v>0</v>
      </c>
      <c r="V976" s="517">
        <f t="shared" si="2355"/>
        <v>0</v>
      </c>
      <c r="W976" s="976">
        <f t="shared" si="2356"/>
        <v>0</v>
      </c>
      <c r="X976" s="975">
        <f t="shared" si="2357"/>
        <v>0</v>
      </c>
      <c r="Y976" s="519"/>
      <c r="AA976" s="24"/>
      <c r="AB976" s="24"/>
      <c r="AC976" s="24"/>
      <c r="AD976" s="24"/>
      <c r="AE976" s="24"/>
    </row>
    <row r="977" spans="1:31" hidden="1" outlineLevel="2">
      <c r="A977" s="55">
        <v>2422091000</v>
      </c>
      <c r="B977" s="509" t="s">
        <v>124</v>
      </c>
      <c r="C977" s="679" t="s">
        <v>64</v>
      </c>
      <c r="D977" s="837">
        <v>43070</v>
      </c>
      <c r="E977" s="219">
        <v>43571</v>
      </c>
      <c r="F977" s="416"/>
      <c r="G977" s="1251"/>
      <c r="H977" s="676"/>
      <c r="I977" s="681">
        <f t="shared" si="2359"/>
        <v>0</v>
      </c>
      <c r="J977" s="1386"/>
      <c r="K977" s="1386"/>
      <c r="L977" s="438"/>
      <c r="M977" s="1302"/>
      <c r="N977" s="504"/>
      <c r="O977" s="682">
        <f t="shared" si="2353"/>
        <v>0</v>
      </c>
      <c r="P977" s="431"/>
      <c r="Q977" s="514"/>
      <c r="R977" s="515"/>
      <c r="S977" s="515"/>
      <c r="T977" s="562">
        <f t="shared" si="2358"/>
        <v>0</v>
      </c>
      <c r="U977" s="418">
        <f t="shared" si="2354"/>
        <v>0</v>
      </c>
      <c r="V977" s="517">
        <f t="shared" si="2355"/>
        <v>0</v>
      </c>
      <c r="W977" s="976">
        <f t="shared" si="2356"/>
        <v>0</v>
      </c>
      <c r="X977" s="975">
        <f t="shared" si="2357"/>
        <v>0</v>
      </c>
      <c r="Y977" s="519"/>
      <c r="AA977" s="24"/>
      <c r="AB977" s="24"/>
      <c r="AC977" s="24"/>
      <c r="AD977" s="24"/>
      <c r="AE977" s="24"/>
    </row>
    <row r="978" spans="1:31" hidden="1" outlineLevel="2">
      <c r="A978" s="55">
        <v>2422091000</v>
      </c>
      <c r="B978" s="509" t="s">
        <v>124</v>
      </c>
      <c r="C978" s="679" t="s">
        <v>64</v>
      </c>
      <c r="D978" s="837">
        <v>43101</v>
      </c>
      <c r="E978" s="219">
        <v>43571</v>
      </c>
      <c r="F978" s="416"/>
      <c r="G978" s="1251"/>
      <c r="H978" s="676"/>
      <c r="I978" s="681">
        <f t="shared" si="2359"/>
        <v>0</v>
      </c>
      <c r="J978" s="1386"/>
      <c r="K978" s="1386"/>
      <c r="L978" s="438"/>
      <c r="M978" s="1302"/>
      <c r="N978" s="504"/>
      <c r="O978" s="682">
        <f t="shared" si="2353"/>
        <v>0</v>
      </c>
      <c r="P978" s="431"/>
      <c r="Q978" s="514"/>
      <c r="R978" s="515"/>
      <c r="S978" s="515"/>
      <c r="T978" s="562">
        <f t="shared" si="2358"/>
        <v>0</v>
      </c>
      <c r="U978" s="418">
        <f t="shared" si="2354"/>
        <v>0</v>
      </c>
      <c r="V978" s="517">
        <f t="shared" si="2355"/>
        <v>0</v>
      </c>
      <c r="W978" s="976">
        <f t="shared" si="2356"/>
        <v>0</v>
      </c>
      <c r="X978" s="975">
        <f t="shared" si="2357"/>
        <v>0</v>
      </c>
      <c r="Y978" s="519"/>
      <c r="AA978" s="24"/>
      <c r="AB978" s="24"/>
      <c r="AC978" s="24"/>
      <c r="AD978" s="24"/>
      <c r="AE978" s="24"/>
    </row>
    <row r="979" spans="1:31" hidden="1" outlineLevel="2">
      <c r="A979" s="55">
        <v>2422091000</v>
      </c>
      <c r="B979" s="509" t="s">
        <v>124</v>
      </c>
      <c r="C979" s="679" t="s">
        <v>64</v>
      </c>
      <c r="D979" s="837">
        <v>43132</v>
      </c>
      <c r="E979" s="219">
        <v>43571</v>
      </c>
      <c r="F979" s="416"/>
      <c r="G979" s="1251"/>
      <c r="H979" s="676"/>
      <c r="I979" s="681">
        <f t="shared" si="2359"/>
        <v>0</v>
      </c>
      <c r="J979" s="1386"/>
      <c r="K979" s="1386"/>
      <c r="L979" s="438"/>
      <c r="M979" s="1302"/>
      <c r="N979" s="504"/>
      <c r="O979" s="682">
        <f t="shared" si="2353"/>
        <v>0</v>
      </c>
      <c r="P979" s="431"/>
      <c r="Q979" s="514"/>
      <c r="R979" s="515"/>
      <c r="S979" s="515"/>
      <c r="T979" s="562">
        <f t="shared" si="2358"/>
        <v>0</v>
      </c>
      <c r="U979" s="418">
        <f t="shared" si="2354"/>
        <v>0</v>
      </c>
      <c r="V979" s="517">
        <f t="shared" si="2355"/>
        <v>0</v>
      </c>
      <c r="W979" s="976">
        <f t="shared" si="2356"/>
        <v>0</v>
      </c>
      <c r="X979" s="975">
        <f t="shared" si="2357"/>
        <v>0</v>
      </c>
      <c r="Y979" s="519"/>
      <c r="AA979" s="24"/>
      <c r="AB979" s="24"/>
      <c r="AC979" s="24"/>
      <c r="AD979" s="24"/>
      <c r="AE979" s="24"/>
    </row>
    <row r="980" spans="1:31" hidden="1" outlineLevel="2">
      <c r="A980" s="55">
        <v>2422091000</v>
      </c>
      <c r="B980" s="509" t="s">
        <v>124</v>
      </c>
      <c r="C980" s="679" t="s">
        <v>64</v>
      </c>
      <c r="D980" s="837">
        <v>43160</v>
      </c>
      <c r="E980" s="219">
        <v>43571</v>
      </c>
      <c r="F980" s="416"/>
      <c r="G980" s="1251"/>
      <c r="H980" s="676"/>
      <c r="I980" s="681">
        <f t="shared" si="2359"/>
        <v>0</v>
      </c>
      <c r="J980" s="1386"/>
      <c r="K980" s="1386"/>
      <c r="L980" s="438"/>
      <c r="M980" s="1302"/>
      <c r="N980" s="504"/>
      <c r="O980" s="682">
        <f t="shared" si="2353"/>
        <v>0</v>
      </c>
      <c r="P980" s="431"/>
      <c r="Q980" s="514"/>
      <c r="R980" s="515"/>
      <c r="S980" s="515"/>
      <c r="T980" s="562">
        <f t="shared" si="2358"/>
        <v>0</v>
      </c>
      <c r="U980" s="418">
        <f t="shared" si="2354"/>
        <v>0</v>
      </c>
      <c r="V980" s="517">
        <f t="shared" si="2355"/>
        <v>0</v>
      </c>
      <c r="W980" s="976">
        <f t="shared" si="2356"/>
        <v>0</v>
      </c>
      <c r="X980" s="975">
        <f t="shared" si="2357"/>
        <v>0</v>
      </c>
      <c r="Y980" s="519"/>
      <c r="AA980" s="24"/>
      <c r="AB980" s="24"/>
      <c r="AC980" s="24"/>
      <c r="AD980" s="24"/>
      <c r="AE980" s="24"/>
    </row>
    <row r="981" spans="1:31" hidden="1" outlineLevel="2">
      <c r="A981" s="55">
        <v>2422091000</v>
      </c>
      <c r="B981" s="509" t="s">
        <v>124</v>
      </c>
      <c r="C981" s="679" t="s">
        <v>64</v>
      </c>
      <c r="D981" s="837">
        <v>43191</v>
      </c>
      <c r="E981" s="219">
        <v>43571</v>
      </c>
      <c r="F981" s="416"/>
      <c r="G981" s="1251"/>
      <c r="H981" s="676"/>
      <c r="I981" s="681">
        <f t="shared" si="2359"/>
        <v>0</v>
      </c>
      <c r="J981" s="1386"/>
      <c r="K981" s="1386"/>
      <c r="L981" s="438"/>
      <c r="M981" s="1302"/>
      <c r="N981" s="504"/>
      <c r="O981" s="682">
        <f t="shared" si="2353"/>
        <v>0</v>
      </c>
      <c r="P981" s="431"/>
      <c r="Q981" s="514"/>
      <c r="R981" s="515"/>
      <c r="S981" s="515"/>
      <c r="T981" s="562">
        <f t="shared" si="2358"/>
        <v>0</v>
      </c>
      <c r="U981" s="418">
        <f t="shared" si="2354"/>
        <v>0</v>
      </c>
      <c r="V981" s="517">
        <f t="shared" si="2355"/>
        <v>0</v>
      </c>
      <c r="W981" s="976">
        <f t="shared" si="2356"/>
        <v>0</v>
      </c>
      <c r="X981" s="975">
        <f t="shared" si="2357"/>
        <v>0</v>
      </c>
      <c r="Y981" s="519"/>
      <c r="AA981" s="24"/>
      <c r="AB981" s="24"/>
      <c r="AC981" s="24"/>
      <c r="AD981" s="24"/>
      <c r="AE981" s="24"/>
    </row>
    <row r="982" spans="1:31" hidden="1" outlineLevel="2">
      <c r="A982" s="89"/>
      <c r="B982" s="90"/>
      <c r="C982" s="255"/>
      <c r="D982" s="262"/>
      <c r="E982" s="256"/>
      <c r="F982" s="420"/>
      <c r="G982" s="1256"/>
      <c r="H982" s="453"/>
      <c r="I982" s="454"/>
      <c r="J982" s="1391"/>
      <c r="K982" s="1391"/>
      <c r="L982" s="446"/>
      <c r="M982" s="1304"/>
      <c r="N982" s="415"/>
      <c r="O982" s="448"/>
      <c r="P982" s="447"/>
      <c r="Q982" s="1340"/>
      <c r="R982" s="426"/>
      <c r="S982" s="426"/>
      <c r="T982" s="427"/>
      <c r="U982" s="977"/>
      <c r="V982" s="978"/>
      <c r="W982" s="428"/>
      <c r="X982" s="429"/>
      <c r="Y982" s="92"/>
      <c r="AA982" s="24"/>
      <c r="AB982" s="24"/>
      <c r="AC982" s="24"/>
      <c r="AD982" s="24"/>
      <c r="AE982" s="24"/>
    </row>
    <row r="983" spans="1:31" hidden="1" outlineLevel="2">
      <c r="A983" s="55">
        <v>2422091000</v>
      </c>
      <c r="B983" s="509" t="s">
        <v>124</v>
      </c>
      <c r="C983" s="679" t="s">
        <v>64</v>
      </c>
      <c r="D983" s="837">
        <v>43191</v>
      </c>
      <c r="E983" s="219">
        <v>43391</v>
      </c>
      <c r="F983" s="416"/>
      <c r="G983" s="1251"/>
      <c r="H983" s="676"/>
      <c r="I983" s="681">
        <f t="shared" ref="I983:I989" si="2360">+F983*H983</f>
        <v>0</v>
      </c>
      <c r="J983" s="1386"/>
      <c r="K983" s="1386"/>
      <c r="L983" s="438"/>
      <c r="M983" s="1302"/>
      <c r="N983" s="504"/>
      <c r="O983" s="682">
        <f t="shared" ref="O983:O989" si="2361">+L983*N983</f>
        <v>0</v>
      </c>
      <c r="P983" s="431"/>
      <c r="Q983" s="514"/>
      <c r="R983" s="515"/>
      <c r="S983" s="515"/>
      <c r="T983" s="562">
        <f t="shared" ref="T983:T989" si="2362">+P983*S983</f>
        <v>0</v>
      </c>
      <c r="U983" s="418">
        <f t="shared" ref="U983:U989" si="2363">+L983+P983+F983</f>
        <v>0</v>
      </c>
      <c r="V983" s="517">
        <f t="shared" ref="V983:V989" si="2364">+P983*R983+L983*N983+F983*H983</f>
        <v>0</v>
      </c>
      <c r="W983" s="976">
        <f t="shared" ref="W983:W989" si="2365">-(IF(R983&lt;S983,(-P983*R983)-(-P983*S983),0))</f>
        <v>0</v>
      </c>
      <c r="X983" s="975">
        <f t="shared" ref="X983:X989" si="2366">-(IF(R983&gt;S983,(-P983*R983)-(-P983*S983),0))</f>
        <v>0</v>
      </c>
      <c r="Y983" s="519"/>
      <c r="AA983" s="24"/>
      <c r="AB983" s="24"/>
      <c r="AC983" s="24"/>
      <c r="AD983" s="24"/>
      <c r="AE983" s="24"/>
    </row>
    <row r="984" spans="1:31" hidden="1" outlineLevel="2">
      <c r="A984" s="55">
        <v>2422091000</v>
      </c>
      <c r="B984" s="509" t="s">
        <v>124</v>
      </c>
      <c r="C984" s="679" t="s">
        <v>64</v>
      </c>
      <c r="D984" s="837">
        <v>43221</v>
      </c>
      <c r="E984" s="219">
        <v>43391</v>
      </c>
      <c r="F984" s="416"/>
      <c r="G984" s="1251"/>
      <c r="H984" s="676"/>
      <c r="I984" s="681">
        <f t="shared" si="2360"/>
        <v>0</v>
      </c>
      <c r="J984" s="1386"/>
      <c r="K984" s="1386"/>
      <c r="L984" s="438"/>
      <c r="M984" s="1302"/>
      <c r="N984" s="504"/>
      <c r="O984" s="682">
        <f t="shared" si="2361"/>
        <v>0</v>
      </c>
      <c r="P984" s="431"/>
      <c r="Q984" s="514"/>
      <c r="R984" s="515"/>
      <c r="S984" s="515"/>
      <c r="T984" s="562">
        <f t="shared" si="2362"/>
        <v>0</v>
      </c>
      <c r="U984" s="418">
        <f t="shared" si="2363"/>
        <v>0</v>
      </c>
      <c r="V984" s="517">
        <f t="shared" si="2364"/>
        <v>0</v>
      </c>
      <c r="W984" s="976">
        <f t="shared" si="2365"/>
        <v>0</v>
      </c>
      <c r="X984" s="975">
        <f t="shared" si="2366"/>
        <v>0</v>
      </c>
      <c r="Y984" s="519"/>
      <c r="AA984" s="24"/>
      <c r="AB984" s="24"/>
      <c r="AC984" s="24"/>
      <c r="AD984" s="24"/>
      <c r="AE984" s="24"/>
    </row>
    <row r="985" spans="1:31" hidden="1" outlineLevel="2">
      <c r="A985" s="55">
        <v>2422091000</v>
      </c>
      <c r="B985" s="509" t="s">
        <v>124</v>
      </c>
      <c r="C985" s="679" t="s">
        <v>64</v>
      </c>
      <c r="D985" s="837">
        <v>43252</v>
      </c>
      <c r="E985" s="219">
        <v>43391</v>
      </c>
      <c r="F985" s="416"/>
      <c r="G985" s="1251"/>
      <c r="H985" s="676"/>
      <c r="I985" s="681">
        <f t="shared" si="2360"/>
        <v>0</v>
      </c>
      <c r="J985" s="1386"/>
      <c r="K985" s="1386"/>
      <c r="L985" s="438"/>
      <c r="M985" s="1302"/>
      <c r="N985" s="504"/>
      <c r="O985" s="682">
        <f t="shared" si="2361"/>
        <v>0</v>
      </c>
      <c r="P985" s="431"/>
      <c r="Q985" s="514"/>
      <c r="R985" s="515"/>
      <c r="S985" s="515"/>
      <c r="T985" s="562">
        <f t="shared" si="2362"/>
        <v>0</v>
      </c>
      <c r="U985" s="418">
        <f t="shared" si="2363"/>
        <v>0</v>
      </c>
      <c r="V985" s="517">
        <f t="shared" si="2364"/>
        <v>0</v>
      </c>
      <c r="W985" s="976">
        <f t="shared" si="2365"/>
        <v>0</v>
      </c>
      <c r="X985" s="975">
        <f t="shared" si="2366"/>
        <v>0</v>
      </c>
      <c r="Y985" s="519"/>
      <c r="AA985" s="24"/>
      <c r="AB985" s="24"/>
      <c r="AC985" s="24"/>
      <c r="AD985" s="24"/>
      <c r="AE985" s="24"/>
    </row>
    <row r="986" spans="1:31" hidden="1" outlineLevel="2">
      <c r="A986" s="55">
        <v>2422091000</v>
      </c>
      <c r="B986" s="509" t="s">
        <v>124</v>
      </c>
      <c r="C986" s="679" t="s">
        <v>64</v>
      </c>
      <c r="D986" s="837">
        <v>43282</v>
      </c>
      <c r="E986" s="219">
        <v>43391</v>
      </c>
      <c r="F986" s="416"/>
      <c r="G986" s="1251"/>
      <c r="H986" s="676"/>
      <c r="I986" s="681">
        <f t="shared" si="2360"/>
        <v>0</v>
      </c>
      <c r="J986" s="1386"/>
      <c r="K986" s="1386"/>
      <c r="L986" s="438"/>
      <c r="M986" s="1302"/>
      <c r="N986" s="504"/>
      <c r="O986" s="682">
        <f t="shared" si="2361"/>
        <v>0</v>
      </c>
      <c r="P986" s="431"/>
      <c r="Q986" s="514"/>
      <c r="R986" s="515"/>
      <c r="S986" s="515"/>
      <c r="T986" s="562">
        <f t="shared" si="2362"/>
        <v>0</v>
      </c>
      <c r="U986" s="418">
        <f t="shared" si="2363"/>
        <v>0</v>
      </c>
      <c r="V986" s="517">
        <f t="shared" si="2364"/>
        <v>0</v>
      </c>
      <c r="W986" s="976">
        <f t="shared" si="2365"/>
        <v>0</v>
      </c>
      <c r="X986" s="975">
        <f t="shared" si="2366"/>
        <v>0</v>
      </c>
      <c r="Y986" s="519"/>
      <c r="AA986" s="24"/>
      <c r="AB986" s="24"/>
      <c r="AC986" s="24"/>
      <c r="AD986" s="24"/>
      <c r="AE986" s="24"/>
    </row>
    <row r="987" spans="1:31" hidden="1" outlineLevel="2">
      <c r="A987" s="55">
        <v>2422091000</v>
      </c>
      <c r="B987" s="509" t="s">
        <v>124</v>
      </c>
      <c r="C987" s="679" t="s">
        <v>64</v>
      </c>
      <c r="D987" s="837">
        <v>43313</v>
      </c>
      <c r="E987" s="219">
        <v>43391</v>
      </c>
      <c r="F987" s="416"/>
      <c r="G987" s="1251"/>
      <c r="H987" s="676"/>
      <c r="I987" s="681">
        <f t="shared" si="2360"/>
        <v>0</v>
      </c>
      <c r="J987" s="1386"/>
      <c r="K987" s="1386"/>
      <c r="L987" s="438"/>
      <c r="M987" s="1302"/>
      <c r="N987" s="504"/>
      <c r="O987" s="682">
        <f t="shared" si="2361"/>
        <v>0</v>
      </c>
      <c r="P987" s="431"/>
      <c r="Q987" s="514"/>
      <c r="R987" s="515"/>
      <c r="S987" s="515"/>
      <c r="T987" s="562">
        <f t="shared" si="2362"/>
        <v>0</v>
      </c>
      <c r="U987" s="418">
        <f t="shared" si="2363"/>
        <v>0</v>
      </c>
      <c r="V987" s="517">
        <f t="shared" si="2364"/>
        <v>0</v>
      </c>
      <c r="W987" s="976">
        <f t="shared" si="2365"/>
        <v>0</v>
      </c>
      <c r="X987" s="975">
        <f t="shared" si="2366"/>
        <v>0</v>
      </c>
      <c r="Y987" s="519"/>
      <c r="AA987" s="24"/>
      <c r="AB987" s="24"/>
      <c r="AC987" s="24"/>
      <c r="AD987" s="24"/>
      <c r="AE987" s="24"/>
    </row>
    <row r="988" spans="1:31" hidden="1" outlineLevel="2">
      <c r="A988" s="55">
        <v>2422091000</v>
      </c>
      <c r="B988" s="509" t="s">
        <v>124</v>
      </c>
      <c r="C988" s="679" t="s">
        <v>64</v>
      </c>
      <c r="D988" s="837">
        <v>43344</v>
      </c>
      <c r="E988" s="219">
        <v>43391</v>
      </c>
      <c r="F988" s="416"/>
      <c r="G988" s="1251"/>
      <c r="H988" s="676"/>
      <c r="I988" s="681">
        <f t="shared" si="2360"/>
        <v>0</v>
      </c>
      <c r="J988" s="1386"/>
      <c r="K988" s="1386"/>
      <c r="L988" s="438"/>
      <c r="M988" s="1302"/>
      <c r="N988" s="504"/>
      <c r="O988" s="682">
        <f t="shared" si="2361"/>
        <v>0</v>
      </c>
      <c r="P988" s="431"/>
      <c r="Q988" s="514"/>
      <c r="R988" s="515"/>
      <c r="S988" s="515"/>
      <c r="T988" s="562">
        <f t="shared" si="2362"/>
        <v>0</v>
      </c>
      <c r="U988" s="418">
        <f t="shared" si="2363"/>
        <v>0</v>
      </c>
      <c r="V988" s="517">
        <f t="shared" si="2364"/>
        <v>0</v>
      </c>
      <c r="W988" s="976">
        <f t="shared" si="2365"/>
        <v>0</v>
      </c>
      <c r="X988" s="975">
        <f t="shared" si="2366"/>
        <v>0</v>
      </c>
      <c r="Y988" s="519"/>
      <c r="AA988" s="24"/>
      <c r="AB988" s="24"/>
      <c r="AC988" s="24"/>
      <c r="AD988" s="24"/>
      <c r="AE988" s="24"/>
    </row>
    <row r="989" spans="1:31" hidden="1" outlineLevel="2">
      <c r="A989" s="55">
        <v>2422091000</v>
      </c>
      <c r="B989" s="509" t="s">
        <v>124</v>
      </c>
      <c r="C989" s="679" t="s">
        <v>64</v>
      </c>
      <c r="D989" s="837">
        <v>43374</v>
      </c>
      <c r="E989" s="219">
        <v>43391</v>
      </c>
      <c r="F989" s="416"/>
      <c r="G989" s="1251"/>
      <c r="H989" s="676"/>
      <c r="I989" s="681">
        <f t="shared" si="2360"/>
        <v>0</v>
      </c>
      <c r="J989" s="1386"/>
      <c r="K989" s="1386"/>
      <c r="L989" s="438"/>
      <c r="M989" s="1302"/>
      <c r="N989" s="504"/>
      <c r="O989" s="682">
        <f t="shared" si="2361"/>
        <v>0</v>
      </c>
      <c r="P989" s="431"/>
      <c r="Q989" s="514"/>
      <c r="R989" s="515"/>
      <c r="S989" s="515"/>
      <c r="T989" s="562">
        <f t="shared" si="2362"/>
        <v>0</v>
      </c>
      <c r="U989" s="418">
        <f t="shared" si="2363"/>
        <v>0</v>
      </c>
      <c r="V989" s="517">
        <f t="shared" si="2364"/>
        <v>0</v>
      </c>
      <c r="W989" s="976">
        <f t="shared" si="2365"/>
        <v>0</v>
      </c>
      <c r="X989" s="975">
        <f t="shared" si="2366"/>
        <v>0</v>
      </c>
      <c r="Y989" s="519"/>
      <c r="AA989" s="24"/>
      <c r="AB989" s="24"/>
      <c r="AC989" s="24"/>
      <c r="AD989" s="24"/>
      <c r="AE989" s="24"/>
    </row>
    <row r="990" spans="1:31" hidden="1" outlineLevel="2">
      <c r="A990" s="89"/>
      <c r="B990" s="90"/>
      <c r="C990" s="255"/>
      <c r="D990" s="262"/>
      <c r="E990" s="256"/>
      <c r="F990" s="420"/>
      <c r="G990" s="1256"/>
      <c r="H990" s="453"/>
      <c r="I990" s="454"/>
      <c r="J990" s="1391"/>
      <c r="K990" s="1391"/>
      <c r="L990" s="446"/>
      <c r="M990" s="1304"/>
      <c r="N990" s="415"/>
      <c r="O990" s="448"/>
      <c r="P990" s="447"/>
      <c r="Q990" s="1340"/>
      <c r="R990" s="426"/>
      <c r="S990" s="426"/>
      <c r="T990" s="427"/>
      <c r="U990" s="977"/>
      <c r="V990" s="978"/>
      <c r="W990" s="428"/>
      <c r="X990" s="429"/>
      <c r="Y990" s="92"/>
      <c r="AA990" s="24"/>
      <c r="AB990" s="24"/>
      <c r="AC990" s="24"/>
      <c r="AD990" s="24"/>
      <c r="AE990" s="24"/>
    </row>
    <row r="991" spans="1:31" hidden="1" outlineLevel="1">
      <c r="A991" s="89"/>
      <c r="B991" s="90"/>
      <c r="C991" s="255"/>
      <c r="D991" s="257"/>
      <c r="E991" s="256"/>
      <c r="F991" s="420"/>
      <c r="G991" s="1256"/>
      <c r="H991" s="453"/>
      <c r="I991" s="454"/>
      <c r="J991" s="1391"/>
      <c r="K991" s="1391"/>
      <c r="L991" s="446"/>
      <c r="M991" s="1304"/>
      <c r="N991" s="415"/>
      <c r="O991" s="448"/>
      <c r="P991" s="447"/>
      <c r="Q991" s="1340"/>
      <c r="R991" s="426"/>
      <c r="S991" s="426"/>
      <c r="T991" s="427"/>
      <c r="U991" s="977"/>
      <c r="V991" s="978"/>
      <c r="W991" s="428"/>
      <c r="X991" s="429"/>
      <c r="Y991" s="92"/>
      <c r="AA991" s="24"/>
      <c r="AB991" s="24"/>
      <c r="AC991" s="24"/>
      <c r="AD991" s="24"/>
      <c r="AE991" s="24"/>
    </row>
    <row r="992" spans="1:31" s="2496" customFormat="1" ht="15.75" hidden="1" outlineLevel="1">
      <c r="A992" s="263"/>
      <c r="B992" s="264" t="s">
        <v>104</v>
      </c>
      <c r="C992" s="265"/>
      <c r="D992" s="267"/>
      <c r="E992" s="266"/>
      <c r="F992" s="268"/>
      <c r="G992" s="1278"/>
      <c r="H992" s="269"/>
      <c r="I992" s="270">
        <f>+F992*H992</f>
        <v>0</v>
      </c>
      <c r="J992" s="1370"/>
      <c r="K992" s="1370"/>
      <c r="L992" s="271"/>
      <c r="M992" s="1314"/>
      <c r="N992" s="269"/>
      <c r="O992" s="270"/>
      <c r="P992" s="268"/>
      <c r="Q992" s="1278"/>
      <c r="R992" s="269"/>
      <c r="S992" s="269"/>
      <c r="T992" s="270"/>
      <c r="U992" s="268">
        <f>+L992+P992+F992</f>
        <v>0</v>
      </c>
      <c r="V992" s="270">
        <f>+P992*R992+L992*N992+F992*H992</f>
        <v>0</v>
      </c>
      <c r="W992" s="272"/>
      <c r="X992" s="273"/>
      <c r="Y992" s="267"/>
      <c r="Z992" s="1062"/>
      <c r="AA992" s="274"/>
      <c r="AB992" s="274"/>
      <c r="AC992" s="274"/>
      <c r="AD992" s="274"/>
      <c r="AE992" s="274"/>
    </row>
    <row r="993" spans="1:31" s="165" customFormat="1" hidden="1" outlineLevel="2">
      <c r="A993" s="162"/>
      <c r="B993" s="838" t="s">
        <v>105</v>
      </c>
      <c r="C993" s="839" t="s">
        <v>106</v>
      </c>
      <c r="D993" s="840"/>
      <c r="E993" s="275">
        <v>43465</v>
      </c>
      <c r="F993" s="276"/>
      <c r="G993" s="1279"/>
      <c r="H993" s="841"/>
      <c r="I993" s="842">
        <f>+F993*H993</f>
        <v>0</v>
      </c>
      <c r="J993" s="1393"/>
      <c r="K993" s="1393"/>
      <c r="L993" s="2"/>
      <c r="M993" s="1315"/>
      <c r="N993" s="630"/>
      <c r="O993" s="843">
        <f>+L993*N993</f>
        <v>0</v>
      </c>
      <c r="P993" s="190">
        <f>-F993</f>
        <v>0</v>
      </c>
      <c r="Q993" s="632"/>
      <c r="R993" s="633">
        <f>+H993</f>
        <v>0</v>
      </c>
      <c r="S993" s="633">
        <f>+R993</f>
        <v>0</v>
      </c>
      <c r="T993" s="634">
        <f>+P993*S993</f>
        <v>0</v>
      </c>
      <c r="U993" s="189">
        <f>+L993+P993+F993</f>
        <v>0</v>
      </c>
      <c r="V993" s="688">
        <f>+P993*R993+L993*N993+F993*H993</f>
        <v>0</v>
      </c>
      <c r="W993" s="164">
        <f>-(IF(R993&lt;S993,(-P993*R993)-(-P993*S993),0))</f>
        <v>0</v>
      </c>
      <c r="X993" s="635">
        <f>-(IF(R993&gt;S993,(-P993*R993)-(-P993*S993),0))</f>
        <v>0</v>
      </c>
      <c r="Y993" s="636"/>
      <c r="Z993" s="1063"/>
      <c r="AA993" s="277"/>
      <c r="AB993" s="277"/>
      <c r="AC993" s="277"/>
      <c r="AD993" s="277"/>
      <c r="AE993" s="277"/>
    </row>
    <row r="994" spans="1:31" s="165" customFormat="1" hidden="1" outlineLevel="2">
      <c r="A994" s="162"/>
      <c r="B994" s="627" t="s">
        <v>107</v>
      </c>
      <c r="C994" s="839" t="s">
        <v>106</v>
      </c>
      <c r="D994" s="840"/>
      <c r="E994" s="275">
        <v>43830</v>
      </c>
      <c r="F994" s="163"/>
      <c r="G994" s="1264"/>
      <c r="H994" s="844"/>
      <c r="I994" s="845">
        <f>+F994*H994</f>
        <v>0</v>
      </c>
      <c r="J994" s="1394"/>
      <c r="K994" s="1394"/>
      <c r="L994" s="2">
        <v>0</v>
      </c>
      <c r="M994" s="1315"/>
      <c r="N994" s="846">
        <f>+B4</f>
        <v>4669</v>
      </c>
      <c r="O994" s="843">
        <f>+L994*N994</f>
        <v>0</v>
      </c>
      <c r="P994" s="190"/>
      <c r="Q994" s="632"/>
      <c r="R994" s="633"/>
      <c r="S994" s="633"/>
      <c r="T994" s="634">
        <f>+P994*S994</f>
        <v>0</v>
      </c>
      <c r="U994" s="189">
        <f>+L994+P994+F994</f>
        <v>0</v>
      </c>
      <c r="V994" s="688">
        <f>+P994*R994+L994*N994+F994*H994</f>
        <v>0</v>
      </c>
      <c r="W994" s="164">
        <f>-(IF(R994&lt;S994,(-P994*R994)-(-P994*S994),0))</f>
        <v>0</v>
      </c>
      <c r="X994" s="635">
        <f>-(IF(R994&gt;S994,(-P994*R994)-(-P994*S994),0))</f>
        <v>0</v>
      </c>
      <c r="Y994" s="636"/>
      <c r="Z994" s="1063"/>
      <c r="AA994" s="277"/>
      <c r="AB994" s="277"/>
      <c r="AC994" s="277"/>
      <c r="AD994" s="277"/>
      <c r="AE994" s="277"/>
    </row>
    <row r="995" spans="1:31" ht="15.75" hidden="1" outlineLevel="1" thickBot="1">
      <c r="A995" s="242"/>
      <c r="B995" s="243"/>
      <c r="C995" s="244"/>
      <c r="D995" s="246"/>
      <c r="E995" s="245"/>
      <c r="F995" s="455"/>
      <c r="G995" s="1280"/>
      <c r="H995" s="456"/>
      <c r="I995" s="457">
        <f>+F995*H995</f>
        <v>0</v>
      </c>
      <c r="J995" s="1395"/>
      <c r="K995" s="1395"/>
      <c r="L995" s="458"/>
      <c r="M995" s="1316"/>
      <c r="N995" s="459"/>
      <c r="O995" s="460">
        <f>+L995*N995</f>
        <v>0</v>
      </c>
      <c r="P995" s="461"/>
      <c r="Q995" s="1351"/>
      <c r="R995" s="462"/>
      <c r="S995" s="462"/>
      <c r="T995" s="463">
        <f>+P995*S995</f>
        <v>0</v>
      </c>
      <c r="U995" s="464">
        <f>+L995+P995+F995</f>
        <v>0</v>
      </c>
      <c r="V995" s="465">
        <f>+P995*R995+L995*N995+F995*H995</f>
        <v>0</v>
      </c>
      <c r="W995" s="466">
        <f>-(IF(R995&lt;S995,(-P995*R995)-(-P995*S995),0))</f>
        <v>0</v>
      </c>
      <c r="X995" s="467">
        <f>-(IF(R995&gt;S995,(-P995*R995)-(-P995*S995),0))</f>
        <v>0</v>
      </c>
      <c r="Y995" s="247"/>
      <c r="AA995" s="24"/>
      <c r="AB995" s="24"/>
      <c r="AC995" s="24"/>
      <c r="AD995" s="24"/>
      <c r="AE995" s="24"/>
    </row>
    <row r="996" spans="1:31" s="249" customFormat="1" ht="16.5" hidden="1" outlineLevel="1" thickBot="1">
      <c r="A996" s="799" t="s">
        <v>108</v>
      </c>
      <c r="B996" s="800"/>
      <c r="C996" s="801"/>
      <c r="D996" s="801"/>
      <c r="E996" s="802"/>
      <c r="F996" s="803">
        <f>SUM(F951:F995)</f>
        <v>0</v>
      </c>
      <c r="G996" s="1275"/>
      <c r="H996" s="804"/>
      <c r="I996" s="805">
        <f>SUM(I951:I995)</f>
        <v>0</v>
      </c>
      <c r="J996" s="1368"/>
      <c r="K996" s="1368"/>
      <c r="L996" s="806">
        <f>SUM(L951:L995)</f>
        <v>0</v>
      </c>
      <c r="M996" s="1308"/>
      <c r="N996" s="807">
        <f>SUM(N951:N995)</f>
        <v>4669</v>
      </c>
      <c r="O996" s="808">
        <f>SUM(O951:O995)</f>
        <v>0</v>
      </c>
      <c r="P996" s="809">
        <f>SUM(P951:P995)</f>
        <v>0</v>
      </c>
      <c r="Q996" s="1349"/>
      <c r="R996" s="810"/>
      <c r="S996" s="810"/>
      <c r="T996" s="811">
        <f>SUM(T951:T995)</f>
        <v>0</v>
      </c>
      <c r="U996" s="812">
        <f>SUM(U951:U995)</f>
        <v>0</v>
      </c>
      <c r="V996" s="847">
        <f>SUM(V951:V995)</f>
        <v>0</v>
      </c>
      <c r="W996" s="814">
        <f>SUM(W951:W995)</f>
        <v>0</v>
      </c>
      <c r="X996" s="815">
        <f>SUM(X951:X995)</f>
        <v>0</v>
      </c>
      <c r="Y996" s="816"/>
      <c r="Z996" s="248"/>
      <c r="AA996" s="183"/>
      <c r="AB996" s="183"/>
      <c r="AC996" s="183"/>
      <c r="AD996" s="183"/>
      <c r="AE996" s="183"/>
    </row>
    <row r="997" spans="1:31" collapsed="1">
      <c r="T997" s="3" t="s">
        <v>284</v>
      </c>
      <c r="U997" s="440">
        <v>0</v>
      </c>
      <c r="AA997" s="24"/>
      <c r="AB997" s="24"/>
      <c r="AC997" s="24"/>
      <c r="AD997" s="24"/>
      <c r="AE997" s="24"/>
    </row>
    <row r="998" spans="1:31" ht="15.75" thickBot="1">
      <c r="H998" s="468"/>
      <c r="T998" s="9"/>
      <c r="U998" s="10">
        <f>+U997-U996</f>
        <v>0</v>
      </c>
      <c r="AA998" s="24"/>
      <c r="AB998" s="24"/>
      <c r="AC998" s="24"/>
      <c r="AD998" s="24"/>
      <c r="AE998" s="24"/>
    </row>
    <row r="999" spans="1:31" s="27" customFormat="1" ht="21">
      <c r="A999" s="827" t="s">
        <v>1322</v>
      </c>
      <c r="B999" s="828"/>
      <c r="C999" s="2558" t="s">
        <v>57</v>
      </c>
      <c r="D999" s="2560" t="s">
        <v>59</v>
      </c>
      <c r="E999" s="2562" t="s">
        <v>58</v>
      </c>
      <c r="F999" s="2564" t="str">
        <f>+F6</f>
        <v>SALDO FISCAL 31/12/2022</v>
      </c>
      <c r="G999" s="2565"/>
      <c r="H999" s="2565"/>
      <c r="I999" s="2566"/>
      <c r="J999" s="1240"/>
      <c r="K999" s="1240"/>
      <c r="L999" s="2569" t="str">
        <f>+L6</f>
        <v>ENTRADAS</v>
      </c>
      <c r="M999" s="2570"/>
      <c r="N999" s="2570"/>
      <c r="O999" s="2571"/>
      <c r="P999" s="2572" t="str">
        <f>+P6</f>
        <v>SALIDAS</v>
      </c>
      <c r="Q999" s="2573"/>
      <c r="R999" s="2573"/>
      <c r="S999" s="2573"/>
      <c r="T999" s="2574"/>
      <c r="U999" s="2575" t="s">
        <v>62</v>
      </c>
      <c r="V999" s="2576"/>
      <c r="W999" s="2577" t="s">
        <v>63</v>
      </c>
      <c r="X999" s="2578"/>
      <c r="Y999" s="2579"/>
      <c r="Z999" s="44"/>
      <c r="AA999" s="213"/>
      <c r="AB999" s="213"/>
      <c r="AC999" s="213"/>
      <c r="AD999" s="213"/>
      <c r="AE999" s="213"/>
    </row>
    <row r="1000" spans="1:31" s="216" customFormat="1" ht="15.75" thickBot="1">
      <c r="A1000" s="253" t="s">
        <v>87</v>
      </c>
      <c r="B1000" s="254" t="s">
        <v>88</v>
      </c>
      <c r="C1000" s="2559"/>
      <c r="D1000" s="2561"/>
      <c r="E1000" s="2563"/>
      <c r="F1000" s="30" t="s">
        <v>64</v>
      </c>
      <c r="G1000" s="1249"/>
      <c r="H1000" s="31" t="s">
        <v>65</v>
      </c>
      <c r="I1000" s="32" t="s">
        <v>66</v>
      </c>
      <c r="J1000" s="1365"/>
      <c r="K1000" s="1365"/>
      <c r="L1000" s="33" t="s">
        <v>67</v>
      </c>
      <c r="M1000" s="1297"/>
      <c r="N1000" s="34" t="s">
        <v>68</v>
      </c>
      <c r="O1000" s="35" t="s">
        <v>69</v>
      </c>
      <c r="P1000" s="36" t="s">
        <v>70</v>
      </c>
      <c r="Q1000" s="1338"/>
      <c r="R1000" s="37" t="s">
        <v>68</v>
      </c>
      <c r="S1000" s="37" t="s">
        <v>71</v>
      </c>
      <c r="T1000" s="38" t="s">
        <v>72</v>
      </c>
      <c r="U1000" s="39" t="s">
        <v>73</v>
      </c>
      <c r="V1000" s="40" t="s">
        <v>74</v>
      </c>
      <c r="W1000" s="41" t="s">
        <v>75</v>
      </c>
      <c r="X1000" s="42" t="s">
        <v>76</v>
      </c>
      <c r="Y1000" s="43"/>
      <c r="Z1000" s="214"/>
      <c r="AA1000" s="215"/>
      <c r="AB1000" s="215"/>
      <c r="AC1000" s="215"/>
      <c r="AD1000" s="215"/>
      <c r="AE1000" s="215"/>
    </row>
    <row r="1001" spans="1:31" ht="15.75">
      <c r="A1001" s="961">
        <v>2309110000</v>
      </c>
      <c r="B1001" s="962" t="s">
        <v>1289</v>
      </c>
      <c r="C1001" s="963" t="s">
        <v>64</v>
      </c>
      <c r="D1001" s="963">
        <v>7900004366</v>
      </c>
      <c r="E1001" s="772">
        <v>44658</v>
      </c>
      <c r="F1001" s="773">
        <v>63803182</v>
      </c>
      <c r="G1001" s="1273">
        <f t="shared" ref="G1001:G1002" si="2367">+F1001*J1001</f>
        <v>63803182</v>
      </c>
      <c r="H1001" s="620">
        <v>3746.51</v>
      </c>
      <c r="I1001" s="774">
        <f t="shared" ref="I1001:I1006" si="2368">+F1001*H1001</f>
        <v>239039259394.82001</v>
      </c>
      <c r="J1001" s="926">
        <v>1</v>
      </c>
      <c r="K1001" s="2091">
        <v>1</v>
      </c>
      <c r="L1001" s="775"/>
      <c r="M1001" s="1303">
        <f>+L1001*J1001</f>
        <v>0</v>
      </c>
      <c r="N1001" s="620"/>
      <c r="O1001" s="774">
        <f t="shared" ref="O1001:O1033" si="2369">+L1001*N1001</f>
        <v>0</v>
      </c>
      <c r="P1001" s="773"/>
      <c r="Q1001" s="1273"/>
      <c r="R1001" s="620"/>
      <c r="S1001" s="620"/>
      <c r="T1001" s="774">
        <f t="shared" ref="T1001:T1035" si="2370">+P1001*S1001</f>
        <v>0</v>
      </c>
      <c r="U1001" s="773">
        <f t="shared" ref="U1001:U1035" si="2371">+L1001+P1001+F1001</f>
        <v>63803182</v>
      </c>
      <c r="V1001" s="774">
        <f t="shared" ref="V1001:V1035" si="2372">+P1001*R1001+L1001*N1001+F1001*H1001</f>
        <v>239039259394.82001</v>
      </c>
      <c r="W1001" s="776">
        <f>IF((-P1001*R1001)-(-P1001*S1001)&lt;0,(-P1001*R1001)-(-P1001*S1001),0)</f>
        <v>0</v>
      </c>
      <c r="X1001" s="621">
        <f>IF((-P1001*R1001)-(-P1001*S1001)&gt;0,(-P1001*R1001)-(-P1001*S1001),0)</f>
        <v>0</v>
      </c>
      <c r="Y1001" s="622"/>
      <c r="AA1001" s="24">
        <f>$B$4-H1001</f>
        <v>922.48999999999978</v>
      </c>
      <c r="AB1001" s="24">
        <f>+U1001*AA1001</f>
        <v>58857797363.179985</v>
      </c>
      <c r="AC1001" s="24"/>
      <c r="AD1001" s="24"/>
      <c r="AE1001" s="24"/>
    </row>
    <row r="1002" spans="1:31" ht="15.75">
      <c r="A1002" s="961">
        <v>2309110000</v>
      </c>
      <c r="B1002" s="962" t="s">
        <v>1289</v>
      </c>
      <c r="C1002" s="963" t="s">
        <v>64</v>
      </c>
      <c r="D1002" s="963"/>
      <c r="E1002" s="969">
        <v>44704</v>
      </c>
      <c r="F1002" s="964">
        <v>8543522</v>
      </c>
      <c r="G1002" s="1250">
        <f t="shared" si="2367"/>
        <v>8543522</v>
      </c>
      <c r="H1002" s="47">
        <v>3989.84</v>
      </c>
      <c r="I1002" s="965">
        <f t="shared" si="2368"/>
        <v>34087285816.48</v>
      </c>
      <c r="J1002" s="1246">
        <v>1</v>
      </c>
      <c r="K1002" s="1430">
        <v>1</v>
      </c>
      <c r="L1002" s="218"/>
      <c r="M1002" s="1309">
        <f>+L1002*J1002</f>
        <v>0</v>
      </c>
      <c r="N1002" s="47"/>
      <c r="O1002" s="965">
        <f t="shared" ref="O1002" si="2373">+L1002*N1002</f>
        <v>0</v>
      </c>
      <c r="P1002" s="964"/>
      <c r="Q1002" s="1250"/>
      <c r="R1002" s="47"/>
      <c r="S1002" s="47"/>
      <c r="T1002" s="965">
        <f t="shared" ref="T1002" si="2374">+P1002*S1002</f>
        <v>0</v>
      </c>
      <c r="U1002" s="964">
        <f t="shared" ref="U1002" si="2375">+L1002+P1002+F1002</f>
        <v>8543522</v>
      </c>
      <c r="V1002" s="965">
        <f t="shared" ref="V1002" si="2376">+P1002*R1002+L1002*N1002+F1002*H1002</f>
        <v>34087285816.48</v>
      </c>
      <c r="W1002" s="968">
        <f t="shared" ref="W1002" si="2377">-(IF(R1002&lt;S1002,(-P1002*R1002)-(-P1002*S1002),0))</f>
        <v>0</v>
      </c>
      <c r="X1002" s="966">
        <f t="shared" ref="X1002" si="2378">-(IF(R1002&gt;S1002,(-P1002*R1002)-(-P1002*S1002),0))</f>
        <v>0</v>
      </c>
      <c r="Y1002" s="967"/>
      <c r="AA1002" s="24">
        <f>$B$4-H1002</f>
        <v>679.15999999999985</v>
      </c>
      <c r="AB1002" s="24">
        <f>+U1002*AA1002</f>
        <v>5802418401.5199986</v>
      </c>
      <c r="AC1002" s="24"/>
      <c r="AD1002" s="24"/>
      <c r="AE1002" s="24"/>
    </row>
    <row r="1003" spans="1:31">
      <c r="A1003" s="55">
        <v>2309110000</v>
      </c>
      <c r="B1003" s="509" t="s">
        <v>79</v>
      </c>
      <c r="C1003" s="510" t="s">
        <v>64</v>
      </c>
      <c r="D1003" s="510"/>
      <c r="E1003" s="219"/>
      <c r="F1003" s="416"/>
      <c r="G1003" s="1251"/>
      <c r="H1003" s="676"/>
      <c r="I1003" s="681">
        <f t="shared" si="2368"/>
        <v>0</v>
      </c>
      <c r="J1003" s="1425">
        <v>1</v>
      </c>
      <c r="K1003" s="1426">
        <v>1</v>
      </c>
      <c r="L1003" s="438"/>
      <c r="M1003" s="1302"/>
      <c r="N1003" s="504"/>
      <c r="O1003" s="682">
        <f t="shared" si="2369"/>
        <v>0</v>
      </c>
      <c r="P1003" s="431"/>
      <c r="Q1003" s="514"/>
      <c r="R1003" s="515"/>
      <c r="S1003" s="515"/>
      <c r="T1003" s="562">
        <f t="shared" si="2370"/>
        <v>0</v>
      </c>
      <c r="U1003" s="418">
        <f t="shared" si="2371"/>
        <v>0</v>
      </c>
      <c r="V1003" s="517">
        <f t="shared" si="2372"/>
        <v>0</v>
      </c>
      <c r="W1003" s="976">
        <f t="shared" ref="W1003:W1035" si="2379">-(IF(R1003&lt;S1003,(-P1003*R1003)-(-P1003*S1003),0))</f>
        <v>0</v>
      </c>
      <c r="X1003" s="975">
        <f t="shared" ref="X1003:X1035" si="2380">-(IF(R1003&gt;S1003,(-P1003*R1003)-(-P1003*S1003),0))</f>
        <v>0</v>
      </c>
      <c r="Y1003" s="519"/>
      <c r="AA1003" s="24"/>
      <c r="AB1003" s="24"/>
      <c r="AC1003" s="24"/>
      <c r="AD1003" s="24"/>
      <c r="AE1003" s="24"/>
    </row>
    <row r="1004" spans="1:31">
      <c r="A1004" s="55">
        <v>2309110000</v>
      </c>
      <c r="B1004" s="509" t="s">
        <v>79</v>
      </c>
      <c r="C1004" s="510" t="s">
        <v>64</v>
      </c>
      <c r="D1004" s="510"/>
      <c r="E1004" s="219"/>
      <c r="F1004" s="416"/>
      <c r="G1004" s="1251"/>
      <c r="H1004" s="676"/>
      <c r="I1004" s="681">
        <f t="shared" si="2368"/>
        <v>0</v>
      </c>
      <c r="J1004" s="1425">
        <v>1</v>
      </c>
      <c r="K1004" s="1426">
        <v>1</v>
      </c>
      <c r="L1004" s="438"/>
      <c r="M1004" s="1302"/>
      <c r="N1004" s="504"/>
      <c r="O1004" s="682">
        <f t="shared" si="2369"/>
        <v>0</v>
      </c>
      <c r="P1004" s="431"/>
      <c r="Q1004" s="514"/>
      <c r="R1004" s="515"/>
      <c r="S1004" s="515"/>
      <c r="T1004" s="562">
        <f t="shared" si="2370"/>
        <v>0</v>
      </c>
      <c r="U1004" s="418">
        <f t="shared" si="2371"/>
        <v>0</v>
      </c>
      <c r="V1004" s="517">
        <f t="shared" si="2372"/>
        <v>0</v>
      </c>
      <c r="W1004" s="976">
        <f t="shared" si="2379"/>
        <v>0</v>
      </c>
      <c r="X1004" s="975">
        <f t="shared" si="2380"/>
        <v>0</v>
      </c>
      <c r="Y1004" s="519"/>
      <c r="AA1004" s="24"/>
      <c r="AB1004" s="24"/>
      <c r="AC1004" s="24"/>
      <c r="AD1004" s="24"/>
      <c r="AE1004" s="24"/>
    </row>
    <row r="1005" spans="1:31">
      <c r="A1005" s="55"/>
      <c r="B1005" s="509"/>
      <c r="C1005" s="510"/>
      <c r="D1005" s="510"/>
      <c r="E1005" s="219"/>
      <c r="F1005" s="416"/>
      <c r="G1005" s="1251"/>
      <c r="H1005" s="676"/>
      <c r="I1005" s="681">
        <f t="shared" si="2368"/>
        <v>0</v>
      </c>
      <c r="J1005" s="1386"/>
      <c r="K1005" s="1386"/>
      <c r="L1005" s="438"/>
      <c r="M1005" s="1302"/>
      <c r="N1005" s="504"/>
      <c r="O1005" s="682">
        <f t="shared" si="2369"/>
        <v>0</v>
      </c>
      <c r="P1005" s="431"/>
      <c r="Q1005" s="514"/>
      <c r="R1005" s="515"/>
      <c r="S1005" s="515"/>
      <c r="T1005" s="562">
        <f t="shared" si="2370"/>
        <v>0</v>
      </c>
      <c r="U1005" s="418">
        <f t="shared" si="2371"/>
        <v>0</v>
      </c>
      <c r="V1005" s="517">
        <f t="shared" si="2372"/>
        <v>0</v>
      </c>
      <c r="W1005" s="976">
        <f t="shared" si="2379"/>
        <v>0</v>
      </c>
      <c r="X1005" s="975">
        <f t="shared" si="2380"/>
        <v>0</v>
      </c>
      <c r="Y1005" s="519"/>
      <c r="AA1005" s="24"/>
      <c r="AB1005" s="24"/>
      <c r="AC1005" s="24"/>
      <c r="AD1005" s="24"/>
      <c r="AE1005" s="24"/>
    </row>
    <row r="1006" spans="1:31" ht="15.75">
      <c r="A1006" s="961">
        <v>2422091000</v>
      </c>
      <c r="B1006" s="962" t="s">
        <v>77</v>
      </c>
      <c r="C1006" s="963" t="s">
        <v>64</v>
      </c>
      <c r="D1006" s="963"/>
      <c r="E1006" s="969">
        <v>44865</v>
      </c>
      <c r="F1006" s="964">
        <v>245711.51</v>
      </c>
      <c r="G1006" s="1250">
        <f t="shared" ref="G1006:G1008" si="2381">+F1006*J1006</f>
        <v>245711.51</v>
      </c>
      <c r="H1006" s="47">
        <v>4819.42</v>
      </c>
      <c r="I1006" s="965">
        <f t="shared" si="2368"/>
        <v>1184186965.5242</v>
      </c>
      <c r="J1006" s="1425">
        <v>1</v>
      </c>
      <c r="K1006" s="1426">
        <v>1</v>
      </c>
      <c r="L1006" s="218"/>
      <c r="M1006" s="1309"/>
      <c r="N1006" s="47"/>
      <c r="O1006" s="965">
        <f t="shared" si="2369"/>
        <v>0</v>
      </c>
      <c r="P1006" s="964"/>
      <c r="Q1006" s="1250"/>
      <c r="R1006" s="47"/>
      <c r="S1006" s="47"/>
      <c r="T1006" s="965">
        <f t="shared" si="2370"/>
        <v>0</v>
      </c>
      <c r="U1006" s="964">
        <f t="shared" si="2371"/>
        <v>245711.51</v>
      </c>
      <c r="V1006" s="965">
        <f t="shared" si="2372"/>
        <v>1184186965.5242</v>
      </c>
      <c r="W1006" s="968">
        <f t="shared" si="2379"/>
        <v>0</v>
      </c>
      <c r="X1006" s="966">
        <f t="shared" si="2380"/>
        <v>0</v>
      </c>
      <c r="Y1006" s="967"/>
      <c r="AA1006" s="24">
        <f>$B$4-H1006</f>
        <v>-150.42000000000007</v>
      </c>
      <c r="AB1006" s="24">
        <f t="shared" ref="AB1006:AB1008" si="2382">+U1006*AA1006</f>
        <v>-36959925.334200017</v>
      </c>
      <c r="AC1006" s="24"/>
      <c r="AD1006" s="24"/>
      <c r="AE1006" s="24"/>
    </row>
    <row r="1007" spans="1:31" ht="15.75">
      <c r="A1007" s="961">
        <v>2422091000</v>
      </c>
      <c r="B1007" s="962" t="s">
        <v>77</v>
      </c>
      <c r="C1007" s="963" t="s">
        <v>64</v>
      </c>
      <c r="D1007" s="963"/>
      <c r="E1007" s="969">
        <v>44895</v>
      </c>
      <c r="F1007" s="964">
        <v>327052.21999999997</v>
      </c>
      <c r="G1007" s="1250">
        <f t="shared" si="2381"/>
        <v>327052.21999999997</v>
      </c>
      <c r="H1007" s="47">
        <v>4809.51</v>
      </c>
      <c r="I1007" s="965">
        <f t="shared" ref="I1007" si="2383">+F1007*H1007</f>
        <v>1572960922.6122</v>
      </c>
      <c r="J1007" s="1425">
        <v>1</v>
      </c>
      <c r="K1007" s="1426">
        <v>1</v>
      </c>
      <c r="L1007" s="218"/>
      <c r="M1007" s="1309"/>
      <c r="N1007" s="47"/>
      <c r="O1007" s="965">
        <f t="shared" ref="O1007" si="2384">+L1007*N1007</f>
        <v>0</v>
      </c>
      <c r="P1007" s="964"/>
      <c r="Q1007" s="1250"/>
      <c r="R1007" s="47"/>
      <c r="S1007" s="47"/>
      <c r="T1007" s="965">
        <f t="shared" ref="T1007" si="2385">+P1007*S1007</f>
        <v>0</v>
      </c>
      <c r="U1007" s="964">
        <f t="shared" ref="U1007" si="2386">+L1007+P1007+F1007</f>
        <v>327052.21999999997</v>
      </c>
      <c r="V1007" s="965">
        <f t="shared" ref="V1007" si="2387">+P1007*R1007+L1007*N1007+F1007*H1007</f>
        <v>1572960922.6122</v>
      </c>
      <c r="W1007" s="968">
        <f t="shared" ref="W1007" si="2388">-(IF(R1007&lt;S1007,(-P1007*R1007)-(-P1007*S1007),0))</f>
        <v>0</v>
      </c>
      <c r="X1007" s="966">
        <f t="shared" ref="X1007" si="2389">-(IF(R1007&gt;S1007,(-P1007*R1007)-(-P1007*S1007),0))</f>
        <v>0</v>
      </c>
      <c r="Y1007" s="967"/>
      <c r="AA1007" s="24">
        <f t="shared" ref="AA1007:AA1008" si="2390">$B$4-H1007</f>
        <v>-140.51000000000022</v>
      </c>
      <c r="AB1007" s="24">
        <f t="shared" si="2382"/>
        <v>-45954107.432200067</v>
      </c>
      <c r="AC1007" s="24"/>
      <c r="AD1007" s="24"/>
      <c r="AE1007" s="24"/>
    </row>
    <row r="1008" spans="1:31" ht="15.75">
      <c r="A1008" s="961">
        <v>2422091000</v>
      </c>
      <c r="B1008" s="962" t="s">
        <v>77</v>
      </c>
      <c r="C1008" s="963" t="s">
        <v>64</v>
      </c>
      <c r="D1008" s="963"/>
      <c r="E1008" s="969">
        <v>44926</v>
      </c>
      <c r="F1008" s="964">
        <v>364115.68000000005</v>
      </c>
      <c r="G1008" s="1250">
        <f t="shared" si="2381"/>
        <v>364115.68000000005</v>
      </c>
      <c r="H1008" s="47">
        <v>4810.2</v>
      </c>
      <c r="I1008" s="965">
        <f t="shared" ref="I1008" si="2391">+F1008*H1008</f>
        <v>1751469243.9360001</v>
      </c>
      <c r="J1008" s="1425">
        <v>1</v>
      </c>
      <c r="K1008" s="1426">
        <v>1</v>
      </c>
      <c r="L1008" s="218"/>
      <c r="M1008" s="1309"/>
      <c r="N1008" s="47"/>
      <c r="O1008" s="965">
        <f t="shared" ref="O1008" si="2392">+L1008*N1008</f>
        <v>0</v>
      </c>
      <c r="P1008" s="964"/>
      <c r="Q1008" s="1250"/>
      <c r="R1008" s="47"/>
      <c r="S1008" s="47"/>
      <c r="T1008" s="965">
        <f t="shared" ref="T1008" si="2393">+P1008*S1008</f>
        <v>0</v>
      </c>
      <c r="U1008" s="964">
        <f t="shared" ref="U1008" si="2394">+L1008+P1008+F1008</f>
        <v>364115.68000000005</v>
      </c>
      <c r="V1008" s="965">
        <f t="shared" ref="V1008" si="2395">+P1008*R1008+L1008*N1008+F1008*H1008</f>
        <v>1751469243.9360001</v>
      </c>
      <c r="W1008" s="968">
        <f t="shared" ref="W1008" si="2396">-(IF(R1008&lt;S1008,(-P1008*R1008)-(-P1008*S1008),0))</f>
        <v>0</v>
      </c>
      <c r="X1008" s="966">
        <f t="shared" ref="X1008" si="2397">-(IF(R1008&gt;S1008,(-P1008*R1008)-(-P1008*S1008),0))</f>
        <v>0</v>
      </c>
      <c r="Y1008" s="967"/>
      <c r="AA1008" s="24">
        <f t="shared" si="2390"/>
        <v>-141.19999999999982</v>
      </c>
      <c r="AB1008" s="24">
        <f t="shared" si="2382"/>
        <v>-51413134.015999943</v>
      </c>
      <c r="AC1008" s="24"/>
      <c r="AD1008" s="24"/>
      <c r="AE1008" s="24"/>
    </row>
    <row r="1009" spans="1:31" outlineLevel="1">
      <c r="A1009" s="55"/>
      <c r="B1009" s="509"/>
      <c r="C1009" s="679"/>
      <c r="D1009" s="680"/>
      <c r="E1009" s="219"/>
      <c r="F1009" s="416"/>
      <c r="G1009" s="1251"/>
      <c r="H1009" s="676"/>
      <c r="I1009" s="681"/>
      <c r="J1009" s="1386"/>
      <c r="K1009" s="1386"/>
      <c r="L1009" s="438"/>
      <c r="M1009" s="1302"/>
      <c r="N1009" s="504"/>
      <c r="O1009" s="682">
        <f t="shared" si="2369"/>
        <v>0</v>
      </c>
      <c r="P1009" s="431"/>
      <c r="Q1009" s="514"/>
      <c r="R1009" s="515"/>
      <c r="S1009" s="515"/>
      <c r="T1009" s="562">
        <f t="shared" si="2370"/>
        <v>0</v>
      </c>
      <c r="U1009" s="418">
        <f t="shared" si="2371"/>
        <v>0</v>
      </c>
      <c r="V1009" s="517">
        <f t="shared" si="2372"/>
        <v>0</v>
      </c>
      <c r="W1009" s="976">
        <f t="shared" si="2379"/>
        <v>0</v>
      </c>
      <c r="X1009" s="975">
        <f t="shared" si="2380"/>
        <v>0</v>
      </c>
      <c r="Y1009" s="519"/>
      <c r="AA1009" s="24"/>
      <c r="AB1009" s="24"/>
      <c r="AC1009" s="24"/>
      <c r="AD1009" s="24"/>
      <c r="AE1009" s="24"/>
    </row>
    <row r="1010" spans="1:31" outlineLevel="1">
      <c r="A1010" s="55">
        <v>2422091000</v>
      </c>
      <c r="B1010" s="509" t="s">
        <v>110</v>
      </c>
      <c r="C1010" s="679" t="s">
        <v>64</v>
      </c>
      <c r="D1010" s="680"/>
      <c r="E1010" s="219">
        <v>44936</v>
      </c>
      <c r="F1010" s="416"/>
      <c r="G1010" s="1251"/>
      <c r="H1010" s="676"/>
      <c r="I1010" s="681"/>
      <c r="J1010" s="1425">
        <v>1</v>
      </c>
      <c r="K1010" s="1426">
        <v>1</v>
      </c>
      <c r="L1010" s="449">
        <v>113663.18</v>
      </c>
      <c r="M1010" s="1312">
        <f t="shared" ref="M1010" si="2398">+L1010*J1010</f>
        <v>113663.18</v>
      </c>
      <c r="N1010" s="504">
        <f ca="1">IF(OR(E1010="",E1010&gt;TODAY()),0,IF(ISERROR(VLOOKUP($E1010,'TRM BanRep'!$A:$G,7,0)),0,VLOOKUP($E1010,'TRM BanRep'!$A:$G,7,0)))</f>
        <v>4885.66</v>
      </c>
      <c r="O1010" s="682">
        <f t="shared" ca="1" si="2369"/>
        <v>555319651.99879992</v>
      </c>
      <c r="P1010" s="431"/>
      <c r="Q1010" s="514"/>
      <c r="R1010" s="515"/>
      <c r="S1010" s="515"/>
      <c r="T1010" s="562">
        <f t="shared" si="2370"/>
        <v>0</v>
      </c>
      <c r="U1010" s="418">
        <f t="shared" si="2371"/>
        <v>113663.18</v>
      </c>
      <c r="V1010" s="517">
        <f t="shared" ca="1" si="2372"/>
        <v>555319651.99879992</v>
      </c>
      <c r="W1010" s="976">
        <f t="shared" si="2379"/>
        <v>0</v>
      </c>
      <c r="X1010" s="975">
        <f t="shared" si="2380"/>
        <v>0</v>
      </c>
      <c r="Y1010" s="519"/>
      <c r="AA1010" s="24">
        <f t="shared" ref="AA1010:AA1014" ca="1" si="2399">$B$4-N1010</f>
        <v>-216.65999999999985</v>
      </c>
      <c r="AB1010" s="24">
        <f t="shared" ref="AB1010:AB1014" ca="1" si="2400">+U1010*AA1010</f>
        <v>-24626264.578799982</v>
      </c>
      <c r="AC1010" s="24"/>
      <c r="AD1010" s="24"/>
      <c r="AE1010" s="24"/>
    </row>
    <row r="1011" spans="1:31" outlineLevel="1">
      <c r="A1011" s="55">
        <v>2422091000</v>
      </c>
      <c r="B1011" s="509" t="s">
        <v>110</v>
      </c>
      <c r="C1011" s="679" t="s">
        <v>64</v>
      </c>
      <c r="D1011" s="680"/>
      <c r="E1011" s="219">
        <v>44957</v>
      </c>
      <c r="F1011" s="416"/>
      <c r="G1011" s="1251"/>
      <c r="H1011" s="676"/>
      <c r="I1011" s="681"/>
      <c r="J1011" s="1425">
        <v>1</v>
      </c>
      <c r="K1011" s="1426">
        <v>1</v>
      </c>
      <c r="L1011" s="449">
        <v>272770.02</v>
      </c>
      <c r="M1011" s="1312">
        <f t="shared" ref="M1011" si="2401">+L1011*J1011</f>
        <v>272770.02</v>
      </c>
      <c r="N1011" s="504">
        <f ca="1">IF(OR(E1011="",E1011&gt;TODAY()),0,IF(ISERROR(VLOOKUP($E1011,'TRM BanRep'!$A:$G,7,0)),0,VLOOKUP($E1011,'TRM BanRep'!$A:$G,7,0)))</f>
        <v>4632.2</v>
      </c>
      <c r="O1011" s="682">
        <f t="shared" ref="O1011" ca="1" si="2402">+L1011*N1011</f>
        <v>1263525286.6440001</v>
      </c>
      <c r="P1011" s="431"/>
      <c r="Q1011" s="514"/>
      <c r="R1011" s="515"/>
      <c r="S1011" s="515"/>
      <c r="T1011" s="562">
        <f t="shared" ref="T1011" si="2403">+P1011*S1011</f>
        <v>0</v>
      </c>
      <c r="U1011" s="418">
        <f t="shared" ref="U1011" si="2404">+L1011+P1011+F1011</f>
        <v>272770.02</v>
      </c>
      <c r="V1011" s="517">
        <f t="shared" ref="V1011" ca="1" si="2405">+P1011*R1011+L1011*N1011+F1011*H1011</f>
        <v>1263525286.6440001</v>
      </c>
      <c r="W1011" s="976">
        <f t="shared" ref="W1011" si="2406">-(IF(R1011&lt;S1011,(-P1011*R1011)-(-P1011*S1011),0))</f>
        <v>0</v>
      </c>
      <c r="X1011" s="975">
        <f t="shared" ref="X1011" si="2407">-(IF(R1011&gt;S1011,(-P1011*R1011)-(-P1011*S1011),0))</f>
        <v>0</v>
      </c>
      <c r="Y1011" s="519"/>
      <c r="AA1011" s="24">
        <f t="shared" ref="AA1011" ca="1" si="2408">$B$4-N1011</f>
        <v>36.800000000000182</v>
      </c>
      <c r="AB1011" s="24">
        <f t="shared" ref="AB1011" ca="1" si="2409">+U1011*AA1011</f>
        <v>10037936.73600005</v>
      </c>
      <c r="AC1011" s="24"/>
      <c r="AD1011" s="24"/>
      <c r="AE1011" s="24"/>
    </row>
    <row r="1012" spans="1:31" outlineLevel="1">
      <c r="A1012" s="55">
        <v>2422091000</v>
      </c>
      <c r="B1012" s="509" t="s">
        <v>111</v>
      </c>
      <c r="C1012" s="679" t="s">
        <v>64</v>
      </c>
      <c r="D1012" s="680"/>
      <c r="E1012" s="219">
        <v>44985</v>
      </c>
      <c r="F1012" s="416"/>
      <c r="G1012" s="1251"/>
      <c r="H1012" s="676"/>
      <c r="I1012" s="681"/>
      <c r="J1012" s="1425">
        <v>1</v>
      </c>
      <c r="K1012" s="1426">
        <v>1</v>
      </c>
      <c r="L1012" s="449">
        <v>357492.36</v>
      </c>
      <c r="M1012" s="1312">
        <f t="shared" ref="M1012:M1025" si="2410">+L1012*J1012</f>
        <v>357492.36</v>
      </c>
      <c r="N1012" s="504">
        <f ca="1">IF(OR(E1012="",E1012&gt;TODAY()),0,IF(ISERROR(VLOOKUP($E1012,'TRM BanRep'!$A:$G,7,0)),0,VLOOKUP($E1012,'TRM BanRep'!$A:$G,7,0)))</f>
        <v>4808.1400000000003</v>
      </c>
      <c r="O1012" s="682">
        <f t="shared" ca="1" si="2369"/>
        <v>1718873315.8104</v>
      </c>
      <c r="P1012" s="431"/>
      <c r="Q1012" s="514"/>
      <c r="R1012" s="515"/>
      <c r="S1012" s="515"/>
      <c r="T1012" s="562">
        <f t="shared" si="2370"/>
        <v>0</v>
      </c>
      <c r="U1012" s="418">
        <f t="shared" si="2371"/>
        <v>357492.36</v>
      </c>
      <c r="V1012" s="517">
        <f t="shared" ca="1" si="2372"/>
        <v>1718873315.8104</v>
      </c>
      <c r="W1012" s="976">
        <f t="shared" si="2379"/>
        <v>0</v>
      </c>
      <c r="X1012" s="975">
        <f t="shared" si="2380"/>
        <v>0</v>
      </c>
      <c r="Y1012" s="519"/>
      <c r="AA1012" s="24">
        <f t="shared" ca="1" si="2399"/>
        <v>-139.14000000000033</v>
      </c>
      <c r="AB1012" s="24">
        <f t="shared" ca="1" si="2400"/>
        <v>-49741486.970400117</v>
      </c>
      <c r="AC1012" s="24"/>
      <c r="AD1012" s="24"/>
      <c r="AE1012" s="24"/>
    </row>
    <row r="1013" spans="1:31" outlineLevel="1">
      <c r="A1013" s="55">
        <v>2422091000</v>
      </c>
      <c r="B1013" s="509" t="s">
        <v>112</v>
      </c>
      <c r="C1013" s="679" t="s">
        <v>64</v>
      </c>
      <c r="D1013" s="680"/>
      <c r="E1013" s="219">
        <v>45016</v>
      </c>
      <c r="F1013" s="416"/>
      <c r="G1013" s="1251"/>
      <c r="H1013" s="676"/>
      <c r="I1013" s="681"/>
      <c r="J1013" s="1425">
        <v>1</v>
      </c>
      <c r="K1013" s="1426">
        <v>1</v>
      </c>
      <c r="L1013" s="449">
        <v>402315.18000000005</v>
      </c>
      <c r="M1013" s="1312">
        <f t="shared" si="2410"/>
        <v>402315.18000000005</v>
      </c>
      <c r="N1013" s="504">
        <f ca="1">IF(OR(E1013="",E1013&gt;TODAY()),0,IF(ISERROR(VLOOKUP($E1013,'TRM BanRep'!$A:$G,7,0)),0,VLOOKUP($E1013,'TRM BanRep'!$A:$G,7,0)))</f>
        <v>4627.2700000000004</v>
      </c>
      <c r="O1013" s="682">
        <f t="shared" ca="1" si="2369"/>
        <v>1861620962.9586005</v>
      </c>
      <c r="P1013" s="431"/>
      <c r="Q1013" s="514"/>
      <c r="R1013" s="515"/>
      <c r="S1013" s="515"/>
      <c r="T1013" s="562">
        <f t="shared" si="2370"/>
        <v>0</v>
      </c>
      <c r="U1013" s="418">
        <f t="shared" si="2371"/>
        <v>402315.18000000005</v>
      </c>
      <c r="V1013" s="517">
        <f t="shared" ca="1" si="2372"/>
        <v>1861620962.9586005</v>
      </c>
      <c r="W1013" s="976">
        <f t="shared" si="2379"/>
        <v>0</v>
      </c>
      <c r="X1013" s="975">
        <f t="shared" si="2380"/>
        <v>0</v>
      </c>
      <c r="Y1013" s="519"/>
      <c r="AA1013" s="24">
        <f t="shared" ca="1" si="2399"/>
        <v>41.729999999999563</v>
      </c>
      <c r="AB1013" s="24">
        <f t="shared" ca="1" si="2400"/>
        <v>16788612.461399827</v>
      </c>
      <c r="AC1013" s="24"/>
      <c r="AD1013" s="24"/>
      <c r="AE1013" s="24"/>
    </row>
    <row r="1014" spans="1:31" outlineLevel="1">
      <c r="A1014" s="55">
        <v>2422091000</v>
      </c>
      <c r="B1014" s="509" t="s">
        <v>200</v>
      </c>
      <c r="C1014" s="679" t="s">
        <v>64</v>
      </c>
      <c r="D1014" s="680"/>
      <c r="E1014" s="219">
        <v>45026</v>
      </c>
      <c r="F1014" s="416"/>
      <c r="G1014" s="1251"/>
      <c r="H1014" s="676"/>
      <c r="I1014" s="681"/>
      <c r="J1014" s="1425">
        <v>1</v>
      </c>
      <c r="K1014" s="1426">
        <v>1</v>
      </c>
      <c r="L1014" s="449">
        <v>122735.66999999993</v>
      </c>
      <c r="M1014" s="1312">
        <f t="shared" si="2410"/>
        <v>122735.66999999993</v>
      </c>
      <c r="N1014" s="504">
        <f ca="1">IF(OR(E1014="",E1014&gt;TODAY()),0,IF(ISERROR(VLOOKUP($E1014,'TRM BanRep'!$A:$G,7,0)),0,VLOOKUP($E1014,'TRM BanRep'!$A:$G,7,0)))</f>
        <v>4570.91</v>
      </c>
      <c r="O1014" s="682">
        <f t="shared" ca="1" si="2369"/>
        <v>561013701.35969961</v>
      </c>
      <c r="P1014" s="431"/>
      <c r="Q1014" s="514"/>
      <c r="R1014" s="515"/>
      <c r="S1014" s="515"/>
      <c r="T1014" s="562">
        <f t="shared" si="2370"/>
        <v>0</v>
      </c>
      <c r="U1014" s="418">
        <f t="shared" si="2371"/>
        <v>122735.66999999993</v>
      </c>
      <c r="V1014" s="517">
        <f t="shared" ca="1" si="2372"/>
        <v>561013701.35969961</v>
      </c>
      <c r="W1014" s="976">
        <f t="shared" si="2379"/>
        <v>0</v>
      </c>
      <c r="X1014" s="975">
        <f t="shared" si="2380"/>
        <v>0</v>
      </c>
      <c r="Y1014" s="519"/>
      <c r="AA1014" s="24">
        <f t="shared" ca="1" si="2399"/>
        <v>98.090000000000146</v>
      </c>
      <c r="AB1014" s="24">
        <f t="shared" ca="1" si="2400"/>
        <v>12039141.87030001</v>
      </c>
      <c r="AC1014" s="24"/>
      <c r="AD1014" s="24"/>
      <c r="AE1014" s="24"/>
    </row>
    <row r="1015" spans="1:31" outlineLevel="1">
      <c r="A1015" s="55">
        <v>2422091000</v>
      </c>
      <c r="B1015" s="509" t="s">
        <v>113</v>
      </c>
      <c r="C1015" s="679" t="s">
        <v>64</v>
      </c>
      <c r="D1015" s="680"/>
      <c r="E1015" s="219">
        <v>45046</v>
      </c>
      <c r="F1015" s="416"/>
      <c r="G1015" s="1251"/>
      <c r="H1015" s="676"/>
      <c r="I1015" s="681"/>
      <c r="J1015" s="1425">
        <v>1</v>
      </c>
      <c r="K1015" s="1426">
        <v>1</v>
      </c>
      <c r="L1015" s="449">
        <v>281716.02</v>
      </c>
      <c r="M1015" s="1312">
        <f t="shared" si="2410"/>
        <v>281716.02</v>
      </c>
      <c r="N1015" s="504">
        <f ca="1">IF(OR(E1015="",E1015&gt;TODAY()),0,IF(ISERROR(VLOOKUP($E1015,'TRM BanRep'!$A:$G,7,0)),0,VLOOKUP($E1015,'TRM BanRep'!$A:$G,7,0)))</f>
        <v>4669</v>
      </c>
      <c r="O1015" s="682">
        <f t="shared" ca="1" si="2369"/>
        <v>1315332097.3800001</v>
      </c>
      <c r="P1015" s="431"/>
      <c r="Q1015" s="514"/>
      <c r="R1015" s="515"/>
      <c r="S1015" s="515"/>
      <c r="T1015" s="562">
        <f t="shared" si="2370"/>
        <v>0</v>
      </c>
      <c r="U1015" s="418">
        <f t="shared" si="2371"/>
        <v>281716.02</v>
      </c>
      <c r="V1015" s="517">
        <f t="shared" ca="1" si="2372"/>
        <v>1315332097.3800001</v>
      </c>
      <c r="W1015" s="976">
        <f t="shared" si="2379"/>
        <v>0</v>
      </c>
      <c r="X1015" s="975">
        <f t="shared" si="2380"/>
        <v>0</v>
      </c>
      <c r="Y1015" s="519"/>
      <c r="AA1015" s="24">
        <f ca="1">$B$4-N1015</f>
        <v>0</v>
      </c>
      <c r="AB1015" s="24">
        <f ca="1">+U1015*AA1015</f>
        <v>0</v>
      </c>
      <c r="AC1015" s="24"/>
      <c r="AD1015" s="24"/>
      <c r="AE1015" s="24"/>
    </row>
    <row r="1016" spans="1:31" outlineLevel="1">
      <c r="A1016" s="55">
        <v>2422091000</v>
      </c>
      <c r="B1016" s="509" t="s">
        <v>114</v>
      </c>
      <c r="C1016" s="679" t="s">
        <v>64</v>
      </c>
      <c r="D1016" s="680"/>
      <c r="E1016" s="219">
        <v>45077</v>
      </c>
      <c r="F1016" s="416"/>
      <c r="G1016" s="1251"/>
      <c r="H1016" s="676"/>
      <c r="I1016" s="681"/>
      <c r="J1016" s="1425">
        <v>1</v>
      </c>
      <c r="K1016" s="1426">
        <v>1</v>
      </c>
      <c r="L1016" s="449"/>
      <c r="M1016" s="1312">
        <f t="shared" si="2410"/>
        <v>0</v>
      </c>
      <c r="N1016" s="504">
        <f ca="1">IF(OR(E1016="",E1016&gt;TODAY()),0,IF(ISERROR(VLOOKUP($E1016,'TRM BanRep'!$A:$G,7,0)),0,VLOOKUP($E1016,'TRM BanRep'!$A:$G,7,0)))</f>
        <v>0</v>
      </c>
      <c r="O1016" s="682">
        <f t="shared" ca="1" si="2369"/>
        <v>0</v>
      </c>
      <c r="P1016" s="431"/>
      <c r="Q1016" s="514"/>
      <c r="R1016" s="515"/>
      <c r="S1016" s="515"/>
      <c r="T1016" s="562">
        <f t="shared" si="2370"/>
        <v>0</v>
      </c>
      <c r="U1016" s="418">
        <f t="shared" si="2371"/>
        <v>0</v>
      </c>
      <c r="V1016" s="517">
        <f t="shared" ca="1" si="2372"/>
        <v>0</v>
      </c>
      <c r="W1016" s="976">
        <f t="shared" si="2379"/>
        <v>0</v>
      </c>
      <c r="X1016" s="975">
        <f t="shared" si="2380"/>
        <v>0</v>
      </c>
      <c r="Y1016" s="519"/>
      <c r="AA1016" s="24">
        <f ca="1">$B$4-N1016</f>
        <v>4669</v>
      </c>
      <c r="AB1016" s="24">
        <f ca="1">+U1016*AA1016</f>
        <v>0</v>
      </c>
      <c r="AC1016" s="24"/>
      <c r="AD1016" s="24"/>
      <c r="AE1016" s="24"/>
    </row>
    <row r="1017" spans="1:31" outlineLevel="1">
      <c r="A1017" s="55">
        <v>2422091000</v>
      </c>
      <c r="B1017" s="509" t="s">
        <v>115</v>
      </c>
      <c r="C1017" s="679" t="s">
        <v>64</v>
      </c>
      <c r="D1017" s="680"/>
      <c r="E1017" s="219">
        <v>45107</v>
      </c>
      <c r="F1017" s="416"/>
      <c r="G1017" s="1251"/>
      <c r="H1017" s="676"/>
      <c r="I1017" s="681"/>
      <c r="J1017" s="1425">
        <v>1</v>
      </c>
      <c r="K1017" s="1426">
        <v>1</v>
      </c>
      <c r="L1017" s="449"/>
      <c r="M1017" s="1312">
        <f t="shared" si="2410"/>
        <v>0</v>
      </c>
      <c r="N1017" s="504">
        <f ca="1">IF(OR(E1017="",E1017&gt;TODAY()),0,IF(ISERROR(VLOOKUP($E1017,'TRM BanRep'!$A:$G,7,0)),0,VLOOKUP($E1017,'TRM BanRep'!$A:$G,7,0)))</f>
        <v>0</v>
      </c>
      <c r="O1017" s="682">
        <f t="shared" ca="1" si="2369"/>
        <v>0</v>
      </c>
      <c r="P1017" s="431"/>
      <c r="Q1017" s="514"/>
      <c r="R1017" s="515"/>
      <c r="S1017" s="515"/>
      <c r="T1017" s="562">
        <f t="shared" si="2370"/>
        <v>0</v>
      </c>
      <c r="U1017" s="418">
        <f t="shared" si="2371"/>
        <v>0</v>
      </c>
      <c r="V1017" s="517">
        <f t="shared" ca="1" si="2372"/>
        <v>0</v>
      </c>
      <c r="W1017" s="976">
        <f t="shared" si="2379"/>
        <v>0</v>
      </c>
      <c r="X1017" s="975">
        <f t="shared" si="2380"/>
        <v>0</v>
      </c>
      <c r="Y1017" s="519"/>
      <c r="AA1017" s="24">
        <f t="shared" ref="AA1017:AA1025" ca="1" si="2411">$B$4-N1017</f>
        <v>4669</v>
      </c>
      <c r="AB1017" s="24">
        <f t="shared" ref="AB1017:AB1025" ca="1" si="2412">+U1017*AA1017</f>
        <v>0</v>
      </c>
      <c r="AC1017" s="24"/>
      <c r="AD1017" s="24"/>
      <c r="AE1017" s="24"/>
    </row>
    <row r="1018" spans="1:31" outlineLevel="1">
      <c r="A1018" s="55">
        <v>2422091000</v>
      </c>
      <c r="B1018" s="509" t="s">
        <v>116</v>
      </c>
      <c r="C1018" s="679" t="s">
        <v>64</v>
      </c>
      <c r="D1018" s="680"/>
      <c r="E1018" s="219">
        <v>45114</v>
      </c>
      <c r="F1018" s="416"/>
      <c r="G1018" s="1251"/>
      <c r="H1018" s="676"/>
      <c r="I1018" s="681"/>
      <c r="J1018" s="1425">
        <v>1</v>
      </c>
      <c r="K1018" s="1426">
        <v>1</v>
      </c>
      <c r="L1018" s="449"/>
      <c r="M1018" s="1312">
        <f t="shared" si="2410"/>
        <v>0</v>
      </c>
      <c r="N1018" s="504">
        <f ca="1">IF(OR(E1018="",E1018&gt;TODAY()),0,IF(ISERROR(VLOOKUP($E1018,'TRM BanRep'!$A:$G,7,0)),0,VLOOKUP($E1018,'TRM BanRep'!$A:$G,7,0)))</f>
        <v>0</v>
      </c>
      <c r="O1018" s="682">
        <f t="shared" ref="O1018" ca="1" si="2413">+L1018*N1018</f>
        <v>0</v>
      </c>
      <c r="P1018" s="431"/>
      <c r="Q1018" s="514"/>
      <c r="R1018" s="515"/>
      <c r="S1018" s="515"/>
      <c r="T1018" s="562">
        <f t="shared" ref="T1018" si="2414">+P1018*S1018</f>
        <v>0</v>
      </c>
      <c r="U1018" s="418">
        <f t="shared" ref="U1018" si="2415">+L1018+P1018+F1018</f>
        <v>0</v>
      </c>
      <c r="V1018" s="517">
        <f t="shared" ref="V1018" ca="1" si="2416">+P1018*R1018+L1018*N1018+F1018*H1018</f>
        <v>0</v>
      </c>
      <c r="W1018" s="976">
        <f t="shared" ref="W1018" si="2417">-(IF(R1018&lt;S1018,(-P1018*R1018)-(-P1018*S1018),0))</f>
        <v>0</v>
      </c>
      <c r="X1018" s="975">
        <f t="shared" ref="X1018" si="2418">-(IF(R1018&gt;S1018,(-P1018*R1018)-(-P1018*S1018),0))</f>
        <v>0</v>
      </c>
      <c r="Y1018" s="519"/>
      <c r="AA1018" s="24">
        <f t="shared" ref="AA1018" ca="1" si="2419">$B$4-N1018</f>
        <v>4669</v>
      </c>
      <c r="AB1018" s="24">
        <f t="shared" ref="AB1018" ca="1" si="2420">+U1018*AA1018</f>
        <v>0</v>
      </c>
      <c r="AC1018" s="24"/>
      <c r="AD1018" s="24"/>
      <c r="AE1018" s="24"/>
    </row>
    <row r="1019" spans="1:31" outlineLevel="1">
      <c r="A1019" s="55">
        <v>2422091000</v>
      </c>
      <c r="B1019" s="509" t="s">
        <v>116</v>
      </c>
      <c r="C1019" s="679" t="s">
        <v>64</v>
      </c>
      <c r="D1019" s="680"/>
      <c r="E1019" s="219">
        <v>45138</v>
      </c>
      <c r="F1019" s="416"/>
      <c r="G1019" s="1251"/>
      <c r="H1019" s="676"/>
      <c r="I1019" s="681"/>
      <c r="J1019" s="1425">
        <v>1</v>
      </c>
      <c r="K1019" s="1426">
        <v>1</v>
      </c>
      <c r="L1019" s="449"/>
      <c r="M1019" s="1312">
        <f t="shared" si="2410"/>
        <v>0</v>
      </c>
      <c r="N1019" s="504">
        <f ca="1">IF(OR(E1019="",E1019&gt;TODAY()),0,IF(ISERROR(VLOOKUP($E1019,'TRM BanRep'!$A:$G,7,0)),0,VLOOKUP($E1019,'TRM BanRep'!$A:$G,7,0)))</f>
        <v>0</v>
      </c>
      <c r="O1019" s="682">
        <f t="shared" ref="O1019" ca="1" si="2421">+L1019*N1019</f>
        <v>0</v>
      </c>
      <c r="P1019" s="431"/>
      <c r="Q1019" s="514"/>
      <c r="R1019" s="515"/>
      <c r="S1019" s="515"/>
      <c r="T1019" s="562">
        <f t="shared" si="2370"/>
        <v>0</v>
      </c>
      <c r="U1019" s="418">
        <f t="shared" si="2371"/>
        <v>0</v>
      </c>
      <c r="V1019" s="517">
        <f t="shared" ca="1" si="2372"/>
        <v>0</v>
      </c>
      <c r="W1019" s="976">
        <f t="shared" si="2379"/>
        <v>0</v>
      </c>
      <c r="X1019" s="975">
        <f t="shared" si="2380"/>
        <v>0</v>
      </c>
      <c r="Y1019" s="519"/>
      <c r="AA1019" s="24">
        <f t="shared" ca="1" si="2411"/>
        <v>4669</v>
      </c>
      <c r="AB1019" s="24">
        <f t="shared" ca="1" si="2412"/>
        <v>0</v>
      </c>
      <c r="AC1019" s="24"/>
      <c r="AD1019" s="24"/>
      <c r="AE1019" s="24"/>
    </row>
    <row r="1020" spans="1:31" outlineLevel="1">
      <c r="A1020" s="55">
        <v>2422091000</v>
      </c>
      <c r="B1020" s="509" t="s">
        <v>117</v>
      </c>
      <c r="C1020" s="679" t="s">
        <v>64</v>
      </c>
      <c r="D1020" s="680"/>
      <c r="E1020" s="219">
        <v>45169</v>
      </c>
      <c r="F1020" s="416"/>
      <c r="G1020" s="1251"/>
      <c r="H1020" s="676"/>
      <c r="I1020" s="681"/>
      <c r="J1020" s="1425">
        <v>1</v>
      </c>
      <c r="K1020" s="1426">
        <v>1</v>
      </c>
      <c r="L1020" s="449"/>
      <c r="M1020" s="1312">
        <f t="shared" si="2410"/>
        <v>0</v>
      </c>
      <c r="N1020" s="504">
        <f ca="1">IF(OR(E1020="",E1020&gt;TODAY()),0,IF(ISERROR(VLOOKUP($E1020,'TRM BanRep'!$A:$G,7,0)),0,VLOOKUP($E1020,'TRM BanRep'!$A:$G,7,0)))</f>
        <v>0</v>
      </c>
      <c r="O1020" s="682">
        <f t="shared" ca="1" si="2369"/>
        <v>0</v>
      </c>
      <c r="P1020" s="431"/>
      <c r="Q1020" s="514"/>
      <c r="R1020" s="515"/>
      <c r="S1020" s="515"/>
      <c r="T1020" s="562">
        <f t="shared" si="2370"/>
        <v>0</v>
      </c>
      <c r="U1020" s="418">
        <f t="shared" si="2371"/>
        <v>0</v>
      </c>
      <c r="V1020" s="517">
        <f t="shared" ca="1" si="2372"/>
        <v>0</v>
      </c>
      <c r="W1020" s="976">
        <f t="shared" si="2379"/>
        <v>0</v>
      </c>
      <c r="X1020" s="975">
        <f t="shared" si="2380"/>
        <v>0</v>
      </c>
      <c r="Y1020" s="519"/>
      <c r="AA1020" s="24">
        <f t="shared" ca="1" si="2411"/>
        <v>4669</v>
      </c>
      <c r="AB1020" s="24">
        <f t="shared" ca="1" si="2412"/>
        <v>0</v>
      </c>
      <c r="AC1020" s="24"/>
      <c r="AD1020" s="24"/>
      <c r="AE1020" s="24"/>
    </row>
    <row r="1021" spans="1:31" outlineLevel="1">
      <c r="A1021" s="55">
        <v>2422091000</v>
      </c>
      <c r="B1021" s="509" t="s">
        <v>118</v>
      </c>
      <c r="C1021" s="679" t="s">
        <v>64</v>
      </c>
      <c r="D1021" s="680"/>
      <c r="E1021" s="219">
        <v>45199</v>
      </c>
      <c r="F1021" s="416"/>
      <c r="G1021" s="1251"/>
      <c r="H1021" s="676"/>
      <c r="I1021" s="681"/>
      <c r="J1021" s="1425">
        <v>1</v>
      </c>
      <c r="K1021" s="1426">
        <v>1</v>
      </c>
      <c r="L1021" s="449"/>
      <c r="M1021" s="1312">
        <f t="shared" si="2410"/>
        <v>0</v>
      </c>
      <c r="N1021" s="504">
        <f ca="1">IF(OR(E1021="",E1021&gt;TODAY()),0,IF(ISERROR(VLOOKUP($E1021,'TRM BanRep'!$A:$G,7,0)),0,VLOOKUP($E1021,'TRM BanRep'!$A:$G,7,0)))</f>
        <v>0</v>
      </c>
      <c r="O1021" s="682">
        <f t="shared" ca="1" si="2369"/>
        <v>0</v>
      </c>
      <c r="P1021" s="431"/>
      <c r="Q1021" s="514"/>
      <c r="R1021" s="515"/>
      <c r="S1021" s="515"/>
      <c r="T1021" s="562">
        <f t="shared" si="2370"/>
        <v>0</v>
      </c>
      <c r="U1021" s="418">
        <f t="shared" si="2371"/>
        <v>0</v>
      </c>
      <c r="V1021" s="517">
        <f t="shared" ca="1" si="2372"/>
        <v>0</v>
      </c>
      <c r="W1021" s="976">
        <f t="shared" si="2379"/>
        <v>0</v>
      </c>
      <c r="X1021" s="975">
        <f t="shared" si="2380"/>
        <v>0</v>
      </c>
      <c r="Y1021" s="519"/>
      <c r="AA1021" s="24">
        <f t="shared" ca="1" si="2411"/>
        <v>4669</v>
      </c>
      <c r="AB1021" s="24">
        <f t="shared" ca="1" si="2412"/>
        <v>0</v>
      </c>
      <c r="AC1021" s="24"/>
      <c r="AD1021" s="24"/>
      <c r="AE1021" s="24"/>
    </row>
    <row r="1022" spans="1:31" outlineLevel="1">
      <c r="A1022" s="55">
        <v>2422091000</v>
      </c>
      <c r="B1022" s="509" t="s">
        <v>119</v>
      </c>
      <c r="C1022" s="679" t="s">
        <v>64</v>
      </c>
      <c r="D1022" s="680"/>
      <c r="E1022" s="219">
        <v>45206</v>
      </c>
      <c r="F1022" s="416"/>
      <c r="G1022" s="1251"/>
      <c r="H1022" s="676"/>
      <c r="I1022" s="681"/>
      <c r="J1022" s="1425">
        <v>1</v>
      </c>
      <c r="K1022" s="1426">
        <v>1</v>
      </c>
      <c r="L1022" s="449"/>
      <c r="M1022" s="1312">
        <f t="shared" si="2410"/>
        <v>0</v>
      </c>
      <c r="N1022" s="504">
        <f ca="1">IF(OR(E1022="",E1022&gt;TODAY()),0,IF(ISERROR(VLOOKUP($E1022,'TRM BanRep'!$A:$G,7,0)),0,VLOOKUP($E1022,'TRM BanRep'!$A:$G,7,0)))</f>
        <v>0</v>
      </c>
      <c r="O1022" s="682">
        <f t="shared" ca="1" si="2369"/>
        <v>0</v>
      </c>
      <c r="P1022" s="431"/>
      <c r="Q1022" s="514"/>
      <c r="R1022" s="515"/>
      <c r="S1022" s="515"/>
      <c r="T1022" s="562">
        <f t="shared" si="2370"/>
        <v>0</v>
      </c>
      <c r="U1022" s="418">
        <f t="shared" si="2371"/>
        <v>0</v>
      </c>
      <c r="V1022" s="517">
        <f t="shared" ca="1" si="2372"/>
        <v>0</v>
      </c>
      <c r="W1022" s="976">
        <f t="shared" si="2379"/>
        <v>0</v>
      </c>
      <c r="X1022" s="975">
        <f t="shared" si="2380"/>
        <v>0</v>
      </c>
      <c r="Y1022" s="519"/>
      <c r="AA1022" s="24">
        <f t="shared" ca="1" si="2411"/>
        <v>4669</v>
      </c>
      <c r="AB1022" s="24">
        <f t="shared" ca="1" si="2412"/>
        <v>0</v>
      </c>
      <c r="AC1022" s="24"/>
      <c r="AD1022" s="24"/>
      <c r="AE1022" s="24"/>
    </row>
    <row r="1023" spans="1:31" outlineLevel="1">
      <c r="A1023" s="55">
        <v>2422091000</v>
      </c>
      <c r="B1023" s="509" t="s">
        <v>119</v>
      </c>
      <c r="C1023" s="679" t="s">
        <v>64</v>
      </c>
      <c r="D1023" s="680"/>
      <c r="E1023" s="219">
        <v>45230</v>
      </c>
      <c r="F1023" s="416"/>
      <c r="G1023" s="1251"/>
      <c r="H1023" s="676"/>
      <c r="I1023" s="681"/>
      <c r="J1023" s="1425">
        <v>1</v>
      </c>
      <c r="K1023" s="1426">
        <v>1</v>
      </c>
      <c r="L1023" s="449"/>
      <c r="M1023" s="1312">
        <f t="shared" si="2410"/>
        <v>0</v>
      </c>
      <c r="N1023" s="504">
        <f ca="1">IF(OR(E1023="",E1023&gt;TODAY()),0,IF(ISERROR(VLOOKUP($E1023,'TRM BanRep'!$A:$G,7,0)),0,VLOOKUP($E1023,'TRM BanRep'!$A:$G,7,0)))</f>
        <v>0</v>
      </c>
      <c r="O1023" s="682">
        <f t="shared" ref="O1023" ca="1" si="2422">+L1023*N1023</f>
        <v>0</v>
      </c>
      <c r="P1023" s="431"/>
      <c r="Q1023" s="514"/>
      <c r="R1023" s="515"/>
      <c r="S1023" s="515"/>
      <c r="T1023" s="562">
        <f t="shared" ref="T1023" si="2423">+P1023*S1023</f>
        <v>0</v>
      </c>
      <c r="U1023" s="418">
        <f t="shared" ref="U1023" si="2424">+L1023+P1023+F1023</f>
        <v>0</v>
      </c>
      <c r="V1023" s="517">
        <f t="shared" ref="V1023" ca="1" si="2425">+P1023*R1023+L1023*N1023+F1023*H1023</f>
        <v>0</v>
      </c>
      <c r="W1023" s="976">
        <f t="shared" ref="W1023" si="2426">-(IF(R1023&lt;S1023,(-P1023*R1023)-(-P1023*S1023),0))</f>
        <v>0</v>
      </c>
      <c r="X1023" s="975">
        <f t="shared" ref="X1023" si="2427">-(IF(R1023&gt;S1023,(-P1023*R1023)-(-P1023*S1023),0))</f>
        <v>0</v>
      </c>
      <c r="Y1023" s="519"/>
      <c r="AA1023" s="24">
        <f t="shared" ref="AA1023" ca="1" si="2428">$B$4-N1023</f>
        <v>4669</v>
      </c>
      <c r="AB1023" s="24">
        <f t="shared" ref="AB1023" ca="1" si="2429">+U1023*AA1023</f>
        <v>0</v>
      </c>
      <c r="AC1023" s="24"/>
      <c r="AD1023" s="24"/>
      <c r="AE1023" s="24"/>
    </row>
    <row r="1024" spans="1:31" outlineLevel="1">
      <c r="A1024" s="55">
        <v>2422091000</v>
      </c>
      <c r="B1024" s="509" t="s">
        <v>120</v>
      </c>
      <c r="C1024" s="679" t="s">
        <v>64</v>
      </c>
      <c r="D1024" s="680"/>
      <c r="E1024" s="219">
        <v>45260</v>
      </c>
      <c r="F1024" s="416"/>
      <c r="G1024" s="1251"/>
      <c r="H1024" s="676"/>
      <c r="I1024" s="681"/>
      <c r="J1024" s="1425">
        <v>1</v>
      </c>
      <c r="K1024" s="1426">
        <v>1</v>
      </c>
      <c r="L1024" s="449"/>
      <c r="M1024" s="1312">
        <f t="shared" si="2410"/>
        <v>0</v>
      </c>
      <c r="N1024" s="504">
        <f ca="1">IF(OR(E1024="",E1024&gt;TODAY()),0,IF(ISERROR(VLOOKUP($E1024,'TRM BanRep'!$A:$G,7,0)),0,VLOOKUP($E1024,'TRM BanRep'!$A:$G,7,0)))</f>
        <v>0</v>
      </c>
      <c r="O1024" s="682">
        <f t="shared" ca="1" si="2369"/>
        <v>0</v>
      </c>
      <c r="P1024" s="431"/>
      <c r="Q1024" s="514"/>
      <c r="R1024" s="515"/>
      <c r="S1024" s="515"/>
      <c r="T1024" s="562">
        <f t="shared" si="2370"/>
        <v>0</v>
      </c>
      <c r="U1024" s="418">
        <f t="shared" si="2371"/>
        <v>0</v>
      </c>
      <c r="V1024" s="517">
        <f t="shared" ca="1" si="2372"/>
        <v>0</v>
      </c>
      <c r="W1024" s="976">
        <f t="shared" si="2379"/>
        <v>0</v>
      </c>
      <c r="X1024" s="975">
        <f t="shared" si="2380"/>
        <v>0</v>
      </c>
      <c r="Y1024" s="519"/>
      <c r="AA1024" s="24">
        <f t="shared" ca="1" si="2411"/>
        <v>4669</v>
      </c>
      <c r="AB1024" s="24">
        <f t="shared" ca="1" si="2412"/>
        <v>0</v>
      </c>
      <c r="AC1024" s="24"/>
      <c r="AD1024" s="24"/>
      <c r="AE1024" s="24"/>
    </row>
    <row r="1025" spans="1:31" outlineLevel="1">
      <c r="A1025" s="55">
        <v>2422091000</v>
      </c>
      <c r="B1025" s="509" t="s">
        <v>121</v>
      </c>
      <c r="C1025" s="679" t="s">
        <v>64</v>
      </c>
      <c r="D1025" s="680"/>
      <c r="E1025" s="219">
        <v>45291</v>
      </c>
      <c r="F1025" s="416"/>
      <c r="G1025" s="1251"/>
      <c r="H1025" s="676"/>
      <c r="I1025" s="681"/>
      <c r="J1025" s="1425">
        <v>1</v>
      </c>
      <c r="K1025" s="1426">
        <v>1</v>
      </c>
      <c r="L1025" s="449"/>
      <c r="M1025" s="1312">
        <f t="shared" si="2410"/>
        <v>0</v>
      </c>
      <c r="N1025" s="504">
        <f ca="1">IF(OR(E1025="",E1025&gt;TODAY()),0,IF(ISERROR(VLOOKUP($E1025,'TRM BanRep'!$A:$G,7,0)),0,VLOOKUP($E1025,'TRM BanRep'!$A:$G,7,0)))</f>
        <v>0</v>
      </c>
      <c r="O1025" s="682">
        <f t="shared" ca="1" si="2369"/>
        <v>0</v>
      </c>
      <c r="P1025" s="431"/>
      <c r="Q1025" s="514"/>
      <c r="R1025" s="515"/>
      <c r="S1025" s="515"/>
      <c r="T1025" s="562">
        <f t="shared" si="2370"/>
        <v>0</v>
      </c>
      <c r="U1025" s="418">
        <f t="shared" si="2371"/>
        <v>0</v>
      </c>
      <c r="V1025" s="517">
        <f t="shared" ca="1" si="2372"/>
        <v>0</v>
      </c>
      <c r="W1025" s="976">
        <f t="shared" si="2379"/>
        <v>0</v>
      </c>
      <c r="X1025" s="975">
        <f t="shared" si="2380"/>
        <v>0</v>
      </c>
      <c r="Y1025" s="519"/>
      <c r="AA1025" s="24">
        <f t="shared" ca="1" si="2411"/>
        <v>4669</v>
      </c>
      <c r="AB1025" s="24">
        <f t="shared" ca="1" si="2412"/>
        <v>0</v>
      </c>
      <c r="AC1025" s="24"/>
      <c r="AD1025" s="24"/>
      <c r="AE1025" s="24"/>
    </row>
    <row r="1026" spans="1:31" outlineLevel="1">
      <c r="A1026" s="55"/>
      <c r="B1026" s="509"/>
      <c r="C1026" s="679"/>
      <c r="D1026" s="680"/>
      <c r="E1026" s="219"/>
      <c r="F1026" s="416"/>
      <c r="G1026" s="1251"/>
      <c r="H1026" s="676"/>
      <c r="I1026" s="681"/>
      <c r="J1026" s="1386"/>
      <c r="K1026" s="1386"/>
      <c r="L1026" s="438"/>
      <c r="M1026" s="1302"/>
      <c r="N1026" s="504"/>
      <c r="O1026" s="682">
        <f t="shared" si="2369"/>
        <v>0</v>
      </c>
      <c r="P1026" s="431"/>
      <c r="Q1026" s="514"/>
      <c r="R1026" s="515"/>
      <c r="S1026" s="515"/>
      <c r="T1026" s="562">
        <f t="shared" si="2370"/>
        <v>0</v>
      </c>
      <c r="U1026" s="418">
        <f t="shared" si="2371"/>
        <v>0</v>
      </c>
      <c r="V1026" s="517">
        <f t="shared" si="2372"/>
        <v>0</v>
      </c>
      <c r="W1026" s="976">
        <f t="shared" si="2379"/>
        <v>0</v>
      </c>
      <c r="X1026" s="975">
        <f t="shared" si="2380"/>
        <v>0</v>
      </c>
      <c r="Y1026" s="519"/>
      <c r="AA1026" s="24"/>
      <c r="AB1026" s="24"/>
      <c r="AC1026" s="24"/>
      <c r="AD1026" s="24"/>
      <c r="AE1026" s="24"/>
    </row>
    <row r="1027" spans="1:31" outlineLevel="1">
      <c r="A1027" s="258">
        <v>2422091000</v>
      </c>
      <c r="B1027" s="829" t="s">
        <v>124</v>
      </c>
      <c r="C1027" s="830" t="s">
        <v>64</v>
      </c>
      <c r="D1027" s="831"/>
      <c r="E1027" s="259">
        <v>44936</v>
      </c>
      <c r="F1027" s="450"/>
      <c r="G1027" s="1277"/>
      <c r="H1027" s="832"/>
      <c r="I1027" s="833">
        <f t="shared" ref="I1027:I1033" si="2430">+F1027*H1027</f>
        <v>0</v>
      </c>
      <c r="J1027" s="1425">
        <v>1</v>
      </c>
      <c r="K1027" s="1426">
        <v>1</v>
      </c>
      <c r="L1027" s="451"/>
      <c r="M1027" s="1313"/>
      <c r="N1027" s="834"/>
      <c r="O1027" s="835">
        <f t="shared" si="2369"/>
        <v>0</v>
      </c>
      <c r="P1027" s="452">
        <f>-F1006</f>
        <v>-245711.51</v>
      </c>
      <c r="Q1027" s="1350">
        <f t="shared" ref="Q1027:Q1028" si="2431">+P1027*K1027</f>
        <v>-245711.51</v>
      </c>
      <c r="R1027" s="834">
        <f>H1006</f>
        <v>4819.42</v>
      </c>
      <c r="S1027" s="834">
        <f ca="1">IF(OR(E1027="",E1027&gt;TODAY()),0,IF(ISERROR(VLOOKUP($E1027,'TRM BanRep'!$A:$G,7,0)),0,VLOOKUP($E1027,'TRM BanRep'!$A:$G,7,0)))</f>
        <v>4885.66</v>
      </c>
      <c r="T1027" s="835">
        <f t="shared" ca="1" si="2370"/>
        <v>-1200462895.9466</v>
      </c>
      <c r="U1027" s="452">
        <f t="shared" si="2371"/>
        <v>-245711.51</v>
      </c>
      <c r="V1027" s="835">
        <f t="shared" si="2372"/>
        <v>-1184186965.5242</v>
      </c>
      <c r="W1027" s="469">
        <f t="shared" ca="1" si="2379"/>
        <v>16275930.422399998</v>
      </c>
      <c r="X1027" s="849">
        <f t="shared" ca="1" si="2380"/>
        <v>0</v>
      </c>
      <c r="Y1027" s="836"/>
      <c r="AA1027" s="24">
        <f>$B$4-R1027</f>
        <v>-150.42000000000007</v>
      </c>
      <c r="AB1027" s="24">
        <f t="shared" ref="AB1027:AB1028" si="2432">+U1027*AA1027</f>
        <v>36959925.334200017</v>
      </c>
      <c r="AC1027" s="24"/>
      <c r="AD1027" s="24"/>
      <c r="AE1027" s="24"/>
    </row>
    <row r="1028" spans="1:31" outlineLevel="1">
      <c r="A1028" s="258">
        <v>2422091000</v>
      </c>
      <c r="B1028" s="829" t="s">
        <v>124</v>
      </c>
      <c r="C1028" s="830" t="s">
        <v>64</v>
      </c>
      <c r="D1028" s="831"/>
      <c r="E1028" s="259">
        <v>44936</v>
      </c>
      <c r="F1028" s="450"/>
      <c r="G1028" s="1277"/>
      <c r="H1028" s="832"/>
      <c r="I1028" s="833">
        <f t="shared" si="2430"/>
        <v>0</v>
      </c>
      <c r="J1028" s="1425">
        <v>1</v>
      </c>
      <c r="K1028" s="1426">
        <v>1</v>
      </c>
      <c r="L1028" s="451"/>
      <c r="M1028" s="1313"/>
      <c r="N1028" s="834"/>
      <c r="O1028" s="835">
        <f t="shared" si="2369"/>
        <v>0</v>
      </c>
      <c r="P1028" s="452">
        <f t="shared" ref="P1028:P1029" si="2433">-F1007</f>
        <v>-327052.21999999997</v>
      </c>
      <c r="Q1028" s="1350">
        <f t="shared" si="2431"/>
        <v>-327052.21999999997</v>
      </c>
      <c r="R1028" s="834">
        <f t="shared" ref="R1028:R1029" si="2434">H1007</f>
        <v>4809.51</v>
      </c>
      <c r="S1028" s="834">
        <f ca="1">IF(OR(E1028="",E1028&gt;TODAY()),0,IF(ISERROR(VLOOKUP($E1028,'TRM BanRep'!$A:$G,7,0)),0,VLOOKUP($E1028,'TRM BanRep'!$A:$G,7,0)))</f>
        <v>4885.66</v>
      </c>
      <c r="T1028" s="835">
        <f t="shared" ca="1" si="2370"/>
        <v>-1597865949.1651998</v>
      </c>
      <c r="U1028" s="452">
        <f t="shared" si="2371"/>
        <v>-327052.21999999997</v>
      </c>
      <c r="V1028" s="835">
        <f t="shared" si="2372"/>
        <v>-1572960922.6122</v>
      </c>
      <c r="W1028" s="469">
        <f t="shared" ca="1" si="2379"/>
        <v>24905026.552999735</v>
      </c>
      <c r="X1028" s="849">
        <f t="shared" ca="1" si="2380"/>
        <v>0</v>
      </c>
      <c r="Y1028" s="836"/>
      <c r="AA1028" s="24">
        <f>$B$4-R1028</f>
        <v>-140.51000000000022</v>
      </c>
      <c r="AB1028" s="24">
        <f t="shared" si="2432"/>
        <v>45954107.432200067</v>
      </c>
      <c r="AC1028" s="24"/>
      <c r="AD1028" s="24"/>
      <c r="AE1028" s="24"/>
    </row>
    <row r="1029" spans="1:31" outlineLevel="1">
      <c r="A1029" s="258">
        <v>2422091000</v>
      </c>
      <c r="B1029" s="829" t="s">
        <v>124</v>
      </c>
      <c r="C1029" s="830" t="s">
        <v>64</v>
      </c>
      <c r="D1029" s="831"/>
      <c r="E1029" s="259">
        <v>44936</v>
      </c>
      <c r="F1029" s="450"/>
      <c r="G1029" s="1277"/>
      <c r="H1029" s="832"/>
      <c r="I1029" s="833">
        <f t="shared" si="2430"/>
        <v>0</v>
      </c>
      <c r="J1029" s="1425">
        <v>1</v>
      </c>
      <c r="K1029" s="1426">
        <v>1</v>
      </c>
      <c r="L1029" s="451"/>
      <c r="M1029" s="1313"/>
      <c r="N1029" s="834"/>
      <c r="O1029" s="835">
        <f t="shared" ref="O1029" si="2435">+L1029*N1029</f>
        <v>0</v>
      </c>
      <c r="P1029" s="452">
        <f t="shared" si="2433"/>
        <v>-364115.68000000005</v>
      </c>
      <c r="Q1029" s="1350">
        <f t="shared" ref="Q1029" si="2436">+P1029*K1029</f>
        <v>-364115.68000000005</v>
      </c>
      <c r="R1029" s="834">
        <f t="shared" si="2434"/>
        <v>4810.2</v>
      </c>
      <c r="S1029" s="834">
        <f ca="1">IF(OR(E1029="",E1029&gt;TODAY()),0,IF(ISERROR(VLOOKUP($E1029,'TRM BanRep'!$A:$G,7,0)),0,VLOOKUP($E1029,'TRM BanRep'!$A:$G,7,0)))</f>
        <v>4885.66</v>
      </c>
      <c r="T1029" s="835">
        <f t="shared" ref="T1029" ca="1" si="2437">+P1029*S1029</f>
        <v>-1778945413.1488001</v>
      </c>
      <c r="U1029" s="452">
        <f t="shared" ref="U1029" si="2438">+L1029+P1029+F1029</f>
        <v>-364115.68000000005</v>
      </c>
      <c r="V1029" s="835">
        <f t="shared" ref="V1029" si="2439">+P1029*R1029+L1029*N1029+F1029*H1029</f>
        <v>-1751469243.9360001</v>
      </c>
      <c r="W1029" s="469">
        <f t="shared" ref="W1029" ca="1" si="2440">-(IF(R1029&lt;S1029,(-P1029*R1029)-(-P1029*S1029),0))</f>
        <v>27476169.212800026</v>
      </c>
      <c r="X1029" s="849">
        <f t="shared" ref="X1029" ca="1" si="2441">-(IF(R1029&gt;S1029,(-P1029*R1029)-(-P1029*S1029),0))</f>
        <v>0</v>
      </c>
      <c r="Y1029" s="836"/>
      <c r="AA1029" s="24">
        <f>$B$4-R1029</f>
        <v>-141.19999999999982</v>
      </c>
      <c r="AB1029" s="24">
        <f t="shared" ref="AB1029" si="2442">+U1029*AA1029</f>
        <v>51413134.015999943</v>
      </c>
      <c r="AC1029" s="24"/>
      <c r="AD1029" s="24"/>
      <c r="AE1029" s="24"/>
    </row>
    <row r="1030" spans="1:31" outlineLevel="1">
      <c r="A1030" s="258">
        <v>2422091000</v>
      </c>
      <c r="B1030" s="829" t="s">
        <v>124</v>
      </c>
      <c r="C1030" s="830" t="s">
        <v>64</v>
      </c>
      <c r="D1030" s="831"/>
      <c r="E1030" s="259">
        <v>44936</v>
      </c>
      <c r="F1030" s="450"/>
      <c r="G1030" s="1277"/>
      <c r="H1030" s="832"/>
      <c r="I1030" s="833">
        <f t="shared" si="2430"/>
        <v>0</v>
      </c>
      <c r="J1030" s="1425">
        <v>1</v>
      </c>
      <c r="K1030" s="1426">
        <v>1</v>
      </c>
      <c r="L1030" s="451"/>
      <c r="M1030" s="1313"/>
      <c r="N1030" s="834"/>
      <c r="O1030" s="835">
        <f t="shared" si="2369"/>
        <v>0</v>
      </c>
      <c r="P1030" s="452">
        <f>-L1010</f>
        <v>-113663.18</v>
      </c>
      <c r="Q1030" s="1350">
        <f t="shared" ref="Q1030:Q1032" si="2443">+P1030*K1030</f>
        <v>-113663.18</v>
      </c>
      <c r="R1030" s="834">
        <f ca="1">N1010</f>
        <v>4885.66</v>
      </c>
      <c r="S1030" s="834">
        <f ca="1">IF(OR(E1030="",E1030&gt;TODAY()),0,IF(ISERROR(VLOOKUP($E1030,'TRM BanRep'!$A:$G,7,0)),0,VLOOKUP($E1030,'TRM BanRep'!$A:$G,7,0)))</f>
        <v>4885.66</v>
      </c>
      <c r="T1030" s="835">
        <f t="shared" ca="1" si="2370"/>
        <v>-555319651.99879992</v>
      </c>
      <c r="U1030" s="452">
        <f t="shared" si="2371"/>
        <v>-113663.18</v>
      </c>
      <c r="V1030" s="835">
        <f t="shared" ca="1" si="2372"/>
        <v>-555319651.99879992</v>
      </c>
      <c r="W1030" s="469">
        <f t="shared" ca="1" si="2379"/>
        <v>0</v>
      </c>
      <c r="X1030" s="849">
        <f t="shared" ca="1" si="2380"/>
        <v>0</v>
      </c>
      <c r="Y1030" s="836"/>
      <c r="AA1030" s="24">
        <f ca="1">$B$4-R1030</f>
        <v>-216.65999999999985</v>
      </c>
      <c r="AB1030" s="24">
        <f t="shared" ref="AB1030:AB1034" ca="1" si="2444">+U1030*AA1030</f>
        <v>24626264.578799982</v>
      </c>
      <c r="AC1030" s="24"/>
      <c r="AD1030" s="24"/>
      <c r="AE1030" s="24"/>
    </row>
    <row r="1031" spans="1:31" outlineLevel="1">
      <c r="A1031" s="2481">
        <v>2422091000</v>
      </c>
      <c r="B1031" s="2482" t="s">
        <v>124</v>
      </c>
      <c r="C1031" s="2483" t="s">
        <v>64</v>
      </c>
      <c r="D1031" s="2484"/>
      <c r="E1031" s="2485">
        <v>45026</v>
      </c>
      <c r="F1031" s="416"/>
      <c r="G1031" s="1251"/>
      <c r="H1031" s="676"/>
      <c r="I1031" s="681">
        <f t="shared" si="2430"/>
        <v>0</v>
      </c>
      <c r="J1031" s="1425">
        <v>1</v>
      </c>
      <c r="K1031" s="1426">
        <v>1</v>
      </c>
      <c r="L1031" s="2486"/>
      <c r="M1031" s="2487"/>
      <c r="N1031" s="2488"/>
      <c r="O1031" s="2489">
        <f t="shared" si="2369"/>
        <v>0</v>
      </c>
      <c r="P1031" s="2490">
        <f>-L1011</f>
        <v>-272770.02</v>
      </c>
      <c r="Q1031" s="2491">
        <f t="shared" si="2443"/>
        <v>-272770.02</v>
      </c>
      <c r="R1031" s="2488">
        <f ca="1">N1011</f>
        <v>4632.2</v>
      </c>
      <c r="S1031" s="2488">
        <f ca="1">IF(OR(E1031="",E1031&gt;TODAY()),0,IF(ISERROR(VLOOKUP($E1031,'TRM BanRep'!$A:$G,7,0)),0,VLOOKUP($E1031,'TRM BanRep'!$A:$G,7,0)))</f>
        <v>4570.91</v>
      </c>
      <c r="T1031" s="2489">
        <f t="shared" ca="1" si="2370"/>
        <v>-1246807212.1182001</v>
      </c>
      <c r="U1031" s="2490">
        <f t="shared" si="2371"/>
        <v>-272770.02</v>
      </c>
      <c r="V1031" s="2489">
        <f t="shared" ca="1" si="2372"/>
        <v>-1263525286.6440001</v>
      </c>
      <c r="W1031" s="2492">
        <f t="shared" ca="1" si="2379"/>
        <v>0</v>
      </c>
      <c r="X1031" s="2493">
        <f t="shared" ca="1" si="2380"/>
        <v>-16718074.52579999</v>
      </c>
      <c r="Y1031" s="2494"/>
      <c r="AA1031" s="24">
        <f t="shared" ref="AA1031:AA1035" ca="1" si="2445">$B$4-R1031</f>
        <v>36.800000000000182</v>
      </c>
      <c r="AB1031" s="24">
        <f t="shared" ca="1" si="2444"/>
        <v>-10037936.73600005</v>
      </c>
      <c r="AC1031" s="24"/>
      <c r="AD1031" s="24"/>
      <c r="AE1031" s="24"/>
    </row>
    <row r="1032" spans="1:31" outlineLevel="1">
      <c r="A1032" s="2481">
        <v>2422091000</v>
      </c>
      <c r="B1032" s="2482" t="s">
        <v>124</v>
      </c>
      <c r="C1032" s="2483" t="s">
        <v>64</v>
      </c>
      <c r="D1032" s="2484"/>
      <c r="E1032" s="2485">
        <v>45026</v>
      </c>
      <c r="F1032" s="416"/>
      <c r="G1032" s="1251"/>
      <c r="H1032" s="676"/>
      <c r="I1032" s="681">
        <f t="shared" si="2430"/>
        <v>0</v>
      </c>
      <c r="J1032" s="1425">
        <v>1</v>
      </c>
      <c r="K1032" s="1426">
        <v>1</v>
      </c>
      <c r="L1032" s="2486"/>
      <c r="M1032" s="2487"/>
      <c r="N1032" s="2488"/>
      <c r="O1032" s="2489">
        <f t="shared" si="2369"/>
        <v>0</v>
      </c>
      <c r="P1032" s="2490">
        <f t="shared" ref="P1032:P1034" si="2446">-L1012</f>
        <v>-357492.36</v>
      </c>
      <c r="Q1032" s="2491">
        <f t="shared" si="2443"/>
        <v>-357492.36</v>
      </c>
      <c r="R1032" s="2488">
        <f t="shared" ref="R1032:R1034" ca="1" si="2447">N1012</f>
        <v>4808.1400000000003</v>
      </c>
      <c r="S1032" s="2488">
        <f ca="1">IF(OR(E1032="",E1032&gt;TODAY()),0,IF(ISERROR(VLOOKUP($E1032,'TRM BanRep'!$A:$G,7,0)),0,VLOOKUP($E1032,'TRM BanRep'!$A:$G,7,0)))</f>
        <v>4570.91</v>
      </c>
      <c r="T1032" s="2489">
        <f t="shared" ca="1" si="2370"/>
        <v>-1634065403.2475998</v>
      </c>
      <c r="U1032" s="2490">
        <f t="shared" si="2371"/>
        <v>-357492.36</v>
      </c>
      <c r="V1032" s="2489">
        <f t="shared" ca="1" si="2372"/>
        <v>-1718873315.8104</v>
      </c>
      <c r="W1032" s="2492">
        <f t="shared" ca="1" si="2379"/>
        <v>0</v>
      </c>
      <c r="X1032" s="2493">
        <f t="shared" ca="1" si="2380"/>
        <v>-84807912.562800169</v>
      </c>
      <c r="Y1032" s="2494"/>
      <c r="AA1032" s="24">
        <f t="shared" ca="1" si="2445"/>
        <v>-139.14000000000033</v>
      </c>
      <c r="AB1032" s="24">
        <f t="shared" ca="1" si="2444"/>
        <v>49741486.970400117</v>
      </c>
      <c r="AC1032" s="24"/>
      <c r="AD1032" s="24"/>
      <c r="AE1032" s="24"/>
    </row>
    <row r="1033" spans="1:31" outlineLevel="1">
      <c r="A1033" s="2481">
        <v>2422091000</v>
      </c>
      <c r="B1033" s="2482" t="s">
        <v>124</v>
      </c>
      <c r="C1033" s="2483" t="s">
        <v>64</v>
      </c>
      <c r="D1033" s="2484"/>
      <c r="E1033" s="2485">
        <v>45026</v>
      </c>
      <c r="F1033" s="416"/>
      <c r="G1033" s="1251"/>
      <c r="H1033" s="676"/>
      <c r="I1033" s="681">
        <f t="shared" si="2430"/>
        <v>0</v>
      </c>
      <c r="J1033" s="1425">
        <v>1</v>
      </c>
      <c r="K1033" s="1426">
        <v>1</v>
      </c>
      <c r="L1033" s="2486"/>
      <c r="M1033" s="2487"/>
      <c r="N1033" s="2488"/>
      <c r="O1033" s="2489">
        <f t="shared" si="2369"/>
        <v>0</v>
      </c>
      <c r="P1033" s="2490">
        <f t="shared" si="2446"/>
        <v>-402315.18000000005</v>
      </c>
      <c r="Q1033" s="2491">
        <f t="shared" ref="Q1033:Q1036" si="2448">+P1033*K1033</f>
        <v>-402315.18000000005</v>
      </c>
      <c r="R1033" s="2488">
        <f t="shared" ca="1" si="2447"/>
        <v>4627.2700000000004</v>
      </c>
      <c r="S1033" s="2488">
        <f ca="1">IF(OR(E1033="",E1033&gt;TODAY()),0,IF(ISERROR(VLOOKUP($E1033,'TRM BanRep'!$A:$G,7,0)),0,VLOOKUP($E1033,'TRM BanRep'!$A:$G,7,0)))</f>
        <v>4570.91</v>
      </c>
      <c r="T1033" s="2489">
        <f t="shared" ca="1" si="2370"/>
        <v>-1838946479.4138002</v>
      </c>
      <c r="U1033" s="2490">
        <f t="shared" si="2371"/>
        <v>-402315.18000000005</v>
      </c>
      <c r="V1033" s="2489">
        <f t="shared" ca="1" si="2372"/>
        <v>-1861620962.9586005</v>
      </c>
      <c r="W1033" s="2492">
        <f t="shared" ca="1" si="2379"/>
        <v>0</v>
      </c>
      <c r="X1033" s="2493">
        <f t="shared" ca="1" si="2380"/>
        <v>-22674483.544800282</v>
      </c>
      <c r="Y1033" s="2494"/>
      <c r="AA1033" s="24">
        <f t="shared" ca="1" si="2445"/>
        <v>41.729999999999563</v>
      </c>
      <c r="AB1033" s="24">
        <f t="shared" ca="1" si="2444"/>
        <v>-16788612.461399827</v>
      </c>
      <c r="AC1033" s="24"/>
      <c r="AD1033" s="24"/>
      <c r="AE1033" s="24"/>
    </row>
    <row r="1034" spans="1:31" outlineLevel="1">
      <c r="A1034" s="2481">
        <v>2422091000</v>
      </c>
      <c r="B1034" s="2482" t="s">
        <v>124</v>
      </c>
      <c r="C1034" s="2483" t="s">
        <v>64</v>
      </c>
      <c r="D1034" s="2484"/>
      <c r="E1034" s="2485">
        <v>45026</v>
      </c>
      <c r="F1034" s="416"/>
      <c r="G1034" s="1251"/>
      <c r="H1034" s="676"/>
      <c r="I1034" s="681"/>
      <c r="J1034" s="1425">
        <v>1</v>
      </c>
      <c r="K1034" s="1426">
        <v>1</v>
      </c>
      <c r="L1034" s="2486"/>
      <c r="M1034" s="2487"/>
      <c r="N1034" s="2488"/>
      <c r="O1034" s="2489"/>
      <c r="P1034" s="2490">
        <f t="shared" si="2446"/>
        <v>-122735.66999999993</v>
      </c>
      <c r="Q1034" s="2491">
        <f t="shared" si="2448"/>
        <v>-122735.66999999993</v>
      </c>
      <c r="R1034" s="2488">
        <f t="shared" ca="1" si="2447"/>
        <v>4570.91</v>
      </c>
      <c r="S1034" s="2488">
        <f ca="1">IF(OR(E1034="",E1034&gt;TODAY()),0,IF(ISERROR(VLOOKUP($E1034,'TRM BanRep'!$A:$G,7,0)),0,VLOOKUP($E1034,'TRM BanRep'!$A:$G,7,0)))</f>
        <v>4570.91</v>
      </c>
      <c r="T1034" s="2489">
        <f t="shared" ca="1" si="2370"/>
        <v>-561013701.35969961</v>
      </c>
      <c r="U1034" s="2490">
        <f t="shared" si="2371"/>
        <v>-122735.66999999993</v>
      </c>
      <c r="V1034" s="2489">
        <f t="shared" ca="1" si="2372"/>
        <v>-561013701.35969961</v>
      </c>
      <c r="W1034" s="2492">
        <f t="shared" ca="1" si="2379"/>
        <v>0</v>
      </c>
      <c r="X1034" s="2493">
        <f t="shared" ca="1" si="2380"/>
        <v>0</v>
      </c>
      <c r="Y1034" s="2494"/>
      <c r="AA1034" s="24">
        <f t="shared" ca="1" si="2445"/>
        <v>98.090000000000146</v>
      </c>
      <c r="AB1034" s="24">
        <f t="shared" ca="1" si="2444"/>
        <v>-12039141.87030001</v>
      </c>
      <c r="AC1034" s="24"/>
      <c r="AD1034" s="24"/>
      <c r="AE1034" s="24"/>
    </row>
    <row r="1035" spans="1:31" outlineLevel="1">
      <c r="A1035" s="55">
        <v>2422091000</v>
      </c>
      <c r="B1035" s="509" t="s">
        <v>124</v>
      </c>
      <c r="C1035" s="679" t="s">
        <v>64</v>
      </c>
      <c r="D1035" s="837"/>
      <c r="E1035" s="219">
        <v>45206</v>
      </c>
      <c r="F1035" s="416"/>
      <c r="G1035" s="1251"/>
      <c r="H1035" s="676"/>
      <c r="I1035" s="681"/>
      <c r="J1035" s="1425">
        <v>1</v>
      </c>
      <c r="K1035" s="1426">
        <v>1</v>
      </c>
      <c r="L1035" s="438"/>
      <c r="M1035" s="1302"/>
      <c r="N1035" s="504"/>
      <c r="O1035" s="682"/>
      <c r="P1035" s="431">
        <f t="shared" ref="P1035:P1036" si="2449">-L1021</f>
        <v>0</v>
      </c>
      <c r="Q1035" s="514">
        <f t="shared" si="2448"/>
        <v>0</v>
      </c>
      <c r="R1035" s="515">
        <f t="shared" ref="R1035:R1036" ca="1" si="2450">N1021</f>
        <v>0</v>
      </c>
      <c r="S1035" s="515">
        <f ca="1">IF(OR(E1035="",E1035&gt;TODAY()),0,IF(ISERROR(VLOOKUP($E1035,'TRM BanRep'!$A:$G,7,0)),0,VLOOKUP($E1035,'TRM BanRep'!$A:$G,7,0)))</f>
        <v>0</v>
      </c>
      <c r="T1035" s="562">
        <f t="shared" ca="1" si="2370"/>
        <v>0</v>
      </c>
      <c r="U1035" s="418">
        <f t="shared" si="2371"/>
        <v>0</v>
      </c>
      <c r="V1035" s="517">
        <f t="shared" ca="1" si="2372"/>
        <v>0</v>
      </c>
      <c r="W1035" s="976">
        <f t="shared" ca="1" si="2379"/>
        <v>0</v>
      </c>
      <c r="X1035" s="975">
        <f t="shared" ca="1" si="2380"/>
        <v>0</v>
      </c>
      <c r="Y1035" s="519"/>
      <c r="AA1035" s="24">
        <f t="shared" ca="1" si="2445"/>
        <v>4669</v>
      </c>
      <c r="AB1035" s="24">
        <f t="shared" ref="AB1035" ca="1" si="2451">+U1035*AA1035</f>
        <v>0</v>
      </c>
      <c r="AC1035" s="24"/>
      <c r="AD1035" s="24"/>
      <c r="AE1035" s="24"/>
    </row>
    <row r="1036" spans="1:31" outlineLevel="1">
      <c r="A1036" s="55">
        <v>2422091000</v>
      </c>
      <c r="B1036" s="509" t="s">
        <v>124</v>
      </c>
      <c r="C1036" s="679" t="s">
        <v>64</v>
      </c>
      <c r="D1036" s="837"/>
      <c r="E1036" s="219">
        <v>45206</v>
      </c>
      <c r="F1036" s="416"/>
      <c r="G1036" s="1251"/>
      <c r="H1036" s="676"/>
      <c r="I1036" s="681"/>
      <c r="J1036" s="1425">
        <v>1</v>
      </c>
      <c r="K1036" s="1426">
        <v>1</v>
      </c>
      <c r="L1036" s="438"/>
      <c r="M1036" s="1302"/>
      <c r="N1036" s="504"/>
      <c r="O1036" s="682"/>
      <c r="P1036" s="431">
        <f t="shared" si="2449"/>
        <v>0</v>
      </c>
      <c r="Q1036" s="514">
        <f t="shared" si="2448"/>
        <v>0</v>
      </c>
      <c r="R1036" s="515">
        <f t="shared" ca="1" si="2450"/>
        <v>0</v>
      </c>
      <c r="S1036" s="515">
        <f ca="1">IF(OR(E1036="",E1036&gt;TODAY()),0,IF(ISERROR(VLOOKUP($E1036,'TRM BanRep'!$A:$G,7,0)),0,VLOOKUP($E1036,'TRM BanRep'!$A:$G,7,0)))</f>
        <v>0</v>
      </c>
      <c r="T1036" s="562">
        <f t="shared" ref="T1036" ca="1" si="2452">+P1036*S1036</f>
        <v>0</v>
      </c>
      <c r="U1036" s="418">
        <f t="shared" ref="U1036" si="2453">+L1036+P1036+F1036</f>
        <v>0</v>
      </c>
      <c r="V1036" s="517">
        <f t="shared" ref="V1036" ca="1" si="2454">+P1036*R1036+L1036*N1036+F1036*H1036</f>
        <v>0</v>
      </c>
      <c r="W1036" s="976">
        <f t="shared" ref="W1036" ca="1" si="2455">-(IF(R1036&lt;S1036,(-P1036*R1036)-(-P1036*S1036),0))</f>
        <v>0</v>
      </c>
      <c r="X1036" s="975">
        <f t="shared" ref="X1036" ca="1" si="2456">-(IF(R1036&gt;S1036,(-P1036*R1036)-(-P1036*S1036),0))</f>
        <v>0</v>
      </c>
      <c r="Y1036" s="519"/>
      <c r="AA1036" s="24">
        <f t="shared" ref="AA1036" ca="1" si="2457">$B$4-R1036</f>
        <v>4669</v>
      </c>
      <c r="AB1036" s="24">
        <f t="shared" ref="AB1036" ca="1" si="2458">+U1036*AA1036</f>
        <v>0</v>
      </c>
      <c r="AC1036" s="24"/>
      <c r="AD1036" s="24"/>
      <c r="AE1036" s="24"/>
    </row>
    <row r="1037" spans="1:31" outlineLevel="1">
      <c r="A1037" s="55"/>
      <c r="B1037" s="509"/>
      <c r="C1037" s="679"/>
      <c r="D1037" s="850"/>
      <c r="E1037" s="219"/>
      <c r="F1037" s="416"/>
      <c r="G1037" s="1251"/>
      <c r="H1037" s="676"/>
      <c r="I1037" s="681"/>
      <c r="J1037" s="1386"/>
      <c r="K1037" s="1386"/>
      <c r="L1037" s="438"/>
      <c r="M1037" s="1302"/>
      <c r="N1037" s="504"/>
      <c r="O1037" s="682"/>
      <c r="P1037" s="431"/>
      <c r="Q1037" s="514"/>
      <c r="R1037" s="515"/>
      <c r="S1037" s="515"/>
      <c r="T1037" s="562"/>
      <c r="U1037" s="418"/>
      <c r="V1037" s="517"/>
      <c r="W1037" s="976"/>
      <c r="X1037" s="975"/>
      <c r="Y1037" s="519"/>
      <c r="AA1037" s="24"/>
      <c r="AB1037" s="24"/>
      <c r="AC1037" s="24"/>
      <c r="AD1037" s="24"/>
      <c r="AE1037" s="24"/>
    </row>
    <row r="1038" spans="1:31" outlineLevel="1">
      <c r="A1038" s="55"/>
      <c r="B1038" s="509"/>
      <c r="C1038" s="510"/>
      <c r="D1038" s="510"/>
      <c r="E1038" s="219"/>
      <c r="F1038" s="416"/>
      <c r="G1038" s="1251"/>
      <c r="H1038" s="676"/>
      <c r="I1038" s="681"/>
      <c r="J1038" s="1386"/>
      <c r="K1038" s="1386"/>
      <c r="L1038" s="438"/>
      <c r="M1038" s="1302"/>
      <c r="N1038" s="504"/>
      <c r="O1038" s="682"/>
      <c r="P1038" s="431"/>
      <c r="Q1038" s="514"/>
      <c r="R1038" s="515"/>
      <c r="S1038" s="515"/>
      <c r="T1038" s="562"/>
      <c r="U1038" s="418"/>
      <c r="V1038" s="517"/>
      <c r="W1038" s="976"/>
      <c r="X1038" s="975"/>
      <c r="Y1038" s="519"/>
      <c r="AA1038" s="24"/>
      <c r="AB1038" s="24"/>
      <c r="AC1038" s="24"/>
      <c r="AD1038" s="24"/>
      <c r="AE1038" s="24"/>
    </row>
    <row r="1039" spans="1:31" s="290" customFormat="1" ht="15.75">
      <c r="A1039" s="278"/>
      <c r="B1039" s="279" t="s">
        <v>104</v>
      </c>
      <c r="C1039" s="280"/>
      <c r="D1039" s="282"/>
      <c r="E1039" s="281"/>
      <c r="F1039" s="283"/>
      <c r="G1039" s="1281"/>
      <c r="H1039" s="284"/>
      <c r="I1039" s="285">
        <f>+F1039*H1039</f>
        <v>0</v>
      </c>
      <c r="J1039" s="1371"/>
      <c r="K1039" s="1371"/>
      <c r="L1039" s="286"/>
      <c r="M1039" s="1317"/>
      <c r="N1039" s="284"/>
      <c r="O1039" s="285"/>
      <c r="P1039" s="283"/>
      <c r="Q1039" s="1281"/>
      <c r="R1039" s="284"/>
      <c r="S1039" s="284"/>
      <c r="T1039" s="285"/>
      <c r="U1039" s="283">
        <f>+L1039+P1039+F1039</f>
        <v>0</v>
      </c>
      <c r="V1039" s="285">
        <f>+P1039*R1039+L1039*N1039+F1039*H1039</f>
        <v>0</v>
      </c>
      <c r="W1039" s="287"/>
      <c r="X1039" s="288"/>
      <c r="Y1039" s="282"/>
      <c r="Z1039" s="1064"/>
      <c r="AA1039" s="289"/>
      <c r="AB1039" s="289"/>
      <c r="AC1039" s="289"/>
      <c r="AD1039" s="289"/>
      <c r="AE1039" s="289"/>
    </row>
    <row r="1040" spans="1:31" s="165" customFormat="1" outlineLevel="1">
      <c r="A1040" s="162"/>
      <c r="B1040" s="838" t="s">
        <v>1217</v>
      </c>
      <c r="C1040" s="839" t="s">
        <v>106</v>
      </c>
      <c r="D1040" s="840"/>
      <c r="E1040" s="275">
        <v>44926</v>
      </c>
      <c r="F1040" s="276">
        <v>180542.37000000116</v>
      </c>
      <c r="G1040" s="1279">
        <f t="shared" ref="G1040" si="2459">+F1040*J1040</f>
        <v>180542.37000000116</v>
      </c>
      <c r="H1040" s="841">
        <v>4810.2</v>
      </c>
      <c r="I1040" s="842">
        <f>+F1040*H1040</f>
        <v>868444908.17400551</v>
      </c>
      <c r="J1040" s="1425">
        <v>1</v>
      </c>
      <c r="K1040" s="1426">
        <v>1</v>
      </c>
      <c r="L1040" s="2"/>
      <c r="M1040" s="1315"/>
      <c r="N1040" s="630"/>
      <c r="O1040" s="843">
        <f>+L1040*N1040</f>
        <v>0</v>
      </c>
      <c r="P1040" s="190">
        <f>-F1040</f>
        <v>-180542.37000000116</v>
      </c>
      <c r="Q1040" s="632"/>
      <c r="R1040" s="633">
        <f>+H1040</f>
        <v>4810.2</v>
      </c>
      <c r="S1040" s="633">
        <f>+R1040</f>
        <v>4810.2</v>
      </c>
      <c r="T1040" s="634">
        <f>+P1040*S1040</f>
        <v>-868444908.17400551</v>
      </c>
      <c r="U1040" s="189">
        <f>+L1040+P1040+F1040</f>
        <v>0</v>
      </c>
      <c r="V1040" s="688">
        <f>+P1040*R1040+L1040*N1040+F1040*H1040</f>
        <v>0</v>
      </c>
      <c r="W1040" s="164">
        <f>-(IF(R1040&lt;S1040,(-P1040*R1040)-(-P1040*S1040),0))</f>
        <v>0</v>
      </c>
      <c r="X1040" s="635">
        <f>-(IF(R1040&gt;S1040,(-P1040*R1040)-(-P1040*S1040),0))</f>
        <v>0</v>
      </c>
      <c r="Y1040" s="636"/>
      <c r="Z1040" s="1063"/>
      <c r="AA1040" s="277"/>
      <c r="AB1040" s="277"/>
      <c r="AC1040" s="277"/>
      <c r="AD1040" s="277"/>
      <c r="AE1040" s="277"/>
    </row>
    <row r="1041" spans="1:31" s="165" customFormat="1" outlineLevel="1">
      <c r="A1041" s="162"/>
      <c r="B1041" s="627" t="s">
        <v>1472</v>
      </c>
      <c r="C1041" s="839" t="s">
        <v>106</v>
      </c>
      <c r="D1041" s="840"/>
      <c r="E1041" s="275">
        <v>45291</v>
      </c>
      <c r="F1041" s="163"/>
      <c r="G1041" s="1264"/>
      <c r="H1041" s="844"/>
      <c r="I1041" s="845">
        <f>+F1041*H1041</f>
        <v>0</v>
      </c>
      <c r="J1041" s="1425">
        <v>1</v>
      </c>
      <c r="K1041" s="1426">
        <v>1</v>
      </c>
      <c r="L1041" s="2">
        <v>-1484.8300000024028</v>
      </c>
      <c r="M1041" s="1315">
        <f>+L1041*J1041</f>
        <v>-1484.8300000024028</v>
      </c>
      <c r="N1041" s="846">
        <f>+B4</f>
        <v>4669</v>
      </c>
      <c r="O1041" s="843">
        <f>+L1041*N1041</f>
        <v>-6932671.2700112183</v>
      </c>
      <c r="P1041" s="190"/>
      <c r="Q1041" s="632"/>
      <c r="R1041" s="633"/>
      <c r="S1041" s="633"/>
      <c r="T1041" s="634">
        <f>+P1041*S1041</f>
        <v>0</v>
      </c>
      <c r="U1041" s="189">
        <f>+L1041+P1041+F1041</f>
        <v>-1484.8300000024028</v>
      </c>
      <c r="V1041" s="688">
        <f>+P1041*R1041+L1041*N1041+F1041*H1041</f>
        <v>-6932671.2700112183</v>
      </c>
      <c r="W1041" s="164">
        <f>-(IF(R1041&lt;S1041,(-P1041*R1041)-(-P1041*S1041),0))</f>
        <v>0</v>
      </c>
      <c r="X1041" s="635">
        <f>-(IF(R1041&gt;S1041,(-P1041*R1041)-(-P1041*S1041),0))</f>
        <v>0</v>
      </c>
      <c r="Y1041" s="636"/>
      <c r="Z1041" s="1063"/>
      <c r="AA1041" s="277"/>
      <c r="AB1041" s="277"/>
      <c r="AC1041" s="277"/>
      <c r="AD1041" s="277"/>
      <c r="AE1041" s="277"/>
    </row>
    <row r="1042" spans="1:31" ht="15.75" thickBot="1">
      <c r="A1042" s="55"/>
      <c r="B1042" s="509"/>
      <c r="C1042" s="510"/>
      <c r="D1042" s="510"/>
      <c r="E1042" s="245"/>
      <c r="F1042" s="455"/>
      <c r="G1042" s="1280"/>
      <c r="H1042" s="456"/>
      <c r="I1042" s="457">
        <f>+F1042*H1042</f>
        <v>0</v>
      </c>
      <c r="J1042" s="1395"/>
      <c r="K1042" s="1395"/>
      <c r="L1042" s="458"/>
      <c r="M1042" s="1316"/>
      <c r="N1042" s="459"/>
      <c r="O1042" s="460">
        <f>+L1042*N1042</f>
        <v>0</v>
      </c>
      <c r="P1042" s="461"/>
      <c r="Q1042" s="1351"/>
      <c r="R1042" s="462"/>
      <c r="S1042" s="462"/>
      <c r="T1042" s="463">
        <f>+P1042*S1042</f>
        <v>0</v>
      </c>
      <c r="U1042" s="464">
        <f>+L1042+P1042+F1042</f>
        <v>0</v>
      </c>
      <c r="V1042" s="465">
        <f>+P1042*R1042+L1042*N1042+F1042*H1042</f>
        <v>0</v>
      </c>
      <c r="W1042" s="466">
        <f>-(IF(R1042&lt;S1042,(-P1042*R1042)-(-P1042*S1042),0))</f>
        <v>0</v>
      </c>
      <c r="X1042" s="467">
        <f>-(IF(R1042&gt;S1042,(-P1042*R1042)-(-P1042*S1042),0))</f>
        <v>0</v>
      </c>
      <c r="Y1042" s="247"/>
      <c r="AA1042" s="24"/>
      <c r="AB1042" s="24"/>
      <c r="AC1042" s="24"/>
      <c r="AD1042" s="24"/>
      <c r="AE1042" s="24"/>
    </row>
    <row r="1043" spans="1:31" s="249" customFormat="1" ht="16.5" thickBot="1">
      <c r="A1043" s="799" t="s">
        <v>1302</v>
      </c>
      <c r="B1043" s="800"/>
      <c r="C1043" s="801"/>
      <c r="D1043" s="801"/>
      <c r="E1043" s="851"/>
      <c r="F1043" s="803">
        <f>SUM(F1001:F1042)</f>
        <v>73464125.780000016</v>
      </c>
      <c r="G1043" s="1275"/>
      <c r="H1043" s="804"/>
      <c r="I1043" s="805">
        <f>SUM(I1001:I1042)</f>
        <v>278503607251.54639</v>
      </c>
      <c r="J1043" s="1368"/>
      <c r="K1043" s="1368"/>
      <c r="L1043" s="806">
        <f>SUM(L1001:L1042)</f>
        <v>1549207.5999999978</v>
      </c>
      <c r="M1043" s="1308">
        <f>SUM(M1001:M1042)</f>
        <v>1549207.5999999978</v>
      </c>
      <c r="N1043" s="807"/>
      <c r="O1043" s="808">
        <f ca="1">SUM(O1001:O1042)</f>
        <v>7268752344.8814888</v>
      </c>
      <c r="P1043" s="809">
        <f>SUM(P1001:P1042)</f>
        <v>-2386398.1900000013</v>
      </c>
      <c r="Q1043" s="1349">
        <f>SUM(Q1001:Q1042)</f>
        <v>-2205855.8200000003</v>
      </c>
      <c r="R1043" s="810"/>
      <c r="S1043" s="810"/>
      <c r="T1043" s="811">
        <f ca="1">SUM(T1001:T1042)</f>
        <v>-11281871614.572706</v>
      </c>
      <c r="U1043" s="812">
        <f>SUM(U1001:U1042)</f>
        <v>72626935.189999998</v>
      </c>
      <c r="V1043" s="847">
        <f ca="1">SUM(V1001:V1042)</f>
        <v>274434944637.41</v>
      </c>
      <c r="W1043" s="814">
        <f ca="1">SUM(W1001:W1042)</f>
        <v>68657126.188199759</v>
      </c>
      <c r="X1043" s="815">
        <f ca="1">SUM(X1001:X1042)</f>
        <v>-124200470.63340044</v>
      </c>
      <c r="Y1043" s="816"/>
      <c r="Z1043" s="248"/>
      <c r="AA1043" s="183"/>
      <c r="AB1043" s="183"/>
      <c r="AC1043" s="183"/>
      <c r="AD1043" s="183"/>
      <c r="AE1043" s="183"/>
    </row>
    <row r="1044" spans="1:31">
      <c r="T1044" s="3" t="s">
        <v>2367</v>
      </c>
      <c r="U1044" s="445">
        <v>72626935.189999998</v>
      </c>
      <c r="AA1044" s="24"/>
      <c r="AB1044" s="24"/>
      <c r="AC1044" s="24"/>
      <c r="AD1044" s="24"/>
      <c r="AE1044" s="24"/>
    </row>
    <row r="1045" spans="1:31" ht="15.75" thickBot="1">
      <c r="T1045" s="9"/>
      <c r="U1045" s="10">
        <f>+U1044-U1043</f>
        <v>0</v>
      </c>
      <c r="AA1045" s="24"/>
      <c r="AB1045" s="24"/>
      <c r="AC1045" s="24"/>
      <c r="AD1045" s="24"/>
      <c r="AE1045" s="24"/>
    </row>
    <row r="1046" spans="1:31" s="27" customFormat="1" ht="21">
      <c r="A1046" s="827" t="s">
        <v>1323</v>
      </c>
      <c r="B1046" s="828"/>
      <c r="C1046" s="2558" t="s">
        <v>57</v>
      </c>
      <c r="D1046" s="2560" t="s">
        <v>59</v>
      </c>
      <c r="E1046" s="2562" t="s">
        <v>58</v>
      </c>
      <c r="F1046" s="2564" t="e">
        <f>+#REF!</f>
        <v>#REF!</v>
      </c>
      <c r="G1046" s="2565"/>
      <c r="H1046" s="2565"/>
      <c r="I1046" s="2566"/>
      <c r="J1046" s="1240"/>
      <c r="K1046" s="1240"/>
      <c r="L1046" s="2569" t="str">
        <f>+L6</f>
        <v>ENTRADAS</v>
      </c>
      <c r="M1046" s="2570"/>
      <c r="N1046" s="2570"/>
      <c r="O1046" s="2571"/>
      <c r="P1046" s="2572" t="str">
        <f>+P6</f>
        <v>SALIDAS</v>
      </c>
      <c r="Q1046" s="2573"/>
      <c r="R1046" s="2573"/>
      <c r="S1046" s="2573"/>
      <c r="T1046" s="2574"/>
      <c r="U1046" s="2575" t="s">
        <v>62</v>
      </c>
      <c r="V1046" s="2576"/>
      <c r="W1046" s="2577" t="s">
        <v>63</v>
      </c>
      <c r="X1046" s="2578"/>
      <c r="Y1046" s="2579"/>
      <c r="Z1046" s="44"/>
      <c r="AA1046" s="213"/>
      <c r="AB1046" s="213"/>
      <c r="AC1046" s="213"/>
      <c r="AD1046" s="213"/>
      <c r="AE1046" s="213"/>
    </row>
    <row r="1047" spans="1:31" s="216" customFormat="1" ht="15.75" thickBot="1">
      <c r="A1047" s="253" t="s">
        <v>87</v>
      </c>
      <c r="B1047" s="254" t="s">
        <v>88</v>
      </c>
      <c r="C1047" s="2559"/>
      <c r="D1047" s="2561"/>
      <c r="E1047" s="2563"/>
      <c r="F1047" s="30" t="s">
        <v>64</v>
      </c>
      <c r="G1047" s="1249"/>
      <c r="H1047" s="31" t="s">
        <v>65</v>
      </c>
      <c r="I1047" s="32" t="s">
        <v>66</v>
      </c>
      <c r="J1047" s="1365"/>
      <c r="K1047" s="1365"/>
      <c r="L1047" s="33" t="s">
        <v>67</v>
      </c>
      <c r="M1047" s="1297"/>
      <c r="N1047" s="34" t="s">
        <v>68</v>
      </c>
      <c r="O1047" s="35" t="s">
        <v>69</v>
      </c>
      <c r="P1047" s="36" t="s">
        <v>70</v>
      </c>
      <c r="Q1047" s="1338"/>
      <c r="R1047" s="37" t="s">
        <v>68</v>
      </c>
      <c r="S1047" s="37" t="s">
        <v>71</v>
      </c>
      <c r="T1047" s="38" t="s">
        <v>72</v>
      </c>
      <c r="U1047" s="39" t="s">
        <v>73</v>
      </c>
      <c r="V1047" s="40" t="s">
        <v>74</v>
      </c>
      <c r="W1047" s="41" t="s">
        <v>75</v>
      </c>
      <c r="X1047" s="42" t="s">
        <v>76</v>
      </c>
      <c r="Y1047" s="43"/>
      <c r="Z1047" s="214"/>
      <c r="AA1047" s="215"/>
      <c r="AB1047" s="215"/>
      <c r="AC1047" s="215"/>
      <c r="AD1047" s="215"/>
      <c r="AE1047" s="215"/>
    </row>
    <row r="1048" spans="1:31" ht="15.75">
      <c r="A1048" s="961">
        <v>2309110000</v>
      </c>
      <c r="B1048" s="962" t="s">
        <v>1315</v>
      </c>
      <c r="C1048" s="963" t="s">
        <v>64</v>
      </c>
      <c r="D1048" s="963"/>
      <c r="E1048" s="772">
        <v>44707</v>
      </c>
      <c r="F1048" s="773">
        <v>55000000</v>
      </c>
      <c r="G1048" s="1273">
        <f t="shared" ref="G1048" si="2460">+F1048*J1048</f>
        <v>55000000</v>
      </c>
      <c r="H1048" s="620">
        <v>3959.05</v>
      </c>
      <c r="I1048" s="774">
        <f t="shared" ref="I1048:I1054" si="2461">+F1048*H1048</f>
        <v>217747750000</v>
      </c>
      <c r="J1048" s="926">
        <v>1</v>
      </c>
      <c r="K1048" s="2091">
        <v>1</v>
      </c>
      <c r="L1048" s="775"/>
      <c r="M1048" s="1303">
        <f>+L1048*J1048</f>
        <v>0</v>
      </c>
      <c r="N1048" s="620"/>
      <c r="O1048" s="774">
        <f t="shared" ref="O1048:O1079" si="2462">+L1048*N1048</f>
        <v>0</v>
      </c>
      <c r="P1048" s="773"/>
      <c r="Q1048" s="1273"/>
      <c r="R1048" s="620"/>
      <c r="S1048" s="620"/>
      <c r="T1048" s="774">
        <f t="shared" ref="T1048:T1081" si="2463">+P1048*S1048</f>
        <v>0</v>
      </c>
      <c r="U1048" s="773">
        <f t="shared" ref="U1048:U1081" si="2464">+L1048+P1048+F1048</f>
        <v>55000000</v>
      </c>
      <c r="V1048" s="774">
        <f t="shared" ref="V1048:V1081" si="2465">+P1048*R1048+L1048*N1048+F1048*H1048</f>
        <v>217747750000</v>
      </c>
      <c r="W1048" s="776">
        <f>IF((-P1048*R1048)-(-P1048*S1048)&lt;0,(-P1048*R1048)-(-P1048*S1048),0)</f>
        <v>0</v>
      </c>
      <c r="X1048" s="621">
        <f>IF((-P1048*R1048)-(-P1048*S1048)&gt;0,(-P1048*R1048)-(-P1048*S1048),0)</f>
        <v>0</v>
      </c>
      <c r="Y1048" s="622"/>
      <c r="AA1048" s="24">
        <f>$B$4-H1048</f>
        <v>709.94999999999982</v>
      </c>
      <c r="AB1048" s="24">
        <f>+U1048*AA1048</f>
        <v>39047249999.999992</v>
      </c>
      <c r="AC1048" s="24"/>
      <c r="AD1048" s="24"/>
      <c r="AE1048" s="24"/>
    </row>
    <row r="1049" spans="1:31">
      <c r="A1049" s="55">
        <v>2309110000</v>
      </c>
      <c r="B1049" s="509" t="s">
        <v>79</v>
      </c>
      <c r="C1049" s="510" t="s">
        <v>64</v>
      </c>
      <c r="D1049" s="510"/>
      <c r="E1049" s="219"/>
      <c r="F1049" s="416"/>
      <c r="G1049" s="1251"/>
      <c r="H1049" s="676"/>
      <c r="I1049" s="681">
        <f t="shared" si="2461"/>
        <v>0</v>
      </c>
      <c r="J1049" s="1425">
        <v>1</v>
      </c>
      <c r="K1049" s="1426">
        <v>1</v>
      </c>
      <c r="L1049" s="438"/>
      <c r="M1049" s="1302"/>
      <c r="N1049" s="504"/>
      <c r="O1049" s="682">
        <f t="shared" si="2462"/>
        <v>0</v>
      </c>
      <c r="P1049" s="431"/>
      <c r="Q1049" s="514"/>
      <c r="R1049" s="515"/>
      <c r="S1049" s="848"/>
      <c r="T1049" s="562">
        <f t="shared" si="2463"/>
        <v>0</v>
      </c>
      <c r="U1049" s="418">
        <f t="shared" si="2464"/>
        <v>0</v>
      </c>
      <c r="V1049" s="517">
        <f t="shared" si="2465"/>
        <v>0</v>
      </c>
      <c r="W1049" s="976">
        <f t="shared" ref="W1049:W1081" si="2466">-(IF(R1049&lt;S1049,(-P1049*R1049)-(-P1049*S1049),0))</f>
        <v>0</v>
      </c>
      <c r="X1049" s="975">
        <f t="shared" ref="X1049:X1081" si="2467">-(IF(R1049&gt;S1049,(-P1049*R1049)-(-P1049*S1049),0))</f>
        <v>0</v>
      </c>
      <c r="Y1049" s="519"/>
      <c r="AA1049" s="24"/>
      <c r="AB1049" s="24"/>
      <c r="AC1049" s="24"/>
      <c r="AD1049" s="24"/>
      <c r="AE1049" s="24"/>
    </row>
    <row r="1050" spans="1:31">
      <c r="A1050" s="55">
        <v>2309110000</v>
      </c>
      <c r="B1050" s="509" t="s">
        <v>79</v>
      </c>
      <c r="C1050" s="510" t="s">
        <v>64</v>
      </c>
      <c r="D1050" s="510"/>
      <c r="E1050" s="219"/>
      <c r="F1050" s="416"/>
      <c r="G1050" s="1251"/>
      <c r="H1050" s="676"/>
      <c r="I1050" s="681">
        <f t="shared" si="2461"/>
        <v>0</v>
      </c>
      <c r="J1050" s="1425">
        <v>1</v>
      </c>
      <c r="K1050" s="1426">
        <v>1</v>
      </c>
      <c r="L1050" s="438"/>
      <c r="M1050" s="1302"/>
      <c r="N1050" s="504"/>
      <c r="O1050" s="682">
        <f t="shared" si="2462"/>
        <v>0</v>
      </c>
      <c r="P1050" s="431"/>
      <c r="Q1050" s="514"/>
      <c r="R1050" s="515"/>
      <c r="S1050" s="515"/>
      <c r="T1050" s="562">
        <f t="shared" si="2463"/>
        <v>0</v>
      </c>
      <c r="U1050" s="418">
        <f t="shared" si="2464"/>
        <v>0</v>
      </c>
      <c r="V1050" s="517">
        <f t="shared" si="2465"/>
        <v>0</v>
      </c>
      <c r="W1050" s="976">
        <f t="shared" si="2466"/>
        <v>0</v>
      </c>
      <c r="X1050" s="975">
        <f t="shared" si="2467"/>
        <v>0</v>
      </c>
      <c r="Y1050" s="519"/>
      <c r="AA1050" s="24"/>
      <c r="AB1050" s="24"/>
      <c r="AC1050" s="24"/>
      <c r="AD1050" s="24"/>
      <c r="AE1050" s="24"/>
    </row>
    <row r="1051" spans="1:31">
      <c r="A1051" s="55"/>
      <c r="B1051" s="509"/>
      <c r="C1051" s="510"/>
      <c r="D1051" s="510"/>
      <c r="E1051" s="219"/>
      <c r="F1051" s="416"/>
      <c r="G1051" s="1251"/>
      <c r="H1051" s="676"/>
      <c r="I1051" s="681">
        <f t="shared" si="2461"/>
        <v>0</v>
      </c>
      <c r="J1051" s="1386"/>
      <c r="K1051" s="1386"/>
      <c r="L1051" s="438"/>
      <c r="M1051" s="1302"/>
      <c r="N1051" s="504"/>
      <c r="O1051" s="682">
        <f t="shared" si="2462"/>
        <v>0</v>
      </c>
      <c r="P1051" s="431"/>
      <c r="Q1051" s="514"/>
      <c r="R1051" s="515"/>
      <c r="S1051" s="515"/>
      <c r="T1051" s="562">
        <f t="shared" si="2463"/>
        <v>0</v>
      </c>
      <c r="U1051" s="418">
        <f t="shared" si="2464"/>
        <v>0</v>
      </c>
      <c r="V1051" s="517">
        <f t="shared" si="2465"/>
        <v>0</v>
      </c>
      <c r="W1051" s="976">
        <f t="shared" si="2466"/>
        <v>0</v>
      </c>
      <c r="X1051" s="975">
        <f t="shared" si="2467"/>
        <v>0</v>
      </c>
      <c r="Y1051" s="519"/>
      <c r="AA1051" s="24"/>
      <c r="AB1051" s="24"/>
      <c r="AC1051" s="24"/>
      <c r="AD1051" s="24"/>
      <c r="AE1051" s="24"/>
    </row>
    <row r="1052" spans="1:31" ht="15.75">
      <c r="A1052" s="961">
        <v>2422091000</v>
      </c>
      <c r="B1052" s="962" t="s">
        <v>77</v>
      </c>
      <c r="C1052" s="963" t="s">
        <v>64</v>
      </c>
      <c r="D1052" s="963"/>
      <c r="E1052" s="969">
        <v>44865</v>
      </c>
      <c r="F1052" s="964">
        <v>179157.92</v>
      </c>
      <c r="G1052" s="1250">
        <f t="shared" ref="G1052:G1054" si="2468">+F1052*J1052</f>
        <v>179157.92</v>
      </c>
      <c r="H1052" s="47">
        <v>4819.42</v>
      </c>
      <c r="I1052" s="965">
        <f t="shared" si="2461"/>
        <v>863437262.80640006</v>
      </c>
      <c r="J1052" s="1425">
        <v>1</v>
      </c>
      <c r="K1052" s="1426">
        <v>1</v>
      </c>
      <c r="L1052" s="218"/>
      <c r="M1052" s="1309"/>
      <c r="N1052" s="47"/>
      <c r="O1052" s="965">
        <f t="shared" si="2462"/>
        <v>0</v>
      </c>
      <c r="P1052" s="964"/>
      <c r="Q1052" s="1250"/>
      <c r="R1052" s="47"/>
      <c r="S1052" s="47"/>
      <c r="T1052" s="965">
        <f t="shared" si="2463"/>
        <v>0</v>
      </c>
      <c r="U1052" s="964">
        <f t="shared" si="2464"/>
        <v>179157.92</v>
      </c>
      <c r="V1052" s="965">
        <f t="shared" si="2465"/>
        <v>863437262.80640006</v>
      </c>
      <c r="W1052" s="968">
        <f t="shared" si="2466"/>
        <v>0</v>
      </c>
      <c r="X1052" s="966">
        <f t="shared" si="2467"/>
        <v>0</v>
      </c>
      <c r="Y1052" s="967"/>
      <c r="AA1052" s="24">
        <f t="shared" ref="AA1052:AA1054" si="2469">$B$4-H1052</f>
        <v>-150.42000000000007</v>
      </c>
      <c r="AB1052" s="24">
        <f t="shared" ref="AB1052:AB1054" si="2470">+U1052*AA1052</f>
        <v>-26948934.326400016</v>
      </c>
      <c r="AC1052" s="24"/>
      <c r="AD1052" s="24"/>
      <c r="AE1052" s="24"/>
    </row>
    <row r="1053" spans="1:31" ht="15.75">
      <c r="A1053" s="961">
        <v>2422091000</v>
      </c>
      <c r="B1053" s="962" t="s">
        <v>77</v>
      </c>
      <c r="C1053" s="963" t="s">
        <v>64</v>
      </c>
      <c r="D1053" s="963"/>
      <c r="E1053" s="969">
        <v>44895</v>
      </c>
      <c r="F1053" s="964">
        <v>239467.62999999998</v>
      </c>
      <c r="G1053" s="1250">
        <f t="shared" si="2468"/>
        <v>239467.62999999998</v>
      </c>
      <c r="H1053" s="47">
        <v>4809.51</v>
      </c>
      <c r="I1053" s="965">
        <f t="shared" si="2461"/>
        <v>1151721961.1612999</v>
      </c>
      <c r="J1053" s="1425">
        <v>1</v>
      </c>
      <c r="K1053" s="1426">
        <v>1</v>
      </c>
      <c r="L1053" s="218"/>
      <c r="M1053" s="1309"/>
      <c r="N1053" s="47"/>
      <c r="O1053" s="965">
        <f t="shared" ref="O1053" si="2471">+L1053*N1053</f>
        <v>0</v>
      </c>
      <c r="P1053" s="964"/>
      <c r="Q1053" s="1250"/>
      <c r="R1053" s="47"/>
      <c r="S1053" s="47"/>
      <c r="T1053" s="965">
        <f t="shared" ref="T1053" si="2472">+P1053*S1053</f>
        <v>0</v>
      </c>
      <c r="U1053" s="964">
        <f t="shared" ref="U1053" si="2473">+L1053+P1053+F1053</f>
        <v>239467.62999999998</v>
      </c>
      <c r="V1053" s="965">
        <f t="shared" ref="V1053" si="2474">+P1053*R1053+L1053*N1053+F1053*H1053</f>
        <v>1151721961.1612999</v>
      </c>
      <c r="W1053" s="968">
        <f t="shared" ref="W1053" si="2475">-(IF(R1053&lt;S1053,(-P1053*R1053)-(-P1053*S1053),0))</f>
        <v>0</v>
      </c>
      <c r="X1053" s="966">
        <f t="shared" ref="X1053" si="2476">-(IF(R1053&gt;S1053,(-P1053*R1053)-(-P1053*S1053),0))</f>
        <v>0</v>
      </c>
      <c r="Y1053" s="967"/>
      <c r="AA1053" s="24">
        <f t="shared" si="2469"/>
        <v>-140.51000000000022</v>
      </c>
      <c r="AB1053" s="24">
        <f t="shared" si="2470"/>
        <v>-33647596.691300049</v>
      </c>
      <c r="AC1053" s="24"/>
      <c r="AD1053" s="24"/>
      <c r="AE1053" s="24"/>
    </row>
    <row r="1054" spans="1:31" ht="15.75">
      <c r="A1054" s="961">
        <v>2422091000</v>
      </c>
      <c r="B1054" s="962" t="s">
        <v>77</v>
      </c>
      <c r="C1054" s="963" t="s">
        <v>64</v>
      </c>
      <c r="D1054" s="963"/>
      <c r="E1054" s="969">
        <v>44926</v>
      </c>
      <c r="F1054" s="964">
        <v>267338.76000000007</v>
      </c>
      <c r="G1054" s="1250">
        <f t="shared" si="2468"/>
        <v>267338.76000000007</v>
      </c>
      <c r="H1054" s="47">
        <v>4810.2</v>
      </c>
      <c r="I1054" s="965">
        <f t="shared" si="2461"/>
        <v>1285952903.3520002</v>
      </c>
      <c r="J1054" s="1425">
        <v>1</v>
      </c>
      <c r="K1054" s="1426">
        <v>1</v>
      </c>
      <c r="L1054" s="218"/>
      <c r="M1054" s="1309"/>
      <c r="N1054" s="47"/>
      <c r="O1054" s="965">
        <f t="shared" ref="O1054" si="2477">+L1054*N1054</f>
        <v>0</v>
      </c>
      <c r="P1054" s="964"/>
      <c r="Q1054" s="1250"/>
      <c r="R1054" s="47"/>
      <c r="S1054" s="47"/>
      <c r="T1054" s="965">
        <f t="shared" ref="T1054" si="2478">+P1054*S1054</f>
        <v>0</v>
      </c>
      <c r="U1054" s="964">
        <f t="shared" ref="U1054" si="2479">+L1054+P1054+F1054</f>
        <v>267338.76000000007</v>
      </c>
      <c r="V1054" s="965">
        <f t="shared" ref="V1054" si="2480">+P1054*R1054+L1054*N1054+F1054*H1054</f>
        <v>1285952903.3520002</v>
      </c>
      <c r="W1054" s="968">
        <f t="shared" ref="W1054" si="2481">-(IF(R1054&lt;S1054,(-P1054*R1054)-(-P1054*S1054),0))</f>
        <v>0</v>
      </c>
      <c r="X1054" s="966">
        <f t="shared" ref="X1054" si="2482">-(IF(R1054&gt;S1054,(-P1054*R1054)-(-P1054*S1054),0))</f>
        <v>0</v>
      </c>
      <c r="Y1054" s="967"/>
      <c r="AA1054" s="24">
        <f t="shared" si="2469"/>
        <v>-141.19999999999982</v>
      </c>
      <c r="AB1054" s="24">
        <f t="shared" si="2470"/>
        <v>-37748232.911999963</v>
      </c>
      <c r="AC1054" s="24"/>
      <c r="AD1054" s="24"/>
      <c r="AE1054" s="24"/>
    </row>
    <row r="1055" spans="1:31" outlineLevel="1">
      <c r="A1055" s="55"/>
      <c r="B1055" s="509"/>
      <c r="C1055" s="679"/>
      <c r="D1055" s="680"/>
      <c r="E1055" s="219"/>
      <c r="F1055" s="416"/>
      <c r="G1055" s="1251"/>
      <c r="H1055" s="676"/>
      <c r="I1055" s="681"/>
      <c r="J1055" s="1386"/>
      <c r="K1055" s="1386"/>
      <c r="L1055" s="438"/>
      <c r="M1055" s="1302"/>
      <c r="N1055" s="504"/>
      <c r="O1055" s="682">
        <f t="shared" si="2462"/>
        <v>0</v>
      </c>
      <c r="P1055" s="431"/>
      <c r="Q1055" s="514"/>
      <c r="R1055" s="515"/>
      <c r="S1055" s="515"/>
      <c r="T1055" s="562">
        <f t="shared" si="2463"/>
        <v>0</v>
      </c>
      <c r="U1055" s="418">
        <f t="shared" si="2464"/>
        <v>0</v>
      </c>
      <c r="V1055" s="517">
        <f t="shared" si="2465"/>
        <v>0</v>
      </c>
      <c r="W1055" s="976">
        <f t="shared" si="2466"/>
        <v>0</v>
      </c>
      <c r="X1055" s="975">
        <f t="shared" si="2467"/>
        <v>0</v>
      </c>
      <c r="Y1055" s="519"/>
      <c r="AA1055" s="24"/>
      <c r="AB1055" s="24"/>
      <c r="AC1055" s="24"/>
      <c r="AD1055" s="24"/>
      <c r="AE1055" s="24"/>
    </row>
    <row r="1056" spans="1:31" outlineLevel="1">
      <c r="A1056" s="55">
        <v>2422091000</v>
      </c>
      <c r="B1056" s="509" t="s">
        <v>110</v>
      </c>
      <c r="C1056" s="679" t="s">
        <v>64</v>
      </c>
      <c r="D1056" s="680"/>
      <c r="E1056" s="219">
        <v>44936</v>
      </c>
      <c r="F1056" s="416"/>
      <c r="G1056" s="1251"/>
      <c r="H1056" s="676"/>
      <c r="I1056" s="681"/>
      <c r="J1056" s="1425">
        <v>1</v>
      </c>
      <c r="K1056" s="1426">
        <v>1</v>
      </c>
      <c r="L1056" s="449">
        <v>83659.570000000007</v>
      </c>
      <c r="M1056" s="1312">
        <f t="shared" ref="M1056" si="2483">+L1056*J1056</f>
        <v>83659.570000000007</v>
      </c>
      <c r="N1056" s="504">
        <f ca="1">IF(OR(E1056="",E1056&gt;TODAY()),0,IF(ISERROR(VLOOKUP($E1056,'TRM BanRep'!$A:$G,7,0)),0,VLOOKUP($E1056,'TRM BanRep'!$A:$G,7,0)))</f>
        <v>4885.66</v>
      </c>
      <c r="O1056" s="682">
        <f t="shared" ca="1" si="2462"/>
        <v>408732214.76620001</v>
      </c>
      <c r="P1056" s="431"/>
      <c r="Q1056" s="514"/>
      <c r="R1056" s="515"/>
      <c r="S1056" s="515"/>
      <c r="T1056" s="562">
        <f t="shared" si="2463"/>
        <v>0</v>
      </c>
      <c r="U1056" s="418">
        <f t="shared" si="2464"/>
        <v>83659.570000000007</v>
      </c>
      <c r="V1056" s="517">
        <f t="shared" ca="1" si="2465"/>
        <v>408732214.76620001</v>
      </c>
      <c r="W1056" s="976">
        <f t="shared" si="2466"/>
        <v>0</v>
      </c>
      <c r="X1056" s="975">
        <f t="shared" si="2467"/>
        <v>0</v>
      </c>
      <c r="Y1056" s="519"/>
      <c r="AA1056" s="24">
        <f t="shared" ref="AA1056:AA1071" ca="1" si="2484">$B$4-N1056</f>
        <v>-216.65999999999985</v>
      </c>
      <c r="AB1056" s="24">
        <f t="shared" ref="AB1056:AB1071" ca="1" si="2485">+U1056*AA1056</f>
        <v>-18125682.436199989</v>
      </c>
      <c r="AC1056" s="24"/>
      <c r="AD1056" s="24"/>
      <c r="AE1056" s="24"/>
    </row>
    <row r="1057" spans="1:31" outlineLevel="1">
      <c r="A1057" s="55">
        <v>2422091000</v>
      </c>
      <c r="B1057" s="509" t="s">
        <v>110</v>
      </c>
      <c r="C1057" s="679" t="s">
        <v>64</v>
      </c>
      <c r="D1057" s="680"/>
      <c r="E1057" s="219">
        <v>44957</v>
      </c>
      <c r="F1057" s="416"/>
      <c r="G1057" s="1251"/>
      <c r="H1057" s="676"/>
      <c r="I1057" s="681"/>
      <c r="J1057" s="1425">
        <v>1</v>
      </c>
      <c r="K1057" s="1426">
        <v>1</v>
      </c>
      <c r="L1057" s="449">
        <v>200645.23</v>
      </c>
      <c r="M1057" s="1312">
        <f t="shared" ref="M1057" si="2486">+L1057*J1057</f>
        <v>200645.23</v>
      </c>
      <c r="N1057" s="504">
        <f ca="1">IF(OR(E1057="",E1057&gt;TODAY()),0,IF(ISERROR(VLOOKUP($E1057,'TRM BanRep'!$A:$G,7,0)),0,VLOOKUP($E1057,'TRM BanRep'!$A:$G,7,0)))</f>
        <v>4632.2</v>
      </c>
      <c r="O1057" s="682">
        <f t="shared" ref="O1057" ca="1" si="2487">+L1057*N1057</f>
        <v>929428834.40600002</v>
      </c>
      <c r="P1057" s="431"/>
      <c r="Q1057" s="514"/>
      <c r="R1057" s="515"/>
      <c r="S1057" s="515"/>
      <c r="T1057" s="562">
        <f t="shared" ref="T1057" si="2488">+P1057*S1057</f>
        <v>0</v>
      </c>
      <c r="U1057" s="418">
        <f t="shared" ref="U1057" si="2489">+L1057+P1057+F1057</f>
        <v>200645.23</v>
      </c>
      <c r="V1057" s="517">
        <f t="shared" ref="V1057" ca="1" si="2490">+P1057*R1057+L1057*N1057+F1057*H1057</f>
        <v>929428834.40600002</v>
      </c>
      <c r="W1057" s="976">
        <f t="shared" ref="W1057" si="2491">-(IF(R1057&lt;S1057,(-P1057*R1057)-(-P1057*S1057),0))</f>
        <v>0</v>
      </c>
      <c r="X1057" s="975">
        <f t="shared" ref="X1057" si="2492">-(IF(R1057&gt;S1057,(-P1057*R1057)-(-P1057*S1057),0))</f>
        <v>0</v>
      </c>
      <c r="Y1057" s="519"/>
      <c r="AA1057" s="24">
        <f t="shared" ref="AA1057" ca="1" si="2493">$B$4-N1057</f>
        <v>36.800000000000182</v>
      </c>
      <c r="AB1057" s="24">
        <f t="shared" ref="AB1057" ca="1" si="2494">+U1057*AA1057</f>
        <v>7383744.4640000369</v>
      </c>
      <c r="AC1057" s="24"/>
      <c r="AD1057" s="24"/>
      <c r="AE1057" s="24"/>
    </row>
    <row r="1058" spans="1:31" outlineLevel="1">
      <c r="A1058" s="55">
        <v>2422091000</v>
      </c>
      <c r="B1058" s="509" t="s">
        <v>111</v>
      </c>
      <c r="C1058" s="679" t="s">
        <v>64</v>
      </c>
      <c r="D1058" s="680"/>
      <c r="E1058" s="219">
        <v>44985</v>
      </c>
      <c r="F1058" s="416"/>
      <c r="G1058" s="1251"/>
      <c r="H1058" s="676"/>
      <c r="I1058" s="681"/>
      <c r="J1058" s="1425">
        <v>1</v>
      </c>
      <c r="K1058" s="1426">
        <v>1</v>
      </c>
      <c r="L1058" s="449">
        <v>263220.18999999994</v>
      </c>
      <c r="M1058" s="1312">
        <f t="shared" ref="M1058:M1071" si="2495">+L1058*J1058</f>
        <v>263220.18999999994</v>
      </c>
      <c r="N1058" s="504">
        <f ca="1">IF(OR(E1058="",E1058&gt;TODAY()),0,IF(ISERROR(VLOOKUP($E1058,'TRM BanRep'!$A:$G,7,0)),0,VLOOKUP($E1058,'TRM BanRep'!$A:$G,7,0)))</f>
        <v>4808.1400000000003</v>
      </c>
      <c r="O1058" s="682">
        <f t="shared" ca="1" si="2462"/>
        <v>1265599524.3465998</v>
      </c>
      <c r="P1058" s="431"/>
      <c r="Q1058" s="514"/>
      <c r="R1058" s="515"/>
      <c r="S1058" s="515"/>
      <c r="T1058" s="562">
        <f t="shared" si="2463"/>
        <v>0</v>
      </c>
      <c r="U1058" s="418">
        <f t="shared" si="2464"/>
        <v>263220.18999999994</v>
      </c>
      <c r="V1058" s="517">
        <f t="shared" ca="1" si="2465"/>
        <v>1265599524.3465998</v>
      </c>
      <c r="W1058" s="976">
        <f t="shared" si="2466"/>
        <v>0</v>
      </c>
      <c r="X1058" s="975">
        <f t="shared" si="2467"/>
        <v>0</v>
      </c>
      <c r="Y1058" s="519"/>
      <c r="AA1058" s="24">
        <f t="shared" ca="1" si="2484"/>
        <v>-139.14000000000033</v>
      </c>
      <c r="AB1058" s="24">
        <f t="shared" ca="1" si="2485"/>
        <v>-36624457.236600079</v>
      </c>
      <c r="AC1058" s="24"/>
      <c r="AD1058" s="24"/>
      <c r="AE1058" s="24"/>
    </row>
    <row r="1059" spans="1:31" outlineLevel="1">
      <c r="A1059" s="55">
        <v>2422091000</v>
      </c>
      <c r="B1059" s="509" t="s">
        <v>112</v>
      </c>
      <c r="C1059" s="679" t="s">
        <v>64</v>
      </c>
      <c r="D1059" s="680"/>
      <c r="E1059" s="219">
        <v>45016</v>
      </c>
      <c r="F1059" s="416"/>
      <c r="G1059" s="1251"/>
      <c r="H1059" s="676"/>
      <c r="I1059" s="681"/>
      <c r="J1059" s="1425">
        <v>1</v>
      </c>
      <c r="K1059" s="1426">
        <v>1</v>
      </c>
      <c r="L1059" s="449">
        <v>296379.10000000003</v>
      </c>
      <c r="M1059" s="1312">
        <f t="shared" si="2495"/>
        <v>296379.10000000003</v>
      </c>
      <c r="N1059" s="504">
        <f ca="1">IF(OR(E1059="",E1059&gt;TODAY()),0,IF(ISERROR(VLOOKUP($E1059,'TRM BanRep'!$A:$G,7,0)),0,VLOOKUP($E1059,'TRM BanRep'!$A:$G,7,0)))</f>
        <v>4627.2700000000004</v>
      </c>
      <c r="O1059" s="682">
        <f t="shared" ca="1" si="2462"/>
        <v>1371426118.0570004</v>
      </c>
      <c r="P1059" s="431"/>
      <c r="Q1059" s="514"/>
      <c r="R1059" s="515"/>
      <c r="S1059" s="515"/>
      <c r="T1059" s="562">
        <f t="shared" si="2463"/>
        <v>0</v>
      </c>
      <c r="U1059" s="418">
        <f t="shared" si="2464"/>
        <v>296379.10000000003</v>
      </c>
      <c r="V1059" s="517">
        <f t="shared" ca="1" si="2465"/>
        <v>1371426118.0570004</v>
      </c>
      <c r="W1059" s="976">
        <f t="shared" si="2466"/>
        <v>0</v>
      </c>
      <c r="X1059" s="975">
        <f t="shared" si="2467"/>
        <v>0</v>
      </c>
      <c r="Y1059" s="519"/>
      <c r="AA1059" s="24">
        <f t="shared" ca="1" si="2484"/>
        <v>41.729999999999563</v>
      </c>
      <c r="AB1059" s="24">
        <f t="shared" ca="1" si="2485"/>
        <v>12367899.842999872</v>
      </c>
      <c r="AC1059" s="24"/>
      <c r="AD1059" s="24"/>
      <c r="AE1059" s="24"/>
    </row>
    <row r="1060" spans="1:31" outlineLevel="1">
      <c r="A1060" s="55">
        <v>2422091000</v>
      </c>
      <c r="B1060" s="509" t="s">
        <v>200</v>
      </c>
      <c r="C1060" s="679" t="s">
        <v>64</v>
      </c>
      <c r="D1060" s="680"/>
      <c r="E1060" s="219">
        <v>45026</v>
      </c>
      <c r="F1060" s="416"/>
      <c r="G1060" s="1251"/>
      <c r="H1060" s="676"/>
      <c r="I1060" s="681"/>
      <c r="J1060" s="1425">
        <v>1</v>
      </c>
      <c r="K1060" s="1426">
        <v>1</v>
      </c>
      <c r="L1060" s="449">
        <v>90556.73</v>
      </c>
      <c r="M1060" s="1312">
        <f t="shared" si="2495"/>
        <v>90556.73</v>
      </c>
      <c r="N1060" s="504">
        <f ca="1">IF(OR(E1060="",E1060&gt;TODAY()),0,IF(ISERROR(VLOOKUP($E1060,'TRM BanRep'!$A:$G,7,0)),0,VLOOKUP($E1060,'TRM BanRep'!$A:$G,7,0)))</f>
        <v>4570.91</v>
      </c>
      <c r="O1060" s="682">
        <f t="shared" ca="1" si="2462"/>
        <v>413926662.72429997</v>
      </c>
      <c r="P1060" s="431"/>
      <c r="Q1060" s="514"/>
      <c r="R1060" s="515"/>
      <c r="S1060" s="515"/>
      <c r="T1060" s="562">
        <f t="shared" si="2463"/>
        <v>0</v>
      </c>
      <c r="U1060" s="418">
        <f t="shared" si="2464"/>
        <v>90556.73</v>
      </c>
      <c r="V1060" s="517">
        <f t="shared" ca="1" si="2465"/>
        <v>413926662.72429997</v>
      </c>
      <c r="W1060" s="976">
        <f t="shared" si="2466"/>
        <v>0</v>
      </c>
      <c r="X1060" s="975">
        <f t="shared" si="2467"/>
        <v>0</v>
      </c>
      <c r="Y1060" s="519"/>
      <c r="AA1060" s="24">
        <f t="shared" ca="1" si="2484"/>
        <v>98.090000000000146</v>
      </c>
      <c r="AB1060" s="24">
        <f t="shared" ca="1" si="2485"/>
        <v>8882709.6457000133</v>
      </c>
      <c r="AC1060" s="24"/>
      <c r="AD1060" s="24"/>
      <c r="AE1060" s="24"/>
    </row>
    <row r="1061" spans="1:31" outlineLevel="1">
      <c r="A1061" s="55">
        <v>2422091000</v>
      </c>
      <c r="B1061" s="509" t="s">
        <v>113</v>
      </c>
      <c r="C1061" s="679" t="s">
        <v>64</v>
      </c>
      <c r="D1061" s="680"/>
      <c r="E1061" s="219">
        <v>45046</v>
      </c>
      <c r="F1061" s="416"/>
      <c r="G1061" s="1251"/>
      <c r="H1061" s="676"/>
      <c r="I1061" s="681"/>
      <c r="J1061" s="1425">
        <v>1</v>
      </c>
      <c r="K1061" s="1426">
        <v>1</v>
      </c>
      <c r="L1061" s="449">
        <v>207751.78</v>
      </c>
      <c r="M1061" s="1312">
        <f t="shared" si="2495"/>
        <v>207751.78</v>
      </c>
      <c r="N1061" s="504">
        <f ca="1">IF(OR(E1061="",E1061&gt;TODAY()),0,IF(ISERROR(VLOOKUP($E1061,'TRM BanRep'!$A:$G,7,0)),0,VLOOKUP($E1061,'TRM BanRep'!$A:$G,7,0)))</f>
        <v>4669</v>
      </c>
      <c r="O1061" s="682">
        <f t="shared" ca="1" si="2462"/>
        <v>969993060.82000005</v>
      </c>
      <c r="P1061" s="431"/>
      <c r="Q1061" s="514"/>
      <c r="R1061" s="515"/>
      <c r="S1061" s="515"/>
      <c r="T1061" s="562">
        <f t="shared" si="2463"/>
        <v>0</v>
      </c>
      <c r="U1061" s="418">
        <f t="shared" si="2464"/>
        <v>207751.78</v>
      </c>
      <c r="V1061" s="517">
        <f t="shared" ca="1" si="2465"/>
        <v>969993060.82000005</v>
      </c>
      <c r="W1061" s="976">
        <f t="shared" si="2466"/>
        <v>0</v>
      </c>
      <c r="X1061" s="975">
        <f t="shared" si="2467"/>
        <v>0</v>
      </c>
      <c r="Y1061" s="519"/>
      <c r="AA1061" s="24">
        <f t="shared" ca="1" si="2484"/>
        <v>0</v>
      </c>
      <c r="AB1061" s="24">
        <f t="shared" ca="1" si="2485"/>
        <v>0</v>
      </c>
      <c r="AC1061" s="24"/>
      <c r="AD1061" s="24"/>
      <c r="AE1061" s="24"/>
    </row>
    <row r="1062" spans="1:31" outlineLevel="1">
      <c r="A1062" s="55">
        <v>2422091000</v>
      </c>
      <c r="B1062" s="509" t="s">
        <v>114</v>
      </c>
      <c r="C1062" s="679" t="s">
        <v>64</v>
      </c>
      <c r="D1062" s="680"/>
      <c r="E1062" s="219">
        <v>45077</v>
      </c>
      <c r="F1062" s="416"/>
      <c r="G1062" s="1251"/>
      <c r="H1062" s="676"/>
      <c r="I1062" s="681"/>
      <c r="J1062" s="1425">
        <v>1</v>
      </c>
      <c r="K1062" s="1426">
        <v>1</v>
      </c>
      <c r="L1062" s="449"/>
      <c r="M1062" s="1312">
        <f t="shared" si="2495"/>
        <v>0</v>
      </c>
      <c r="N1062" s="504">
        <f ca="1">IF(OR(E1062="",E1062&gt;TODAY()),0,IF(ISERROR(VLOOKUP($E1062,'TRM BanRep'!$A:$G,7,0)),0,VLOOKUP($E1062,'TRM BanRep'!$A:$G,7,0)))</f>
        <v>0</v>
      </c>
      <c r="O1062" s="682">
        <f t="shared" ca="1" si="2462"/>
        <v>0</v>
      </c>
      <c r="P1062" s="431"/>
      <c r="Q1062" s="514"/>
      <c r="R1062" s="515"/>
      <c r="S1062" s="515"/>
      <c r="T1062" s="562">
        <f t="shared" si="2463"/>
        <v>0</v>
      </c>
      <c r="U1062" s="418">
        <f t="shared" si="2464"/>
        <v>0</v>
      </c>
      <c r="V1062" s="517">
        <f t="shared" ca="1" si="2465"/>
        <v>0</v>
      </c>
      <c r="W1062" s="976">
        <f t="shared" si="2466"/>
        <v>0</v>
      </c>
      <c r="X1062" s="975">
        <f t="shared" si="2467"/>
        <v>0</v>
      </c>
      <c r="Y1062" s="519"/>
      <c r="AA1062" s="24">
        <f t="shared" ca="1" si="2484"/>
        <v>4669</v>
      </c>
      <c r="AB1062" s="24">
        <f t="shared" ca="1" si="2485"/>
        <v>0</v>
      </c>
      <c r="AC1062" s="24"/>
      <c r="AD1062" s="24"/>
      <c r="AE1062" s="24"/>
    </row>
    <row r="1063" spans="1:31" outlineLevel="1">
      <c r="A1063" s="55">
        <v>2422091000</v>
      </c>
      <c r="B1063" s="509" t="s">
        <v>115</v>
      </c>
      <c r="C1063" s="679" t="s">
        <v>64</v>
      </c>
      <c r="D1063" s="680"/>
      <c r="E1063" s="219">
        <v>45107</v>
      </c>
      <c r="F1063" s="416"/>
      <c r="G1063" s="1251"/>
      <c r="H1063" s="676"/>
      <c r="I1063" s="681"/>
      <c r="J1063" s="1425">
        <v>1</v>
      </c>
      <c r="K1063" s="1426">
        <v>1</v>
      </c>
      <c r="L1063" s="449"/>
      <c r="M1063" s="1312">
        <f t="shared" si="2495"/>
        <v>0</v>
      </c>
      <c r="N1063" s="504">
        <f ca="1">IF(OR(E1063="",E1063&gt;TODAY()),0,IF(ISERROR(VLOOKUP($E1063,'TRM BanRep'!$A:$G,7,0)),0,VLOOKUP($E1063,'TRM BanRep'!$A:$G,7,0)))</f>
        <v>0</v>
      </c>
      <c r="O1063" s="682">
        <f t="shared" ca="1" si="2462"/>
        <v>0</v>
      </c>
      <c r="P1063" s="431"/>
      <c r="Q1063" s="514"/>
      <c r="R1063" s="515"/>
      <c r="S1063" s="515"/>
      <c r="T1063" s="562">
        <f t="shared" si="2463"/>
        <v>0</v>
      </c>
      <c r="U1063" s="418">
        <f t="shared" si="2464"/>
        <v>0</v>
      </c>
      <c r="V1063" s="517">
        <f t="shared" ca="1" si="2465"/>
        <v>0</v>
      </c>
      <c r="W1063" s="976">
        <f t="shared" si="2466"/>
        <v>0</v>
      </c>
      <c r="X1063" s="975">
        <f t="shared" si="2467"/>
        <v>0</v>
      </c>
      <c r="Y1063" s="519"/>
      <c r="AA1063" s="24">
        <f t="shared" ca="1" si="2484"/>
        <v>4669</v>
      </c>
      <c r="AB1063" s="24">
        <f t="shared" ca="1" si="2485"/>
        <v>0</v>
      </c>
      <c r="AC1063" s="24"/>
      <c r="AD1063" s="24"/>
      <c r="AE1063" s="24"/>
    </row>
    <row r="1064" spans="1:31" outlineLevel="1">
      <c r="A1064" s="55">
        <v>2422091000</v>
      </c>
      <c r="B1064" s="509" t="s">
        <v>116</v>
      </c>
      <c r="C1064" s="679" t="s">
        <v>64</v>
      </c>
      <c r="D1064" s="680"/>
      <c r="E1064" s="219">
        <v>45114</v>
      </c>
      <c r="F1064" s="416"/>
      <c r="G1064" s="1251"/>
      <c r="H1064" s="676"/>
      <c r="I1064" s="681"/>
      <c r="J1064" s="1425">
        <v>1</v>
      </c>
      <c r="K1064" s="1426">
        <v>1</v>
      </c>
      <c r="L1064" s="449"/>
      <c r="M1064" s="1312">
        <f t="shared" si="2495"/>
        <v>0</v>
      </c>
      <c r="N1064" s="504">
        <f ca="1">IF(OR(E1064="",E1064&gt;TODAY()),0,IF(ISERROR(VLOOKUP($E1064,'TRM BanRep'!$A:$G,7,0)),0,VLOOKUP($E1064,'TRM BanRep'!$A:$G,7,0)))</f>
        <v>0</v>
      </c>
      <c r="O1064" s="682">
        <f t="shared" ref="O1064" ca="1" si="2496">+L1064*N1064</f>
        <v>0</v>
      </c>
      <c r="P1064" s="431"/>
      <c r="Q1064" s="514"/>
      <c r="R1064" s="515"/>
      <c r="S1064" s="515"/>
      <c r="T1064" s="562">
        <f t="shared" ref="T1064" si="2497">+P1064*S1064</f>
        <v>0</v>
      </c>
      <c r="U1064" s="418">
        <f t="shared" ref="U1064" si="2498">+L1064+P1064+F1064</f>
        <v>0</v>
      </c>
      <c r="V1064" s="517">
        <f t="shared" ref="V1064" ca="1" si="2499">+P1064*R1064+L1064*N1064+F1064*H1064</f>
        <v>0</v>
      </c>
      <c r="W1064" s="976">
        <f t="shared" ref="W1064" si="2500">-(IF(R1064&lt;S1064,(-P1064*R1064)-(-P1064*S1064),0))</f>
        <v>0</v>
      </c>
      <c r="X1064" s="975">
        <f t="shared" ref="X1064" si="2501">-(IF(R1064&gt;S1064,(-P1064*R1064)-(-P1064*S1064),0))</f>
        <v>0</v>
      </c>
      <c r="Y1064" s="519"/>
      <c r="AA1064" s="24">
        <f t="shared" ref="AA1064" ca="1" si="2502">$B$4-N1064</f>
        <v>4669</v>
      </c>
      <c r="AB1064" s="24">
        <f t="shared" ref="AB1064" ca="1" si="2503">+U1064*AA1064</f>
        <v>0</v>
      </c>
      <c r="AC1064" s="24"/>
      <c r="AD1064" s="24"/>
      <c r="AE1064" s="24"/>
    </row>
    <row r="1065" spans="1:31" outlineLevel="1">
      <c r="A1065" s="55">
        <v>2422091000</v>
      </c>
      <c r="B1065" s="509" t="s">
        <v>116</v>
      </c>
      <c r="C1065" s="679" t="s">
        <v>64</v>
      </c>
      <c r="D1065" s="680"/>
      <c r="E1065" s="219">
        <v>45138</v>
      </c>
      <c r="F1065" s="416"/>
      <c r="G1065" s="1251"/>
      <c r="H1065" s="676"/>
      <c r="I1065" s="681"/>
      <c r="J1065" s="1425">
        <v>1</v>
      </c>
      <c r="K1065" s="1426">
        <v>1</v>
      </c>
      <c r="L1065" s="449"/>
      <c r="M1065" s="1312">
        <f t="shared" si="2495"/>
        <v>0</v>
      </c>
      <c r="N1065" s="504">
        <f ca="1">IF(OR(E1065="",E1065&gt;TODAY()),0,IF(ISERROR(VLOOKUP($E1065,'TRM BanRep'!$A:$G,7,0)),0,VLOOKUP($E1065,'TRM BanRep'!$A:$G,7,0)))</f>
        <v>0</v>
      </c>
      <c r="O1065" s="682">
        <f t="shared" ca="1" si="2462"/>
        <v>0</v>
      </c>
      <c r="P1065" s="431"/>
      <c r="Q1065" s="514"/>
      <c r="R1065" s="515"/>
      <c r="S1065" s="515"/>
      <c r="T1065" s="562">
        <f t="shared" si="2463"/>
        <v>0</v>
      </c>
      <c r="U1065" s="418">
        <f t="shared" si="2464"/>
        <v>0</v>
      </c>
      <c r="V1065" s="517">
        <f t="shared" ca="1" si="2465"/>
        <v>0</v>
      </c>
      <c r="W1065" s="976">
        <f t="shared" si="2466"/>
        <v>0</v>
      </c>
      <c r="X1065" s="975">
        <f t="shared" si="2467"/>
        <v>0</v>
      </c>
      <c r="Y1065" s="519"/>
      <c r="AA1065" s="24">
        <f t="shared" ca="1" si="2484"/>
        <v>4669</v>
      </c>
      <c r="AB1065" s="24">
        <f t="shared" ca="1" si="2485"/>
        <v>0</v>
      </c>
      <c r="AC1065" s="24"/>
      <c r="AD1065" s="24"/>
      <c r="AE1065" s="24"/>
    </row>
    <row r="1066" spans="1:31" outlineLevel="1">
      <c r="A1066" s="55">
        <v>2422091000</v>
      </c>
      <c r="B1066" s="509" t="s">
        <v>117</v>
      </c>
      <c r="C1066" s="679" t="s">
        <v>64</v>
      </c>
      <c r="D1066" s="680"/>
      <c r="E1066" s="219">
        <v>45169</v>
      </c>
      <c r="F1066" s="416"/>
      <c r="G1066" s="1251"/>
      <c r="H1066" s="676"/>
      <c r="I1066" s="681"/>
      <c r="J1066" s="1425">
        <v>1</v>
      </c>
      <c r="K1066" s="1426">
        <v>1</v>
      </c>
      <c r="L1066" s="449"/>
      <c r="M1066" s="1312">
        <f t="shared" si="2495"/>
        <v>0</v>
      </c>
      <c r="N1066" s="504">
        <f ca="1">IF(OR(E1066="",E1066&gt;TODAY()),0,IF(ISERROR(VLOOKUP($E1066,'TRM BanRep'!$A:$G,7,0)),0,VLOOKUP($E1066,'TRM BanRep'!$A:$G,7,0)))</f>
        <v>0</v>
      </c>
      <c r="O1066" s="682">
        <f t="shared" ca="1" si="2462"/>
        <v>0</v>
      </c>
      <c r="P1066" s="431"/>
      <c r="Q1066" s="514"/>
      <c r="R1066" s="515"/>
      <c r="S1066" s="515"/>
      <c r="T1066" s="562">
        <f t="shared" si="2463"/>
        <v>0</v>
      </c>
      <c r="U1066" s="418">
        <f t="shared" si="2464"/>
        <v>0</v>
      </c>
      <c r="V1066" s="517">
        <f t="shared" ca="1" si="2465"/>
        <v>0</v>
      </c>
      <c r="W1066" s="976">
        <f t="shared" si="2466"/>
        <v>0</v>
      </c>
      <c r="X1066" s="975">
        <f t="shared" si="2467"/>
        <v>0</v>
      </c>
      <c r="Y1066" s="519"/>
      <c r="AA1066" s="24">
        <f t="shared" ca="1" si="2484"/>
        <v>4669</v>
      </c>
      <c r="AB1066" s="24">
        <f t="shared" ca="1" si="2485"/>
        <v>0</v>
      </c>
      <c r="AC1066" s="24"/>
      <c r="AD1066" s="24"/>
      <c r="AE1066" s="24"/>
    </row>
    <row r="1067" spans="1:31" outlineLevel="1">
      <c r="A1067" s="55">
        <v>2422091000</v>
      </c>
      <c r="B1067" s="509" t="s">
        <v>118</v>
      </c>
      <c r="C1067" s="679" t="s">
        <v>64</v>
      </c>
      <c r="D1067" s="680"/>
      <c r="E1067" s="219">
        <v>45199</v>
      </c>
      <c r="F1067" s="416"/>
      <c r="G1067" s="1251"/>
      <c r="H1067" s="676"/>
      <c r="I1067" s="681"/>
      <c r="J1067" s="1425">
        <v>1</v>
      </c>
      <c r="K1067" s="1426">
        <v>1</v>
      </c>
      <c r="L1067" s="449"/>
      <c r="M1067" s="1312">
        <f t="shared" si="2495"/>
        <v>0</v>
      </c>
      <c r="N1067" s="504">
        <f ca="1">IF(OR(E1067="",E1067&gt;TODAY()),0,IF(ISERROR(VLOOKUP($E1067,'TRM BanRep'!$A:$G,7,0)),0,VLOOKUP($E1067,'TRM BanRep'!$A:$G,7,0)))</f>
        <v>0</v>
      </c>
      <c r="O1067" s="682">
        <f t="shared" ca="1" si="2462"/>
        <v>0</v>
      </c>
      <c r="P1067" s="431"/>
      <c r="Q1067" s="514"/>
      <c r="R1067" s="515"/>
      <c r="S1067" s="515"/>
      <c r="T1067" s="562">
        <f t="shared" si="2463"/>
        <v>0</v>
      </c>
      <c r="U1067" s="418">
        <f t="shared" si="2464"/>
        <v>0</v>
      </c>
      <c r="V1067" s="517">
        <f t="shared" ca="1" si="2465"/>
        <v>0</v>
      </c>
      <c r="W1067" s="976">
        <f t="shared" si="2466"/>
        <v>0</v>
      </c>
      <c r="X1067" s="975">
        <f t="shared" si="2467"/>
        <v>0</v>
      </c>
      <c r="Y1067" s="519"/>
      <c r="AA1067" s="24">
        <f t="shared" ca="1" si="2484"/>
        <v>4669</v>
      </c>
      <c r="AB1067" s="24">
        <f t="shared" ca="1" si="2485"/>
        <v>0</v>
      </c>
      <c r="AC1067" s="24"/>
      <c r="AD1067" s="24"/>
      <c r="AE1067" s="24"/>
    </row>
    <row r="1068" spans="1:31" outlineLevel="1">
      <c r="A1068" s="55">
        <v>2422091000</v>
      </c>
      <c r="B1068" s="509" t="s">
        <v>119</v>
      </c>
      <c r="C1068" s="679" t="s">
        <v>64</v>
      </c>
      <c r="D1068" s="680"/>
      <c r="E1068" s="219">
        <v>45206</v>
      </c>
      <c r="F1068" s="416"/>
      <c r="G1068" s="1251"/>
      <c r="H1068" s="676"/>
      <c r="I1068" s="681"/>
      <c r="J1068" s="1425">
        <v>1</v>
      </c>
      <c r="K1068" s="1426">
        <v>1</v>
      </c>
      <c r="L1068" s="449"/>
      <c r="M1068" s="1312">
        <f t="shared" si="2495"/>
        <v>0</v>
      </c>
      <c r="N1068" s="504">
        <f ca="1">IF(OR(E1068="",E1068&gt;TODAY()),0,IF(ISERROR(VLOOKUP($E1068,'TRM BanRep'!$A:$G,7,0)),0,VLOOKUP($E1068,'TRM BanRep'!$A:$G,7,0)))</f>
        <v>0</v>
      </c>
      <c r="O1068" s="682">
        <f t="shared" ca="1" si="2462"/>
        <v>0</v>
      </c>
      <c r="P1068" s="431"/>
      <c r="Q1068" s="514"/>
      <c r="R1068" s="515"/>
      <c r="S1068" s="515"/>
      <c r="T1068" s="562">
        <f t="shared" si="2463"/>
        <v>0</v>
      </c>
      <c r="U1068" s="418">
        <f t="shared" si="2464"/>
        <v>0</v>
      </c>
      <c r="V1068" s="517">
        <f t="shared" ca="1" si="2465"/>
        <v>0</v>
      </c>
      <c r="W1068" s="976">
        <f t="shared" si="2466"/>
        <v>0</v>
      </c>
      <c r="X1068" s="975">
        <f t="shared" si="2467"/>
        <v>0</v>
      </c>
      <c r="Y1068" s="519"/>
      <c r="AA1068" s="24">
        <f t="shared" ca="1" si="2484"/>
        <v>4669</v>
      </c>
      <c r="AB1068" s="24">
        <f t="shared" ca="1" si="2485"/>
        <v>0</v>
      </c>
      <c r="AC1068" s="24"/>
      <c r="AD1068" s="24"/>
      <c r="AE1068" s="24"/>
    </row>
    <row r="1069" spans="1:31" outlineLevel="1">
      <c r="A1069" s="55">
        <v>2422091000</v>
      </c>
      <c r="B1069" s="509" t="s">
        <v>119</v>
      </c>
      <c r="C1069" s="679" t="s">
        <v>64</v>
      </c>
      <c r="D1069" s="680"/>
      <c r="E1069" s="219">
        <v>45230</v>
      </c>
      <c r="F1069" s="416"/>
      <c r="G1069" s="1251"/>
      <c r="H1069" s="676"/>
      <c r="I1069" s="681"/>
      <c r="J1069" s="1425">
        <v>1</v>
      </c>
      <c r="K1069" s="1426">
        <v>1</v>
      </c>
      <c r="L1069" s="449"/>
      <c r="M1069" s="1312">
        <f t="shared" si="2495"/>
        <v>0</v>
      </c>
      <c r="N1069" s="504">
        <f ca="1">IF(OR(E1069="",E1069&gt;TODAY()),0,IF(ISERROR(VLOOKUP($E1069,'TRM BanRep'!$A:$G,7,0)),0,VLOOKUP($E1069,'TRM BanRep'!$A:$G,7,0)))</f>
        <v>0</v>
      </c>
      <c r="O1069" s="682">
        <f t="shared" ref="O1069" ca="1" si="2504">+L1069*N1069</f>
        <v>0</v>
      </c>
      <c r="P1069" s="431"/>
      <c r="Q1069" s="514"/>
      <c r="R1069" s="515"/>
      <c r="S1069" s="515"/>
      <c r="T1069" s="562">
        <f t="shared" ref="T1069" si="2505">+P1069*S1069</f>
        <v>0</v>
      </c>
      <c r="U1069" s="418">
        <f t="shared" ref="U1069" si="2506">+L1069+P1069+F1069</f>
        <v>0</v>
      </c>
      <c r="V1069" s="517">
        <f t="shared" ref="V1069" ca="1" si="2507">+P1069*R1069+L1069*N1069+F1069*H1069</f>
        <v>0</v>
      </c>
      <c r="W1069" s="976">
        <f t="shared" ref="W1069" si="2508">-(IF(R1069&lt;S1069,(-P1069*R1069)-(-P1069*S1069),0))</f>
        <v>0</v>
      </c>
      <c r="X1069" s="975">
        <f t="shared" ref="X1069" si="2509">-(IF(R1069&gt;S1069,(-P1069*R1069)-(-P1069*S1069),0))</f>
        <v>0</v>
      </c>
      <c r="Y1069" s="519"/>
      <c r="AA1069" s="24">
        <f t="shared" ref="AA1069" ca="1" si="2510">$B$4-N1069</f>
        <v>4669</v>
      </c>
      <c r="AB1069" s="24">
        <f t="shared" ref="AB1069" ca="1" si="2511">+U1069*AA1069</f>
        <v>0</v>
      </c>
      <c r="AC1069" s="24"/>
      <c r="AD1069" s="24"/>
      <c r="AE1069" s="24"/>
    </row>
    <row r="1070" spans="1:31" outlineLevel="1">
      <c r="A1070" s="55">
        <v>2422091000</v>
      </c>
      <c r="B1070" s="509" t="s">
        <v>120</v>
      </c>
      <c r="C1070" s="679" t="s">
        <v>64</v>
      </c>
      <c r="D1070" s="680"/>
      <c r="E1070" s="219">
        <v>45260</v>
      </c>
      <c r="F1070" s="416"/>
      <c r="G1070" s="1251"/>
      <c r="H1070" s="676"/>
      <c r="I1070" s="681"/>
      <c r="J1070" s="1425">
        <v>1</v>
      </c>
      <c r="K1070" s="1426">
        <v>1</v>
      </c>
      <c r="L1070" s="449"/>
      <c r="M1070" s="1312">
        <f t="shared" si="2495"/>
        <v>0</v>
      </c>
      <c r="N1070" s="504">
        <f ca="1">IF(OR(E1070="",E1070&gt;TODAY()),0,IF(ISERROR(VLOOKUP($E1070,'TRM BanRep'!$A:$G,7,0)),0,VLOOKUP($E1070,'TRM BanRep'!$A:$G,7,0)))</f>
        <v>0</v>
      </c>
      <c r="O1070" s="682">
        <f t="shared" ca="1" si="2462"/>
        <v>0</v>
      </c>
      <c r="P1070" s="431"/>
      <c r="Q1070" s="514"/>
      <c r="R1070" s="515"/>
      <c r="S1070" s="515"/>
      <c r="T1070" s="562">
        <f t="shared" si="2463"/>
        <v>0</v>
      </c>
      <c r="U1070" s="418">
        <f t="shared" si="2464"/>
        <v>0</v>
      </c>
      <c r="V1070" s="517">
        <f t="shared" ca="1" si="2465"/>
        <v>0</v>
      </c>
      <c r="W1070" s="976">
        <f t="shared" si="2466"/>
        <v>0</v>
      </c>
      <c r="X1070" s="975">
        <f t="shared" si="2467"/>
        <v>0</v>
      </c>
      <c r="Y1070" s="519"/>
      <c r="AA1070" s="24">
        <f t="shared" ca="1" si="2484"/>
        <v>4669</v>
      </c>
      <c r="AB1070" s="24">
        <f t="shared" ca="1" si="2485"/>
        <v>0</v>
      </c>
      <c r="AC1070" s="24"/>
      <c r="AD1070" s="24"/>
      <c r="AE1070" s="24"/>
    </row>
    <row r="1071" spans="1:31" outlineLevel="1">
      <c r="A1071" s="55">
        <v>2422091000</v>
      </c>
      <c r="B1071" s="509" t="s">
        <v>121</v>
      </c>
      <c r="C1071" s="679" t="s">
        <v>64</v>
      </c>
      <c r="D1071" s="680"/>
      <c r="E1071" s="219">
        <v>45291</v>
      </c>
      <c r="F1071" s="416"/>
      <c r="G1071" s="1251"/>
      <c r="H1071" s="676"/>
      <c r="I1071" s="681"/>
      <c r="J1071" s="1425">
        <v>1</v>
      </c>
      <c r="K1071" s="1426">
        <v>1</v>
      </c>
      <c r="L1071" s="449"/>
      <c r="M1071" s="1312">
        <f t="shared" si="2495"/>
        <v>0</v>
      </c>
      <c r="N1071" s="504">
        <f ca="1">IF(OR(E1071="",E1071&gt;TODAY()),0,IF(ISERROR(VLOOKUP($E1071,'TRM BanRep'!$A:$G,7,0)),0,VLOOKUP($E1071,'TRM BanRep'!$A:$G,7,0)))</f>
        <v>0</v>
      </c>
      <c r="O1071" s="682">
        <f t="shared" ca="1" si="2462"/>
        <v>0</v>
      </c>
      <c r="P1071" s="431"/>
      <c r="Q1071" s="514"/>
      <c r="R1071" s="515"/>
      <c r="S1071" s="515"/>
      <c r="T1071" s="562">
        <f t="shared" si="2463"/>
        <v>0</v>
      </c>
      <c r="U1071" s="418">
        <f t="shared" si="2464"/>
        <v>0</v>
      </c>
      <c r="V1071" s="517">
        <f t="shared" ca="1" si="2465"/>
        <v>0</v>
      </c>
      <c r="W1071" s="976">
        <f t="shared" si="2466"/>
        <v>0</v>
      </c>
      <c r="X1071" s="975">
        <f t="shared" si="2467"/>
        <v>0</v>
      </c>
      <c r="Y1071" s="519"/>
      <c r="AA1071" s="24">
        <f t="shared" ca="1" si="2484"/>
        <v>4669</v>
      </c>
      <c r="AB1071" s="24">
        <f t="shared" ca="1" si="2485"/>
        <v>0</v>
      </c>
      <c r="AC1071" s="24"/>
      <c r="AD1071" s="24"/>
      <c r="AE1071" s="24"/>
    </row>
    <row r="1072" spans="1:31" outlineLevel="1">
      <c r="A1072" s="55"/>
      <c r="B1072" s="509"/>
      <c r="C1072" s="679"/>
      <c r="D1072" s="680"/>
      <c r="E1072" s="219"/>
      <c r="F1072" s="416"/>
      <c r="G1072" s="1251"/>
      <c r="H1072" s="676"/>
      <c r="I1072" s="681"/>
      <c r="J1072" s="1386"/>
      <c r="K1072" s="1386"/>
      <c r="L1072" s="438"/>
      <c r="M1072" s="1302"/>
      <c r="N1072" s="504"/>
      <c r="O1072" s="682">
        <f t="shared" si="2462"/>
        <v>0</v>
      </c>
      <c r="P1072" s="431"/>
      <c r="Q1072" s="514"/>
      <c r="R1072" s="515"/>
      <c r="S1072" s="515"/>
      <c r="T1072" s="562">
        <f t="shared" si="2463"/>
        <v>0</v>
      </c>
      <c r="U1072" s="418">
        <f t="shared" si="2464"/>
        <v>0</v>
      </c>
      <c r="V1072" s="517">
        <f t="shared" si="2465"/>
        <v>0</v>
      </c>
      <c r="W1072" s="976">
        <f t="shared" si="2466"/>
        <v>0</v>
      </c>
      <c r="X1072" s="975">
        <f t="shared" si="2467"/>
        <v>0</v>
      </c>
      <c r="Y1072" s="519"/>
      <c r="AA1072" s="24"/>
      <c r="AB1072" s="24"/>
      <c r="AC1072" s="24"/>
      <c r="AD1072" s="24"/>
      <c r="AE1072" s="24"/>
    </row>
    <row r="1073" spans="1:31" outlineLevel="1">
      <c r="A1073" s="258">
        <v>2422091000</v>
      </c>
      <c r="B1073" s="829" t="s">
        <v>124</v>
      </c>
      <c r="C1073" s="830" t="s">
        <v>64</v>
      </c>
      <c r="D1073" s="831"/>
      <c r="E1073" s="259">
        <v>44936</v>
      </c>
      <c r="F1073" s="450"/>
      <c r="G1073" s="1277"/>
      <c r="H1073" s="832"/>
      <c r="I1073" s="833">
        <f t="shared" ref="I1073:I1079" si="2512">+F1073*H1073</f>
        <v>0</v>
      </c>
      <c r="J1073" s="1425">
        <v>1</v>
      </c>
      <c r="K1073" s="1426">
        <v>1</v>
      </c>
      <c r="L1073" s="451"/>
      <c r="M1073" s="1313"/>
      <c r="N1073" s="834"/>
      <c r="O1073" s="835">
        <f t="shared" si="2462"/>
        <v>0</v>
      </c>
      <c r="P1073" s="452">
        <f>-F1052</f>
        <v>-179157.92</v>
      </c>
      <c r="Q1073" s="1350">
        <f t="shared" ref="Q1073" si="2513">+P1073*K1073</f>
        <v>-179157.92</v>
      </c>
      <c r="R1073" s="834">
        <f>H1052</f>
        <v>4819.42</v>
      </c>
      <c r="S1073" s="834">
        <f ca="1">IF(OR(E1073="",E1073&gt;TODAY()),0,IF(ISERROR(VLOOKUP($E1073,'TRM BanRep'!$A:$G,7,0)),0,VLOOKUP($E1073,'TRM BanRep'!$A:$G,7,0)))</f>
        <v>4885.66</v>
      </c>
      <c r="T1073" s="835">
        <f t="shared" ca="1" si="2463"/>
        <v>-875304683.42720008</v>
      </c>
      <c r="U1073" s="452">
        <f t="shared" si="2464"/>
        <v>-179157.92</v>
      </c>
      <c r="V1073" s="835">
        <f t="shared" si="2465"/>
        <v>-863437262.80640006</v>
      </c>
      <c r="W1073" s="469">
        <f t="shared" ca="1" si="2466"/>
        <v>11867420.620800018</v>
      </c>
      <c r="X1073" s="849">
        <f t="shared" ca="1" si="2467"/>
        <v>0</v>
      </c>
      <c r="Y1073" s="836"/>
      <c r="AA1073" s="24">
        <f>$B$4-R1073</f>
        <v>-150.42000000000007</v>
      </c>
      <c r="AB1073" s="24">
        <f t="shared" ref="AB1073:AB1081" si="2514">+U1073*AA1073</f>
        <v>26948934.326400016</v>
      </c>
      <c r="AC1073" s="24"/>
      <c r="AD1073" s="24"/>
      <c r="AE1073" s="24"/>
    </row>
    <row r="1074" spans="1:31" outlineLevel="1">
      <c r="A1074" s="258">
        <v>2422091000</v>
      </c>
      <c r="B1074" s="829" t="s">
        <v>124</v>
      </c>
      <c r="C1074" s="830" t="s">
        <v>64</v>
      </c>
      <c r="D1074" s="831"/>
      <c r="E1074" s="259">
        <v>44936</v>
      </c>
      <c r="F1074" s="450"/>
      <c r="G1074" s="1277"/>
      <c r="H1074" s="832"/>
      <c r="I1074" s="833">
        <f t="shared" si="2512"/>
        <v>0</v>
      </c>
      <c r="J1074" s="1425">
        <v>1</v>
      </c>
      <c r="K1074" s="1426">
        <v>1</v>
      </c>
      <c r="L1074" s="451"/>
      <c r="M1074" s="1313"/>
      <c r="N1074" s="834"/>
      <c r="O1074" s="835">
        <f t="shared" ref="O1074" si="2515">+L1074*N1074</f>
        <v>0</v>
      </c>
      <c r="P1074" s="452">
        <f t="shared" ref="P1074:P1075" si="2516">-F1053</f>
        <v>-239467.62999999998</v>
      </c>
      <c r="Q1074" s="1350">
        <f t="shared" ref="Q1074" si="2517">+P1074*K1074</f>
        <v>-239467.62999999998</v>
      </c>
      <c r="R1074" s="834">
        <f t="shared" ref="R1074:R1075" si="2518">H1053</f>
        <v>4809.51</v>
      </c>
      <c r="S1074" s="834">
        <f ca="1">IF(OR(E1074="",E1074&gt;TODAY()),0,IF(ISERROR(VLOOKUP($E1074,'TRM BanRep'!$A:$G,7,0)),0,VLOOKUP($E1074,'TRM BanRep'!$A:$G,7,0)))</f>
        <v>4885.66</v>
      </c>
      <c r="T1074" s="835">
        <f t="shared" ref="T1074" ca="1" si="2519">+P1074*S1074</f>
        <v>-1169957421.1857998</v>
      </c>
      <c r="U1074" s="452">
        <f t="shared" ref="U1074" si="2520">+L1074+P1074+F1074</f>
        <v>-239467.62999999998</v>
      </c>
      <c r="V1074" s="835">
        <f t="shared" ref="V1074" si="2521">+P1074*R1074+L1074*N1074+F1074*H1074</f>
        <v>-1151721961.1612999</v>
      </c>
      <c r="W1074" s="469">
        <f t="shared" ref="W1074" ca="1" si="2522">-(IF(R1074&lt;S1074,(-P1074*R1074)-(-P1074*S1074),0))</f>
        <v>18235460.024499893</v>
      </c>
      <c r="X1074" s="849">
        <f t="shared" ref="X1074" ca="1" si="2523">-(IF(R1074&gt;S1074,(-P1074*R1074)-(-P1074*S1074),0))</f>
        <v>0</v>
      </c>
      <c r="Y1074" s="836"/>
      <c r="AA1074" s="24">
        <f>$B$4-R1074</f>
        <v>-140.51000000000022</v>
      </c>
      <c r="AB1074" s="24">
        <f t="shared" ref="AB1074" si="2524">+U1074*AA1074</f>
        <v>33647596.691300049</v>
      </c>
      <c r="AC1074" s="24"/>
      <c r="AD1074" s="24"/>
      <c r="AE1074" s="24"/>
    </row>
    <row r="1075" spans="1:31" outlineLevel="1">
      <c r="A1075" s="258">
        <v>2422091000</v>
      </c>
      <c r="B1075" s="829" t="s">
        <v>124</v>
      </c>
      <c r="C1075" s="830" t="s">
        <v>64</v>
      </c>
      <c r="D1075" s="831"/>
      <c r="E1075" s="259">
        <v>44936</v>
      </c>
      <c r="F1075" s="450"/>
      <c r="G1075" s="1277"/>
      <c r="H1075" s="832"/>
      <c r="I1075" s="833">
        <f t="shared" si="2512"/>
        <v>0</v>
      </c>
      <c r="J1075" s="1425">
        <v>1</v>
      </c>
      <c r="K1075" s="1426">
        <v>1</v>
      </c>
      <c r="L1075" s="451"/>
      <c r="M1075" s="1313"/>
      <c r="N1075" s="834"/>
      <c r="O1075" s="835">
        <f t="shared" ref="O1075" si="2525">+L1075*N1075</f>
        <v>0</v>
      </c>
      <c r="P1075" s="452">
        <f t="shared" si="2516"/>
        <v>-267338.76000000007</v>
      </c>
      <c r="Q1075" s="1350">
        <f t="shared" ref="Q1075" si="2526">+P1075*K1075</f>
        <v>-267338.76000000007</v>
      </c>
      <c r="R1075" s="834">
        <f t="shared" si="2518"/>
        <v>4810.2</v>
      </c>
      <c r="S1075" s="834">
        <f ca="1">IF(OR(E1075="",E1075&gt;TODAY()),0,IF(ISERROR(VLOOKUP($E1075,'TRM BanRep'!$A:$G,7,0)),0,VLOOKUP($E1075,'TRM BanRep'!$A:$G,7,0)))</f>
        <v>4885.66</v>
      </c>
      <c r="T1075" s="835">
        <f t="shared" ref="T1075" ca="1" si="2527">+P1075*S1075</f>
        <v>-1306126286.1816003</v>
      </c>
      <c r="U1075" s="452">
        <f t="shared" ref="U1075" si="2528">+L1075+P1075+F1075</f>
        <v>-267338.76000000007</v>
      </c>
      <c r="V1075" s="835">
        <f t="shared" ref="V1075" si="2529">+P1075*R1075+L1075*N1075+F1075*H1075</f>
        <v>-1285952903.3520002</v>
      </c>
      <c r="W1075" s="469">
        <f t="shared" ref="W1075" ca="1" si="2530">-(IF(R1075&lt;S1075,(-P1075*R1075)-(-P1075*S1075),0))</f>
        <v>20173382.829600096</v>
      </c>
      <c r="X1075" s="849">
        <f t="shared" ref="X1075" ca="1" si="2531">-(IF(R1075&gt;S1075,(-P1075*R1075)-(-P1075*S1075),0))</f>
        <v>0</v>
      </c>
      <c r="Y1075" s="836"/>
      <c r="AA1075" s="24">
        <f>$B$4-R1075</f>
        <v>-141.19999999999982</v>
      </c>
      <c r="AB1075" s="24">
        <f t="shared" ref="AB1075" si="2532">+U1075*AA1075</f>
        <v>37748232.911999963</v>
      </c>
      <c r="AC1075" s="24"/>
      <c r="AD1075" s="24"/>
      <c r="AE1075" s="24"/>
    </row>
    <row r="1076" spans="1:31" outlineLevel="1">
      <c r="A1076" s="258">
        <v>2422091000</v>
      </c>
      <c r="B1076" s="829" t="s">
        <v>124</v>
      </c>
      <c r="C1076" s="830" t="s">
        <v>64</v>
      </c>
      <c r="D1076" s="831"/>
      <c r="E1076" s="259">
        <v>44936</v>
      </c>
      <c r="F1076" s="450"/>
      <c r="G1076" s="1277"/>
      <c r="H1076" s="832"/>
      <c r="I1076" s="833">
        <f t="shared" si="2512"/>
        <v>0</v>
      </c>
      <c r="J1076" s="1425">
        <v>1</v>
      </c>
      <c r="K1076" s="1426">
        <v>1</v>
      </c>
      <c r="L1076" s="451"/>
      <c r="M1076" s="1313"/>
      <c r="N1076" s="834"/>
      <c r="O1076" s="835">
        <f t="shared" si="2462"/>
        <v>0</v>
      </c>
      <c r="P1076" s="452">
        <f>-L1056</f>
        <v>-83659.570000000007</v>
      </c>
      <c r="Q1076" s="1350">
        <f t="shared" ref="Q1076:Q1077" si="2533">+P1076*K1076</f>
        <v>-83659.570000000007</v>
      </c>
      <c r="R1076" s="834">
        <f ca="1">N1056</f>
        <v>4885.66</v>
      </c>
      <c r="S1076" s="834">
        <f ca="1">IF(OR(E1076="",E1076&gt;TODAY()),0,IF(ISERROR(VLOOKUP($E1076,'TRM BanRep'!$A:$G,7,0)),0,VLOOKUP($E1076,'TRM BanRep'!$A:$G,7,0)))</f>
        <v>4885.66</v>
      </c>
      <c r="T1076" s="835">
        <f t="shared" ca="1" si="2463"/>
        <v>-408732214.76620001</v>
      </c>
      <c r="U1076" s="452">
        <f t="shared" si="2464"/>
        <v>-83659.570000000007</v>
      </c>
      <c r="V1076" s="835">
        <f t="shared" ca="1" si="2465"/>
        <v>-408732214.76620001</v>
      </c>
      <c r="W1076" s="469">
        <f t="shared" ca="1" si="2466"/>
        <v>0</v>
      </c>
      <c r="X1076" s="849">
        <f t="shared" ca="1" si="2467"/>
        <v>0</v>
      </c>
      <c r="Y1076" s="836"/>
      <c r="AA1076" s="24">
        <f ca="1">$B$4-R1076</f>
        <v>-216.65999999999985</v>
      </c>
      <c r="AB1076" s="24">
        <f t="shared" ca="1" si="2514"/>
        <v>18125682.436199989</v>
      </c>
      <c r="AC1076" s="24"/>
      <c r="AD1076" s="24"/>
      <c r="AE1076" s="24"/>
    </row>
    <row r="1077" spans="1:31" outlineLevel="1">
      <c r="A1077" s="2481">
        <v>2422091000</v>
      </c>
      <c r="B1077" s="2482" t="s">
        <v>124</v>
      </c>
      <c r="C1077" s="2483" t="s">
        <v>64</v>
      </c>
      <c r="D1077" s="2484"/>
      <c r="E1077" s="2485">
        <v>45026</v>
      </c>
      <c r="F1077" s="416"/>
      <c r="G1077" s="1251"/>
      <c r="H1077" s="676"/>
      <c r="I1077" s="681">
        <f t="shared" si="2512"/>
        <v>0</v>
      </c>
      <c r="J1077" s="1425">
        <v>1</v>
      </c>
      <c r="K1077" s="1426">
        <v>1</v>
      </c>
      <c r="L1077" s="2486"/>
      <c r="M1077" s="2487"/>
      <c r="N1077" s="2488"/>
      <c r="O1077" s="2489">
        <f t="shared" si="2462"/>
        <v>0</v>
      </c>
      <c r="P1077" s="2490">
        <f>-L1057</f>
        <v>-200645.23</v>
      </c>
      <c r="Q1077" s="2491">
        <f t="shared" si="2533"/>
        <v>-200645.23</v>
      </c>
      <c r="R1077" s="2488">
        <f ca="1">N1057</f>
        <v>4632.2</v>
      </c>
      <c r="S1077" s="2488">
        <f ca="1">IF(OR(E1077="",E1077&gt;TODAY()),0,IF(ISERROR(VLOOKUP($E1077,'TRM BanRep'!$A:$G,7,0)),0,VLOOKUP($E1077,'TRM BanRep'!$A:$G,7,0)))</f>
        <v>4570.91</v>
      </c>
      <c r="T1077" s="2489">
        <f t="shared" ca="1" si="2463"/>
        <v>-917131288.25929999</v>
      </c>
      <c r="U1077" s="2490">
        <f t="shared" si="2464"/>
        <v>-200645.23</v>
      </c>
      <c r="V1077" s="2489">
        <f t="shared" ca="1" si="2465"/>
        <v>-929428834.40600002</v>
      </c>
      <c r="W1077" s="2492">
        <f t="shared" ca="1" si="2466"/>
        <v>0</v>
      </c>
      <c r="X1077" s="2493">
        <f t="shared" ca="1" si="2467"/>
        <v>-12297546.146700025</v>
      </c>
      <c r="Y1077" s="2494"/>
      <c r="AA1077" s="24">
        <f t="shared" ref="AA1077:AA1081" ca="1" si="2534">$B$4-R1077</f>
        <v>36.800000000000182</v>
      </c>
      <c r="AB1077" s="24">
        <f t="shared" ca="1" si="2514"/>
        <v>-7383744.4640000369</v>
      </c>
      <c r="AC1077" s="24"/>
      <c r="AD1077" s="24"/>
      <c r="AE1077" s="24"/>
    </row>
    <row r="1078" spans="1:31" outlineLevel="1">
      <c r="A1078" s="2481">
        <v>2422091000</v>
      </c>
      <c r="B1078" s="2482" t="s">
        <v>124</v>
      </c>
      <c r="C1078" s="2483" t="s">
        <v>64</v>
      </c>
      <c r="D1078" s="2484"/>
      <c r="E1078" s="2485">
        <v>45026</v>
      </c>
      <c r="F1078" s="416"/>
      <c r="G1078" s="1251"/>
      <c r="H1078" s="676"/>
      <c r="I1078" s="681">
        <f t="shared" si="2512"/>
        <v>0</v>
      </c>
      <c r="J1078" s="1425">
        <v>1</v>
      </c>
      <c r="K1078" s="1426">
        <v>1</v>
      </c>
      <c r="L1078" s="2486"/>
      <c r="M1078" s="2487"/>
      <c r="N1078" s="2488"/>
      <c r="O1078" s="2489">
        <f t="shared" si="2462"/>
        <v>0</v>
      </c>
      <c r="P1078" s="2490">
        <f t="shared" ref="P1078:P1080" si="2535">-L1058</f>
        <v>-263220.18999999994</v>
      </c>
      <c r="Q1078" s="2491">
        <f t="shared" ref="Q1078:Q1081" si="2536">+P1078*K1078</f>
        <v>-263220.18999999994</v>
      </c>
      <c r="R1078" s="2488">
        <f t="shared" ref="R1078:R1080" ca="1" si="2537">N1058</f>
        <v>4808.1400000000003</v>
      </c>
      <c r="S1078" s="2488">
        <f ca="1">IF(OR(E1078="",E1078&gt;TODAY()),0,IF(ISERROR(VLOOKUP($E1078,'TRM BanRep'!$A:$G,7,0)),0,VLOOKUP($E1078,'TRM BanRep'!$A:$G,7,0)))</f>
        <v>4570.91</v>
      </c>
      <c r="T1078" s="2489">
        <f t="shared" ca="1" si="2463"/>
        <v>-1203155798.6728997</v>
      </c>
      <c r="U1078" s="2490">
        <f t="shared" si="2464"/>
        <v>-263220.18999999994</v>
      </c>
      <c r="V1078" s="2489">
        <f t="shared" ca="1" si="2465"/>
        <v>-1265599524.3465998</v>
      </c>
      <c r="W1078" s="2492">
        <f t="shared" ca="1" si="2466"/>
        <v>0</v>
      </c>
      <c r="X1078" s="2493">
        <f t="shared" ca="1" si="2467"/>
        <v>-62443725.673700094</v>
      </c>
      <c r="Y1078" s="2494"/>
      <c r="AA1078" s="24">
        <f t="shared" ca="1" si="2534"/>
        <v>-139.14000000000033</v>
      </c>
      <c r="AB1078" s="24">
        <f t="shared" ca="1" si="2514"/>
        <v>36624457.236600079</v>
      </c>
      <c r="AC1078" s="24"/>
      <c r="AD1078" s="24"/>
      <c r="AE1078" s="24"/>
    </row>
    <row r="1079" spans="1:31" outlineLevel="1">
      <c r="A1079" s="2481">
        <v>2422091000</v>
      </c>
      <c r="B1079" s="2482" t="s">
        <v>124</v>
      </c>
      <c r="C1079" s="2483" t="s">
        <v>64</v>
      </c>
      <c r="D1079" s="2484"/>
      <c r="E1079" s="2485">
        <v>45026</v>
      </c>
      <c r="F1079" s="416"/>
      <c r="G1079" s="1251"/>
      <c r="H1079" s="676"/>
      <c r="I1079" s="681">
        <f t="shared" si="2512"/>
        <v>0</v>
      </c>
      <c r="J1079" s="1425">
        <v>1</v>
      </c>
      <c r="K1079" s="1426">
        <v>1</v>
      </c>
      <c r="L1079" s="2486"/>
      <c r="M1079" s="2487"/>
      <c r="N1079" s="2488"/>
      <c r="O1079" s="2489">
        <f t="shared" si="2462"/>
        <v>0</v>
      </c>
      <c r="P1079" s="2490">
        <f t="shared" si="2535"/>
        <v>-296379.10000000003</v>
      </c>
      <c r="Q1079" s="2491">
        <f t="shared" si="2536"/>
        <v>-296379.10000000003</v>
      </c>
      <c r="R1079" s="2488">
        <f t="shared" ca="1" si="2537"/>
        <v>4627.2700000000004</v>
      </c>
      <c r="S1079" s="2488">
        <f ca="1">IF(OR(E1079="",E1079&gt;TODAY()),0,IF(ISERROR(VLOOKUP($E1079,'TRM BanRep'!$A:$G,7,0)),0,VLOOKUP($E1079,'TRM BanRep'!$A:$G,7,0)))</f>
        <v>4570.91</v>
      </c>
      <c r="T1079" s="2489">
        <f t="shared" ca="1" si="2463"/>
        <v>-1354722191.9810002</v>
      </c>
      <c r="U1079" s="2490">
        <f t="shared" si="2464"/>
        <v>-296379.10000000003</v>
      </c>
      <c r="V1079" s="2489">
        <f t="shared" ca="1" si="2465"/>
        <v>-1371426118.0570004</v>
      </c>
      <c r="W1079" s="2492">
        <f t="shared" ca="1" si="2466"/>
        <v>0</v>
      </c>
      <c r="X1079" s="2493">
        <f t="shared" ca="1" si="2467"/>
        <v>-16703926.076000214</v>
      </c>
      <c r="Y1079" s="2494"/>
      <c r="AA1079" s="24">
        <f t="shared" ca="1" si="2534"/>
        <v>41.729999999999563</v>
      </c>
      <c r="AB1079" s="24">
        <f t="shared" ca="1" si="2514"/>
        <v>-12367899.842999872</v>
      </c>
      <c r="AC1079" s="24"/>
      <c r="AD1079" s="24"/>
      <c r="AE1079" s="24"/>
    </row>
    <row r="1080" spans="1:31" outlineLevel="1">
      <c r="A1080" s="2481">
        <v>2422091000</v>
      </c>
      <c r="B1080" s="2482" t="s">
        <v>124</v>
      </c>
      <c r="C1080" s="2483" t="s">
        <v>64</v>
      </c>
      <c r="D1080" s="2484"/>
      <c r="E1080" s="2485">
        <v>45026</v>
      </c>
      <c r="F1080" s="416"/>
      <c r="G1080" s="1251"/>
      <c r="H1080" s="676"/>
      <c r="I1080" s="681"/>
      <c r="J1080" s="1425">
        <v>1</v>
      </c>
      <c r="K1080" s="1426">
        <v>1</v>
      </c>
      <c r="L1080" s="2486"/>
      <c r="M1080" s="2487"/>
      <c r="N1080" s="2488"/>
      <c r="O1080" s="2489"/>
      <c r="P1080" s="2490">
        <f t="shared" si="2535"/>
        <v>-90556.73</v>
      </c>
      <c r="Q1080" s="2491">
        <f t="shared" si="2536"/>
        <v>-90556.73</v>
      </c>
      <c r="R1080" s="2488">
        <f t="shared" ca="1" si="2537"/>
        <v>4570.91</v>
      </c>
      <c r="S1080" s="2488">
        <f ca="1">IF(OR(E1080="",E1080&gt;TODAY()),0,IF(ISERROR(VLOOKUP($E1080,'TRM BanRep'!$A:$G,7,0)),0,VLOOKUP($E1080,'TRM BanRep'!$A:$G,7,0)))</f>
        <v>4570.91</v>
      </c>
      <c r="T1080" s="2489">
        <f t="shared" ca="1" si="2463"/>
        <v>-413926662.72429997</v>
      </c>
      <c r="U1080" s="2490">
        <f t="shared" si="2464"/>
        <v>-90556.73</v>
      </c>
      <c r="V1080" s="2489">
        <f t="shared" ca="1" si="2465"/>
        <v>-413926662.72429997</v>
      </c>
      <c r="W1080" s="2492">
        <f t="shared" ca="1" si="2466"/>
        <v>0</v>
      </c>
      <c r="X1080" s="2493">
        <f t="shared" ca="1" si="2467"/>
        <v>0</v>
      </c>
      <c r="Y1080" s="2494"/>
      <c r="AA1080" s="24">
        <f t="shared" ca="1" si="2534"/>
        <v>98.090000000000146</v>
      </c>
      <c r="AB1080" s="24">
        <f t="shared" ca="1" si="2514"/>
        <v>-8882709.6457000133</v>
      </c>
      <c r="AC1080" s="24"/>
      <c r="AD1080" s="24"/>
      <c r="AE1080" s="24"/>
    </row>
    <row r="1081" spans="1:31" outlineLevel="1">
      <c r="A1081" s="55">
        <v>2422091000</v>
      </c>
      <c r="B1081" s="509" t="s">
        <v>124</v>
      </c>
      <c r="C1081" s="679" t="s">
        <v>64</v>
      </c>
      <c r="D1081" s="837"/>
      <c r="E1081" s="219">
        <v>45206</v>
      </c>
      <c r="F1081" s="416"/>
      <c r="G1081" s="1251"/>
      <c r="H1081" s="676"/>
      <c r="I1081" s="681"/>
      <c r="J1081" s="1425">
        <v>1</v>
      </c>
      <c r="K1081" s="1426">
        <v>1</v>
      </c>
      <c r="L1081" s="438"/>
      <c r="M1081" s="1302"/>
      <c r="N1081" s="504"/>
      <c r="O1081" s="682"/>
      <c r="P1081" s="431">
        <f>-L1068</f>
        <v>0</v>
      </c>
      <c r="Q1081" s="514">
        <f t="shared" si="2536"/>
        <v>0</v>
      </c>
      <c r="R1081" s="515">
        <f ca="1">N1068</f>
        <v>0</v>
      </c>
      <c r="S1081" s="515">
        <f ca="1">IF(OR(E1081="",E1081&gt;TODAY()),0,IF(ISERROR(VLOOKUP($E1081,'TRM BanRep'!$A:$G,7,0)),0,VLOOKUP($E1081,'TRM BanRep'!$A:$G,7,0)))</f>
        <v>0</v>
      </c>
      <c r="T1081" s="562">
        <f t="shared" ca="1" si="2463"/>
        <v>0</v>
      </c>
      <c r="U1081" s="418">
        <f t="shared" si="2464"/>
        <v>0</v>
      </c>
      <c r="V1081" s="517">
        <f t="shared" ca="1" si="2465"/>
        <v>0</v>
      </c>
      <c r="W1081" s="976">
        <f t="shared" ca="1" si="2466"/>
        <v>0</v>
      </c>
      <c r="X1081" s="975">
        <f t="shared" ca="1" si="2467"/>
        <v>0</v>
      </c>
      <c r="Y1081" s="519"/>
      <c r="AA1081" s="24">
        <f t="shared" ca="1" si="2534"/>
        <v>4669</v>
      </c>
      <c r="AB1081" s="24">
        <f t="shared" ca="1" si="2514"/>
        <v>0</v>
      </c>
      <c r="AC1081" s="24"/>
      <c r="AD1081" s="24"/>
      <c r="AE1081" s="24"/>
    </row>
    <row r="1082" spans="1:31" outlineLevel="1">
      <c r="A1082" s="55"/>
      <c r="B1082" s="509"/>
      <c r="C1082" s="679"/>
      <c r="D1082" s="850"/>
      <c r="E1082" s="219"/>
      <c r="F1082" s="416"/>
      <c r="G1082" s="1251"/>
      <c r="H1082" s="676"/>
      <c r="I1082" s="681"/>
      <c r="J1082" s="1386"/>
      <c r="K1082" s="1386"/>
      <c r="L1082" s="438"/>
      <c r="M1082" s="1302"/>
      <c r="N1082" s="504"/>
      <c r="O1082" s="682"/>
      <c r="P1082" s="431"/>
      <c r="Q1082" s="514"/>
      <c r="R1082" s="515"/>
      <c r="S1082" s="515"/>
      <c r="T1082" s="562"/>
      <c r="U1082" s="418"/>
      <c r="V1082" s="517"/>
      <c r="W1082" s="976"/>
      <c r="X1082" s="975"/>
      <c r="Y1082" s="519"/>
      <c r="AA1082" s="24"/>
      <c r="AB1082" s="24"/>
      <c r="AC1082" s="24"/>
      <c r="AD1082" s="24"/>
      <c r="AE1082" s="24"/>
    </row>
    <row r="1083" spans="1:31" outlineLevel="1">
      <c r="A1083" s="55"/>
      <c r="B1083" s="509"/>
      <c r="C1083" s="510"/>
      <c r="D1083" s="510"/>
      <c r="E1083" s="219"/>
      <c r="F1083" s="416"/>
      <c r="G1083" s="1251"/>
      <c r="H1083" s="676"/>
      <c r="I1083" s="681"/>
      <c r="J1083" s="1386"/>
      <c r="K1083" s="1386"/>
      <c r="L1083" s="438"/>
      <c r="M1083" s="1302"/>
      <c r="N1083" s="504"/>
      <c r="O1083" s="682"/>
      <c r="P1083" s="431"/>
      <c r="Q1083" s="514"/>
      <c r="R1083" s="515"/>
      <c r="S1083" s="515"/>
      <c r="T1083" s="562"/>
      <c r="U1083" s="418"/>
      <c r="V1083" s="517"/>
      <c r="W1083" s="976"/>
      <c r="X1083" s="975"/>
      <c r="Y1083" s="519"/>
      <c r="AA1083" s="24"/>
      <c r="AB1083" s="24"/>
      <c r="AC1083" s="24"/>
      <c r="AD1083" s="24"/>
      <c r="AE1083" s="24"/>
    </row>
    <row r="1084" spans="1:31" s="290" customFormat="1" ht="15.75">
      <c r="A1084" s="278"/>
      <c r="B1084" s="279" t="s">
        <v>104</v>
      </c>
      <c r="C1084" s="280"/>
      <c r="D1084" s="282"/>
      <c r="E1084" s="281"/>
      <c r="F1084" s="283"/>
      <c r="G1084" s="1281"/>
      <c r="H1084" s="284"/>
      <c r="I1084" s="285">
        <f>+F1084*H1084</f>
        <v>0</v>
      </c>
      <c r="J1084" s="1371"/>
      <c r="K1084" s="1371"/>
      <c r="L1084" s="286"/>
      <c r="M1084" s="1317"/>
      <c r="N1084" s="284"/>
      <c r="O1084" s="285"/>
      <c r="P1084" s="283"/>
      <c r="Q1084" s="1281"/>
      <c r="R1084" s="284"/>
      <c r="S1084" s="284"/>
      <c r="T1084" s="285"/>
      <c r="U1084" s="283">
        <f>+L1084+P1084+F1084</f>
        <v>0</v>
      </c>
      <c r="V1084" s="285">
        <f>+P1084*R1084+L1084*N1084+F1084*H1084</f>
        <v>0</v>
      </c>
      <c r="W1084" s="287"/>
      <c r="X1084" s="288"/>
      <c r="Y1084" s="282"/>
      <c r="Z1084" s="1064"/>
      <c r="AA1084" s="289"/>
      <c r="AB1084" s="289"/>
      <c r="AC1084" s="289"/>
      <c r="AD1084" s="289"/>
      <c r="AE1084" s="289"/>
    </row>
    <row r="1085" spans="1:31" s="165" customFormat="1" outlineLevel="1">
      <c r="A1085" s="162"/>
      <c r="B1085" s="838" t="s">
        <v>1217</v>
      </c>
      <c r="C1085" s="839" t="s">
        <v>106</v>
      </c>
      <c r="D1085" s="840"/>
      <c r="E1085" s="275">
        <v>44926</v>
      </c>
      <c r="F1085" s="276">
        <v>134029.61000000173</v>
      </c>
      <c r="G1085" s="1279">
        <f t="shared" ref="G1085" si="2538">+F1085*J1085</f>
        <v>134029.61000000173</v>
      </c>
      <c r="H1085" s="841">
        <v>4810.2</v>
      </c>
      <c r="I1085" s="842">
        <f>+F1085*H1085</f>
        <v>644709230.0220083</v>
      </c>
      <c r="J1085" s="1425">
        <v>1</v>
      </c>
      <c r="K1085" s="1426">
        <v>1</v>
      </c>
      <c r="L1085" s="2"/>
      <c r="M1085" s="1315"/>
      <c r="N1085" s="630"/>
      <c r="O1085" s="843">
        <f>+L1085*N1085</f>
        <v>0</v>
      </c>
      <c r="P1085" s="190">
        <f>-F1085</f>
        <v>-134029.61000000173</v>
      </c>
      <c r="Q1085" s="632"/>
      <c r="R1085" s="633">
        <f>+H1085</f>
        <v>4810.2</v>
      </c>
      <c r="S1085" s="633">
        <f>+R1085</f>
        <v>4810.2</v>
      </c>
      <c r="T1085" s="634">
        <f>+P1085*S1085</f>
        <v>-644709230.0220083</v>
      </c>
      <c r="U1085" s="189">
        <f>+L1085+P1085+F1085</f>
        <v>0</v>
      </c>
      <c r="V1085" s="688">
        <f>+P1085*R1085+L1085*N1085+F1085*H1085</f>
        <v>0</v>
      </c>
      <c r="W1085" s="164">
        <f>-(IF(R1085&lt;S1085,(-P1085*R1085)-(-P1085*S1085),0))</f>
        <v>0</v>
      </c>
      <c r="X1085" s="635">
        <f>-(IF(R1085&gt;S1085,(-P1085*R1085)-(-P1085*S1085),0))</f>
        <v>0</v>
      </c>
      <c r="Y1085" s="636"/>
      <c r="Z1085" s="1063"/>
      <c r="AA1085" s="277"/>
      <c r="AB1085" s="277"/>
      <c r="AC1085" s="277"/>
      <c r="AD1085" s="277"/>
      <c r="AE1085" s="277"/>
    </row>
    <row r="1086" spans="1:31" s="165" customFormat="1" outlineLevel="1">
      <c r="A1086" s="162"/>
      <c r="B1086" s="627" t="s">
        <v>1472</v>
      </c>
      <c r="C1086" s="839" t="s">
        <v>106</v>
      </c>
      <c r="D1086" s="840"/>
      <c r="E1086" s="275">
        <v>45291</v>
      </c>
      <c r="F1086" s="163"/>
      <c r="G1086" s="1264"/>
      <c r="H1086" s="844"/>
      <c r="I1086" s="845">
        <f>+F1086*H1086</f>
        <v>0</v>
      </c>
      <c r="J1086" s="1425">
        <v>1</v>
      </c>
      <c r="K1086" s="1426">
        <v>1</v>
      </c>
      <c r="L1086" s="2">
        <v>-1026.410000002681</v>
      </c>
      <c r="M1086" s="1315">
        <f>+L1086*J1086</f>
        <v>-1026.410000002681</v>
      </c>
      <c r="N1086" s="846">
        <f>+B4</f>
        <v>4669</v>
      </c>
      <c r="O1086" s="843">
        <f>+L1086*N1086</f>
        <v>-4792308.2900125179</v>
      </c>
      <c r="P1086" s="190"/>
      <c r="Q1086" s="632"/>
      <c r="R1086" s="633"/>
      <c r="S1086" s="633"/>
      <c r="T1086" s="634">
        <f>+P1086*S1086</f>
        <v>0</v>
      </c>
      <c r="U1086" s="189">
        <f>+L1086+P1086+F1086</f>
        <v>-1026.410000002681</v>
      </c>
      <c r="V1086" s="688">
        <f>+P1086*R1086+L1086*N1086+F1086*H1086</f>
        <v>-4792308.2900125179</v>
      </c>
      <c r="W1086" s="164">
        <f>-(IF(R1086&lt;S1086,(-P1086*R1086)-(-P1086*S1086),0))</f>
        <v>0</v>
      </c>
      <c r="X1086" s="635">
        <f>-(IF(R1086&gt;S1086,(-P1086*R1086)-(-P1086*S1086),0))</f>
        <v>0</v>
      </c>
      <c r="Y1086" s="636"/>
      <c r="Z1086" s="1063"/>
      <c r="AA1086" s="277"/>
      <c r="AB1086" s="277"/>
      <c r="AC1086" s="277"/>
      <c r="AD1086" s="277"/>
      <c r="AE1086" s="277"/>
    </row>
    <row r="1087" spans="1:31" ht="15.75" thickBot="1">
      <c r="A1087" s="55"/>
      <c r="B1087" s="509"/>
      <c r="C1087" s="510"/>
      <c r="D1087" s="510"/>
      <c r="E1087" s="245"/>
      <c r="F1087" s="455"/>
      <c r="G1087" s="1280"/>
      <c r="H1087" s="456"/>
      <c r="I1087" s="457">
        <f>+F1087*H1087</f>
        <v>0</v>
      </c>
      <c r="J1087" s="1395"/>
      <c r="K1087" s="1395"/>
      <c r="L1087" s="458"/>
      <c r="M1087" s="1316"/>
      <c r="N1087" s="459"/>
      <c r="O1087" s="460">
        <f>+L1087*N1087</f>
        <v>0</v>
      </c>
      <c r="P1087" s="461"/>
      <c r="Q1087" s="1351"/>
      <c r="R1087" s="462"/>
      <c r="S1087" s="462"/>
      <c r="T1087" s="463">
        <f>+P1087*S1087</f>
        <v>0</v>
      </c>
      <c r="U1087" s="464">
        <f>+L1087+P1087+F1087</f>
        <v>0</v>
      </c>
      <c r="V1087" s="465">
        <f>+P1087*R1087+L1087*N1087+F1087*H1087</f>
        <v>0</v>
      </c>
      <c r="W1087" s="466">
        <f>-(IF(R1087&lt;S1087,(-P1087*R1087)-(-P1087*S1087),0))</f>
        <v>0</v>
      </c>
      <c r="X1087" s="467">
        <f>-(IF(R1087&gt;S1087,(-P1087*R1087)-(-P1087*S1087),0))</f>
        <v>0</v>
      </c>
      <c r="Y1087" s="247"/>
      <c r="AA1087" s="24"/>
      <c r="AB1087" s="24"/>
      <c r="AC1087" s="24"/>
      <c r="AD1087" s="24"/>
      <c r="AE1087" s="24"/>
    </row>
    <row r="1088" spans="1:31" s="249" customFormat="1" ht="16.5" thickBot="1">
      <c r="A1088" s="799" t="s">
        <v>1302</v>
      </c>
      <c r="B1088" s="800"/>
      <c r="C1088" s="801"/>
      <c r="D1088" s="801"/>
      <c r="E1088" s="851"/>
      <c r="F1088" s="803">
        <f>SUM(F1048:F1087)</f>
        <v>55819993.920000002</v>
      </c>
      <c r="G1088" s="1275"/>
      <c r="H1088" s="804"/>
      <c r="I1088" s="805">
        <f>SUM(I1048:I1087)</f>
        <v>221693571357.34167</v>
      </c>
      <c r="J1088" s="1368"/>
      <c r="K1088" s="1368"/>
      <c r="L1088" s="806">
        <f>SUM(L1048:L1087)</f>
        <v>1141186.1899999974</v>
      </c>
      <c r="M1088" s="1308">
        <f>SUM(M1048:M1087)</f>
        <v>1141186.1899999974</v>
      </c>
      <c r="N1088" s="807"/>
      <c r="O1088" s="808">
        <f ca="1">SUM(O1048:O1087)</f>
        <v>5354314106.8300877</v>
      </c>
      <c r="P1088" s="809">
        <f>SUM(P1048:P1087)</f>
        <v>-1754454.7400000019</v>
      </c>
      <c r="Q1088" s="1349">
        <f>SUM(Q1048:Q1087)</f>
        <v>-1620425.1300000001</v>
      </c>
      <c r="R1088" s="810"/>
      <c r="S1088" s="810"/>
      <c r="T1088" s="811">
        <f ca="1">SUM(T1048:T1087)</f>
        <v>-8293765777.2203083</v>
      </c>
      <c r="U1088" s="812">
        <f>SUM(U1048:U1087)</f>
        <v>55206725.369999997</v>
      </c>
      <c r="V1088" s="847">
        <f ca="1">SUM(V1048:V1087)</f>
        <v>218712950752.53</v>
      </c>
      <c r="W1088" s="814">
        <f ca="1">SUM(W1048:W1087)</f>
        <v>50276263.474900007</v>
      </c>
      <c r="X1088" s="815">
        <f ca="1">SUM(X1048:X1087)</f>
        <v>-91445197.896400332</v>
      </c>
      <c r="Y1088" s="816"/>
      <c r="Z1088" s="248"/>
      <c r="AA1088" s="183"/>
      <c r="AB1088" s="183"/>
      <c r="AC1088" s="183"/>
      <c r="AD1088" s="183"/>
      <c r="AE1088" s="183"/>
    </row>
    <row r="1089" spans="1:31">
      <c r="T1089" s="3" t="str">
        <f>$T$1044</f>
        <v>CA 2023</v>
      </c>
      <c r="U1089" s="445">
        <v>55206725.369999997</v>
      </c>
      <c r="AA1089" s="24"/>
      <c r="AB1089" s="24"/>
      <c r="AC1089" s="24"/>
      <c r="AD1089" s="24"/>
      <c r="AE1089" s="24"/>
    </row>
    <row r="1090" spans="1:31">
      <c r="T1090" s="9"/>
      <c r="U1090" s="10">
        <f>+U1089-U1088</f>
        <v>0</v>
      </c>
      <c r="AA1090" s="24"/>
      <c r="AB1090" s="24"/>
      <c r="AC1090" s="24"/>
      <c r="AD1090" s="24"/>
      <c r="AE1090" s="24"/>
    </row>
    <row r="1091" spans="1:31" ht="15.75" thickBot="1">
      <c r="T1091" s="9"/>
      <c r="U1091" s="10"/>
      <c r="AA1091" s="24"/>
      <c r="AB1091" s="24"/>
      <c r="AC1091" s="24"/>
      <c r="AD1091" s="24"/>
      <c r="AE1091" s="24"/>
    </row>
    <row r="1092" spans="1:31" s="27" customFormat="1" ht="21">
      <c r="A1092" s="827" t="s">
        <v>109</v>
      </c>
      <c r="B1092" s="828"/>
      <c r="C1092" s="2558" t="s">
        <v>57</v>
      </c>
      <c r="D1092" s="2560" t="s">
        <v>59</v>
      </c>
      <c r="E1092" s="2562" t="s">
        <v>58</v>
      </c>
      <c r="F1092" s="2564" t="str">
        <f>+F6</f>
        <v>SALDO FISCAL 31/12/2022</v>
      </c>
      <c r="G1092" s="2565"/>
      <c r="H1092" s="2565"/>
      <c r="I1092" s="2566"/>
      <c r="J1092" s="2567" t="str">
        <f>J6</f>
        <v>Tasa Mon Extranj</v>
      </c>
      <c r="K1092" s="2568"/>
      <c r="L1092" s="2569" t="str">
        <f>+L6</f>
        <v>ENTRADAS</v>
      </c>
      <c r="M1092" s="2570"/>
      <c r="N1092" s="2570"/>
      <c r="O1092" s="2571"/>
      <c r="P1092" s="2572" t="str">
        <f>+P6</f>
        <v>SALIDAS</v>
      </c>
      <c r="Q1092" s="2573"/>
      <c r="R1092" s="2573"/>
      <c r="S1092" s="2573"/>
      <c r="T1092" s="2574"/>
      <c r="U1092" s="2575" t="s">
        <v>62</v>
      </c>
      <c r="V1092" s="2576"/>
      <c r="W1092" s="2577" t="s">
        <v>63</v>
      </c>
      <c r="X1092" s="2578"/>
      <c r="Y1092" s="2579"/>
      <c r="Z1092" s="44"/>
      <c r="AA1092" s="213"/>
      <c r="AB1092" s="213"/>
      <c r="AC1092" s="213"/>
      <c r="AD1092" s="213"/>
      <c r="AE1092" s="213"/>
    </row>
    <row r="1093" spans="1:31" s="216" customFormat="1" ht="15.75" thickBot="1">
      <c r="A1093" s="253" t="s">
        <v>87</v>
      </c>
      <c r="B1093" s="254" t="s">
        <v>88</v>
      </c>
      <c r="C1093" s="2559"/>
      <c r="D1093" s="2561"/>
      <c r="E1093" s="2563"/>
      <c r="F1093" s="30" t="str">
        <f>F7</f>
        <v>MON/EX</v>
      </c>
      <c r="G1093" s="1249" t="str">
        <f>G7</f>
        <v>USD</v>
      </c>
      <c r="H1093" s="31" t="str">
        <f>H7</f>
        <v>TRM CIERRE</v>
      </c>
      <c r="I1093" s="32" t="str">
        <f>I7</f>
        <v>SALDO PESOS</v>
      </c>
      <c r="J1093" s="1423" t="str">
        <f>J7</f>
        <v>Inicial</v>
      </c>
      <c r="K1093" s="1338" t="str">
        <f t="shared" ref="K1093:X1093" si="2539">K7</f>
        <v>Pago</v>
      </c>
      <c r="L1093" s="33" t="str">
        <f t="shared" si="2539"/>
        <v>ENTRADAS MON/EX</v>
      </c>
      <c r="M1093" s="1297" t="str">
        <f t="shared" si="2539"/>
        <v>USD</v>
      </c>
      <c r="N1093" s="34" t="str">
        <f t="shared" si="2539"/>
        <v>TRM INICIAL</v>
      </c>
      <c r="O1093" s="35" t="str">
        <f t="shared" si="2539"/>
        <v>ENTRADAS PESOS</v>
      </c>
      <c r="P1093" s="36" t="str">
        <f t="shared" si="2539"/>
        <v>PAGOS MON/EX</v>
      </c>
      <c r="Q1093" s="1338" t="str">
        <f t="shared" si="2539"/>
        <v>USD</v>
      </c>
      <c r="R1093" s="37" t="str">
        <f t="shared" si="2539"/>
        <v>TRM INICIAL</v>
      </c>
      <c r="S1093" s="37" t="str">
        <f t="shared" si="2539"/>
        <v>TRM PAGO</v>
      </c>
      <c r="T1093" s="38" t="str">
        <f t="shared" si="2539"/>
        <v>PAGO EN PESOS</v>
      </c>
      <c r="U1093" s="39" t="str">
        <f t="shared" si="2539"/>
        <v xml:space="preserve"> SALDO MON/EX</v>
      </c>
      <c r="V1093" s="40" t="str">
        <f t="shared" si="2539"/>
        <v>SALDO  PESOS</v>
      </c>
      <c r="W1093" s="41" t="str">
        <f t="shared" si="2539"/>
        <v>GASTO</v>
      </c>
      <c r="X1093" s="42" t="str">
        <f t="shared" si="2539"/>
        <v>INGRESO</v>
      </c>
      <c r="Y1093" s="43"/>
      <c r="Z1093" s="214"/>
      <c r="AA1093" s="215"/>
      <c r="AB1093" s="215"/>
      <c r="AC1093" s="215"/>
      <c r="AD1093" s="215"/>
      <c r="AE1093" s="215"/>
    </row>
    <row r="1094" spans="1:31" ht="15.75" hidden="1" outlineLevel="1">
      <c r="A1094" s="961">
        <v>2309011000</v>
      </c>
      <c r="B1094" s="962" t="s">
        <v>77</v>
      </c>
      <c r="C1094" s="963" t="s">
        <v>64</v>
      </c>
      <c r="D1094" s="963"/>
      <c r="E1094" s="925"/>
      <c r="F1094" s="926">
        <v>53172922.810000002</v>
      </c>
      <c r="G1094" s="1250">
        <f>+F1094*J1094</f>
        <v>53172922.810000002</v>
      </c>
      <c r="H1094" s="927">
        <v>3000.71</v>
      </c>
      <c r="I1094" s="965">
        <f>+F1094*J1094*H1094</f>
        <v>159556521205.1951</v>
      </c>
      <c r="J1094" s="773">
        <v>1</v>
      </c>
      <c r="K1094" s="1377">
        <v>1</v>
      </c>
      <c r="L1094" s="49"/>
      <c r="M1094" s="1244">
        <f>+L1094*J1094</f>
        <v>0</v>
      </c>
      <c r="N1094" s="47"/>
      <c r="O1094" s="50">
        <f>+L1094*J1094*N1094</f>
        <v>0</v>
      </c>
      <c r="P1094" s="51"/>
      <c r="Q1094" s="1250">
        <f>+P1094*K1094</f>
        <v>0</v>
      </c>
      <c r="R1094" s="47"/>
      <c r="S1094" s="47"/>
      <c r="T1094" s="48">
        <f>+P1094*K1094*S1094</f>
        <v>0</v>
      </c>
      <c r="U1094" s="926">
        <f t="shared" ref="U1094:U1102" si="2540">+L1094+P1094+F1094</f>
        <v>53172922.810000002</v>
      </c>
      <c r="V1094" s="965">
        <f>+P1094*J1094*R1094+L1094*J1094*N1094+F1094*K1094*H1094</f>
        <v>159556521205.1951</v>
      </c>
      <c r="W1094" s="968">
        <f>-(IF((-P1094*J1094*R1094)-(-P1094*K1094*S1094)&lt;0,(-P1094*J1094*R1094)-(-P1094*K1094*S1094),0))</f>
        <v>0</v>
      </c>
      <c r="X1094" s="966">
        <f>-(IF((-P1094*J1094*R1094)-(-P1094*K1094*S1094)&gt;0,(-P1094*J1094*R1094)-(-P1094*K1094*S1094),0))</f>
        <v>0</v>
      </c>
      <c r="Y1094" s="967"/>
      <c r="AA1094" s="24">
        <f>$B$4-H1094</f>
        <v>1668.29</v>
      </c>
      <c r="AB1094" s="24">
        <f>+U1094*AA1094</f>
        <v>88707855394.694901</v>
      </c>
      <c r="AC1094" s="24"/>
      <c r="AD1094" s="24"/>
      <c r="AE1094" s="24"/>
    </row>
    <row r="1095" spans="1:31" ht="15.75" hidden="1" outlineLevel="1">
      <c r="A1095" s="961">
        <v>2309011000</v>
      </c>
      <c r="B1095" s="962" t="s">
        <v>123</v>
      </c>
      <c r="C1095" s="963" t="s">
        <v>64</v>
      </c>
      <c r="D1095" s="963">
        <v>3300000002</v>
      </c>
      <c r="E1095" s="1245">
        <v>42795</v>
      </c>
      <c r="F1095" s="1246">
        <v>-1715255.57</v>
      </c>
      <c r="G1095" s="1250">
        <f t="shared" ref="G1095:G1096" si="2541">+F1095*J1095</f>
        <v>-1715255.57</v>
      </c>
      <c r="H1095" s="1247">
        <v>3000.71</v>
      </c>
      <c r="I1095" s="965">
        <f t="shared" ref="I1095:I1096" si="2542">+F1095*J1095*H1095</f>
        <v>-5146984541.4547005</v>
      </c>
      <c r="J1095" s="1246">
        <v>1</v>
      </c>
      <c r="K1095" s="1430">
        <v>1</v>
      </c>
      <c r="L1095" s="49"/>
      <c r="M1095" s="1244">
        <f t="shared" ref="M1095:M1096" si="2543">+L1095*J1095</f>
        <v>0</v>
      </c>
      <c r="N1095" s="47"/>
      <c r="O1095" s="50">
        <f t="shared" ref="O1095:O1096" si="2544">+L1095*J1095*N1095</f>
        <v>0</v>
      </c>
      <c r="P1095" s="51"/>
      <c r="Q1095" s="1250">
        <f t="shared" ref="Q1095:Q1096" si="2545">+P1095*K1095</f>
        <v>0</v>
      </c>
      <c r="R1095" s="47"/>
      <c r="S1095" s="47"/>
      <c r="T1095" s="48">
        <f t="shared" ref="T1095:T1096" si="2546">+P1095*K1095*S1095</f>
        <v>0</v>
      </c>
      <c r="U1095" s="1246">
        <f t="shared" si="2540"/>
        <v>-1715255.57</v>
      </c>
      <c r="V1095" s="1248">
        <f t="shared" ref="V1095:V1096" si="2547">+P1095*J1095*R1095+L1095*J1095*N1095+F1095*K1095*H1095</f>
        <v>-5146984541.4547005</v>
      </c>
      <c r="W1095" s="968">
        <f t="shared" ref="W1095:W1096" si="2548">-(IF((-P1095*J1095*R1095)-(-P1095*K1095*S1095)&lt;0,(-P1095*J1095*R1095)-(-P1095*K1095*S1095),0))</f>
        <v>0</v>
      </c>
      <c r="X1095" s="966">
        <f t="shared" ref="X1095:X1096" si="2549">-(IF((-P1095*J1095*R1095)-(-P1095*K1095*S1095)&gt;0,(-P1095*J1095*R1095)-(-P1095*K1095*S1095),0))</f>
        <v>0</v>
      </c>
      <c r="Y1095" s="967"/>
      <c r="AA1095" s="24">
        <f t="shared" ref="AA1095:AA1104" si="2550">$B$4-H1095</f>
        <v>1668.29</v>
      </c>
      <c r="AB1095" s="24">
        <f t="shared" ref="AB1095:AB1104" si="2551">+U1095*AA1095</f>
        <v>-2861543714.8752999</v>
      </c>
      <c r="AC1095" s="24"/>
      <c r="AD1095" s="24"/>
      <c r="AE1095" s="24"/>
    </row>
    <row r="1096" spans="1:31" ht="15.75" hidden="1" outlineLevel="1">
      <c r="A1096" s="961">
        <v>2309011000</v>
      </c>
      <c r="B1096" s="962" t="s">
        <v>123</v>
      </c>
      <c r="C1096" s="963" t="s">
        <v>64</v>
      </c>
      <c r="D1096" s="963">
        <v>3300000046</v>
      </c>
      <c r="E1096" s="1245">
        <v>42979</v>
      </c>
      <c r="F1096" s="1246">
        <v>-1715255.57</v>
      </c>
      <c r="G1096" s="1250">
        <f t="shared" si="2541"/>
        <v>-1715255.57</v>
      </c>
      <c r="H1096" s="1247">
        <v>3000.71</v>
      </c>
      <c r="I1096" s="965">
        <f t="shared" si="2542"/>
        <v>-5146984541.4547005</v>
      </c>
      <c r="J1096" s="1246">
        <v>1</v>
      </c>
      <c r="K1096" s="1430">
        <v>1</v>
      </c>
      <c r="L1096" s="49"/>
      <c r="M1096" s="1244">
        <f t="shared" si="2543"/>
        <v>0</v>
      </c>
      <c r="N1096" s="47"/>
      <c r="O1096" s="50">
        <f t="shared" si="2544"/>
        <v>0</v>
      </c>
      <c r="P1096" s="51"/>
      <c r="Q1096" s="1250">
        <f t="shared" si="2545"/>
        <v>0</v>
      </c>
      <c r="R1096" s="47"/>
      <c r="S1096" s="47"/>
      <c r="T1096" s="48">
        <f t="shared" si="2546"/>
        <v>0</v>
      </c>
      <c r="U1096" s="1246">
        <f t="shared" si="2540"/>
        <v>-1715255.57</v>
      </c>
      <c r="V1096" s="1248">
        <f t="shared" si="2547"/>
        <v>-5146984541.4547005</v>
      </c>
      <c r="W1096" s="968">
        <f t="shared" si="2548"/>
        <v>0</v>
      </c>
      <c r="X1096" s="966">
        <f t="shared" si="2549"/>
        <v>0</v>
      </c>
      <c r="Y1096" s="967"/>
      <c r="AA1096" s="24">
        <f t="shared" si="2550"/>
        <v>1668.29</v>
      </c>
      <c r="AB1096" s="24">
        <f t="shared" si="2551"/>
        <v>-2861543714.8752999</v>
      </c>
      <c r="AC1096" s="24"/>
      <c r="AD1096" s="24"/>
      <c r="AE1096" s="24"/>
    </row>
    <row r="1097" spans="1:31" ht="15.75" hidden="1" outlineLevel="1">
      <c r="A1097" s="961">
        <v>2309011000</v>
      </c>
      <c r="B1097" s="962" t="s">
        <v>123</v>
      </c>
      <c r="C1097" s="963" t="s">
        <v>64</v>
      </c>
      <c r="D1097" s="963">
        <v>7900002546</v>
      </c>
      <c r="E1097" s="1245">
        <v>43160</v>
      </c>
      <c r="F1097" s="1246">
        <v>-1715255.57</v>
      </c>
      <c r="G1097" s="1250">
        <f t="shared" ref="G1097:G1098" si="2552">+F1097*J1097</f>
        <v>-1715255.57</v>
      </c>
      <c r="H1097" s="1247">
        <v>3000.71</v>
      </c>
      <c r="I1097" s="965">
        <f t="shared" ref="I1097:I1098" si="2553">+F1097*J1097*H1097</f>
        <v>-5146984541.4547005</v>
      </c>
      <c r="J1097" s="1246">
        <v>1</v>
      </c>
      <c r="K1097" s="1430">
        <v>1</v>
      </c>
      <c r="L1097" s="49"/>
      <c r="M1097" s="1244">
        <f t="shared" ref="M1097:M1098" si="2554">+L1097*J1097</f>
        <v>0</v>
      </c>
      <c r="N1097" s="47"/>
      <c r="O1097" s="50">
        <f t="shared" ref="O1097:O1098" si="2555">+L1097*J1097*N1097</f>
        <v>0</v>
      </c>
      <c r="P1097" s="51"/>
      <c r="Q1097" s="1250">
        <f t="shared" ref="Q1097:Q1098" si="2556">+P1097*K1097</f>
        <v>0</v>
      </c>
      <c r="R1097" s="47"/>
      <c r="S1097" s="47"/>
      <c r="T1097" s="48">
        <f t="shared" ref="T1097:T1098" si="2557">+P1097*K1097*S1097</f>
        <v>0</v>
      </c>
      <c r="U1097" s="1246">
        <f t="shared" si="2540"/>
        <v>-1715255.57</v>
      </c>
      <c r="V1097" s="1248">
        <f t="shared" ref="V1097:V1098" si="2558">+P1097*J1097*R1097+L1097*J1097*N1097+F1097*K1097*H1097</f>
        <v>-5146984541.4547005</v>
      </c>
      <c r="W1097" s="968">
        <f t="shared" ref="W1097:W1098" si="2559">-(IF((-P1097*J1097*R1097)-(-P1097*K1097*S1097)&lt;0,(-P1097*J1097*R1097)-(-P1097*K1097*S1097),0))</f>
        <v>0</v>
      </c>
      <c r="X1097" s="966">
        <f t="shared" ref="X1097:X1098" si="2560">-(IF((-P1097*J1097*R1097)-(-P1097*K1097*S1097)&gt;0,(-P1097*J1097*R1097)-(-P1097*K1097*S1097),0))</f>
        <v>0</v>
      </c>
      <c r="Y1097" s="967"/>
      <c r="AA1097" s="24">
        <f t="shared" si="2550"/>
        <v>1668.29</v>
      </c>
      <c r="AB1097" s="24">
        <f t="shared" si="2551"/>
        <v>-2861543714.8752999</v>
      </c>
      <c r="AC1097" s="24"/>
      <c r="AD1097" s="24"/>
      <c r="AE1097" s="24"/>
    </row>
    <row r="1098" spans="1:31" ht="15.75" hidden="1" outlineLevel="1">
      <c r="A1098" s="961">
        <v>2309011000</v>
      </c>
      <c r="B1098" s="962" t="s">
        <v>123</v>
      </c>
      <c r="C1098" s="963" t="s">
        <v>64</v>
      </c>
      <c r="D1098" s="963"/>
      <c r="E1098" s="1245">
        <v>43347</v>
      </c>
      <c r="F1098" s="1246">
        <v>-1715255.57</v>
      </c>
      <c r="G1098" s="1250">
        <f t="shared" si="2552"/>
        <v>-1715255.57</v>
      </c>
      <c r="H1098" s="1247">
        <v>3000.71</v>
      </c>
      <c r="I1098" s="965">
        <f t="shared" si="2553"/>
        <v>-5146984541.4547005</v>
      </c>
      <c r="J1098" s="1246">
        <v>1</v>
      </c>
      <c r="K1098" s="1430">
        <v>1</v>
      </c>
      <c r="L1098" s="49"/>
      <c r="M1098" s="1244">
        <f t="shared" si="2554"/>
        <v>0</v>
      </c>
      <c r="N1098" s="47"/>
      <c r="O1098" s="50">
        <f t="shared" si="2555"/>
        <v>0</v>
      </c>
      <c r="P1098" s="51"/>
      <c r="Q1098" s="1250">
        <f t="shared" si="2556"/>
        <v>0</v>
      </c>
      <c r="R1098" s="47"/>
      <c r="S1098" s="47"/>
      <c r="T1098" s="48">
        <f t="shared" si="2557"/>
        <v>0</v>
      </c>
      <c r="U1098" s="1246">
        <f t="shared" si="2540"/>
        <v>-1715255.57</v>
      </c>
      <c r="V1098" s="1248">
        <f t="shared" si="2558"/>
        <v>-5146984541.4547005</v>
      </c>
      <c r="W1098" s="968">
        <f t="shared" si="2559"/>
        <v>0</v>
      </c>
      <c r="X1098" s="966">
        <f t="shared" si="2560"/>
        <v>0</v>
      </c>
      <c r="Y1098" s="967"/>
      <c r="AA1098" s="24">
        <f t="shared" si="2550"/>
        <v>1668.29</v>
      </c>
      <c r="AB1098" s="24">
        <f t="shared" si="2551"/>
        <v>-2861543714.8752999</v>
      </c>
      <c r="AC1098" s="24"/>
      <c r="AD1098" s="24"/>
      <c r="AE1098" s="24"/>
    </row>
    <row r="1099" spans="1:31" ht="15.75" hidden="1" outlineLevel="1">
      <c r="A1099" s="961">
        <v>2309011000</v>
      </c>
      <c r="B1099" s="962" t="s">
        <v>123</v>
      </c>
      <c r="C1099" s="963" t="s">
        <v>64</v>
      </c>
      <c r="D1099" s="963"/>
      <c r="E1099" s="1245">
        <v>43525</v>
      </c>
      <c r="F1099" s="1246">
        <v>-1715255.57</v>
      </c>
      <c r="G1099" s="1250">
        <f t="shared" ref="G1099:G1102" si="2561">+F1099*J1099</f>
        <v>-1715255.57</v>
      </c>
      <c r="H1099" s="1247">
        <v>3000.71</v>
      </c>
      <c r="I1099" s="965">
        <f t="shared" ref="I1099:I1113" si="2562">+F1099*J1099*H1099</f>
        <v>-5146984541.4547005</v>
      </c>
      <c r="J1099" s="1246">
        <v>1</v>
      </c>
      <c r="K1099" s="1430">
        <v>1</v>
      </c>
      <c r="L1099" s="49"/>
      <c r="M1099" s="1244">
        <f t="shared" ref="M1099:M1102" si="2563">+L1099*J1099</f>
        <v>0</v>
      </c>
      <c r="N1099" s="47"/>
      <c r="O1099" s="50">
        <f t="shared" ref="O1099:O1102" si="2564">+L1099*J1099*N1099</f>
        <v>0</v>
      </c>
      <c r="P1099" s="51"/>
      <c r="Q1099" s="1250">
        <f t="shared" ref="Q1099:Q1102" si="2565">+P1099*K1099</f>
        <v>0</v>
      </c>
      <c r="R1099" s="47"/>
      <c r="S1099" s="47"/>
      <c r="T1099" s="48">
        <f t="shared" ref="T1099:T1102" si="2566">+P1099*K1099*S1099</f>
        <v>0</v>
      </c>
      <c r="U1099" s="1246">
        <f t="shared" si="2540"/>
        <v>-1715255.57</v>
      </c>
      <c r="V1099" s="1248">
        <f t="shared" ref="V1099:V1102" si="2567">+P1099*J1099*R1099+L1099*J1099*N1099+F1099*K1099*H1099</f>
        <v>-5146984541.4547005</v>
      </c>
      <c r="W1099" s="968">
        <f t="shared" ref="W1099:W1148" si="2568">-(IF((-P1099*J1099*R1099)-(-P1099*K1099*S1099)&lt;0,(-P1099*J1099*R1099)-(-P1099*K1099*S1099),0))</f>
        <v>0</v>
      </c>
      <c r="X1099" s="966">
        <f t="shared" ref="X1099:X1148" si="2569">-(IF((-P1099*J1099*R1099)-(-P1099*K1099*S1099)&gt;0,(-P1099*J1099*R1099)-(-P1099*K1099*S1099),0))</f>
        <v>0</v>
      </c>
      <c r="Y1099" s="967"/>
      <c r="AA1099" s="24">
        <f t="shared" si="2550"/>
        <v>1668.29</v>
      </c>
      <c r="AB1099" s="24">
        <f t="shared" si="2551"/>
        <v>-2861543714.8752999</v>
      </c>
      <c r="AC1099" s="24"/>
      <c r="AD1099" s="24"/>
      <c r="AE1099" s="24"/>
    </row>
    <row r="1100" spans="1:31" ht="15.75" hidden="1" outlineLevel="1">
      <c r="A1100" s="961">
        <v>2309011000</v>
      </c>
      <c r="B1100" s="962" t="s">
        <v>123</v>
      </c>
      <c r="C1100" s="963" t="s">
        <v>64</v>
      </c>
      <c r="D1100" s="963"/>
      <c r="E1100" s="1245">
        <v>43711</v>
      </c>
      <c r="F1100" s="1246">
        <v>-1715255.57</v>
      </c>
      <c r="G1100" s="1250">
        <f t="shared" si="2561"/>
        <v>-1715255.57</v>
      </c>
      <c r="H1100" s="1247">
        <v>3000.71</v>
      </c>
      <c r="I1100" s="965">
        <f t="shared" si="2562"/>
        <v>-5146984541.4547005</v>
      </c>
      <c r="J1100" s="1246">
        <v>1</v>
      </c>
      <c r="K1100" s="1430">
        <v>1</v>
      </c>
      <c r="L1100" s="49"/>
      <c r="M1100" s="1244">
        <f t="shared" si="2563"/>
        <v>0</v>
      </c>
      <c r="N1100" s="47"/>
      <c r="O1100" s="50">
        <f t="shared" si="2564"/>
        <v>0</v>
      </c>
      <c r="P1100" s="51"/>
      <c r="Q1100" s="1250">
        <f t="shared" si="2565"/>
        <v>0</v>
      </c>
      <c r="R1100" s="47"/>
      <c r="S1100" s="47"/>
      <c r="T1100" s="48">
        <f t="shared" si="2566"/>
        <v>0</v>
      </c>
      <c r="U1100" s="1246">
        <f t="shared" si="2540"/>
        <v>-1715255.57</v>
      </c>
      <c r="V1100" s="1248">
        <f t="shared" si="2567"/>
        <v>-5146984541.4547005</v>
      </c>
      <c r="W1100" s="968">
        <f t="shared" si="2568"/>
        <v>0</v>
      </c>
      <c r="X1100" s="966">
        <f t="shared" si="2569"/>
        <v>0</v>
      </c>
      <c r="Y1100" s="967"/>
      <c r="AA1100" s="24">
        <f t="shared" si="2550"/>
        <v>1668.29</v>
      </c>
      <c r="AB1100" s="24">
        <f t="shared" si="2551"/>
        <v>-2861543714.8752999</v>
      </c>
      <c r="AC1100" s="24"/>
      <c r="AD1100" s="24"/>
      <c r="AE1100" s="24"/>
    </row>
    <row r="1101" spans="1:31" ht="15.75" hidden="1" outlineLevel="1">
      <c r="A1101" s="961">
        <v>2309011000</v>
      </c>
      <c r="B1101" s="962" t="s">
        <v>123</v>
      </c>
      <c r="C1101" s="963" t="s">
        <v>64</v>
      </c>
      <c r="D1101" s="963"/>
      <c r="E1101" s="1245">
        <v>43892</v>
      </c>
      <c r="F1101" s="1246">
        <v>-1715255.57</v>
      </c>
      <c r="G1101" s="1250">
        <f t="shared" si="2561"/>
        <v>-1715255.57</v>
      </c>
      <c r="H1101" s="1247">
        <v>3000.71</v>
      </c>
      <c r="I1101" s="965">
        <f t="shared" si="2562"/>
        <v>-5146984541.4547005</v>
      </c>
      <c r="J1101" s="1246">
        <v>1</v>
      </c>
      <c r="K1101" s="1430">
        <v>1</v>
      </c>
      <c r="L1101" s="49"/>
      <c r="M1101" s="1244">
        <f t="shared" si="2563"/>
        <v>0</v>
      </c>
      <c r="N1101" s="47"/>
      <c r="O1101" s="50">
        <f t="shared" si="2564"/>
        <v>0</v>
      </c>
      <c r="P1101" s="51"/>
      <c r="Q1101" s="1250">
        <f t="shared" si="2565"/>
        <v>0</v>
      </c>
      <c r="R1101" s="47"/>
      <c r="S1101" s="47"/>
      <c r="T1101" s="48">
        <f t="shared" si="2566"/>
        <v>0</v>
      </c>
      <c r="U1101" s="1246">
        <f t="shared" si="2540"/>
        <v>-1715255.57</v>
      </c>
      <c r="V1101" s="1248">
        <f t="shared" si="2567"/>
        <v>-5146984541.4547005</v>
      </c>
      <c r="W1101" s="968">
        <f t="shared" si="2568"/>
        <v>0</v>
      </c>
      <c r="X1101" s="966">
        <f t="shared" si="2569"/>
        <v>0</v>
      </c>
      <c r="Y1101" s="967"/>
      <c r="AA1101" s="24">
        <f t="shared" si="2550"/>
        <v>1668.29</v>
      </c>
      <c r="AB1101" s="24">
        <f t="shared" si="2551"/>
        <v>-2861543714.8752999</v>
      </c>
      <c r="AC1101" s="24"/>
      <c r="AD1101" s="24"/>
      <c r="AE1101" s="24"/>
    </row>
    <row r="1102" spans="1:31" ht="15.75" hidden="1" outlineLevel="1">
      <c r="A1102" s="961">
        <v>2309011000</v>
      </c>
      <c r="B1102" s="962" t="s">
        <v>123</v>
      </c>
      <c r="C1102" s="963" t="s">
        <v>64</v>
      </c>
      <c r="D1102" s="963"/>
      <c r="E1102" s="969">
        <v>44075</v>
      </c>
      <c r="F1102" s="964">
        <v>-1715255.57</v>
      </c>
      <c r="G1102" s="1250">
        <f t="shared" si="2561"/>
        <v>-1715255.57</v>
      </c>
      <c r="H1102" s="1242">
        <v>3000.71</v>
      </c>
      <c r="I1102" s="965">
        <f t="shared" si="2562"/>
        <v>-5146984541.4547005</v>
      </c>
      <c r="J1102" s="1246">
        <v>1</v>
      </c>
      <c r="K1102" s="1430">
        <v>1</v>
      </c>
      <c r="L1102" s="49"/>
      <c r="M1102" s="1244">
        <f t="shared" si="2563"/>
        <v>0</v>
      </c>
      <c r="N1102" s="47"/>
      <c r="O1102" s="50">
        <f t="shared" si="2564"/>
        <v>0</v>
      </c>
      <c r="P1102" s="51"/>
      <c r="Q1102" s="1250">
        <f t="shared" si="2565"/>
        <v>0</v>
      </c>
      <c r="R1102" s="47"/>
      <c r="S1102" s="47"/>
      <c r="T1102" s="48">
        <f t="shared" si="2566"/>
        <v>0</v>
      </c>
      <c r="U1102" s="964">
        <f t="shared" si="2540"/>
        <v>-1715255.57</v>
      </c>
      <c r="V1102" s="965">
        <f t="shared" si="2567"/>
        <v>-5146984541.4547005</v>
      </c>
      <c r="W1102" s="968">
        <f t="shared" si="2568"/>
        <v>0</v>
      </c>
      <c r="X1102" s="966">
        <f t="shared" si="2569"/>
        <v>0</v>
      </c>
      <c r="Y1102" s="967"/>
      <c r="AA1102" s="24">
        <f t="shared" si="2550"/>
        <v>1668.29</v>
      </c>
      <c r="AB1102" s="24">
        <f t="shared" si="2551"/>
        <v>-2861543714.8752999</v>
      </c>
      <c r="AC1102" s="24"/>
      <c r="AD1102" s="24"/>
      <c r="AE1102" s="24"/>
    </row>
    <row r="1103" spans="1:31" ht="15.75" hidden="1" outlineLevel="1">
      <c r="A1103" s="961">
        <v>2309011000</v>
      </c>
      <c r="B1103" s="962" t="s">
        <v>123</v>
      </c>
      <c r="C1103" s="963" t="s">
        <v>64</v>
      </c>
      <c r="D1103" s="963"/>
      <c r="E1103" s="1245">
        <v>44256</v>
      </c>
      <c r="F1103" s="1246">
        <v>-1715255.57</v>
      </c>
      <c r="G1103" s="1250">
        <f t="shared" ref="G1103:G1104" si="2570">+F1103*J1103</f>
        <v>-1715255.57</v>
      </c>
      <c r="H1103" s="1247">
        <v>3000.71</v>
      </c>
      <c r="I1103" s="965">
        <f t="shared" ref="I1103:I1104" si="2571">+F1103*J1103*H1103</f>
        <v>-5146984541.4547005</v>
      </c>
      <c r="J1103" s="1246">
        <v>1</v>
      </c>
      <c r="K1103" s="1430">
        <v>1</v>
      </c>
      <c r="L1103" s="49"/>
      <c r="M1103" s="1244">
        <f t="shared" ref="M1103:M1104" si="2572">+L1103*J1103</f>
        <v>0</v>
      </c>
      <c r="N1103" s="47"/>
      <c r="O1103" s="50">
        <f t="shared" ref="O1103:O1104" si="2573">+L1103*J1103*N1103</f>
        <v>0</v>
      </c>
      <c r="P1103" s="51"/>
      <c r="Q1103" s="1250">
        <f t="shared" ref="Q1103:Q1104" si="2574">+P1103*K1103</f>
        <v>0</v>
      </c>
      <c r="R1103" s="47"/>
      <c r="S1103" s="47"/>
      <c r="T1103" s="48">
        <f t="shared" ref="T1103:T1104" si="2575">+P1103*K1103*S1103</f>
        <v>0</v>
      </c>
      <c r="U1103" s="1246">
        <f t="shared" ref="U1103:U1104" si="2576">+L1103+P1103+F1103</f>
        <v>-1715255.57</v>
      </c>
      <c r="V1103" s="1248">
        <f t="shared" ref="V1103:V1104" si="2577">+P1103*J1103*R1103+L1103*J1103*N1103+F1103*K1103*H1103</f>
        <v>-5146984541.4547005</v>
      </c>
      <c r="W1103" s="968">
        <f t="shared" ref="W1103:W1104" si="2578">-(IF((-P1103*J1103*R1103)-(-P1103*K1103*S1103)&lt;0,(-P1103*J1103*R1103)-(-P1103*K1103*S1103),0))</f>
        <v>0</v>
      </c>
      <c r="X1103" s="966">
        <f t="shared" ref="X1103:X1104" si="2579">-(IF((-P1103*J1103*R1103)-(-P1103*K1103*S1103)&gt;0,(-P1103*J1103*R1103)-(-P1103*K1103*S1103),0))</f>
        <v>0</v>
      </c>
      <c r="Y1103" s="967"/>
      <c r="AA1103" s="24">
        <f t="shared" si="2550"/>
        <v>1668.29</v>
      </c>
      <c r="AB1103" s="24">
        <f t="shared" si="2551"/>
        <v>-2861543714.8752999</v>
      </c>
      <c r="AC1103" s="24"/>
      <c r="AD1103" s="24"/>
      <c r="AE1103" s="24"/>
    </row>
    <row r="1104" spans="1:31" ht="15.75" hidden="1" outlineLevel="1">
      <c r="A1104" s="961">
        <v>2309011000</v>
      </c>
      <c r="B1104" s="962" t="s">
        <v>123</v>
      </c>
      <c r="C1104" s="963" t="s">
        <v>64</v>
      </c>
      <c r="D1104" s="963"/>
      <c r="E1104" s="969">
        <v>44441</v>
      </c>
      <c r="F1104" s="964">
        <v>-1715255.57</v>
      </c>
      <c r="G1104" s="1250">
        <f t="shared" si="2570"/>
        <v>-1715255.57</v>
      </c>
      <c r="H1104" s="1242">
        <v>3000.71</v>
      </c>
      <c r="I1104" s="965">
        <f t="shared" si="2571"/>
        <v>-5146984541.4547005</v>
      </c>
      <c r="J1104" s="1246">
        <v>1</v>
      </c>
      <c r="K1104" s="1430">
        <v>1</v>
      </c>
      <c r="L1104" s="49"/>
      <c r="M1104" s="1244">
        <f t="shared" si="2572"/>
        <v>0</v>
      </c>
      <c r="N1104" s="47"/>
      <c r="O1104" s="50">
        <f t="shared" si="2573"/>
        <v>0</v>
      </c>
      <c r="P1104" s="51"/>
      <c r="Q1104" s="1250">
        <f t="shared" si="2574"/>
        <v>0</v>
      </c>
      <c r="R1104" s="47"/>
      <c r="S1104" s="47"/>
      <c r="T1104" s="48">
        <f t="shared" si="2575"/>
        <v>0</v>
      </c>
      <c r="U1104" s="964">
        <f t="shared" si="2576"/>
        <v>-1715255.57</v>
      </c>
      <c r="V1104" s="965">
        <f t="shared" si="2577"/>
        <v>-5146984541.4547005</v>
      </c>
      <c r="W1104" s="968">
        <f t="shared" si="2578"/>
        <v>0</v>
      </c>
      <c r="X1104" s="966">
        <f t="shared" si="2579"/>
        <v>0</v>
      </c>
      <c r="Y1104" s="967"/>
      <c r="AA1104" s="24">
        <f t="shared" si="2550"/>
        <v>1668.29</v>
      </c>
      <c r="AB1104" s="24">
        <f t="shared" si="2551"/>
        <v>-2861543714.8752999</v>
      </c>
      <c r="AC1104" s="24"/>
      <c r="AD1104" s="24"/>
      <c r="AE1104" s="24"/>
    </row>
    <row r="1105" spans="1:31" ht="15.75" hidden="1" outlineLevel="1">
      <c r="A1105" s="961">
        <v>2309011000</v>
      </c>
      <c r="B1105" s="962" t="s">
        <v>123</v>
      </c>
      <c r="C1105" s="963" t="s">
        <v>64</v>
      </c>
      <c r="D1105" s="963"/>
      <c r="E1105" s="1245">
        <v>44623</v>
      </c>
      <c r="F1105" s="1246">
        <v>-1715255.57</v>
      </c>
      <c r="G1105" s="1250">
        <f t="shared" ref="G1105:G1106" si="2580">+F1105*J1105</f>
        <v>-1715255.57</v>
      </c>
      <c r="H1105" s="1247">
        <v>3000.71</v>
      </c>
      <c r="I1105" s="965">
        <f t="shared" ref="I1105:I1106" si="2581">+F1105*J1105*H1105</f>
        <v>-5146984541.4547005</v>
      </c>
      <c r="J1105" s="1246">
        <v>1</v>
      </c>
      <c r="K1105" s="1430">
        <v>1</v>
      </c>
      <c r="L1105" s="49"/>
      <c r="M1105" s="1244">
        <f t="shared" ref="M1105:M1106" si="2582">+L1105*J1105</f>
        <v>0</v>
      </c>
      <c r="N1105" s="47"/>
      <c r="O1105" s="50">
        <f t="shared" ref="O1105:O1106" si="2583">+L1105*J1105*N1105</f>
        <v>0</v>
      </c>
      <c r="P1105" s="51"/>
      <c r="Q1105" s="1250">
        <f t="shared" ref="Q1105:Q1106" si="2584">+P1105*K1105</f>
        <v>0</v>
      </c>
      <c r="R1105" s="47"/>
      <c r="S1105" s="47"/>
      <c r="T1105" s="48">
        <f t="shared" ref="T1105:T1106" si="2585">+P1105*K1105*S1105</f>
        <v>0</v>
      </c>
      <c r="U1105" s="1246">
        <f t="shared" ref="U1105:U1106" si="2586">+L1105+P1105+F1105</f>
        <v>-1715255.57</v>
      </c>
      <c r="V1105" s="1248">
        <f t="shared" ref="V1105:V1106" si="2587">+P1105*J1105*R1105+L1105*J1105*N1105+F1105*K1105*H1105</f>
        <v>-5146984541.4547005</v>
      </c>
      <c r="W1105" s="968">
        <f t="shared" ref="W1105:W1106" si="2588">-(IF((-P1105*J1105*R1105)-(-P1105*K1105*S1105)&lt;0,(-P1105*J1105*R1105)-(-P1105*K1105*S1105),0))</f>
        <v>0</v>
      </c>
      <c r="X1105" s="966">
        <f t="shared" ref="X1105:X1106" si="2589">-(IF((-P1105*J1105*R1105)-(-P1105*K1105*S1105)&gt;0,(-P1105*J1105*R1105)-(-P1105*K1105*S1105),0))</f>
        <v>0</v>
      </c>
      <c r="Y1105" s="967"/>
      <c r="AA1105" s="24">
        <f t="shared" ref="AA1105:AA1106" si="2590">$B$4-H1105</f>
        <v>1668.29</v>
      </c>
      <c r="AB1105" s="24">
        <f t="shared" ref="AB1105:AB1106" si="2591">+U1105*AA1105</f>
        <v>-2861543714.8752999</v>
      </c>
      <c r="AC1105" s="24"/>
      <c r="AD1105" s="24"/>
      <c r="AE1105" s="24"/>
    </row>
    <row r="1106" spans="1:31" ht="15.75" hidden="1" outlineLevel="1">
      <c r="A1106" s="961">
        <v>2309011000</v>
      </c>
      <c r="B1106" s="962" t="s">
        <v>123</v>
      </c>
      <c r="C1106" s="963" t="s">
        <v>64</v>
      </c>
      <c r="D1106" s="963"/>
      <c r="E1106" s="969">
        <v>44805</v>
      </c>
      <c r="F1106" s="964">
        <v>-1715255.57</v>
      </c>
      <c r="G1106" s="1250">
        <f t="shared" si="2580"/>
        <v>-1715255.57</v>
      </c>
      <c r="H1106" s="1242">
        <v>3000.71</v>
      </c>
      <c r="I1106" s="965">
        <f t="shared" si="2581"/>
        <v>-5146984541.4547005</v>
      </c>
      <c r="J1106" s="1246">
        <v>1</v>
      </c>
      <c r="K1106" s="1430">
        <v>1</v>
      </c>
      <c r="L1106" s="49"/>
      <c r="M1106" s="1244">
        <f t="shared" si="2582"/>
        <v>0</v>
      </c>
      <c r="N1106" s="47"/>
      <c r="O1106" s="50">
        <f t="shared" si="2583"/>
        <v>0</v>
      </c>
      <c r="P1106" s="51"/>
      <c r="Q1106" s="1250">
        <f t="shared" si="2584"/>
        <v>0</v>
      </c>
      <c r="R1106" s="47"/>
      <c r="S1106" s="47"/>
      <c r="T1106" s="48">
        <f t="shared" si="2585"/>
        <v>0</v>
      </c>
      <c r="U1106" s="964">
        <f t="shared" si="2586"/>
        <v>-1715255.57</v>
      </c>
      <c r="V1106" s="965">
        <f t="shared" si="2587"/>
        <v>-5146984541.4547005</v>
      </c>
      <c r="W1106" s="968">
        <f t="shared" si="2588"/>
        <v>0</v>
      </c>
      <c r="X1106" s="966">
        <f t="shared" si="2589"/>
        <v>0</v>
      </c>
      <c r="Y1106" s="967"/>
      <c r="AA1106" s="24">
        <f t="shared" si="2590"/>
        <v>1668.29</v>
      </c>
      <c r="AB1106" s="24">
        <f t="shared" si="2591"/>
        <v>-2861543714.8752999</v>
      </c>
      <c r="AC1106" s="24"/>
      <c r="AD1106" s="24"/>
      <c r="AE1106" s="24"/>
    </row>
    <row r="1107" spans="1:31" collapsed="1">
      <c r="A1107" s="55">
        <v>2309011000</v>
      </c>
      <c r="B1107" s="509" t="s">
        <v>123</v>
      </c>
      <c r="C1107" s="510" t="s">
        <v>64</v>
      </c>
      <c r="D1107" s="510"/>
      <c r="E1107" s="219">
        <v>44987</v>
      </c>
      <c r="F1107" s="416"/>
      <c r="G1107" s="1251"/>
      <c r="H1107" s="676"/>
      <c r="I1107" s="681">
        <f t="shared" si="2562"/>
        <v>0</v>
      </c>
      <c r="J1107" s="1425">
        <v>1</v>
      </c>
      <c r="K1107" s="1426">
        <v>1</v>
      </c>
      <c r="L1107" s="438"/>
      <c r="M1107" s="1302">
        <f t="shared" ref="M1107:M1143" si="2592">+L1107*J1107</f>
        <v>0</v>
      </c>
      <c r="N1107" s="504"/>
      <c r="O1107" s="682">
        <f t="shared" ref="O1107:O1148" si="2593">+L1107*J1107*N1107</f>
        <v>0</v>
      </c>
      <c r="P1107" s="431">
        <v>-1715255.57</v>
      </c>
      <c r="Q1107" s="514">
        <f t="shared" ref="Q1107:Q1148" si="2594">+P1107*K1107</f>
        <v>-1715255.57</v>
      </c>
      <c r="R1107" s="515">
        <v>3000.71</v>
      </c>
      <c r="S1107" s="515">
        <f ca="1">IF(OR(E1107="",E1107&gt;TODAY()),0,IF(ISERROR(VLOOKUP($E1107,'TRM BanRep'!$A:$G,7,0)),0,VLOOKUP($E1107,'TRM BanRep'!$A:$G,7,0)))</f>
        <v>4848.78</v>
      </c>
      <c r="T1107" s="562">
        <f t="shared" ref="T1107:T1148" ca="1" si="2595">+P1107*K1107*S1107</f>
        <v>-8316896902.7046003</v>
      </c>
      <c r="U1107" s="418">
        <f t="shared" ref="U1107:U1143" si="2596">+L1107+P1107+F1107</f>
        <v>-1715255.57</v>
      </c>
      <c r="V1107" s="517">
        <f t="shared" ref="V1107:V1143" si="2597">+P1107*J1107*R1107+L1107*J1107*N1107+F1107*K1107*H1107</f>
        <v>-5146984541.4547005</v>
      </c>
      <c r="W1107" s="976">
        <f t="shared" ca="1" si="2568"/>
        <v>3169912361.2498999</v>
      </c>
      <c r="X1107" s="975">
        <f t="shared" ca="1" si="2569"/>
        <v>0</v>
      </c>
      <c r="Y1107" s="519"/>
      <c r="AA1107" s="24">
        <f>$B$4-R1107</f>
        <v>1668.29</v>
      </c>
      <c r="AB1107" s="24">
        <f t="shared" ref="AB1107" si="2598">+U1107*AA1107</f>
        <v>-2861543714.8752999</v>
      </c>
      <c r="AC1107" s="24"/>
      <c r="AD1107" s="24"/>
      <c r="AE1107" s="24"/>
    </row>
    <row r="1108" spans="1:31">
      <c r="A1108" s="55">
        <v>2309011000</v>
      </c>
      <c r="B1108" s="509" t="s">
        <v>123</v>
      </c>
      <c r="C1108" s="510" t="s">
        <v>64</v>
      </c>
      <c r="D1108" s="510"/>
      <c r="E1108" s="219">
        <v>45170</v>
      </c>
      <c r="F1108" s="416"/>
      <c r="G1108" s="1251"/>
      <c r="H1108" s="676"/>
      <c r="I1108" s="681">
        <f t="shared" si="2562"/>
        <v>0</v>
      </c>
      <c r="J1108" s="1425">
        <v>1</v>
      </c>
      <c r="K1108" s="1426">
        <v>1</v>
      </c>
      <c r="L1108" s="438"/>
      <c r="M1108" s="1302">
        <f t="shared" si="2592"/>
        <v>0</v>
      </c>
      <c r="N1108" s="504"/>
      <c r="O1108" s="682">
        <f t="shared" si="2593"/>
        <v>0</v>
      </c>
      <c r="P1108" s="431"/>
      <c r="Q1108" s="514">
        <f t="shared" si="2594"/>
        <v>0</v>
      </c>
      <c r="R1108" s="515">
        <v>3000.71</v>
      </c>
      <c r="S1108" s="515"/>
      <c r="T1108" s="562">
        <f t="shared" si="2595"/>
        <v>0</v>
      </c>
      <c r="U1108" s="418">
        <f t="shared" si="2596"/>
        <v>0</v>
      </c>
      <c r="V1108" s="517">
        <f t="shared" si="2597"/>
        <v>0</v>
      </c>
      <c r="W1108" s="976">
        <f t="shared" si="2568"/>
        <v>0</v>
      </c>
      <c r="X1108" s="975">
        <f t="shared" si="2569"/>
        <v>0</v>
      </c>
      <c r="Y1108" s="519"/>
      <c r="AA1108" s="24">
        <f>$B$4-R1108</f>
        <v>1668.29</v>
      </c>
      <c r="AB1108" s="24">
        <f t="shared" ref="AB1108" si="2599">+U1108*AA1108</f>
        <v>0</v>
      </c>
      <c r="AC1108" s="24"/>
      <c r="AD1108" s="24"/>
      <c r="AE1108" s="24"/>
    </row>
    <row r="1109" spans="1:31">
      <c r="A1109" s="55"/>
      <c r="B1109" s="509"/>
      <c r="C1109" s="510"/>
      <c r="D1109" s="510"/>
      <c r="E1109" s="219"/>
      <c r="F1109" s="416"/>
      <c r="G1109" s="1251"/>
      <c r="H1109" s="676"/>
      <c r="I1109" s="681">
        <f t="shared" si="2562"/>
        <v>0</v>
      </c>
      <c r="J1109" s="1431"/>
      <c r="K1109" s="1432"/>
      <c r="L1109" s="438"/>
      <c r="M1109" s="1302"/>
      <c r="N1109" s="504"/>
      <c r="O1109" s="682">
        <f t="shared" si="2593"/>
        <v>0</v>
      </c>
      <c r="P1109" s="431"/>
      <c r="Q1109" s="514">
        <f t="shared" si="2594"/>
        <v>0</v>
      </c>
      <c r="R1109" s="515"/>
      <c r="S1109" s="515"/>
      <c r="T1109" s="562">
        <f t="shared" si="2595"/>
        <v>0</v>
      </c>
      <c r="U1109" s="418">
        <f t="shared" si="2596"/>
        <v>0</v>
      </c>
      <c r="V1109" s="517">
        <f t="shared" si="2597"/>
        <v>0</v>
      </c>
      <c r="W1109" s="976">
        <f t="shared" si="2568"/>
        <v>0</v>
      </c>
      <c r="X1109" s="975">
        <f t="shared" si="2569"/>
        <v>0</v>
      </c>
      <c r="Y1109" s="519"/>
      <c r="AA1109" s="24"/>
      <c r="AB1109" s="24"/>
      <c r="AC1109" s="24"/>
      <c r="AD1109" s="24"/>
      <c r="AE1109" s="24"/>
    </row>
    <row r="1110" spans="1:31" ht="15.75" outlineLevel="1">
      <c r="A1110" s="961">
        <v>2422091000</v>
      </c>
      <c r="B1110" s="962" t="s">
        <v>197</v>
      </c>
      <c r="C1110" s="963" t="s">
        <v>64</v>
      </c>
      <c r="D1110" s="963"/>
      <c r="E1110" s="969">
        <v>44834</v>
      </c>
      <c r="F1110" s="964">
        <v>131144.73000000001</v>
      </c>
      <c r="G1110" s="1250">
        <f t="shared" ref="G1110:G1113" si="2600">+F1110*J1110</f>
        <v>131144.73000000001</v>
      </c>
      <c r="H1110" s="47">
        <v>4532.07</v>
      </c>
      <c r="I1110" s="965">
        <f t="shared" si="2562"/>
        <v>594357096.49109995</v>
      </c>
      <c r="J1110" s="1246">
        <v>1</v>
      </c>
      <c r="K1110" s="1430">
        <v>1</v>
      </c>
      <c r="L1110" s="218"/>
      <c r="M1110" s="1309">
        <f t="shared" si="2592"/>
        <v>0</v>
      </c>
      <c r="N1110" s="47"/>
      <c r="O1110" s="965">
        <f t="shared" si="2593"/>
        <v>0</v>
      </c>
      <c r="P1110" s="964"/>
      <c r="Q1110" s="1250">
        <f t="shared" si="2594"/>
        <v>0</v>
      </c>
      <c r="R1110" s="47"/>
      <c r="S1110" s="47"/>
      <c r="T1110" s="965">
        <f t="shared" si="2595"/>
        <v>0</v>
      </c>
      <c r="U1110" s="964">
        <f t="shared" si="2596"/>
        <v>131144.73000000001</v>
      </c>
      <c r="V1110" s="965">
        <f t="shared" si="2597"/>
        <v>594357096.49109995</v>
      </c>
      <c r="W1110" s="968">
        <f t="shared" si="2568"/>
        <v>0</v>
      </c>
      <c r="X1110" s="966">
        <f t="shared" si="2569"/>
        <v>0</v>
      </c>
      <c r="Y1110" s="967"/>
      <c r="AA1110" s="24">
        <f t="shared" ref="AA1110:AA1113" si="2601">$B$4-H1110</f>
        <v>136.93000000000029</v>
      </c>
      <c r="AB1110" s="24">
        <f t="shared" ref="AB1110:AB1113" si="2602">+U1110*AA1110</f>
        <v>17957647.87890004</v>
      </c>
      <c r="AC1110" s="24"/>
      <c r="AD1110" s="24"/>
      <c r="AE1110" s="24"/>
    </row>
    <row r="1111" spans="1:31" ht="15.75" outlineLevel="1">
      <c r="A1111" s="961">
        <v>2422091000</v>
      </c>
      <c r="B1111" s="962" t="s">
        <v>197</v>
      </c>
      <c r="C1111" s="963" t="s">
        <v>64</v>
      </c>
      <c r="D1111" s="963"/>
      <c r="E1111" s="969">
        <v>44865</v>
      </c>
      <c r="F1111" s="964">
        <v>140189.17999999996</v>
      </c>
      <c r="G1111" s="1250">
        <f t="shared" si="2600"/>
        <v>140189.17999999996</v>
      </c>
      <c r="H1111" s="47">
        <v>4819.42</v>
      </c>
      <c r="I1111" s="965">
        <f t="shared" si="2562"/>
        <v>675630537.87559986</v>
      </c>
      <c r="J1111" s="1246">
        <v>1</v>
      </c>
      <c r="K1111" s="1430">
        <v>1</v>
      </c>
      <c r="L1111" s="218"/>
      <c r="M1111" s="1309">
        <f t="shared" si="2592"/>
        <v>0</v>
      </c>
      <c r="N1111" s="47"/>
      <c r="O1111" s="965">
        <f t="shared" si="2593"/>
        <v>0</v>
      </c>
      <c r="P1111" s="964"/>
      <c r="Q1111" s="1250">
        <f t="shared" si="2594"/>
        <v>0</v>
      </c>
      <c r="R1111" s="47"/>
      <c r="S1111" s="47"/>
      <c r="T1111" s="965">
        <f t="shared" si="2595"/>
        <v>0</v>
      </c>
      <c r="U1111" s="964">
        <f t="shared" si="2596"/>
        <v>140189.17999999996</v>
      </c>
      <c r="V1111" s="965">
        <f t="shared" si="2597"/>
        <v>675630537.87559986</v>
      </c>
      <c r="W1111" s="968">
        <f t="shared" si="2568"/>
        <v>0</v>
      </c>
      <c r="X1111" s="966">
        <f t="shared" si="2569"/>
        <v>0</v>
      </c>
      <c r="Y1111" s="967"/>
      <c r="AA1111" s="24">
        <f t="shared" si="2601"/>
        <v>-150.42000000000007</v>
      </c>
      <c r="AB1111" s="24">
        <f t="shared" si="2602"/>
        <v>-21087256.455600005</v>
      </c>
      <c r="AC1111" s="24"/>
      <c r="AD1111" s="24"/>
      <c r="AE1111" s="24"/>
    </row>
    <row r="1112" spans="1:31" ht="15.75" outlineLevel="1">
      <c r="A1112" s="961">
        <v>2422091000</v>
      </c>
      <c r="B1112" s="962" t="s">
        <v>197</v>
      </c>
      <c r="C1112" s="963" t="s">
        <v>64</v>
      </c>
      <c r="D1112" s="963"/>
      <c r="E1112" s="969">
        <v>44895</v>
      </c>
      <c r="F1112" s="964">
        <v>135666.96000000002</v>
      </c>
      <c r="G1112" s="1250">
        <f t="shared" si="2600"/>
        <v>135666.96000000002</v>
      </c>
      <c r="H1112" s="47">
        <v>4809.51</v>
      </c>
      <c r="I1112" s="965">
        <f t="shared" si="2562"/>
        <v>652491600.78960013</v>
      </c>
      <c r="J1112" s="1246">
        <v>1</v>
      </c>
      <c r="K1112" s="1430">
        <v>1</v>
      </c>
      <c r="L1112" s="218"/>
      <c r="M1112" s="1309">
        <f t="shared" si="2592"/>
        <v>0</v>
      </c>
      <c r="N1112" s="47"/>
      <c r="O1112" s="965">
        <f t="shared" si="2593"/>
        <v>0</v>
      </c>
      <c r="P1112" s="964"/>
      <c r="Q1112" s="1250">
        <f t="shared" si="2594"/>
        <v>0</v>
      </c>
      <c r="R1112" s="47"/>
      <c r="S1112" s="47"/>
      <c r="T1112" s="965">
        <f t="shared" si="2595"/>
        <v>0</v>
      </c>
      <c r="U1112" s="964">
        <f t="shared" si="2596"/>
        <v>135666.96000000002</v>
      </c>
      <c r="V1112" s="965">
        <f t="shared" si="2597"/>
        <v>652491600.78960013</v>
      </c>
      <c r="W1112" s="968">
        <f t="shared" si="2568"/>
        <v>0</v>
      </c>
      <c r="X1112" s="966">
        <f t="shared" si="2569"/>
        <v>0</v>
      </c>
      <c r="Y1112" s="967"/>
      <c r="AA1112" s="24">
        <f t="shared" si="2601"/>
        <v>-140.51000000000022</v>
      </c>
      <c r="AB1112" s="24">
        <f t="shared" si="2602"/>
        <v>-19062564.549600031</v>
      </c>
      <c r="AC1112" s="24"/>
      <c r="AD1112" s="24"/>
      <c r="AE1112" s="24"/>
    </row>
    <row r="1113" spans="1:31" ht="15.75" outlineLevel="1">
      <c r="A1113" s="961">
        <v>2422091000</v>
      </c>
      <c r="B1113" s="962" t="s">
        <v>197</v>
      </c>
      <c r="C1113" s="963" t="s">
        <v>64</v>
      </c>
      <c r="D1113" s="963"/>
      <c r="E1113" s="969">
        <v>44926</v>
      </c>
      <c r="F1113" s="964">
        <v>140189.18000000005</v>
      </c>
      <c r="G1113" s="1250">
        <f t="shared" si="2600"/>
        <v>140189.18000000005</v>
      </c>
      <c r="H1113" s="47">
        <v>4810.2</v>
      </c>
      <c r="I1113" s="965">
        <f t="shared" si="2562"/>
        <v>674337993.63600028</v>
      </c>
      <c r="J1113" s="1246">
        <v>1</v>
      </c>
      <c r="K1113" s="1430">
        <v>1</v>
      </c>
      <c r="L1113" s="218"/>
      <c r="M1113" s="1309">
        <f t="shared" si="2592"/>
        <v>0</v>
      </c>
      <c r="N1113" s="47"/>
      <c r="O1113" s="965">
        <f t="shared" si="2593"/>
        <v>0</v>
      </c>
      <c r="P1113" s="964"/>
      <c r="Q1113" s="1250">
        <f t="shared" si="2594"/>
        <v>0</v>
      </c>
      <c r="R1113" s="47"/>
      <c r="S1113" s="47"/>
      <c r="T1113" s="965">
        <f t="shared" si="2595"/>
        <v>0</v>
      </c>
      <c r="U1113" s="964">
        <f t="shared" si="2596"/>
        <v>140189.18000000005</v>
      </c>
      <c r="V1113" s="965">
        <f t="shared" si="2597"/>
        <v>674337993.63600028</v>
      </c>
      <c r="W1113" s="968">
        <f t="shared" si="2568"/>
        <v>0</v>
      </c>
      <c r="X1113" s="966">
        <f t="shared" si="2569"/>
        <v>0</v>
      </c>
      <c r="Y1113" s="967"/>
      <c r="AA1113" s="24">
        <f t="shared" si="2601"/>
        <v>-141.19999999999982</v>
      </c>
      <c r="AB1113" s="24">
        <f t="shared" si="2602"/>
        <v>-19794712.215999983</v>
      </c>
      <c r="AC1113" s="24"/>
      <c r="AD1113" s="24"/>
      <c r="AE1113" s="24"/>
    </row>
    <row r="1114" spans="1:31">
      <c r="A1114" s="55"/>
      <c r="B1114" s="509"/>
      <c r="C1114" s="679"/>
      <c r="D1114" s="680"/>
      <c r="E1114" s="219"/>
      <c r="F1114" s="416"/>
      <c r="G1114" s="1251"/>
      <c r="H1114" s="676"/>
      <c r="I1114" s="681"/>
      <c r="J1114" s="1431"/>
      <c r="K1114" s="1432"/>
      <c r="L1114" s="438"/>
      <c r="M1114" s="1302"/>
      <c r="N1114" s="504"/>
      <c r="O1114" s="682">
        <f t="shared" si="2593"/>
        <v>0</v>
      </c>
      <c r="P1114" s="431"/>
      <c r="Q1114" s="514">
        <f t="shared" si="2594"/>
        <v>0</v>
      </c>
      <c r="R1114" s="515"/>
      <c r="S1114" s="515"/>
      <c r="T1114" s="562">
        <f t="shared" si="2595"/>
        <v>0</v>
      </c>
      <c r="U1114" s="418">
        <f t="shared" si="2596"/>
        <v>0</v>
      </c>
      <c r="V1114" s="517">
        <f t="shared" si="2597"/>
        <v>0</v>
      </c>
      <c r="W1114" s="976">
        <f t="shared" si="2568"/>
        <v>0</v>
      </c>
      <c r="X1114" s="975">
        <f t="shared" si="2569"/>
        <v>0</v>
      </c>
      <c r="Y1114" s="519"/>
      <c r="AA1114" s="24"/>
      <c r="AB1114" s="24"/>
      <c r="AC1114" s="24"/>
      <c r="AD1114" s="24"/>
      <c r="AE1114" s="24"/>
    </row>
    <row r="1115" spans="1:31" outlineLevel="1">
      <c r="A1115" s="55">
        <v>2422091000</v>
      </c>
      <c r="B1115" s="509" t="s">
        <v>110</v>
      </c>
      <c r="C1115" s="679" t="s">
        <v>64</v>
      </c>
      <c r="D1115" s="680"/>
      <c r="E1115" s="219">
        <v>44957</v>
      </c>
      <c r="F1115" s="416"/>
      <c r="G1115" s="1251"/>
      <c r="H1115" s="676"/>
      <c r="I1115" s="681"/>
      <c r="J1115" s="1425">
        <v>1</v>
      </c>
      <c r="K1115" s="1426">
        <v>1</v>
      </c>
      <c r="L1115" s="449">
        <v>140189.18999999994</v>
      </c>
      <c r="M1115" s="1312">
        <f t="shared" si="2592"/>
        <v>140189.18999999994</v>
      </c>
      <c r="N1115" s="504">
        <f ca="1">IF(OR(E1115="",E1115&gt;TODAY()),0,IF(ISERROR(VLOOKUP($E1115,'TRM BanRep'!$A:$G,7,0)),0,VLOOKUP($E1115,'TRM BanRep'!$A:$G,7,0)))</f>
        <v>4632.2</v>
      </c>
      <c r="O1115" s="682">
        <f t="shared" ca="1" si="2593"/>
        <v>649384365.91799974</v>
      </c>
      <c r="P1115" s="431"/>
      <c r="Q1115" s="514">
        <f t="shared" si="2594"/>
        <v>0</v>
      </c>
      <c r="R1115" s="515"/>
      <c r="S1115" s="515"/>
      <c r="T1115" s="562">
        <f t="shared" si="2595"/>
        <v>0</v>
      </c>
      <c r="U1115" s="418">
        <f t="shared" si="2596"/>
        <v>140189.18999999994</v>
      </c>
      <c r="V1115" s="517">
        <f t="shared" ca="1" si="2597"/>
        <v>649384365.91799974</v>
      </c>
      <c r="W1115" s="976">
        <f t="shared" si="2568"/>
        <v>0</v>
      </c>
      <c r="X1115" s="975">
        <f t="shared" si="2569"/>
        <v>0</v>
      </c>
      <c r="Y1115" s="519"/>
      <c r="AA1115" s="24">
        <f ca="1">$B$4-N1115</f>
        <v>36.800000000000182</v>
      </c>
      <c r="AB1115" s="24">
        <f t="shared" ref="AB1115" ca="1" si="2603">+U1115*AA1115</f>
        <v>5158962.1920000231</v>
      </c>
      <c r="AC1115" s="24"/>
      <c r="AD1115" s="24"/>
      <c r="AE1115" s="24"/>
    </row>
    <row r="1116" spans="1:31" outlineLevel="1">
      <c r="A1116" s="55">
        <v>2422091000</v>
      </c>
      <c r="B1116" s="509" t="s">
        <v>111</v>
      </c>
      <c r="C1116" s="679" t="s">
        <v>64</v>
      </c>
      <c r="D1116" s="680"/>
      <c r="E1116" s="219">
        <v>44985</v>
      </c>
      <c r="F1116" s="416"/>
      <c r="G1116" s="1251"/>
      <c r="H1116" s="676"/>
      <c r="I1116" s="681"/>
      <c r="J1116" s="1425">
        <v>1</v>
      </c>
      <c r="K1116" s="1426">
        <v>1</v>
      </c>
      <c r="L1116" s="449">
        <v>126622.48999999999</v>
      </c>
      <c r="M1116" s="1312">
        <f t="shared" si="2592"/>
        <v>126622.48999999999</v>
      </c>
      <c r="N1116" s="504">
        <f ca="1">IF(OR(E1116="",E1116&gt;TODAY()),0,IF(ISERROR(VLOOKUP($E1116,'TRM BanRep'!$A:$G,7,0)),0,VLOOKUP($E1116,'TRM BanRep'!$A:$G,7,0)))</f>
        <v>4808.1400000000003</v>
      </c>
      <c r="O1116" s="682">
        <f t="shared" ca="1" si="2593"/>
        <v>608818659.06859994</v>
      </c>
      <c r="P1116" s="431"/>
      <c r="Q1116" s="514">
        <f t="shared" si="2594"/>
        <v>0</v>
      </c>
      <c r="R1116" s="515"/>
      <c r="S1116" s="515"/>
      <c r="T1116" s="562">
        <f t="shared" si="2595"/>
        <v>0</v>
      </c>
      <c r="U1116" s="418">
        <f t="shared" si="2596"/>
        <v>126622.48999999999</v>
      </c>
      <c r="V1116" s="517">
        <f t="shared" ca="1" si="2597"/>
        <v>608818659.06859994</v>
      </c>
      <c r="W1116" s="976">
        <f t="shared" si="2568"/>
        <v>0</v>
      </c>
      <c r="X1116" s="975">
        <f t="shared" si="2569"/>
        <v>0</v>
      </c>
      <c r="Y1116" s="519"/>
      <c r="AA1116" s="24">
        <f t="shared" ref="AA1116:AA1128" ca="1" si="2604">$B$4-N1116</f>
        <v>-139.14000000000033</v>
      </c>
      <c r="AB1116" s="24">
        <f t="shared" ref="AB1116:AB1128" ca="1" si="2605">+U1116*AA1116</f>
        <v>-17618253.258600041</v>
      </c>
      <c r="AC1116" s="24"/>
      <c r="AD1116" s="24"/>
      <c r="AE1116" s="24"/>
    </row>
    <row r="1117" spans="1:31" outlineLevel="1">
      <c r="A1117" s="55">
        <v>2422091000</v>
      </c>
      <c r="B1117" s="509" t="s">
        <v>201</v>
      </c>
      <c r="C1117" s="679" t="s">
        <v>64</v>
      </c>
      <c r="D1117" s="680"/>
      <c r="E1117" s="219">
        <v>44987</v>
      </c>
      <c r="F1117" s="416"/>
      <c r="G1117" s="1251"/>
      <c r="H1117" s="676"/>
      <c r="I1117" s="681"/>
      <c r="J1117" s="1425">
        <v>1</v>
      </c>
      <c r="K1117" s="1426">
        <v>1</v>
      </c>
      <c r="L1117" s="449">
        <v>9044.4599999999627</v>
      </c>
      <c r="M1117" s="1312">
        <f t="shared" si="2592"/>
        <v>9044.4599999999627</v>
      </c>
      <c r="N1117" s="504">
        <f ca="1">IF(OR(E1117="",E1117&gt;TODAY()),0,IF(ISERROR(VLOOKUP($E1117,'TRM BanRep'!$A:$G,7,0)),0,VLOOKUP($E1117,'TRM BanRep'!$A:$G,7,0)))</f>
        <v>4848.78</v>
      </c>
      <c r="O1117" s="682">
        <f t="shared" ca="1" si="2593"/>
        <v>43854596.758799814</v>
      </c>
      <c r="P1117" s="431"/>
      <c r="Q1117" s="514">
        <f t="shared" si="2594"/>
        <v>0</v>
      </c>
      <c r="R1117" s="515"/>
      <c r="S1117" s="515"/>
      <c r="T1117" s="562">
        <f t="shared" si="2595"/>
        <v>0</v>
      </c>
      <c r="U1117" s="418">
        <f t="shared" si="2596"/>
        <v>9044.4599999999627</v>
      </c>
      <c r="V1117" s="517">
        <f t="shared" ca="1" si="2597"/>
        <v>43854596.758799814</v>
      </c>
      <c r="W1117" s="976">
        <f t="shared" si="2568"/>
        <v>0</v>
      </c>
      <c r="X1117" s="975">
        <f t="shared" si="2569"/>
        <v>0</v>
      </c>
      <c r="Y1117" s="519"/>
      <c r="AA1117" s="24">
        <f t="shared" ca="1" si="2604"/>
        <v>-179.77999999999975</v>
      </c>
      <c r="AB1117" s="24">
        <f t="shared" ca="1" si="2605"/>
        <v>-1626013.0187999911</v>
      </c>
      <c r="AC1117" s="24"/>
      <c r="AD1117" s="24"/>
      <c r="AE1117" s="24"/>
    </row>
    <row r="1118" spans="1:31" outlineLevel="1">
      <c r="A1118" s="55">
        <v>2422091000</v>
      </c>
      <c r="B1118" s="509" t="s">
        <v>112</v>
      </c>
      <c r="C1118" s="679" t="s">
        <v>64</v>
      </c>
      <c r="D1118" s="680"/>
      <c r="E1118" s="219">
        <v>45016</v>
      </c>
      <c r="F1118" s="416"/>
      <c r="G1118" s="1251"/>
      <c r="H1118" s="676"/>
      <c r="I1118" s="681"/>
      <c r="J1118" s="1425">
        <v>1</v>
      </c>
      <c r="K1118" s="1426">
        <v>1</v>
      </c>
      <c r="L1118" s="449">
        <v>165727.54</v>
      </c>
      <c r="M1118" s="1312">
        <f t="shared" si="2592"/>
        <v>165727.54</v>
      </c>
      <c r="N1118" s="504">
        <f ca="1">IF(OR(E1118="",E1118&gt;TODAY()),0,IF(ISERROR(VLOOKUP($E1118,'TRM BanRep'!$A:$G,7,0)),0,VLOOKUP($E1118,'TRM BanRep'!$A:$G,7,0)))</f>
        <v>4627.2700000000004</v>
      </c>
      <c r="O1118" s="682">
        <f t="shared" ca="1" si="2593"/>
        <v>766866074.01580012</v>
      </c>
      <c r="P1118" s="431"/>
      <c r="Q1118" s="514">
        <f t="shared" si="2594"/>
        <v>0</v>
      </c>
      <c r="R1118" s="515"/>
      <c r="S1118" s="515"/>
      <c r="T1118" s="562">
        <f t="shared" si="2595"/>
        <v>0</v>
      </c>
      <c r="U1118" s="418">
        <f t="shared" si="2596"/>
        <v>165727.54</v>
      </c>
      <c r="V1118" s="517">
        <f t="shared" ca="1" si="2597"/>
        <v>766866074.01580012</v>
      </c>
      <c r="W1118" s="976">
        <f t="shared" si="2568"/>
        <v>0</v>
      </c>
      <c r="X1118" s="975">
        <f t="shared" si="2569"/>
        <v>0</v>
      </c>
      <c r="Y1118" s="519"/>
      <c r="AA1118" s="24">
        <f t="shared" ca="1" si="2604"/>
        <v>41.729999999999563</v>
      </c>
      <c r="AB1118" s="24">
        <f t="shared" ca="1" si="2605"/>
        <v>6915810.2441999279</v>
      </c>
      <c r="AC1118" s="24"/>
      <c r="AD1118" s="24"/>
      <c r="AE1118" s="24"/>
    </row>
    <row r="1119" spans="1:31" outlineLevel="1">
      <c r="A1119" s="55">
        <v>2422091000</v>
      </c>
      <c r="B1119" s="509" t="s">
        <v>113</v>
      </c>
      <c r="C1119" s="679" t="s">
        <v>64</v>
      </c>
      <c r="D1119" s="680"/>
      <c r="E1119" s="219">
        <v>45046</v>
      </c>
      <c r="F1119" s="416"/>
      <c r="G1119" s="1251"/>
      <c r="H1119" s="676"/>
      <c r="I1119" s="681"/>
      <c r="J1119" s="1425">
        <v>1</v>
      </c>
      <c r="K1119" s="1426">
        <v>1</v>
      </c>
      <c r="L1119" s="449">
        <v>171442.29</v>
      </c>
      <c r="M1119" s="1312">
        <f t="shared" si="2592"/>
        <v>171442.29</v>
      </c>
      <c r="N1119" s="504">
        <f ca="1">IF(OR(E1119="",E1119&gt;TODAY()),0,IF(ISERROR(VLOOKUP($E1119,'TRM BanRep'!$A:$G,7,0)),0,VLOOKUP($E1119,'TRM BanRep'!$A:$G,7,0)))</f>
        <v>4669</v>
      </c>
      <c r="O1119" s="682">
        <f t="shared" ca="1" si="2593"/>
        <v>800464052.00999999</v>
      </c>
      <c r="P1119" s="431"/>
      <c r="Q1119" s="514">
        <f t="shared" si="2594"/>
        <v>0</v>
      </c>
      <c r="R1119" s="515"/>
      <c r="S1119" s="515"/>
      <c r="T1119" s="562">
        <f t="shared" si="2595"/>
        <v>0</v>
      </c>
      <c r="U1119" s="418">
        <f t="shared" si="2596"/>
        <v>171442.29</v>
      </c>
      <c r="V1119" s="517">
        <f t="shared" ca="1" si="2597"/>
        <v>800464052.00999999</v>
      </c>
      <c r="W1119" s="976">
        <f t="shared" si="2568"/>
        <v>0</v>
      </c>
      <c r="X1119" s="975">
        <f t="shared" si="2569"/>
        <v>0</v>
      </c>
      <c r="Y1119" s="519"/>
      <c r="AA1119" s="24">
        <f t="shared" ca="1" si="2604"/>
        <v>0</v>
      </c>
      <c r="AB1119" s="24">
        <f t="shared" ca="1" si="2605"/>
        <v>0</v>
      </c>
      <c r="AC1119" s="24"/>
      <c r="AD1119" s="24"/>
      <c r="AE1119" s="24"/>
    </row>
    <row r="1120" spans="1:31" outlineLevel="1">
      <c r="A1120" s="55">
        <v>2422091000</v>
      </c>
      <c r="B1120" s="509" t="s">
        <v>114</v>
      </c>
      <c r="C1120" s="679" t="s">
        <v>64</v>
      </c>
      <c r="D1120" s="680"/>
      <c r="E1120" s="219">
        <v>45077</v>
      </c>
      <c r="F1120" s="416"/>
      <c r="G1120" s="1251"/>
      <c r="H1120" s="676"/>
      <c r="I1120" s="681"/>
      <c r="J1120" s="1425">
        <v>1</v>
      </c>
      <c r="K1120" s="1426">
        <v>1</v>
      </c>
      <c r="L1120" s="449"/>
      <c r="M1120" s="1312">
        <f t="shared" si="2592"/>
        <v>0</v>
      </c>
      <c r="N1120" s="504">
        <f ca="1">IF(OR(E1120="",E1120&gt;TODAY()),0,IF(ISERROR(VLOOKUP($E1120,'TRM BanRep'!$A:$G,7,0)),0,VLOOKUP($E1120,'TRM BanRep'!$A:$G,7,0)))</f>
        <v>0</v>
      </c>
      <c r="O1120" s="682">
        <f t="shared" ca="1" si="2593"/>
        <v>0</v>
      </c>
      <c r="P1120" s="431"/>
      <c r="Q1120" s="514">
        <f t="shared" si="2594"/>
        <v>0</v>
      </c>
      <c r="R1120" s="515"/>
      <c r="S1120" s="515"/>
      <c r="T1120" s="562">
        <f t="shared" si="2595"/>
        <v>0</v>
      </c>
      <c r="U1120" s="418">
        <f t="shared" si="2596"/>
        <v>0</v>
      </c>
      <c r="V1120" s="517">
        <f t="shared" ca="1" si="2597"/>
        <v>0</v>
      </c>
      <c r="W1120" s="976">
        <f t="shared" si="2568"/>
        <v>0</v>
      </c>
      <c r="X1120" s="975">
        <f t="shared" si="2569"/>
        <v>0</v>
      </c>
      <c r="Y1120" s="519"/>
      <c r="AA1120" s="24">
        <f t="shared" ca="1" si="2604"/>
        <v>4669</v>
      </c>
      <c r="AB1120" s="24">
        <f t="shared" ca="1" si="2605"/>
        <v>0</v>
      </c>
      <c r="AC1120" s="24"/>
      <c r="AD1120" s="24"/>
      <c r="AE1120" s="24"/>
    </row>
    <row r="1121" spans="1:31" outlineLevel="1">
      <c r="A1121" s="55">
        <v>2422091000</v>
      </c>
      <c r="B1121" s="509" t="s">
        <v>115</v>
      </c>
      <c r="C1121" s="679" t="s">
        <v>64</v>
      </c>
      <c r="D1121" s="680"/>
      <c r="E1121" s="219">
        <v>45107</v>
      </c>
      <c r="F1121" s="416"/>
      <c r="G1121" s="1251"/>
      <c r="H1121" s="676"/>
      <c r="I1121" s="681"/>
      <c r="J1121" s="1425">
        <v>1</v>
      </c>
      <c r="K1121" s="1426">
        <v>1</v>
      </c>
      <c r="L1121" s="449"/>
      <c r="M1121" s="1312">
        <f t="shared" si="2592"/>
        <v>0</v>
      </c>
      <c r="N1121" s="504">
        <f ca="1">IF(OR(E1121="",E1121&gt;TODAY()),0,IF(ISERROR(VLOOKUP($E1121,'TRM BanRep'!$A:$G,7,0)),0,VLOOKUP($E1121,'TRM BanRep'!$A:$G,7,0)))</f>
        <v>0</v>
      </c>
      <c r="O1121" s="682">
        <f t="shared" ca="1" si="2593"/>
        <v>0</v>
      </c>
      <c r="P1121" s="431"/>
      <c r="Q1121" s="514">
        <f t="shared" si="2594"/>
        <v>0</v>
      </c>
      <c r="R1121" s="515"/>
      <c r="S1121" s="515"/>
      <c r="T1121" s="562">
        <f t="shared" si="2595"/>
        <v>0</v>
      </c>
      <c r="U1121" s="418">
        <f t="shared" si="2596"/>
        <v>0</v>
      </c>
      <c r="V1121" s="517">
        <f t="shared" ca="1" si="2597"/>
        <v>0</v>
      </c>
      <c r="W1121" s="976">
        <f t="shared" si="2568"/>
        <v>0</v>
      </c>
      <c r="X1121" s="975">
        <f t="shared" si="2569"/>
        <v>0</v>
      </c>
      <c r="Y1121" s="519"/>
      <c r="AA1121" s="24">
        <f t="shared" ref="AA1121" ca="1" si="2606">$B$4-N1121</f>
        <v>4669</v>
      </c>
      <c r="AB1121" s="24">
        <f t="shared" ref="AB1121" ca="1" si="2607">+U1121*AA1121</f>
        <v>0</v>
      </c>
      <c r="AC1121" s="24"/>
      <c r="AD1121" s="24"/>
      <c r="AE1121" s="24"/>
    </row>
    <row r="1122" spans="1:31" outlineLevel="1">
      <c r="A1122" s="55">
        <v>2422091000</v>
      </c>
      <c r="B1122" s="509" t="s">
        <v>116</v>
      </c>
      <c r="C1122" s="679" t="s">
        <v>64</v>
      </c>
      <c r="D1122" s="680"/>
      <c r="E1122" s="219">
        <v>45138</v>
      </c>
      <c r="F1122" s="416"/>
      <c r="G1122" s="1251"/>
      <c r="H1122" s="676"/>
      <c r="I1122" s="681"/>
      <c r="J1122" s="1425">
        <v>1</v>
      </c>
      <c r="K1122" s="1426">
        <v>1</v>
      </c>
      <c r="L1122" s="449"/>
      <c r="M1122" s="1312">
        <f t="shared" si="2592"/>
        <v>0</v>
      </c>
      <c r="N1122" s="504">
        <f ca="1">IF(OR(E1122="",E1122&gt;TODAY()),0,IF(ISERROR(VLOOKUP($E1122,'TRM BanRep'!$A:$G,7,0)),0,VLOOKUP($E1122,'TRM BanRep'!$A:$G,7,0)))</f>
        <v>0</v>
      </c>
      <c r="O1122" s="682">
        <f t="shared" ca="1" si="2593"/>
        <v>0</v>
      </c>
      <c r="P1122" s="431"/>
      <c r="Q1122" s="514">
        <f t="shared" si="2594"/>
        <v>0</v>
      </c>
      <c r="R1122" s="515"/>
      <c r="S1122" s="515"/>
      <c r="T1122" s="562">
        <f t="shared" si="2595"/>
        <v>0</v>
      </c>
      <c r="U1122" s="418">
        <f t="shared" si="2596"/>
        <v>0</v>
      </c>
      <c r="V1122" s="517">
        <f t="shared" ca="1" si="2597"/>
        <v>0</v>
      </c>
      <c r="W1122" s="976">
        <f t="shared" si="2568"/>
        <v>0</v>
      </c>
      <c r="X1122" s="975">
        <f t="shared" si="2569"/>
        <v>0</v>
      </c>
      <c r="Y1122" s="519"/>
      <c r="AA1122" s="24">
        <f t="shared" ca="1" si="2604"/>
        <v>4669</v>
      </c>
      <c r="AB1122" s="24">
        <f t="shared" ca="1" si="2605"/>
        <v>0</v>
      </c>
      <c r="AC1122" s="24"/>
      <c r="AD1122" s="24"/>
      <c r="AE1122" s="24"/>
    </row>
    <row r="1123" spans="1:31" outlineLevel="1">
      <c r="A1123" s="55">
        <v>2422091000</v>
      </c>
      <c r="B1123" s="509" t="s">
        <v>117</v>
      </c>
      <c r="C1123" s="679" t="s">
        <v>64</v>
      </c>
      <c r="D1123" s="680"/>
      <c r="E1123" s="219">
        <v>45169</v>
      </c>
      <c r="F1123" s="416"/>
      <c r="G1123" s="1251"/>
      <c r="H1123" s="676"/>
      <c r="I1123" s="681"/>
      <c r="J1123" s="1425">
        <v>1</v>
      </c>
      <c r="K1123" s="1426">
        <v>1</v>
      </c>
      <c r="L1123" s="449"/>
      <c r="M1123" s="1312">
        <f t="shared" si="2592"/>
        <v>0</v>
      </c>
      <c r="N1123" s="504">
        <f ca="1">IF(OR(E1123="",E1123&gt;TODAY()),0,IF(ISERROR(VLOOKUP($E1123,'TRM BanRep'!$A:$G,7,0)),0,VLOOKUP($E1123,'TRM BanRep'!$A:$G,7,0)))</f>
        <v>0</v>
      </c>
      <c r="O1123" s="682">
        <f t="shared" ca="1" si="2593"/>
        <v>0</v>
      </c>
      <c r="P1123" s="431"/>
      <c r="Q1123" s="514">
        <f t="shared" si="2594"/>
        <v>0</v>
      </c>
      <c r="R1123" s="515"/>
      <c r="S1123" s="515"/>
      <c r="T1123" s="562">
        <f t="shared" si="2595"/>
        <v>0</v>
      </c>
      <c r="U1123" s="418">
        <f t="shared" si="2596"/>
        <v>0</v>
      </c>
      <c r="V1123" s="517">
        <f t="shared" ca="1" si="2597"/>
        <v>0</v>
      </c>
      <c r="W1123" s="976">
        <f t="shared" si="2568"/>
        <v>0</v>
      </c>
      <c r="X1123" s="975">
        <f t="shared" si="2569"/>
        <v>0</v>
      </c>
      <c r="Y1123" s="519"/>
      <c r="AA1123" s="24">
        <f t="shared" ca="1" si="2604"/>
        <v>4669</v>
      </c>
      <c r="AB1123" s="24">
        <f t="shared" ca="1" si="2605"/>
        <v>0</v>
      </c>
      <c r="AC1123" s="24"/>
      <c r="AD1123" s="24"/>
      <c r="AE1123" s="24"/>
    </row>
    <row r="1124" spans="1:31" outlineLevel="1">
      <c r="A1124" s="55">
        <v>2422091000</v>
      </c>
      <c r="B1124" s="509" t="s">
        <v>202</v>
      </c>
      <c r="C1124" s="679" t="s">
        <v>64</v>
      </c>
      <c r="D1124" s="680"/>
      <c r="E1124" s="219">
        <v>45170</v>
      </c>
      <c r="F1124" s="416"/>
      <c r="G1124" s="1251"/>
      <c r="H1124" s="676"/>
      <c r="I1124" s="681"/>
      <c r="J1124" s="1425">
        <v>1</v>
      </c>
      <c r="K1124" s="1426">
        <v>1</v>
      </c>
      <c r="L1124" s="449"/>
      <c r="M1124" s="1312">
        <f t="shared" si="2592"/>
        <v>0</v>
      </c>
      <c r="N1124" s="504">
        <f ca="1">IF(OR(E1124="",E1124&gt;TODAY()),0,IF(ISERROR(VLOOKUP($E1124,'TRM BanRep'!$A:$G,7,0)),0,VLOOKUP($E1124,'TRM BanRep'!$A:$G,7,0)))</f>
        <v>0</v>
      </c>
      <c r="O1124" s="682">
        <f t="shared" ca="1" si="2593"/>
        <v>0</v>
      </c>
      <c r="P1124" s="431"/>
      <c r="Q1124" s="514">
        <f t="shared" si="2594"/>
        <v>0</v>
      </c>
      <c r="R1124" s="515"/>
      <c r="S1124" s="515"/>
      <c r="T1124" s="562">
        <f t="shared" si="2595"/>
        <v>0</v>
      </c>
      <c r="U1124" s="418">
        <f t="shared" si="2596"/>
        <v>0</v>
      </c>
      <c r="V1124" s="517">
        <f t="shared" ca="1" si="2597"/>
        <v>0</v>
      </c>
      <c r="W1124" s="976">
        <f t="shared" si="2568"/>
        <v>0</v>
      </c>
      <c r="X1124" s="975">
        <f t="shared" si="2569"/>
        <v>0</v>
      </c>
      <c r="Y1124" s="519"/>
      <c r="AA1124" s="24">
        <f t="shared" ca="1" si="2604"/>
        <v>4669</v>
      </c>
      <c r="AB1124" s="24">
        <f t="shared" ca="1" si="2605"/>
        <v>0</v>
      </c>
      <c r="AC1124" s="24"/>
      <c r="AD1124" s="24"/>
      <c r="AE1124" s="24"/>
    </row>
    <row r="1125" spans="1:31" outlineLevel="1">
      <c r="A1125" s="55">
        <v>2422091000</v>
      </c>
      <c r="B1125" s="509" t="s">
        <v>118</v>
      </c>
      <c r="C1125" s="679" t="s">
        <v>64</v>
      </c>
      <c r="D1125" s="680"/>
      <c r="E1125" s="219">
        <v>45199</v>
      </c>
      <c r="F1125" s="416"/>
      <c r="G1125" s="1251"/>
      <c r="H1125" s="676"/>
      <c r="I1125" s="681"/>
      <c r="J1125" s="1425">
        <v>1</v>
      </c>
      <c r="K1125" s="1426">
        <v>1</v>
      </c>
      <c r="L1125" s="449"/>
      <c r="M1125" s="1312">
        <f t="shared" si="2592"/>
        <v>0</v>
      </c>
      <c r="N1125" s="504">
        <f ca="1">IF(OR(E1125="",E1125&gt;TODAY()),0,IF(ISERROR(VLOOKUP($E1125,'TRM BanRep'!$A:$G,7,0)),0,VLOOKUP($E1125,'TRM BanRep'!$A:$G,7,0)))</f>
        <v>0</v>
      </c>
      <c r="O1125" s="682">
        <f t="shared" ca="1" si="2593"/>
        <v>0</v>
      </c>
      <c r="P1125" s="431"/>
      <c r="Q1125" s="514">
        <f t="shared" si="2594"/>
        <v>0</v>
      </c>
      <c r="R1125" s="515"/>
      <c r="S1125" s="515"/>
      <c r="T1125" s="562">
        <f t="shared" si="2595"/>
        <v>0</v>
      </c>
      <c r="U1125" s="418">
        <f t="shared" si="2596"/>
        <v>0</v>
      </c>
      <c r="V1125" s="517">
        <f t="shared" ca="1" si="2597"/>
        <v>0</v>
      </c>
      <c r="W1125" s="976">
        <f t="shared" si="2568"/>
        <v>0</v>
      </c>
      <c r="X1125" s="975">
        <f t="shared" si="2569"/>
        <v>0</v>
      </c>
      <c r="Y1125" s="519"/>
      <c r="AA1125" s="24">
        <f t="shared" ca="1" si="2604"/>
        <v>4669</v>
      </c>
      <c r="AB1125" s="24">
        <f t="shared" ca="1" si="2605"/>
        <v>0</v>
      </c>
      <c r="AC1125" s="24"/>
      <c r="AD1125" s="24"/>
      <c r="AE1125" s="24"/>
    </row>
    <row r="1126" spans="1:31" outlineLevel="1">
      <c r="A1126" s="55">
        <v>2422091000</v>
      </c>
      <c r="B1126" s="509" t="s">
        <v>119</v>
      </c>
      <c r="C1126" s="679" t="s">
        <v>64</v>
      </c>
      <c r="D1126" s="680"/>
      <c r="E1126" s="219">
        <v>45230</v>
      </c>
      <c r="F1126" s="416"/>
      <c r="G1126" s="1251"/>
      <c r="H1126" s="676"/>
      <c r="I1126" s="681"/>
      <c r="J1126" s="1425">
        <v>1</v>
      </c>
      <c r="K1126" s="1426">
        <v>1</v>
      </c>
      <c r="L1126" s="449"/>
      <c r="M1126" s="1312">
        <f t="shared" si="2592"/>
        <v>0</v>
      </c>
      <c r="N1126" s="504">
        <f ca="1">IF(OR(E1126="",E1126&gt;TODAY()),0,IF(ISERROR(VLOOKUP($E1126,'TRM BanRep'!$A:$G,7,0)),0,VLOOKUP($E1126,'TRM BanRep'!$A:$G,7,0)))</f>
        <v>0</v>
      </c>
      <c r="O1126" s="682">
        <f t="shared" ca="1" si="2593"/>
        <v>0</v>
      </c>
      <c r="P1126" s="431"/>
      <c r="Q1126" s="514">
        <f t="shared" si="2594"/>
        <v>0</v>
      </c>
      <c r="R1126" s="515"/>
      <c r="S1126" s="515"/>
      <c r="T1126" s="562">
        <f t="shared" si="2595"/>
        <v>0</v>
      </c>
      <c r="U1126" s="418">
        <f t="shared" si="2596"/>
        <v>0</v>
      </c>
      <c r="V1126" s="517">
        <f t="shared" ca="1" si="2597"/>
        <v>0</v>
      </c>
      <c r="W1126" s="976">
        <f t="shared" si="2568"/>
        <v>0</v>
      </c>
      <c r="X1126" s="975">
        <f t="shared" si="2569"/>
        <v>0</v>
      </c>
      <c r="Y1126" s="519"/>
      <c r="AA1126" s="24">
        <f t="shared" ca="1" si="2604"/>
        <v>4669</v>
      </c>
      <c r="AB1126" s="24">
        <f t="shared" ca="1" si="2605"/>
        <v>0</v>
      </c>
      <c r="AC1126" s="24"/>
      <c r="AD1126" s="24"/>
      <c r="AE1126" s="24"/>
    </row>
    <row r="1127" spans="1:31" outlineLevel="1">
      <c r="A1127" s="55">
        <v>2422091000</v>
      </c>
      <c r="B1127" s="509" t="s">
        <v>120</v>
      </c>
      <c r="C1127" s="679" t="s">
        <v>64</v>
      </c>
      <c r="D1127" s="680"/>
      <c r="E1127" s="219">
        <v>45260</v>
      </c>
      <c r="F1127" s="416"/>
      <c r="G1127" s="1251"/>
      <c r="H1127" s="676"/>
      <c r="I1127" s="681"/>
      <c r="J1127" s="1425">
        <v>1</v>
      </c>
      <c r="K1127" s="1426">
        <v>1</v>
      </c>
      <c r="L1127" s="449"/>
      <c r="M1127" s="1312">
        <f t="shared" si="2592"/>
        <v>0</v>
      </c>
      <c r="N1127" s="504">
        <f ca="1">IF(OR(E1127="",E1127&gt;TODAY()),0,IF(ISERROR(VLOOKUP($E1127,'TRM BanRep'!$A:$G,7,0)),0,VLOOKUP($E1127,'TRM BanRep'!$A:$G,7,0)))</f>
        <v>0</v>
      </c>
      <c r="O1127" s="682">
        <f t="shared" ca="1" si="2593"/>
        <v>0</v>
      </c>
      <c r="P1127" s="431"/>
      <c r="Q1127" s="514">
        <f t="shared" si="2594"/>
        <v>0</v>
      </c>
      <c r="R1127" s="515"/>
      <c r="S1127" s="515"/>
      <c r="T1127" s="562">
        <f t="shared" si="2595"/>
        <v>0</v>
      </c>
      <c r="U1127" s="418">
        <f t="shared" si="2596"/>
        <v>0</v>
      </c>
      <c r="V1127" s="517">
        <f t="shared" ca="1" si="2597"/>
        <v>0</v>
      </c>
      <c r="W1127" s="976">
        <f t="shared" si="2568"/>
        <v>0</v>
      </c>
      <c r="X1127" s="975">
        <f t="shared" si="2569"/>
        <v>0</v>
      </c>
      <c r="Y1127" s="519"/>
      <c r="AA1127" s="24">
        <f t="shared" ref="AA1127" ca="1" si="2608">$B$4-N1127</f>
        <v>4669</v>
      </c>
      <c r="AB1127" s="24">
        <f t="shared" ref="AB1127" ca="1" si="2609">+U1127*AA1127</f>
        <v>0</v>
      </c>
      <c r="AC1127" s="24"/>
      <c r="AD1127" s="24"/>
      <c r="AE1127" s="24"/>
    </row>
    <row r="1128" spans="1:31" outlineLevel="1">
      <c r="A1128" s="55">
        <v>2422091000</v>
      </c>
      <c r="B1128" s="509" t="s">
        <v>121</v>
      </c>
      <c r="C1128" s="679" t="s">
        <v>64</v>
      </c>
      <c r="D1128" s="680"/>
      <c r="E1128" s="219">
        <v>45291</v>
      </c>
      <c r="F1128" s="416"/>
      <c r="G1128" s="1251"/>
      <c r="H1128" s="676"/>
      <c r="I1128" s="681"/>
      <c r="J1128" s="1425">
        <v>1</v>
      </c>
      <c r="K1128" s="1426">
        <v>1</v>
      </c>
      <c r="L1128" s="449"/>
      <c r="M1128" s="1312">
        <f t="shared" si="2592"/>
        <v>0</v>
      </c>
      <c r="N1128" s="504">
        <f ca="1">IF(OR(E1128="",E1128&gt;TODAY()),0,IF(ISERROR(VLOOKUP($E1128,'TRM BanRep'!$A:$G,7,0)),0,VLOOKUP($E1128,'TRM BanRep'!$A:$G,7,0)))</f>
        <v>0</v>
      </c>
      <c r="O1128" s="682">
        <f t="shared" ca="1" si="2593"/>
        <v>0</v>
      </c>
      <c r="P1128" s="431"/>
      <c r="Q1128" s="514">
        <f t="shared" si="2594"/>
        <v>0</v>
      </c>
      <c r="R1128" s="515"/>
      <c r="S1128" s="515"/>
      <c r="T1128" s="562">
        <f t="shared" si="2595"/>
        <v>0</v>
      </c>
      <c r="U1128" s="418">
        <f t="shared" si="2596"/>
        <v>0</v>
      </c>
      <c r="V1128" s="517">
        <f t="shared" ca="1" si="2597"/>
        <v>0</v>
      </c>
      <c r="W1128" s="976">
        <f t="shared" si="2568"/>
        <v>0</v>
      </c>
      <c r="X1128" s="975">
        <f t="shared" si="2569"/>
        <v>0</v>
      </c>
      <c r="Y1128" s="519"/>
      <c r="AA1128" s="24">
        <f t="shared" ca="1" si="2604"/>
        <v>4669</v>
      </c>
      <c r="AB1128" s="24">
        <f t="shared" ca="1" si="2605"/>
        <v>0</v>
      </c>
      <c r="AC1128" s="24"/>
      <c r="AD1128" s="24"/>
      <c r="AE1128" s="24"/>
    </row>
    <row r="1129" spans="1:31" outlineLevel="1">
      <c r="A1129" s="55"/>
      <c r="B1129" s="509"/>
      <c r="C1129" s="679"/>
      <c r="D1129" s="680"/>
      <c r="E1129" s="219"/>
      <c r="F1129" s="416"/>
      <c r="G1129" s="1251"/>
      <c r="H1129" s="676"/>
      <c r="I1129" s="681"/>
      <c r="J1129" s="1431"/>
      <c r="K1129" s="1432"/>
      <c r="L1129" s="438"/>
      <c r="M1129" s="1302"/>
      <c r="N1129" s="504"/>
      <c r="O1129" s="682">
        <f t="shared" si="2593"/>
        <v>0</v>
      </c>
      <c r="P1129" s="431"/>
      <c r="Q1129" s="514">
        <f t="shared" si="2594"/>
        <v>0</v>
      </c>
      <c r="R1129" s="515"/>
      <c r="S1129" s="515"/>
      <c r="T1129" s="562">
        <f t="shared" si="2595"/>
        <v>0</v>
      </c>
      <c r="U1129" s="418">
        <f t="shared" si="2596"/>
        <v>0</v>
      </c>
      <c r="V1129" s="517">
        <f t="shared" si="2597"/>
        <v>0</v>
      </c>
      <c r="W1129" s="976">
        <f t="shared" si="2568"/>
        <v>0</v>
      </c>
      <c r="X1129" s="975">
        <f t="shared" si="2569"/>
        <v>0</v>
      </c>
      <c r="Y1129" s="519"/>
      <c r="AA1129" s="24"/>
      <c r="AB1129" s="24"/>
      <c r="AC1129" s="24"/>
      <c r="AD1129" s="24"/>
      <c r="AE1129" s="24"/>
    </row>
    <row r="1130" spans="1:31" outlineLevel="1">
      <c r="A1130" s="55">
        <v>2422091000</v>
      </c>
      <c r="B1130" s="509" t="s">
        <v>124</v>
      </c>
      <c r="C1130" s="679" t="s">
        <v>64</v>
      </c>
      <c r="D1130" s="831">
        <v>44440</v>
      </c>
      <c r="E1130" s="219">
        <v>44987</v>
      </c>
      <c r="F1130" s="416"/>
      <c r="G1130" s="1251"/>
      <c r="H1130" s="676"/>
      <c r="I1130" s="681"/>
      <c r="J1130" s="1425">
        <v>1</v>
      </c>
      <c r="K1130" s="1426">
        <v>1</v>
      </c>
      <c r="L1130" s="438"/>
      <c r="M1130" s="1302">
        <f t="shared" si="2592"/>
        <v>0</v>
      </c>
      <c r="N1130" s="504"/>
      <c r="O1130" s="682">
        <f t="shared" si="2593"/>
        <v>0</v>
      </c>
      <c r="P1130" s="431">
        <f>-F1110</f>
        <v>-131144.73000000001</v>
      </c>
      <c r="Q1130" s="514">
        <f t="shared" si="2594"/>
        <v>-131144.73000000001</v>
      </c>
      <c r="R1130" s="515">
        <f>+H1110</f>
        <v>4532.07</v>
      </c>
      <c r="S1130" s="515">
        <f ca="1">IF(OR(E1130="",E1130&gt;TODAY()),0,IF(ISERROR(VLOOKUP($E1130,'TRM BanRep'!$A:$G,7,0)),0,VLOOKUP($E1130,'TRM BanRep'!$A:$G,7,0)))</f>
        <v>4848.78</v>
      </c>
      <c r="T1130" s="562">
        <f t="shared" ca="1" si="2595"/>
        <v>-635891943.92939997</v>
      </c>
      <c r="U1130" s="418">
        <f t="shared" si="2596"/>
        <v>-131144.73000000001</v>
      </c>
      <c r="V1130" s="517">
        <f t="shared" si="2597"/>
        <v>-594357096.49109995</v>
      </c>
      <c r="W1130" s="976">
        <f t="shared" ca="1" si="2568"/>
        <v>41534847.438300014</v>
      </c>
      <c r="X1130" s="975">
        <f t="shared" ca="1" si="2569"/>
        <v>0</v>
      </c>
      <c r="Y1130" s="519"/>
      <c r="AA1130" s="24">
        <f>$B$4-R1130</f>
        <v>136.93000000000029</v>
      </c>
      <c r="AB1130" s="24">
        <f t="shared" ref="AB1130" si="2610">+U1130*AA1130</f>
        <v>-17957647.87890004</v>
      </c>
      <c r="AC1130" s="24"/>
      <c r="AD1130" s="24"/>
      <c r="AE1130" s="24"/>
    </row>
    <row r="1131" spans="1:31" outlineLevel="1">
      <c r="A1131" s="55">
        <v>2422091000</v>
      </c>
      <c r="B1131" s="509" t="s">
        <v>124</v>
      </c>
      <c r="C1131" s="679" t="s">
        <v>64</v>
      </c>
      <c r="D1131" s="837">
        <v>44470</v>
      </c>
      <c r="E1131" s="219">
        <v>44987</v>
      </c>
      <c r="F1131" s="416"/>
      <c r="G1131" s="1251"/>
      <c r="H1131" s="676"/>
      <c r="I1131" s="681"/>
      <c r="J1131" s="1425">
        <v>1</v>
      </c>
      <c r="K1131" s="1426">
        <v>1</v>
      </c>
      <c r="L1131" s="438"/>
      <c r="M1131" s="1302">
        <f t="shared" si="2592"/>
        <v>0</v>
      </c>
      <c r="N1131" s="504"/>
      <c r="O1131" s="682">
        <f t="shared" si="2593"/>
        <v>0</v>
      </c>
      <c r="P1131" s="431">
        <f t="shared" ref="P1131:P1133" si="2611">-F1111</f>
        <v>-140189.17999999996</v>
      </c>
      <c r="Q1131" s="514">
        <f t="shared" si="2594"/>
        <v>-140189.17999999996</v>
      </c>
      <c r="R1131" s="515">
        <f t="shared" ref="R1131:R1133" si="2612">+H1111</f>
        <v>4819.42</v>
      </c>
      <c r="S1131" s="515">
        <f ca="1">IF(OR(E1131="",E1131&gt;TODAY()),0,IF(ISERROR(VLOOKUP($E1131,'TRM BanRep'!$A:$G,7,0)),0,VLOOKUP($E1131,'TRM BanRep'!$A:$G,7,0)))</f>
        <v>4848.78</v>
      </c>
      <c r="T1131" s="562">
        <f t="shared" ca="1" si="2595"/>
        <v>-679746492.20039976</v>
      </c>
      <c r="U1131" s="418">
        <f t="shared" si="2596"/>
        <v>-140189.17999999996</v>
      </c>
      <c r="V1131" s="517">
        <f t="shared" si="2597"/>
        <v>-675630537.87559986</v>
      </c>
      <c r="W1131" s="976">
        <f t="shared" ca="1" si="2568"/>
        <v>4115954.3247998953</v>
      </c>
      <c r="X1131" s="975">
        <f t="shared" ca="1" si="2569"/>
        <v>0</v>
      </c>
      <c r="Y1131" s="519"/>
      <c r="AA1131" s="24">
        <f t="shared" ref="AA1131:AA1135" si="2613">$B$4-R1131</f>
        <v>-150.42000000000007</v>
      </c>
      <c r="AB1131" s="24">
        <f t="shared" ref="AB1131:AB1135" si="2614">+U1131*AA1131</f>
        <v>21087256.455600005</v>
      </c>
      <c r="AC1131" s="24"/>
      <c r="AD1131" s="24"/>
      <c r="AE1131" s="24"/>
    </row>
    <row r="1132" spans="1:31" outlineLevel="1">
      <c r="A1132" s="55">
        <v>2422091000</v>
      </c>
      <c r="B1132" s="509" t="s">
        <v>124</v>
      </c>
      <c r="C1132" s="679" t="s">
        <v>64</v>
      </c>
      <c r="D1132" s="837">
        <v>44501</v>
      </c>
      <c r="E1132" s="219">
        <v>44987</v>
      </c>
      <c r="F1132" s="416"/>
      <c r="G1132" s="1251"/>
      <c r="H1132" s="676"/>
      <c r="I1132" s="681"/>
      <c r="J1132" s="1425">
        <v>1</v>
      </c>
      <c r="K1132" s="1426">
        <v>1</v>
      </c>
      <c r="L1132" s="438"/>
      <c r="M1132" s="1302">
        <f t="shared" si="2592"/>
        <v>0</v>
      </c>
      <c r="N1132" s="504"/>
      <c r="O1132" s="682">
        <f t="shared" si="2593"/>
        <v>0</v>
      </c>
      <c r="P1132" s="431">
        <f t="shared" si="2611"/>
        <v>-135666.96000000002</v>
      </c>
      <c r="Q1132" s="514">
        <f t="shared" si="2594"/>
        <v>-135666.96000000002</v>
      </c>
      <c r="R1132" s="515">
        <f t="shared" si="2612"/>
        <v>4809.51</v>
      </c>
      <c r="S1132" s="515">
        <f ca="1">IF(OR(E1132="",E1132&gt;TODAY()),0,IF(ISERROR(VLOOKUP($E1132,'TRM BanRep'!$A:$G,7,0)),0,VLOOKUP($E1132,'TRM BanRep'!$A:$G,7,0)))</f>
        <v>4848.78</v>
      </c>
      <c r="T1132" s="562">
        <f t="shared" ca="1" si="2595"/>
        <v>-657819242.3088001</v>
      </c>
      <c r="U1132" s="418">
        <f t="shared" si="2596"/>
        <v>-135666.96000000002</v>
      </c>
      <c r="V1132" s="517">
        <f t="shared" si="2597"/>
        <v>-652491600.78960013</v>
      </c>
      <c r="W1132" s="976">
        <f t="shared" ca="1" si="2568"/>
        <v>5327641.5191999674</v>
      </c>
      <c r="X1132" s="975">
        <f t="shared" ca="1" si="2569"/>
        <v>0</v>
      </c>
      <c r="Y1132" s="519"/>
      <c r="AA1132" s="24">
        <f t="shared" si="2613"/>
        <v>-140.51000000000022</v>
      </c>
      <c r="AB1132" s="24">
        <f t="shared" si="2614"/>
        <v>19062564.549600031</v>
      </c>
      <c r="AC1132" s="24"/>
      <c r="AD1132" s="24"/>
      <c r="AE1132" s="24"/>
    </row>
    <row r="1133" spans="1:31" outlineLevel="1">
      <c r="A1133" s="55">
        <v>2422091000</v>
      </c>
      <c r="B1133" s="509" t="s">
        <v>124</v>
      </c>
      <c r="C1133" s="679" t="s">
        <v>64</v>
      </c>
      <c r="D1133" s="837">
        <v>44531</v>
      </c>
      <c r="E1133" s="219">
        <v>44987</v>
      </c>
      <c r="F1133" s="416"/>
      <c r="G1133" s="1251"/>
      <c r="H1133" s="676"/>
      <c r="I1133" s="681"/>
      <c r="J1133" s="1425">
        <v>1</v>
      </c>
      <c r="K1133" s="1426">
        <v>1</v>
      </c>
      <c r="L1133" s="438"/>
      <c r="M1133" s="1302">
        <f t="shared" si="2592"/>
        <v>0</v>
      </c>
      <c r="N1133" s="504"/>
      <c r="O1133" s="682">
        <f t="shared" si="2593"/>
        <v>0</v>
      </c>
      <c r="P1133" s="431">
        <f t="shared" si="2611"/>
        <v>-140189.18000000005</v>
      </c>
      <c r="Q1133" s="514">
        <f t="shared" si="2594"/>
        <v>-140189.18000000005</v>
      </c>
      <c r="R1133" s="515">
        <f t="shared" si="2612"/>
        <v>4810.2</v>
      </c>
      <c r="S1133" s="515">
        <f ca="1">IF(OR(E1133="",E1133&gt;TODAY()),0,IF(ISERROR(VLOOKUP($E1133,'TRM BanRep'!$A:$G,7,0)),0,VLOOKUP($E1133,'TRM BanRep'!$A:$G,7,0)))</f>
        <v>4848.78</v>
      </c>
      <c r="T1133" s="562">
        <f t="shared" ca="1" si="2595"/>
        <v>-679746492.20040023</v>
      </c>
      <c r="U1133" s="418">
        <f t="shared" si="2596"/>
        <v>-140189.18000000005</v>
      </c>
      <c r="V1133" s="517">
        <f t="shared" si="2597"/>
        <v>-674337993.63600028</v>
      </c>
      <c r="W1133" s="976">
        <f t="shared" ca="1" si="2568"/>
        <v>5408498.5643999577</v>
      </c>
      <c r="X1133" s="975">
        <f t="shared" ca="1" si="2569"/>
        <v>0</v>
      </c>
      <c r="Y1133" s="519"/>
      <c r="AA1133" s="24">
        <f t="shared" si="2613"/>
        <v>-141.19999999999982</v>
      </c>
      <c r="AB1133" s="24">
        <f t="shared" si="2614"/>
        <v>19794712.215999983</v>
      </c>
      <c r="AC1133" s="24"/>
      <c r="AD1133" s="24"/>
      <c r="AE1133" s="24"/>
    </row>
    <row r="1134" spans="1:31" outlineLevel="1">
      <c r="A1134" s="55">
        <v>2422091000</v>
      </c>
      <c r="B1134" s="509" t="s">
        <v>124</v>
      </c>
      <c r="C1134" s="679" t="s">
        <v>64</v>
      </c>
      <c r="D1134" s="837">
        <v>44562</v>
      </c>
      <c r="E1134" s="219">
        <v>44987</v>
      </c>
      <c r="F1134" s="416"/>
      <c r="G1134" s="1251"/>
      <c r="H1134" s="676"/>
      <c r="I1134" s="681"/>
      <c r="J1134" s="1425">
        <v>1</v>
      </c>
      <c r="K1134" s="1426">
        <v>1</v>
      </c>
      <c r="L1134" s="438"/>
      <c r="M1134" s="1302">
        <f t="shared" si="2592"/>
        <v>0</v>
      </c>
      <c r="N1134" s="504"/>
      <c r="O1134" s="682">
        <f t="shared" si="2593"/>
        <v>0</v>
      </c>
      <c r="P1134" s="431">
        <f>-L1115</f>
        <v>-140189.18999999994</v>
      </c>
      <c r="Q1134" s="514">
        <f t="shared" si="2594"/>
        <v>-140189.18999999994</v>
      </c>
      <c r="R1134" s="515">
        <f ca="1">+N1115</f>
        <v>4632.2</v>
      </c>
      <c r="S1134" s="515">
        <f ca="1">IF(OR(E1134="",E1134&gt;TODAY()),0,IF(ISERROR(VLOOKUP($E1134,'TRM BanRep'!$A:$G,7,0)),0,VLOOKUP($E1134,'TRM BanRep'!$A:$G,7,0)))</f>
        <v>4848.78</v>
      </c>
      <c r="T1134" s="562">
        <f t="shared" ca="1" si="2595"/>
        <v>-679746540.68819964</v>
      </c>
      <c r="U1134" s="418">
        <f t="shared" si="2596"/>
        <v>-140189.18999999994</v>
      </c>
      <c r="V1134" s="517">
        <f t="shared" ca="1" si="2597"/>
        <v>-649384365.91799974</v>
      </c>
      <c r="W1134" s="976">
        <f t="shared" ca="1" si="2568"/>
        <v>30362174.770199895</v>
      </c>
      <c r="X1134" s="975">
        <f t="shared" ca="1" si="2569"/>
        <v>0</v>
      </c>
      <c r="Y1134" s="519"/>
      <c r="AA1134" s="24">
        <f t="shared" ca="1" si="2613"/>
        <v>36.800000000000182</v>
      </c>
      <c r="AB1134" s="24">
        <f t="shared" ca="1" si="2614"/>
        <v>-5158962.1920000231</v>
      </c>
      <c r="AC1134" s="24"/>
      <c r="AD1134" s="24"/>
      <c r="AE1134" s="24"/>
    </row>
    <row r="1135" spans="1:31" outlineLevel="1">
      <c r="A1135" s="55">
        <v>2422091000</v>
      </c>
      <c r="B1135" s="509" t="s">
        <v>124</v>
      </c>
      <c r="C1135" s="679" t="s">
        <v>64</v>
      </c>
      <c r="D1135" s="837">
        <v>44593</v>
      </c>
      <c r="E1135" s="219">
        <v>44987</v>
      </c>
      <c r="F1135" s="416"/>
      <c r="G1135" s="1251"/>
      <c r="H1135" s="676"/>
      <c r="I1135" s="681"/>
      <c r="J1135" s="1425">
        <v>1</v>
      </c>
      <c r="K1135" s="1426">
        <v>1</v>
      </c>
      <c r="L1135" s="438"/>
      <c r="M1135" s="1302">
        <f t="shared" si="2592"/>
        <v>0</v>
      </c>
      <c r="N1135" s="504"/>
      <c r="O1135" s="682">
        <f t="shared" si="2593"/>
        <v>0</v>
      </c>
      <c r="P1135" s="431">
        <f t="shared" ref="P1135:P1136" si="2615">-L1116</f>
        <v>-126622.48999999999</v>
      </c>
      <c r="Q1135" s="514">
        <f t="shared" si="2594"/>
        <v>-126622.48999999999</v>
      </c>
      <c r="R1135" s="515">
        <f t="shared" ref="R1135:R1143" ca="1" si="2616">+N1116</f>
        <v>4808.1400000000003</v>
      </c>
      <c r="S1135" s="515">
        <f ca="1">IF(OR(E1135="",E1135&gt;TODAY()),0,IF(ISERROR(VLOOKUP($E1135,'TRM BanRep'!$A:$G,7,0)),0,VLOOKUP($E1135,'TRM BanRep'!$A:$G,7,0)))</f>
        <v>4848.78</v>
      </c>
      <c r="T1135" s="562">
        <f t="shared" ca="1" si="2595"/>
        <v>-613964597.06219995</v>
      </c>
      <c r="U1135" s="418">
        <f t="shared" si="2596"/>
        <v>-126622.48999999999</v>
      </c>
      <c r="V1135" s="517">
        <f t="shared" ca="1" si="2597"/>
        <v>-608818659.06859994</v>
      </c>
      <c r="W1135" s="976">
        <f t="shared" ca="1" si="2568"/>
        <v>5145937.9936000109</v>
      </c>
      <c r="X1135" s="975">
        <f t="shared" ca="1" si="2569"/>
        <v>0</v>
      </c>
      <c r="Y1135" s="519"/>
      <c r="AA1135" s="24">
        <f t="shared" ca="1" si="2613"/>
        <v>-139.14000000000033</v>
      </c>
      <c r="AB1135" s="24">
        <f t="shared" ca="1" si="2614"/>
        <v>17618253.258600041</v>
      </c>
      <c r="AC1135" s="24"/>
      <c r="AD1135" s="24"/>
      <c r="AE1135" s="24"/>
    </row>
    <row r="1136" spans="1:31" outlineLevel="1">
      <c r="A1136" s="55">
        <v>2422091000</v>
      </c>
      <c r="B1136" s="509" t="s">
        <v>124</v>
      </c>
      <c r="C1136" s="679" t="s">
        <v>64</v>
      </c>
      <c r="D1136" s="837">
        <v>44622</v>
      </c>
      <c r="E1136" s="219">
        <v>44987</v>
      </c>
      <c r="F1136" s="416"/>
      <c r="G1136" s="1251"/>
      <c r="H1136" s="676"/>
      <c r="I1136" s="681"/>
      <c r="J1136" s="1425">
        <v>1</v>
      </c>
      <c r="K1136" s="1426">
        <v>1</v>
      </c>
      <c r="L1136" s="438"/>
      <c r="M1136" s="1302">
        <f t="shared" si="2592"/>
        <v>0</v>
      </c>
      <c r="N1136" s="504"/>
      <c r="O1136" s="682">
        <f t="shared" si="2593"/>
        <v>0</v>
      </c>
      <c r="P1136" s="431">
        <f t="shared" si="2615"/>
        <v>-9044.4599999999627</v>
      </c>
      <c r="Q1136" s="514">
        <f t="shared" si="2594"/>
        <v>-9044.4599999999627</v>
      </c>
      <c r="R1136" s="515">
        <f t="shared" ca="1" si="2616"/>
        <v>4848.78</v>
      </c>
      <c r="S1136" s="515">
        <f ca="1">IF(OR(E1136="",E1136&gt;TODAY()),0,IF(ISERROR(VLOOKUP($E1136,'TRM BanRep'!$A:$G,7,0)),0,VLOOKUP($E1136,'TRM BanRep'!$A:$G,7,0)))</f>
        <v>4848.78</v>
      </c>
      <c r="T1136" s="562">
        <f t="shared" ca="1" si="2595"/>
        <v>-43854596.758799814</v>
      </c>
      <c r="U1136" s="418">
        <f t="shared" si="2596"/>
        <v>-9044.4599999999627</v>
      </c>
      <c r="V1136" s="517">
        <f t="shared" ca="1" si="2597"/>
        <v>-43854596.758799814</v>
      </c>
      <c r="W1136" s="976">
        <f t="shared" ca="1" si="2568"/>
        <v>0</v>
      </c>
      <c r="X1136" s="975">
        <f t="shared" ca="1" si="2569"/>
        <v>0</v>
      </c>
      <c r="Y1136" s="519"/>
      <c r="AA1136" s="24">
        <f t="shared" ref="AA1136" ca="1" si="2617">$B$4-R1136</f>
        <v>-179.77999999999975</v>
      </c>
      <c r="AB1136" s="24">
        <f t="shared" ref="AB1136" ca="1" si="2618">+U1136*AA1136</f>
        <v>1626013.0187999911</v>
      </c>
      <c r="AC1136" s="24"/>
      <c r="AD1136" s="24"/>
      <c r="AE1136" s="24"/>
    </row>
    <row r="1137" spans="1:31" outlineLevel="1">
      <c r="A1137" s="55">
        <v>2422091000</v>
      </c>
      <c r="B1137" s="509" t="s">
        <v>124</v>
      </c>
      <c r="C1137" s="679" t="s">
        <v>64</v>
      </c>
      <c r="D1137" s="831">
        <v>44651</v>
      </c>
      <c r="E1137" s="219">
        <v>45170</v>
      </c>
      <c r="F1137" s="416"/>
      <c r="G1137" s="1251"/>
      <c r="H1137" s="676"/>
      <c r="I1137" s="681"/>
      <c r="J1137" s="1425">
        <v>1</v>
      </c>
      <c r="K1137" s="1426">
        <v>1</v>
      </c>
      <c r="L1137" s="438"/>
      <c r="M1137" s="1302">
        <f t="shared" si="2592"/>
        <v>0</v>
      </c>
      <c r="N1137" s="504"/>
      <c r="O1137" s="682">
        <f t="shared" si="2593"/>
        <v>0</v>
      </c>
      <c r="P1137" s="431"/>
      <c r="Q1137" s="514">
        <f t="shared" si="2594"/>
        <v>0</v>
      </c>
      <c r="R1137" s="515">
        <f t="shared" ca="1" si="2616"/>
        <v>4627.2700000000004</v>
      </c>
      <c r="S1137" s="515">
        <f ca="1">IF(OR(E1137="",E1137&gt;TODAY()),0,IF(ISERROR(VLOOKUP($E1137,'TRM BanRep'!$A:$G,7,0)),0,VLOOKUP($E1137,'TRM BanRep'!$A:$G,7,0)))</f>
        <v>0</v>
      </c>
      <c r="T1137" s="562">
        <f t="shared" ca="1" si="2595"/>
        <v>0</v>
      </c>
      <c r="U1137" s="418">
        <f t="shared" si="2596"/>
        <v>0</v>
      </c>
      <c r="V1137" s="517">
        <f t="shared" ca="1" si="2597"/>
        <v>0</v>
      </c>
      <c r="W1137" s="976">
        <f t="shared" ca="1" si="2568"/>
        <v>0</v>
      </c>
      <c r="X1137" s="975">
        <f t="shared" ca="1" si="2569"/>
        <v>0</v>
      </c>
      <c r="Y1137" s="519"/>
      <c r="AA1137" s="24">
        <f t="shared" ref="AA1137:AA1138" ca="1" si="2619">$B$4-R1137</f>
        <v>41.729999999999563</v>
      </c>
      <c r="AB1137" s="24">
        <f t="shared" ref="AB1137:AB1138" ca="1" si="2620">+U1137*AA1137</f>
        <v>0</v>
      </c>
      <c r="AC1137" s="24"/>
      <c r="AD1137" s="24"/>
      <c r="AE1137" s="24"/>
    </row>
    <row r="1138" spans="1:31" outlineLevel="1">
      <c r="A1138" s="55">
        <v>2422091000</v>
      </c>
      <c r="B1138" s="509" t="s">
        <v>124</v>
      </c>
      <c r="C1138" s="679" t="s">
        <v>64</v>
      </c>
      <c r="D1138" s="837">
        <v>44652</v>
      </c>
      <c r="E1138" s="219">
        <v>45170</v>
      </c>
      <c r="F1138" s="416"/>
      <c r="G1138" s="1251"/>
      <c r="H1138" s="676"/>
      <c r="I1138" s="681"/>
      <c r="J1138" s="1425">
        <v>1</v>
      </c>
      <c r="K1138" s="1426">
        <v>1</v>
      </c>
      <c r="L1138" s="438"/>
      <c r="M1138" s="1302">
        <f t="shared" si="2592"/>
        <v>0</v>
      </c>
      <c r="N1138" s="504"/>
      <c r="O1138" s="682">
        <f t="shared" si="2593"/>
        <v>0</v>
      </c>
      <c r="P1138" s="431"/>
      <c r="Q1138" s="514">
        <f t="shared" si="2594"/>
        <v>0</v>
      </c>
      <c r="R1138" s="515">
        <f t="shared" ca="1" si="2616"/>
        <v>4669</v>
      </c>
      <c r="S1138" s="515">
        <f ca="1">IF(OR(E1138="",E1138&gt;TODAY()),0,IF(ISERROR(VLOOKUP($E1138,'TRM BanRep'!$A:$G,7,0)),0,VLOOKUP($E1138,'TRM BanRep'!$A:$G,7,0)))</f>
        <v>0</v>
      </c>
      <c r="T1138" s="562">
        <f t="shared" ca="1" si="2595"/>
        <v>0</v>
      </c>
      <c r="U1138" s="418">
        <f t="shared" si="2596"/>
        <v>0</v>
      </c>
      <c r="V1138" s="517">
        <f t="shared" ca="1" si="2597"/>
        <v>0</v>
      </c>
      <c r="W1138" s="976">
        <f t="shared" ca="1" si="2568"/>
        <v>0</v>
      </c>
      <c r="X1138" s="975">
        <f t="shared" ca="1" si="2569"/>
        <v>0</v>
      </c>
      <c r="Y1138" s="519"/>
      <c r="AA1138" s="24">
        <f t="shared" ca="1" si="2619"/>
        <v>0</v>
      </c>
      <c r="AB1138" s="24">
        <f t="shared" ca="1" si="2620"/>
        <v>0</v>
      </c>
      <c r="AC1138" s="24"/>
      <c r="AD1138" s="24"/>
      <c r="AE1138" s="24"/>
    </row>
    <row r="1139" spans="1:31" outlineLevel="1">
      <c r="A1139" s="55">
        <v>2422091000</v>
      </c>
      <c r="B1139" s="509" t="s">
        <v>124</v>
      </c>
      <c r="C1139" s="679" t="s">
        <v>64</v>
      </c>
      <c r="D1139" s="837">
        <v>44682</v>
      </c>
      <c r="E1139" s="219">
        <v>45170</v>
      </c>
      <c r="F1139" s="416"/>
      <c r="G1139" s="1251"/>
      <c r="H1139" s="676"/>
      <c r="I1139" s="681"/>
      <c r="J1139" s="1425">
        <v>1</v>
      </c>
      <c r="K1139" s="1426">
        <v>1</v>
      </c>
      <c r="L1139" s="438"/>
      <c r="M1139" s="1302">
        <f t="shared" si="2592"/>
        <v>0</v>
      </c>
      <c r="N1139" s="504"/>
      <c r="O1139" s="682">
        <f t="shared" si="2593"/>
        <v>0</v>
      </c>
      <c r="P1139" s="431"/>
      <c r="Q1139" s="514">
        <f t="shared" si="2594"/>
        <v>0</v>
      </c>
      <c r="R1139" s="515">
        <f t="shared" ca="1" si="2616"/>
        <v>0</v>
      </c>
      <c r="S1139" s="515">
        <f ca="1">IF(OR(E1139="",E1139&gt;TODAY()),0,IF(ISERROR(VLOOKUP($E1139,'TRM BanRep'!$A:$G,7,0)),0,VLOOKUP($E1139,'TRM BanRep'!$A:$G,7,0)))</f>
        <v>0</v>
      </c>
      <c r="T1139" s="562">
        <f t="shared" ca="1" si="2595"/>
        <v>0</v>
      </c>
      <c r="U1139" s="418">
        <f t="shared" si="2596"/>
        <v>0</v>
      </c>
      <c r="V1139" s="517">
        <f t="shared" ca="1" si="2597"/>
        <v>0</v>
      </c>
      <c r="W1139" s="976">
        <f t="shared" ca="1" si="2568"/>
        <v>0</v>
      </c>
      <c r="X1139" s="975">
        <f t="shared" ca="1" si="2569"/>
        <v>0</v>
      </c>
      <c r="Y1139" s="519"/>
      <c r="AA1139" s="24">
        <f t="shared" ref="AA1139:AA1143" ca="1" si="2621">$B$4-R1139</f>
        <v>4669</v>
      </c>
      <c r="AB1139" s="24">
        <f t="shared" ref="AB1139:AB1143" ca="1" si="2622">+U1139*AA1139</f>
        <v>0</v>
      </c>
      <c r="AC1139" s="24"/>
      <c r="AD1139" s="24"/>
      <c r="AE1139" s="24"/>
    </row>
    <row r="1140" spans="1:31" outlineLevel="1">
      <c r="A1140" s="55">
        <v>2422091000</v>
      </c>
      <c r="B1140" s="509" t="s">
        <v>124</v>
      </c>
      <c r="C1140" s="679" t="s">
        <v>64</v>
      </c>
      <c r="D1140" s="837">
        <v>44713</v>
      </c>
      <c r="E1140" s="219">
        <v>45170</v>
      </c>
      <c r="F1140" s="416"/>
      <c r="G1140" s="1251"/>
      <c r="H1140" s="676"/>
      <c r="I1140" s="681"/>
      <c r="J1140" s="1425">
        <v>1</v>
      </c>
      <c r="K1140" s="1426">
        <v>1</v>
      </c>
      <c r="L1140" s="438"/>
      <c r="M1140" s="1302">
        <f t="shared" si="2592"/>
        <v>0</v>
      </c>
      <c r="N1140" s="504"/>
      <c r="O1140" s="682">
        <f t="shared" si="2593"/>
        <v>0</v>
      </c>
      <c r="P1140" s="431"/>
      <c r="Q1140" s="514">
        <f t="shared" si="2594"/>
        <v>0</v>
      </c>
      <c r="R1140" s="515">
        <f t="shared" ca="1" si="2616"/>
        <v>0</v>
      </c>
      <c r="S1140" s="515">
        <f ca="1">IF(OR(E1140="",E1140&gt;TODAY()),0,IF(ISERROR(VLOOKUP($E1140,'TRM BanRep'!$A:$G,7,0)),0,VLOOKUP($E1140,'TRM BanRep'!$A:$G,7,0)))</f>
        <v>0</v>
      </c>
      <c r="T1140" s="562">
        <f t="shared" ca="1" si="2595"/>
        <v>0</v>
      </c>
      <c r="U1140" s="418">
        <f t="shared" si="2596"/>
        <v>0</v>
      </c>
      <c r="V1140" s="517">
        <f t="shared" ca="1" si="2597"/>
        <v>0</v>
      </c>
      <c r="W1140" s="976">
        <f t="shared" ca="1" si="2568"/>
        <v>0</v>
      </c>
      <c r="X1140" s="975">
        <f t="shared" ca="1" si="2569"/>
        <v>0</v>
      </c>
      <c r="Y1140" s="519"/>
      <c r="AA1140" s="24">
        <f t="shared" ca="1" si="2621"/>
        <v>4669</v>
      </c>
      <c r="AB1140" s="24">
        <f t="shared" ca="1" si="2622"/>
        <v>0</v>
      </c>
      <c r="AC1140" s="24"/>
      <c r="AD1140" s="24"/>
      <c r="AE1140" s="24"/>
    </row>
    <row r="1141" spans="1:31" outlineLevel="1">
      <c r="A1141" s="55">
        <v>2422091000</v>
      </c>
      <c r="B1141" s="509" t="s">
        <v>124</v>
      </c>
      <c r="C1141" s="679" t="s">
        <v>64</v>
      </c>
      <c r="D1141" s="837">
        <v>44743</v>
      </c>
      <c r="E1141" s="219">
        <v>45170</v>
      </c>
      <c r="F1141" s="416"/>
      <c r="G1141" s="1251"/>
      <c r="H1141" s="676"/>
      <c r="I1141" s="681"/>
      <c r="J1141" s="1425">
        <v>1</v>
      </c>
      <c r="K1141" s="1426">
        <v>1</v>
      </c>
      <c r="L1141" s="438"/>
      <c r="M1141" s="1302">
        <f t="shared" si="2592"/>
        <v>0</v>
      </c>
      <c r="N1141" s="504"/>
      <c r="O1141" s="682">
        <f t="shared" si="2593"/>
        <v>0</v>
      </c>
      <c r="P1141" s="431"/>
      <c r="Q1141" s="514">
        <f t="shared" si="2594"/>
        <v>0</v>
      </c>
      <c r="R1141" s="515">
        <f t="shared" ca="1" si="2616"/>
        <v>0</v>
      </c>
      <c r="S1141" s="515">
        <f ca="1">IF(OR(E1141="",E1141&gt;TODAY()),0,IF(ISERROR(VLOOKUP($E1141,'TRM BanRep'!$A:$G,7,0)),0,VLOOKUP($E1141,'TRM BanRep'!$A:$G,7,0)))</f>
        <v>0</v>
      </c>
      <c r="T1141" s="562">
        <f t="shared" ca="1" si="2595"/>
        <v>0</v>
      </c>
      <c r="U1141" s="418">
        <f t="shared" si="2596"/>
        <v>0</v>
      </c>
      <c r="V1141" s="517">
        <f t="shared" ca="1" si="2597"/>
        <v>0</v>
      </c>
      <c r="W1141" s="976">
        <f t="shared" ca="1" si="2568"/>
        <v>0</v>
      </c>
      <c r="X1141" s="975">
        <f t="shared" ca="1" si="2569"/>
        <v>0</v>
      </c>
      <c r="Y1141" s="519"/>
      <c r="AA1141" s="24">
        <f t="shared" ca="1" si="2621"/>
        <v>4669</v>
      </c>
      <c r="AB1141" s="24">
        <f t="shared" ca="1" si="2622"/>
        <v>0</v>
      </c>
      <c r="AC1141" s="24"/>
      <c r="AD1141" s="24"/>
      <c r="AE1141" s="24"/>
    </row>
    <row r="1142" spans="1:31" outlineLevel="1">
      <c r="A1142" s="55">
        <v>2422091000</v>
      </c>
      <c r="B1142" s="509" t="s">
        <v>124</v>
      </c>
      <c r="C1142" s="679" t="s">
        <v>64</v>
      </c>
      <c r="D1142" s="837">
        <v>44774</v>
      </c>
      <c r="E1142" s="219">
        <v>45170</v>
      </c>
      <c r="F1142" s="416"/>
      <c r="G1142" s="1251"/>
      <c r="H1142" s="676"/>
      <c r="I1142" s="681"/>
      <c r="J1142" s="1425">
        <v>1</v>
      </c>
      <c r="K1142" s="1426">
        <v>1</v>
      </c>
      <c r="L1142" s="438"/>
      <c r="M1142" s="1302">
        <f t="shared" si="2592"/>
        <v>0</v>
      </c>
      <c r="N1142" s="504"/>
      <c r="O1142" s="682">
        <f t="shared" si="2593"/>
        <v>0</v>
      </c>
      <c r="P1142" s="431"/>
      <c r="Q1142" s="514">
        <f t="shared" si="2594"/>
        <v>0</v>
      </c>
      <c r="R1142" s="515">
        <f t="shared" ca="1" si="2616"/>
        <v>0</v>
      </c>
      <c r="S1142" s="515">
        <f ca="1">IF(OR(E1142="",E1142&gt;TODAY()),0,IF(ISERROR(VLOOKUP($E1142,'TRM BanRep'!$A:$G,7,0)),0,VLOOKUP($E1142,'TRM BanRep'!$A:$G,7,0)))</f>
        <v>0</v>
      </c>
      <c r="T1142" s="562">
        <f t="shared" ca="1" si="2595"/>
        <v>0</v>
      </c>
      <c r="U1142" s="418">
        <f t="shared" si="2596"/>
        <v>0</v>
      </c>
      <c r="V1142" s="517">
        <f t="shared" ca="1" si="2597"/>
        <v>0</v>
      </c>
      <c r="W1142" s="976">
        <f t="shared" ca="1" si="2568"/>
        <v>0</v>
      </c>
      <c r="X1142" s="975">
        <f t="shared" ca="1" si="2569"/>
        <v>0</v>
      </c>
      <c r="Y1142" s="519"/>
      <c r="AA1142" s="24">
        <f t="shared" ca="1" si="2621"/>
        <v>4669</v>
      </c>
      <c r="AB1142" s="24">
        <f t="shared" ca="1" si="2622"/>
        <v>0</v>
      </c>
      <c r="AC1142" s="24"/>
      <c r="AD1142" s="24"/>
      <c r="AE1142" s="24"/>
    </row>
    <row r="1143" spans="1:31" outlineLevel="1">
      <c r="A1143" s="55">
        <v>2422091000</v>
      </c>
      <c r="B1143" s="509" t="s">
        <v>124</v>
      </c>
      <c r="C1143" s="679" t="s">
        <v>64</v>
      </c>
      <c r="D1143" s="837">
        <v>44805</v>
      </c>
      <c r="E1143" s="219">
        <v>45170</v>
      </c>
      <c r="F1143" s="416"/>
      <c r="G1143" s="1251"/>
      <c r="H1143" s="676"/>
      <c r="I1143" s="681"/>
      <c r="J1143" s="1425">
        <v>1</v>
      </c>
      <c r="K1143" s="1426">
        <v>1</v>
      </c>
      <c r="L1143" s="438"/>
      <c r="M1143" s="1302">
        <f t="shared" si="2592"/>
        <v>0</v>
      </c>
      <c r="N1143" s="504"/>
      <c r="O1143" s="682">
        <f t="shared" si="2593"/>
        <v>0</v>
      </c>
      <c r="P1143" s="431"/>
      <c r="Q1143" s="514">
        <f t="shared" si="2594"/>
        <v>0</v>
      </c>
      <c r="R1143" s="515">
        <f t="shared" ca="1" si="2616"/>
        <v>0</v>
      </c>
      <c r="S1143" s="515">
        <f ca="1">IF(OR(E1143="",E1143&gt;TODAY()),0,IF(ISERROR(VLOOKUP($E1143,'TRM BanRep'!$A:$G,7,0)),0,VLOOKUP($E1143,'TRM BanRep'!$A:$G,7,0)))</f>
        <v>0</v>
      </c>
      <c r="T1143" s="562">
        <f t="shared" ca="1" si="2595"/>
        <v>0</v>
      </c>
      <c r="U1143" s="418">
        <f t="shared" si="2596"/>
        <v>0</v>
      </c>
      <c r="V1143" s="517">
        <f t="shared" ca="1" si="2597"/>
        <v>0</v>
      </c>
      <c r="W1143" s="976">
        <f t="shared" ca="1" si="2568"/>
        <v>0</v>
      </c>
      <c r="X1143" s="975">
        <f t="shared" ca="1" si="2569"/>
        <v>0</v>
      </c>
      <c r="Y1143" s="519"/>
      <c r="AA1143" s="24">
        <f t="shared" ca="1" si="2621"/>
        <v>4669</v>
      </c>
      <c r="AB1143" s="24">
        <f t="shared" ca="1" si="2622"/>
        <v>0</v>
      </c>
      <c r="AC1143" s="24"/>
      <c r="AD1143" s="24"/>
      <c r="AE1143" s="24"/>
    </row>
    <row r="1144" spans="1:31">
      <c r="A1144" s="55"/>
      <c r="B1144" s="509"/>
      <c r="C1144" s="510"/>
      <c r="D1144" s="510"/>
      <c r="E1144" s="219"/>
      <c r="F1144" s="416"/>
      <c r="G1144" s="1251"/>
      <c r="H1144" s="676"/>
      <c r="I1144" s="681"/>
      <c r="J1144" s="1431"/>
      <c r="K1144" s="1432"/>
      <c r="L1144" s="438"/>
      <c r="M1144" s="1302"/>
      <c r="N1144" s="504"/>
      <c r="O1144" s="682">
        <f t="shared" si="2593"/>
        <v>0</v>
      </c>
      <c r="P1144" s="431"/>
      <c r="Q1144" s="514">
        <f t="shared" si="2594"/>
        <v>0</v>
      </c>
      <c r="R1144" s="515"/>
      <c r="S1144" s="515"/>
      <c r="T1144" s="562">
        <f t="shared" si="2595"/>
        <v>0</v>
      </c>
      <c r="U1144" s="418">
        <f t="shared" ref="U1144:U1148" si="2623">+L1144+P1144+F1144</f>
        <v>0</v>
      </c>
      <c r="V1144" s="517">
        <f t="shared" ref="V1144:V1148" si="2624">+P1144*J1144*R1144+L1144*J1144*N1144+F1144*K1144*H1144</f>
        <v>0</v>
      </c>
      <c r="W1144" s="976">
        <f t="shared" si="2568"/>
        <v>0</v>
      </c>
      <c r="X1144" s="975">
        <f t="shared" si="2569"/>
        <v>0</v>
      </c>
      <c r="Y1144" s="519"/>
      <c r="AA1144" s="24"/>
      <c r="AB1144" s="24"/>
      <c r="AC1144" s="24"/>
      <c r="AD1144" s="24"/>
      <c r="AE1144" s="24"/>
    </row>
    <row r="1145" spans="1:31" s="290" customFormat="1" ht="15.75">
      <c r="A1145" s="278"/>
      <c r="B1145" s="279" t="s">
        <v>104</v>
      </c>
      <c r="C1145" s="280"/>
      <c r="D1145" s="282"/>
      <c r="E1145" s="281"/>
      <c r="F1145" s="291"/>
      <c r="G1145" s="1283"/>
      <c r="H1145" s="292"/>
      <c r="I1145" s="293">
        <f>+F1145*H1145</f>
        <v>0</v>
      </c>
      <c r="J1145" s="1433"/>
      <c r="K1145" s="293"/>
      <c r="L1145" s="286"/>
      <c r="M1145" s="1317"/>
      <c r="N1145" s="284"/>
      <c r="O1145" s="285"/>
      <c r="P1145" s="283"/>
      <c r="Q1145" s="1281">
        <f t="shared" si="2594"/>
        <v>0</v>
      </c>
      <c r="R1145" s="284"/>
      <c r="S1145" s="284"/>
      <c r="T1145" s="285">
        <f t="shared" si="2595"/>
        <v>0</v>
      </c>
      <c r="U1145" s="283">
        <f t="shared" si="2623"/>
        <v>0</v>
      </c>
      <c r="V1145" s="285">
        <f t="shared" si="2624"/>
        <v>0</v>
      </c>
      <c r="W1145" s="287">
        <f t="shared" si="2568"/>
        <v>0</v>
      </c>
      <c r="X1145" s="288">
        <f t="shared" si="2569"/>
        <v>0</v>
      </c>
      <c r="Y1145" s="282"/>
      <c r="Z1145" s="1064"/>
      <c r="AA1145" s="289"/>
      <c r="AB1145" s="289"/>
      <c r="AC1145" s="289"/>
      <c r="AD1145" s="289"/>
      <c r="AE1145" s="289"/>
    </row>
    <row r="1146" spans="1:31" s="165" customFormat="1" outlineLevel="1">
      <c r="A1146" s="162"/>
      <c r="B1146" s="838" t="s">
        <v>1217</v>
      </c>
      <c r="C1146" s="839" t="s">
        <v>106</v>
      </c>
      <c r="D1146" s="840"/>
      <c r="E1146" s="275">
        <v>44926</v>
      </c>
      <c r="F1146" s="276">
        <v>146322.03000000189</v>
      </c>
      <c r="G1146" s="1279">
        <f t="shared" ref="G1146" si="2625">+F1146*J1146</f>
        <v>146322.03000000189</v>
      </c>
      <c r="H1146" s="841">
        <v>4810.2</v>
      </c>
      <c r="I1146" s="842">
        <f t="shared" ref="I1146:I1148" si="2626">+F1146*J1146*H1146</f>
        <v>703838228.70600903</v>
      </c>
      <c r="J1146" s="1425">
        <v>1</v>
      </c>
      <c r="K1146" s="1426">
        <v>1</v>
      </c>
      <c r="L1146" s="2"/>
      <c r="M1146" s="1315">
        <f t="shared" ref="M1146:M1148" si="2627">+L1146*J1146</f>
        <v>0</v>
      </c>
      <c r="N1146" s="630"/>
      <c r="O1146" s="682">
        <f t="shared" si="2593"/>
        <v>0</v>
      </c>
      <c r="P1146" s="190">
        <f>-F1146</f>
        <v>-146322.03000000189</v>
      </c>
      <c r="Q1146" s="632">
        <f t="shared" si="2594"/>
        <v>-146322.03000000189</v>
      </c>
      <c r="R1146" s="633">
        <f>+H1146</f>
        <v>4810.2</v>
      </c>
      <c r="S1146" s="633">
        <f>+R1146</f>
        <v>4810.2</v>
      </c>
      <c r="T1146" s="634">
        <f t="shared" si="2595"/>
        <v>-703838228.70600903</v>
      </c>
      <c r="U1146" s="189">
        <f t="shared" si="2623"/>
        <v>0</v>
      </c>
      <c r="V1146" s="688">
        <f t="shared" si="2624"/>
        <v>0</v>
      </c>
      <c r="W1146" s="164">
        <f t="shared" si="2568"/>
        <v>0</v>
      </c>
      <c r="X1146" s="635">
        <f t="shared" si="2569"/>
        <v>0</v>
      </c>
      <c r="Y1146" s="636"/>
      <c r="Z1146" s="1063"/>
      <c r="AA1146" s="24">
        <f t="shared" ref="AA1146" si="2628">$B$4-R1146</f>
        <v>-141.19999999999982</v>
      </c>
      <c r="AB1146" s="24">
        <f t="shared" ref="AB1146:AB1147" si="2629">+U1146*AA1146</f>
        <v>0</v>
      </c>
      <c r="AC1146" s="277"/>
      <c r="AD1146" s="277"/>
      <c r="AE1146" s="277"/>
    </row>
    <row r="1147" spans="1:31" s="165" customFormat="1" outlineLevel="1">
      <c r="A1147" s="162"/>
      <c r="B1147" s="627" t="s">
        <v>1472</v>
      </c>
      <c r="C1147" s="839" t="s">
        <v>106</v>
      </c>
      <c r="D1147" s="840"/>
      <c r="E1147" s="275">
        <v>45291</v>
      </c>
      <c r="F1147" s="163"/>
      <c r="G1147" s="1264"/>
      <c r="H1147" s="844"/>
      <c r="I1147" s="845">
        <f t="shared" si="2626"/>
        <v>0</v>
      </c>
      <c r="J1147" s="1425">
        <v>1</v>
      </c>
      <c r="K1147" s="1426">
        <v>1</v>
      </c>
      <c r="L1147" s="294">
        <v>1543.8499999996857</v>
      </c>
      <c r="M1147" s="1319">
        <f t="shared" si="2627"/>
        <v>1543.8499999996857</v>
      </c>
      <c r="N1147" s="846">
        <f>B4</f>
        <v>4669</v>
      </c>
      <c r="O1147" s="843">
        <f t="shared" si="2593"/>
        <v>7208235.6499985326</v>
      </c>
      <c r="P1147" s="190"/>
      <c r="Q1147" s="632">
        <f t="shared" si="2594"/>
        <v>0</v>
      </c>
      <c r="R1147" s="633"/>
      <c r="S1147" s="633"/>
      <c r="T1147" s="634">
        <f t="shared" si="2595"/>
        <v>0</v>
      </c>
      <c r="U1147" s="189">
        <f t="shared" si="2623"/>
        <v>1543.8499999996857</v>
      </c>
      <c r="V1147" s="688">
        <f t="shared" si="2624"/>
        <v>7208235.6499985326</v>
      </c>
      <c r="W1147" s="164">
        <f t="shared" si="2568"/>
        <v>0</v>
      </c>
      <c r="X1147" s="635">
        <f t="shared" si="2569"/>
        <v>0</v>
      </c>
      <c r="Y1147" s="636"/>
      <c r="Z1147" s="1063"/>
      <c r="AA1147" s="24">
        <f t="shared" ref="AA1147" si="2630">$B$4-N1147</f>
        <v>0</v>
      </c>
      <c r="AB1147" s="24">
        <f t="shared" si="2629"/>
        <v>0</v>
      </c>
      <c r="AC1147" s="277"/>
      <c r="AD1147" s="277"/>
      <c r="AE1147" s="277"/>
    </row>
    <row r="1148" spans="1:31" ht="15.75" thickBot="1">
      <c r="A1148" s="55"/>
      <c r="B1148" s="509"/>
      <c r="C1148" s="510"/>
      <c r="D1148" s="510"/>
      <c r="E1148" s="245"/>
      <c r="F1148" s="455"/>
      <c r="G1148" s="1280"/>
      <c r="H1148" s="456"/>
      <c r="I1148" s="457">
        <f t="shared" si="2626"/>
        <v>0</v>
      </c>
      <c r="J1148" s="1421"/>
      <c r="K1148" s="1422"/>
      <c r="L1148" s="458"/>
      <c r="M1148" s="1316">
        <f t="shared" si="2627"/>
        <v>0</v>
      </c>
      <c r="N1148" s="459"/>
      <c r="O1148" s="460">
        <f t="shared" si="2593"/>
        <v>0</v>
      </c>
      <c r="P1148" s="461"/>
      <c r="Q1148" s="1351">
        <f t="shared" si="2594"/>
        <v>0</v>
      </c>
      <c r="R1148" s="462"/>
      <c r="S1148" s="462"/>
      <c r="T1148" s="463">
        <f t="shared" si="2595"/>
        <v>0</v>
      </c>
      <c r="U1148" s="464">
        <f t="shared" si="2623"/>
        <v>0</v>
      </c>
      <c r="V1148" s="465">
        <f t="shared" si="2624"/>
        <v>0</v>
      </c>
      <c r="W1148" s="852">
        <f t="shared" si="2568"/>
        <v>0</v>
      </c>
      <c r="X1148" s="853">
        <f t="shared" si="2569"/>
        <v>0</v>
      </c>
      <c r="Y1148" s="854"/>
      <c r="AA1148" s="24"/>
      <c r="AB1148" s="24"/>
      <c r="AC1148" s="24"/>
      <c r="AD1148" s="24"/>
      <c r="AE1148" s="24"/>
    </row>
    <row r="1149" spans="1:31" s="249" customFormat="1" ht="16.5" thickBot="1">
      <c r="A1149" s="799" t="s">
        <v>122</v>
      </c>
      <c r="B1149" s="800"/>
      <c r="C1149" s="801"/>
      <c r="D1149" s="801"/>
      <c r="E1149" s="851"/>
      <c r="F1149" s="803">
        <f>SUM(F1094:F1148)</f>
        <v>33283368.050000001</v>
      </c>
      <c r="G1149" s="1275"/>
      <c r="H1149" s="804"/>
      <c r="I1149" s="805">
        <f>SUM(I1094:I1148)</f>
        <v>101093362165.23698</v>
      </c>
      <c r="J1149" s="1368"/>
      <c r="K1149" s="1368"/>
      <c r="L1149" s="806">
        <f>SUM(L1094:L1148)</f>
        <v>614569.8199999996</v>
      </c>
      <c r="M1149" s="1308">
        <f>SUM(M1094:M1148)</f>
        <v>614569.8199999996</v>
      </c>
      <c r="N1149" s="807"/>
      <c r="O1149" s="808">
        <f ca="1">SUM(O1094:O1148)</f>
        <v>2876595983.4211979</v>
      </c>
      <c r="P1149" s="809">
        <f>SUM(P1094:P1148)</f>
        <v>-2684623.7900000019</v>
      </c>
      <c r="Q1149" s="1349">
        <f>SUM(Q1094:Q1148)</f>
        <v>-2684623.7900000019</v>
      </c>
      <c r="R1149" s="810"/>
      <c r="S1149" s="810"/>
      <c r="T1149" s="811">
        <f ca="1">SUM(T1094:T1148)</f>
        <v>-13011505036.558809</v>
      </c>
      <c r="U1149" s="812">
        <f>SUM(U1094:U1148)</f>
        <v>31213314.079999998</v>
      </c>
      <c r="V1149" s="847">
        <f ca="1">SUM(V1094:V1148)</f>
        <v>94220260527.959763</v>
      </c>
      <c r="W1149" s="814">
        <f ca="1">SUM(W1094:W1148)</f>
        <v>3261807415.8603992</v>
      </c>
      <c r="X1149" s="815">
        <f ca="1">SUM(X1094:X1148)</f>
        <v>0</v>
      </c>
      <c r="Y1149" s="816"/>
      <c r="Z1149" s="248"/>
      <c r="AA1149" s="183"/>
      <c r="AB1149" s="183"/>
      <c r="AC1149" s="183"/>
      <c r="AD1149" s="183"/>
      <c r="AE1149" s="183"/>
    </row>
    <row r="1150" spans="1:31">
      <c r="J1150" s="411"/>
      <c r="K1150" s="412"/>
      <c r="T1150" s="3" t="str">
        <f>$T$1044</f>
        <v>CA 2023</v>
      </c>
      <c r="U1150" s="445">
        <v>31213314.079999998</v>
      </c>
      <c r="AA1150" s="24"/>
      <c r="AB1150" s="24"/>
      <c r="AC1150" s="24"/>
      <c r="AD1150" s="24"/>
      <c r="AE1150" s="24"/>
    </row>
    <row r="1151" spans="1:31">
      <c r="F1151" s="10"/>
      <c r="G1151" s="10"/>
      <c r="J1151" s="411"/>
      <c r="K1151" s="412"/>
      <c r="T1151" s="9"/>
      <c r="U1151" s="10">
        <f>+U1150-U1149</f>
        <v>0</v>
      </c>
      <c r="AA1151" s="24"/>
      <c r="AB1151" s="24"/>
      <c r="AC1151" s="24"/>
      <c r="AD1151" s="24"/>
      <c r="AE1151" s="24"/>
    </row>
    <row r="1152" spans="1:31" ht="15.75" thickBot="1">
      <c r="J1152" s="411"/>
      <c r="K1152" s="412"/>
      <c r="AA1152" s="24"/>
      <c r="AB1152" s="24"/>
      <c r="AC1152" s="24"/>
      <c r="AD1152" s="24"/>
      <c r="AE1152" s="24"/>
    </row>
    <row r="1153" spans="1:31" s="27" customFormat="1" ht="21.75" thickBot="1">
      <c r="A1153" s="1848" t="s">
        <v>1379</v>
      </c>
      <c r="B1153" s="1849"/>
      <c r="C1153" s="2558" t="s">
        <v>57</v>
      </c>
      <c r="D1153" s="2560" t="s">
        <v>59</v>
      </c>
      <c r="E1153" s="2562" t="s">
        <v>58</v>
      </c>
      <c r="F1153" s="2564" t="str">
        <f>F6</f>
        <v>SALDO FISCAL 31/12/2022</v>
      </c>
      <c r="G1153" s="2565"/>
      <c r="H1153" s="2565"/>
      <c r="I1153" s="2566"/>
      <c r="J1153" s="2567" t="str">
        <f>J6</f>
        <v>Tasa Mon Extranj</v>
      </c>
      <c r="K1153" s="2568"/>
      <c r="L1153" s="2569" t="str">
        <f>L6</f>
        <v>ENTRADAS</v>
      </c>
      <c r="M1153" s="2570"/>
      <c r="N1153" s="2570"/>
      <c r="O1153" s="2571"/>
      <c r="P1153" s="2572" t="str">
        <f>P6</f>
        <v>SALIDAS</v>
      </c>
      <c r="Q1153" s="2573"/>
      <c r="R1153" s="2573"/>
      <c r="S1153" s="2573"/>
      <c r="T1153" s="2574"/>
      <c r="U1153" s="2575" t="s">
        <v>62</v>
      </c>
      <c r="V1153" s="2576"/>
      <c r="W1153" s="2577" t="s">
        <v>63</v>
      </c>
      <c r="X1153" s="2578"/>
      <c r="Y1153" s="2579"/>
      <c r="Z1153" s="44"/>
      <c r="AA1153" s="213"/>
      <c r="AB1153" s="213"/>
      <c r="AC1153" s="213"/>
      <c r="AD1153" s="213"/>
      <c r="AE1153" s="213"/>
    </row>
    <row r="1154" spans="1:31" s="216" customFormat="1" ht="15.75" thickBot="1">
      <c r="A1154" s="855" t="s">
        <v>87</v>
      </c>
      <c r="B1154" s="856" t="s">
        <v>88</v>
      </c>
      <c r="C1154" s="2559"/>
      <c r="D1154" s="2561"/>
      <c r="E1154" s="2563"/>
      <c r="F1154" s="30" t="str">
        <f>F7</f>
        <v>MON/EX</v>
      </c>
      <c r="G1154" s="1249" t="str">
        <f>G7</f>
        <v>USD</v>
      </c>
      <c r="H1154" s="31" t="str">
        <f>H7</f>
        <v>TRM CIERRE</v>
      </c>
      <c r="I1154" s="32" t="str">
        <f>I7</f>
        <v>SALDO PESOS</v>
      </c>
      <c r="J1154" s="1423" t="str">
        <f>J7</f>
        <v>Inicial</v>
      </c>
      <c r="K1154" s="1338" t="str">
        <f>K7</f>
        <v>Pago</v>
      </c>
      <c r="L1154" s="33" t="str">
        <f>L7</f>
        <v>ENTRADAS MON/EX</v>
      </c>
      <c r="M1154" s="1297" t="str">
        <f>M7</f>
        <v>USD</v>
      </c>
      <c r="N1154" s="34" t="str">
        <f>N7</f>
        <v>TRM INICIAL</v>
      </c>
      <c r="O1154" s="35" t="str">
        <f>O7</f>
        <v>ENTRADAS PESOS</v>
      </c>
      <c r="P1154" s="36" t="str">
        <f>P7</f>
        <v>PAGOS MON/EX</v>
      </c>
      <c r="Q1154" s="1338" t="str">
        <f t="shared" ref="Q1154:X1154" si="2631">Q7</f>
        <v>USD</v>
      </c>
      <c r="R1154" s="37" t="str">
        <f t="shared" si="2631"/>
        <v>TRM INICIAL</v>
      </c>
      <c r="S1154" s="37" t="str">
        <f t="shared" si="2631"/>
        <v>TRM PAGO</v>
      </c>
      <c r="T1154" s="38" t="str">
        <f t="shared" si="2631"/>
        <v>PAGO EN PESOS</v>
      </c>
      <c r="U1154" s="39" t="str">
        <f t="shared" si="2631"/>
        <v xml:space="preserve"> SALDO MON/EX</v>
      </c>
      <c r="V1154" s="40" t="str">
        <f t="shared" si="2631"/>
        <v>SALDO  PESOS</v>
      </c>
      <c r="W1154" s="41" t="str">
        <f t="shared" si="2631"/>
        <v>GASTO</v>
      </c>
      <c r="X1154" s="42" t="str">
        <f t="shared" si="2631"/>
        <v>INGRESO</v>
      </c>
      <c r="Y1154" s="43"/>
      <c r="Z1154" s="214"/>
      <c r="AA1154" s="215"/>
      <c r="AB1154" s="215"/>
      <c r="AC1154" s="215"/>
      <c r="AD1154" s="215"/>
      <c r="AE1154" s="215"/>
    </row>
    <row r="1155" spans="1:31" ht="15.75">
      <c r="A1155" s="961">
        <v>2309011000</v>
      </c>
      <c r="B1155" s="962" t="s">
        <v>1290</v>
      </c>
      <c r="C1155" s="963" t="s">
        <v>106</v>
      </c>
      <c r="D1155" s="963"/>
      <c r="E1155" s="46"/>
      <c r="F1155" s="964"/>
      <c r="G1155" s="1250"/>
      <c r="H1155" s="47"/>
      <c r="I1155" s="1434">
        <v>154101062240</v>
      </c>
      <c r="J1155" s="776"/>
      <c r="K1155" s="774"/>
      <c r="L1155" s="1298"/>
      <c r="M1155" s="1298"/>
      <c r="N1155" s="47"/>
      <c r="O1155" s="50">
        <f>+L1155*N1155</f>
        <v>0</v>
      </c>
      <c r="P1155" s="51"/>
      <c r="Q1155" s="1250"/>
      <c r="R1155" s="47"/>
      <c r="S1155" s="47"/>
      <c r="T1155" s="965">
        <f>+P1155*S1155</f>
        <v>0</v>
      </c>
      <c r="U1155" s="295"/>
      <c r="V1155" s="50">
        <f>+I1155+O1155+T1155</f>
        <v>154101062240</v>
      </c>
      <c r="W1155" s="296"/>
      <c r="X1155" s="297"/>
      <c r="Y1155" s="298"/>
      <c r="AA1155" s="24"/>
      <c r="AB1155" s="24"/>
      <c r="AC1155" s="24"/>
      <c r="AD1155" s="24"/>
      <c r="AE1155" s="24"/>
    </row>
    <row r="1156" spans="1:31" s="302" customFormat="1" outlineLevel="1">
      <c r="A1156" s="979">
        <v>2309011000</v>
      </c>
      <c r="B1156" s="980" t="s">
        <v>123</v>
      </c>
      <c r="C1156" s="981" t="s">
        <v>106</v>
      </c>
      <c r="D1156" s="733"/>
      <c r="E1156" s="205"/>
      <c r="F1156" s="206"/>
      <c r="G1156" s="1284"/>
      <c r="H1156" s="1109"/>
      <c r="I1156" s="1435"/>
      <c r="J1156" s="1439"/>
      <c r="K1156" s="1440"/>
      <c r="L1156" s="1122"/>
      <c r="M1156" s="1122"/>
      <c r="N1156" s="1110"/>
      <c r="O1156" s="1111">
        <v>0</v>
      </c>
      <c r="P1156" s="1112"/>
      <c r="Q1156" s="1352"/>
      <c r="R1156" s="1113"/>
      <c r="S1156" s="1113"/>
      <c r="T1156" s="1114"/>
      <c r="U1156" s="1115"/>
      <c r="V1156" s="734">
        <f>+I1156+T1156+O1156</f>
        <v>0</v>
      </c>
      <c r="W1156" s="1116"/>
      <c r="X1156" s="1117"/>
      <c r="Y1156" s="1118"/>
      <c r="Z1156" s="1065"/>
      <c r="AA1156" s="24"/>
      <c r="AB1156" s="24"/>
      <c r="AC1156" s="24"/>
      <c r="AD1156" s="24"/>
      <c r="AE1156" s="24"/>
    </row>
    <row r="1157" spans="1:31" s="302" customFormat="1" outlineLevel="1">
      <c r="A1157" s="979">
        <v>2309011000</v>
      </c>
      <c r="B1157" s="980" t="s">
        <v>123</v>
      </c>
      <c r="C1157" s="981" t="s">
        <v>106</v>
      </c>
      <c r="D1157" s="304"/>
      <c r="E1157" s="303"/>
      <c r="F1157" s="305"/>
      <c r="G1157" s="1285"/>
      <c r="H1157" s="306"/>
      <c r="I1157" s="1435">
        <f>+F1157*H1157</f>
        <v>0</v>
      </c>
      <c r="J1157" s="1439"/>
      <c r="K1157" s="1440"/>
      <c r="L1157" s="1122"/>
      <c r="M1157" s="1122"/>
      <c r="N1157" s="1110"/>
      <c r="O1157" s="307">
        <f>+L1157*N1157</f>
        <v>0</v>
      </c>
      <c r="P1157" s="308"/>
      <c r="Q1157" s="1353"/>
      <c r="R1157" s="309"/>
      <c r="S1157" s="309"/>
      <c r="T1157" s="1114"/>
      <c r="U1157" s="1115"/>
      <c r="V1157" s="310">
        <f>+I1157+T1157+O1157</f>
        <v>0</v>
      </c>
      <c r="W1157" s="311"/>
      <c r="X1157" s="312"/>
      <c r="Y1157" s="313"/>
      <c r="Z1157" s="1065"/>
      <c r="AA1157" s="24"/>
      <c r="AB1157" s="24"/>
      <c r="AC1157" s="24"/>
      <c r="AD1157" s="24"/>
      <c r="AE1157" s="24"/>
    </row>
    <row r="1158" spans="1:31" s="302" customFormat="1" outlineLevel="1">
      <c r="A1158" s="314"/>
      <c r="B1158" s="315"/>
      <c r="C1158" s="304"/>
      <c r="D1158" s="304"/>
      <c r="E1158" s="303"/>
      <c r="F1158" s="305"/>
      <c r="G1158" s="1285"/>
      <c r="H1158" s="306"/>
      <c r="I1158" s="1435">
        <f>+F1158*H1158</f>
        <v>0</v>
      </c>
      <c r="J1158" s="1439"/>
      <c r="K1158" s="1440"/>
      <c r="L1158" s="1122"/>
      <c r="M1158" s="1122"/>
      <c r="N1158" s="1110"/>
      <c r="O1158" s="307">
        <f>+L1158*N1158</f>
        <v>0</v>
      </c>
      <c r="P1158" s="308"/>
      <c r="Q1158" s="1353"/>
      <c r="R1158" s="309"/>
      <c r="S1158" s="309"/>
      <c r="T1158" s="1114">
        <f>+P1158*R1158</f>
        <v>0</v>
      </c>
      <c r="U1158" s="1115"/>
      <c r="V1158" s="310">
        <f>+I1158+T1158+O1158</f>
        <v>0</v>
      </c>
      <c r="W1158" s="311"/>
      <c r="X1158" s="312"/>
      <c r="Y1158" s="313"/>
      <c r="Z1158" s="1065"/>
      <c r="AA1158" s="24"/>
      <c r="AB1158" s="24"/>
      <c r="AC1158" s="24"/>
      <c r="AD1158" s="24"/>
      <c r="AE1158" s="24"/>
    </row>
    <row r="1159" spans="1:31" ht="15.75">
      <c r="A1159" s="961">
        <v>2422091000</v>
      </c>
      <c r="B1159" s="962" t="s">
        <v>77</v>
      </c>
      <c r="C1159" s="963" t="s">
        <v>106</v>
      </c>
      <c r="D1159" s="963"/>
      <c r="E1159" s="46">
        <v>44926</v>
      </c>
      <c r="F1159" s="964"/>
      <c r="G1159" s="1250"/>
      <c r="H1159" s="47"/>
      <c r="I1159" s="1434">
        <v>1536430397</v>
      </c>
      <c r="J1159" s="968"/>
      <c r="K1159" s="965"/>
      <c r="L1159" s="1298"/>
      <c r="M1159" s="1298"/>
      <c r="N1159" s="47"/>
      <c r="O1159" s="50"/>
      <c r="P1159" s="317"/>
      <c r="Q1159" s="1354"/>
      <c r="R1159" s="318"/>
      <c r="S1159" s="318"/>
      <c r="T1159" s="48"/>
      <c r="U1159" s="319"/>
      <c r="V1159" s="50">
        <f t="shared" ref="V1159:V1183" si="2632">+I1159+O1159+T1159</f>
        <v>1536430397</v>
      </c>
      <c r="W1159" s="296"/>
      <c r="X1159" s="297"/>
      <c r="Y1159" s="298"/>
      <c r="AA1159" s="24"/>
      <c r="AB1159" s="24"/>
      <c r="AC1159" s="24"/>
      <c r="AD1159" s="24"/>
      <c r="AE1159" s="24"/>
    </row>
    <row r="1160" spans="1:31" outlineLevel="1">
      <c r="A1160" s="55">
        <v>2422091000</v>
      </c>
      <c r="B1160" s="509" t="s">
        <v>110</v>
      </c>
      <c r="C1160" s="679" t="s">
        <v>106</v>
      </c>
      <c r="D1160" s="680"/>
      <c r="E1160" s="219">
        <v>44957</v>
      </c>
      <c r="F1160" s="416"/>
      <c r="G1160" s="1251"/>
      <c r="H1160" s="676"/>
      <c r="I1160" s="677"/>
      <c r="J1160" s="1431"/>
      <c r="K1160" s="1432"/>
      <c r="L1160" s="1320"/>
      <c r="M1160" s="1320"/>
      <c r="N1160" s="866"/>
      <c r="O1160" s="682">
        <v>1831897780</v>
      </c>
      <c r="P1160" s="470"/>
      <c r="Q1160" s="1355"/>
      <c r="R1160" s="862"/>
      <c r="S1160" s="862"/>
      <c r="T1160" s="562">
        <f t="shared" ref="T1160:T1176" si="2633">+P1160*S1160</f>
        <v>0</v>
      </c>
      <c r="U1160" s="472"/>
      <c r="V1160" s="517">
        <f t="shared" si="2632"/>
        <v>1831897780</v>
      </c>
      <c r="W1160" s="976">
        <f t="shared" ref="W1160:W1180" si="2634">-(IF(R1160&lt;S1160,(-P1160*R1160)-(-P1160*S1160),0))</f>
        <v>0</v>
      </c>
      <c r="X1160" s="975">
        <f t="shared" ref="X1160:X1180" si="2635">-(IF(R1160&gt;S1160,(-P1160*R1160)-(-P1160*S1160),0))</f>
        <v>0</v>
      </c>
      <c r="Y1160" s="519"/>
      <c r="AA1160" s="24"/>
      <c r="AB1160" s="24"/>
      <c r="AC1160" s="24"/>
      <c r="AD1160" s="24"/>
      <c r="AE1160" s="24"/>
    </row>
    <row r="1161" spans="1:31" outlineLevel="1">
      <c r="A1161" s="55">
        <v>2422091000</v>
      </c>
      <c r="B1161" s="509" t="s">
        <v>111</v>
      </c>
      <c r="C1161" s="679" t="s">
        <v>106</v>
      </c>
      <c r="D1161" s="680"/>
      <c r="E1161" s="219">
        <v>44985</v>
      </c>
      <c r="F1161" s="416"/>
      <c r="G1161" s="1251"/>
      <c r="H1161" s="676"/>
      <c r="I1161" s="677"/>
      <c r="J1161" s="1431"/>
      <c r="K1161" s="1432"/>
      <c r="L1161" s="1320"/>
      <c r="M1161" s="1320"/>
      <c r="N1161" s="866"/>
      <c r="O1161" s="682">
        <v>1654617350</v>
      </c>
      <c r="P1161" s="470"/>
      <c r="Q1161" s="1355"/>
      <c r="R1161" s="862"/>
      <c r="S1161" s="862"/>
      <c r="T1161" s="562">
        <f t="shared" si="2633"/>
        <v>0</v>
      </c>
      <c r="U1161" s="472"/>
      <c r="V1161" s="517">
        <f t="shared" si="2632"/>
        <v>1654617350</v>
      </c>
      <c r="W1161" s="976">
        <f t="shared" si="2634"/>
        <v>0</v>
      </c>
      <c r="X1161" s="975">
        <f t="shared" si="2635"/>
        <v>0</v>
      </c>
      <c r="Y1161" s="519"/>
      <c r="AA1161" s="24"/>
      <c r="AB1161" s="24"/>
      <c r="AC1161" s="24"/>
      <c r="AD1161" s="24"/>
      <c r="AE1161" s="24"/>
    </row>
    <row r="1162" spans="1:31" outlineLevel="1">
      <c r="A1162" s="55">
        <v>2422091000</v>
      </c>
      <c r="B1162" s="509" t="s">
        <v>112</v>
      </c>
      <c r="C1162" s="679" t="s">
        <v>106</v>
      </c>
      <c r="D1162" s="680"/>
      <c r="E1162" s="219">
        <v>44990</v>
      </c>
      <c r="F1162" s="416"/>
      <c r="G1162" s="1251"/>
      <c r="H1162" s="676"/>
      <c r="I1162" s="677"/>
      <c r="J1162" s="1431"/>
      <c r="K1162" s="1432"/>
      <c r="L1162" s="1320"/>
      <c r="M1162" s="1320"/>
      <c r="N1162" s="866"/>
      <c r="O1162" s="682">
        <v>295467384</v>
      </c>
      <c r="P1162" s="470"/>
      <c r="Q1162" s="1355"/>
      <c r="R1162" s="862"/>
      <c r="S1162" s="862"/>
      <c r="T1162" s="562">
        <f t="shared" si="2633"/>
        <v>0</v>
      </c>
      <c r="U1162" s="472"/>
      <c r="V1162" s="517">
        <f t="shared" si="2632"/>
        <v>295467384</v>
      </c>
      <c r="W1162" s="976">
        <f t="shared" si="2634"/>
        <v>0</v>
      </c>
      <c r="X1162" s="975">
        <f t="shared" si="2635"/>
        <v>0</v>
      </c>
      <c r="Y1162" s="519"/>
      <c r="AA1162" s="24"/>
      <c r="AB1162" s="24"/>
      <c r="AC1162" s="24"/>
      <c r="AD1162" s="24"/>
      <c r="AE1162" s="24"/>
    </row>
    <row r="1163" spans="1:31" outlineLevel="1">
      <c r="A1163" s="55">
        <v>2422091000</v>
      </c>
      <c r="B1163" s="509" t="s">
        <v>112</v>
      </c>
      <c r="C1163" s="679" t="s">
        <v>106</v>
      </c>
      <c r="D1163" s="680"/>
      <c r="E1163" s="219">
        <v>45016</v>
      </c>
      <c r="F1163" s="416"/>
      <c r="G1163" s="1251"/>
      <c r="H1163" s="676"/>
      <c r="I1163" s="677"/>
      <c r="J1163" s="1431"/>
      <c r="K1163" s="1432"/>
      <c r="L1163" s="1320"/>
      <c r="M1163" s="1320"/>
      <c r="N1163" s="866"/>
      <c r="O1163" s="682">
        <v>1658298653</v>
      </c>
      <c r="P1163" s="470"/>
      <c r="Q1163" s="1355"/>
      <c r="R1163" s="862"/>
      <c r="S1163" s="862"/>
      <c r="T1163" s="562">
        <f t="shared" si="2633"/>
        <v>0</v>
      </c>
      <c r="U1163" s="472"/>
      <c r="V1163" s="517">
        <f t="shared" si="2632"/>
        <v>1658298653</v>
      </c>
      <c r="W1163" s="976">
        <f t="shared" si="2634"/>
        <v>0</v>
      </c>
      <c r="X1163" s="975">
        <f t="shared" si="2635"/>
        <v>0</v>
      </c>
      <c r="Y1163" s="519"/>
      <c r="AA1163" s="24"/>
      <c r="AB1163" s="24"/>
      <c r="AC1163" s="24"/>
      <c r="AD1163" s="24"/>
      <c r="AE1163" s="24"/>
    </row>
    <row r="1164" spans="1:31" outlineLevel="1">
      <c r="A1164" s="55">
        <v>2422091000</v>
      </c>
      <c r="B1164" s="509" t="s">
        <v>113</v>
      </c>
      <c r="C1164" s="679" t="s">
        <v>106</v>
      </c>
      <c r="D1164" s="680"/>
      <c r="E1164" s="219">
        <v>45046</v>
      </c>
      <c r="F1164" s="416"/>
      <c r="G1164" s="1251"/>
      <c r="H1164" s="676"/>
      <c r="I1164" s="677"/>
      <c r="J1164" s="1431"/>
      <c r="K1164" s="1432"/>
      <c r="L1164" s="1320"/>
      <c r="M1164" s="1320"/>
      <c r="N1164" s="866"/>
      <c r="O1164" s="682">
        <v>1913421523</v>
      </c>
      <c r="P1164" s="470"/>
      <c r="Q1164" s="1355"/>
      <c r="R1164" s="862"/>
      <c r="S1164" s="862"/>
      <c r="T1164" s="562">
        <f t="shared" si="2633"/>
        <v>0</v>
      </c>
      <c r="U1164" s="472"/>
      <c r="V1164" s="517">
        <f t="shared" si="2632"/>
        <v>1913421523</v>
      </c>
      <c r="W1164" s="976">
        <f t="shared" si="2634"/>
        <v>0</v>
      </c>
      <c r="X1164" s="975">
        <f t="shared" si="2635"/>
        <v>0</v>
      </c>
      <c r="Y1164" s="519"/>
      <c r="AA1164" s="24"/>
      <c r="AB1164" s="24"/>
      <c r="AC1164" s="24"/>
      <c r="AD1164" s="24"/>
      <c r="AE1164" s="24"/>
    </row>
    <row r="1165" spans="1:31" outlineLevel="1">
      <c r="A1165" s="55">
        <v>2422091000</v>
      </c>
      <c r="B1165" s="509" t="s">
        <v>114</v>
      </c>
      <c r="C1165" s="679" t="s">
        <v>106</v>
      </c>
      <c r="D1165" s="680"/>
      <c r="E1165" s="219">
        <v>45077</v>
      </c>
      <c r="F1165" s="416"/>
      <c r="G1165" s="1251"/>
      <c r="H1165" s="676"/>
      <c r="I1165" s="677"/>
      <c r="J1165" s="1431"/>
      <c r="K1165" s="1432"/>
      <c r="L1165" s="1320"/>
      <c r="M1165" s="1320"/>
      <c r="N1165" s="866"/>
      <c r="O1165" s="682"/>
      <c r="P1165" s="470"/>
      <c r="Q1165" s="1355"/>
      <c r="R1165" s="862"/>
      <c r="S1165" s="862"/>
      <c r="T1165" s="562">
        <f t="shared" si="2633"/>
        <v>0</v>
      </c>
      <c r="U1165" s="472"/>
      <c r="V1165" s="517">
        <f t="shared" si="2632"/>
        <v>0</v>
      </c>
      <c r="W1165" s="976">
        <f t="shared" si="2634"/>
        <v>0</v>
      </c>
      <c r="X1165" s="975">
        <f t="shared" si="2635"/>
        <v>0</v>
      </c>
      <c r="Y1165" s="519"/>
      <c r="AA1165" s="24"/>
      <c r="AB1165" s="24"/>
      <c r="AC1165" s="24"/>
      <c r="AD1165" s="24"/>
      <c r="AE1165" s="24"/>
    </row>
    <row r="1166" spans="1:31" outlineLevel="1">
      <c r="A1166" s="55">
        <v>2422091000</v>
      </c>
      <c r="B1166" s="509" t="s">
        <v>115</v>
      </c>
      <c r="C1166" s="679" t="s">
        <v>106</v>
      </c>
      <c r="D1166" s="680"/>
      <c r="E1166" s="219">
        <v>45085</v>
      </c>
      <c r="F1166" s="416"/>
      <c r="G1166" s="1251"/>
      <c r="H1166" s="676"/>
      <c r="I1166" s="677"/>
      <c r="J1166" s="1431"/>
      <c r="K1166" s="1432"/>
      <c r="L1166" s="1320"/>
      <c r="M1166" s="1320"/>
      <c r="N1166" s="866"/>
      <c r="O1166" s="682"/>
      <c r="P1166" s="470"/>
      <c r="Q1166" s="1355"/>
      <c r="R1166" s="862"/>
      <c r="S1166" s="862"/>
      <c r="T1166" s="562">
        <f t="shared" si="2633"/>
        <v>0</v>
      </c>
      <c r="U1166" s="472"/>
      <c r="V1166" s="517">
        <f t="shared" si="2632"/>
        <v>0</v>
      </c>
      <c r="W1166" s="976">
        <f t="shared" si="2634"/>
        <v>0</v>
      </c>
      <c r="X1166" s="975">
        <f t="shared" si="2635"/>
        <v>0</v>
      </c>
      <c r="Y1166" s="519"/>
      <c r="AA1166" s="24"/>
      <c r="AB1166" s="24"/>
      <c r="AC1166" s="24"/>
      <c r="AD1166" s="24"/>
      <c r="AE1166" s="24"/>
    </row>
    <row r="1167" spans="1:31" outlineLevel="1">
      <c r="A1167" s="55">
        <v>2422091000</v>
      </c>
      <c r="B1167" s="509" t="s">
        <v>115</v>
      </c>
      <c r="C1167" s="679" t="s">
        <v>106</v>
      </c>
      <c r="D1167" s="680"/>
      <c r="E1167" s="219">
        <v>45107</v>
      </c>
      <c r="F1167" s="416"/>
      <c r="G1167" s="1251"/>
      <c r="H1167" s="676"/>
      <c r="I1167" s="677"/>
      <c r="J1167" s="1431"/>
      <c r="K1167" s="1432"/>
      <c r="L1167" s="1320"/>
      <c r="M1167" s="1320"/>
      <c r="N1167" s="866"/>
      <c r="O1167" s="682"/>
      <c r="P1167" s="470"/>
      <c r="Q1167" s="1355"/>
      <c r="R1167" s="862"/>
      <c r="S1167" s="862"/>
      <c r="T1167" s="562">
        <f t="shared" si="2633"/>
        <v>0</v>
      </c>
      <c r="U1167" s="472"/>
      <c r="V1167" s="517">
        <f t="shared" si="2632"/>
        <v>0</v>
      </c>
      <c r="W1167" s="976">
        <f t="shared" si="2634"/>
        <v>0</v>
      </c>
      <c r="X1167" s="975">
        <f t="shared" si="2635"/>
        <v>0</v>
      </c>
      <c r="Y1167" s="519"/>
      <c r="AA1167" s="24"/>
      <c r="AB1167" s="24"/>
      <c r="AC1167" s="24"/>
      <c r="AD1167" s="24"/>
      <c r="AE1167" s="24"/>
    </row>
    <row r="1168" spans="1:31" outlineLevel="1">
      <c r="A1168" s="55">
        <v>2422091000</v>
      </c>
      <c r="B1168" s="509" t="s">
        <v>116</v>
      </c>
      <c r="C1168" s="679" t="s">
        <v>106</v>
      </c>
      <c r="D1168" s="680"/>
      <c r="E1168" s="219">
        <v>45138</v>
      </c>
      <c r="F1168" s="416"/>
      <c r="G1168" s="1251"/>
      <c r="H1168" s="676"/>
      <c r="I1168" s="677"/>
      <c r="J1168" s="1431"/>
      <c r="K1168" s="1432"/>
      <c r="L1168" s="1320"/>
      <c r="M1168" s="1320"/>
      <c r="N1168" s="866"/>
      <c r="O1168" s="682"/>
      <c r="P1168" s="470"/>
      <c r="Q1168" s="1355"/>
      <c r="R1168" s="862"/>
      <c r="S1168" s="862"/>
      <c r="T1168" s="562">
        <f t="shared" si="2633"/>
        <v>0</v>
      </c>
      <c r="U1168" s="472"/>
      <c r="V1168" s="517">
        <f t="shared" si="2632"/>
        <v>0</v>
      </c>
      <c r="W1168" s="976">
        <f t="shared" si="2634"/>
        <v>0</v>
      </c>
      <c r="X1168" s="975">
        <f t="shared" si="2635"/>
        <v>0</v>
      </c>
      <c r="Y1168" s="519"/>
      <c r="AA1168" s="24"/>
      <c r="AB1168" s="24"/>
      <c r="AC1168" s="24"/>
      <c r="AD1168" s="24"/>
      <c r="AE1168" s="24"/>
    </row>
    <row r="1169" spans="1:31" outlineLevel="1">
      <c r="A1169" s="55">
        <v>2422091000</v>
      </c>
      <c r="B1169" s="509" t="s">
        <v>117</v>
      </c>
      <c r="C1169" s="679" t="s">
        <v>106</v>
      </c>
      <c r="D1169" s="680"/>
      <c r="E1169" s="219">
        <v>45169</v>
      </c>
      <c r="F1169" s="416"/>
      <c r="G1169" s="1251"/>
      <c r="H1169" s="676"/>
      <c r="I1169" s="677"/>
      <c r="J1169" s="1431"/>
      <c r="K1169" s="1432"/>
      <c r="L1169" s="1320"/>
      <c r="M1169" s="1320"/>
      <c r="N1169" s="866"/>
      <c r="O1169" s="682"/>
      <c r="P1169" s="470"/>
      <c r="Q1169" s="1355"/>
      <c r="R1169" s="862"/>
      <c r="S1169" s="862"/>
      <c r="T1169" s="562">
        <f t="shared" si="2633"/>
        <v>0</v>
      </c>
      <c r="U1169" s="472"/>
      <c r="V1169" s="517">
        <f t="shared" si="2632"/>
        <v>0</v>
      </c>
      <c r="W1169" s="976">
        <f t="shared" si="2634"/>
        <v>0</v>
      </c>
      <c r="X1169" s="975">
        <f t="shared" si="2635"/>
        <v>0</v>
      </c>
      <c r="Y1169" s="519"/>
      <c r="AA1169" s="24"/>
      <c r="AB1169" s="24"/>
      <c r="AC1169" s="24"/>
      <c r="AD1169" s="24"/>
      <c r="AE1169" s="24"/>
    </row>
    <row r="1170" spans="1:31" outlineLevel="1">
      <c r="A1170" s="55">
        <v>2422091000</v>
      </c>
      <c r="B1170" s="509" t="s">
        <v>118</v>
      </c>
      <c r="C1170" s="679" t="s">
        <v>106</v>
      </c>
      <c r="D1170" s="680"/>
      <c r="E1170" s="219">
        <v>45177</v>
      </c>
      <c r="F1170" s="416"/>
      <c r="G1170" s="1251"/>
      <c r="H1170" s="676"/>
      <c r="I1170" s="677"/>
      <c r="J1170" s="1431"/>
      <c r="K1170" s="1432"/>
      <c r="L1170" s="1320"/>
      <c r="M1170" s="1320"/>
      <c r="N1170" s="866"/>
      <c r="O1170" s="682"/>
      <c r="P1170" s="470"/>
      <c r="Q1170" s="1355"/>
      <c r="R1170" s="862"/>
      <c r="S1170" s="862"/>
      <c r="T1170" s="562">
        <f t="shared" si="2633"/>
        <v>0</v>
      </c>
      <c r="U1170" s="472"/>
      <c r="V1170" s="517">
        <f t="shared" si="2632"/>
        <v>0</v>
      </c>
      <c r="W1170" s="976">
        <f t="shared" si="2634"/>
        <v>0</v>
      </c>
      <c r="X1170" s="975">
        <f t="shared" si="2635"/>
        <v>0</v>
      </c>
      <c r="Y1170" s="519"/>
      <c r="AA1170" s="24"/>
      <c r="AB1170" s="24"/>
      <c r="AC1170" s="24"/>
      <c r="AD1170" s="24"/>
      <c r="AE1170" s="24"/>
    </row>
    <row r="1171" spans="1:31" outlineLevel="1">
      <c r="A1171" s="55">
        <v>2422091000</v>
      </c>
      <c r="B1171" s="509" t="s">
        <v>118</v>
      </c>
      <c r="C1171" s="679" t="s">
        <v>106</v>
      </c>
      <c r="D1171" s="680"/>
      <c r="E1171" s="219">
        <v>45199</v>
      </c>
      <c r="F1171" s="416"/>
      <c r="G1171" s="1251"/>
      <c r="H1171" s="676"/>
      <c r="I1171" s="677"/>
      <c r="J1171" s="1431"/>
      <c r="K1171" s="1432"/>
      <c r="L1171" s="1320"/>
      <c r="M1171" s="1320"/>
      <c r="N1171" s="866"/>
      <c r="O1171" s="682"/>
      <c r="P1171" s="470"/>
      <c r="Q1171" s="1355"/>
      <c r="R1171" s="862"/>
      <c r="S1171" s="862"/>
      <c r="T1171" s="562">
        <f t="shared" si="2633"/>
        <v>0</v>
      </c>
      <c r="U1171" s="472"/>
      <c r="V1171" s="517">
        <f t="shared" si="2632"/>
        <v>0</v>
      </c>
      <c r="W1171" s="976">
        <f t="shared" si="2634"/>
        <v>0</v>
      </c>
      <c r="X1171" s="975">
        <f t="shared" si="2635"/>
        <v>0</v>
      </c>
      <c r="Y1171" s="519"/>
      <c r="AA1171" s="24"/>
      <c r="AB1171" s="24"/>
      <c r="AC1171" s="24"/>
      <c r="AD1171" s="24"/>
      <c r="AE1171" s="24"/>
    </row>
    <row r="1172" spans="1:31" outlineLevel="1">
      <c r="A1172" s="55">
        <v>2422091000</v>
      </c>
      <c r="B1172" s="509" t="s">
        <v>119</v>
      </c>
      <c r="C1172" s="679" t="s">
        <v>106</v>
      </c>
      <c r="D1172" s="680"/>
      <c r="E1172" s="219">
        <v>45230</v>
      </c>
      <c r="F1172" s="416"/>
      <c r="G1172" s="1251"/>
      <c r="H1172" s="676"/>
      <c r="I1172" s="677"/>
      <c r="J1172" s="1431"/>
      <c r="K1172" s="1432"/>
      <c r="L1172" s="1320"/>
      <c r="M1172" s="1320"/>
      <c r="N1172" s="866"/>
      <c r="O1172" s="682"/>
      <c r="P1172" s="470"/>
      <c r="Q1172" s="1355"/>
      <c r="R1172" s="862"/>
      <c r="S1172" s="862"/>
      <c r="T1172" s="562">
        <f t="shared" si="2633"/>
        <v>0</v>
      </c>
      <c r="U1172" s="472"/>
      <c r="V1172" s="517">
        <f t="shared" si="2632"/>
        <v>0</v>
      </c>
      <c r="W1172" s="976">
        <f t="shared" si="2634"/>
        <v>0</v>
      </c>
      <c r="X1172" s="975">
        <f t="shared" si="2635"/>
        <v>0</v>
      </c>
      <c r="Y1172" s="519"/>
      <c r="AA1172" s="24"/>
      <c r="AB1172" s="24"/>
      <c r="AC1172" s="24"/>
      <c r="AD1172" s="24"/>
      <c r="AE1172" s="24"/>
    </row>
    <row r="1173" spans="1:31" outlineLevel="1">
      <c r="A1173" s="55">
        <v>2422091000</v>
      </c>
      <c r="B1173" s="509" t="s">
        <v>120</v>
      </c>
      <c r="C1173" s="679" t="s">
        <v>106</v>
      </c>
      <c r="D1173" s="680"/>
      <c r="E1173" s="219">
        <v>45260</v>
      </c>
      <c r="F1173" s="416"/>
      <c r="G1173" s="1251"/>
      <c r="H1173" s="676"/>
      <c r="I1173" s="677"/>
      <c r="J1173" s="1431"/>
      <c r="K1173" s="1432"/>
      <c r="L1173" s="1320"/>
      <c r="M1173" s="1320"/>
      <c r="N1173" s="866"/>
      <c r="O1173" s="682"/>
      <c r="P1173" s="470"/>
      <c r="Q1173" s="1355"/>
      <c r="R1173" s="862"/>
      <c r="S1173" s="862"/>
      <c r="T1173" s="562">
        <f t="shared" si="2633"/>
        <v>0</v>
      </c>
      <c r="U1173" s="472"/>
      <c r="V1173" s="517">
        <f t="shared" si="2632"/>
        <v>0</v>
      </c>
      <c r="W1173" s="976">
        <f t="shared" si="2634"/>
        <v>0</v>
      </c>
      <c r="X1173" s="975">
        <f t="shared" si="2635"/>
        <v>0</v>
      </c>
      <c r="Y1173" s="519"/>
      <c r="AA1173" s="24"/>
      <c r="AB1173" s="24"/>
      <c r="AC1173" s="24"/>
      <c r="AD1173" s="24"/>
      <c r="AE1173" s="24"/>
    </row>
    <row r="1174" spans="1:31" outlineLevel="1">
      <c r="A1174" s="55">
        <v>2422091000</v>
      </c>
      <c r="B1174" s="509" t="s">
        <v>121</v>
      </c>
      <c r="C1174" s="679" t="s">
        <v>106</v>
      </c>
      <c r="D1174" s="680"/>
      <c r="E1174" s="219">
        <v>45266</v>
      </c>
      <c r="F1174" s="416"/>
      <c r="G1174" s="1251"/>
      <c r="H1174" s="676"/>
      <c r="I1174" s="677"/>
      <c r="J1174" s="1431"/>
      <c r="K1174" s="1432"/>
      <c r="L1174" s="1320"/>
      <c r="M1174" s="1320"/>
      <c r="N1174" s="866"/>
      <c r="O1174" s="682"/>
      <c r="P1174" s="470"/>
      <c r="Q1174" s="1355"/>
      <c r="R1174" s="862"/>
      <c r="S1174" s="862"/>
      <c r="T1174" s="562">
        <f t="shared" si="2633"/>
        <v>0</v>
      </c>
      <c r="U1174" s="472"/>
      <c r="V1174" s="517">
        <f t="shared" si="2632"/>
        <v>0</v>
      </c>
      <c r="W1174" s="976">
        <f t="shared" si="2634"/>
        <v>0</v>
      </c>
      <c r="X1174" s="975">
        <f t="shared" si="2635"/>
        <v>0</v>
      </c>
      <c r="Y1174" s="519"/>
      <c r="AA1174" s="24"/>
      <c r="AB1174" s="24"/>
      <c r="AC1174" s="24"/>
      <c r="AD1174" s="24"/>
      <c r="AE1174" s="24"/>
    </row>
    <row r="1175" spans="1:31" outlineLevel="1">
      <c r="A1175" s="55">
        <v>2422091000</v>
      </c>
      <c r="B1175" s="509" t="s">
        <v>121</v>
      </c>
      <c r="C1175" s="679" t="s">
        <v>106</v>
      </c>
      <c r="D1175" s="680"/>
      <c r="E1175" s="219">
        <v>45291</v>
      </c>
      <c r="F1175" s="416"/>
      <c r="G1175" s="1251"/>
      <c r="H1175" s="676"/>
      <c r="I1175" s="677"/>
      <c r="J1175" s="1431"/>
      <c r="K1175" s="1432"/>
      <c r="L1175" s="1320"/>
      <c r="M1175" s="1320"/>
      <c r="N1175" s="866"/>
      <c r="O1175" s="682"/>
      <c r="P1175" s="470"/>
      <c r="Q1175" s="1355"/>
      <c r="R1175" s="862"/>
      <c r="S1175" s="862"/>
      <c r="T1175" s="562">
        <f t="shared" si="2633"/>
        <v>0</v>
      </c>
      <c r="U1175" s="472"/>
      <c r="V1175" s="517">
        <f t="shared" si="2632"/>
        <v>0</v>
      </c>
      <c r="W1175" s="976">
        <f t="shared" si="2634"/>
        <v>0</v>
      </c>
      <c r="X1175" s="975">
        <f t="shared" si="2635"/>
        <v>0</v>
      </c>
      <c r="Y1175" s="519"/>
      <c r="AA1175" s="24"/>
      <c r="AB1175" s="24"/>
      <c r="AC1175" s="24"/>
      <c r="AD1175" s="24"/>
      <c r="AE1175" s="24"/>
    </row>
    <row r="1176" spans="1:31" outlineLevel="1">
      <c r="A1176" s="55"/>
      <c r="B1176" s="509"/>
      <c r="C1176" s="679"/>
      <c r="D1176" s="680"/>
      <c r="E1176" s="219"/>
      <c r="F1176" s="416"/>
      <c r="G1176" s="1251"/>
      <c r="H1176" s="676"/>
      <c r="I1176" s="677"/>
      <c r="J1176" s="1431"/>
      <c r="K1176" s="1432"/>
      <c r="L1176" s="1320"/>
      <c r="M1176" s="1320"/>
      <c r="N1176" s="866"/>
      <c r="O1176" s="682"/>
      <c r="P1176" s="470"/>
      <c r="Q1176" s="1355"/>
      <c r="R1176" s="862"/>
      <c r="S1176" s="862"/>
      <c r="T1176" s="562">
        <f t="shared" si="2633"/>
        <v>0</v>
      </c>
      <c r="U1176" s="472"/>
      <c r="V1176" s="517">
        <f t="shared" si="2632"/>
        <v>0</v>
      </c>
      <c r="W1176" s="976">
        <f t="shared" si="2634"/>
        <v>0</v>
      </c>
      <c r="X1176" s="975">
        <f t="shared" si="2635"/>
        <v>0</v>
      </c>
      <c r="Y1176" s="519"/>
      <c r="AA1176" s="24"/>
      <c r="AB1176" s="24"/>
      <c r="AC1176" s="24"/>
      <c r="AD1176" s="24"/>
      <c r="AE1176" s="24"/>
    </row>
    <row r="1177" spans="1:31" outlineLevel="1">
      <c r="A1177" s="258">
        <v>2422091000</v>
      </c>
      <c r="B1177" s="829" t="s">
        <v>124</v>
      </c>
      <c r="C1177" s="830" t="s">
        <v>106</v>
      </c>
      <c r="D1177" s="836"/>
      <c r="E1177" s="259">
        <v>44992</v>
      </c>
      <c r="F1177" s="450"/>
      <c r="G1177" s="1277"/>
      <c r="H1177" s="832"/>
      <c r="I1177" s="1436">
        <f>+F1177*H1177</f>
        <v>0</v>
      </c>
      <c r="J1177" s="469"/>
      <c r="K1177" s="1441"/>
      <c r="L1177" s="1320"/>
      <c r="M1177" s="1320"/>
      <c r="N1177" s="866"/>
      <c r="O1177" s="835">
        <f>+L1177*N1177</f>
        <v>0</v>
      </c>
      <c r="P1177" s="473"/>
      <c r="Q1177" s="1356"/>
      <c r="R1177" s="867"/>
      <c r="S1177" s="867"/>
      <c r="T1177" s="835">
        <v>-5318412911</v>
      </c>
      <c r="U1177" s="473"/>
      <c r="V1177" s="835">
        <f t="shared" si="2632"/>
        <v>-5318412911</v>
      </c>
      <c r="W1177" s="469">
        <f t="shared" si="2634"/>
        <v>0</v>
      </c>
      <c r="X1177" s="849">
        <f t="shared" si="2635"/>
        <v>0</v>
      </c>
      <c r="Y1177" s="836"/>
      <c r="AA1177" s="24"/>
      <c r="AB1177" s="24"/>
      <c r="AC1177" s="24"/>
      <c r="AD1177" s="24"/>
      <c r="AE1177" s="24"/>
    </row>
    <row r="1178" spans="1:31" outlineLevel="1">
      <c r="A1178" s="258">
        <v>2422091000</v>
      </c>
      <c r="B1178" s="829" t="s">
        <v>124</v>
      </c>
      <c r="C1178" s="830" t="s">
        <v>106</v>
      </c>
      <c r="D1178" s="836"/>
      <c r="E1178" s="259">
        <v>45085</v>
      </c>
      <c r="F1178" s="450"/>
      <c r="G1178" s="1277"/>
      <c r="H1178" s="832"/>
      <c r="I1178" s="1436">
        <f>+F1178*H1178</f>
        <v>0</v>
      </c>
      <c r="J1178" s="469"/>
      <c r="K1178" s="1441"/>
      <c r="L1178" s="1320"/>
      <c r="M1178" s="1320"/>
      <c r="N1178" s="866"/>
      <c r="O1178" s="835">
        <f>+L1178*N1178</f>
        <v>0</v>
      </c>
      <c r="P1178" s="473"/>
      <c r="Q1178" s="1356"/>
      <c r="R1178" s="867"/>
      <c r="S1178" s="867"/>
      <c r="T1178" s="835"/>
      <c r="U1178" s="473"/>
      <c r="V1178" s="835">
        <f t="shared" si="2632"/>
        <v>0</v>
      </c>
      <c r="W1178" s="469">
        <f t="shared" si="2634"/>
        <v>0</v>
      </c>
      <c r="X1178" s="849">
        <f t="shared" si="2635"/>
        <v>0</v>
      </c>
      <c r="Y1178" s="836"/>
      <c r="AA1178" s="24"/>
      <c r="AB1178" s="24"/>
      <c r="AC1178" s="24"/>
      <c r="AD1178" s="24"/>
      <c r="AE1178" s="24"/>
    </row>
    <row r="1179" spans="1:31" outlineLevel="1">
      <c r="A1179" s="258">
        <v>2422091000</v>
      </c>
      <c r="B1179" s="829" t="s">
        <v>124</v>
      </c>
      <c r="C1179" s="830" t="s">
        <v>106</v>
      </c>
      <c r="D1179" s="836"/>
      <c r="E1179" s="259">
        <v>45177</v>
      </c>
      <c r="F1179" s="450"/>
      <c r="G1179" s="1277"/>
      <c r="H1179" s="832"/>
      <c r="I1179" s="1436">
        <f>+F1179*H1179</f>
        <v>0</v>
      </c>
      <c r="J1179" s="469"/>
      <c r="K1179" s="1441"/>
      <c r="L1179" s="1320"/>
      <c r="M1179" s="1320"/>
      <c r="N1179" s="866"/>
      <c r="O1179" s="835">
        <f>+L1179*N1179</f>
        <v>0</v>
      </c>
      <c r="P1179" s="473"/>
      <c r="Q1179" s="1356"/>
      <c r="R1179" s="867"/>
      <c r="S1179" s="867"/>
      <c r="T1179" s="835"/>
      <c r="U1179" s="473"/>
      <c r="V1179" s="835">
        <f t="shared" si="2632"/>
        <v>0</v>
      </c>
      <c r="W1179" s="469">
        <f t="shared" si="2634"/>
        <v>0</v>
      </c>
      <c r="X1179" s="849">
        <f t="shared" si="2635"/>
        <v>0</v>
      </c>
      <c r="Y1179" s="836"/>
      <c r="AA1179" s="24"/>
      <c r="AB1179" s="24"/>
      <c r="AC1179" s="24"/>
      <c r="AD1179" s="24"/>
      <c r="AE1179" s="24"/>
    </row>
    <row r="1180" spans="1:31" outlineLevel="1">
      <c r="A1180" s="258">
        <v>2422091000</v>
      </c>
      <c r="B1180" s="829" t="s">
        <v>124</v>
      </c>
      <c r="C1180" s="830" t="s">
        <v>106</v>
      </c>
      <c r="D1180" s="836"/>
      <c r="E1180" s="259">
        <v>45266</v>
      </c>
      <c r="F1180" s="450"/>
      <c r="G1180" s="1277"/>
      <c r="H1180" s="832"/>
      <c r="I1180" s="1436">
        <f>+F1180*H1180</f>
        <v>0</v>
      </c>
      <c r="J1180" s="469"/>
      <c r="K1180" s="1441"/>
      <c r="L1180" s="1320"/>
      <c r="M1180" s="1320"/>
      <c r="N1180" s="866"/>
      <c r="O1180" s="835">
        <f>+L1180*N1180</f>
        <v>0</v>
      </c>
      <c r="P1180" s="473"/>
      <c r="Q1180" s="1356"/>
      <c r="R1180" s="867"/>
      <c r="S1180" s="867"/>
      <c r="T1180" s="835"/>
      <c r="U1180" s="473"/>
      <c r="V1180" s="835">
        <f t="shared" si="2632"/>
        <v>0</v>
      </c>
      <c r="W1180" s="469">
        <f t="shared" si="2634"/>
        <v>0</v>
      </c>
      <c r="X1180" s="849">
        <f t="shared" si="2635"/>
        <v>0</v>
      </c>
      <c r="Y1180" s="836"/>
      <c r="AA1180" s="24"/>
      <c r="AB1180" s="24"/>
      <c r="AC1180" s="24"/>
      <c r="AD1180" s="24"/>
      <c r="AE1180" s="24"/>
    </row>
    <row r="1181" spans="1:31" outlineLevel="1">
      <c r="A1181" s="55"/>
      <c r="B1181" s="509"/>
      <c r="C1181" s="510"/>
      <c r="D1181" s="510"/>
      <c r="E1181" s="219"/>
      <c r="F1181" s="416"/>
      <c r="G1181" s="1251"/>
      <c r="H1181" s="676"/>
      <c r="I1181" s="677"/>
      <c r="J1181" s="1431"/>
      <c r="K1181" s="1432"/>
      <c r="L1181" s="1320"/>
      <c r="M1181" s="1320"/>
      <c r="N1181" s="866"/>
      <c r="O1181" s="682">
        <f>+L1181*N1181</f>
        <v>0</v>
      </c>
      <c r="P1181" s="470"/>
      <c r="Q1181" s="1355"/>
      <c r="R1181" s="862"/>
      <c r="S1181" s="862"/>
      <c r="T1181" s="562"/>
      <c r="U1181" s="472"/>
      <c r="V1181" s="517">
        <f t="shared" si="2632"/>
        <v>0</v>
      </c>
      <c r="W1181" s="976"/>
      <c r="X1181" s="975"/>
      <c r="Y1181" s="519"/>
      <c r="AA1181" s="24"/>
      <c r="AB1181" s="24"/>
      <c r="AC1181" s="24"/>
      <c r="AD1181" s="24"/>
      <c r="AE1181" s="24"/>
    </row>
    <row r="1182" spans="1:31" s="290" customFormat="1" ht="15.75">
      <c r="A1182" s="278"/>
      <c r="B1182" s="279" t="s">
        <v>104</v>
      </c>
      <c r="C1182" s="280"/>
      <c r="D1182" s="282"/>
      <c r="E1182" s="281"/>
      <c r="F1182" s="283"/>
      <c r="G1182" s="1281"/>
      <c r="H1182" s="284"/>
      <c r="I1182" s="1437">
        <v>21956676</v>
      </c>
      <c r="J1182" s="287"/>
      <c r="K1182" s="285"/>
      <c r="L1182" s="1317"/>
      <c r="M1182" s="1317"/>
      <c r="N1182" s="284"/>
      <c r="O1182" s="285"/>
      <c r="P1182" s="283"/>
      <c r="Q1182" s="1281"/>
      <c r="R1182" s="284"/>
      <c r="S1182" s="284"/>
      <c r="T1182" s="285">
        <f>-I1182</f>
        <v>-21956676</v>
      </c>
      <c r="U1182" s="320"/>
      <c r="V1182" s="285">
        <f t="shared" si="2632"/>
        <v>0</v>
      </c>
      <c r="W1182" s="287"/>
      <c r="X1182" s="288"/>
      <c r="Y1182" s="282"/>
      <c r="Z1182" s="1064"/>
      <c r="AA1182" s="289"/>
      <c r="AB1182" s="289"/>
      <c r="AC1182" s="289"/>
      <c r="AD1182" s="289"/>
      <c r="AE1182" s="289"/>
    </row>
    <row r="1183" spans="1:31" s="302" customFormat="1" outlineLevel="1">
      <c r="A1183" s="979"/>
      <c r="B1183" s="980" t="s">
        <v>1473</v>
      </c>
      <c r="C1183" s="981" t="s">
        <v>106</v>
      </c>
      <c r="D1183" s="981"/>
      <c r="E1183" s="299"/>
      <c r="F1183" s="982"/>
      <c r="G1183" s="1286"/>
      <c r="H1183" s="857"/>
      <c r="I1183" s="858"/>
      <c r="J1183" s="1419"/>
      <c r="K1183" s="1420"/>
      <c r="L1183" s="1438"/>
      <c r="M1183" s="859"/>
      <c r="N1183" s="860"/>
      <c r="O1183" s="861">
        <v>-9965747</v>
      </c>
      <c r="P1183" s="321"/>
      <c r="Q1183" s="1357"/>
      <c r="R1183" s="868"/>
      <c r="S1183" s="868"/>
      <c r="T1183" s="863"/>
      <c r="U1183" s="300"/>
      <c r="V1183" s="983">
        <f t="shared" si="2632"/>
        <v>-9965747</v>
      </c>
      <c r="W1183" s="301"/>
      <c r="X1183" s="864"/>
      <c r="Y1183" s="865"/>
      <c r="Z1183" s="1065"/>
      <c r="AA1183" s="24"/>
      <c r="AB1183" s="24"/>
      <c r="AC1183" s="24"/>
      <c r="AD1183" s="24"/>
      <c r="AE1183" s="24"/>
    </row>
    <row r="1184" spans="1:31" ht="15.75" outlineLevel="1" thickBot="1">
      <c r="A1184" s="55"/>
      <c r="B1184" s="509"/>
      <c r="C1184" s="510"/>
      <c r="D1184" s="510"/>
      <c r="E1184" s="56"/>
      <c r="F1184" s="416"/>
      <c r="G1184" s="1251"/>
      <c r="H1184" s="676"/>
      <c r="I1184" s="677">
        <f>+F1184*H1184</f>
        <v>0</v>
      </c>
      <c r="J1184" s="1421"/>
      <c r="K1184" s="1422"/>
      <c r="L1184" s="1299"/>
      <c r="M1184" s="869"/>
      <c r="N1184" s="504"/>
      <c r="O1184" s="682">
        <f>+L1184*N1184</f>
        <v>0</v>
      </c>
      <c r="P1184" s="431"/>
      <c r="Q1184" s="514"/>
      <c r="R1184" s="515"/>
      <c r="S1184" s="515"/>
      <c r="T1184" s="516">
        <f>+P1184*R1184</f>
        <v>0</v>
      </c>
      <c r="U1184" s="418">
        <f>+L1184+P1184+F1184</f>
        <v>0</v>
      </c>
      <c r="V1184" s="517">
        <f>+I1184+T1184+O1184</f>
        <v>0</v>
      </c>
      <c r="W1184" s="474"/>
      <c r="X1184" s="870"/>
      <c r="Y1184" s="871"/>
      <c r="AA1184" s="24"/>
      <c r="AB1184" s="24"/>
      <c r="AC1184" s="24"/>
      <c r="AD1184" s="24"/>
      <c r="AE1184" s="24"/>
    </row>
    <row r="1185" spans="1:31" s="322" customFormat="1" ht="19.5" thickBot="1">
      <c r="A1185" s="872" t="s">
        <v>243</v>
      </c>
      <c r="B1185" s="873"/>
      <c r="C1185" s="874"/>
      <c r="D1185" s="874"/>
      <c r="E1185" s="875"/>
      <c r="F1185" s="876">
        <f>SUM(F1155:F1184)</f>
        <v>0</v>
      </c>
      <c r="G1185" s="876"/>
      <c r="H1185" s="877"/>
      <c r="I1185" s="878">
        <f>SUM(I1155:I1184)</f>
        <v>155659449313</v>
      </c>
      <c r="J1185" s="878"/>
      <c r="K1185" s="878"/>
      <c r="L1185" s="879">
        <f>SUM(L1155:L1184)</f>
        <v>0</v>
      </c>
      <c r="M1185" s="879"/>
      <c r="N1185" s="880">
        <f>SUM(N1155:N1184)</f>
        <v>0</v>
      </c>
      <c r="O1185" s="881">
        <f>SUM(O1155:O1184)</f>
        <v>7343736943</v>
      </c>
      <c r="P1185" s="882">
        <f>SUM(P1155:P1184)</f>
        <v>0</v>
      </c>
      <c r="Q1185" s="882"/>
      <c r="R1185" s="883"/>
      <c r="S1185" s="883"/>
      <c r="T1185" s="884">
        <f>SUM(T1155:T1184)</f>
        <v>-5340369587</v>
      </c>
      <c r="U1185" s="885">
        <f>SUM(U1155:U1184)</f>
        <v>0</v>
      </c>
      <c r="V1185" s="886">
        <f>SUM(V1155:V1184)</f>
        <v>157662816669</v>
      </c>
      <c r="W1185" s="887">
        <f>SUM(W1155:W1184)</f>
        <v>0</v>
      </c>
      <c r="X1185" s="887">
        <f>SUM(X1155:X1184)</f>
        <v>0</v>
      </c>
      <c r="Y1185" s="888"/>
      <c r="Z1185" s="1066"/>
      <c r="AA1185" s="183"/>
      <c r="AB1185" s="183"/>
      <c r="AC1185" s="183"/>
      <c r="AD1185" s="183"/>
      <c r="AE1185" s="183"/>
    </row>
    <row r="1186" spans="1:31">
      <c r="T1186" s="3" t="str">
        <f>$T$1044</f>
        <v>CA 2023</v>
      </c>
      <c r="V1186" s="412">
        <v>157662816669</v>
      </c>
      <c r="AA1186" s="24"/>
      <c r="AB1186" s="24"/>
      <c r="AC1186" s="24"/>
      <c r="AD1186" s="24"/>
      <c r="AE1186" s="24"/>
    </row>
    <row r="1187" spans="1:31" ht="15.75" thickBot="1">
      <c r="J1187" s="411"/>
      <c r="K1187" s="412"/>
      <c r="V1187" s="9">
        <f>+V1185-V1186</f>
        <v>0</v>
      </c>
      <c r="AA1187" s="24"/>
      <c r="AB1187" s="24"/>
      <c r="AC1187" s="24"/>
      <c r="AD1187" s="24"/>
      <c r="AE1187" s="24"/>
    </row>
    <row r="1188" spans="1:31" s="27" customFormat="1" ht="21.75" thickBot="1">
      <c r="A1188" s="1848" t="s">
        <v>1380</v>
      </c>
      <c r="B1188" s="1849"/>
      <c r="C1188" s="2558" t="s">
        <v>57</v>
      </c>
      <c r="D1188" s="2560" t="s">
        <v>59</v>
      </c>
      <c r="E1188" s="2562" t="s">
        <v>58</v>
      </c>
      <c r="F1188" s="2564" t="str">
        <f>F6</f>
        <v>SALDO FISCAL 31/12/2022</v>
      </c>
      <c r="G1188" s="2565"/>
      <c r="H1188" s="2565"/>
      <c r="I1188" s="2566"/>
      <c r="J1188" s="2567" t="str">
        <f>J6</f>
        <v>Tasa Mon Extranj</v>
      </c>
      <c r="K1188" s="2568"/>
      <c r="L1188" s="2569" t="str">
        <f>L6</f>
        <v>ENTRADAS</v>
      </c>
      <c r="M1188" s="2570"/>
      <c r="N1188" s="2570"/>
      <c r="O1188" s="2571"/>
      <c r="P1188" s="2572" t="str">
        <f>P6</f>
        <v>SALIDAS</v>
      </c>
      <c r="Q1188" s="2573"/>
      <c r="R1188" s="2573"/>
      <c r="S1188" s="2573"/>
      <c r="T1188" s="2574"/>
      <c r="U1188" s="2575" t="s">
        <v>62</v>
      </c>
      <c r="V1188" s="2576"/>
      <c r="W1188" s="2577" t="s">
        <v>63</v>
      </c>
      <c r="X1188" s="2578"/>
      <c r="Y1188" s="2579"/>
      <c r="Z1188" s="44"/>
      <c r="AA1188" s="213"/>
      <c r="AB1188" s="213"/>
      <c r="AC1188" s="213"/>
      <c r="AD1188" s="213"/>
      <c r="AE1188" s="213"/>
    </row>
    <row r="1189" spans="1:31" s="216" customFormat="1" ht="15.75" thickBot="1">
      <c r="A1189" s="855" t="s">
        <v>87</v>
      </c>
      <c r="B1189" s="856" t="s">
        <v>88</v>
      </c>
      <c r="C1189" s="2559"/>
      <c r="D1189" s="2561"/>
      <c r="E1189" s="2563"/>
      <c r="F1189" s="30" t="str">
        <f>F7</f>
        <v>MON/EX</v>
      </c>
      <c r="G1189" s="1249" t="str">
        <f>G7</f>
        <v>USD</v>
      </c>
      <c r="H1189" s="31" t="str">
        <f>H7</f>
        <v>TRM CIERRE</v>
      </c>
      <c r="I1189" s="32" t="str">
        <f>I7</f>
        <v>SALDO PESOS</v>
      </c>
      <c r="J1189" s="1423" t="str">
        <f>J7</f>
        <v>Inicial</v>
      </c>
      <c r="K1189" s="1338" t="str">
        <f>K7</f>
        <v>Pago</v>
      </c>
      <c r="L1189" s="33" t="str">
        <f>L7</f>
        <v>ENTRADAS MON/EX</v>
      </c>
      <c r="M1189" s="1297" t="str">
        <f>M7</f>
        <v>USD</v>
      </c>
      <c r="N1189" s="34" t="str">
        <f>N7</f>
        <v>TRM INICIAL</v>
      </c>
      <c r="O1189" s="35" t="str">
        <f>O7</f>
        <v>ENTRADAS PESOS</v>
      </c>
      <c r="P1189" s="36" t="str">
        <f>P7</f>
        <v>PAGOS MON/EX</v>
      </c>
      <c r="Q1189" s="1338" t="str">
        <f t="shared" ref="Q1189:X1189" si="2636">Q7</f>
        <v>USD</v>
      </c>
      <c r="R1189" s="37" t="str">
        <f t="shared" si="2636"/>
        <v>TRM INICIAL</v>
      </c>
      <c r="S1189" s="37" t="str">
        <f t="shared" si="2636"/>
        <v>TRM PAGO</v>
      </c>
      <c r="T1189" s="38" t="str">
        <f t="shared" si="2636"/>
        <v>PAGO EN PESOS</v>
      </c>
      <c r="U1189" s="39" t="str">
        <f t="shared" si="2636"/>
        <v xml:space="preserve"> SALDO MON/EX</v>
      </c>
      <c r="V1189" s="40" t="str">
        <f t="shared" si="2636"/>
        <v>SALDO  PESOS</v>
      </c>
      <c r="W1189" s="41" t="str">
        <f t="shared" si="2636"/>
        <v>GASTO</v>
      </c>
      <c r="X1189" s="42" t="str">
        <f t="shared" si="2636"/>
        <v>INGRESO</v>
      </c>
      <c r="Y1189" s="43"/>
      <c r="Z1189" s="214"/>
      <c r="AA1189" s="215"/>
      <c r="AB1189" s="215"/>
      <c r="AC1189" s="215"/>
      <c r="AD1189" s="215"/>
      <c r="AE1189" s="215"/>
    </row>
    <row r="1190" spans="1:31" ht="15.75">
      <c r="A1190" s="961">
        <v>2309011000</v>
      </c>
      <c r="B1190" s="962" t="s">
        <v>1291</v>
      </c>
      <c r="C1190" s="963" t="s">
        <v>106</v>
      </c>
      <c r="D1190" s="963"/>
      <c r="E1190" s="46">
        <v>44543</v>
      </c>
      <c r="F1190" s="964"/>
      <c r="G1190" s="1250"/>
      <c r="H1190" s="47"/>
      <c r="I1190" s="1434">
        <v>378224992080</v>
      </c>
      <c r="J1190" s="776"/>
      <c r="K1190" s="774"/>
      <c r="L1190" s="1298"/>
      <c r="M1190" s="1298"/>
      <c r="N1190" s="47"/>
      <c r="O1190" s="50">
        <f>+L1190*N1190</f>
        <v>0</v>
      </c>
      <c r="P1190" s="51"/>
      <c r="Q1190" s="1250"/>
      <c r="R1190" s="47"/>
      <c r="S1190" s="47"/>
      <c r="T1190" s="965">
        <f>+P1190*S1190</f>
        <v>0</v>
      </c>
      <c r="U1190" s="295"/>
      <c r="V1190" s="50">
        <f>+I1190+O1190+T1190</f>
        <v>378224992080</v>
      </c>
      <c r="W1190" s="296"/>
      <c r="X1190" s="297"/>
      <c r="Y1190" s="298"/>
      <c r="AA1190" s="24"/>
      <c r="AB1190" s="24"/>
      <c r="AC1190" s="24"/>
      <c r="AD1190" s="24"/>
      <c r="AE1190" s="24"/>
    </row>
    <row r="1191" spans="1:31" s="302" customFormat="1" outlineLevel="1">
      <c r="A1191" s="204">
        <v>2309011000</v>
      </c>
      <c r="B1191" s="980" t="s">
        <v>123</v>
      </c>
      <c r="C1191" s="733" t="s">
        <v>106</v>
      </c>
      <c r="D1191" s="733"/>
      <c r="E1191" s="205"/>
      <c r="F1191" s="206"/>
      <c r="G1191" s="1284"/>
      <c r="H1191" s="1109"/>
      <c r="I1191" s="1435"/>
      <c r="J1191" s="1439"/>
      <c r="K1191" s="1440"/>
      <c r="L1191" s="1122"/>
      <c r="M1191" s="1122"/>
      <c r="N1191" s="1110"/>
      <c r="O1191" s="1111">
        <v>0</v>
      </c>
      <c r="P1191" s="1112"/>
      <c r="Q1191" s="1352"/>
      <c r="R1191" s="1113"/>
      <c r="S1191" s="1113"/>
      <c r="T1191" s="1114"/>
      <c r="U1191" s="1115"/>
      <c r="V1191" s="734">
        <f>+I1191+T1191+O1191</f>
        <v>0</v>
      </c>
      <c r="W1191" s="1116"/>
      <c r="X1191" s="1117"/>
      <c r="Y1191" s="1118"/>
      <c r="Z1191" s="1065"/>
      <c r="AA1191" s="24"/>
      <c r="AB1191" s="24"/>
      <c r="AC1191" s="24"/>
      <c r="AD1191" s="24"/>
      <c r="AE1191" s="24"/>
    </row>
    <row r="1192" spans="1:31" s="302" customFormat="1" outlineLevel="1">
      <c r="A1192" s="979">
        <v>2309011000</v>
      </c>
      <c r="B1192" s="980" t="s">
        <v>123</v>
      </c>
      <c r="C1192" s="981" t="s">
        <v>106</v>
      </c>
      <c r="D1192" s="304"/>
      <c r="E1192" s="303"/>
      <c r="F1192" s="305"/>
      <c r="G1192" s="1285"/>
      <c r="H1192" s="306"/>
      <c r="I1192" s="1435">
        <f>+F1192*H1192</f>
        <v>0</v>
      </c>
      <c r="J1192" s="1439"/>
      <c r="K1192" s="1440"/>
      <c r="L1192" s="1122"/>
      <c r="M1192" s="1122"/>
      <c r="N1192" s="1110"/>
      <c r="O1192" s="307">
        <f>+L1192*N1192</f>
        <v>0</v>
      </c>
      <c r="P1192" s="308"/>
      <c r="Q1192" s="1353"/>
      <c r="R1192" s="309"/>
      <c r="S1192" s="309"/>
      <c r="T1192" s="1114"/>
      <c r="U1192" s="1115"/>
      <c r="V1192" s="310">
        <f>+I1192+T1192+O1192</f>
        <v>0</v>
      </c>
      <c r="W1192" s="311"/>
      <c r="X1192" s="312"/>
      <c r="Y1192" s="313"/>
      <c r="Z1192" s="1065"/>
      <c r="AA1192" s="24"/>
      <c r="AB1192" s="24"/>
      <c r="AC1192" s="24"/>
      <c r="AD1192" s="24"/>
      <c r="AE1192" s="24"/>
    </row>
    <row r="1193" spans="1:31" s="302" customFormat="1" outlineLevel="1">
      <c r="A1193" s="314"/>
      <c r="B1193" s="315"/>
      <c r="C1193" s="304"/>
      <c r="D1193" s="304"/>
      <c r="E1193" s="303"/>
      <c r="F1193" s="305"/>
      <c r="G1193" s="1285"/>
      <c r="H1193" s="306"/>
      <c r="I1193" s="1435">
        <f>+F1193*H1193</f>
        <v>0</v>
      </c>
      <c r="J1193" s="1439"/>
      <c r="K1193" s="1440"/>
      <c r="L1193" s="1122"/>
      <c r="M1193" s="1122"/>
      <c r="N1193" s="1110"/>
      <c r="O1193" s="307">
        <f>+L1193*N1193</f>
        <v>0</v>
      </c>
      <c r="P1193" s="308"/>
      <c r="Q1193" s="1353"/>
      <c r="R1193" s="309"/>
      <c r="S1193" s="309"/>
      <c r="T1193" s="1114">
        <f>+P1193*R1193</f>
        <v>0</v>
      </c>
      <c r="U1193" s="1115"/>
      <c r="V1193" s="310">
        <f>+I1193+T1193+O1193</f>
        <v>0</v>
      </c>
      <c r="W1193" s="311"/>
      <c r="X1193" s="312"/>
      <c r="Y1193" s="313"/>
      <c r="Z1193" s="1065"/>
      <c r="AA1193" s="24"/>
      <c r="AB1193" s="24"/>
      <c r="AC1193" s="24"/>
      <c r="AD1193" s="24"/>
      <c r="AE1193" s="24"/>
    </row>
    <row r="1194" spans="1:31" ht="15.75">
      <c r="A1194" s="961">
        <v>2422091000</v>
      </c>
      <c r="B1194" s="962" t="s">
        <v>77</v>
      </c>
      <c r="C1194" s="963" t="s">
        <v>106</v>
      </c>
      <c r="D1194" s="963"/>
      <c r="E1194" s="46">
        <v>44926</v>
      </c>
      <c r="F1194" s="964"/>
      <c r="G1194" s="1250"/>
      <c r="H1194" s="47"/>
      <c r="I1194" s="1434">
        <v>604949862</v>
      </c>
      <c r="J1194" s="968"/>
      <c r="K1194" s="965"/>
      <c r="L1194" s="1298"/>
      <c r="M1194" s="1298"/>
      <c r="N1194" s="47"/>
      <c r="O1194" s="50"/>
      <c r="P1194" s="317"/>
      <c r="Q1194" s="1354"/>
      <c r="R1194" s="318"/>
      <c r="S1194" s="318"/>
      <c r="T1194" s="48"/>
      <c r="U1194" s="319"/>
      <c r="V1194" s="50">
        <f t="shared" ref="V1194:V1218" si="2637">+I1194+O1194+T1194</f>
        <v>604949862</v>
      </c>
      <c r="W1194" s="296"/>
      <c r="X1194" s="297"/>
      <c r="Y1194" s="298"/>
      <c r="AA1194" s="24"/>
      <c r="AB1194" s="24"/>
      <c r="AC1194" s="24"/>
      <c r="AD1194" s="24"/>
      <c r="AE1194" s="24"/>
    </row>
    <row r="1195" spans="1:31" outlineLevel="1">
      <c r="A1195" s="55">
        <v>2422091000</v>
      </c>
      <c r="B1195" s="509" t="s">
        <v>110</v>
      </c>
      <c r="C1195" s="679" t="s">
        <v>106</v>
      </c>
      <c r="D1195" s="680"/>
      <c r="E1195" s="219">
        <v>44957</v>
      </c>
      <c r="F1195" s="416"/>
      <c r="G1195" s="1251"/>
      <c r="H1195" s="676"/>
      <c r="I1195" s="677"/>
      <c r="J1195" s="1431"/>
      <c r="K1195" s="1432"/>
      <c r="L1195" s="1320"/>
      <c r="M1195" s="1320"/>
      <c r="N1195" s="866"/>
      <c r="O1195" s="682">
        <v>4688361433</v>
      </c>
      <c r="P1195" s="470"/>
      <c r="Q1195" s="1355"/>
      <c r="R1195" s="862"/>
      <c r="S1195" s="862"/>
      <c r="T1195" s="562">
        <f t="shared" ref="T1195:T1210" si="2638">+P1195*S1195</f>
        <v>0</v>
      </c>
      <c r="U1195" s="472"/>
      <c r="V1195" s="517">
        <f t="shared" si="2637"/>
        <v>4688361433</v>
      </c>
      <c r="W1195" s="976">
        <f t="shared" ref="W1195:W1215" si="2639">-(IF(R1195&lt;S1195,(-P1195*R1195)-(-P1195*S1195),0))</f>
        <v>0</v>
      </c>
      <c r="X1195" s="975">
        <f t="shared" ref="X1195:X1215" si="2640">-(IF(R1195&gt;S1195,(-P1195*R1195)-(-P1195*S1195),0))</f>
        <v>0</v>
      </c>
      <c r="Y1195" s="519"/>
      <c r="AA1195" s="24"/>
      <c r="AB1195" s="24"/>
      <c r="AC1195" s="24"/>
      <c r="AD1195" s="24"/>
      <c r="AE1195" s="24"/>
    </row>
    <row r="1196" spans="1:31" outlineLevel="1">
      <c r="A1196" s="55">
        <v>2422091000</v>
      </c>
      <c r="B1196" s="509" t="s">
        <v>111</v>
      </c>
      <c r="C1196" s="679" t="s">
        <v>106</v>
      </c>
      <c r="D1196" s="680"/>
      <c r="E1196" s="219">
        <v>44985</v>
      </c>
      <c r="F1196" s="416"/>
      <c r="G1196" s="1251"/>
      <c r="H1196" s="676"/>
      <c r="I1196" s="677"/>
      <c r="J1196" s="1431"/>
      <c r="K1196" s="1432"/>
      <c r="L1196" s="1320"/>
      <c r="M1196" s="1320"/>
      <c r="N1196" s="866"/>
      <c r="O1196" s="682">
        <v>4234649036</v>
      </c>
      <c r="P1196" s="470"/>
      <c r="Q1196" s="1355"/>
      <c r="R1196" s="862"/>
      <c r="S1196" s="862"/>
      <c r="T1196" s="562">
        <f t="shared" si="2638"/>
        <v>0</v>
      </c>
      <c r="U1196" s="472"/>
      <c r="V1196" s="517">
        <f t="shared" si="2637"/>
        <v>4234649036</v>
      </c>
      <c r="W1196" s="976">
        <f t="shared" si="2639"/>
        <v>0</v>
      </c>
      <c r="X1196" s="975">
        <f t="shared" si="2640"/>
        <v>0</v>
      </c>
      <c r="Y1196" s="519"/>
      <c r="AA1196" s="24"/>
      <c r="AB1196" s="24"/>
      <c r="AC1196" s="24"/>
      <c r="AD1196" s="24"/>
      <c r="AE1196" s="24"/>
    </row>
    <row r="1197" spans="1:31" outlineLevel="1">
      <c r="A1197" s="55">
        <v>2422091000</v>
      </c>
      <c r="B1197" s="509" t="s">
        <v>112</v>
      </c>
      <c r="C1197" s="679" t="s">
        <v>106</v>
      </c>
      <c r="D1197" s="680"/>
      <c r="E1197" s="219">
        <v>45012</v>
      </c>
      <c r="F1197" s="416"/>
      <c r="G1197" s="1251"/>
      <c r="H1197" s="676"/>
      <c r="I1197" s="677"/>
      <c r="J1197" s="1431"/>
      <c r="K1197" s="1432"/>
      <c r="L1197" s="1320"/>
      <c r="M1197" s="1320"/>
      <c r="N1197" s="866"/>
      <c r="O1197" s="682">
        <v>4083411571</v>
      </c>
      <c r="P1197" s="470"/>
      <c r="Q1197" s="1355"/>
      <c r="R1197" s="862"/>
      <c r="S1197" s="862"/>
      <c r="T1197" s="562">
        <f t="shared" si="2638"/>
        <v>0</v>
      </c>
      <c r="U1197" s="472"/>
      <c r="V1197" s="517">
        <f t="shared" si="2637"/>
        <v>4083411571</v>
      </c>
      <c r="W1197" s="976">
        <f t="shared" si="2639"/>
        <v>0</v>
      </c>
      <c r="X1197" s="975">
        <f t="shared" si="2640"/>
        <v>0</v>
      </c>
      <c r="Y1197" s="519"/>
      <c r="AA1197" s="24"/>
      <c r="AB1197" s="24"/>
      <c r="AC1197" s="24"/>
      <c r="AD1197" s="24"/>
      <c r="AE1197" s="24"/>
    </row>
    <row r="1198" spans="1:31" outlineLevel="1">
      <c r="A1198" s="55">
        <v>2422091000</v>
      </c>
      <c r="B1198" s="509" t="s">
        <v>112</v>
      </c>
      <c r="C1198" s="679" t="s">
        <v>106</v>
      </c>
      <c r="D1198" s="680"/>
      <c r="E1198" s="219">
        <v>45016</v>
      </c>
      <c r="F1198" s="416"/>
      <c r="G1198" s="1251"/>
      <c r="H1198" s="676"/>
      <c r="I1198" s="677"/>
      <c r="J1198" s="1431"/>
      <c r="K1198" s="1432"/>
      <c r="L1198" s="1320"/>
      <c r="M1198" s="1320"/>
      <c r="N1198" s="866"/>
      <c r="O1198" s="682">
        <v>628693987</v>
      </c>
      <c r="P1198" s="470"/>
      <c r="Q1198" s="1355"/>
      <c r="R1198" s="862"/>
      <c r="S1198" s="862"/>
      <c r="T1198" s="562">
        <f t="shared" si="2638"/>
        <v>0</v>
      </c>
      <c r="U1198" s="472"/>
      <c r="V1198" s="517">
        <f t="shared" si="2637"/>
        <v>628693987</v>
      </c>
      <c r="W1198" s="976">
        <f t="shared" si="2639"/>
        <v>0</v>
      </c>
      <c r="X1198" s="975">
        <f t="shared" si="2640"/>
        <v>0</v>
      </c>
      <c r="Y1198" s="519"/>
      <c r="AA1198" s="24"/>
      <c r="AB1198" s="24"/>
      <c r="AC1198" s="24"/>
      <c r="AD1198" s="24"/>
      <c r="AE1198" s="24"/>
    </row>
    <row r="1199" spans="1:31" outlineLevel="1">
      <c r="A1199" s="55">
        <v>2422091000</v>
      </c>
      <c r="B1199" s="509" t="s">
        <v>113</v>
      </c>
      <c r="C1199" s="679" t="s">
        <v>106</v>
      </c>
      <c r="D1199" s="680"/>
      <c r="E1199" s="219">
        <v>45046</v>
      </c>
      <c r="F1199" s="416"/>
      <c r="G1199" s="1251"/>
      <c r="H1199" s="676"/>
      <c r="I1199" s="677"/>
      <c r="J1199" s="1431"/>
      <c r="K1199" s="1432"/>
      <c r="L1199" s="1320"/>
      <c r="M1199" s="1320"/>
      <c r="N1199" s="866"/>
      <c r="O1199" s="682">
        <v>4715204901</v>
      </c>
      <c r="P1199" s="470"/>
      <c r="Q1199" s="1355"/>
      <c r="R1199" s="862"/>
      <c r="S1199" s="862"/>
      <c r="T1199" s="562">
        <f t="shared" si="2638"/>
        <v>0</v>
      </c>
      <c r="U1199" s="472"/>
      <c r="V1199" s="517">
        <f t="shared" si="2637"/>
        <v>4715204901</v>
      </c>
      <c r="W1199" s="976">
        <f t="shared" si="2639"/>
        <v>0</v>
      </c>
      <c r="X1199" s="975">
        <f t="shared" si="2640"/>
        <v>0</v>
      </c>
      <c r="Y1199" s="519"/>
      <c r="AA1199" s="24"/>
      <c r="AB1199" s="24"/>
      <c r="AC1199" s="24"/>
      <c r="AD1199" s="24"/>
      <c r="AE1199" s="24"/>
    </row>
    <row r="1200" spans="1:31" outlineLevel="1">
      <c r="A1200" s="55">
        <v>2422091000</v>
      </c>
      <c r="B1200" s="509" t="s">
        <v>114</v>
      </c>
      <c r="C1200" s="679" t="s">
        <v>106</v>
      </c>
      <c r="D1200" s="680"/>
      <c r="E1200" s="219">
        <v>45077</v>
      </c>
      <c r="F1200" s="416"/>
      <c r="G1200" s="1251"/>
      <c r="H1200" s="676"/>
      <c r="I1200" s="677"/>
      <c r="J1200" s="1431"/>
      <c r="K1200" s="1432"/>
      <c r="L1200" s="1320"/>
      <c r="M1200" s="1320"/>
      <c r="N1200" s="866"/>
      <c r="O1200" s="682"/>
      <c r="P1200" s="470"/>
      <c r="Q1200" s="1355"/>
      <c r="R1200" s="862"/>
      <c r="S1200" s="862"/>
      <c r="T1200" s="562">
        <f t="shared" si="2638"/>
        <v>0</v>
      </c>
      <c r="U1200" s="472"/>
      <c r="V1200" s="517">
        <f t="shared" si="2637"/>
        <v>0</v>
      </c>
      <c r="W1200" s="976">
        <f t="shared" si="2639"/>
        <v>0</v>
      </c>
      <c r="X1200" s="975">
        <f t="shared" si="2640"/>
        <v>0</v>
      </c>
      <c r="Y1200" s="519"/>
      <c r="AA1200" s="24"/>
      <c r="AB1200" s="24"/>
      <c r="AC1200" s="24"/>
      <c r="AD1200" s="24"/>
      <c r="AE1200" s="24"/>
    </row>
    <row r="1201" spans="1:31" outlineLevel="1">
      <c r="A1201" s="55">
        <v>2422091000</v>
      </c>
      <c r="B1201" s="509" t="s">
        <v>115</v>
      </c>
      <c r="C1201" s="679" t="s">
        <v>106</v>
      </c>
      <c r="D1201" s="680"/>
      <c r="E1201" s="219">
        <v>45085</v>
      </c>
      <c r="F1201" s="416"/>
      <c r="G1201" s="1251"/>
      <c r="H1201" s="676"/>
      <c r="I1201" s="677"/>
      <c r="J1201" s="1431"/>
      <c r="K1201" s="1432"/>
      <c r="L1201" s="1320"/>
      <c r="M1201" s="1320"/>
      <c r="N1201" s="866"/>
      <c r="O1201" s="682"/>
      <c r="P1201" s="470"/>
      <c r="Q1201" s="1355"/>
      <c r="R1201" s="862"/>
      <c r="S1201" s="862"/>
      <c r="T1201" s="562">
        <f t="shared" si="2638"/>
        <v>0</v>
      </c>
      <c r="U1201" s="472"/>
      <c r="V1201" s="517">
        <f t="shared" si="2637"/>
        <v>0</v>
      </c>
      <c r="W1201" s="976">
        <f t="shared" si="2639"/>
        <v>0</v>
      </c>
      <c r="X1201" s="975">
        <f t="shared" si="2640"/>
        <v>0</v>
      </c>
      <c r="Y1201" s="519"/>
      <c r="AA1201" s="24"/>
      <c r="AB1201" s="24"/>
      <c r="AC1201" s="24"/>
      <c r="AD1201" s="24"/>
      <c r="AE1201" s="24"/>
    </row>
    <row r="1202" spans="1:31" outlineLevel="1">
      <c r="A1202" s="55">
        <v>2422091000</v>
      </c>
      <c r="B1202" s="509" t="s">
        <v>115</v>
      </c>
      <c r="C1202" s="679" t="s">
        <v>106</v>
      </c>
      <c r="D1202" s="680"/>
      <c r="E1202" s="219">
        <v>45107</v>
      </c>
      <c r="F1202" s="416"/>
      <c r="G1202" s="1251"/>
      <c r="H1202" s="676"/>
      <c r="I1202" s="677"/>
      <c r="J1202" s="1431"/>
      <c r="K1202" s="1432"/>
      <c r="L1202" s="1320"/>
      <c r="M1202" s="1320"/>
      <c r="N1202" s="866"/>
      <c r="O1202" s="682"/>
      <c r="P1202" s="470"/>
      <c r="Q1202" s="1355"/>
      <c r="R1202" s="862"/>
      <c r="S1202" s="862"/>
      <c r="T1202" s="562">
        <f t="shared" si="2638"/>
        <v>0</v>
      </c>
      <c r="U1202" s="472"/>
      <c r="V1202" s="517">
        <f t="shared" si="2637"/>
        <v>0</v>
      </c>
      <c r="W1202" s="976">
        <f t="shared" si="2639"/>
        <v>0</v>
      </c>
      <c r="X1202" s="975">
        <f t="shared" si="2640"/>
        <v>0</v>
      </c>
      <c r="Y1202" s="519"/>
      <c r="AA1202" s="24"/>
      <c r="AB1202" s="24"/>
      <c r="AC1202" s="24"/>
      <c r="AD1202" s="24"/>
      <c r="AE1202" s="24"/>
    </row>
    <row r="1203" spans="1:31" outlineLevel="1">
      <c r="A1203" s="55">
        <v>2422091000</v>
      </c>
      <c r="B1203" s="509" t="s">
        <v>116</v>
      </c>
      <c r="C1203" s="679" t="s">
        <v>106</v>
      </c>
      <c r="D1203" s="680"/>
      <c r="E1203" s="219">
        <v>45138</v>
      </c>
      <c r="F1203" s="416"/>
      <c r="G1203" s="1251"/>
      <c r="H1203" s="676"/>
      <c r="I1203" s="677"/>
      <c r="J1203" s="1431"/>
      <c r="K1203" s="1432"/>
      <c r="L1203" s="1320"/>
      <c r="M1203" s="1320"/>
      <c r="N1203" s="866"/>
      <c r="O1203" s="682"/>
      <c r="P1203" s="470"/>
      <c r="Q1203" s="1355"/>
      <c r="R1203" s="862"/>
      <c r="S1203" s="862"/>
      <c r="T1203" s="562">
        <f t="shared" si="2638"/>
        <v>0</v>
      </c>
      <c r="U1203" s="472"/>
      <c r="V1203" s="517">
        <f t="shared" si="2637"/>
        <v>0</v>
      </c>
      <c r="W1203" s="976">
        <f t="shared" si="2639"/>
        <v>0</v>
      </c>
      <c r="X1203" s="975">
        <f t="shared" si="2640"/>
        <v>0</v>
      </c>
      <c r="Y1203" s="519"/>
      <c r="AA1203" s="24"/>
      <c r="AB1203" s="24"/>
      <c r="AC1203" s="24"/>
      <c r="AD1203" s="24"/>
      <c r="AE1203" s="24"/>
    </row>
    <row r="1204" spans="1:31" outlineLevel="1">
      <c r="A1204" s="55">
        <v>2422091000</v>
      </c>
      <c r="B1204" s="509" t="s">
        <v>117</v>
      </c>
      <c r="C1204" s="679" t="s">
        <v>106</v>
      </c>
      <c r="D1204" s="680"/>
      <c r="E1204" s="219">
        <v>45169</v>
      </c>
      <c r="F1204" s="416"/>
      <c r="G1204" s="1251"/>
      <c r="H1204" s="676"/>
      <c r="I1204" s="677"/>
      <c r="J1204" s="1431"/>
      <c r="K1204" s="1432"/>
      <c r="L1204" s="1320"/>
      <c r="M1204" s="1320"/>
      <c r="N1204" s="866"/>
      <c r="O1204" s="682"/>
      <c r="P1204" s="470"/>
      <c r="Q1204" s="1355"/>
      <c r="R1204" s="862"/>
      <c r="S1204" s="862"/>
      <c r="T1204" s="562">
        <f t="shared" si="2638"/>
        <v>0</v>
      </c>
      <c r="U1204" s="472"/>
      <c r="V1204" s="517">
        <f t="shared" si="2637"/>
        <v>0</v>
      </c>
      <c r="W1204" s="976">
        <f t="shared" si="2639"/>
        <v>0</v>
      </c>
      <c r="X1204" s="975">
        <f t="shared" si="2640"/>
        <v>0</v>
      </c>
      <c r="Y1204" s="519"/>
      <c r="AA1204" s="24"/>
      <c r="AB1204" s="24"/>
      <c r="AC1204" s="24"/>
      <c r="AD1204" s="24"/>
      <c r="AE1204" s="24"/>
    </row>
    <row r="1205" spans="1:31" outlineLevel="1">
      <c r="A1205" s="55">
        <v>2422091000</v>
      </c>
      <c r="B1205" s="509" t="s">
        <v>118</v>
      </c>
      <c r="C1205" s="679" t="s">
        <v>106</v>
      </c>
      <c r="D1205" s="680"/>
      <c r="E1205" s="219">
        <v>45177</v>
      </c>
      <c r="F1205" s="416"/>
      <c r="G1205" s="1251"/>
      <c r="H1205" s="676"/>
      <c r="I1205" s="677"/>
      <c r="J1205" s="1431"/>
      <c r="K1205" s="1432"/>
      <c r="L1205" s="1320"/>
      <c r="M1205" s="1320"/>
      <c r="N1205" s="866"/>
      <c r="O1205" s="682"/>
      <c r="P1205" s="470"/>
      <c r="Q1205" s="1355"/>
      <c r="R1205" s="862"/>
      <c r="S1205" s="862"/>
      <c r="T1205" s="562">
        <f t="shared" si="2638"/>
        <v>0</v>
      </c>
      <c r="U1205" s="472"/>
      <c r="V1205" s="517">
        <f t="shared" si="2637"/>
        <v>0</v>
      </c>
      <c r="W1205" s="976">
        <f t="shared" si="2639"/>
        <v>0</v>
      </c>
      <c r="X1205" s="975">
        <f t="shared" si="2640"/>
        <v>0</v>
      </c>
      <c r="Y1205" s="519"/>
      <c r="AA1205" s="24"/>
      <c r="AB1205" s="24"/>
      <c r="AC1205" s="24"/>
      <c r="AD1205" s="24"/>
      <c r="AE1205" s="24"/>
    </row>
    <row r="1206" spans="1:31" outlineLevel="1">
      <c r="A1206" s="55">
        <v>2422091000</v>
      </c>
      <c r="B1206" s="509" t="s">
        <v>118</v>
      </c>
      <c r="C1206" s="679" t="s">
        <v>106</v>
      </c>
      <c r="D1206" s="680"/>
      <c r="E1206" s="219">
        <v>45199</v>
      </c>
      <c r="F1206" s="416"/>
      <c r="G1206" s="1251"/>
      <c r="H1206" s="676"/>
      <c r="I1206" s="677"/>
      <c r="J1206" s="1431"/>
      <c r="K1206" s="1432"/>
      <c r="L1206" s="1320"/>
      <c r="M1206" s="1320"/>
      <c r="N1206" s="866"/>
      <c r="O1206" s="682"/>
      <c r="P1206" s="470"/>
      <c r="Q1206" s="1355"/>
      <c r="R1206" s="862"/>
      <c r="S1206" s="862"/>
      <c r="T1206" s="562">
        <f t="shared" si="2638"/>
        <v>0</v>
      </c>
      <c r="U1206" s="472"/>
      <c r="V1206" s="517">
        <f t="shared" si="2637"/>
        <v>0</v>
      </c>
      <c r="W1206" s="976">
        <f t="shared" si="2639"/>
        <v>0</v>
      </c>
      <c r="X1206" s="975">
        <f t="shared" si="2640"/>
        <v>0</v>
      </c>
      <c r="Y1206" s="519"/>
      <c r="AA1206" s="24"/>
      <c r="AB1206" s="24"/>
      <c r="AC1206" s="24"/>
      <c r="AD1206" s="24"/>
      <c r="AE1206" s="24"/>
    </row>
    <row r="1207" spans="1:31" outlineLevel="1">
      <c r="A1207" s="55">
        <v>2422091000</v>
      </c>
      <c r="B1207" s="509" t="s">
        <v>119</v>
      </c>
      <c r="C1207" s="679" t="s">
        <v>106</v>
      </c>
      <c r="D1207" s="680"/>
      <c r="E1207" s="219">
        <v>45230</v>
      </c>
      <c r="F1207" s="416"/>
      <c r="G1207" s="1251"/>
      <c r="H1207" s="676"/>
      <c r="I1207" s="677"/>
      <c r="J1207" s="1431"/>
      <c r="K1207" s="1432"/>
      <c r="L1207" s="1320"/>
      <c r="M1207" s="1320"/>
      <c r="N1207" s="866"/>
      <c r="O1207" s="682"/>
      <c r="P1207" s="470"/>
      <c r="Q1207" s="1355"/>
      <c r="R1207" s="862"/>
      <c r="S1207" s="862"/>
      <c r="T1207" s="562">
        <f t="shared" si="2638"/>
        <v>0</v>
      </c>
      <c r="U1207" s="472"/>
      <c r="V1207" s="517">
        <f t="shared" si="2637"/>
        <v>0</v>
      </c>
      <c r="W1207" s="976">
        <f t="shared" si="2639"/>
        <v>0</v>
      </c>
      <c r="X1207" s="975">
        <f t="shared" si="2640"/>
        <v>0</v>
      </c>
      <c r="Y1207" s="519"/>
      <c r="AA1207" s="24"/>
      <c r="AB1207" s="24"/>
      <c r="AC1207" s="24"/>
      <c r="AD1207" s="24"/>
      <c r="AE1207" s="24"/>
    </row>
    <row r="1208" spans="1:31" outlineLevel="1">
      <c r="A1208" s="55">
        <v>2422091000</v>
      </c>
      <c r="B1208" s="509" t="s">
        <v>120</v>
      </c>
      <c r="C1208" s="679" t="s">
        <v>106</v>
      </c>
      <c r="D1208" s="680"/>
      <c r="E1208" s="219">
        <v>45260</v>
      </c>
      <c r="F1208" s="416"/>
      <c r="G1208" s="1251"/>
      <c r="H1208" s="676"/>
      <c r="I1208" s="677"/>
      <c r="J1208" s="1431"/>
      <c r="K1208" s="1432"/>
      <c r="L1208" s="1320"/>
      <c r="M1208" s="1320"/>
      <c r="N1208" s="866"/>
      <c r="O1208" s="682"/>
      <c r="P1208" s="470"/>
      <c r="Q1208" s="1355"/>
      <c r="R1208" s="862"/>
      <c r="S1208" s="862"/>
      <c r="T1208" s="562">
        <f t="shared" si="2638"/>
        <v>0</v>
      </c>
      <c r="U1208" s="472"/>
      <c r="V1208" s="517">
        <f t="shared" si="2637"/>
        <v>0</v>
      </c>
      <c r="W1208" s="976">
        <f t="shared" si="2639"/>
        <v>0</v>
      </c>
      <c r="X1208" s="975">
        <f t="shared" si="2640"/>
        <v>0</v>
      </c>
      <c r="Y1208" s="519"/>
      <c r="AA1208" s="24"/>
      <c r="AB1208" s="24"/>
      <c r="AC1208" s="24"/>
      <c r="AD1208" s="24"/>
      <c r="AE1208" s="24"/>
    </row>
    <row r="1209" spans="1:31" outlineLevel="1">
      <c r="A1209" s="55">
        <v>2422091000</v>
      </c>
      <c r="B1209" s="509" t="s">
        <v>121</v>
      </c>
      <c r="C1209" s="679" t="s">
        <v>106</v>
      </c>
      <c r="D1209" s="680"/>
      <c r="E1209" s="219">
        <v>45266</v>
      </c>
      <c r="F1209" s="416"/>
      <c r="G1209" s="1251"/>
      <c r="H1209" s="676"/>
      <c r="I1209" s="677"/>
      <c r="J1209" s="1431"/>
      <c r="K1209" s="1432"/>
      <c r="L1209" s="1320"/>
      <c r="M1209" s="1320"/>
      <c r="N1209" s="866"/>
      <c r="O1209" s="682"/>
      <c r="P1209" s="470"/>
      <c r="Q1209" s="1355"/>
      <c r="R1209" s="862"/>
      <c r="S1209" s="862"/>
      <c r="T1209" s="562">
        <f t="shared" si="2638"/>
        <v>0</v>
      </c>
      <c r="U1209" s="472"/>
      <c r="V1209" s="517">
        <f t="shared" si="2637"/>
        <v>0</v>
      </c>
      <c r="W1209" s="976">
        <f t="shared" si="2639"/>
        <v>0</v>
      </c>
      <c r="X1209" s="975">
        <f t="shared" si="2640"/>
        <v>0</v>
      </c>
      <c r="Y1209" s="519"/>
      <c r="AA1209" s="24"/>
      <c r="AB1209" s="24"/>
      <c r="AC1209" s="24"/>
      <c r="AD1209" s="24"/>
      <c r="AE1209" s="24"/>
    </row>
    <row r="1210" spans="1:31" outlineLevel="1">
      <c r="A1210" s="55">
        <v>2422091000</v>
      </c>
      <c r="B1210" s="509" t="s">
        <v>121</v>
      </c>
      <c r="C1210" s="679" t="s">
        <v>106</v>
      </c>
      <c r="D1210" s="680"/>
      <c r="E1210" s="219">
        <v>45291</v>
      </c>
      <c r="F1210" s="416"/>
      <c r="G1210" s="1251"/>
      <c r="H1210" s="676"/>
      <c r="I1210" s="677"/>
      <c r="J1210" s="1431"/>
      <c r="K1210" s="1432"/>
      <c r="L1210" s="1320"/>
      <c r="M1210" s="1320"/>
      <c r="N1210" s="866"/>
      <c r="O1210" s="682"/>
      <c r="P1210" s="470"/>
      <c r="Q1210" s="1355"/>
      <c r="R1210" s="862"/>
      <c r="S1210" s="862"/>
      <c r="T1210" s="562">
        <f t="shared" si="2638"/>
        <v>0</v>
      </c>
      <c r="U1210" s="472"/>
      <c r="V1210" s="517">
        <f t="shared" si="2637"/>
        <v>0</v>
      </c>
      <c r="W1210" s="976">
        <f t="shared" si="2639"/>
        <v>0</v>
      </c>
      <c r="X1210" s="975">
        <f t="shared" si="2640"/>
        <v>0</v>
      </c>
      <c r="Y1210" s="519"/>
      <c r="AA1210" s="24"/>
      <c r="AB1210" s="24"/>
      <c r="AC1210" s="24"/>
      <c r="AD1210" s="24"/>
      <c r="AE1210" s="24"/>
    </row>
    <row r="1211" spans="1:31" outlineLevel="1">
      <c r="A1211" s="55"/>
      <c r="B1211" s="509"/>
      <c r="C1211" s="679"/>
      <c r="D1211" s="680"/>
      <c r="E1211" s="219"/>
      <c r="F1211" s="416"/>
      <c r="G1211" s="1251"/>
      <c r="H1211" s="676"/>
      <c r="I1211" s="677"/>
      <c r="J1211" s="1431"/>
      <c r="K1211" s="1432"/>
      <c r="L1211" s="1320"/>
      <c r="M1211" s="1320"/>
      <c r="N1211" s="866"/>
      <c r="O1211" s="682"/>
      <c r="P1211" s="470"/>
      <c r="Q1211" s="1355"/>
      <c r="R1211" s="862"/>
      <c r="S1211" s="862"/>
      <c r="T1211" s="562"/>
      <c r="U1211" s="472"/>
      <c r="V1211" s="517">
        <f t="shared" si="2637"/>
        <v>0</v>
      </c>
      <c r="W1211" s="976">
        <f t="shared" si="2639"/>
        <v>0</v>
      </c>
      <c r="X1211" s="975">
        <f t="shared" si="2640"/>
        <v>0</v>
      </c>
      <c r="Y1211" s="519"/>
      <c r="AA1211" s="24"/>
      <c r="AB1211" s="24"/>
      <c r="AC1211" s="24"/>
      <c r="AD1211" s="24"/>
      <c r="AE1211" s="24"/>
    </row>
    <row r="1212" spans="1:31" outlineLevel="1">
      <c r="A1212" s="258">
        <v>2422091000</v>
      </c>
      <c r="B1212" s="829" t="s">
        <v>124</v>
      </c>
      <c r="C1212" s="830" t="s">
        <v>106</v>
      </c>
      <c r="D1212" s="836"/>
      <c r="E1212" s="259">
        <v>45013</v>
      </c>
      <c r="F1212" s="450"/>
      <c r="G1212" s="1277"/>
      <c r="H1212" s="832"/>
      <c r="I1212" s="1436">
        <f>+F1212*H1212</f>
        <v>0</v>
      </c>
      <c r="J1212" s="469"/>
      <c r="K1212" s="1441"/>
      <c r="L1212" s="1320"/>
      <c r="M1212" s="1320"/>
      <c r="N1212" s="866"/>
      <c r="O1212" s="835">
        <f>+L1212*N1212</f>
        <v>0</v>
      </c>
      <c r="P1212" s="473"/>
      <c r="Q1212" s="1356"/>
      <c r="R1212" s="867"/>
      <c r="S1212" s="867"/>
      <c r="T1212" s="835">
        <v>-13611371902</v>
      </c>
      <c r="U1212" s="473"/>
      <c r="V1212" s="835">
        <f t="shared" si="2637"/>
        <v>-13611371902</v>
      </c>
      <c r="W1212" s="469">
        <f t="shared" si="2639"/>
        <v>0</v>
      </c>
      <c r="X1212" s="849">
        <f t="shared" si="2640"/>
        <v>0</v>
      </c>
      <c r="Y1212" s="836"/>
      <c r="AA1212" s="24"/>
      <c r="AB1212" s="24"/>
      <c r="AC1212" s="24"/>
      <c r="AD1212" s="24"/>
      <c r="AE1212" s="24"/>
    </row>
    <row r="1213" spans="1:31" outlineLevel="1">
      <c r="A1213" s="258">
        <v>2422091000</v>
      </c>
      <c r="B1213" s="829" t="s">
        <v>124</v>
      </c>
      <c r="C1213" s="830" t="s">
        <v>106</v>
      </c>
      <c r="D1213" s="836"/>
      <c r="E1213" s="259">
        <v>45085</v>
      </c>
      <c r="F1213" s="450"/>
      <c r="G1213" s="1277"/>
      <c r="H1213" s="832"/>
      <c r="I1213" s="1436">
        <f>+F1213*H1213</f>
        <v>0</v>
      </c>
      <c r="J1213" s="469"/>
      <c r="K1213" s="1441"/>
      <c r="L1213" s="1320"/>
      <c r="M1213" s="1320"/>
      <c r="N1213" s="866"/>
      <c r="O1213" s="835">
        <f>+L1213*N1213</f>
        <v>0</v>
      </c>
      <c r="P1213" s="473"/>
      <c r="Q1213" s="1356"/>
      <c r="R1213" s="867"/>
      <c r="S1213" s="867"/>
      <c r="T1213" s="835"/>
      <c r="U1213" s="473"/>
      <c r="V1213" s="835">
        <f t="shared" si="2637"/>
        <v>0</v>
      </c>
      <c r="W1213" s="469">
        <f t="shared" si="2639"/>
        <v>0</v>
      </c>
      <c r="X1213" s="849">
        <f t="shared" si="2640"/>
        <v>0</v>
      </c>
      <c r="Y1213" s="836"/>
      <c r="AA1213" s="24"/>
      <c r="AB1213" s="24"/>
      <c r="AC1213" s="24"/>
      <c r="AD1213" s="24"/>
      <c r="AE1213" s="24"/>
    </row>
    <row r="1214" spans="1:31" outlineLevel="1">
      <c r="A1214" s="258">
        <v>2422091000</v>
      </c>
      <c r="B1214" s="829" t="s">
        <v>124</v>
      </c>
      <c r="C1214" s="830" t="s">
        <v>106</v>
      </c>
      <c r="D1214" s="836"/>
      <c r="E1214" s="259">
        <v>45177</v>
      </c>
      <c r="F1214" s="450"/>
      <c r="G1214" s="1277"/>
      <c r="H1214" s="832"/>
      <c r="I1214" s="1436">
        <f>+F1214*H1214</f>
        <v>0</v>
      </c>
      <c r="J1214" s="469"/>
      <c r="K1214" s="1441"/>
      <c r="L1214" s="1320"/>
      <c r="M1214" s="1320"/>
      <c r="N1214" s="866"/>
      <c r="O1214" s="835">
        <f>+L1214*N1214</f>
        <v>0</v>
      </c>
      <c r="P1214" s="473"/>
      <c r="Q1214" s="1356"/>
      <c r="R1214" s="867"/>
      <c r="S1214" s="867"/>
      <c r="T1214" s="835"/>
      <c r="U1214" s="473"/>
      <c r="V1214" s="835">
        <f t="shared" si="2637"/>
        <v>0</v>
      </c>
      <c r="W1214" s="469">
        <f t="shared" si="2639"/>
        <v>0</v>
      </c>
      <c r="X1214" s="849">
        <f t="shared" si="2640"/>
        <v>0</v>
      </c>
      <c r="Y1214" s="836"/>
      <c r="AA1214" s="24"/>
      <c r="AB1214" s="24"/>
      <c r="AC1214" s="24"/>
      <c r="AD1214" s="24"/>
      <c r="AE1214" s="24"/>
    </row>
    <row r="1215" spans="1:31" outlineLevel="1">
      <c r="A1215" s="258">
        <v>2422091000</v>
      </c>
      <c r="B1215" s="829" t="s">
        <v>124</v>
      </c>
      <c r="C1215" s="830" t="s">
        <v>106</v>
      </c>
      <c r="D1215" s="836"/>
      <c r="E1215" s="259">
        <v>45266</v>
      </c>
      <c r="F1215" s="450"/>
      <c r="G1215" s="1277"/>
      <c r="H1215" s="832"/>
      <c r="I1215" s="1436">
        <f>+F1215*H1215</f>
        <v>0</v>
      </c>
      <c r="J1215" s="469"/>
      <c r="K1215" s="1441"/>
      <c r="L1215" s="1320"/>
      <c r="M1215" s="1320"/>
      <c r="N1215" s="866"/>
      <c r="O1215" s="835">
        <f>+L1215*N1215</f>
        <v>0</v>
      </c>
      <c r="P1215" s="473"/>
      <c r="Q1215" s="1356"/>
      <c r="R1215" s="867"/>
      <c r="S1215" s="867"/>
      <c r="T1215" s="835"/>
      <c r="U1215" s="473"/>
      <c r="V1215" s="835">
        <f t="shared" si="2637"/>
        <v>0</v>
      </c>
      <c r="W1215" s="469">
        <f t="shared" si="2639"/>
        <v>0</v>
      </c>
      <c r="X1215" s="849">
        <f t="shared" si="2640"/>
        <v>0</v>
      </c>
      <c r="Y1215" s="836"/>
      <c r="AA1215" s="24"/>
      <c r="AB1215" s="24"/>
      <c r="AC1215" s="24"/>
      <c r="AD1215" s="24"/>
      <c r="AE1215" s="24"/>
    </row>
    <row r="1216" spans="1:31" outlineLevel="1">
      <c r="A1216" s="55"/>
      <c r="B1216" s="509"/>
      <c r="C1216" s="510"/>
      <c r="D1216" s="510"/>
      <c r="E1216" s="219"/>
      <c r="F1216" s="416"/>
      <c r="G1216" s="1251"/>
      <c r="H1216" s="676"/>
      <c r="I1216" s="677"/>
      <c r="J1216" s="1431"/>
      <c r="K1216" s="1432"/>
      <c r="L1216" s="1320"/>
      <c r="M1216" s="1320"/>
      <c r="N1216" s="866"/>
      <c r="O1216" s="682">
        <f>+L1216*N1216</f>
        <v>0</v>
      </c>
      <c r="P1216" s="470"/>
      <c r="Q1216" s="1355"/>
      <c r="R1216" s="862"/>
      <c r="S1216" s="862"/>
      <c r="T1216" s="562"/>
      <c r="U1216" s="472"/>
      <c r="V1216" s="517">
        <f t="shared" si="2637"/>
        <v>0</v>
      </c>
      <c r="W1216" s="976"/>
      <c r="X1216" s="975"/>
      <c r="Y1216" s="519"/>
      <c r="AA1216" s="24"/>
      <c r="AB1216" s="24"/>
      <c r="AC1216" s="24"/>
      <c r="AD1216" s="24"/>
      <c r="AE1216" s="24"/>
    </row>
    <row r="1217" spans="1:31" s="290" customFormat="1" ht="15.75">
      <c r="A1217" s="278"/>
      <c r="B1217" s="279" t="s">
        <v>104</v>
      </c>
      <c r="C1217" s="280"/>
      <c r="D1217" s="282"/>
      <c r="E1217" s="281"/>
      <c r="F1217" s="283"/>
      <c r="G1217" s="1281"/>
      <c r="H1217" s="284"/>
      <c r="I1217" s="1437">
        <v>-11601774</v>
      </c>
      <c r="J1217" s="287"/>
      <c r="K1217" s="285"/>
      <c r="L1217" s="1317"/>
      <c r="M1217" s="1317"/>
      <c r="N1217" s="284"/>
      <c r="O1217" s="285"/>
      <c r="P1217" s="283"/>
      <c r="Q1217" s="1281"/>
      <c r="R1217" s="284"/>
      <c r="S1217" s="284"/>
      <c r="T1217" s="285">
        <f>-I1217</f>
        <v>11601774</v>
      </c>
      <c r="U1217" s="320"/>
      <c r="V1217" s="285">
        <f t="shared" si="2637"/>
        <v>0</v>
      </c>
      <c r="W1217" s="287"/>
      <c r="X1217" s="288"/>
      <c r="Y1217" s="282"/>
      <c r="Z1217" s="1064"/>
      <c r="AA1217" s="289"/>
      <c r="AB1217" s="289"/>
      <c r="AC1217" s="289"/>
      <c r="AD1217" s="289"/>
      <c r="AE1217" s="289"/>
    </row>
    <row r="1218" spans="1:31" s="302" customFormat="1" outlineLevel="1">
      <c r="A1218" s="979"/>
      <c r="B1218" s="980" t="s">
        <v>1473</v>
      </c>
      <c r="C1218" s="981" t="s">
        <v>106</v>
      </c>
      <c r="D1218" s="981"/>
      <c r="E1218" s="299"/>
      <c r="F1218" s="982"/>
      <c r="G1218" s="1286"/>
      <c r="H1218" s="857"/>
      <c r="I1218" s="858"/>
      <c r="J1218" s="1419"/>
      <c r="K1218" s="1420"/>
      <c r="L1218" s="1438"/>
      <c r="M1218" s="859"/>
      <c r="N1218" s="860"/>
      <c r="O1218" s="861">
        <v>-7529447</v>
      </c>
      <c r="P1218" s="321"/>
      <c r="Q1218" s="1357"/>
      <c r="R1218" s="868"/>
      <c r="S1218" s="868"/>
      <c r="T1218" s="863"/>
      <c r="U1218" s="300"/>
      <c r="V1218" s="983">
        <f t="shared" si="2637"/>
        <v>-7529447</v>
      </c>
      <c r="W1218" s="301"/>
      <c r="X1218" s="864"/>
      <c r="Y1218" s="865"/>
      <c r="Z1218" s="1065"/>
      <c r="AA1218" s="24"/>
      <c r="AB1218" s="24"/>
      <c r="AC1218" s="24"/>
      <c r="AD1218" s="24"/>
      <c r="AE1218" s="24"/>
    </row>
    <row r="1219" spans="1:31" ht="15.75" outlineLevel="1" thickBot="1">
      <c r="A1219" s="55"/>
      <c r="B1219" s="509"/>
      <c r="C1219" s="510"/>
      <c r="D1219" s="510"/>
      <c r="E1219" s="56"/>
      <c r="F1219" s="416"/>
      <c r="G1219" s="1251"/>
      <c r="H1219" s="676"/>
      <c r="I1219" s="677">
        <f>+F1219*H1219</f>
        <v>0</v>
      </c>
      <c r="J1219" s="1421"/>
      <c r="K1219" s="1422"/>
      <c r="L1219" s="1299"/>
      <c r="M1219" s="869"/>
      <c r="N1219" s="504"/>
      <c r="O1219" s="682">
        <f>+L1219*N1219</f>
        <v>0</v>
      </c>
      <c r="P1219" s="431"/>
      <c r="Q1219" s="514"/>
      <c r="R1219" s="515"/>
      <c r="S1219" s="515"/>
      <c r="T1219" s="516">
        <f>+P1219*R1219</f>
        <v>0</v>
      </c>
      <c r="U1219" s="418">
        <f>+L1219+P1219+F1219</f>
        <v>0</v>
      </c>
      <c r="V1219" s="517">
        <f>+I1219+T1219+O1219</f>
        <v>0</v>
      </c>
      <c r="W1219" s="474"/>
      <c r="X1219" s="870"/>
      <c r="Y1219" s="871"/>
      <c r="AA1219" s="24"/>
      <c r="AB1219" s="24"/>
      <c r="AC1219" s="24"/>
      <c r="AD1219" s="24"/>
      <c r="AE1219" s="24"/>
    </row>
    <row r="1220" spans="1:31" s="322" customFormat="1" ht="19.5" thickBot="1">
      <c r="A1220" s="872" t="s">
        <v>243</v>
      </c>
      <c r="B1220" s="873"/>
      <c r="C1220" s="874"/>
      <c r="D1220" s="874"/>
      <c r="E1220" s="875"/>
      <c r="F1220" s="876">
        <f>SUM(F1190:F1219)</f>
        <v>0</v>
      </c>
      <c r="G1220" s="876"/>
      <c r="H1220" s="877"/>
      <c r="I1220" s="878">
        <f>SUM(I1190:I1219)</f>
        <v>378818340168</v>
      </c>
      <c r="J1220" s="878"/>
      <c r="K1220" s="878"/>
      <c r="L1220" s="879">
        <f>SUM(L1190:L1219)</f>
        <v>0</v>
      </c>
      <c r="M1220" s="879"/>
      <c r="N1220" s="880">
        <f>SUM(N1190:N1219)</f>
        <v>0</v>
      </c>
      <c r="O1220" s="881">
        <f>SUM(O1190:O1219)</f>
        <v>18342791481</v>
      </c>
      <c r="P1220" s="882">
        <f>SUM(P1190:P1219)</f>
        <v>0</v>
      </c>
      <c r="Q1220" s="882"/>
      <c r="R1220" s="883"/>
      <c r="S1220" s="883"/>
      <c r="T1220" s="884">
        <f>SUM(T1190:T1219)</f>
        <v>-13599770128</v>
      </c>
      <c r="U1220" s="885">
        <f>SUM(U1190:U1219)</f>
        <v>0</v>
      </c>
      <c r="V1220" s="886">
        <f>SUM(V1190:V1219)</f>
        <v>383561361521</v>
      </c>
      <c r="W1220" s="887">
        <f>SUM(W1190:W1219)</f>
        <v>0</v>
      </c>
      <c r="X1220" s="887">
        <f>SUM(X1190:X1219)</f>
        <v>0</v>
      </c>
      <c r="Y1220" s="888"/>
      <c r="Z1220" s="1066"/>
      <c r="AA1220" s="183"/>
      <c r="AB1220" s="183"/>
      <c r="AC1220" s="183"/>
      <c r="AD1220" s="183"/>
      <c r="AE1220" s="183"/>
    </row>
    <row r="1221" spans="1:31">
      <c r="T1221" s="3" t="str">
        <f>$T$1044</f>
        <v>CA 2023</v>
      </c>
      <c r="V1221" s="412">
        <v>383561361521</v>
      </c>
      <c r="AA1221" s="24"/>
      <c r="AB1221" s="24"/>
      <c r="AC1221" s="24"/>
      <c r="AD1221" s="24"/>
      <c r="AE1221" s="24"/>
    </row>
    <row r="1222" spans="1:31" ht="15.75" thickBot="1">
      <c r="T1222" s="9"/>
      <c r="U1222" s="10"/>
      <c r="V1222" s="9">
        <f>+V1220-V1221</f>
        <v>0</v>
      </c>
      <c r="AA1222" s="24"/>
      <c r="AB1222" s="24"/>
      <c r="AC1222" s="24"/>
      <c r="AD1222" s="24"/>
      <c r="AE1222" s="24"/>
    </row>
    <row r="1223" spans="1:31" s="27" customFormat="1" ht="21.75" thickBot="1">
      <c r="A1223" s="1848" t="s">
        <v>1381</v>
      </c>
      <c r="B1223" s="1849"/>
      <c r="C1223" s="2558" t="s">
        <v>57</v>
      </c>
      <c r="D1223" s="2560" t="s">
        <v>59</v>
      </c>
      <c r="E1223" s="2562" t="s">
        <v>58</v>
      </c>
      <c r="F1223" s="2564" t="str">
        <f>F6</f>
        <v>SALDO FISCAL 31/12/2022</v>
      </c>
      <c r="G1223" s="2565"/>
      <c r="H1223" s="2565"/>
      <c r="I1223" s="2566"/>
      <c r="J1223" s="2567" t="str">
        <f>$J$6</f>
        <v>Tasa Mon Extranj</v>
      </c>
      <c r="K1223" s="2568"/>
      <c r="L1223" s="2569" t="str">
        <f>$L$6</f>
        <v>ENTRADAS</v>
      </c>
      <c r="M1223" s="2570"/>
      <c r="N1223" s="2570"/>
      <c r="O1223" s="2571"/>
      <c r="P1223" s="2572" t="str">
        <f>$P$6</f>
        <v>SALIDAS</v>
      </c>
      <c r="Q1223" s="2573"/>
      <c r="R1223" s="2573"/>
      <c r="S1223" s="2573"/>
      <c r="T1223" s="2574"/>
      <c r="U1223" s="2575" t="s">
        <v>62</v>
      </c>
      <c r="V1223" s="2576"/>
      <c r="W1223" s="2577" t="s">
        <v>63</v>
      </c>
      <c r="X1223" s="2578"/>
      <c r="Y1223" s="2579"/>
      <c r="Z1223" s="44"/>
      <c r="AA1223" s="213"/>
      <c r="AB1223" s="213"/>
      <c r="AC1223" s="213"/>
      <c r="AD1223" s="213"/>
      <c r="AE1223" s="213"/>
    </row>
    <row r="1224" spans="1:31" s="216" customFormat="1" ht="15.75" thickBot="1">
      <c r="A1224" s="855" t="s">
        <v>87</v>
      </c>
      <c r="B1224" s="856" t="s">
        <v>88</v>
      </c>
      <c r="C1224" s="2559"/>
      <c r="D1224" s="2561"/>
      <c r="E1224" s="2563"/>
      <c r="F1224" s="30" t="str">
        <f>F7</f>
        <v>MON/EX</v>
      </c>
      <c r="G1224" s="1249" t="str">
        <f>G7</f>
        <v>USD</v>
      </c>
      <c r="H1224" s="31" t="str">
        <f>H7</f>
        <v>TRM CIERRE</v>
      </c>
      <c r="I1224" s="32" t="str">
        <f>I7</f>
        <v>SALDO PESOS</v>
      </c>
      <c r="J1224" s="1423" t="str">
        <f>$J$7</f>
        <v>Inicial</v>
      </c>
      <c r="K1224" s="1338" t="str">
        <f>$K$7</f>
        <v>Pago</v>
      </c>
      <c r="L1224" s="33" t="str">
        <f>$L$7</f>
        <v>ENTRADAS MON/EX</v>
      </c>
      <c r="M1224" s="1297" t="str">
        <f>$M$7</f>
        <v>USD</v>
      </c>
      <c r="N1224" s="34" t="str">
        <f>$N$7</f>
        <v>TRM INICIAL</v>
      </c>
      <c r="O1224" s="35" t="str">
        <f>$O$7</f>
        <v>ENTRADAS PESOS</v>
      </c>
      <c r="P1224" s="36" t="str">
        <f>$P$7</f>
        <v>PAGOS MON/EX</v>
      </c>
      <c r="Q1224" s="1338" t="str">
        <f>$Q$7</f>
        <v>USD</v>
      </c>
      <c r="R1224" s="37" t="str">
        <f>$R$7</f>
        <v>TRM INICIAL</v>
      </c>
      <c r="S1224" s="37" t="str">
        <f>$S$7</f>
        <v>TRM PAGO</v>
      </c>
      <c r="T1224" s="38" t="str">
        <f>$T$7</f>
        <v>PAGO EN PESOS</v>
      </c>
      <c r="U1224" s="39" t="str">
        <f>$U$7</f>
        <v xml:space="preserve"> SALDO MON/EX</v>
      </c>
      <c r="V1224" s="40" t="str">
        <f>$V$7</f>
        <v>SALDO  PESOS</v>
      </c>
      <c r="W1224" s="41" t="str">
        <f>$W$7</f>
        <v>GASTO</v>
      </c>
      <c r="X1224" s="42" t="str">
        <f>$X$7</f>
        <v>INGRESO</v>
      </c>
      <c r="Y1224" s="43"/>
      <c r="Z1224" s="214"/>
      <c r="AA1224" s="215"/>
      <c r="AB1224" s="215"/>
      <c r="AC1224" s="215"/>
      <c r="AD1224" s="215"/>
      <c r="AE1224" s="215"/>
    </row>
    <row r="1225" spans="1:31" ht="15.75">
      <c r="A1225" s="961">
        <v>2309011000</v>
      </c>
      <c r="B1225" s="962" t="s">
        <v>1316</v>
      </c>
      <c r="C1225" s="963" t="s">
        <v>106</v>
      </c>
      <c r="D1225" s="963"/>
      <c r="E1225" s="46">
        <v>44707</v>
      </c>
      <c r="F1225" s="964"/>
      <c r="G1225" s="1250"/>
      <c r="H1225" s="47"/>
      <c r="I1225" s="1434">
        <v>230397780480</v>
      </c>
      <c r="J1225" s="776"/>
      <c r="K1225" s="774"/>
      <c r="L1225" s="1298"/>
      <c r="M1225" s="1298"/>
      <c r="N1225" s="47"/>
      <c r="O1225" s="50">
        <f>+L1225*N1225</f>
        <v>0</v>
      </c>
      <c r="P1225" s="51"/>
      <c r="Q1225" s="1250"/>
      <c r="R1225" s="47"/>
      <c r="S1225" s="47"/>
      <c r="T1225" s="965">
        <f>+P1225*S1225</f>
        <v>0</v>
      </c>
      <c r="U1225" s="295"/>
      <c r="V1225" s="50">
        <f>+I1225+O1225+T1225</f>
        <v>230397780480</v>
      </c>
      <c r="W1225" s="296"/>
      <c r="X1225" s="297"/>
      <c r="Y1225" s="298"/>
      <c r="AA1225" s="24"/>
      <c r="AB1225" s="24"/>
      <c r="AC1225" s="24"/>
      <c r="AD1225" s="24"/>
      <c r="AE1225" s="24"/>
    </row>
    <row r="1226" spans="1:31" s="302" customFormat="1" outlineLevel="1">
      <c r="A1226" s="979">
        <v>2309011000</v>
      </c>
      <c r="B1226" s="980" t="s">
        <v>123</v>
      </c>
      <c r="C1226" s="981" t="s">
        <v>106</v>
      </c>
      <c r="D1226" s="304"/>
      <c r="E1226" s="303"/>
      <c r="F1226" s="305"/>
      <c r="G1226" s="1285"/>
      <c r="H1226" s="306"/>
      <c r="I1226" s="1435">
        <f>+F1226*H1226</f>
        <v>0</v>
      </c>
      <c r="J1226" s="1439"/>
      <c r="K1226" s="1440"/>
      <c r="L1226" s="1122"/>
      <c r="M1226" s="1122"/>
      <c r="N1226" s="1110"/>
      <c r="O1226" s="307">
        <f>+L1226*N1226</f>
        <v>0</v>
      </c>
      <c r="P1226" s="308"/>
      <c r="Q1226" s="1353"/>
      <c r="R1226" s="309"/>
      <c r="S1226" s="309"/>
      <c r="T1226" s="1114"/>
      <c r="U1226" s="1115"/>
      <c r="V1226" s="310">
        <f>+I1226+T1226+O1226</f>
        <v>0</v>
      </c>
      <c r="W1226" s="311"/>
      <c r="X1226" s="312"/>
      <c r="Y1226" s="313"/>
      <c r="Z1226" s="1065"/>
      <c r="AA1226" s="24"/>
      <c r="AB1226" s="24"/>
      <c r="AC1226" s="24"/>
      <c r="AD1226" s="24"/>
      <c r="AE1226" s="24"/>
    </row>
    <row r="1227" spans="1:31" s="302" customFormat="1" outlineLevel="1">
      <c r="A1227" s="314"/>
      <c r="B1227" s="315"/>
      <c r="C1227" s="304"/>
      <c r="D1227" s="304"/>
      <c r="E1227" s="303"/>
      <c r="F1227" s="305"/>
      <c r="G1227" s="1285"/>
      <c r="H1227" s="306"/>
      <c r="I1227" s="1435">
        <f>+F1227*H1227</f>
        <v>0</v>
      </c>
      <c r="J1227" s="1439"/>
      <c r="K1227" s="1440"/>
      <c r="L1227" s="1122"/>
      <c r="M1227" s="1122"/>
      <c r="N1227" s="1110"/>
      <c r="O1227" s="307">
        <f>+L1227*N1227</f>
        <v>0</v>
      </c>
      <c r="P1227" s="308"/>
      <c r="Q1227" s="1353"/>
      <c r="R1227" s="309"/>
      <c r="S1227" s="309"/>
      <c r="T1227" s="1114">
        <f>+P1227*R1227</f>
        <v>0</v>
      </c>
      <c r="U1227" s="1115"/>
      <c r="V1227" s="310">
        <f>+I1227+T1227+O1227</f>
        <v>0</v>
      </c>
      <c r="W1227" s="311"/>
      <c r="X1227" s="312"/>
      <c r="Y1227" s="313"/>
      <c r="Z1227" s="1065"/>
      <c r="AA1227" s="24"/>
      <c r="AB1227" s="24"/>
      <c r="AC1227" s="24"/>
      <c r="AD1227" s="24"/>
      <c r="AE1227" s="24"/>
    </row>
    <row r="1228" spans="1:31" ht="15.75">
      <c r="A1228" s="961">
        <v>2422091000</v>
      </c>
      <c r="B1228" s="962" t="s">
        <v>77</v>
      </c>
      <c r="C1228" s="963" t="s">
        <v>106</v>
      </c>
      <c r="D1228" s="963"/>
      <c r="E1228" s="46">
        <v>44926</v>
      </c>
      <c r="F1228" s="964"/>
      <c r="G1228" s="1250"/>
      <c r="H1228" s="47"/>
      <c r="I1228" s="1434">
        <v>368508450</v>
      </c>
      <c r="J1228" s="968"/>
      <c r="K1228" s="965"/>
      <c r="L1228" s="1298"/>
      <c r="M1228" s="1298"/>
      <c r="N1228" s="47"/>
      <c r="O1228" s="50"/>
      <c r="P1228" s="317"/>
      <c r="Q1228" s="1354"/>
      <c r="R1228" s="318"/>
      <c r="S1228" s="318"/>
      <c r="T1228" s="48"/>
      <c r="U1228" s="319"/>
      <c r="V1228" s="50">
        <f t="shared" ref="V1228:V1252" si="2641">+I1228+O1228+T1228</f>
        <v>368508450</v>
      </c>
      <c r="W1228" s="296"/>
      <c r="X1228" s="297"/>
      <c r="Y1228" s="298"/>
      <c r="AA1228" s="24"/>
      <c r="AB1228" s="24"/>
      <c r="AC1228" s="24"/>
      <c r="AD1228" s="24"/>
      <c r="AE1228" s="24"/>
    </row>
    <row r="1229" spans="1:31" outlineLevel="1">
      <c r="A1229" s="55">
        <v>2422091000</v>
      </c>
      <c r="B1229" s="509" t="s">
        <v>110</v>
      </c>
      <c r="C1229" s="679" t="s">
        <v>106</v>
      </c>
      <c r="D1229" s="680"/>
      <c r="E1229" s="219">
        <v>44957</v>
      </c>
      <c r="F1229" s="416"/>
      <c r="G1229" s="1251"/>
      <c r="H1229" s="676"/>
      <c r="I1229" s="677"/>
      <c r="J1229" s="1431"/>
      <c r="K1229" s="1432"/>
      <c r="L1229" s="1320"/>
      <c r="M1229" s="1320"/>
      <c r="N1229" s="866"/>
      <c r="O1229" s="682">
        <v>2855940488</v>
      </c>
      <c r="P1229" s="470"/>
      <c r="Q1229" s="1355"/>
      <c r="R1229" s="862"/>
      <c r="S1229" s="862"/>
      <c r="T1229" s="562">
        <f t="shared" ref="T1229:T1244" si="2642">+P1229*S1229</f>
        <v>0</v>
      </c>
      <c r="U1229" s="472"/>
      <c r="V1229" s="517">
        <f t="shared" si="2641"/>
        <v>2855940488</v>
      </c>
      <c r="W1229" s="976">
        <f t="shared" ref="W1229:W1249" si="2643">-(IF(R1229&lt;S1229,(-P1229*R1229)-(-P1229*S1229),0))</f>
        <v>0</v>
      </c>
      <c r="X1229" s="975">
        <f t="shared" ref="X1229:X1249" si="2644">-(IF(R1229&gt;S1229,(-P1229*R1229)-(-P1229*S1229),0))</f>
        <v>0</v>
      </c>
      <c r="Y1229" s="519"/>
      <c r="AA1229" s="24"/>
      <c r="AB1229" s="24"/>
      <c r="AC1229" s="24"/>
      <c r="AD1229" s="24"/>
      <c r="AE1229" s="24"/>
    </row>
    <row r="1230" spans="1:31" outlineLevel="1">
      <c r="A1230" s="55">
        <v>2422091000</v>
      </c>
      <c r="B1230" s="509" t="s">
        <v>111</v>
      </c>
      <c r="C1230" s="679" t="s">
        <v>106</v>
      </c>
      <c r="D1230" s="680"/>
      <c r="E1230" s="219">
        <v>44985</v>
      </c>
      <c r="F1230" s="416"/>
      <c r="G1230" s="1251"/>
      <c r="H1230" s="676"/>
      <c r="I1230" s="677"/>
      <c r="J1230" s="1431"/>
      <c r="K1230" s="1432"/>
      <c r="L1230" s="1320"/>
      <c r="M1230" s="1320"/>
      <c r="N1230" s="866"/>
      <c r="O1230" s="682">
        <v>2579559150</v>
      </c>
      <c r="P1230" s="470"/>
      <c r="Q1230" s="1355"/>
      <c r="R1230" s="862"/>
      <c r="S1230" s="862"/>
      <c r="T1230" s="562">
        <f t="shared" si="2642"/>
        <v>0</v>
      </c>
      <c r="U1230" s="472"/>
      <c r="V1230" s="517">
        <f t="shared" si="2641"/>
        <v>2579559150</v>
      </c>
      <c r="W1230" s="976">
        <f t="shared" si="2643"/>
        <v>0</v>
      </c>
      <c r="X1230" s="975">
        <f t="shared" si="2644"/>
        <v>0</v>
      </c>
      <c r="Y1230" s="519"/>
      <c r="AA1230" s="24"/>
      <c r="AB1230" s="24"/>
      <c r="AC1230" s="24"/>
      <c r="AD1230" s="24"/>
      <c r="AE1230" s="24"/>
    </row>
    <row r="1231" spans="1:31" outlineLevel="1">
      <c r="A1231" s="55">
        <v>2422091000</v>
      </c>
      <c r="B1231" s="509" t="s">
        <v>112</v>
      </c>
      <c r="C1231" s="679" t="s">
        <v>106</v>
      </c>
      <c r="D1231" s="680"/>
      <c r="E1231" s="219">
        <v>45012</v>
      </c>
      <c r="F1231" s="416"/>
      <c r="G1231" s="1251"/>
      <c r="H1231" s="676"/>
      <c r="I1231" s="677"/>
      <c r="J1231" s="1431"/>
      <c r="K1231" s="1432"/>
      <c r="L1231" s="1320"/>
      <c r="M1231" s="1320"/>
      <c r="N1231" s="866"/>
      <c r="O1231" s="682">
        <v>2487432037</v>
      </c>
      <c r="P1231" s="470"/>
      <c r="Q1231" s="1355"/>
      <c r="R1231" s="862"/>
      <c r="S1231" s="862"/>
      <c r="T1231" s="562">
        <f t="shared" si="2642"/>
        <v>0</v>
      </c>
      <c r="U1231" s="472"/>
      <c r="V1231" s="517">
        <f t="shared" si="2641"/>
        <v>2487432037</v>
      </c>
      <c r="W1231" s="976">
        <f t="shared" si="2643"/>
        <v>0</v>
      </c>
      <c r="X1231" s="975">
        <f t="shared" si="2644"/>
        <v>0</v>
      </c>
      <c r="Y1231" s="519"/>
      <c r="AA1231" s="24"/>
      <c r="AB1231" s="24"/>
      <c r="AC1231" s="24"/>
      <c r="AD1231" s="24"/>
      <c r="AE1231" s="24"/>
    </row>
    <row r="1232" spans="1:31" outlineLevel="1">
      <c r="A1232" s="55">
        <v>2422091000</v>
      </c>
      <c r="B1232" s="509" t="s">
        <v>112</v>
      </c>
      <c r="C1232" s="679" t="s">
        <v>106</v>
      </c>
      <c r="D1232" s="680"/>
      <c r="E1232" s="219">
        <v>45016</v>
      </c>
      <c r="F1232" s="416"/>
      <c r="G1232" s="1251"/>
      <c r="H1232" s="676"/>
      <c r="I1232" s="677"/>
      <c r="J1232" s="1431"/>
      <c r="K1232" s="1432"/>
      <c r="L1232" s="1320"/>
      <c r="M1232" s="1320"/>
      <c r="N1232" s="866"/>
      <c r="O1232" s="682">
        <v>382972311</v>
      </c>
      <c r="P1232" s="470"/>
      <c r="Q1232" s="1355"/>
      <c r="R1232" s="862"/>
      <c r="S1232" s="862"/>
      <c r="T1232" s="562">
        <f t="shared" si="2642"/>
        <v>0</v>
      </c>
      <c r="U1232" s="472"/>
      <c r="V1232" s="517">
        <f t="shared" si="2641"/>
        <v>382972311</v>
      </c>
      <c r="W1232" s="976">
        <f t="shared" si="2643"/>
        <v>0</v>
      </c>
      <c r="X1232" s="975">
        <f t="shared" si="2644"/>
        <v>0</v>
      </c>
      <c r="Y1232" s="519"/>
      <c r="AA1232" s="24"/>
      <c r="AB1232" s="24"/>
      <c r="AC1232" s="24"/>
      <c r="AD1232" s="24"/>
      <c r="AE1232" s="24"/>
    </row>
    <row r="1233" spans="1:31" outlineLevel="1">
      <c r="A1233" s="55">
        <v>2422091000</v>
      </c>
      <c r="B1233" s="509" t="s">
        <v>113</v>
      </c>
      <c r="C1233" s="679" t="s">
        <v>106</v>
      </c>
      <c r="D1233" s="680"/>
      <c r="E1233" s="219">
        <v>45046</v>
      </c>
      <c r="F1233" s="416"/>
      <c r="G1233" s="1251"/>
      <c r="H1233" s="676"/>
      <c r="I1233" s="677"/>
      <c r="J1233" s="1431"/>
      <c r="K1233" s="1432"/>
      <c r="L1233" s="1320"/>
      <c r="M1233" s="1320"/>
      <c r="N1233" s="866"/>
      <c r="O1233" s="682">
        <v>2872292330</v>
      </c>
      <c r="P1233" s="470"/>
      <c r="Q1233" s="1355"/>
      <c r="R1233" s="862"/>
      <c r="S1233" s="862"/>
      <c r="T1233" s="562">
        <f t="shared" si="2642"/>
        <v>0</v>
      </c>
      <c r="U1233" s="472"/>
      <c r="V1233" s="517">
        <f t="shared" si="2641"/>
        <v>2872292330</v>
      </c>
      <c r="W1233" s="976">
        <f t="shared" si="2643"/>
        <v>0</v>
      </c>
      <c r="X1233" s="975">
        <f t="shared" si="2644"/>
        <v>0</v>
      </c>
      <c r="Y1233" s="519"/>
      <c r="AA1233" s="24"/>
      <c r="AB1233" s="24"/>
      <c r="AC1233" s="24"/>
      <c r="AD1233" s="24"/>
      <c r="AE1233" s="24"/>
    </row>
    <row r="1234" spans="1:31" outlineLevel="1">
      <c r="A1234" s="55">
        <v>2422091000</v>
      </c>
      <c r="B1234" s="509" t="s">
        <v>114</v>
      </c>
      <c r="C1234" s="679" t="s">
        <v>106</v>
      </c>
      <c r="D1234" s="680"/>
      <c r="E1234" s="219">
        <v>45077</v>
      </c>
      <c r="F1234" s="416"/>
      <c r="G1234" s="1251"/>
      <c r="H1234" s="676"/>
      <c r="I1234" s="677"/>
      <c r="J1234" s="1431"/>
      <c r="K1234" s="1432"/>
      <c r="L1234" s="1320"/>
      <c r="M1234" s="1320"/>
      <c r="N1234" s="866"/>
      <c r="O1234" s="682"/>
      <c r="P1234" s="470"/>
      <c r="Q1234" s="1355"/>
      <c r="R1234" s="862"/>
      <c r="S1234" s="862"/>
      <c r="T1234" s="562">
        <f t="shared" si="2642"/>
        <v>0</v>
      </c>
      <c r="U1234" s="472"/>
      <c r="V1234" s="517">
        <f t="shared" si="2641"/>
        <v>0</v>
      </c>
      <c r="W1234" s="976">
        <f t="shared" si="2643"/>
        <v>0</v>
      </c>
      <c r="X1234" s="975">
        <f t="shared" si="2644"/>
        <v>0</v>
      </c>
      <c r="Y1234" s="519"/>
      <c r="AA1234" s="24"/>
      <c r="AB1234" s="24"/>
      <c r="AC1234" s="24"/>
      <c r="AD1234" s="24"/>
      <c r="AE1234" s="24"/>
    </row>
    <row r="1235" spans="1:31" outlineLevel="1">
      <c r="A1235" s="55">
        <v>2422091000</v>
      </c>
      <c r="B1235" s="509" t="s">
        <v>115</v>
      </c>
      <c r="C1235" s="679" t="s">
        <v>106</v>
      </c>
      <c r="D1235" s="680"/>
      <c r="E1235" s="219">
        <v>45085</v>
      </c>
      <c r="F1235" s="416"/>
      <c r="G1235" s="1251"/>
      <c r="H1235" s="676"/>
      <c r="I1235" s="677"/>
      <c r="J1235" s="1431"/>
      <c r="K1235" s="1432"/>
      <c r="L1235" s="1320"/>
      <c r="M1235" s="1320"/>
      <c r="N1235" s="866"/>
      <c r="O1235" s="682"/>
      <c r="P1235" s="470"/>
      <c r="Q1235" s="1355"/>
      <c r="R1235" s="862"/>
      <c r="S1235" s="862"/>
      <c r="T1235" s="562">
        <f t="shared" si="2642"/>
        <v>0</v>
      </c>
      <c r="U1235" s="472"/>
      <c r="V1235" s="517">
        <f t="shared" si="2641"/>
        <v>0</v>
      </c>
      <c r="W1235" s="976">
        <f t="shared" si="2643"/>
        <v>0</v>
      </c>
      <c r="X1235" s="975">
        <f t="shared" si="2644"/>
        <v>0</v>
      </c>
      <c r="Y1235" s="519"/>
      <c r="AA1235" s="24"/>
      <c r="AB1235" s="24"/>
      <c r="AC1235" s="24"/>
      <c r="AD1235" s="24"/>
      <c r="AE1235" s="24"/>
    </row>
    <row r="1236" spans="1:31" outlineLevel="1">
      <c r="A1236" s="55">
        <v>2422091000</v>
      </c>
      <c r="B1236" s="509" t="s">
        <v>115</v>
      </c>
      <c r="C1236" s="679" t="s">
        <v>106</v>
      </c>
      <c r="D1236" s="680"/>
      <c r="E1236" s="219">
        <v>45107</v>
      </c>
      <c r="F1236" s="416"/>
      <c r="G1236" s="1251"/>
      <c r="H1236" s="676"/>
      <c r="I1236" s="677"/>
      <c r="J1236" s="1431"/>
      <c r="K1236" s="1432"/>
      <c r="L1236" s="1320"/>
      <c r="M1236" s="1320"/>
      <c r="N1236" s="866"/>
      <c r="O1236" s="682"/>
      <c r="P1236" s="470"/>
      <c r="Q1236" s="1355"/>
      <c r="R1236" s="862"/>
      <c r="S1236" s="862"/>
      <c r="T1236" s="562">
        <f t="shared" si="2642"/>
        <v>0</v>
      </c>
      <c r="U1236" s="472"/>
      <c r="V1236" s="517">
        <f t="shared" si="2641"/>
        <v>0</v>
      </c>
      <c r="W1236" s="976">
        <f t="shared" si="2643"/>
        <v>0</v>
      </c>
      <c r="X1236" s="975">
        <f t="shared" si="2644"/>
        <v>0</v>
      </c>
      <c r="Y1236" s="519"/>
      <c r="AA1236" s="24"/>
      <c r="AB1236" s="24"/>
      <c r="AC1236" s="24"/>
      <c r="AD1236" s="24"/>
      <c r="AE1236" s="24"/>
    </row>
    <row r="1237" spans="1:31" outlineLevel="1">
      <c r="A1237" s="55">
        <v>2422091000</v>
      </c>
      <c r="B1237" s="509" t="s">
        <v>116</v>
      </c>
      <c r="C1237" s="679" t="s">
        <v>106</v>
      </c>
      <c r="D1237" s="680"/>
      <c r="E1237" s="219">
        <v>45138</v>
      </c>
      <c r="F1237" s="416"/>
      <c r="G1237" s="1251"/>
      <c r="H1237" s="676"/>
      <c r="I1237" s="677"/>
      <c r="J1237" s="1431"/>
      <c r="K1237" s="1432"/>
      <c r="L1237" s="1320"/>
      <c r="M1237" s="1320"/>
      <c r="N1237" s="866"/>
      <c r="O1237" s="682"/>
      <c r="P1237" s="470"/>
      <c r="Q1237" s="1355"/>
      <c r="R1237" s="862"/>
      <c r="S1237" s="862"/>
      <c r="T1237" s="562">
        <f t="shared" si="2642"/>
        <v>0</v>
      </c>
      <c r="U1237" s="472"/>
      <c r="V1237" s="517">
        <f t="shared" si="2641"/>
        <v>0</v>
      </c>
      <c r="W1237" s="976">
        <f t="shared" si="2643"/>
        <v>0</v>
      </c>
      <c r="X1237" s="975">
        <f t="shared" si="2644"/>
        <v>0</v>
      </c>
      <c r="Y1237" s="519"/>
      <c r="AA1237" s="24"/>
      <c r="AB1237" s="24"/>
      <c r="AC1237" s="24"/>
      <c r="AD1237" s="24"/>
      <c r="AE1237" s="24"/>
    </row>
    <row r="1238" spans="1:31" outlineLevel="1">
      <c r="A1238" s="55">
        <v>2422091000</v>
      </c>
      <c r="B1238" s="509" t="s">
        <v>117</v>
      </c>
      <c r="C1238" s="679" t="s">
        <v>106</v>
      </c>
      <c r="D1238" s="680"/>
      <c r="E1238" s="219">
        <v>45169</v>
      </c>
      <c r="F1238" s="416"/>
      <c r="G1238" s="1251"/>
      <c r="H1238" s="676"/>
      <c r="I1238" s="677"/>
      <c r="J1238" s="1431"/>
      <c r="K1238" s="1432"/>
      <c r="L1238" s="1320"/>
      <c r="M1238" s="1320"/>
      <c r="N1238" s="866"/>
      <c r="O1238" s="682"/>
      <c r="P1238" s="470"/>
      <c r="Q1238" s="1355"/>
      <c r="R1238" s="862"/>
      <c r="S1238" s="862"/>
      <c r="T1238" s="562">
        <f t="shared" si="2642"/>
        <v>0</v>
      </c>
      <c r="U1238" s="472"/>
      <c r="V1238" s="517">
        <f t="shared" si="2641"/>
        <v>0</v>
      </c>
      <c r="W1238" s="976">
        <f t="shared" si="2643"/>
        <v>0</v>
      </c>
      <c r="X1238" s="975">
        <f t="shared" si="2644"/>
        <v>0</v>
      </c>
      <c r="Y1238" s="519"/>
      <c r="AA1238" s="24"/>
      <c r="AB1238" s="24"/>
      <c r="AC1238" s="24"/>
      <c r="AD1238" s="24"/>
      <c r="AE1238" s="24"/>
    </row>
    <row r="1239" spans="1:31" outlineLevel="1">
      <c r="A1239" s="55">
        <v>2422091000</v>
      </c>
      <c r="B1239" s="509" t="s">
        <v>118</v>
      </c>
      <c r="C1239" s="679" t="s">
        <v>106</v>
      </c>
      <c r="D1239" s="680"/>
      <c r="E1239" s="219">
        <v>45177</v>
      </c>
      <c r="F1239" s="416"/>
      <c r="G1239" s="1251"/>
      <c r="H1239" s="676"/>
      <c r="I1239" s="677"/>
      <c r="J1239" s="1431"/>
      <c r="K1239" s="1432"/>
      <c r="L1239" s="1320"/>
      <c r="M1239" s="1320"/>
      <c r="N1239" s="866"/>
      <c r="O1239" s="682"/>
      <c r="P1239" s="470"/>
      <c r="Q1239" s="1355"/>
      <c r="R1239" s="862"/>
      <c r="S1239" s="862"/>
      <c r="T1239" s="562">
        <f t="shared" si="2642"/>
        <v>0</v>
      </c>
      <c r="U1239" s="472"/>
      <c r="V1239" s="517">
        <f t="shared" si="2641"/>
        <v>0</v>
      </c>
      <c r="W1239" s="976">
        <f t="shared" si="2643"/>
        <v>0</v>
      </c>
      <c r="X1239" s="975">
        <f t="shared" si="2644"/>
        <v>0</v>
      </c>
      <c r="Y1239" s="519"/>
      <c r="AA1239" s="24"/>
      <c r="AB1239" s="24"/>
      <c r="AC1239" s="24"/>
      <c r="AD1239" s="24"/>
      <c r="AE1239" s="24"/>
    </row>
    <row r="1240" spans="1:31" outlineLevel="1">
      <c r="A1240" s="55">
        <v>2422091000</v>
      </c>
      <c r="B1240" s="509" t="s">
        <v>118</v>
      </c>
      <c r="C1240" s="679" t="s">
        <v>106</v>
      </c>
      <c r="D1240" s="680"/>
      <c r="E1240" s="219">
        <v>45199</v>
      </c>
      <c r="F1240" s="416"/>
      <c r="G1240" s="1251"/>
      <c r="H1240" s="676"/>
      <c r="I1240" s="677"/>
      <c r="J1240" s="1431"/>
      <c r="K1240" s="1432"/>
      <c r="L1240" s="1320"/>
      <c r="M1240" s="1320"/>
      <c r="N1240" s="866"/>
      <c r="O1240" s="682"/>
      <c r="P1240" s="470"/>
      <c r="Q1240" s="1355"/>
      <c r="R1240" s="862"/>
      <c r="S1240" s="862"/>
      <c r="T1240" s="562">
        <f t="shared" si="2642"/>
        <v>0</v>
      </c>
      <c r="U1240" s="472"/>
      <c r="V1240" s="517">
        <f t="shared" si="2641"/>
        <v>0</v>
      </c>
      <c r="W1240" s="976">
        <f t="shared" si="2643"/>
        <v>0</v>
      </c>
      <c r="X1240" s="975">
        <f t="shared" si="2644"/>
        <v>0</v>
      </c>
      <c r="Y1240" s="519"/>
      <c r="AA1240" s="24"/>
      <c r="AB1240" s="24"/>
      <c r="AC1240" s="24"/>
      <c r="AD1240" s="24"/>
      <c r="AE1240" s="24"/>
    </row>
    <row r="1241" spans="1:31" outlineLevel="1">
      <c r="A1241" s="55">
        <v>2422091000</v>
      </c>
      <c r="B1241" s="509" t="s">
        <v>119</v>
      </c>
      <c r="C1241" s="679" t="s">
        <v>106</v>
      </c>
      <c r="D1241" s="680"/>
      <c r="E1241" s="219">
        <v>45230</v>
      </c>
      <c r="F1241" s="416"/>
      <c r="G1241" s="1251"/>
      <c r="H1241" s="676"/>
      <c r="I1241" s="677"/>
      <c r="J1241" s="1431"/>
      <c r="K1241" s="1432"/>
      <c r="L1241" s="1320"/>
      <c r="M1241" s="1320"/>
      <c r="N1241" s="866"/>
      <c r="O1241" s="682"/>
      <c r="P1241" s="470"/>
      <c r="Q1241" s="1355"/>
      <c r="R1241" s="862"/>
      <c r="S1241" s="862"/>
      <c r="T1241" s="562">
        <f t="shared" si="2642"/>
        <v>0</v>
      </c>
      <c r="U1241" s="472"/>
      <c r="V1241" s="517">
        <f t="shared" si="2641"/>
        <v>0</v>
      </c>
      <c r="W1241" s="976">
        <f t="shared" si="2643"/>
        <v>0</v>
      </c>
      <c r="X1241" s="975">
        <f t="shared" si="2644"/>
        <v>0</v>
      </c>
      <c r="Y1241" s="519"/>
      <c r="AA1241" s="24"/>
      <c r="AB1241" s="24"/>
      <c r="AC1241" s="24"/>
      <c r="AD1241" s="24"/>
      <c r="AE1241" s="24"/>
    </row>
    <row r="1242" spans="1:31" outlineLevel="1">
      <c r="A1242" s="55">
        <v>2422091000</v>
      </c>
      <c r="B1242" s="509" t="s">
        <v>120</v>
      </c>
      <c r="C1242" s="679" t="s">
        <v>106</v>
      </c>
      <c r="D1242" s="680"/>
      <c r="E1242" s="219">
        <v>45260</v>
      </c>
      <c r="F1242" s="416"/>
      <c r="G1242" s="1251"/>
      <c r="H1242" s="676"/>
      <c r="I1242" s="677"/>
      <c r="J1242" s="1431"/>
      <c r="K1242" s="1432"/>
      <c r="L1242" s="1320"/>
      <c r="M1242" s="1320"/>
      <c r="N1242" s="866"/>
      <c r="O1242" s="682"/>
      <c r="P1242" s="470"/>
      <c r="Q1242" s="1355"/>
      <c r="R1242" s="862"/>
      <c r="S1242" s="862"/>
      <c r="T1242" s="562">
        <f t="shared" si="2642"/>
        <v>0</v>
      </c>
      <c r="U1242" s="472"/>
      <c r="V1242" s="517">
        <f t="shared" si="2641"/>
        <v>0</v>
      </c>
      <c r="W1242" s="976">
        <f t="shared" si="2643"/>
        <v>0</v>
      </c>
      <c r="X1242" s="975">
        <f t="shared" si="2644"/>
        <v>0</v>
      </c>
      <c r="Y1242" s="519"/>
      <c r="AA1242" s="24"/>
      <c r="AB1242" s="24"/>
      <c r="AC1242" s="24"/>
      <c r="AD1242" s="24"/>
      <c r="AE1242" s="24"/>
    </row>
    <row r="1243" spans="1:31" outlineLevel="1">
      <c r="A1243" s="55">
        <v>2422091000</v>
      </c>
      <c r="B1243" s="509" t="s">
        <v>121</v>
      </c>
      <c r="C1243" s="679" t="s">
        <v>106</v>
      </c>
      <c r="D1243" s="680"/>
      <c r="E1243" s="219">
        <v>45266</v>
      </c>
      <c r="F1243" s="416"/>
      <c r="G1243" s="1251"/>
      <c r="H1243" s="676"/>
      <c r="I1243" s="677"/>
      <c r="J1243" s="1431"/>
      <c r="K1243" s="1432"/>
      <c r="L1243" s="1320"/>
      <c r="M1243" s="1320"/>
      <c r="N1243" s="866"/>
      <c r="O1243" s="682"/>
      <c r="P1243" s="470"/>
      <c r="Q1243" s="1355"/>
      <c r="R1243" s="862"/>
      <c r="S1243" s="862"/>
      <c r="T1243" s="562">
        <f t="shared" si="2642"/>
        <v>0</v>
      </c>
      <c r="U1243" s="472"/>
      <c r="V1243" s="517">
        <f t="shared" si="2641"/>
        <v>0</v>
      </c>
      <c r="W1243" s="976">
        <f t="shared" si="2643"/>
        <v>0</v>
      </c>
      <c r="X1243" s="975">
        <f t="shared" si="2644"/>
        <v>0</v>
      </c>
      <c r="Y1243" s="519"/>
      <c r="AA1243" s="24"/>
      <c r="AB1243" s="24"/>
      <c r="AC1243" s="24"/>
      <c r="AD1243" s="24"/>
      <c r="AE1243" s="24"/>
    </row>
    <row r="1244" spans="1:31" outlineLevel="1">
      <c r="A1244" s="55">
        <v>2422091000</v>
      </c>
      <c r="B1244" s="509" t="s">
        <v>121</v>
      </c>
      <c r="C1244" s="679" t="s">
        <v>106</v>
      </c>
      <c r="D1244" s="680"/>
      <c r="E1244" s="219">
        <v>45291</v>
      </c>
      <c r="F1244" s="416"/>
      <c r="G1244" s="1251"/>
      <c r="H1244" s="676"/>
      <c r="I1244" s="677"/>
      <c r="J1244" s="1431"/>
      <c r="K1244" s="1432"/>
      <c r="L1244" s="1320"/>
      <c r="M1244" s="1320"/>
      <c r="N1244" s="866"/>
      <c r="O1244" s="682"/>
      <c r="P1244" s="470"/>
      <c r="Q1244" s="1355"/>
      <c r="R1244" s="862"/>
      <c r="S1244" s="862"/>
      <c r="T1244" s="562">
        <f t="shared" si="2642"/>
        <v>0</v>
      </c>
      <c r="U1244" s="472"/>
      <c r="V1244" s="517">
        <f t="shared" si="2641"/>
        <v>0</v>
      </c>
      <c r="W1244" s="976">
        <f t="shared" si="2643"/>
        <v>0</v>
      </c>
      <c r="X1244" s="975">
        <f t="shared" si="2644"/>
        <v>0</v>
      </c>
      <c r="Y1244" s="519"/>
      <c r="AA1244" s="24"/>
      <c r="AB1244" s="24"/>
      <c r="AC1244" s="24"/>
      <c r="AD1244" s="24"/>
      <c r="AE1244" s="24"/>
    </row>
    <row r="1245" spans="1:31" outlineLevel="1">
      <c r="A1245" s="55"/>
      <c r="B1245" s="509"/>
      <c r="C1245" s="679"/>
      <c r="D1245" s="680"/>
      <c r="E1245" s="219"/>
      <c r="F1245" s="416"/>
      <c r="G1245" s="1251"/>
      <c r="H1245" s="676"/>
      <c r="I1245" s="677"/>
      <c r="J1245" s="1431"/>
      <c r="K1245" s="1432"/>
      <c r="L1245" s="1320"/>
      <c r="M1245" s="1320"/>
      <c r="N1245" s="866"/>
      <c r="O1245" s="682"/>
      <c r="P1245" s="470"/>
      <c r="Q1245" s="1355"/>
      <c r="R1245" s="862"/>
      <c r="S1245" s="862"/>
      <c r="T1245" s="562"/>
      <c r="U1245" s="472"/>
      <c r="V1245" s="517">
        <f t="shared" si="2641"/>
        <v>0</v>
      </c>
      <c r="W1245" s="976">
        <f t="shared" si="2643"/>
        <v>0</v>
      </c>
      <c r="X1245" s="975">
        <f t="shared" si="2644"/>
        <v>0</v>
      </c>
      <c r="Y1245" s="519"/>
      <c r="AA1245" s="24"/>
      <c r="AB1245" s="24"/>
      <c r="AC1245" s="24"/>
      <c r="AD1245" s="24"/>
      <c r="AE1245" s="24"/>
    </row>
    <row r="1246" spans="1:31" outlineLevel="1">
      <c r="A1246" s="258">
        <v>2422091000</v>
      </c>
      <c r="B1246" s="829" t="s">
        <v>124</v>
      </c>
      <c r="C1246" s="830" t="s">
        <v>106</v>
      </c>
      <c r="D1246" s="836"/>
      <c r="E1246" s="259">
        <v>45013</v>
      </c>
      <c r="F1246" s="450"/>
      <c r="G1246" s="1277"/>
      <c r="H1246" s="832"/>
      <c r="I1246" s="1436">
        <f>+F1246*H1246</f>
        <v>0</v>
      </c>
      <c r="J1246" s="469"/>
      <c r="K1246" s="1441"/>
      <c r="L1246" s="1320"/>
      <c r="M1246" s="1320"/>
      <c r="N1246" s="866"/>
      <c r="O1246" s="835">
        <f>+L1246*N1246</f>
        <v>0</v>
      </c>
      <c r="P1246" s="473"/>
      <c r="Q1246" s="1356"/>
      <c r="R1246" s="867"/>
      <c r="S1246" s="867"/>
      <c r="T1246" s="835">
        <v>-8291440125</v>
      </c>
      <c r="U1246" s="473"/>
      <c r="V1246" s="835">
        <f t="shared" si="2641"/>
        <v>-8291440125</v>
      </c>
      <c r="W1246" s="469">
        <f t="shared" si="2643"/>
        <v>0</v>
      </c>
      <c r="X1246" s="849">
        <f t="shared" si="2644"/>
        <v>0</v>
      </c>
      <c r="Y1246" s="836"/>
      <c r="AA1246" s="24"/>
      <c r="AB1246" s="24"/>
      <c r="AC1246" s="24"/>
      <c r="AD1246" s="24"/>
      <c r="AE1246" s="24"/>
    </row>
    <row r="1247" spans="1:31" outlineLevel="1">
      <c r="A1247" s="258">
        <v>2422091000</v>
      </c>
      <c r="B1247" s="829" t="s">
        <v>124</v>
      </c>
      <c r="C1247" s="830" t="s">
        <v>106</v>
      </c>
      <c r="D1247" s="836"/>
      <c r="E1247" s="259">
        <v>45085</v>
      </c>
      <c r="F1247" s="450"/>
      <c r="G1247" s="1277"/>
      <c r="H1247" s="832"/>
      <c r="I1247" s="1436">
        <f>+F1247*H1247</f>
        <v>0</v>
      </c>
      <c r="J1247" s="469"/>
      <c r="K1247" s="1441"/>
      <c r="L1247" s="1320"/>
      <c r="M1247" s="1320"/>
      <c r="N1247" s="866"/>
      <c r="O1247" s="835">
        <f>+L1247*N1247</f>
        <v>0</v>
      </c>
      <c r="P1247" s="473"/>
      <c r="Q1247" s="1356"/>
      <c r="R1247" s="867"/>
      <c r="S1247" s="867"/>
      <c r="T1247" s="835"/>
      <c r="U1247" s="473"/>
      <c r="V1247" s="835">
        <f t="shared" si="2641"/>
        <v>0</v>
      </c>
      <c r="W1247" s="469">
        <f t="shared" si="2643"/>
        <v>0</v>
      </c>
      <c r="X1247" s="849">
        <f t="shared" si="2644"/>
        <v>0</v>
      </c>
      <c r="Y1247" s="836"/>
      <c r="AA1247" s="24"/>
      <c r="AB1247" s="24"/>
      <c r="AC1247" s="24"/>
      <c r="AD1247" s="24"/>
      <c r="AE1247" s="24"/>
    </row>
    <row r="1248" spans="1:31" outlineLevel="1">
      <c r="A1248" s="258">
        <v>2422091000</v>
      </c>
      <c r="B1248" s="829" t="s">
        <v>124</v>
      </c>
      <c r="C1248" s="830" t="s">
        <v>106</v>
      </c>
      <c r="D1248" s="836"/>
      <c r="E1248" s="259">
        <v>45177</v>
      </c>
      <c r="F1248" s="450"/>
      <c r="G1248" s="1277"/>
      <c r="H1248" s="832"/>
      <c r="I1248" s="1436">
        <f>+F1248*H1248</f>
        <v>0</v>
      </c>
      <c r="J1248" s="469"/>
      <c r="K1248" s="1441"/>
      <c r="L1248" s="1320"/>
      <c r="M1248" s="1320"/>
      <c r="N1248" s="866"/>
      <c r="O1248" s="835">
        <f>+L1248*N1248</f>
        <v>0</v>
      </c>
      <c r="P1248" s="473"/>
      <c r="Q1248" s="1356"/>
      <c r="R1248" s="867"/>
      <c r="S1248" s="867"/>
      <c r="T1248" s="835"/>
      <c r="U1248" s="473"/>
      <c r="V1248" s="835">
        <f t="shared" si="2641"/>
        <v>0</v>
      </c>
      <c r="W1248" s="469">
        <f t="shared" si="2643"/>
        <v>0</v>
      </c>
      <c r="X1248" s="849">
        <f t="shared" si="2644"/>
        <v>0</v>
      </c>
      <c r="Y1248" s="836"/>
      <c r="AA1248" s="24"/>
      <c r="AB1248" s="24"/>
      <c r="AC1248" s="24"/>
      <c r="AD1248" s="24"/>
      <c r="AE1248" s="24"/>
    </row>
    <row r="1249" spans="1:31" outlineLevel="1">
      <c r="A1249" s="258">
        <v>2422091000</v>
      </c>
      <c r="B1249" s="829" t="s">
        <v>124</v>
      </c>
      <c r="C1249" s="830" t="s">
        <v>106</v>
      </c>
      <c r="D1249" s="836"/>
      <c r="E1249" s="259">
        <v>45266</v>
      </c>
      <c r="F1249" s="450"/>
      <c r="G1249" s="1277"/>
      <c r="H1249" s="832"/>
      <c r="I1249" s="1436">
        <f>+F1249*H1249</f>
        <v>0</v>
      </c>
      <c r="J1249" s="469"/>
      <c r="K1249" s="1441"/>
      <c r="L1249" s="1320"/>
      <c r="M1249" s="1320"/>
      <c r="N1249" s="866"/>
      <c r="O1249" s="835">
        <f>+L1249*N1249</f>
        <v>0</v>
      </c>
      <c r="P1249" s="473"/>
      <c r="Q1249" s="1356"/>
      <c r="R1249" s="867"/>
      <c r="S1249" s="867"/>
      <c r="T1249" s="835"/>
      <c r="U1249" s="473"/>
      <c r="V1249" s="835">
        <f t="shared" si="2641"/>
        <v>0</v>
      </c>
      <c r="W1249" s="469">
        <f t="shared" si="2643"/>
        <v>0</v>
      </c>
      <c r="X1249" s="849">
        <f t="shared" si="2644"/>
        <v>0</v>
      </c>
      <c r="Y1249" s="836"/>
      <c r="AA1249" s="24"/>
      <c r="AB1249" s="24"/>
      <c r="AC1249" s="24"/>
      <c r="AD1249" s="24"/>
      <c r="AE1249" s="24"/>
    </row>
    <row r="1250" spans="1:31" outlineLevel="1">
      <c r="A1250" s="55"/>
      <c r="B1250" s="509"/>
      <c r="C1250" s="510"/>
      <c r="D1250" s="510"/>
      <c r="E1250" s="219"/>
      <c r="F1250" s="416"/>
      <c r="G1250" s="1251"/>
      <c r="H1250" s="676"/>
      <c r="I1250" s="677"/>
      <c r="J1250" s="1431"/>
      <c r="K1250" s="1432"/>
      <c r="L1250" s="1320"/>
      <c r="M1250" s="1320"/>
      <c r="N1250" s="866"/>
      <c r="O1250" s="682">
        <f>+L1250*N1250</f>
        <v>0</v>
      </c>
      <c r="P1250" s="470"/>
      <c r="Q1250" s="1355"/>
      <c r="R1250" s="862"/>
      <c r="S1250" s="862"/>
      <c r="T1250" s="562"/>
      <c r="U1250" s="472"/>
      <c r="V1250" s="517">
        <f t="shared" si="2641"/>
        <v>0</v>
      </c>
      <c r="W1250" s="976"/>
      <c r="X1250" s="975"/>
      <c r="Y1250" s="519"/>
      <c r="AA1250" s="24"/>
      <c r="AB1250" s="24"/>
      <c r="AC1250" s="24"/>
      <c r="AD1250" s="24"/>
      <c r="AE1250" s="24"/>
    </row>
    <row r="1251" spans="1:31" s="290" customFormat="1" ht="15.75">
      <c r="A1251" s="278"/>
      <c r="B1251" s="279" t="s">
        <v>104</v>
      </c>
      <c r="C1251" s="280"/>
      <c r="D1251" s="282"/>
      <c r="E1251" s="281"/>
      <c r="F1251" s="283"/>
      <c r="G1251" s="1281"/>
      <c r="H1251" s="284"/>
      <c r="I1251" s="1437">
        <v>-7428049</v>
      </c>
      <c r="J1251" s="287"/>
      <c r="K1251" s="285"/>
      <c r="L1251" s="1317"/>
      <c r="M1251" s="1317"/>
      <c r="N1251" s="284"/>
      <c r="O1251" s="285"/>
      <c r="P1251" s="283"/>
      <c r="Q1251" s="1281"/>
      <c r="R1251" s="284"/>
      <c r="S1251" s="284"/>
      <c r="T1251" s="285">
        <f>-I1251</f>
        <v>7428049</v>
      </c>
      <c r="U1251" s="320"/>
      <c r="V1251" s="285">
        <f t="shared" si="2641"/>
        <v>0</v>
      </c>
      <c r="W1251" s="287"/>
      <c r="X1251" s="288"/>
      <c r="Y1251" s="282"/>
      <c r="Z1251" s="1064"/>
      <c r="AA1251" s="289"/>
      <c r="AB1251" s="289"/>
      <c r="AC1251" s="289"/>
      <c r="AD1251" s="289"/>
      <c r="AE1251" s="289"/>
    </row>
    <row r="1252" spans="1:31" s="302" customFormat="1" outlineLevel="1">
      <c r="A1252" s="979"/>
      <c r="B1252" s="980" t="s">
        <v>1473</v>
      </c>
      <c r="C1252" s="981" t="s">
        <v>106</v>
      </c>
      <c r="D1252" s="981"/>
      <c r="E1252" s="299"/>
      <c r="F1252" s="982"/>
      <c r="G1252" s="1286"/>
      <c r="H1252" s="857"/>
      <c r="I1252" s="858"/>
      <c r="J1252" s="1419"/>
      <c r="K1252" s="1420"/>
      <c r="L1252" s="1438"/>
      <c r="M1252" s="859"/>
      <c r="N1252" s="860"/>
      <c r="O1252" s="861">
        <v>-8044916</v>
      </c>
      <c r="P1252" s="321"/>
      <c r="Q1252" s="1357"/>
      <c r="R1252" s="868"/>
      <c r="S1252" s="868"/>
      <c r="T1252" s="863"/>
      <c r="U1252" s="300"/>
      <c r="V1252" s="983">
        <f t="shared" si="2641"/>
        <v>-8044916</v>
      </c>
      <c r="W1252" s="301"/>
      <c r="X1252" s="864"/>
      <c r="Y1252" s="865"/>
      <c r="Z1252" s="1065"/>
      <c r="AA1252" s="24"/>
      <c r="AB1252" s="24"/>
      <c r="AC1252" s="24"/>
      <c r="AD1252" s="24"/>
      <c r="AE1252" s="24"/>
    </row>
    <row r="1253" spans="1:31" ht="15.75" outlineLevel="1" thickBot="1">
      <c r="A1253" s="55"/>
      <c r="B1253" s="509"/>
      <c r="C1253" s="510"/>
      <c r="D1253" s="510"/>
      <c r="E1253" s="56"/>
      <c r="F1253" s="416"/>
      <c r="G1253" s="1251"/>
      <c r="H1253" s="676"/>
      <c r="I1253" s="677">
        <f>+F1253*H1253</f>
        <v>0</v>
      </c>
      <c r="J1253" s="1421"/>
      <c r="K1253" s="1422"/>
      <c r="L1253" s="1299"/>
      <c r="M1253" s="869"/>
      <c r="N1253" s="504"/>
      <c r="O1253" s="682">
        <f>+L1253*N1253</f>
        <v>0</v>
      </c>
      <c r="P1253" s="431"/>
      <c r="Q1253" s="514"/>
      <c r="R1253" s="515"/>
      <c r="S1253" s="515"/>
      <c r="T1253" s="516">
        <f>+P1253*R1253</f>
        <v>0</v>
      </c>
      <c r="U1253" s="418">
        <f>+L1253+P1253+F1253</f>
        <v>0</v>
      </c>
      <c r="V1253" s="517">
        <f>+I1253+T1253+O1253</f>
        <v>0</v>
      </c>
      <c r="W1253" s="474"/>
      <c r="X1253" s="870"/>
      <c r="Y1253" s="871"/>
      <c r="AA1253" s="24"/>
      <c r="AB1253" s="24"/>
      <c r="AC1253" s="24"/>
      <c r="AD1253" s="24"/>
      <c r="AE1253" s="24"/>
    </row>
    <row r="1254" spans="1:31" s="322" customFormat="1" ht="19.5" thickBot="1">
      <c r="A1254" s="872" t="s">
        <v>243</v>
      </c>
      <c r="B1254" s="873"/>
      <c r="C1254" s="874"/>
      <c r="D1254" s="874"/>
      <c r="E1254" s="875"/>
      <c r="F1254" s="876">
        <f>SUM(F1225:F1253)</f>
        <v>0</v>
      </c>
      <c r="G1254" s="876"/>
      <c r="H1254" s="877"/>
      <c r="I1254" s="878">
        <f>SUM(I1225:I1253)</f>
        <v>230758860881</v>
      </c>
      <c r="J1254" s="878"/>
      <c r="K1254" s="878"/>
      <c r="L1254" s="879">
        <f>SUM(L1225:L1253)</f>
        <v>0</v>
      </c>
      <c r="M1254" s="879"/>
      <c r="N1254" s="880">
        <f>SUM(N1225:N1253)</f>
        <v>0</v>
      </c>
      <c r="O1254" s="881">
        <f>SUM(O1225:O1253)</f>
        <v>11170151400</v>
      </c>
      <c r="P1254" s="882">
        <f>SUM(P1225:P1253)</f>
        <v>0</v>
      </c>
      <c r="Q1254" s="882"/>
      <c r="R1254" s="883"/>
      <c r="S1254" s="883"/>
      <c r="T1254" s="884">
        <f>SUM(T1225:T1253)</f>
        <v>-8284012076</v>
      </c>
      <c r="U1254" s="885">
        <f>SUM(U1225:U1253)</f>
        <v>0</v>
      </c>
      <c r="V1254" s="886">
        <f>SUM(V1225:V1253)</f>
        <v>233645000205</v>
      </c>
      <c r="W1254" s="887">
        <f>SUM(W1225:W1253)</f>
        <v>0</v>
      </c>
      <c r="X1254" s="887">
        <f>SUM(X1225:X1253)</f>
        <v>0</v>
      </c>
      <c r="Y1254" s="888"/>
      <c r="Z1254" s="1066"/>
      <c r="AA1254" s="183"/>
      <c r="AB1254" s="183"/>
      <c r="AC1254" s="183"/>
      <c r="AD1254" s="183"/>
      <c r="AE1254" s="183"/>
    </row>
    <row r="1255" spans="1:31">
      <c r="T1255" s="3" t="str">
        <f>$T$1044</f>
        <v>CA 2023</v>
      </c>
      <c r="V1255" s="412">
        <v>233645000205</v>
      </c>
      <c r="AA1255" s="24"/>
      <c r="AB1255" s="24"/>
      <c r="AC1255" s="24"/>
      <c r="AD1255" s="24"/>
      <c r="AE1255" s="24"/>
    </row>
    <row r="1256" spans="1:31" ht="15.75" thickBot="1">
      <c r="T1256" s="9"/>
      <c r="U1256" s="10"/>
      <c r="V1256" s="9">
        <f>+V1254-V1255</f>
        <v>0</v>
      </c>
      <c r="AA1256" s="24"/>
      <c r="AB1256" s="24"/>
      <c r="AC1256" s="24"/>
      <c r="AD1256" s="24"/>
      <c r="AE1256" s="24"/>
    </row>
    <row r="1257" spans="1:31" s="27" customFormat="1" ht="21.75" thickBot="1">
      <c r="A1257" s="827" t="s">
        <v>1382</v>
      </c>
      <c r="B1257" s="768"/>
      <c r="C1257" s="2558" t="s">
        <v>57</v>
      </c>
      <c r="D1257" s="2560" t="s">
        <v>59</v>
      </c>
      <c r="E1257" s="2562" t="s">
        <v>58</v>
      </c>
      <c r="F1257" s="2564" t="str">
        <f>F6</f>
        <v>SALDO FISCAL 31/12/2022</v>
      </c>
      <c r="G1257" s="2565"/>
      <c r="H1257" s="2565"/>
      <c r="I1257" s="2566"/>
      <c r="J1257" s="2567" t="str">
        <f>J6</f>
        <v>Tasa Mon Extranj</v>
      </c>
      <c r="K1257" s="2568"/>
      <c r="L1257" s="2569" t="str">
        <f>L6</f>
        <v>ENTRADAS</v>
      </c>
      <c r="M1257" s="2570"/>
      <c r="N1257" s="2570"/>
      <c r="O1257" s="2571"/>
      <c r="P1257" s="2572" t="str">
        <f>P6</f>
        <v>SALIDAS</v>
      </c>
      <c r="Q1257" s="2573"/>
      <c r="R1257" s="2573"/>
      <c r="S1257" s="2573"/>
      <c r="T1257" s="2574"/>
      <c r="U1257" s="2575" t="s">
        <v>62</v>
      </c>
      <c r="V1257" s="2576"/>
      <c r="W1257" s="2577" t="s">
        <v>63</v>
      </c>
      <c r="X1257" s="2578"/>
      <c r="Y1257" s="2579"/>
      <c r="Z1257" s="44"/>
      <c r="AA1257" s="213"/>
      <c r="AB1257" s="213"/>
      <c r="AC1257" s="213"/>
      <c r="AD1257" s="213"/>
      <c r="AE1257" s="213"/>
    </row>
    <row r="1258" spans="1:31" s="216" customFormat="1" ht="15.75" thickBot="1">
      <c r="A1258" s="855" t="s">
        <v>87</v>
      </c>
      <c r="B1258" s="856" t="s">
        <v>88</v>
      </c>
      <c r="C1258" s="2559"/>
      <c r="D1258" s="2561"/>
      <c r="E1258" s="2563"/>
      <c r="F1258" s="30" t="str">
        <f>F7</f>
        <v>MON/EX</v>
      </c>
      <c r="G1258" s="1249" t="str">
        <f>G7</f>
        <v>USD</v>
      </c>
      <c r="H1258" s="31" t="str">
        <f>H7</f>
        <v>TRM CIERRE</v>
      </c>
      <c r="I1258" s="1442" t="str">
        <f>I7</f>
        <v>SALDO PESOS</v>
      </c>
      <c r="J1258" s="1444" t="str">
        <f>J7</f>
        <v>Inicial</v>
      </c>
      <c r="K1258" s="1445" t="str">
        <f>K7</f>
        <v>Pago</v>
      </c>
      <c r="L1258" s="33" t="str">
        <f>L7</f>
        <v>ENTRADAS MON/EX</v>
      </c>
      <c r="M1258" s="1297" t="str">
        <f>M7</f>
        <v>USD</v>
      </c>
      <c r="N1258" s="34" t="str">
        <f>N7</f>
        <v>TRM INICIAL</v>
      </c>
      <c r="O1258" s="35" t="str">
        <f>O7</f>
        <v>ENTRADAS PESOS</v>
      </c>
      <c r="P1258" s="36" t="str">
        <f>P7</f>
        <v>PAGOS MON/EX</v>
      </c>
      <c r="Q1258" s="1338" t="str">
        <f t="shared" ref="Q1258:X1258" si="2645">Q7</f>
        <v>USD</v>
      </c>
      <c r="R1258" s="37" t="str">
        <f t="shared" si="2645"/>
        <v>TRM INICIAL</v>
      </c>
      <c r="S1258" s="37" t="str">
        <f t="shared" si="2645"/>
        <v>TRM PAGO</v>
      </c>
      <c r="T1258" s="38" t="str">
        <f t="shared" si="2645"/>
        <v>PAGO EN PESOS</v>
      </c>
      <c r="U1258" s="39" t="str">
        <f t="shared" si="2645"/>
        <v xml:space="preserve"> SALDO MON/EX</v>
      </c>
      <c r="V1258" s="40" t="str">
        <f t="shared" si="2645"/>
        <v>SALDO  PESOS</v>
      </c>
      <c r="W1258" s="41" t="str">
        <f t="shared" si="2645"/>
        <v>GASTO</v>
      </c>
      <c r="X1258" s="42" t="str">
        <f t="shared" si="2645"/>
        <v>INGRESO</v>
      </c>
      <c r="Y1258" s="43"/>
      <c r="Z1258" s="214"/>
      <c r="AA1258" s="215"/>
      <c r="AB1258" s="215"/>
      <c r="AC1258" s="215"/>
      <c r="AD1258" s="215"/>
      <c r="AE1258" s="215"/>
    </row>
    <row r="1259" spans="1:31" ht="15.75">
      <c r="A1259" s="961">
        <v>2309011000</v>
      </c>
      <c r="B1259" s="962" t="s">
        <v>204</v>
      </c>
      <c r="C1259" s="963" t="s">
        <v>106</v>
      </c>
      <c r="D1259" s="963"/>
      <c r="E1259" s="46">
        <v>44540</v>
      </c>
      <c r="F1259" s="964"/>
      <c r="G1259" s="1250"/>
      <c r="H1259" s="47"/>
      <c r="I1259" s="1434">
        <v>353873129500</v>
      </c>
      <c r="J1259" s="968"/>
      <c r="K1259" s="1434"/>
      <c r="L1259" s="49"/>
      <c r="M1259" s="1298"/>
      <c r="N1259" s="47"/>
      <c r="O1259" s="50">
        <f>+L1259*N1259</f>
        <v>0</v>
      </c>
      <c r="P1259" s="51"/>
      <c r="Q1259" s="1250"/>
      <c r="R1259" s="47"/>
      <c r="S1259" s="47"/>
      <c r="T1259" s="965">
        <f>+P1259*S1259</f>
        <v>0</v>
      </c>
      <c r="U1259" s="295"/>
      <c r="V1259" s="50">
        <f>+I1259+O1259+T1259</f>
        <v>353873129500</v>
      </c>
      <c r="W1259" s="296"/>
      <c r="X1259" s="297"/>
      <c r="Y1259" s="298"/>
      <c r="AA1259" s="24"/>
      <c r="AB1259" s="24"/>
      <c r="AC1259" s="24"/>
      <c r="AD1259" s="24"/>
      <c r="AE1259" s="24"/>
    </row>
    <row r="1260" spans="1:31" s="302" customFormat="1" outlineLevel="1">
      <c r="A1260" s="979">
        <v>2309011000</v>
      </c>
      <c r="B1260" s="980" t="s">
        <v>123</v>
      </c>
      <c r="C1260" s="981" t="s">
        <v>106</v>
      </c>
      <c r="D1260" s="981"/>
      <c r="E1260" s="299"/>
      <c r="F1260" s="982"/>
      <c r="G1260" s="1286"/>
      <c r="H1260" s="857"/>
      <c r="I1260" s="858"/>
      <c r="J1260" s="1419"/>
      <c r="K1260" s="1396"/>
      <c r="L1260" s="471"/>
      <c r="M1260" s="1320"/>
      <c r="N1260" s="866"/>
      <c r="O1260" s="861">
        <v>0</v>
      </c>
      <c r="P1260" s="470"/>
      <c r="Q1260" s="1355"/>
      <c r="R1260" s="862"/>
      <c r="S1260" s="862"/>
      <c r="T1260" s="863">
        <v>0</v>
      </c>
      <c r="U1260" s="300"/>
      <c r="V1260" s="983">
        <f>+I1260+T1260+O1260</f>
        <v>0</v>
      </c>
      <c r="W1260" s="301"/>
      <c r="X1260" s="864"/>
      <c r="Y1260" s="865"/>
      <c r="Z1260" s="1065"/>
      <c r="AA1260" s="24"/>
      <c r="AB1260" s="24"/>
      <c r="AC1260" s="24"/>
      <c r="AD1260" s="24"/>
      <c r="AE1260" s="24"/>
    </row>
    <row r="1261" spans="1:31" s="302" customFormat="1" outlineLevel="1">
      <c r="A1261" s="979">
        <v>2309011000</v>
      </c>
      <c r="B1261" s="980" t="s">
        <v>123</v>
      </c>
      <c r="C1261" s="981" t="s">
        <v>106</v>
      </c>
      <c r="D1261" s="304"/>
      <c r="E1261" s="303"/>
      <c r="F1261" s="305"/>
      <c r="G1261" s="1285"/>
      <c r="H1261" s="306"/>
      <c r="I1261" s="1443">
        <f>+F1261*H1261</f>
        <v>0</v>
      </c>
      <c r="J1261" s="1446"/>
      <c r="K1261" s="1447"/>
      <c r="L1261" s="471"/>
      <c r="M1261" s="1320"/>
      <c r="N1261" s="866"/>
      <c r="O1261" s="307">
        <f>+L1261*N1261</f>
        <v>0</v>
      </c>
      <c r="P1261" s="308"/>
      <c r="Q1261" s="1353"/>
      <c r="R1261" s="309"/>
      <c r="S1261" s="309"/>
      <c r="T1261" s="863">
        <v>0</v>
      </c>
      <c r="U1261" s="300"/>
      <c r="V1261" s="983">
        <f>+I1261+T1261+O1261</f>
        <v>0</v>
      </c>
      <c r="W1261" s="311"/>
      <c r="X1261" s="312"/>
      <c r="Y1261" s="313"/>
      <c r="Z1261" s="1065"/>
      <c r="AA1261" s="24"/>
      <c r="AB1261" s="24"/>
      <c r="AC1261" s="24"/>
      <c r="AD1261" s="24"/>
      <c r="AE1261" s="24"/>
    </row>
    <row r="1262" spans="1:31" s="302" customFormat="1" outlineLevel="1">
      <c r="A1262" s="979">
        <v>2309011000</v>
      </c>
      <c r="B1262" s="980" t="s">
        <v>123</v>
      </c>
      <c r="C1262" s="981" t="s">
        <v>106</v>
      </c>
      <c r="D1262" s="304"/>
      <c r="E1262" s="303"/>
      <c r="F1262" s="305"/>
      <c r="G1262" s="1285"/>
      <c r="H1262" s="306"/>
      <c r="I1262" s="1443">
        <f>+F1262*H1262</f>
        <v>0</v>
      </c>
      <c r="J1262" s="1446"/>
      <c r="K1262" s="1447"/>
      <c r="L1262" s="471"/>
      <c r="M1262" s="1320"/>
      <c r="N1262" s="866"/>
      <c r="O1262" s="307">
        <f>+L1262*N1262</f>
        <v>0</v>
      </c>
      <c r="P1262" s="308"/>
      <c r="Q1262" s="1353"/>
      <c r="R1262" s="309"/>
      <c r="S1262" s="309"/>
      <c r="T1262" s="863">
        <v>0</v>
      </c>
      <c r="U1262" s="300"/>
      <c r="V1262" s="983">
        <f>+I1262+T1262+O1262</f>
        <v>0</v>
      </c>
      <c r="W1262" s="311"/>
      <c r="X1262" s="312"/>
      <c r="Y1262" s="313"/>
      <c r="Z1262" s="1065"/>
      <c r="AA1262" s="24"/>
      <c r="AB1262" s="24"/>
      <c r="AC1262" s="24"/>
      <c r="AD1262" s="24"/>
      <c r="AE1262" s="24"/>
    </row>
    <row r="1263" spans="1:31" s="302" customFormat="1" outlineLevel="1">
      <c r="A1263" s="314"/>
      <c r="B1263" s="315"/>
      <c r="C1263" s="304"/>
      <c r="D1263" s="304"/>
      <c r="E1263" s="303"/>
      <c r="F1263" s="305"/>
      <c r="G1263" s="1285"/>
      <c r="H1263" s="306"/>
      <c r="I1263" s="1443">
        <f>+F1263*H1263</f>
        <v>0</v>
      </c>
      <c r="J1263" s="1446"/>
      <c r="K1263" s="1447"/>
      <c r="L1263" s="471"/>
      <c r="M1263" s="1320"/>
      <c r="N1263" s="866"/>
      <c r="O1263" s="307">
        <f>+L1263*N1263</f>
        <v>0</v>
      </c>
      <c r="P1263" s="308"/>
      <c r="Q1263" s="1353"/>
      <c r="R1263" s="309"/>
      <c r="S1263" s="309"/>
      <c r="T1263" s="863">
        <v>0</v>
      </c>
      <c r="U1263" s="300"/>
      <c r="V1263" s="983"/>
      <c r="W1263" s="311"/>
      <c r="X1263" s="312"/>
      <c r="Y1263" s="313"/>
      <c r="Z1263" s="1065"/>
      <c r="AA1263" s="24"/>
      <c r="AB1263" s="24"/>
      <c r="AC1263" s="24"/>
      <c r="AD1263" s="24"/>
      <c r="AE1263" s="24"/>
    </row>
    <row r="1264" spans="1:31" ht="15.75">
      <c r="A1264" s="961">
        <v>2422091000</v>
      </c>
      <c r="B1264" s="962" t="s">
        <v>77</v>
      </c>
      <c r="C1264" s="963" t="s">
        <v>106</v>
      </c>
      <c r="D1264" s="963"/>
      <c r="E1264" s="46">
        <v>44926</v>
      </c>
      <c r="F1264" s="964"/>
      <c r="G1264" s="1250"/>
      <c r="H1264" s="47"/>
      <c r="I1264" s="1434">
        <v>2623290605</v>
      </c>
      <c r="J1264" s="968"/>
      <c r="K1264" s="1434"/>
      <c r="L1264" s="316"/>
      <c r="M1264" s="1298"/>
      <c r="N1264" s="47"/>
      <c r="O1264" s="50"/>
      <c r="P1264" s="319"/>
      <c r="Q1264" s="1358"/>
      <c r="R1264" s="318"/>
      <c r="S1264" s="318"/>
      <c r="T1264" s="48"/>
      <c r="U1264" s="319"/>
      <c r="V1264" s="50">
        <f t="shared" ref="V1264:V1278" si="2646">+I1264+O1264+T1264</f>
        <v>2623290605</v>
      </c>
      <c r="W1264" s="296"/>
      <c r="X1264" s="297"/>
      <c r="Y1264" s="298"/>
      <c r="AA1264" s="24"/>
      <c r="AB1264" s="24"/>
      <c r="AC1264" s="24"/>
      <c r="AD1264" s="24"/>
      <c r="AE1264" s="24"/>
    </row>
    <row r="1265" spans="1:31" outlineLevel="1">
      <c r="A1265" s="55">
        <v>2422091000</v>
      </c>
      <c r="B1265" s="509" t="s">
        <v>110</v>
      </c>
      <c r="C1265" s="679" t="s">
        <v>106</v>
      </c>
      <c r="D1265" s="680"/>
      <c r="E1265" s="219">
        <v>44957</v>
      </c>
      <c r="F1265" s="416"/>
      <c r="G1265" s="1251"/>
      <c r="H1265" s="676"/>
      <c r="I1265" s="677"/>
      <c r="J1265" s="1431"/>
      <c r="K1265" s="1397"/>
      <c r="L1265" s="471"/>
      <c r="M1265" s="1320"/>
      <c r="N1265" s="866"/>
      <c r="O1265" s="682">
        <v>4189165540</v>
      </c>
      <c r="P1265" s="470"/>
      <c r="Q1265" s="1355"/>
      <c r="R1265" s="862"/>
      <c r="S1265" s="862"/>
      <c r="T1265" s="562">
        <v>0</v>
      </c>
      <c r="U1265" s="472"/>
      <c r="V1265" s="517">
        <f t="shared" si="2646"/>
        <v>4189165540</v>
      </c>
      <c r="W1265" s="976">
        <f t="shared" ref="W1265:W1281" si="2647">-(IF(R1265&lt;S1265,(-P1265*R1265)-(-P1265*S1265),0))</f>
        <v>0</v>
      </c>
      <c r="X1265" s="975">
        <f t="shared" ref="X1265:X1281" si="2648">-(IF(R1265&gt;S1265,(-P1265*R1265)-(-P1265*S1265),0))</f>
        <v>0</v>
      </c>
      <c r="Y1265" s="519"/>
      <c r="AA1265" s="24"/>
      <c r="AB1265" s="24"/>
      <c r="AC1265" s="24"/>
      <c r="AD1265" s="24"/>
      <c r="AE1265" s="24"/>
    </row>
    <row r="1266" spans="1:31" outlineLevel="1">
      <c r="A1266" s="55">
        <v>2422091000</v>
      </c>
      <c r="B1266" s="509" t="s">
        <v>205</v>
      </c>
      <c r="C1266" s="679" t="s">
        <v>106</v>
      </c>
      <c r="D1266" s="680"/>
      <c r="E1266" s="219">
        <v>44985</v>
      </c>
      <c r="F1266" s="416"/>
      <c r="G1266" s="1251"/>
      <c r="H1266" s="676"/>
      <c r="I1266" s="677"/>
      <c r="J1266" s="1431"/>
      <c r="K1266" s="1397"/>
      <c r="L1266" s="471"/>
      <c r="M1266" s="1320"/>
      <c r="N1266" s="866"/>
      <c r="O1266" s="682">
        <v>4011548438</v>
      </c>
      <c r="P1266" s="470"/>
      <c r="Q1266" s="1355"/>
      <c r="R1266" s="862"/>
      <c r="S1266" s="862"/>
      <c r="T1266" s="562">
        <v>0</v>
      </c>
      <c r="U1266" s="472"/>
      <c r="V1266" s="517">
        <f t="shared" si="2646"/>
        <v>4011548438</v>
      </c>
      <c r="W1266" s="976">
        <f t="shared" si="2647"/>
        <v>0</v>
      </c>
      <c r="X1266" s="975">
        <f t="shared" si="2648"/>
        <v>0</v>
      </c>
      <c r="Y1266" s="519"/>
      <c r="AA1266" s="24"/>
      <c r="AB1266" s="24"/>
      <c r="AC1266" s="24"/>
      <c r="AD1266" s="24"/>
      <c r="AE1266" s="24"/>
    </row>
    <row r="1267" spans="1:31" outlineLevel="1">
      <c r="A1267" s="55">
        <v>2422091000</v>
      </c>
      <c r="B1267" s="509" t="s">
        <v>112</v>
      </c>
      <c r="C1267" s="679" t="s">
        <v>106</v>
      </c>
      <c r="D1267" s="680"/>
      <c r="E1267" s="219">
        <v>45016</v>
      </c>
      <c r="F1267" s="416"/>
      <c r="G1267" s="1251"/>
      <c r="H1267" s="676"/>
      <c r="I1267" s="677"/>
      <c r="J1267" s="1431"/>
      <c r="K1267" s="1397"/>
      <c r="L1267" s="471"/>
      <c r="M1267" s="1320"/>
      <c r="N1267" s="866"/>
      <c r="O1267" s="682">
        <v>4429868686</v>
      </c>
      <c r="P1267" s="470"/>
      <c r="Q1267" s="1355"/>
      <c r="R1267" s="862"/>
      <c r="S1267" s="862"/>
      <c r="T1267" s="562">
        <v>0</v>
      </c>
      <c r="U1267" s="472"/>
      <c r="V1267" s="517">
        <f t="shared" si="2646"/>
        <v>4429868686</v>
      </c>
      <c r="W1267" s="976">
        <f t="shared" si="2647"/>
        <v>0</v>
      </c>
      <c r="X1267" s="975">
        <f t="shared" si="2648"/>
        <v>0</v>
      </c>
      <c r="Y1267" s="519"/>
      <c r="AA1267" s="24"/>
      <c r="AB1267" s="24"/>
      <c r="AC1267" s="24"/>
      <c r="AD1267" s="24"/>
      <c r="AE1267" s="24"/>
    </row>
    <row r="1268" spans="1:31" outlineLevel="1">
      <c r="A1268" s="55">
        <v>2422091000</v>
      </c>
      <c r="B1268" s="509" t="s">
        <v>113</v>
      </c>
      <c r="C1268" s="679" t="s">
        <v>106</v>
      </c>
      <c r="D1268" s="680"/>
      <c r="E1268" s="219">
        <v>45046</v>
      </c>
      <c r="F1268" s="416"/>
      <c r="G1268" s="1251"/>
      <c r="H1268" s="676"/>
      <c r="I1268" s="677"/>
      <c r="J1268" s="1431"/>
      <c r="K1268" s="1397"/>
      <c r="L1268" s="471"/>
      <c r="M1268" s="1320"/>
      <c r="N1268" s="866"/>
      <c r="O1268" s="682">
        <v>4428927659</v>
      </c>
      <c r="P1268" s="470"/>
      <c r="Q1268" s="1355"/>
      <c r="R1268" s="862"/>
      <c r="S1268" s="862"/>
      <c r="T1268" s="562">
        <v>0</v>
      </c>
      <c r="U1268" s="472"/>
      <c r="V1268" s="517">
        <f t="shared" si="2646"/>
        <v>4428927659</v>
      </c>
      <c r="W1268" s="976">
        <f t="shared" si="2647"/>
        <v>0</v>
      </c>
      <c r="X1268" s="975">
        <f t="shared" si="2648"/>
        <v>0</v>
      </c>
      <c r="Y1268" s="519"/>
      <c r="AA1268" s="24"/>
      <c r="AB1268" s="24"/>
      <c r="AC1268" s="24"/>
      <c r="AD1268" s="24"/>
      <c r="AE1268" s="24"/>
    </row>
    <row r="1269" spans="1:31" outlineLevel="1">
      <c r="A1269" s="55">
        <v>2422091000</v>
      </c>
      <c r="B1269" s="509" t="s">
        <v>114</v>
      </c>
      <c r="C1269" s="679" t="s">
        <v>106</v>
      </c>
      <c r="D1269" s="680"/>
      <c r="E1269" s="219">
        <v>45077</v>
      </c>
      <c r="F1269" s="416"/>
      <c r="G1269" s="1251"/>
      <c r="H1269" s="676"/>
      <c r="I1269" s="677"/>
      <c r="J1269" s="1431"/>
      <c r="K1269" s="1397"/>
      <c r="L1269" s="471"/>
      <c r="M1269" s="1320"/>
      <c r="N1269" s="866"/>
      <c r="O1269" s="682"/>
      <c r="P1269" s="470"/>
      <c r="Q1269" s="1355"/>
      <c r="R1269" s="862"/>
      <c r="S1269" s="862"/>
      <c r="T1269" s="562">
        <v>0</v>
      </c>
      <c r="U1269" s="472"/>
      <c r="V1269" s="517">
        <f t="shared" si="2646"/>
        <v>0</v>
      </c>
      <c r="W1269" s="976">
        <f t="shared" si="2647"/>
        <v>0</v>
      </c>
      <c r="X1269" s="975">
        <f t="shared" si="2648"/>
        <v>0</v>
      </c>
      <c r="Y1269" s="519"/>
      <c r="AA1269" s="24"/>
      <c r="AB1269" s="24"/>
      <c r="AC1269" s="24"/>
      <c r="AD1269" s="24"/>
      <c r="AE1269" s="24"/>
    </row>
    <row r="1270" spans="1:31" outlineLevel="1">
      <c r="A1270" s="55">
        <v>2422091000</v>
      </c>
      <c r="B1270" s="509" t="s">
        <v>115</v>
      </c>
      <c r="C1270" s="679" t="s">
        <v>106</v>
      </c>
      <c r="D1270" s="680"/>
      <c r="E1270" s="219">
        <v>45092</v>
      </c>
      <c r="F1270" s="416"/>
      <c r="G1270" s="1251"/>
      <c r="H1270" s="676"/>
      <c r="I1270" s="677"/>
      <c r="J1270" s="1431"/>
      <c r="K1270" s="1397"/>
      <c r="L1270" s="471"/>
      <c r="M1270" s="1320"/>
      <c r="N1270" s="866"/>
      <c r="O1270" s="682"/>
      <c r="P1270" s="470"/>
      <c r="Q1270" s="1355"/>
      <c r="R1270" s="862"/>
      <c r="S1270" s="862"/>
      <c r="T1270" s="562">
        <v>0</v>
      </c>
      <c r="U1270" s="472"/>
      <c r="V1270" s="517">
        <f t="shared" ref="V1270" si="2649">+I1270+O1270+T1270</f>
        <v>0</v>
      </c>
      <c r="W1270" s="976">
        <f t="shared" ref="W1270" si="2650">-(IF(R1270&lt;S1270,(-P1270*R1270)-(-P1270*S1270),0))</f>
        <v>0</v>
      </c>
      <c r="X1270" s="975">
        <f t="shared" ref="X1270" si="2651">-(IF(R1270&gt;S1270,(-P1270*R1270)-(-P1270*S1270),0))</f>
        <v>0</v>
      </c>
      <c r="Y1270" s="519"/>
      <c r="AA1270" s="24"/>
      <c r="AB1270" s="24"/>
      <c r="AC1270" s="24"/>
      <c r="AD1270" s="24"/>
      <c r="AE1270" s="24"/>
    </row>
    <row r="1271" spans="1:31" outlineLevel="1">
      <c r="A1271" s="55">
        <v>2422091000</v>
      </c>
      <c r="B1271" s="509" t="s">
        <v>115</v>
      </c>
      <c r="C1271" s="679" t="s">
        <v>106</v>
      </c>
      <c r="D1271" s="680"/>
      <c r="E1271" s="219">
        <v>45107</v>
      </c>
      <c r="F1271" s="416"/>
      <c r="G1271" s="1251"/>
      <c r="H1271" s="676"/>
      <c r="I1271" s="677"/>
      <c r="J1271" s="1431"/>
      <c r="K1271" s="1397"/>
      <c r="L1271" s="471"/>
      <c r="M1271" s="1320"/>
      <c r="N1271" s="866"/>
      <c r="O1271" s="682"/>
      <c r="P1271" s="470"/>
      <c r="Q1271" s="1355"/>
      <c r="R1271" s="862"/>
      <c r="S1271" s="862"/>
      <c r="T1271" s="562">
        <v>0</v>
      </c>
      <c r="U1271" s="472"/>
      <c r="V1271" s="517">
        <f t="shared" si="2646"/>
        <v>0</v>
      </c>
      <c r="W1271" s="976">
        <f t="shared" si="2647"/>
        <v>0</v>
      </c>
      <c r="X1271" s="975">
        <f t="shared" si="2648"/>
        <v>0</v>
      </c>
      <c r="Y1271" s="519"/>
      <c r="AA1271" s="24"/>
      <c r="AB1271" s="24"/>
      <c r="AC1271" s="24"/>
      <c r="AD1271" s="24"/>
      <c r="AE1271" s="24"/>
    </row>
    <row r="1272" spans="1:31" outlineLevel="1">
      <c r="A1272" s="55">
        <v>2422091000</v>
      </c>
      <c r="B1272" s="509" t="s">
        <v>116</v>
      </c>
      <c r="C1272" s="679" t="s">
        <v>106</v>
      </c>
      <c r="D1272" s="680"/>
      <c r="E1272" s="219">
        <v>45138</v>
      </c>
      <c r="F1272" s="416"/>
      <c r="G1272" s="1251"/>
      <c r="H1272" s="676"/>
      <c r="I1272" s="677"/>
      <c r="J1272" s="1431"/>
      <c r="K1272" s="1397"/>
      <c r="L1272" s="471"/>
      <c r="M1272" s="1320"/>
      <c r="N1272" s="866"/>
      <c r="O1272" s="682"/>
      <c r="P1272" s="470"/>
      <c r="Q1272" s="1355"/>
      <c r="R1272" s="862"/>
      <c r="S1272" s="862"/>
      <c r="T1272" s="562">
        <v>0</v>
      </c>
      <c r="U1272" s="472"/>
      <c r="V1272" s="517">
        <f t="shared" si="2646"/>
        <v>0</v>
      </c>
      <c r="W1272" s="976">
        <f t="shared" si="2647"/>
        <v>0</v>
      </c>
      <c r="X1272" s="975">
        <f t="shared" si="2648"/>
        <v>0</v>
      </c>
      <c r="Y1272" s="519"/>
      <c r="AA1272" s="24"/>
      <c r="AB1272" s="24"/>
      <c r="AC1272" s="24"/>
      <c r="AD1272" s="24"/>
      <c r="AE1272" s="24"/>
    </row>
    <row r="1273" spans="1:31" outlineLevel="1">
      <c r="A1273" s="55">
        <v>2422091000</v>
      </c>
      <c r="B1273" s="509" t="s">
        <v>117</v>
      </c>
      <c r="C1273" s="679" t="s">
        <v>106</v>
      </c>
      <c r="D1273" s="680"/>
      <c r="E1273" s="219">
        <v>45169</v>
      </c>
      <c r="F1273" s="416"/>
      <c r="G1273" s="1251"/>
      <c r="H1273" s="676"/>
      <c r="I1273" s="677"/>
      <c r="J1273" s="1431"/>
      <c r="K1273" s="1397"/>
      <c r="L1273" s="471"/>
      <c r="M1273" s="1320"/>
      <c r="N1273" s="866"/>
      <c r="O1273" s="682"/>
      <c r="P1273" s="470"/>
      <c r="Q1273" s="1355"/>
      <c r="R1273" s="862"/>
      <c r="S1273" s="862"/>
      <c r="T1273" s="562">
        <v>0</v>
      </c>
      <c r="U1273" s="472"/>
      <c r="V1273" s="517">
        <f t="shared" si="2646"/>
        <v>0</v>
      </c>
      <c r="W1273" s="976">
        <f t="shared" si="2647"/>
        <v>0</v>
      </c>
      <c r="X1273" s="975">
        <f t="shared" si="2648"/>
        <v>0</v>
      </c>
      <c r="Y1273" s="519"/>
      <c r="AA1273" s="24"/>
      <c r="AB1273" s="24"/>
      <c r="AC1273" s="24"/>
      <c r="AD1273" s="24"/>
      <c r="AE1273" s="24"/>
    </row>
    <row r="1274" spans="1:31" outlineLevel="1">
      <c r="A1274" s="55">
        <v>2422091000</v>
      </c>
      <c r="B1274" s="509" t="s">
        <v>118</v>
      </c>
      <c r="C1274" s="679" t="s">
        <v>106</v>
      </c>
      <c r="D1274" s="680"/>
      <c r="E1274" s="219">
        <v>45199</v>
      </c>
      <c r="F1274" s="416"/>
      <c r="G1274" s="1251"/>
      <c r="H1274" s="676"/>
      <c r="I1274" s="677"/>
      <c r="J1274" s="1431"/>
      <c r="K1274" s="1397"/>
      <c r="L1274" s="471"/>
      <c r="M1274" s="1320"/>
      <c r="N1274" s="866"/>
      <c r="O1274" s="682"/>
      <c r="P1274" s="470"/>
      <c r="Q1274" s="1355"/>
      <c r="R1274" s="862"/>
      <c r="S1274" s="862"/>
      <c r="T1274" s="562">
        <v>0</v>
      </c>
      <c r="U1274" s="472"/>
      <c r="V1274" s="517">
        <f t="shared" si="2646"/>
        <v>0</v>
      </c>
      <c r="W1274" s="976">
        <f t="shared" si="2647"/>
        <v>0</v>
      </c>
      <c r="X1274" s="975">
        <f t="shared" si="2648"/>
        <v>0</v>
      </c>
      <c r="Y1274" s="519"/>
      <c r="AA1274" s="24"/>
      <c r="AB1274" s="24"/>
      <c r="AC1274" s="24"/>
      <c r="AD1274" s="24"/>
      <c r="AE1274" s="24"/>
    </row>
    <row r="1275" spans="1:31" outlineLevel="1">
      <c r="A1275" s="55">
        <v>2422091000</v>
      </c>
      <c r="B1275" s="509" t="s">
        <v>119</v>
      </c>
      <c r="C1275" s="679" t="s">
        <v>106</v>
      </c>
      <c r="D1275" s="680"/>
      <c r="E1275" s="219">
        <v>45230</v>
      </c>
      <c r="F1275" s="416"/>
      <c r="G1275" s="1251"/>
      <c r="H1275" s="676"/>
      <c r="I1275" s="677"/>
      <c r="J1275" s="1431"/>
      <c r="K1275" s="1397"/>
      <c r="L1275" s="471"/>
      <c r="M1275" s="1320"/>
      <c r="N1275" s="866"/>
      <c r="O1275" s="682"/>
      <c r="P1275" s="470"/>
      <c r="Q1275" s="1355"/>
      <c r="R1275" s="862"/>
      <c r="S1275" s="862"/>
      <c r="T1275" s="562">
        <v>0</v>
      </c>
      <c r="U1275" s="472"/>
      <c r="V1275" s="517">
        <f t="shared" si="2646"/>
        <v>0</v>
      </c>
      <c r="W1275" s="976">
        <f t="shared" si="2647"/>
        <v>0</v>
      </c>
      <c r="X1275" s="975">
        <f t="shared" si="2648"/>
        <v>0</v>
      </c>
      <c r="Y1275" s="519"/>
      <c r="AA1275" s="24"/>
      <c r="AB1275" s="24"/>
      <c r="AC1275" s="24"/>
      <c r="AD1275" s="24"/>
      <c r="AE1275" s="24"/>
    </row>
    <row r="1276" spans="1:31" outlineLevel="1">
      <c r="A1276" s="55">
        <v>2422091000</v>
      </c>
      <c r="B1276" s="509" t="s">
        <v>120</v>
      </c>
      <c r="C1276" s="679" t="s">
        <v>106</v>
      </c>
      <c r="D1276" s="680"/>
      <c r="E1276" s="219">
        <v>45260</v>
      </c>
      <c r="F1276" s="416"/>
      <c r="G1276" s="1251"/>
      <c r="H1276" s="676"/>
      <c r="I1276" s="677"/>
      <c r="J1276" s="1431"/>
      <c r="K1276" s="1397"/>
      <c r="L1276" s="471"/>
      <c r="M1276" s="1320"/>
      <c r="N1276" s="866"/>
      <c r="O1276" s="682"/>
      <c r="P1276" s="470"/>
      <c r="Q1276" s="1355"/>
      <c r="R1276" s="862"/>
      <c r="S1276" s="862"/>
      <c r="T1276" s="562">
        <v>0</v>
      </c>
      <c r="U1276" s="472"/>
      <c r="V1276" s="517">
        <f t="shared" si="2646"/>
        <v>0</v>
      </c>
      <c r="W1276" s="976">
        <f t="shared" si="2647"/>
        <v>0</v>
      </c>
      <c r="X1276" s="975">
        <f t="shared" si="2648"/>
        <v>0</v>
      </c>
      <c r="Y1276" s="519"/>
      <c r="AA1276" s="24"/>
      <c r="AB1276" s="24"/>
      <c r="AC1276" s="24"/>
      <c r="AD1276" s="24"/>
      <c r="AE1276" s="24"/>
    </row>
    <row r="1277" spans="1:31" outlineLevel="1">
      <c r="A1277" s="55">
        <v>2422091000</v>
      </c>
      <c r="B1277" s="509" t="s">
        <v>121</v>
      </c>
      <c r="C1277" s="679" t="s">
        <v>106</v>
      </c>
      <c r="D1277" s="680"/>
      <c r="E1277" s="219">
        <v>45275</v>
      </c>
      <c r="F1277" s="416"/>
      <c r="G1277" s="1251"/>
      <c r="H1277" s="676"/>
      <c r="I1277" s="677"/>
      <c r="J1277" s="1431"/>
      <c r="K1277" s="1397"/>
      <c r="L1277" s="471"/>
      <c r="M1277" s="1320"/>
      <c r="N1277" s="866"/>
      <c r="O1277" s="682"/>
      <c r="P1277" s="470"/>
      <c r="Q1277" s="1355"/>
      <c r="R1277" s="862"/>
      <c r="S1277" s="862"/>
      <c r="T1277" s="562">
        <v>0</v>
      </c>
      <c r="U1277" s="472"/>
      <c r="V1277" s="517">
        <f t="shared" ref="V1277" si="2652">+I1277+O1277+T1277</f>
        <v>0</v>
      </c>
      <c r="W1277" s="976">
        <f t="shared" ref="W1277" si="2653">-(IF(R1277&lt;S1277,(-P1277*R1277)-(-P1277*S1277),0))</f>
        <v>0</v>
      </c>
      <c r="X1277" s="975">
        <f t="shared" ref="X1277" si="2654">-(IF(R1277&gt;S1277,(-P1277*R1277)-(-P1277*S1277),0))</f>
        <v>0</v>
      </c>
      <c r="Y1277" s="519"/>
      <c r="AA1277" s="24"/>
      <c r="AB1277" s="24"/>
      <c r="AC1277" s="24"/>
      <c r="AD1277" s="24"/>
      <c r="AE1277" s="24"/>
    </row>
    <row r="1278" spans="1:31" outlineLevel="1">
      <c r="A1278" s="55">
        <v>2422091000</v>
      </c>
      <c r="B1278" s="509" t="s">
        <v>121</v>
      </c>
      <c r="C1278" s="679" t="s">
        <v>106</v>
      </c>
      <c r="D1278" s="680"/>
      <c r="E1278" s="219">
        <v>45291</v>
      </c>
      <c r="F1278" s="416"/>
      <c r="G1278" s="1251"/>
      <c r="H1278" s="676"/>
      <c r="I1278" s="677"/>
      <c r="J1278" s="1431"/>
      <c r="K1278" s="1397"/>
      <c r="L1278" s="471"/>
      <c r="M1278" s="1320"/>
      <c r="N1278" s="866"/>
      <c r="O1278" s="682"/>
      <c r="P1278" s="470"/>
      <c r="Q1278" s="1355"/>
      <c r="R1278" s="862"/>
      <c r="S1278" s="862"/>
      <c r="T1278" s="562">
        <v>0</v>
      </c>
      <c r="U1278" s="472"/>
      <c r="V1278" s="517">
        <f t="shared" si="2646"/>
        <v>0</v>
      </c>
      <c r="W1278" s="976">
        <f t="shared" si="2647"/>
        <v>0</v>
      </c>
      <c r="X1278" s="975">
        <f t="shared" si="2648"/>
        <v>0</v>
      </c>
      <c r="Y1278" s="519"/>
      <c r="AA1278" s="24"/>
      <c r="AB1278" s="24"/>
      <c r="AC1278" s="24"/>
      <c r="AD1278" s="24"/>
      <c r="AE1278" s="24"/>
    </row>
    <row r="1279" spans="1:31" outlineLevel="1">
      <c r="A1279" s="55"/>
      <c r="B1279" s="509"/>
      <c r="C1279" s="679"/>
      <c r="D1279" s="680"/>
      <c r="E1279" s="219"/>
      <c r="F1279" s="416"/>
      <c r="G1279" s="1251"/>
      <c r="H1279" s="676"/>
      <c r="I1279" s="677"/>
      <c r="J1279" s="1431"/>
      <c r="K1279" s="1397"/>
      <c r="L1279" s="471"/>
      <c r="M1279" s="1320"/>
      <c r="N1279" s="866"/>
      <c r="O1279" s="682"/>
      <c r="P1279" s="470"/>
      <c r="Q1279" s="1355"/>
      <c r="R1279" s="862"/>
      <c r="S1279" s="862"/>
      <c r="T1279" s="562"/>
      <c r="U1279" s="472"/>
      <c r="V1279" s="517"/>
      <c r="W1279" s="976">
        <f t="shared" si="2647"/>
        <v>0</v>
      </c>
      <c r="X1279" s="975">
        <f t="shared" si="2648"/>
        <v>0</v>
      </c>
      <c r="Y1279" s="519"/>
      <c r="AA1279" s="24"/>
      <c r="AB1279" s="24"/>
      <c r="AC1279" s="24"/>
      <c r="AD1279" s="24"/>
      <c r="AE1279" s="24"/>
    </row>
    <row r="1280" spans="1:31" outlineLevel="1">
      <c r="A1280" s="258">
        <v>2422091000</v>
      </c>
      <c r="B1280" s="829" t="s">
        <v>124</v>
      </c>
      <c r="C1280" s="830" t="s">
        <v>106</v>
      </c>
      <c r="D1280" s="836"/>
      <c r="E1280" s="259">
        <v>45092</v>
      </c>
      <c r="F1280" s="450"/>
      <c r="G1280" s="1277"/>
      <c r="H1280" s="832"/>
      <c r="I1280" s="1436">
        <f>+F1280*H1280</f>
        <v>0</v>
      </c>
      <c r="J1280" s="469"/>
      <c r="K1280" s="1448"/>
      <c r="L1280" s="471"/>
      <c r="M1280" s="1320"/>
      <c r="N1280" s="866"/>
      <c r="O1280" s="835">
        <f>+L1280*N1280</f>
        <v>0</v>
      </c>
      <c r="P1280" s="473"/>
      <c r="Q1280" s="1356"/>
      <c r="R1280" s="867"/>
      <c r="S1280" s="867"/>
      <c r="T1280" s="835"/>
      <c r="U1280" s="473"/>
      <c r="V1280" s="835">
        <f>+I1280+O1280+T1280</f>
        <v>0</v>
      </c>
      <c r="W1280" s="469">
        <f t="shared" si="2647"/>
        <v>0</v>
      </c>
      <c r="X1280" s="849">
        <f t="shared" si="2648"/>
        <v>0</v>
      </c>
      <c r="Y1280" s="836"/>
      <c r="AA1280" s="24"/>
      <c r="AB1280" s="24"/>
      <c r="AC1280" s="24"/>
      <c r="AD1280" s="24"/>
      <c r="AE1280" s="24"/>
    </row>
    <row r="1281" spans="1:31" outlineLevel="1">
      <c r="A1281" s="258">
        <v>2422091000</v>
      </c>
      <c r="B1281" s="829" t="s">
        <v>124</v>
      </c>
      <c r="C1281" s="830" t="s">
        <v>106</v>
      </c>
      <c r="D1281" s="836"/>
      <c r="E1281" s="259">
        <v>45272</v>
      </c>
      <c r="F1281" s="450"/>
      <c r="G1281" s="1277"/>
      <c r="H1281" s="832"/>
      <c r="I1281" s="1436">
        <f>+F1281*H1281</f>
        <v>0</v>
      </c>
      <c r="J1281" s="469"/>
      <c r="K1281" s="1448"/>
      <c r="L1281" s="471"/>
      <c r="M1281" s="1320"/>
      <c r="N1281" s="866"/>
      <c r="O1281" s="835">
        <f>+L1281*N1281</f>
        <v>0</v>
      </c>
      <c r="P1281" s="473"/>
      <c r="Q1281" s="1356"/>
      <c r="R1281" s="867"/>
      <c r="S1281" s="867"/>
      <c r="T1281" s="835"/>
      <c r="U1281" s="473"/>
      <c r="V1281" s="835">
        <f>+I1281+O1281+T1281</f>
        <v>0</v>
      </c>
      <c r="W1281" s="469">
        <f t="shared" si="2647"/>
        <v>0</v>
      </c>
      <c r="X1281" s="849">
        <f t="shared" si="2648"/>
        <v>0</v>
      </c>
      <c r="Y1281" s="836"/>
      <c r="AA1281" s="24"/>
      <c r="AB1281" s="24"/>
      <c r="AC1281" s="24"/>
      <c r="AD1281" s="24"/>
      <c r="AE1281" s="24"/>
    </row>
    <row r="1282" spans="1:31" outlineLevel="1">
      <c r="A1282" s="55"/>
      <c r="B1282" s="509"/>
      <c r="C1282" s="510"/>
      <c r="D1282" s="510"/>
      <c r="E1282" s="219"/>
      <c r="F1282" s="416"/>
      <c r="G1282" s="1251"/>
      <c r="H1282" s="676"/>
      <c r="I1282" s="677"/>
      <c r="J1282" s="1431"/>
      <c r="K1282" s="1397"/>
      <c r="L1282" s="471"/>
      <c r="M1282" s="1320"/>
      <c r="N1282" s="866"/>
      <c r="O1282" s="682">
        <f>+L1282*N1282</f>
        <v>0</v>
      </c>
      <c r="P1282" s="470"/>
      <c r="Q1282" s="1355"/>
      <c r="R1282" s="862"/>
      <c r="S1282" s="862"/>
      <c r="T1282" s="562"/>
      <c r="U1282" s="472"/>
      <c r="V1282" s="517"/>
      <c r="W1282" s="976"/>
      <c r="X1282" s="975"/>
      <c r="Y1282" s="519"/>
      <c r="AA1282" s="24"/>
      <c r="AB1282" s="24"/>
      <c r="AC1282" s="24"/>
      <c r="AD1282" s="24"/>
      <c r="AE1282" s="24"/>
    </row>
    <row r="1283" spans="1:31" s="290" customFormat="1" ht="15.75">
      <c r="A1283" s="278"/>
      <c r="B1283" s="279" t="s">
        <v>104</v>
      </c>
      <c r="C1283" s="280"/>
      <c r="D1283" s="282"/>
      <c r="E1283" s="281"/>
      <c r="F1283" s="283"/>
      <c r="G1283" s="1281"/>
      <c r="H1283" s="284"/>
      <c r="I1283" s="1437">
        <v>-33212104</v>
      </c>
      <c r="J1283" s="287"/>
      <c r="K1283" s="1437"/>
      <c r="L1283" s="286"/>
      <c r="M1283" s="1317"/>
      <c r="N1283" s="284"/>
      <c r="O1283" s="285"/>
      <c r="P1283" s="283"/>
      <c r="Q1283" s="1281"/>
      <c r="R1283" s="284"/>
      <c r="S1283" s="284"/>
      <c r="T1283" s="285">
        <f>-I1283</f>
        <v>33212104</v>
      </c>
      <c r="U1283" s="320"/>
      <c r="V1283" s="285">
        <f>+I1283+O1283+T1283</f>
        <v>0</v>
      </c>
      <c r="W1283" s="287"/>
      <c r="X1283" s="288"/>
      <c r="Y1283" s="282"/>
      <c r="Z1283" s="1064"/>
      <c r="AA1283" s="289"/>
      <c r="AB1283" s="289"/>
      <c r="AC1283" s="289"/>
      <c r="AD1283" s="289"/>
      <c r="AE1283" s="289"/>
    </row>
    <row r="1284" spans="1:31" s="302" customFormat="1" outlineLevel="1">
      <c r="A1284" s="979"/>
      <c r="B1284" s="980" t="s">
        <v>1473</v>
      </c>
      <c r="C1284" s="981" t="s">
        <v>106</v>
      </c>
      <c r="D1284" s="981"/>
      <c r="E1284" s="299"/>
      <c r="F1284" s="982"/>
      <c r="G1284" s="1286"/>
      <c r="H1284" s="857"/>
      <c r="I1284" s="858"/>
      <c r="J1284" s="1419"/>
      <c r="K1284" s="1396"/>
      <c r="L1284" s="859"/>
      <c r="M1284" s="859"/>
      <c r="N1284" s="860"/>
      <c r="O1284" s="861">
        <v>122015740</v>
      </c>
      <c r="P1284" s="321"/>
      <c r="Q1284" s="1357"/>
      <c r="R1284" s="868"/>
      <c r="S1284" s="868"/>
      <c r="T1284" s="863"/>
      <c r="U1284" s="300"/>
      <c r="V1284" s="983">
        <f>+I1284+O1284+T1284</f>
        <v>122015740</v>
      </c>
      <c r="W1284" s="301"/>
      <c r="X1284" s="864"/>
      <c r="Y1284" s="865"/>
      <c r="Z1284" s="1065"/>
      <c r="AA1284" s="24"/>
      <c r="AB1284" s="24"/>
      <c r="AC1284" s="24"/>
      <c r="AD1284" s="24"/>
      <c r="AE1284" s="24"/>
    </row>
    <row r="1285" spans="1:31" s="302" customFormat="1" outlineLevel="1">
      <c r="A1285" s="979"/>
      <c r="B1285" s="980" t="s">
        <v>221</v>
      </c>
      <c r="C1285" s="981" t="s">
        <v>106</v>
      </c>
      <c r="D1285" s="981"/>
      <c r="E1285" s="299"/>
      <c r="F1285" s="982"/>
      <c r="G1285" s="1286"/>
      <c r="H1285" s="857"/>
      <c r="I1285" s="858"/>
      <c r="J1285" s="1419"/>
      <c r="K1285" s="1396"/>
      <c r="L1285" s="859"/>
      <c r="M1285" s="859"/>
      <c r="N1285" s="860"/>
      <c r="O1285" s="861">
        <v>0</v>
      </c>
      <c r="P1285" s="321"/>
      <c r="Q1285" s="1357"/>
      <c r="R1285" s="868"/>
      <c r="S1285" s="868"/>
      <c r="T1285" s="863"/>
      <c r="U1285" s="300"/>
      <c r="V1285" s="983">
        <f>+I1285+O1285+T1285</f>
        <v>0</v>
      </c>
      <c r="W1285" s="301"/>
      <c r="X1285" s="864"/>
      <c r="Y1285" s="865"/>
      <c r="Z1285" s="1065"/>
      <c r="AA1285" s="24"/>
      <c r="AB1285" s="24"/>
      <c r="AC1285" s="24"/>
      <c r="AD1285" s="24"/>
      <c r="AE1285" s="24"/>
    </row>
    <row r="1286" spans="1:31" ht="15.75" outlineLevel="1" thickBot="1">
      <c r="A1286" s="55"/>
      <c r="B1286" s="509"/>
      <c r="C1286" s="510"/>
      <c r="D1286" s="510"/>
      <c r="E1286" s="56"/>
      <c r="F1286" s="416"/>
      <c r="G1286" s="1251"/>
      <c r="H1286" s="676"/>
      <c r="I1286" s="677">
        <f>+F1286*H1286</f>
        <v>0</v>
      </c>
      <c r="J1286" s="1421"/>
      <c r="K1286" s="1449"/>
      <c r="L1286" s="869"/>
      <c r="M1286" s="869"/>
      <c r="N1286" s="504"/>
      <c r="O1286" s="682">
        <f>+L1286*N1286</f>
        <v>0</v>
      </c>
      <c r="P1286" s="431"/>
      <c r="Q1286" s="514"/>
      <c r="R1286" s="515"/>
      <c r="S1286" s="515"/>
      <c r="T1286" s="516">
        <f>+P1286*R1286</f>
        <v>0</v>
      </c>
      <c r="U1286" s="418">
        <f>+L1286+P1286+F1286</f>
        <v>0</v>
      </c>
      <c r="V1286" s="517">
        <f>+I1286+T1286+O1286</f>
        <v>0</v>
      </c>
      <c r="W1286" s="474"/>
      <c r="X1286" s="870"/>
      <c r="Y1286" s="871"/>
      <c r="AA1286" s="24"/>
      <c r="AB1286" s="24"/>
      <c r="AC1286" s="24"/>
      <c r="AD1286" s="24"/>
      <c r="AE1286" s="24"/>
    </row>
    <row r="1287" spans="1:31" s="322" customFormat="1" ht="19.5" thickBot="1">
      <c r="A1287" s="872" t="s">
        <v>1210</v>
      </c>
      <c r="B1287" s="873"/>
      <c r="C1287" s="874"/>
      <c r="D1287" s="874"/>
      <c r="E1287" s="875"/>
      <c r="F1287" s="876">
        <f>SUM(F1259:F1286)</f>
        <v>0</v>
      </c>
      <c r="G1287" s="876"/>
      <c r="H1287" s="877"/>
      <c r="I1287" s="878">
        <f>SUM(I1259:I1286)</f>
        <v>356463208001</v>
      </c>
      <c r="J1287" s="878"/>
      <c r="K1287" s="878"/>
      <c r="L1287" s="879">
        <f>SUM(L1259:L1286)</f>
        <v>0</v>
      </c>
      <c r="M1287" s="879"/>
      <c r="N1287" s="880">
        <f>SUM(N1259:N1286)</f>
        <v>0</v>
      </c>
      <c r="O1287" s="881">
        <f>SUM(O1259:O1286)</f>
        <v>17181526063</v>
      </c>
      <c r="P1287" s="882">
        <f>SUM(P1259:P1286)</f>
        <v>0</v>
      </c>
      <c r="Q1287" s="882"/>
      <c r="R1287" s="883"/>
      <c r="S1287" s="883"/>
      <c r="T1287" s="884">
        <f>SUM(T1259:T1286)</f>
        <v>33212104</v>
      </c>
      <c r="U1287" s="885">
        <f>SUM(U1259:U1286)</f>
        <v>0</v>
      </c>
      <c r="V1287" s="886">
        <f>SUM(V1259:V1286)</f>
        <v>373677946168</v>
      </c>
      <c r="W1287" s="887">
        <f>SUM(W1259:W1286)</f>
        <v>0</v>
      </c>
      <c r="X1287" s="887">
        <f>SUM(X1259:X1286)</f>
        <v>0</v>
      </c>
      <c r="Y1287" s="888"/>
      <c r="Z1287" s="1066"/>
      <c r="AA1287" s="183"/>
      <c r="AB1287" s="183"/>
      <c r="AC1287" s="183"/>
      <c r="AD1287" s="183"/>
      <c r="AE1287" s="183"/>
    </row>
    <row r="1288" spans="1:31">
      <c r="T1288" s="3" t="str">
        <f>$T$1044</f>
        <v>CA 2023</v>
      </c>
      <c r="V1288" s="412">
        <v>373677946168</v>
      </c>
      <c r="W1288" s="1067"/>
      <c r="X1288" s="1067"/>
      <c r="AA1288" s="24"/>
      <c r="AB1288" s="24"/>
      <c r="AC1288" s="24"/>
      <c r="AD1288" s="24"/>
      <c r="AE1288" s="24"/>
    </row>
    <row r="1289" spans="1:31" ht="15.75" thickBot="1">
      <c r="T1289" s="9"/>
      <c r="U1289" s="10">
        <f>+U1287-U1288</f>
        <v>0</v>
      </c>
      <c r="V1289" s="9">
        <f>+V1287-V1288</f>
        <v>0</v>
      </c>
      <c r="W1289" s="9"/>
      <c r="AA1289" s="24"/>
      <c r="AB1289" s="24"/>
      <c r="AC1289" s="24"/>
      <c r="AD1289" s="24"/>
      <c r="AE1289" s="24"/>
    </row>
    <row r="1290" spans="1:31" s="27" customFormat="1" ht="21.75" thickBot="1">
      <c r="A1290" s="827" t="s">
        <v>1383</v>
      </c>
      <c r="B1290" s="768"/>
      <c r="C1290" s="2558" t="s">
        <v>57</v>
      </c>
      <c r="D1290" s="2560" t="s">
        <v>59</v>
      </c>
      <c r="E1290" s="2562" t="s">
        <v>58</v>
      </c>
      <c r="F1290" s="2564" t="str">
        <f>F6</f>
        <v>SALDO FISCAL 31/12/2022</v>
      </c>
      <c r="G1290" s="2565"/>
      <c r="H1290" s="2565"/>
      <c r="I1290" s="2566"/>
      <c r="J1290" s="2567" t="str">
        <f>$J$6</f>
        <v>Tasa Mon Extranj</v>
      </c>
      <c r="K1290" s="2568"/>
      <c r="L1290" s="2569" t="str">
        <f>$L$6</f>
        <v>ENTRADAS</v>
      </c>
      <c r="M1290" s="2570"/>
      <c r="N1290" s="2570"/>
      <c r="O1290" s="2571"/>
      <c r="P1290" s="2572" t="str">
        <f>$P$6</f>
        <v>SALIDAS</v>
      </c>
      <c r="Q1290" s="2573"/>
      <c r="R1290" s="2573"/>
      <c r="S1290" s="2573"/>
      <c r="T1290" s="2574"/>
      <c r="U1290" s="2575" t="s">
        <v>62</v>
      </c>
      <c r="V1290" s="2576"/>
      <c r="W1290" s="2577" t="s">
        <v>63</v>
      </c>
      <c r="X1290" s="2578"/>
      <c r="Y1290" s="2579"/>
      <c r="Z1290" s="44"/>
      <c r="AA1290" s="213"/>
      <c r="AB1290" s="213"/>
      <c r="AC1290" s="213"/>
      <c r="AD1290" s="213"/>
      <c r="AE1290" s="213"/>
    </row>
    <row r="1291" spans="1:31" s="216" customFormat="1" ht="15.75" thickBot="1">
      <c r="A1291" s="855" t="s">
        <v>87</v>
      </c>
      <c r="B1291" s="856" t="s">
        <v>88</v>
      </c>
      <c r="C1291" s="2559"/>
      <c r="D1291" s="2561"/>
      <c r="E1291" s="2563"/>
      <c r="F1291" s="30" t="str">
        <f>F7</f>
        <v>MON/EX</v>
      </c>
      <c r="G1291" s="1249" t="str">
        <f>G7</f>
        <v>USD</v>
      </c>
      <c r="H1291" s="31" t="str">
        <f>H7</f>
        <v>TRM CIERRE</v>
      </c>
      <c r="I1291" s="1442" t="str">
        <f>I7</f>
        <v>SALDO PESOS</v>
      </c>
      <c r="J1291" s="1423" t="str">
        <f>$J$7</f>
        <v>Inicial</v>
      </c>
      <c r="K1291" s="1338" t="str">
        <f>$K$7</f>
        <v>Pago</v>
      </c>
      <c r="L1291" s="33" t="str">
        <f>$L$7</f>
        <v>ENTRADAS MON/EX</v>
      </c>
      <c r="M1291" s="1297" t="str">
        <f>$M$7</f>
        <v>USD</v>
      </c>
      <c r="N1291" s="34" t="str">
        <f>$N$7</f>
        <v>TRM INICIAL</v>
      </c>
      <c r="O1291" s="35" t="str">
        <f>$O$7</f>
        <v>ENTRADAS PESOS</v>
      </c>
      <c r="P1291" s="36" t="str">
        <f>$P$7</f>
        <v>PAGOS MON/EX</v>
      </c>
      <c r="Q1291" s="1338" t="str">
        <f>$Q$7</f>
        <v>USD</v>
      </c>
      <c r="R1291" s="37" t="str">
        <f>$R$7</f>
        <v>TRM INICIAL</v>
      </c>
      <c r="S1291" s="37" t="str">
        <f>$S$7</f>
        <v>TRM PAGO</v>
      </c>
      <c r="T1291" s="38" t="str">
        <f>$T$7</f>
        <v>PAGO EN PESOS</v>
      </c>
      <c r="U1291" s="39" t="str">
        <f>$U$7</f>
        <v xml:space="preserve"> SALDO MON/EX</v>
      </c>
      <c r="V1291" s="40" t="str">
        <f>$V$7</f>
        <v>SALDO  PESOS</v>
      </c>
      <c r="W1291" s="41" t="str">
        <f>$W$7</f>
        <v>GASTO</v>
      </c>
      <c r="X1291" s="42" t="str">
        <f>$X$7</f>
        <v>INGRESO</v>
      </c>
      <c r="Y1291" s="43"/>
      <c r="Z1291" s="214"/>
      <c r="AA1291" s="215"/>
      <c r="AB1291" s="215"/>
      <c r="AC1291" s="215"/>
      <c r="AD1291" s="215"/>
      <c r="AE1291" s="215"/>
    </row>
    <row r="1292" spans="1:31" ht="15.75">
      <c r="A1292" s="961">
        <v>2309011000</v>
      </c>
      <c r="B1292" s="962" t="s">
        <v>1317</v>
      </c>
      <c r="C1292" s="963" t="s">
        <v>106</v>
      </c>
      <c r="D1292" s="963"/>
      <c r="E1292" s="46">
        <v>44708</v>
      </c>
      <c r="F1292" s="964"/>
      <c r="G1292" s="1250"/>
      <c r="H1292" s="47"/>
      <c r="I1292" s="1434">
        <v>593857500000</v>
      </c>
      <c r="J1292" s="968"/>
      <c r="K1292" s="1434"/>
      <c r="L1292" s="49"/>
      <c r="M1292" s="1298"/>
      <c r="N1292" s="47"/>
      <c r="O1292" s="50">
        <f>+L1292*N1292</f>
        <v>0</v>
      </c>
      <c r="P1292" s="51"/>
      <c r="Q1292" s="1250"/>
      <c r="R1292" s="47"/>
      <c r="S1292" s="47"/>
      <c r="T1292" s="965">
        <f>+P1292*S1292</f>
        <v>0</v>
      </c>
      <c r="U1292" s="295"/>
      <c r="V1292" s="50">
        <f>+I1292+O1292+T1292</f>
        <v>593857500000</v>
      </c>
      <c r="W1292" s="296"/>
      <c r="X1292" s="297"/>
      <c r="Y1292" s="298"/>
      <c r="AA1292" s="24"/>
      <c r="AB1292" s="24"/>
      <c r="AC1292" s="24"/>
      <c r="AD1292" s="24"/>
      <c r="AE1292" s="24"/>
    </row>
    <row r="1293" spans="1:31" s="302" customFormat="1" outlineLevel="1">
      <c r="A1293" s="979">
        <v>2309011000</v>
      </c>
      <c r="B1293" s="980" t="s">
        <v>123</v>
      </c>
      <c r="C1293" s="981" t="s">
        <v>106</v>
      </c>
      <c r="D1293" s="304"/>
      <c r="E1293" s="303"/>
      <c r="F1293" s="305"/>
      <c r="G1293" s="1285"/>
      <c r="H1293" s="306"/>
      <c r="I1293" s="1443">
        <f>+F1293*H1293</f>
        <v>0</v>
      </c>
      <c r="J1293" s="1446"/>
      <c r="K1293" s="1447"/>
      <c r="L1293" s="471"/>
      <c r="M1293" s="1320"/>
      <c r="N1293" s="866"/>
      <c r="O1293" s="307">
        <f>+L1293*N1293</f>
        <v>0</v>
      </c>
      <c r="P1293" s="308"/>
      <c r="Q1293" s="1353"/>
      <c r="R1293" s="309"/>
      <c r="S1293" s="309"/>
      <c r="T1293" s="863">
        <v>0</v>
      </c>
      <c r="U1293" s="300"/>
      <c r="V1293" s="983">
        <f>+I1293+T1293+O1293</f>
        <v>0</v>
      </c>
      <c r="W1293" s="311"/>
      <c r="X1293" s="312"/>
      <c r="Y1293" s="313"/>
      <c r="Z1293" s="1065"/>
      <c r="AA1293" s="24"/>
      <c r="AB1293" s="24"/>
      <c r="AC1293" s="24"/>
      <c r="AD1293" s="24"/>
      <c r="AE1293" s="24"/>
    </row>
    <row r="1294" spans="1:31" s="302" customFormat="1" outlineLevel="1">
      <c r="A1294" s="979">
        <v>2309011000</v>
      </c>
      <c r="B1294" s="980" t="s">
        <v>123</v>
      </c>
      <c r="C1294" s="981" t="s">
        <v>106</v>
      </c>
      <c r="D1294" s="304"/>
      <c r="E1294" s="303"/>
      <c r="F1294" s="305"/>
      <c r="G1294" s="1285"/>
      <c r="H1294" s="306"/>
      <c r="I1294" s="1443">
        <f>+F1294*H1294</f>
        <v>0</v>
      </c>
      <c r="J1294" s="1446"/>
      <c r="K1294" s="1447"/>
      <c r="L1294" s="471"/>
      <c r="M1294" s="1320"/>
      <c r="N1294" s="866"/>
      <c r="O1294" s="307">
        <f>+L1294*N1294</f>
        <v>0</v>
      </c>
      <c r="P1294" s="308"/>
      <c r="Q1294" s="1353"/>
      <c r="R1294" s="309"/>
      <c r="S1294" s="309"/>
      <c r="T1294" s="863">
        <v>0</v>
      </c>
      <c r="U1294" s="300"/>
      <c r="V1294" s="983">
        <f>+I1294+T1294+O1294</f>
        <v>0</v>
      </c>
      <c r="W1294" s="311"/>
      <c r="X1294" s="312"/>
      <c r="Y1294" s="313"/>
      <c r="Z1294" s="1065"/>
      <c r="AA1294" s="24"/>
      <c r="AB1294" s="24"/>
      <c r="AC1294" s="24"/>
      <c r="AD1294" s="24"/>
      <c r="AE1294" s="24"/>
    </row>
    <row r="1295" spans="1:31" s="302" customFormat="1" outlineLevel="1">
      <c r="A1295" s="314"/>
      <c r="B1295" s="315"/>
      <c r="C1295" s="304"/>
      <c r="D1295" s="304"/>
      <c r="E1295" s="303"/>
      <c r="F1295" s="305"/>
      <c r="G1295" s="1285"/>
      <c r="H1295" s="306"/>
      <c r="I1295" s="1443">
        <f>+F1295*H1295</f>
        <v>0</v>
      </c>
      <c r="J1295" s="1446"/>
      <c r="K1295" s="1447"/>
      <c r="L1295" s="471"/>
      <c r="M1295" s="1320"/>
      <c r="N1295" s="866"/>
      <c r="O1295" s="307">
        <f>+L1295*N1295</f>
        <v>0</v>
      </c>
      <c r="P1295" s="308"/>
      <c r="Q1295" s="1353"/>
      <c r="R1295" s="309"/>
      <c r="S1295" s="309"/>
      <c r="T1295" s="863">
        <v>0</v>
      </c>
      <c r="U1295" s="300"/>
      <c r="V1295" s="983"/>
      <c r="W1295" s="311"/>
      <c r="X1295" s="312"/>
      <c r="Y1295" s="313"/>
      <c r="Z1295" s="1065"/>
      <c r="AA1295" s="24"/>
      <c r="AB1295" s="24"/>
      <c r="AC1295" s="24"/>
      <c r="AD1295" s="24"/>
      <c r="AE1295" s="24"/>
    </row>
    <row r="1296" spans="1:31" ht="15.75">
      <c r="A1296" s="961">
        <v>2422091000</v>
      </c>
      <c r="B1296" s="962" t="s">
        <v>77</v>
      </c>
      <c r="C1296" s="963" t="s">
        <v>106</v>
      </c>
      <c r="D1296" s="963"/>
      <c r="E1296" s="46">
        <v>44926</v>
      </c>
      <c r="F1296" s="964"/>
      <c r="G1296" s="1250"/>
      <c r="H1296" s="47"/>
      <c r="I1296" s="1434">
        <v>4568924497</v>
      </c>
      <c r="J1296" s="968"/>
      <c r="K1296" s="1434"/>
      <c r="L1296" s="316"/>
      <c r="M1296" s="1298"/>
      <c r="N1296" s="47"/>
      <c r="O1296" s="50"/>
      <c r="P1296" s="319"/>
      <c r="Q1296" s="1358"/>
      <c r="R1296" s="318"/>
      <c r="S1296" s="318"/>
      <c r="T1296" s="48"/>
      <c r="U1296" s="319"/>
      <c r="V1296" s="50">
        <f t="shared" ref="V1296:V1309" si="2655">+I1296+O1296+T1296</f>
        <v>4568924497</v>
      </c>
      <c r="W1296" s="296"/>
      <c r="X1296" s="297"/>
      <c r="Y1296" s="298"/>
      <c r="AA1296" s="24"/>
      <c r="AB1296" s="24"/>
      <c r="AC1296" s="24"/>
      <c r="AD1296" s="24"/>
      <c r="AE1296" s="24"/>
    </row>
    <row r="1297" spans="1:31" outlineLevel="1">
      <c r="A1297" s="55">
        <v>2422091000</v>
      </c>
      <c r="B1297" s="509" t="s">
        <v>110</v>
      </c>
      <c r="C1297" s="679" t="s">
        <v>106</v>
      </c>
      <c r="D1297" s="680"/>
      <c r="E1297" s="219">
        <v>44957</v>
      </c>
      <c r="F1297" s="416"/>
      <c r="G1297" s="1251"/>
      <c r="H1297" s="676"/>
      <c r="I1297" s="677"/>
      <c r="J1297" s="1431"/>
      <c r="K1297" s="1397"/>
      <c r="L1297" s="471"/>
      <c r="M1297" s="1320"/>
      <c r="N1297" s="866"/>
      <c r="O1297" s="682">
        <v>7288356516</v>
      </c>
      <c r="P1297" s="470"/>
      <c r="Q1297" s="1355"/>
      <c r="R1297" s="862"/>
      <c r="S1297" s="862"/>
      <c r="T1297" s="562">
        <v>0</v>
      </c>
      <c r="U1297" s="472"/>
      <c r="V1297" s="517">
        <f t="shared" si="2655"/>
        <v>7288356516</v>
      </c>
      <c r="W1297" s="976">
        <f t="shared" ref="W1297:W1312" si="2656">-(IF(R1297&lt;S1297,(-P1297*R1297)-(-P1297*S1297),0))</f>
        <v>0</v>
      </c>
      <c r="X1297" s="975">
        <f t="shared" ref="X1297:X1312" si="2657">-(IF(R1297&gt;S1297,(-P1297*R1297)-(-P1297*S1297),0))</f>
        <v>0</v>
      </c>
      <c r="Y1297" s="519"/>
      <c r="AA1297" s="24"/>
      <c r="AB1297" s="24"/>
      <c r="AC1297" s="24"/>
      <c r="AD1297" s="24"/>
      <c r="AE1297" s="24"/>
    </row>
    <row r="1298" spans="1:31" outlineLevel="1">
      <c r="A1298" s="55">
        <v>2422091000</v>
      </c>
      <c r="B1298" s="509" t="s">
        <v>205</v>
      </c>
      <c r="C1298" s="679" t="s">
        <v>106</v>
      </c>
      <c r="D1298" s="680"/>
      <c r="E1298" s="219">
        <v>44985</v>
      </c>
      <c r="F1298" s="416"/>
      <c r="G1298" s="1251"/>
      <c r="H1298" s="676"/>
      <c r="I1298" s="677"/>
      <c r="J1298" s="1431"/>
      <c r="K1298" s="1397"/>
      <c r="L1298" s="471"/>
      <c r="M1298" s="1320"/>
      <c r="N1298" s="866"/>
      <c r="O1298" s="682">
        <v>6965294208</v>
      </c>
      <c r="P1298" s="470"/>
      <c r="Q1298" s="1355"/>
      <c r="R1298" s="862"/>
      <c r="S1298" s="862"/>
      <c r="T1298" s="562">
        <v>0</v>
      </c>
      <c r="U1298" s="472"/>
      <c r="V1298" s="517">
        <f t="shared" si="2655"/>
        <v>6965294208</v>
      </c>
      <c r="W1298" s="976">
        <f t="shared" si="2656"/>
        <v>0</v>
      </c>
      <c r="X1298" s="975">
        <f t="shared" si="2657"/>
        <v>0</v>
      </c>
      <c r="Y1298" s="519"/>
      <c r="AA1298" s="24"/>
      <c r="AB1298" s="24"/>
      <c r="AC1298" s="24"/>
      <c r="AD1298" s="24"/>
      <c r="AE1298" s="24"/>
    </row>
    <row r="1299" spans="1:31" outlineLevel="1">
      <c r="A1299" s="55">
        <v>2422091000</v>
      </c>
      <c r="B1299" s="509" t="s">
        <v>112</v>
      </c>
      <c r="C1299" s="679" t="s">
        <v>106</v>
      </c>
      <c r="D1299" s="680"/>
      <c r="E1299" s="219">
        <v>45016</v>
      </c>
      <c r="F1299" s="416"/>
      <c r="G1299" s="1251"/>
      <c r="H1299" s="676"/>
      <c r="I1299" s="677"/>
      <c r="J1299" s="1431"/>
      <c r="K1299" s="1397"/>
      <c r="L1299" s="471"/>
      <c r="M1299" s="1320"/>
      <c r="N1299" s="866"/>
      <c r="O1299" s="682">
        <v>7692296112</v>
      </c>
      <c r="P1299" s="470"/>
      <c r="Q1299" s="1355"/>
      <c r="R1299" s="862"/>
      <c r="S1299" s="862"/>
      <c r="T1299" s="562">
        <v>0</v>
      </c>
      <c r="U1299" s="472"/>
      <c r="V1299" s="517">
        <f t="shared" si="2655"/>
        <v>7692296112</v>
      </c>
      <c r="W1299" s="976">
        <f t="shared" si="2656"/>
        <v>0</v>
      </c>
      <c r="X1299" s="975">
        <f t="shared" si="2657"/>
        <v>0</v>
      </c>
      <c r="Y1299" s="519"/>
      <c r="AA1299" s="24"/>
      <c r="AB1299" s="24"/>
      <c r="AC1299" s="24"/>
      <c r="AD1299" s="24"/>
      <c r="AE1299" s="24"/>
    </row>
    <row r="1300" spans="1:31" outlineLevel="1">
      <c r="A1300" s="55">
        <v>2422091000</v>
      </c>
      <c r="B1300" s="509" t="s">
        <v>113</v>
      </c>
      <c r="C1300" s="679" t="s">
        <v>106</v>
      </c>
      <c r="D1300" s="680"/>
      <c r="E1300" s="219">
        <v>45046</v>
      </c>
      <c r="F1300" s="416"/>
      <c r="G1300" s="1251"/>
      <c r="H1300" s="676"/>
      <c r="I1300" s="677"/>
      <c r="J1300" s="1431"/>
      <c r="K1300" s="1397"/>
      <c r="L1300" s="471"/>
      <c r="M1300" s="1320"/>
      <c r="N1300" s="866"/>
      <c r="O1300" s="682">
        <v>7682386411</v>
      </c>
      <c r="P1300" s="470"/>
      <c r="Q1300" s="1355"/>
      <c r="R1300" s="862"/>
      <c r="S1300" s="862"/>
      <c r="T1300" s="562">
        <v>0</v>
      </c>
      <c r="U1300" s="472"/>
      <c r="V1300" s="517">
        <f t="shared" si="2655"/>
        <v>7682386411</v>
      </c>
      <c r="W1300" s="976">
        <f t="shared" si="2656"/>
        <v>0</v>
      </c>
      <c r="X1300" s="975">
        <f t="shared" si="2657"/>
        <v>0</v>
      </c>
      <c r="Y1300" s="519"/>
      <c r="AA1300" s="24"/>
      <c r="AB1300" s="24"/>
      <c r="AC1300" s="24"/>
      <c r="AD1300" s="24"/>
      <c r="AE1300" s="24"/>
    </row>
    <row r="1301" spans="1:31" outlineLevel="1">
      <c r="A1301" s="55">
        <v>2422091000</v>
      </c>
      <c r="B1301" s="509" t="s">
        <v>114</v>
      </c>
      <c r="C1301" s="679" t="s">
        <v>106</v>
      </c>
      <c r="D1301" s="680"/>
      <c r="E1301" s="219">
        <v>45077</v>
      </c>
      <c r="F1301" s="416"/>
      <c r="G1301" s="1251"/>
      <c r="H1301" s="676"/>
      <c r="I1301" s="677"/>
      <c r="J1301" s="1431"/>
      <c r="K1301" s="1397"/>
      <c r="L1301" s="471"/>
      <c r="M1301" s="1320"/>
      <c r="N1301" s="866"/>
      <c r="O1301" s="682"/>
      <c r="P1301" s="470"/>
      <c r="Q1301" s="1355"/>
      <c r="R1301" s="862"/>
      <c r="S1301" s="862"/>
      <c r="T1301" s="562">
        <v>0</v>
      </c>
      <c r="U1301" s="472"/>
      <c r="V1301" s="517">
        <f t="shared" si="2655"/>
        <v>0</v>
      </c>
      <c r="W1301" s="976">
        <f t="shared" si="2656"/>
        <v>0</v>
      </c>
      <c r="X1301" s="975">
        <f t="shared" si="2657"/>
        <v>0</v>
      </c>
      <c r="Y1301" s="519"/>
      <c r="AA1301" s="24"/>
      <c r="AB1301" s="24"/>
      <c r="AC1301" s="24"/>
      <c r="AD1301" s="24"/>
      <c r="AE1301" s="24"/>
    </row>
    <row r="1302" spans="1:31" outlineLevel="1">
      <c r="A1302" s="55">
        <v>2422091000</v>
      </c>
      <c r="B1302" s="509" t="s">
        <v>115</v>
      </c>
      <c r="C1302" s="679" t="s">
        <v>106</v>
      </c>
      <c r="D1302" s="680"/>
      <c r="E1302" s="219">
        <v>45107</v>
      </c>
      <c r="F1302" s="416"/>
      <c r="G1302" s="1251"/>
      <c r="H1302" s="676"/>
      <c r="I1302" s="677"/>
      <c r="J1302" s="1431"/>
      <c r="K1302" s="1397"/>
      <c r="L1302" s="471"/>
      <c r="M1302" s="1320"/>
      <c r="N1302" s="866"/>
      <c r="O1302" s="682"/>
      <c r="P1302" s="470"/>
      <c r="Q1302" s="1355"/>
      <c r="R1302" s="862"/>
      <c r="S1302" s="862"/>
      <c r="T1302" s="562">
        <v>0</v>
      </c>
      <c r="U1302" s="472"/>
      <c r="V1302" s="517">
        <f t="shared" si="2655"/>
        <v>0</v>
      </c>
      <c r="W1302" s="976">
        <f t="shared" si="2656"/>
        <v>0</v>
      </c>
      <c r="X1302" s="975">
        <f t="shared" si="2657"/>
        <v>0</v>
      </c>
      <c r="Y1302" s="519"/>
      <c r="AA1302" s="24"/>
      <c r="AB1302" s="24"/>
      <c r="AC1302" s="24"/>
      <c r="AD1302" s="24"/>
      <c r="AE1302" s="24"/>
    </row>
    <row r="1303" spans="1:31" outlineLevel="1">
      <c r="A1303" s="55">
        <v>2422091000</v>
      </c>
      <c r="B1303" s="509" t="s">
        <v>116</v>
      </c>
      <c r="C1303" s="679" t="s">
        <v>106</v>
      </c>
      <c r="D1303" s="680"/>
      <c r="E1303" s="219">
        <v>45138</v>
      </c>
      <c r="F1303" s="416"/>
      <c r="G1303" s="1251"/>
      <c r="H1303" s="676"/>
      <c r="I1303" s="677"/>
      <c r="J1303" s="1431"/>
      <c r="K1303" s="1397"/>
      <c r="L1303" s="471"/>
      <c r="M1303" s="1320"/>
      <c r="N1303" s="866"/>
      <c r="O1303" s="682"/>
      <c r="P1303" s="470"/>
      <c r="Q1303" s="1355"/>
      <c r="R1303" s="862"/>
      <c r="S1303" s="862"/>
      <c r="T1303" s="562">
        <v>0</v>
      </c>
      <c r="U1303" s="472"/>
      <c r="V1303" s="517">
        <f t="shared" si="2655"/>
        <v>0</v>
      </c>
      <c r="W1303" s="976">
        <f t="shared" si="2656"/>
        <v>0</v>
      </c>
      <c r="X1303" s="975">
        <f t="shared" si="2657"/>
        <v>0</v>
      </c>
      <c r="Y1303" s="519"/>
      <c r="AA1303" s="24"/>
      <c r="AB1303" s="24"/>
      <c r="AC1303" s="24"/>
      <c r="AD1303" s="24"/>
      <c r="AE1303" s="24"/>
    </row>
    <row r="1304" spans="1:31" outlineLevel="1">
      <c r="A1304" s="55">
        <v>2422091000</v>
      </c>
      <c r="B1304" s="509" t="s">
        <v>117</v>
      </c>
      <c r="C1304" s="679" t="s">
        <v>106</v>
      </c>
      <c r="D1304" s="680"/>
      <c r="E1304" s="219">
        <v>45169</v>
      </c>
      <c r="F1304" s="416"/>
      <c r="G1304" s="1251"/>
      <c r="H1304" s="676"/>
      <c r="I1304" s="677"/>
      <c r="J1304" s="1431"/>
      <c r="K1304" s="1397"/>
      <c r="L1304" s="471"/>
      <c r="M1304" s="1320"/>
      <c r="N1304" s="866"/>
      <c r="O1304" s="682"/>
      <c r="P1304" s="470"/>
      <c r="Q1304" s="1355"/>
      <c r="R1304" s="862"/>
      <c r="S1304" s="862"/>
      <c r="T1304" s="562">
        <v>0</v>
      </c>
      <c r="U1304" s="472"/>
      <c r="V1304" s="517">
        <f t="shared" si="2655"/>
        <v>0</v>
      </c>
      <c r="W1304" s="976">
        <f t="shared" si="2656"/>
        <v>0</v>
      </c>
      <c r="X1304" s="975">
        <f t="shared" si="2657"/>
        <v>0</v>
      </c>
      <c r="Y1304" s="519"/>
      <c r="AA1304" s="24"/>
      <c r="AB1304" s="24"/>
      <c r="AC1304" s="24"/>
      <c r="AD1304" s="24"/>
      <c r="AE1304" s="24"/>
    </row>
    <row r="1305" spans="1:31" outlineLevel="1">
      <c r="A1305" s="55">
        <v>2422091000</v>
      </c>
      <c r="B1305" s="509" t="s">
        <v>118</v>
      </c>
      <c r="C1305" s="679" t="s">
        <v>106</v>
      </c>
      <c r="D1305" s="680"/>
      <c r="E1305" s="219">
        <v>45199</v>
      </c>
      <c r="F1305" s="416"/>
      <c r="G1305" s="1251"/>
      <c r="H1305" s="676"/>
      <c r="I1305" s="677"/>
      <c r="J1305" s="1431"/>
      <c r="K1305" s="1397"/>
      <c r="L1305" s="471"/>
      <c r="M1305" s="1320"/>
      <c r="N1305" s="866"/>
      <c r="O1305" s="682"/>
      <c r="P1305" s="470"/>
      <c r="Q1305" s="1355"/>
      <c r="R1305" s="862"/>
      <c r="S1305" s="862"/>
      <c r="T1305" s="562">
        <v>0</v>
      </c>
      <c r="U1305" s="472"/>
      <c r="V1305" s="517">
        <f t="shared" si="2655"/>
        <v>0</v>
      </c>
      <c r="W1305" s="976">
        <f t="shared" si="2656"/>
        <v>0</v>
      </c>
      <c r="X1305" s="975">
        <f t="shared" si="2657"/>
        <v>0</v>
      </c>
      <c r="Y1305" s="519"/>
      <c r="AA1305" s="24"/>
      <c r="AB1305" s="24"/>
      <c r="AC1305" s="24"/>
      <c r="AD1305" s="24"/>
      <c r="AE1305" s="24"/>
    </row>
    <row r="1306" spans="1:31" outlineLevel="1">
      <c r="A1306" s="55">
        <v>2422091000</v>
      </c>
      <c r="B1306" s="509" t="s">
        <v>119</v>
      </c>
      <c r="C1306" s="679" t="s">
        <v>106</v>
      </c>
      <c r="D1306" s="680"/>
      <c r="E1306" s="219">
        <v>45230</v>
      </c>
      <c r="F1306" s="416"/>
      <c r="G1306" s="1251"/>
      <c r="H1306" s="676"/>
      <c r="I1306" s="677"/>
      <c r="J1306" s="1431"/>
      <c r="K1306" s="1397"/>
      <c r="L1306" s="471"/>
      <c r="M1306" s="1320"/>
      <c r="N1306" s="866"/>
      <c r="O1306" s="682"/>
      <c r="P1306" s="470"/>
      <c r="Q1306" s="1355"/>
      <c r="R1306" s="862"/>
      <c r="S1306" s="862"/>
      <c r="T1306" s="562">
        <v>0</v>
      </c>
      <c r="U1306" s="472"/>
      <c r="V1306" s="517">
        <f t="shared" si="2655"/>
        <v>0</v>
      </c>
      <c r="W1306" s="976">
        <f t="shared" si="2656"/>
        <v>0</v>
      </c>
      <c r="X1306" s="975">
        <f t="shared" si="2657"/>
        <v>0</v>
      </c>
      <c r="Y1306" s="519"/>
      <c r="AA1306" s="24"/>
      <c r="AB1306" s="24"/>
      <c r="AC1306" s="24"/>
      <c r="AD1306" s="24"/>
      <c r="AE1306" s="24"/>
    </row>
    <row r="1307" spans="1:31" outlineLevel="1">
      <c r="A1307" s="55">
        <v>2422091000</v>
      </c>
      <c r="B1307" s="509" t="s">
        <v>120</v>
      </c>
      <c r="C1307" s="679" t="s">
        <v>106</v>
      </c>
      <c r="D1307" s="680"/>
      <c r="E1307" s="219">
        <v>45260</v>
      </c>
      <c r="F1307" s="416"/>
      <c r="G1307" s="1251"/>
      <c r="H1307" s="676"/>
      <c r="I1307" s="677"/>
      <c r="J1307" s="1431"/>
      <c r="K1307" s="1397"/>
      <c r="L1307" s="471"/>
      <c r="M1307" s="1320"/>
      <c r="N1307" s="866"/>
      <c r="O1307" s="682"/>
      <c r="P1307" s="470"/>
      <c r="Q1307" s="1355"/>
      <c r="R1307" s="862"/>
      <c r="S1307" s="862"/>
      <c r="T1307" s="562">
        <v>0</v>
      </c>
      <c r="U1307" s="472"/>
      <c r="V1307" s="517">
        <f t="shared" si="2655"/>
        <v>0</v>
      </c>
      <c r="W1307" s="976">
        <f t="shared" si="2656"/>
        <v>0</v>
      </c>
      <c r="X1307" s="975">
        <f t="shared" si="2657"/>
        <v>0</v>
      </c>
      <c r="Y1307" s="519"/>
      <c r="AA1307" s="24"/>
      <c r="AB1307" s="24"/>
      <c r="AC1307" s="24"/>
      <c r="AD1307" s="24"/>
      <c r="AE1307" s="24"/>
    </row>
    <row r="1308" spans="1:31" outlineLevel="1">
      <c r="A1308" s="55">
        <v>2422091000</v>
      </c>
      <c r="B1308" s="509" t="s">
        <v>121</v>
      </c>
      <c r="C1308" s="679" t="s">
        <v>106</v>
      </c>
      <c r="D1308" s="680"/>
      <c r="E1308" s="219">
        <v>45270</v>
      </c>
      <c r="F1308" s="416"/>
      <c r="G1308" s="1251"/>
      <c r="H1308" s="676"/>
      <c r="I1308" s="677"/>
      <c r="J1308" s="1431"/>
      <c r="K1308" s="1397"/>
      <c r="L1308" s="471"/>
      <c r="M1308" s="1320"/>
      <c r="N1308" s="866"/>
      <c r="O1308" s="682"/>
      <c r="P1308" s="470"/>
      <c r="Q1308" s="1355"/>
      <c r="R1308" s="862"/>
      <c r="S1308" s="862"/>
      <c r="T1308" s="562">
        <v>0</v>
      </c>
      <c r="U1308" s="472"/>
      <c r="V1308" s="517">
        <f t="shared" ref="V1308" si="2658">+I1308+O1308+T1308</f>
        <v>0</v>
      </c>
      <c r="W1308" s="976">
        <f t="shared" ref="W1308" si="2659">-(IF(R1308&lt;S1308,(-P1308*R1308)-(-P1308*S1308),0))</f>
        <v>0</v>
      </c>
      <c r="X1308" s="975">
        <f t="shared" ref="X1308" si="2660">-(IF(R1308&gt;S1308,(-P1308*R1308)-(-P1308*S1308),0))</f>
        <v>0</v>
      </c>
      <c r="Y1308" s="519"/>
      <c r="AA1308" s="24"/>
      <c r="AB1308" s="24"/>
      <c r="AC1308" s="24"/>
      <c r="AD1308" s="24"/>
      <c r="AE1308" s="24"/>
    </row>
    <row r="1309" spans="1:31" outlineLevel="1">
      <c r="A1309" s="55">
        <v>2422091000</v>
      </c>
      <c r="B1309" s="509" t="s">
        <v>121</v>
      </c>
      <c r="C1309" s="679" t="s">
        <v>106</v>
      </c>
      <c r="D1309" s="680"/>
      <c r="E1309" s="219">
        <v>45291</v>
      </c>
      <c r="F1309" s="416"/>
      <c r="G1309" s="1251"/>
      <c r="H1309" s="676"/>
      <c r="I1309" s="677"/>
      <c r="J1309" s="1431"/>
      <c r="K1309" s="1397"/>
      <c r="L1309" s="471"/>
      <c r="M1309" s="1320"/>
      <c r="N1309" s="866"/>
      <c r="O1309" s="682"/>
      <c r="P1309" s="470"/>
      <c r="Q1309" s="1355"/>
      <c r="R1309" s="862"/>
      <c r="S1309" s="862"/>
      <c r="T1309" s="562">
        <v>0</v>
      </c>
      <c r="U1309" s="472"/>
      <c r="V1309" s="517">
        <f t="shared" si="2655"/>
        <v>0</v>
      </c>
      <c r="W1309" s="976">
        <f t="shared" si="2656"/>
        <v>0</v>
      </c>
      <c r="X1309" s="975">
        <f t="shared" si="2657"/>
        <v>0</v>
      </c>
      <c r="Y1309" s="519"/>
      <c r="AA1309" s="24"/>
      <c r="AB1309" s="24"/>
      <c r="AC1309" s="24"/>
      <c r="AD1309" s="24"/>
      <c r="AE1309" s="24"/>
    </row>
    <row r="1310" spans="1:31" outlineLevel="1">
      <c r="A1310" s="55"/>
      <c r="B1310" s="509"/>
      <c r="C1310" s="679"/>
      <c r="D1310" s="680"/>
      <c r="E1310" s="219"/>
      <c r="F1310" s="416"/>
      <c r="G1310" s="1251"/>
      <c r="H1310" s="676"/>
      <c r="I1310" s="677"/>
      <c r="J1310" s="1431"/>
      <c r="K1310" s="1397"/>
      <c r="L1310" s="471"/>
      <c r="M1310" s="1320"/>
      <c r="N1310" s="866"/>
      <c r="O1310" s="682"/>
      <c r="P1310" s="470"/>
      <c r="Q1310" s="1355"/>
      <c r="R1310" s="862"/>
      <c r="S1310" s="862"/>
      <c r="T1310" s="562"/>
      <c r="U1310" s="472"/>
      <c r="V1310" s="517"/>
      <c r="W1310" s="976">
        <f t="shared" si="2656"/>
        <v>0</v>
      </c>
      <c r="X1310" s="975">
        <f t="shared" si="2657"/>
        <v>0</v>
      </c>
      <c r="Y1310" s="519"/>
      <c r="AA1310" s="24"/>
      <c r="AB1310" s="24"/>
      <c r="AC1310" s="24"/>
      <c r="AD1310" s="24"/>
      <c r="AE1310" s="24"/>
    </row>
    <row r="1311" spans="1:31" outlineLevel="1">
      <c r="A1311" s="258">
        <v>2422091000</v>
      </c>
      <c r="B1311" s="829" t="s">
        <v>124</v>
      </c>
      <c r="C1311" s="830" t="s">
        <v>106</v>
      </c>
      <c r="D1311" s="836"/>
      <c r="E1311" s="259"/>
      <c r="F1311" s="450"/>
      <c r="G1311" s="1277"/>
      <c r="H1311" s="832"/>
      <c r="I1311" s="1436">
        <f>+F1311*H1311</f>
        <v>0</v>
      </c>
      <c r="J1311" s="469"/>
      <c r="K1311" s="1448"/>
      <c r="L1311" s="471"/>
      <c r="M1311" s="1320"/>
      <c r="N1311" s="866"/>
      <c r="O1311" s="835">
        <f>+L1311*N1311</f>
        <v>0</v>
      </c>
      <c r="P1311" s="473"/>
      <c r="Q1311" s="1356"/>
      <c r="R1311" s="867"/>
      <c r="S1311" s="867"/>
      <c r="T1311" s="835">
        <v>0</v>
      </c>
      <c r="U1311" s="473"/>
      <c r="V1311" s="835">
        <f>+I1311+O1311+T1311</f>
        <v>0</v>
      </c>
      <c r="W1311" s="469">
        <f t="shared" si="2656"/>
        <v>0</v>
      </c>
      <c r="X1311" s="849">
        <f t="shared" si="2657"/>
        <v>0</v>
      </c>
      <c r="Y1311" s="836"/>
      <c r="AA1311" s="24"/>
      <c r="AB1311" s="24"/>
      <c r="AC1311" s="24"/>
      <c r="AD1311" s="24"/>
      <c r="AE1311" s="24"/>
    </row>
    <row r="1312" spans="1:31" outlineLevel="1">
      <c r="A1312" s="258">
        <v>2422091000</v>
      </c>
      <c r="B1312" s="829" t="s">
        <v>124</v>
      </c>
      <c r="C1312" s="830" t="s">
        <v>106</v>
      </c>
      <c r="D1312" s="836"/>
      <c r="E1312" s="259">
        <v>45270</v>
      </c>
      <c r="F1312" s="450"/>
      <c r="G1312" s="1277"/>
      <c r="H1312" s="832"/>
      <c r="I1312" s="1436">
        <f>+F1312*H1312</f>
        <v>0</v>
      </c>
      <c r="J1312" s="469"/>
      <c r="K1312" s="1448"/>
      <c r="L1312" s="471"/>
      <c r="M1312" s="1320"/>
      <c r="N1312" s="866"/>
      <c r="O1312" s="835">
        <f>+L1312*N1312</f>
        <v>0</v>
      </c>
      <c r="P1312" s="473"/>
      <c r="Q1312" s="1356"/>
      <c r="R1312" s="867"/>
      <c r="S1312" s="867"/>
      <c r="T1312" s="835">
        <v>0</v>
      </c>
      <c r="U1312" s="473"/>
      <c r="V1312" s="835">
        <f>+I1312+O1312+T1312</f>
        <v>0</v>
      </c>
      <c r="W1312" s="469">
        <f t="shared" si="2656"/>
        <v>0</v>
      </c>
      <c r="X1312" s="849">
        <f t="shared" si="2657"/>
        <v>0</v>
      </c>
      <c r="Y1312" s="836"/>
      <c r="AA1312" s="24"/>
      <c r="AB1312" s="24"/>
      <c r="AC1312" s="24"/>
      <c r="AD1312" s="24"/>
      <c r="AE1312" s="24"/>
    </row>
    <row r="1313" spans="1:31" outlineLevel="1">
      <c r="A1313" s="55"/>
      <c r="B1313" s="509"/>
      <c r="C1313" s="510"/>
      <c r="D1313" s="510"/>
      <c r="E1313" s="219"/>
      <c r="F1313" s="416"/>
      <c r="G1313" s="1251"/>
      <c r="H1313" s="676"/>
      <c r="I1313" s="677"/>
      <c r="J1313" s="1431"/>
      <c r="K1313" s="1397"/>
      <c r="L1313" s="471"/>
      <c r="M1313" s="1320"/>
      <c r="N1313" s="866"/>
      <c r="O1313" s="682">
        <f>+L1313*N1313</f>
        <v>0</v>
      </c>
      <c r="P1313" s="470"/>
      <c r="Q1313" s="1355"/>
      <c r="R1313" s="862"/>
      <c r="S1313" s="862"/>
      <c r="T1313" s="562">
        <f>+P1313*S1313</f>
        <v>0</v>
      </c>
      <c r="U1313" s="472"/>
      <c r="V1313" s="517"/>
      <c r="W1313" s="976"/>
      <c r="X1313" s="975"/>
      <c r="Y1313" s="519"/>
      <c r="AA1313" s="24"/>
      <c r="AB1313" s="24"/>
      <c r="AC1313" s="24"/>
      <c r="AD1313" s="24"/>
      <c r="AE1313" s="24"/>
    </row>
    <row r="1314" spans="1:31" s="290" customFormat="1" ht="15.75">
      <c r="A1314" s="278"/>
      <c r="B1314" s="279" t="s">
        <v>104</v>
      </c>
      <c r="C1314" s="280"/>
      <c r="D1314" s="282"/>
      <c r="E1314" s="281"/>
      <c r="F1314" s="283"/>
      <c r="G1314" s="1281"/>
      <c r="H1314" s="284"/>
      <c r="I1314" s="1437">
        <v>-63221066</v>
      </c>
      <c r="J1314" s="287"/>
      <c r="K1314" s="1437"/>
      <c r="L1314" s="286"/>
      <c r="M1314" s="1317"/>
      <c r="N1314" s="284"/>
      <c r="O1314" s="285"/>
      <c r="P1314" s="283"/>
      <c r="Q1314" s="1281"/>
      <c r="R1314" s="284"/>
      <c r="S1314" s="284"/>
      <c r="T1314" s="285">
        <f>-I1314</f>
        <v>63221066</v>
      </c>
      <c r="U1314" s="320"/>
      <c r="V1314" s="285">
        <f>+I1314+O1314+T1314</f>
        <v>0</v>
      </c>
      <c r="W1314" s="287"/>
      <c r="X1314" s="288"/>
      <c r="Y1314" s="282"/>
      <c r="Z1314" s="1064"/>
      <c r="AA1314" s="289"/>
      <c r="AB1314" s="289"/>
      <c r="AC1314" s="289"/>
      <c r="AD1314" s="289"/>
      <c r="AE1314" s="289"/>
    </row>
    <row r="1315" spans="1:31" s="302" customFormat="1" outlineLevel="1">
      <c r="A1315" s="979"/>
      <c r="B1315" s="980" t="s">
        <v>1473</v>
      </c>
      <c r="C1315" s="981" t="s">
        <v>106</v>
      </c>
      <c r="D1315" s="981"/>
      <c r="E1315" s="299"/>
      <c r="F1315" s="982"/>
      <c r="G1315" s="1286"/>
      <c r="H1315" s="857"/>
      <c r="I1315" s="858"/>
      <c r="J1315" s="1419"/>
      <c r="K1315" s="1396"/>
      <c r="L1315" s="859"/>
      <c r="M1315" s="859"/>
      <c r="N1315" s="860"/>
      <c r="O1315" s="861">
        <v>199995044</v>
      </c>
      <c r="P1315" s="321"/>
      <c r="Q1315" s="1357"/>
      <c r="R1315" s="868"/>
      <c r="S1315" s="868"/>
      <c r="T1315" s="863"/>
      <c r="U1315" s="300"/>
      <c r="V1315" s="983">
        <f>+I1315+O1315+T1315</f>
        <v>199995044</v>
      </c>
      <c r="W1315" s="301"/>
      <c r="X1315" s="864"/>
      <c r="Y1315" s="865"/>
      <c r="Z1315" s="1065"/>
      <c r="AA1315" s="24"/>
      <c r="AB1315" s="24"/>
      <c r="AC1315" s="24"/>
      <c r="AD1315" s="24"/>
      <c r="AE1315" s="24"/>
    </row>
    <row r="1316" spans="1:31" s="302" customFormat="1" outlineLevel="1">
      <c r="A1316" s="979"/>
      <c r="B1316" s="980" t="s">
        <v>221</v>
      </c>
      <c r="C1316" s="981" t="s">
        <v>106</v>
      </c>
      <c r="D1316" s="981"/>
      <c r="E1316" s="299"/>
      <c r="F1316" s="982"/>
      <c r="G1316" s="1286"/>
      <c r="H1316" s="857"/>
      <c r="I1316" s="858"/>
      <c r="J1316" s="1419"/>
      <c r="K1316" s="1396"/>
      <c r="L1316" s="859"/>
      <c r="M1316" s="859"/>
      <c r="N1316" s="860"/>
      <c r="O1316" s="861">
        <v>0</v>
      </c>
      <c r="P1316" s="321"/>
      <c r="Q1316" s="1357"/>
      <c r="R1316" s="868"/>
      <c r="S1316" s="868"/>
      <c r="T1316" s="863"/>
      <c r="U1316" s="300"/>
      <c r="V1316" s="983">
        <f>+I1316+O1316+T1316</f>
        <v>0</v>
      </c>
      <c r="W1316" s="301"/>
      <c r="X1316" s="864"/>
      <c r="Y1316" s="865"/>
      <c r="Z1316" s="1065"/>
      <c r="AA1316" s="24"/>
      <c r="AB1316" s="24"/>
      <c r="AC1316" s="24"/>
      <c r="AD1316" s="24"/>
      <c r="AE1316" s="24"/>
    </row>
    <row r="1317" spans="1:31" ht="15.75" outlineLevel="1" thickBot="1">
      <c r="A1317" s="55"/>
      <c r="B1317" s="509"/>
      <c r="C1317" s="510"/>
      <c r="D1317" s="510"/>
      <c r="E1317" s="56"/>
      <c r="F1317" s="416"/>
      <c r="G1317" s="1251"/>
      <c r="H1317" s="676"/>
      <c r="I1317" s="677">
        <f>+F1317*H1317</f>
        <v>0</v>
      </c>
      <c r="J1317" s="1421"/>
      <c r="K1317" s="1449"/>
      <c r="L1317" s="869"/>
      <c r="M1317" s="869"/>
      <c r="N1317" s="504"/>
      <c r="O1317" s="682">
        <f>+L1317*N1317</f>
        <v>0</v>
      </c>
      <c r="P1317" s="431"/>
      <c r="Q1317" s="514"/>
      <c r="R1317" s="515"/>
      <c r="S1317" s="515"/>
      <c r="T1317" s="516">
        <f>+P1317*R1317</f>
        <v>0</v>
      </c>
      <c r="U1317" s="418">
        <f>+L1317+P1317+F1317</f>
        <v>0</v>
      </c>
      <c r="V1317" s="517">
        <f>+I1317+T1317+O1317</f>
        <v>0</v>
      </c>
      <c r="W1317" s="474"/>
      <c r="X1317" s="870"/>
      <c r="Y1317" s="871"/>
      <c r="AA1317" s="24"/>
      <c r="AB1317" s="24"/>
      <c r="AC1317" s="24"/>
      <c r="AD1317" s="24"/>
      <c r="AE1317" s="24"/>
    </row>
    <row r="1318" spans="1:31" s="322" customFormat="1" ht="19.5" thickBot="1">
      <c r="A1318" s="872" t="s">
        <v>1210</v>
      </c>
      <c r="B1318" s="873"/>
      <c r="C1318" s="874"/>
      <c r="D1318" s="874"/>
      <c r="E1318" s="875"/>
      <c r="F1318" s="876">
        <f>SUM(F1292:F1317)</f>
        <v>0</v>
      </c>
      <c r="G1318" s="876"/>
      <c r="H1318" s="877"/>
      <c r="I1318" s="878">
        <f>SUM(I1292:I1317)</f>
        <v>598363203431</v>
      </c>
      <c r="J1318" s="878"/>
      <c r="K1318" s="878"/>
      <c r="L1318" s="879">
        <f>SUM(L1292:L1317)</f>
        <v>0</v>
      </c>
      <c r="M1318" s="879"/>
      <c r="N1318" s="880">
        <f>SUM(N1292:N1317)</f>
        <v>0</v>
      </c>
      <c r="O1318" s="881">
        <f>SUM(O1292:O1317)</f>
        <v>29828328291</v>
      </c>
      <c r="P1318" s="882">
        <f>SUM(P1292:P1317)</f>
        <v>0</v>
      </c>
      <c r="Q1318" s="882"/>
      <c r="R1318" s="883"/>
      <c r="S1318" s="883"/>
      <c r="T1318" s="884">
        <f>SUM(T1292:T1317)</f>
        <v>63221066</v>
      </c>
      <c r="U1318" s="885">
        <f>SUM(U1292:U1317)</f>
        <v>0</v>
      </c>
      <c r="V1318" s="886">
        <f>SUM(V1292:V1317)</f>
        <v>628254752788</v>
      </c>
      <c r="W1318" s="887">
        <f>SUM(W1292:W1317)</f>
        <v>0</v>
      </c>
      <c r="X1318" s="887">
        <f>SUM(X1292:X1317)</f>
        <v>0</v>
      </c>
      <c r="Y1318" s="888"/>
      <c r="Z1318" s="1066"/>
      <c r="AA1318" s="183"/>
      <c r="AB1318" s="183"/>
      <c r="AC1318" s="183"/>
      <c r="AD1318" s="183"/>
      <c r="AE1318" s="183"/>
    </row>
    <row r="1319" spans="1:31">
      <c r="T1319" s="3" t="str">
        <f>$T$1044</f>
        <v>CA 2023</v>
      </c>
      <c r="V1319" s="412">
        <v>628254752788</v>
      </c>
      <c r="W1319" s="1067"/>
      <c r="X1319" s="1067"/>
      <c r="AA1319" s="24"/>
      <c r="AB1319" s="24"/>
      <c r="AC1319" s="24"/>
      <c r="AD1319" s="24"/>
      <c r="AE1319" s="24"/>
    </row>
    <row r="1320" spans="1:31" ht="15.75" thickBot="1">
      <c r="T1320" s="9"/>
      <c r="U1320" s="10">
        <f>+U1318-U1319</f>
        <v>0</v>
      </c>
      <c r="V1320" s="9">
        <f>+V1318-V1319</f>
        <v>0</v>
      </c>
      <c r="W1320" s="9"/>
      <c r="AA1320" s="24"/>
      <c r="AB1320" s="24"/>
      <c r="AC1320" s="24"/>
      <c r="AD1320" s="24"/>
      <c r="AE1320" s="24"/>
    </row>
    <row r="1321" spans="1:31" s="27" customFormat="1" ht="21.75" thickBot="1">
      <c r="A1321" s="1848" t="s">
        <v>1417</v>
      </c>
      <c r="B1321" s="1849"/>
      <c r="C1321" s="2558" t="s">
        <v>57</v>
      </c>
      <c r="D1321" s="2560" t="s">
        <v>59</v>
      </c>
      <c r="E1321" s="2562" t="s">
        <v>58</v>
      </c>
      <c r="F1321" s="2564" t="str">
        <f>$F$6</f>
        <v>SALDO FISCAL 31/12/2022</v>
      </c>
      <c r="G1321" s="2565"/>
      <c r="H1321" s="2565"/>
      <c r="I1321" s="2566"/>
      <c r="J1321" s="2567" t="str">
        <f>$J$6</f>
        <v>Tasa Mon Extranj</v>
      </c>
      <c r="K1321" s="2568"/>
      <c r="L1321" s="2569" t="str">
        <f>$L$6</f>
        <v>ENTRADAS</v>
      </c>
      <c r="M1321" s="2570"/>
      <c r="N1321" s="2570"/>
      <c r="O1321" s="2571"/>
      <c r="P1321" s="2572" t="str">
        <f>$P$6</f>
        <v>SALIDAS</v>
      </c>
      <c r="Q1321" s="2573"/>
      <c r="R1321" s="2573"/>
      <c r="S1321" s="2573"/>
      <c r="T1321" s="2574"/>
      <c r="U1321" s="2575" t="s">
        <v>62</v>
      </c>
      <c r="V1321" s="2576"/>
      <c r="W1321" s="2577" t="s">
        <v>63</v>
      </c>
      <c r="X1321" s="2578"/>
      <c r="Y1321" s="2579"/>
      <c r="Z1321" s="44"/>
      <c r="AA1321" s="213"/>
      <c r="AB1321" s="213"/>
      <c r="AC1321" s="213"/>
      <c r="AD1321" s="213"/>
      <c r="AE1321" s="213"/>
    </row>
    <row r="1322" spans="1:31" s="216" customFormat="1" ht="15.75" thickBot="1">
      <c r="A1322" s="855" t="s">
        <v>87</v>
      </c>
      <c r="B1322" s="856" t="s">
        <v>88</v>
      </c>
      <c r="C1322" s="2559"/>
      <c r="D1322" s="2561"/>
      <c r="E1322" s="2563"/>
      <c r="F1322" s="30" t="str">
        <f>$F$7</f>
        <v>MON/EX</v>
      </c>
      <c r="G1322" s="1249" t="str">
        <f>$G$7</f>
        <v>USD</v>
      </c>
      <c r="H1322" s="31" t="str">
        <f>$H$7</f>
        <v>TRM CIERRE</v>
      </c>
      <c r="I1322" s="32" t="str">
        <f>$I$7</f>
        <v>SALDO PESOS</v>
      </c>
      <c r="J1322" s="1423" t="str">
        <f>$J$7</f>
        <v>Inicial</v>
      </c>
      <c r="K1322" s="1338" t="str">
        <f>$K$7</f>
        <v>Pago</v>
      </c>
      <c r="L1322" s="33" t="str">
        <f>$L$7</f>
        <v>ENTRADAS MON/EX</v>
      </c>
      <c r="M1322" s="1297" t="str">
        <f>$M$7</f>
        <v>USD</v>
      </c>
      <c r="N1322" s="34" t="str">
        <f>$N$7</f>
        <v>TRM INICIAL</v>
      </c>
      <c r="O1322" s="35" t="str">
        <f>$O$7</f>
        <v>ENTRADAS PESOS</v>
      </c>
      <c r="P1322" s="36" t="str">
        <f>$P$7</f>
        <v>PAGOS MON/EX</v>
      </c>
      <c r="Q1322" s="1338" t="str">
        <f>$Q$7</f>
        <v>USD</v>
      </c>
      <c r="R1322" s="37" t="str">
        <f>$R$7</f>
        <v>TRM INICIAL</v>
      </c>
      <c r="S1322" s="37" t="str">
        <f>$S$7</f>
        <v>TRM PAGO</v>
      </c>
      <c r="T1322" s="38" t="str">
        <f>$T$7</f>
        <v>PAGO EN PESOS</v>
      </c>
      <c r="U1322" s="39" t="str">
        <f>$U$7</f>
        <v xml:space="preserve"> SALDO MON/EX</v>
      </c>
      <c r="V1322" s="40" t="str">
        <f>$V$7</f>
        <v>SALDO  PESOS</v>
      </c>
      <c r="W1322" s="41" t="str">
        <f>$W$7</f>
        <v>GASTO</v>
      </c>
      <c r="X1322" s="42" t="str">
        <f>$X$7</f>
        <v>INGRESO</v>
      </c>
      <c r="Y1322" s="43"/>
      <c r="Z1322" s="214"/>
      <c r="AA1322" s="215"/>
      <c r="AB1322" s="215"/>
      <c r="AC1322" s="215"/>
      <c r="AD1322" s="215"/>
      <c r="AE1322" s="215"/>
    </row>
    <row r="1323" spans="1:31" ht="15.75">
      <c r="A1323" s="961">
        <v>2309011000</v>
      </c>
      <c r="B1323" s="962" t="s">
        <v>1418</v>
      </c>
      <c r="C1323" s="963" t="s">
        <v>106</v>
      </c>
      <c r="D1323" s="963"/>
      <c r="E1323" s="46">
        <v>44910</v>
      </c>
      <c r="F1323" s="964"/>
      <c r="G1323" s="1250"/>
      <c r="H1323" s="47"/>
      <c r="I1323" s="1434">
        <v>252366920000</v>
      </c>
      <c r="J1323" s="776"/>
      <c r="K1323" s="774"/>
      <c r="L1323" s="1298"/>
      <c r="M1323" s="1298"/>
      <c r="N1323" s="47"/>
      <c r="O1323" s="50">
        <f>+L1323*N1323</f>
        <v>0</v>
      </c>
      <c r="P1323" s="51"/>
      <c r="Q1323" s="1250"/>
      <c r="R1323" s="47"/>
      <c r="S1323" s="47"/>
      <c r="T1323" s="965">
        <f>+P1323*S1323</f>
        <v>0</v>
      </c>
      <c r="U1323" s="295"/>
      <c r="V1323" s="50">
        <f>+I1323+O1323+T1323</f>
        <v>252366920000</v>
      </c>
      <c r="W1323" s="296"/>
      <c r="X1323" s="297"/>
      <c r="Y1323" s="298"/>
      <c r="AA1323" s="24"/>
      <c r="AB1323" s="24"/>
      <c r="AC1323" s="24"/>
      <c r="AD1323" s="24"/>
      <c r="AE1323" s="24"/>
    </row>
    <row r="1324" spans="1:31" s="302" customFormat="1" outlineLevel="1">
      <c r="A1324" s="979">
        <v>2309011000</v>
      </c>
      <c r="B1324" s="980" t="s">
        <v>123</v>
      </c>
      <c r="C1324" s="981" t="s">
        <v>106</v>
      </c>
      <c r="D1324" s="304"/>
      <c r="E1324" s="303"/>
      <c r="F1324" s="305"/>
      <c r="G1324" s="1285"/>
      <c r="H1324" s="306"/>
      <c r="I1324" s="1435">
        <f>+F1324*H1324</f>
        <v>0</v>
      </c>
      <c r="J1324" s="1439"/>
      <c r="K1324" s="1440"/>
      <c r="L1324" s="1122"/>
      <c r="M1324" s="1122"/>
      <c r="N1324" s="1110"/>
      <c r="O1324" s="307">
        <f>+L1324*N1324</f>
        <v>0</v>
      </c>
      <c r="P1324" s="308"/>
      <c r="Q1324" s="1353"/>
      <c r="R1324" s="309"/>
      <c r="S1324" s="309"/>
      <c r="T1324" s="1114">
        <f>+P1324*R1324</f>
        <v>0</v>
      </c>
      <c r="U1324" s="1115"/>
      <c r="V1324" s="310">
        <f>+I1324+T1324+O1324</f>
        <v>0</v>
      </c>
      <c r="W1324" s="311"/>
      <c r="X1324" s="312"/>
      <c r="Y1324" s="313"/>
      <c r="Z1324" s="1065"/>
      <c r="AA1324" s="24"/>
      <c r="AB1324" s="24"/>
      <c r="AC1324" s="24"/>
      <c r="AD1324" s="24"/>
      <c r="AE1324" s="24"/>
    </row>
    <row r="1325" spans="1:31" s="302" customFormat="1" outlineLevel="1">
      <c r="A1325" s="314"/>
      <c r="B1325" s="315"/>
      <c r="C1325" s="304"/>
      <c r="D1325" s="304"/>
      <c r="E1325" s="303"/>
      <c r="F1325" s="305"/>
      <c r="G1325" s="1285"/>
      <c r="H1325" s="306"/>
      <c r="I1325" s="1435">
        <f>+F1325*H1325</f>
        <v>0</v>
      </c>
      <c r="J1325" s="1439"/>
      <c r="K1325" s="1440"/>
      <c r="L1325" s="1122"/>
      <c r="M1325" s="1122"/>
      <c r="N1325" s="1110"/>
      <c r="O1325" s="307"/>
      <c r="P1325" s="308"/>
      <c r="Q1325" s="1353"/>
      <c r="R1325" s="309"/>
      <c r="S1325" s="309"/>
      <c r="T1325" s="1114"/>
      <c r="U1325" s="1115"/>
      <c r="V1325" s="310"/>
      <c r="W1325" s="311"/>
      <c r="X1325" s="312"/>
      <c r="Y1325" s="313"/>
      <c r="Z1325" s="1065"/>
      <c r="AA1325" s="24"/>
      <c r="AB1325" s="24"/>
      <c r="AC1325" s="24"/>
      <c r="AD1325" s="24"/>
      <c r="AE1325" s="24"/>
    </row>
    <row r="1326" spans="1:31" ht="15.75">
      <c r="A1326" s="961">
        <v>2422091000</v>
      </c>
      <c r="B1326" s="962" t="s">
        <v>77</v>
      </c>
      <c r="C1326" s="963" t="s">
        <v>106</v>
      </c>
      <c r="D1326" s="963"/>
      <c r="E1326" s="46">
        <v>44926</v>
      </c>
      <c r="F1326" s="964"/>
      <c r="G1326" s="1250"/>
      <c r="H1326" s="47"/>
      <c r="I1326" s="1434">
        <v>998111169</v>
      </c>
      <c r="J1326" s="968"/>
      <c r="K1326" s="965"/>
      <c r="L1326" s="1298"/>
      <c r="M1326" s="1298"/>
      <c r="N1326" s="47"/>
      <c r="O1326" s="50"/>
      <c r="P1326" s="317"/>
      <c r="Q1326" s="1354"/>
      <c r="R1326" s="318"/>
      <c r="S1326" s="318"/>
      <c r="T1326" s="48"/>
      <c r="U1326" s="319"/>
      <c r="V1326" s="50">
        <f t="shared" ref="V1326:V1350" si="2661">+I1326+O1326+T1326</f>
        <v>998111169</v>
      </c>
      <c r="W1326" s="296"/>
      <c r="X1326" s="297"/>
      <c r="Y1326" s="298"/>
      <c r="AA1326" s="24"/>
      <c r="AB1326" s="24"/>
      <c r="AC1326" s="24"/>
      <c r="AD1326" s="24"/>
      <c r="AE1326" s="24"/>
    </row>
    <row r="1327" spans="1:31" outlineLevel="1">
      <c r="A1327" s="55">
        <v>2422091000</v>
      </c>
      <c r="B1327" s="509" t="s">
        <v>110</v>
      </c>
      <c r="C1327" s="679" t="s">
        <v>106</v>
      </c>
      <c r="D1327" s="680"/>
      <c r="E1327" s="219">
        <v>44957</v>
      </c>
      <c r="F1327" s="416"/>
      <c r="G1327" s="1251"/>
      <c r="H1327" s="676"/>
      <c r="I1327" s="677"/>
      <c r="J1327" s="1431"/>
      <c r="K1327" s="1432"/>
      <c r="L1327" s="1320"/>
      <c r="M1327" s="1320"/>
      <c r="N1327" s="866"/>
      <c r="O1327" s="682">
        <v>3437938469</v>
      </c>
      <c r="P1327" s="470"/>
      <c r="Q1327" s="1355"/>
      <c r="R1327" s="862"/>
      <c r="S1327" s="862"/>
      <c r="T1327" s="562">
        <f t="shared" ref="T1327:T1342" si="2662">+P1327*S1327</f>
        <v>0</v>
      </c>
      <c r="U1327" s="472"/>
      <c r="V1327" s="517">
        <f t="shared" si="2661"/>
        <v>3437938469</v>
      </c>
      <c r="W1327" s="976">
        <f t="shared" ref="W1327:W1347" si="2663">-(IF(R1327&lt;S1327,(-P1327*R1327)-(-P1327*S1327),0))</f>
        <v>0</v>
      </c>
      <c r="X1327" s="975">
        <f t="shared" ref="X1327:X1347" si="2664">-(IF(R1327&gt;S1327,(-P1327*R1327)-(-P1327*S1327),0))</f>
        <v>0</v>
      </c>
      <c r="Y1327" s="519"/>
      <c r="AA1327" s="24"/>
      <c r="AB1327" s="24"/>
      <c r="AC1327" s="24"/>
      <c r="AD1327" s="24"/>
      <c r="AE1327" s="24"/>
    </row>
    <row r="1328" spans="1:31" outlineLevel="1">
      <c r="A1328" s="55">
        <v>2422091000</v>
      </c>
      <c r="B1328" s="509" t="s">
        <v>111</v>
      </c>
      <c r="C1328" s="679" t="s">
        <v>106</v>
      </c>
      <c r="D1328" s="680"/>
      <c r="E1328" s="219">
        <v>44985</v>
      </c>
      <c r="F1328" s="416"/>
      <c r="G1328" s="1251"/>
      <c r="H1328" s="676"/>
      <c r="I1328" s="677"/>
      <c r="J1328" s="1431"/>
      <c r="K1328" s="1432"/>
      <c r="L1328" s="1320"/>
      <c r="M1328" s="1320"/>
      <c r="N1328" s="866"/>
      <c r="O1328" s="682">
        <v>3105234747</v>
      </c>
      <c r="P1328" s="470"/>
      <c r="Q1328" s="1355"/>
      <c r="R1328" s="862"/>
      <c r="S1328" s="862"/>
      <c r="T1328" s="562">
        <f t="shared" si="2662"/>
        <v>0</v>
      </c>
      <c r="U1328" s="472"/>
      <c r="V1328" s="517">
        <f t="shared" si="2661"/>
        <v>3105234747</v>
      </c>
      <c r="W1328" s="976">
        <f t="shared" si="2663"/>
        <v>0</v>
      </c>
      <c r="X1328" s="975">
        <f t="shared" si="2664"/>
        <v>0</v>
      </c>
      <c r="Y1328" s="519"/>
      <c r="AA1328" s="24"/>
      <c r="AB1328" s="24"/>
      <c r="AC1328" s="24"/>
      <c r="AD1328" s="24"/>
      <c r="AE1328" s="24"/>
    </row>
    <row r="1329" spans="1:31" outlineLevel="1">
      <c r="A1329" s="55">
        <v>2422091000</v>
      </c>
      <c r="B1329" s="509" t="s">
        <v>112</v>
      </c>
      <c r="C1329" s="679" t="s">
        <v>106</v>
      </c>
      <c r="D1329" s="680"/>
      <c r="E1329" s="219">
        <v>45012</v>
      </c>
      <c r="F1329" s="416"/>
      <c r="G1329" s="1251"/>
      <c r="H1329" s="676"/>
      <c r="I1329" s="677"/>
      <c r="J1329" s="1431"/>
      <c r="K1329" s="1432"/>
      <c r="L1329" s="1320"/>
      <c r="M1329" s="1320"/>
      <c r="N1329" s="866"/>
      <c r="O1329" s="682">
        <v>2994333506</v>
      </c>
      <c r="P1329" s="470"/>
      <c r="Q1329" s="1355"/>
      <c r="R1329" s="862"/>
      <c r="S1329" s="862"/>
      <c r="T1329" s="562">
        <f t="shared" si="2662"/>
        <v>0</v>
      </c>
      <c r="U1329" s="472"/>
      <c r="V1329" s="517">
        <f t="shared" si="2661"/>
        <v>2994333506</v>
      </c>
      <c r="W1329" s="976">
        <f t="shared" si="2663"/>
        <v>0</v>
      </c>
      <c r="X1329" s="975">
        <f t="shared" si="2664"/>
        <v>0</v>
      </c>
      <c r="Y1329" s="519"/>
      <c r="AA1329" s="24"/>
      <c r="AB1329" s="24"/>
      <c r="AC1329" s="24"/>
      <c r="AD1329" s="24"/>
      <c r="AE1329" s="24"/>
    </row>
    <row r="1330" spans="1:31" outlineLevel="1">
      <c r="A1330" s="55">
        <v>2422091000</v>
      </c>
      <c r="B1330" s="509" t="s">
        <v>112</v>
      </c>
      <c r="C1330" s="679" t="s">
        <v>106</v>
      </c>
      <c r="D1330" s="680"/>
      <c r="E1330" s="219">
        <v>45016</v>
      </c>
      <c r="F1330" s="416"/>
      <c r="G1330" s="1251"/>
      <c r="H1330" s="676"/>
      <c r="I1330" s="677"/>
      <c r="J1330" s="1431"/>
      <c r="K1330" s="1432"/>
      <c r="L1330" s="1320"/>
      <c r="M1330" s="1320"/>
      <c r="N1330" s="866"/>
      <c r="O1330" s="682">
        <v>461551056</v>
      </c>
      <c r="P1330" s="470"/>
      <c r="Q1330" s="1355"/>
      <c r="R1330" s="862"/>
      <c r="S1330" s="862"/>
      <c r="T1330" s="562">
        <f t="shared" si="2662"/>
        <v>0</v>
      </c>
      <c r="U1330" s="472"/>
      <c r="V1330" s="517">
        <f t="shared" si="2661"/>
        <v>461551056</v>
      </c>
      <c r="W1330" s="976">
        <f t="shared" si="2663"/>
        <v>0</v>
      </c>
      <c r="X1330" s="975">
        <f t="shared" si="2664"/>
        <v>0</v>
      </c>
      <c r="Y1330" s="519"/>
      <c r="AA1330" s="24"/>
      <c r="AB1330" s="24"/>
      <c r="AC1330" s="24"/>
      <c r="AD1330" s="24"/>
      <c r="AE1330" s="24"/>
    </row>
    <row r="1331" spans="1:31" outlineLevel="1">
      <c r="A1331" s="55">
        <v>2422091000</v>
      </c>
      <c r="B1331" s="509" t="s">
        <v>113</v>
      </c>
      <c r="C1331" s="679" t="s">
        <v>106</v>
      </c>
      <c r="D1331" s="680"/>
      <c r="E1331" s="219">
        <v>45046</v>
      </c>
      <c r="F1331" s="416"/>
      <c r="G1331" s="1251"/>
      <c r="H1331" s="676"/>
      <c r="I1331" s="677"/>
      <c r="J1331" s="1431"/>
      <c r="K1331" s="1432"/>
      <c r="L1331" s="1320"/>
      <c r="M1331" s="1320"/>
      <c r="N1331" s="866"/>
      <c r="O1331" s="682">
        <v>3461632919</v>
      </c>
      <c r="P1331" s="470"/>
      <c r="Q1331" s="1355"/>
      <c r="R1331" s="862"/>
      <c r="S1331" s="862"/>
      <c r="T1331" s="562">
        <f t="shared" si="2662"/>
        <v>0</v>
      </c>
      <c r="U1331" s="472"/>
      <c r="V1331" s="517">
        <f t="shared" si="2661"/>
        <v>3461632919</v>
      </c>
      <c r="W1331" s="976">
        <f t="shared" si="2663"/>
        <v>0</v>
      </c>
      <c r="X1331" s="975">
        <f t="shared" si="2664"/>
        <v>0</v>
      </c>
      <c r="Y1331" s="519"/>
      <c r="AA1331" s="24"/>
      <c r="AB1331" s="24"/>
      <c r="AC1331" s="24"/>
      <c r="AD1331" s="24"/>
      <c r="AE1331" s="24"/>
    </row>
    <row r="1332" spans="1:31" outlineLevel="1">
      <c r="A1332" s="55">
        <v>2422091000</v>
      </c>
      <c r="B1332" s="509" t="s">
        <v>114</v>
      </c>
      <c r="C1332" s="679" t="s">
        <v>106</v>
      </c>
      <c r="D1332" s="680"/>
      <c r="E1332" s="219">
        <v>45077</v>
      </c>
      <c r="F1332" s="416"/>
      <c r="G1332" s="1251"/>
      <c r="H1332" s="676"/>
      <c r="I1332" s="677"/>
      <c r="J1332" s="1431"/>
      <c r="K1332" s="1432"/>
      <c r="L1332" s="1320"/>
      <c r="M1332" s="1320"/>
      <c r="N1332" s="866"/>
      <c r="O1332" s="682"/>
      <c r="P1332" s="470"/>
      <c r="Q1332" s="1355"/>
      <c r="R1332" s="862"/>
      <c r="S1332" s="862"/>
      <c r="T1332" s="562">
        <f t="shared" si="2662"/>
        <v>0</v>
      </c>
      <c r="U1332" s="472"/>
      <c r="V1332" s="517">
        <f t="shared" si="2661"/>
        <v>0</v>
      </c>
      <c r="W1332" s="976">
        <f t="shared" si="2663"/>
        <v>0</v>
      </c>
      <c r="X1332" s="975">
        <f t="shared" si="2664"/>
        <v>0</v>
      </c>
      <c r="Y1332" s="519"/>
      <c r="AA1332" s="24"/>
      <c r="AB1332" s="24"/>
      <c r="AC1332" s="24"/>
      <c r="AD1332" s="24"/>
      <c r="AE1332" s="24"/>
    </row>
    <row r="1333" spans="1:31" outlineLevel="1">
      <c r="A1333" s="55">
        <v>2422091000</v>
      </c>
      <c r="B1333" s="509" t="s">
        <v>115</v>
      </c>
      <c r="C1333" s="679" t="s">
        <v>106</v>
      </c>
      <c r="D1333" s="680"/>
      <c r="E1333" s="219">
        <v>45085</v>
      </c>
      <c r="F1333" s="416"/>
      <c r="G1333" s="1251"/>
      <c r="H1333" s="676"/>
      <c r="I1333" s="677"/>
      <c r="J1333" s="1431"/>
      <c r="K1333" s="1432"/>
      <c r="L1333" s="1320"/>
      <c r="M1333" s="1320"/>
      <c r="N1333" s="866"/>
      <c r="O1333" s="682"/>
      <c r="P1333" s="470"/>
      <c r="Q1333" s="1355"/>
      <c r="R1333" s="862"/>
      <c r="S1333" s="862"/>
      <c r="T1333" s="562">
        <f t="shared" si="2662"/>
        <v>0</v>
      </c>
      <c r="U1333" s="472"/>
      <c r="V1333" s="517">
        <f t="shared" si="2661"/>
        <v>0</v>
      </c>
      <c r="W1333" s="976">
        <f t="shared" si="2663"/>
        <v>0</v>
      </c>
      <c r="X1333" s="975">
        <f t="shared" si="2664"/>
        <v>0</v>
      </c>
      <c r="Y1333" s="519"/>
      <c r="AA1333" s="24"/>
      <c r="AB1333" s="24"/>
      <c r="AC1333" s="24"/>
      <c r="AD1333" s="24"/>
      <c r="AE1333" s="24"/>
    </row>
    <row r="1334" spans="1:31" outlineLevel="1">
      <c r="A1334" s="55">
        <v>2422091000</v>
      </c>
      <c r="B1334" s="509" t="s">
        <v>115</v>
      </c>
      <c r="C1334" s="679" t="s">
        <v>106</v>
      </c>
      <c r="D1334" s="680"/>
      <c r="E1334" s="219">
        <v>45107</v>
      </c>
      <c r="F1334" s="416"/>
      <c r="G1334" s="1251"/>
      <c r="H1334" s="676"/>
      <c r="I1334" s="677"/>
      <c r="J1334" s="1431"/>
      <c r="K1334" s="1432"/>
      <c r="L1334" s="1320"/>
      <c r="M1334" s="1320"/>
      <c r="N1334" s="866"/>
      <c r="O1334" s="682"/>
      <c r="P1334" s="470"/>
      <c r="Q1334" s="1355"/>
      <c r="R1334" s="862"/>
      <c r="S1334" s="862"/>
      <c r="T1334" s="562">
        <f t="shared" si="2662"/>
        <v>0</v>
      </c>
      <c r="U1334" s="472"/>
      <c r="V1334" s="517">
        <f t="shared" si="2661"/>
        <v>0</v>
      </c>
      <c r="W1334" s="976">
        <f t="shared" si="2663"/>
        <v>0</v>
      </c>
      <c r="X1334" s="975">
        <f t="shared" si="2664"/>
        <v>0</v>
      </c>
      <c r="Y1334" s="519"/>
      <c r="AA1334" s="24"/>
      <c r="AB1334" s="24"/>
      <c r="AC1334" s="24"/>
      <c r="AD1334" s="24"/>
      <c r="AE1334" s="24"/>
    </row>
    <row r="1335" spans="1:31" outlineLevel="1">
      <c r="A1335" s="55">
        <v>2422091000</v>
      </c>
      <c r="B1335" s="509" t="s">
        <v>116</v>
      </c>
      <c r="C1335" s="679" t="s">
        <v>106</v>
      </c>
      <c r="D1335" s="680"/>
      <c r="E1335" s="219">
        <v>45138</v>
      </c>
      <c r="F1335" s="416"/>
      <c r="G1335" s="1251"/>
      <c r="H1335" s="676"/>
      <c r="I1335" s="677"/>
      <c r="J1335" s="1431"/>
      <c r="K1335" s="1432"/>
      <c r="L1335" s="1320"/>
      <c r="M1335" s="1320"/>
      <c r="N1335" s="866"/>
      <c r="O1335" s="682"/>
      <c r="P1335" s="470"/>
      <c r="Q1335" s="1355"/>
      <c r="R1335" s="862"/>
      <c r="S1335" s="862"/>
      <c r="T1335" s="562">
        <f t="shared" si="2662"/>
        <v>0</v>
      </c>
      <c r="U1335" s="472"/>
      <c r="V1335" s="517">
        <f t="shared" si="2661"/>
        <v>0</v>
      </c>
      <c r="W1335" s="976">
        <f t="shared" si="2663"/>
        <v>0</v>
      </c>
      <c r="X1335" s="975">
        <f t="shared" si="2664"/>
        <v>0</v>
      </c>
      <c r="Y1335" s="519"/>
      <c r="AA1335" s="24"/>
      <c r="AB1335" s="24"/>
      <c r="AC1335" s="24"/>
      <c r="AD1335" s="24"/>
      <c r="AE1335" s="24"/>
    </row>
    <row r="1336" spans="1:31" outlineLevel="1">
      <c r="A1336" s="55">
        <v>2422091000</v>
      </c>
      <c r="B1336" s="509" t="s">
        <v>117</v>
      </c>
      <c r="C1336" s="679" t="s">
        <v>106</v>
      </c>
      <c r="D1336" s="680"/>
      <c r="E1336" s="219">
        <v>45169</v>
      </c>
      <c r="F1336" s="416"/>
      <c r="G1336" s="1251"/>
      <c r="H1336" s="676"/>
      <c r="I1336" s="677"/>
      <c r="J1336" s="1431"/>
      <c r="K1336" s="1432"/>
      <c r="L1336" s="1320"/>
      <c r="M1336" s="1320"/>
      <c r="N1336" s="866"/>
      <c r="O1336" s="682"/>
      <c r="P1336" s="470"/>
      <c r="Q1336" s="1355"/>
      <c r="R1336" s="862"/>
      <c r="S1336" s="862"/>
      <c r="T1336" s="562">
        <f t="shared" si="2662"/>
        <v>0</v>
      </c>
      <c r="U1336" s="472"/>
      <c r="V1336" s="517">
        <f t="shared" si="2661"/>
        <v>0</v>
      </c>
      <c r="W1336" s="976">
        <f t="shared" si="2663"/>
        <v>0</v>
      </c>
      <c r="X1336" s="975">
        <f t="shared" si="2664"/>
        <v>0</v>
      </c>
      <c r="Y1336" s="519"/>
      <c r="AA1336" s="24"/>
      <c r="AB1336" s="24"/>
      <c r="AC1336" s="24"/>
      <c r="AD1336" s="24"/>
      <c r="AE1336" s="24"/>
    </row>
    <row r="1337" spans="1:31" outlineLevel="1">
      <c r="A1337" s="55">
        <v>2422091000</v>
      </c>
      <c r="B1337" s="509" t="s">
        <v>118</v>
      </c>
      <c r="C1337" s="679" t="s">
        <v>106</v>
      </c>
      <c r="D1337" s="680"/>
      <c r="E1337" s="219">
        <v>45177</v>
      </c>
      <c r="F1337" s="416"/>
      <c r="G1337" s="1251"/>
      <c r="H1337" s="676"/>
      <c r="I1337" s="677"/>
      <c r="J1337" s="1431"/>
      <c r="K1337" s="1432"/>
      <c r="L1337" s="1320"/>
      <c r="M1337" s="1320"/>
      <c r="N1337" s="866"/>
      <c r="O1337" s="682"/>
      <c r="P1337" s="470"/>
      <c r="Q1337" s="1355"/>
      <c r="R1337" s="862"/>
      <c r="S1337" s="862"/>
      <c r="T1337" s="562">
        <f t="shared" si="2662"/>
        <v>0</v>
      </c>
      <c r="U1337" s="472"/>
      <c r="V1337" s="517">
        <f t="shared" si="2661"/>
        <v>0</v>
      </c>
      <c r="W1337" s="976">
        <f t="shared" si="2663"/>
        <v>0</v>
      </c>
      <c r="X1337" s="975">
        <f t="shared" si="2664"/>
        <v>0</v>
      </c>
      <c r="Y1337" s="519"/>
      <c r="AA1337" s="24"/>
      <c r="AB1337" s="24"/>
      <c r="AC1337" s="24"/>
      <c r="AD1337" s="24"/>
      <c r="AE1337" s="24"/>
    </row>
    <row r="1338" spans="1:31" outlineLevel="1">
      <c r="A1338" s="55">
        <v>2422091000</v>
      </c>
      <c r="B1338" s="509" t="s">
        <v>118</v>
      </c>
      <c r="C1338" s="679" t="s">
        <v>106</v>
      </c>
      <c r="D1338" s="680"/>
      <c r="E1338" s="219">
        <v>45199</v>
      </c>
      <c r="F1338" s="416"/>
      <c r="G1338" s="1251"/>
      <c r="H1338" s="676"/>
      <c r="I1338" s="677"/>
      <c r="J1338" s="1431"/>
      <c r="K1338" s="1432"/>
      <c r="L1338" s="1320"/>
      <c r="M1338" s="1320"/>
      <c r="N1338" s="866"/>
      <c r="O1338" s="682"/>
      <c r="P1338" s="470"/>
      <c r="Q1338" s="1355"/>
      <c r="R1338" s="862"/>
      <c r="S1338" s="862"/>
      <c r="T1338" s="562">
        <f t="shared" si="2662"/>
        <v>0</v>
      </c>
      <c r="U1338" s="472"/>
      <c r="V1338" s="517">
        <f t="shared" si="2661"/>
        <v>0</v>
      </c>
      <c r="W1338" s="976">
        <f t="shared" si="2663"/>
        <v>0</v>
      </c>
      <c r="X1338" s="975">
        <f t="shared" si="2664"/>
        <v>0</v>
      </c>
      <c r="Y1338" s="519"/>
      <c r="AA1338" s="24"/>
      <c r="AB1338" s="24"/>
      <c r="AC1338" s="24"/>
      <c r="AD1338" s="24"/>
      <c r="AE1338" s="24"/>
    </row>
    <row r="1339" spans="1:31" outlineLevel="1">
      <c r="A1339" s="55">
        <v>2422091000</v>
      </c>
      <c r="B1339" s="509" t="s">
        <v>119</v>
      </c>
      <c r="C1339" s="679" t="s">
        <v>106</v>
      </c>
      <c r="D1339" s="680"/>
      <c r="E1339" s="219">
        <v>45230</v>
      </c>
      <c r="F1339" s="416"/>
      <c r="G1339" s="1251"/>
      <c r="H1339" s="676"/>
      <c r="I1339" s="677"/>
      <c r="J1339" s="1431"/>
      <c r="K1339" s="1432"/>
      <c r="L1339" s="1320"/>
      <c r="M1339" s="1320"/>
      <c r="N1339" s="866"/>
      <c r="O1339" s="682"/>
      <c r="P1339" s="470"/>
      <c r="Q1339" s="1355"/>
      <c r="R1339" s="862"/>
      <c r="S1339" s="862"/>
      <c r="T1339" s="562">
        <f t="shared" si="2662"/>
        <v>0</v>
      </c>
      <c r="U1339" s="472"/>
      <c r="V1339" s="517">
        <f t="shared" si="2661"/>
        <v>0</v>
      </c>
      <c r="W1339" s="976">
        <f t="shared" si="2663"/>
        <v>0</v>
      </c>
      <c r="X1339" s="975">
        <f t="shared" si="2664"/>
        <v>0</v>
      </c>
      <c r="Y1339" s="519"/>
      <c r="AA1339" s="24"/>
      <c r="AB1339" s="24"/>
      <c r="AC1339" s="24"/>
      <c r="AD1339" s="24"/>
      <c r="AE1339" s="24"/>
    </row>
    <row r="1340" spans="1:31" outlineLevel="1">
      <c r="A1340" s="55">
        <v>2422091000</v>
      </c>
      <c r="B1340" s="509" t="s">
        <v>120</v>
      </c>
      <c r="C1340" s="679" t="s">
        <v>106</v>
      </c>
      <c r="D1340" s="680"/>
      <c r="E1340" s="219">
        <v>45260</v>
      </c>
      <c r="F1340" s="416"/>
      <c r="G1340" s="1251"/>
      <c r="H1340" s="676"/>
      <c r="I1340" s="677"/>
      <c r="J1340" s="1431"/>
      <c r="K1340" s="1432"/>
      <c r="L1340" s="1320"/>
      <c r="M1340" s="1320"/>
      <c r="N1340" s="866"/>
      <c r="O1340" s="682"/>
      <c r="P1340" s="470"/>
      <c r="Q1340" s="1355"/>
      <c r="R1340" s="862"/>
      <c r="S1340" s="862"/>
      <c r="T1340" s="562">
        <f t="shared" si="2662"/>
        <v>0</v>
      </c>
      <c r="U1340" s="472"/>
      <c r="V1340" s="517">
        <f t="shared" si="2661"/>
        <v>0</v>
      </c>
      <c r="W1340" s="976">
        <f t="shared" si="2663"/>
        <v>0</v>
      </c>
      <c r="X1340" s="975">
        <f t="shared" si="2664"/>
        <v>0</v>
      </c>
      <c r="Y1340" s="519"/>
      <c r="AA1340" s="24"/>
      <c r="AB1340" s="24"/>
      <c r="AC1340" s="24"/>
      <c r="AD1340" s="24"/>
      <c r="AE1340" s="24"/>
    </row>
    <row r="1341" spans="1:31" outlineLevel="1">
      <c r="A1341" s="55">
        <v>2422091000</v>
      </c>
      <c r="B1341" s="509" t="s">
        <v>121</v>
      </c>
      <c r="C1341" s="679" t="s">
        <v>106</v>
      </c>
      <c r="D1341" s="680"/>
      <c r="E1341" s="219">
        <v>45266</v>
      </c>
      <c r="F1341" s="416"/>
      <c r="G1341" s="1251"/>
      <c r="H1341" s="676"/>
      <c r="I1341" s="677"/>
      <c r="J1341" s="1431"/>
      <c r="K1341" s="1432"/>
      <c r="L1341" s="1320"/>
      <c r="M1341" s="1320"/>
      <c r="N1341" s="866"/>
      <c r="O1341" s="682"/>
      <c r="P1341" s="470"/>
      <c r="Q1341" s="1355"/>
      <c r="R1341" s="862"/>
      <c r="S1341" s="862"/>
      <c r="T1341" s="562">
        <f t="shared" si="2662"/>
        <v>0</v>
      </c>
      <c r="U1341" s="472"/>
      <c r="V1341" s="517">
        <f t="shared" si="2661"/>
        <v>0</v>
      </c>
      <c r="W1341" s="976">
        <f t="shared" si="2663"/>
        <v>0</v>
      </c>
      <c r="X1341" s="975">
        <f t="shared" si="2664"/>
        <v>0</v>
      </c>
      <c r="Y1341" s="519"/>
      <c r="AA1341" s="24"/>
      <c r="AB1341" s="24"/>
      <c r="AC1341" s="24"/>
      <c r="AD1341" s="24"/>
      <c r="AE1341" s="24"/>
    </row>
    <row r="1342" spans="1:31" outlineLevel="1">
      <c r="A1342" s="55">
        <v>2422091000</v>
      </c>
      <c r="B1342" s="509" t="s">
        <v>121</v>
      </c>
      <c r="C1342" s="679" t="s">
        <v>106</v>
      </c>
      <c r="D1342" s="680"/>
      <c r="E1342" s="219">
        <v>45291</v>
      </c>
      <c r="F1342" s="416"/>
      <c r="G1342" s="1251"/>
      <c r="H1342" s="676"/>
      <c r="I1342" s="677"/>
      <c r="J1342" s="1431"/>
      <c r="K1342" s="1432"/>
      <c r="L1342" s="1320"/>
      <c r="M1342" s="1320"/>
      <c r="N1342" s="866"/>
      <c r="O1342" s="682">
        <v>0</v>
      </c>
      <c r="P1342" s="470"/>
      <c r="Q1342" s="1355"/>
      <c r="R1342" s="862"/>
      <c r="S1342" s="862"/>
      <c r="T1342" s="562">
        <f t="shared" si="2662"/>
        <v>0</v>
      </c>
      <c r="U1342" s="472"/>
      <c r="V1342" s="517">
        <f t="shared" si="2661"/>
        <v>0</v>
      </c>
      <c r="W1342" s="976">
        <f t="shared" si="2663"/>
        <v>0</v>
      </c>
      <c r="X1342" s="975">
        <f t="shared" si="2664"/>
        <v>0</v>
      </c>
      <c r="Y1342" s="519"/>
      <c r="AA1342" s="24"/>
      <c r="AB1342" s="24"/>
      <c r="AC1342" s="24"/>
      <c r="AD1342" s="24"/>
      <c r="AE1342" s="24"/>
    </row>
    <row r="1343" spans="1:31" outlineLevel="1">
      <c r="A1343" s="55"/>
      <c r="B1343" s="509"/>
      <c r="C1343" s="679"/>
      <c r="D1343" s="680"/>
      <c r="E1343" s="219"/>
      <c r="F1343" s="416"/>
      <c r="G1343" s="1251"/>
      <c r="H1343" s="676"/>
      <c r="I1343" s="677"/>
      <c r="J1343" s="1431"/>
      <c r="K1343" s="1432"/>
      <c r="L1343" s="1320"/>
      <c r="M1343" s="1320"/>
      <c r="N1343" s="866"/>
      <c r="O1343" s="682"/>
      <c r="P1343" s="470"/>
      <c r="Q1343" s="1355"/>
      <c r="R1343" s="862"/>
      <c r="S1343" s="862"/>
      <c r="T1343" s="562"/>
      <c r="U1343" s="472"/>
      <c r="V1343" s="517">
        <f t="shared" si="2661"/>
        <v>0</v>
      </c>
      <c r="W1343" s="976">
        <f t="shared" si="2663"/>
        <v>0</v>
      </c>
      <c r="X1343" s="975">
        <f t="shared" si="2664"/>
        <v>0</v>
      </c>
      <c r="Y1343" s="519"/>
      <c r="AA1343" s="24"/>
      <c r="AB1343" s="24"/>
      <c r="AC1343" s="24"/>
      <c r="AD1343" s="24"/>
      <c r="AE1343" s="24"/>
    </row>
    <row r="1344" spans="1:31" outlineLevel="1">
      <c r="A1344" s="258">
        <v>2422091000</v>
      </c>
      <c r="B1344" s="829" t="s">
        <v>124</v>
      </c>
      <c r="C1344" s="830" t="s">
        <v>106</v>
      </c>
      <c r="D1344" s="836"/>
      <c r="E1344" s="259"/>
      <c r="F1344" s="450"/>
      <c r="G1344" s="1277"/>
      <c r="H1344" s="832"/>
      <c r="I1344" s="1436">
        <f>+F1344*H1344</f>
        <v>0</v>
      </c>
      <c r="J1344" s="469"/>
      <c r="K1344" s="1441"/>
      <c r="L1344" s="1320"/>
      <c r="M1344" s="1320"/>
      <c r="N1344" s="866"/>
      <c r="O1344" s="835">
        <f>+L1344*N1344</f>
        <v>0</v>
      </c>
      <c r="P1344" s="473"/>
      <c r="Q1344" s="1356"/>
      <c r="R1344" s="867"/>
      <c r="S1344" s="867"/>
      <c r="T1344" s="835">
        <v>-10535617891</v>
      </c>
      <c r="U1344" s="473"/>
      <c r="V1344" s="835">
        <f t="shared" si="2661"/>
        <v>-10535617891</v>
      </c>
      <c r="W1344" s="469">
        <f t="shared" si="2663"/>
        <v>0</v>
      </c>
      <c r="X1344" s="849">
        <f t="shared" si="2664"/>
        <v>0</v>
      </c>
      <c r="Y1344" s="836"/>
      <c r="AA1344" s="24"/>
      <c r="AB1344" s="24"/>
      <c r="AC1344" s="24"/>
      <c r="AD1344" s="24"/>
      <c r="AE1344" s="24"/>
    </row>
    <row r="1345" spans="1:31" outlineLevel="1">
      <c r="A1345" s="258">
        <v>2422091000</v>
      </c>
      <c r="B1345" s="829" t="s">
        <v>124</v>
      </c>
      <c r="C1345" s="830" t="s">
        <v>106</v>
      </c>
      <c r="D1345" s="836"/>
      <c r="E1345" s="259"/>
      <c r="F1345" s="450"/>
      <c r="G1345" s="1277"/>
      <c r="H1345" s="832"/>
      <c r="I1345" s="1436">
        <f>+F1345*H1345</f>
        <v>0</v>
      </c>
      <c r="J1345" s="469"/>
      <c r="K1345" s="1441"/>
      <c r="L1345" s="1320"/>
      <c r="M1345" s="1320"/>
      <c r="N1345" s="866"/>
      <c r="O1345" s="835">
        <f>+L1345*N1345</f>
        <v>0</v>
      </c>
      <c r="P1345" s="473"/>
      <c r="Q1345" s="1356"/>
      <c r="R1345" s="867"/>
      <c r="S1345" s="867"/>
      <c r="T1345" s="835"/>
      <c r="U1345" s="473"/>
      <c r="V1345" s="835">
        <f t="shared" si="2661"/>
        <v>0</v>
      </c>
      <c r="W1345" s="469">
        <f t="shared" si="2663"/>
        <v>0</v>
      </c>
      <c r="X1345" s="849">
        <f t="shared" si="2664"/>
        <v>0</v>
      </c>
      <c r="Y1345" s="836"/>
      <c r="AA1345" s="24"/>
      <c r="AB1345" s="24"/>
      <c r="AC1345" s="24"/>
      <c r="AD1345" s="24"/>
      <c r="AE1345" s="24"/>
    </row>
    <row r="1346" spans="1:31" outlineLevel="1">
      <c r="A1346" s="258">
        <v>2422091000</v>
      </c>
      <c r="B1346" s="829" t="s">
        <v>124</v>
      </c>
      <c r="C1346" s="830" t="s">
        <v>106</v>
      </c>
      <c r="D1346" s="836"/>
      <c r="E1346" s="259"/>
      <c r="F1346" s="450"/>
      <c r="G1346" s="1277"/>
      <c r="H1346" s="832"/>
      <c r="I1346" s="1436">
        <f>+F1346*H1346</f>
        <v>0</v>
      </c>
      <c r="J1346" s="469"/>
      <c r="K1346" s="1441"/>
      <c r="L1346" s="1320"/>
      <c r="M1346" s="1320"/>
      <c r="N1346" s="866"/>
      <c r="O1346" s="835">
        <f>+L1346*N1346</f>
        <v>0</v>
      </c>
      <c r="P1346" s="473"/>
      <c r="Q1346" s="1356"/>
      <c r="R1346" s="867"/>
      <c r="S1346" s="867"/>
      <c r="T1346" s="835"/>
      <c r="U1346" s="473"/>
      <c r="V1346" s="835">
        <f t="shared" si="2661"/>
        <v>0</v>
      </c>
      <c r="W1346" s="469">
        <f t="shared" si="2663"/>
        <v>0</v>
      </c>
      <c r="X1346" s="849">
        <f t="shared" si="2664"/>
        <v>0</v>
      </c>
      <c r="Y1346" s="836"/>
      <c r="AA1346" s="24"/>
      <c r="AB1346" s="24"/>
      <c r="AC1346" s="24"/>
      <c r="AD1346" s="24"/>
      <c r="AE1346" s="24"/>
    </row>
    <row r="1347" spans="1:31" outlineLevel="1">
      <c r="A1347" s="258">
        <v>2422091000</v>
      </c>
      <c r="B1347" s="829" t="s">
        <v>124</v>
      </c>
      <c r="C1347" s="830" t="s">
        <v>106</v>
      </c>
      <c r="D1347" s="836"/>
      <c r="E1347" s="259"/>
      <c r="F1347" s="450"/>
      <c r="G1347" s="1277"/>
      <c r="H1347" s="832"/>
      <c r="I1347" s="1436">
        <f>+F1347*H1347</f>
        <v>0</v>
      </c>
      <c r="J1347" s="469"/>
      <c r="K1347" s="1441"/>
      <c r="L1347" s="1320"/>
      <c r="M1347" s="1320"/>
      <c r="N1347" s="866"/>
      <c r="O1347" s="835">
        <f>+L1347*N1347</f>
        <v>0</v>
      </c>
      <c r="P1347" s="473"/>
      <c r="Q1347" s="1356"/>
      <c r="R1347" s="867"/>
      <c r="S1347" s="867"/>
      <c r="T1347" s="835"/>
      <c r="U1347" s="473"/>
      <c r="V1347" s="835">
        <f t="shared" si="2661"/>
        <v>0</v>
      </c>
      <c r="W1347" s="469">
        <f t="shared" si="2663"/>
        <v>0</v>
      </c>
      <c r="X1347" s="849">
        <f t="shared" si="2664"/>
        <v>0</v>
      </c>
      <c r="Y1347" s="836"/>
      <c r="AA1347" s="24"/>
      <c r="AB1347" s="24"/>
      <c r="AC1347" s="24"/>
      <c r="AD1347" s="24"/>
      <c r="AE1347" s="24"/>
    </row>
    <row r="1348" spans="1:31" outlineLevel="1">
      <c r="A1348" s="55"/>
      <c r="B1348" s="509"/>
      <c r="C1348" s="510"/>
      <c r="D1348" s="510"/>
      <c r="E1348" s="219"/>
      <c r="F1348" s="416"/>
      <c r="G1348" s="1251"/>
      <c r="H1348" s="676"/>
      <c r="I1348" s="677"/>
      <c r="J1348" s="1431"/>
      <c r="K1348" s="1432"/>
      <c r="L1348" s="1320"/>
      <c r="M1348" s="1320"/>
      <c r="N1348" s="866"/>
      <c r="O1348" s="682">
        <f>+L1348*N1348</f>
        <v>0</v>
      </c>
      <c r="P1348" s="470"/>
      <c r="Q1348" s="1355"/>
      <c r="R1348" s="862"/>
      <c r="S1348" s="862"/>
      <c r="T1348" s="562"/>
      <c r="U1348" s="472"/>
      <c r="V1348" s="517">
        <f t="shared" si="2661"/>
        <v>0</v>
      </c>
      <c r="W1348" s="976"/>
      <c r="X1348" s="975"/>
      <c r="Y1348" s="519"/>
      <c r="AA1348" s="24"/>
      <c r="AB1348" s="24"/>
      <c r="AC1348" s="24"/>
      <c r="AD1348" s="24"/>
      <c r="AE1348" s="24"/>
    </row>
    <row r="1349" spans="1:31" s="290" customFormat="1" ht="15.75">
      <c r="A1349" s="278"/>
      <c r="B1349" s="279" t="s">
        <v>104</v>
      </c>
      <c r="C1349" s="280"/>
      <c r="D1349" s="282"/>
      <c r="E1349" s="281"/>
      <c r="F1349" s="283"/>
      <c r="G1349" s="1281"/>
      <c r="H1349" s="284"/>
      <c r="I1349" s="1437">
        <v>-15295158</v>
      </c>
      <c r="J1349" s="287"/>
      <c r="K1349" s="285"/>
      <c r="L1349" s="1317"/>
      <c r="M1349" s="1317"/>
      <c r="N1349" s="284"/>
      <c r="O1349" s="285"/>
      <c r="P1349" s="283"/>
      <c r="Q1349" s="1281"/>
      <c r="R1349" s="284"/>
      <c r="S1349" s="284"/>
      <c r="T1349" s="285">
        <f>-I1349</f>
        <v>15295158</v>
      </c>
      <c r="U1349" s="320"/>
      <c r="V1349" s="285">
        <f t="shared" si="2661"/>
        <v>0</v>
      </c>
      <c r="W1349" s="287"/>
      <c r="X1349" s="288"/>
      <c r="Y1349" s="282"/>
      <c r="Z1349" s="1064"/>
      <c r="AA1349" s="289"/>
      <c r="AB1349" s="289"/>
      <c r="AC1349" s="289"/>
      <c r="AD1349" s="289"/>
      <c r="AE1349" s="289"/>
    </row>
    <row r="1350" spans="1:31" s="302" customFormat="1" outlineLevel="1">
      <c r="A1350" s="979"/>
      <c r="B1350" s="980" t="s">
        <v>1473</v>
      </c>
      <c r="C1350" s="981" t="s">
        <v>106</v>
      </c>
      <c r="D1350" s="981"/>
      <c r="E1350" s="299"/>
      <c r="F1350" s="982"/>
      <c r="G1350" s="1286"/>
      <c r="H1350" s="857"/>
      <c r="I1350" s="858"/>
      <c r="J1350" s="1419"/>
      <c r="K1350" s="1420"/>
      <c r="L1350" s="1438"/>
      <c r="M1350" s="859"/>
      <c r="N1350" s="860"/>
      <c r="O1350" s="861">
        <v>-13945735</v>
      </c>
      <c r="P1350" s="321"/>
      <c r="Q1350" s="1357"/>
      <c r="R1350" s="868"/>
      <c r="S1350" s="868"/>
      <c r="T1350" s="863"/>
      <c r="U1350" s="300"/>
      <c r="V1350" s="983">
        <f t="shared" si="2661"/>
        <v>-13945735</v>
      </c>
      <c r="W1350" s="301"/>
      <c r="X1350" s="864"/>
      <c r="Y1350" s="865"/>
      <c r="Z1350" s="1065"/>
      <c r="AA1350" s="24"/>
      <c r="AB1350" s="24"/>
      <c r="AC1350" s="24"/>
      <c r="AD1350" s="24"/>
      <c r="AE1350" s="24"/>
    </row>
    <row r="1351" spans="1:31" ht="15.75" outlineLevel="1" thickBot="1">
      <c r="A1351" s="55"/>
      <c r="B1351" s="509"/>
      <c r="C1351" s="510"/>
      <c r="D1351" s="510"/>
      <c r="E1351" s="56"/>
      <c r="F1351" s="416"/>
      <c r="G1351" s="1251"/>
      <c r="H1351" s="676"/>
      <c r="I1351" s="677">
        <f>+F1351*H1351</f>
        <v>0</v>
      </c>
      <c r="J1351" s="1421"/>
      <c r="K1351" s="1422"/>
      <c r="L1351" s="1299"/>
      <c r="M1351" s="869"/>
      <c r="N1351" s="504"/>
      <c r="O1351" s="682">
        <f>+L1351*N1351</f>
        <v>0</v>
      </c>
      <c r="P1351" s="431"/>
      <c r="Q1351" s="514"/>
      <c r="R1351" s="515"/>
      <c r="S1351" s="515"/>
      <c r="T1351" s="516">
        <f>+P1351*R1351</f>
        <v>0</v>
      </c>
      <c r="U1351" s="418">
        <f>+L1351+P1351+F1351</f>
        <v>0</v>
      </c>
      <c r="V1351" s="517">
        <f>+I1351+T1351+O1351</f>
        <v>0</v>
      </c>
      <c r="W1351" s="474"/>
      <c r="X1351" s="870"/>
      <c r="Y1351" s="871"/>
      <c r="AA1351" s="24"/>
      <c r="AB1351" s="24"/>
      <c r="AC1351" s="24"/>
      <c r="AD1351" s="24"/>
      <c r="AE1351" s="24"/>
    </row>
    <row r="1352" spans="1:31" s="322" customFormat="1" ht="19.5" thickBot="1">
      <c r="A1352" s="872" t="s">
        <v>243</v>
      </c>
      <c r="B1352" s="873"/>
      <c r="C1352" s="874"/>
      <c r="D1352" s="874"/>
      <c r="E1352" s="875"/>
      <c r="F1352" s="876">
        <f>SUM(F1323:F1351)</f>
        <v>0</v>
      </c>
      <c r="G1352" s="876"/>
      <c r="H1352" s="877"/>
      <c r="I1352" s="878">
        <f>SUM(I1323:I1351)</f>
        <v>253349736011</v>
      </c>
      <c r="J1352" s="878"/>
      <c r="K1352" s="878"/>
      <c r="L1352" s="879">
        <f>SUM(L1323:L1351)</f>
        <v>0</v>
      </c>
      <c r="M1352" s="879"/>
      <c r="N1352" s="880">
        <f>SUM(N1323:N1351)</f>
        <v>0</v>
      </c>
      <c r="O1352" s="881">
        <f>SUM(O1323:O1351)</f>
        <v>13446744962</v>
      </c>
      <c r="P1352" s="882">
        <f>SUM(P1323:P1351)</f>
        <v>0</v>
      </c>
      <c r="Q1352" s="882"/>
      <c r="R1352" s="883"/>
      <c r="S1352" s="883"/>
      <c r="T1352" s="884">
        <f>SUM(T1323:T1351)</f>
        <v>-10520322733</v>
      </c>
      <c r="U1352" s="885">
        <f>SUM(U1323:U1351)</f>
        <v>0</v>
      </c>
      <c r="V1352" s="886">
        <f>SUM(V1323:V1351)</f>
        <v>256276158240</v>
      </c>
      <c r="W1352" s="887">
        <f>SUM(W1323:W1351)</f>
        <v>0</v>
      </c>
      <c r="X1352" s="887">
        <f>SUM(X1323:X1351)</f>
        <v>0</v>
      </c>
      <c r="Y1352" s="888"/>
      <c r="Z1352" s="1066"/>
      <c r="AA1352" s="183"/>
      <c r="AB1352" s="183"/>
      <c r="AC1352" s="183"/>
      <c r="AD1352" s="183"/>
      <c r="AE1352" s="183"/>
    </row>
    <row r="1353" spans="1:31">
      <c r="T1353" s="3" t="str">
        <f>$T$1044</f>
        <v>CA 2023</v>
      </c>
      <c r="V1353" s="412">
        <v>256276158240</v>
      </c>
      <c r="AA1353" s="24"/>
      <c r="AB1353" s="24"/>
      <c r="AC1353" s="24"/>
      <c r="AD1353" s="24"/>
      <c r="AE1353" s="24"/>
    </row>
    <row r="1354" spans="1:31">
      <c r="T1354" s="9"/>
      <c r="U1354" s="10"/>
      <c r="V1354" s="9">
        <f>+V1352-V1353</f>
        <v>0</v>
      </c>
      <c r="AA1354" s="24"/>
      <c r="AB1354" s="24"/>
      <c r="AC1354" s="24"/>
      <c r="AD1354" s="24"/>
      <c r="AE1354" s="24"/>
    </row>
    <row r="1355" spans="1:31" ht="15.75" thickBot="1">
      <c r="T1355" s="9"/>
      <c r="U1355" s="10"/>
      <c r="V1355" s="9"/>
      <c r="AA1355" s="24"/>
      <c r="AB1355" s="24"/>
      <c r="AC1355" s="24"/>
      <c r="AD1355" s="24"/>
      <c r="AE1355" s="24"/>
    </row>
    <row r="1356" spans="1:31" s="27" customFormat="1" ht="21.75" thickBot="1">
      <c r="A1356" s="827" t="s">
        <v>203</v>
      </c>
      <c r="B1356" s="768"/>
      <c r="C1356" s="2558" t="s">
        <v>57</v>
      </c>
      <c r="D1356" s="2560" t="s">
        <v>59</v>
      </c>
      <c r="E1356" s="2562" t="s">
        <v>58</v>
      </c>
      <c r="F1356" s="2564" t="str">
        <f>+F6</f>
        <v>SALDO FISCAL 31/12/2022</v>
      </c>
      <c r="G1356" s="2565"/>
      <c r="H1356" s="2565"/>
      <c r="I1356" s="2566"/>
      <c r="J1356" s="2567" t="str">
        <f>J6</f>
        <v>Tasa Mon Extranj</v>
      </c>
      <c r="K1356" s="2568"/>
      <c r="L1356" s="2569" t="str">
        <f>+L6</f>
        <v>ENTRADAS</v>
      </c>
      <c r="M1356" s="2570"/>
      <c r="N1356" s="2570"/>
      <c r="O1356" s="2571"/>
      <c r="P1356" s="2572" t="str">
        <f>+P6</f>
        <v>SALIDAS</v>
      </c>
      <c r="Q1356" s="2573"/>
      <c r="R1356" s="2573"/>
      <c r="S1356" s="2573"/>
      <c r="T1356" s="2574"/>
      <c r="U1356" s="2575" t="s">
        <v>62</v>
      </c>
      <c r="V1356" s="2576"/>
      <c r="W1356" s="2577" t="s">
        <v>63</v>
      </c>
      <c r="X1356" s="2578"/>
      <c r="Y1356" s="2579"/>
      <c r="Z1356" s="44"/>
      <c r="AA1356" s="213"/>
      <c r="AB1356" s="213"/>
      <c r="AC1356" s="213"/>
      <c r="AD1356" s="213"/>
      <c r="AE1356" s="213"/>
    </row>
    <row r="1357" spans="1:31" s="216" customFormat="1" ht="15.75" thickBot="1">
      <c r="A1357" s="855" t="s">
        <v>87</v>
      </c>
      <c r="B1357" s="856" t="s">
        <v>88</v>
      </c>
      <c r="C1357" s="2559"/>
      <c r="D1357" s="2561"/>
      <c r="E1357" s="2563"/>
      <c r="F1357" s="30" t="str">
        <f>F7</f>
        <v>MON/EX</v>
      </c>
      <c r="G1357" s="1249" t="str">
        <f>G7</f>
        <v>USD</v>
      </c>
      <c r="H1357" s="31" t="str">
        <f>H7</f>
        <v>TRM CIERRE</v>
      </c>
      <c r="I1357" s="1442" t="str">
        <f>I7</f>
        <v>SALDO PESOS</v>
      </c>
      <c r="J1357" s="1444" t="str">
        <f>J7</f>
        <v>Inicial</v>
      </c>
      <c r="K1357" s="1445" t="str">
        <f t="shared" ref="K1357:X1357" si="2665">K7</f>
        <v>Pago</v>
      </c>
      <c r="L1357" s="33" t="str">
        <f t="shared" si="2665"/>
        <v>ENTRADAS MON/EX</v>
      </c>
      <c r="M1357" s="1297" t="str">
        <f t="shared" si="2665"/>
        <v>USD</v>
      </c>
      <c r="N1357" s="34" t="str">
        <f t="shared" si="2665"/>
        <v>TRM INICIAL</v>
      </c>
      <c r="O1357" s="35" t="str">
        <f t="shared" si="2665"/>
        <v>ENTRADAS PESOS</v>
      </c>
      <c r="P1357" s="36" t="str">
        <f t="shared" si="2665"/>
        <v>PAGOS MON/EX</v>
      </c>
      <c r="Q1357" s="1338" t="str">
        <f t="shared" si="2665"/>
        <v>USD</v>
      </c>
      <c r="R1357" s="37" t="str">
        <f t="shared" si="2665"/>
        <v>TRM INICIAL</v>
      </c>
      <c r="S1357" s="37" t="str">
        <f t="shared" si="2665"/>
        <v>TRM PAGO</v>
      </c>
      <c r="T1357" s="38" t="str">
        <f t="shared" si="2665"/>
        <v>PAGO EN PESOS</v>
      </c>
      <c r="U1357" s="39" t="str">
        <f t="shared" si="2665"/>
        <v xml:space="preserve"> SALDO MON/EX</v>
      </c>
      <c r="V1357" s="40" t="str">
        <f t="shared" si="2665"/>
        <v>SALDO  PESOS</v>
      </c>
      <c r="W1357" s="41" t="str">
        <f t="shared" si="2665"/>
        <v>GASTO</v>
      </c>
      <c r="X1357" s="42" t="str">
        <f t="shared" si="2665"/>
        <v>INGRESO</v>
      </c>
      <c r="Y1357" s="43"/>
      <c r="Z1357" s="214"/>
      <c r="AA1357" s="215"/>
      <c r="AB1357" s="215"/>
      <c r="AC1357" s="215"/>
      <c r="AD1357" s="215"/>
      <c r="AE1357" s="215"/>
    </row>
    <row r="1358" spans="1:31" ht="15.75" hidden="1" outlineLevel="1">
      <c r="A1358" s="961">
        <v>2309011000</v>
      </c>
      <c r="B1358" s="962" t="s">
        <v>77</v>
      </c>
      <c r="C1358" s="963" t="s">
        <v>106</v>
      </c>
      <c r="D1358" s="963"/>
      <c r="E1358" s="46"/>
      <c r="F1358" s="964"/>
      <c r="G1358" s="1250"/>
      <c r="H1358" s="47"/>
      <c r="I1358" s="1434">
        <v>0</v>
      </c>
      <c r="J1358" s="968"/>
      <c r="K1358" s="1434"/>
      <c r="L1358" s="49"/>
      <c r="M1358" s="1298"/>
      <c r="N1358" s="47"/>
      <c r="O1358" s="50">
        <f>+L1358*N1358</f>
        <v>0</v>
      </c>
      <c r="P1358" s="51"/>
      <c r="Q1358" s="1250"/>
      <c r="R1358" s="47"/>
      <c r="S1358" s="47"/>
      <c r="T1358" s="965">
        <f>+P1358*S1358</f>
        <v>0</v>
      </c>
      <c r="U1358" s="295"/>
      <c r="V1358" s="50">
        <f>+I1358+O1358+T1358</f>
        <v>0</v>
      </c>
      <c r="W1358" s="296"/>
      <c r="X1358" s="297"/>
      <c r="Y1358" s="298"/>
      <c r="AA1358" s="24"/>
      <c r="AB1358" s="24"/>
      <c r="AC1358" s="24"/>
      <c r="AD1358" s="24"/>
      <c r="AE1358" s="24"/>
    </row>
    <row r="1359" spans="1:31" s="302" customFormat="1" hidden="1" outlineLevel="1">
      <c r="A1359" s="979">
        <v>2309011000</v>
      </c>
      <c r="B1359" s="980" t="s">
        <v>123</v>
      </c>
      <c r="C1359" s="981" t="s">
        <v>106</v>
      </c>
      <c r="D1359" s="304"/>
      <c r="E1359" s="303"/>
      <c r="F1359" s="305"/>
      <c r="G1359" s="1285"/>
      <c r="H1359" s="306"/>
      <c r="I1359" s="1443">
        <f>+F1359*H1359</f>
        <v>0</v>
      </c>
      <c r="J1359" s="1446"/>
      <c r="K1359" s="1447"/>
      <c r="L1359" s="471"/>
      <c r="M1359" s="1320"/>
      <c r="N1359" s="866"/>
      <c r="O1359" s="307">
        <f>+L1359*N1359</f>
        <v>0</v>
      </c>
      <c r="P1359" s="308"/>
      <c r="Q1359" s="1353"/>
      <c r="R1359" s="309"/>
      <c r="S1359" s="309"/>
      <c r="T1359" s="863">
        <v>0</v>
      </c>
      <c r="U1359" s="300"/>
      <c r="V1359" s="983">
        <f>+I1359+T1359+O1359</f>
        <v>0</v>
      </c>
      <c r="W1359" s="311"/>
      <c r="X1359" s="312"/>
      <c r="Y1359" s="313"/>
      <c r="Z1359" s="1065"/>
      <c r="AA1359" s="24"/>
      <c r="AB1359" s="24"/>
      <c r="AC1359" s="24"/>
      <c r="AD1359" s="24"/>
      <c r="AE1359" s="24"/>
    </row>
    <row r="1360" spans="1:31" s="302" customFormat="1" collapsed="1">
      <c r="A1360" s="314"/>
      <c r="B1360" s="315"/>
      <c r="C1360" s="304"/>
      <c r="D1360" s="304"/>
      <c r="E1360" s="303"/>
      <c r="F1360" s="305"/>
      <c r="G1360" s="1285"/>
      <c r="H1360" s="306"/>
      <c r="I1360" s="1443">
        <f>+F1360*H1360</f>
        <v>0</v>
      </c>
      <c r="J1360" s="1446"/>
      <c r="K1360" s="1447"/>
      <c r="L1360" s="471"/>
      <c r="M1360" s="1320"/>
      <c r="N1360" s="866"/>
      <c r="O1360" s="307">
        <f>+L1360*N1360</f>
        <v>0</v>
      </c>
      <c r="P1360" s="308"/>
      <c r="Q1360" s="1353"/>
      <c r="R1360" s="309"/>
      <c r="S1360" s="309"/>
      <c r="T1360" s="863">
        <v>0</v>
      </c>
      <c r="U1360" s="300"/>
      <c r="V1360" s="983"/>
      <c r="W1360" s="311"/>
      <c r="X1360" s="312"/>
      <c r="Y1360" s="313"/>
      <c r="Z1360" s="1065"/>
      <c r="AA1360" s="24"/>
      <c r="AB1360" s="24"/>
      <c r="AC1360" s="24"/>
      <c r="AD1360" s="24"/>
      <c r="AE1360" s="24"/>
    </row>
    <row r="1361" spans="1:31" ht="15.75">
      <c r="A1361" s="961">
        <v>2422091000</v>
      </c>
      <c r="B1361" s="962" t="s">
        <v>77</v>
      </c>
      <c r="C1361" s="963" t="s">
        <v>106</v>
      </c>
      <c r="D1361" s="963"/>
      <c r="E1361" s="46">
        <v>44926</v>
      </c>
      <c r="F1361" s="964"/>
      <c r="G1361" s="1250"/>
      <c r="H1361" s="47"/>
      <c r="I1361" s="1434">
        <v>0</v>
      </c>
      <c r="J1361" s="968"/>
      <c r="K1361" s="1434"/>
      <c r="L1361" s="316"/>
      <c r="M1361" s="1298"/>
      <c r="N1361" s="47"/>
      <c r="O1361" s="50"/>
      <c r="P1361" s="319"/>
      <c r="Q1361" s="1358"/>
      <c r="R1361" s="318"/>
      <c r="S1361" s="318"/>
      <c r="T1361" s="48"/>
      <c r="U1361" s="319"/>
      <c r="V1361" s="50">
        <f t="shared" ref="V1361:V1375" si="2666">+I1361+O1361+T1361</f>
        <v>0</v>
      </c>
      <c r="W1361" s="296"/>
      <c r="X1361" s="297"/>
      <c r="Y1361" s="298"/>
      <c r="AA1361" s="24"/>
      <c r="AB1361" s="24"/>
      <c r="AC1361" s="24"/>
      <c r="AD1361" s="24"/>
      <c r="AE1361" s="24"/>
    </row>
    <row r="1362" spans="1:31" hidden="1" outlineLevel="1">
      <c r="A1362" s="55">
        <v>2422091000</v>
      </c>
      <c r="B1362" s="509" t="s">
        <v>110</v>
      </c>
      <c r="C1362" s="679" t="s">
        <v>106</v>
      </c>
      <c r="D1362" s="680"/>
      <c r="E1362" s="219">
        <v>44957</v>
      </c>
      <c r="F1362" s="416"/>
      <c r="G1362" s="1251"/>
      <c r="H1362" s="676"/>
      <c r="I1362" s="677"/>
      <c r="J1362" s="1431"/>
      <c r="K1362" s="1397"/>
      <c r="L1362" s="471"/>
      <c r="M1362" s="1320"/>
      <c r="N1362" s="866"/>
      <c r="O1362" s="682"/>
      <c r="P1362" s="470"/>
      <c r="Q1362" s="1355"/>
      <c r="R1362" s="862"/>
      <c r="S1362" s="862"/>
      <c r="T1362" s="562">
        <v>0</v>
      </c>
      <c r="U1362" s="472"/>
      <c r="V1362" s="517">
        <f t="shared" si="2666"/>
        <v>0</v>
      </c>
      <c r="W1362" s="976">
        <f t="shared" ref="W1362:W1378" si="2667">-(IF(R1362&lt;S1362,(-P1362*R1362)-(-P1362*S1362),0))</f>
        <v>0</v>
      </c>
      <c r="X1362" s="975">
        <f t="shared" ref="X1362:X1378" si="2668">-(IF(R1362&gt;S1362,(-P1362*R1362)-(-P1362*S1362),0))</f>
        <v>0</v>
      </c>
      <c r="Y1362" s="519"/>
      <c r="AA1362" s="24"/>
      <c r="AB1362" s="24"/>
      <c r="AC1362" s="24"/>
      <c r="AD1362" s="24"/>
      <c r="AE1362" s="24"/>
    </row>
    <row r="1363" spans="1:31" hidden="1" outlineLevel="1">
      <c r="A1363" s="55">
        <v>2422091000</v>
      </c>
      <c r="B1363" s="509" t="s">
        <v>219</v>
      </c>
      <c r="C1363" s="679" t="s">
        <v>106</v>
      </c>
      <c r="D1363" s="680"/>
      <c r="E1363" s="219">
        <v>44984</v>
      </c>
      <c r="F1363" s="416"/>
      <c r="G1363" s="1251"/>
      <c r="H1363" s="676"/>
      <c r="I1363" s="677"/>
      <c r="J1363" s="1431"/>
      <c r="K1363" s="1397"/>
      <c r="L1363" s="471"/>
      <c r="M1363" s="1320"/>
      <c r="N1363" s="866"/>
      <c r="O1363" s="682"/>
      <c r="P1363" s="470"/>
      <c r="Q1363" s="1355"/>
      <c r="R1363" s="862"/>
      <c r="S1363" s="862"/>
      <c r="T1363" s="562">
        <v>0</v>
      </c>
      <c r="U1363" s="472"/>
      <c r="V1363" s="517">
        <f t="shared" si="2666"/>
        <v>0</v>
      </c>
      <c r="W1363" s="976">
        <f t="shared" si="2667"/>
        <v>0</v>
      </c>
      <c r="X1363" s="975">
        <f t="shared" si="2668"/>
        <v>0</v>
      </c>
      <c r="Y1363" s="519"/>
      <c r="AA1363" s="24"/>
      <c r="AB1363" s="24"/>
      <c r="AC1363" s="24"/>
      <c r="AD1363" s="24"/>
      <c r="AE1363" s="24"/>
    </row>
    <row r="1364" spans="1:31" hidden="1" outlineLevel="1">
      <c r="A1364" s="55">
        <v>2422091000</v>
      </c>
      <c r="B1364" s="509" t="s">
        <v>205</v>
      </c>
      <c r="C1364" s="679" t="s">
        <v>106</v>
      </c>
      <c r="D1364" s="680"/>
      <c r="E1364" s="219">
        <v>44985</v>
      </c>
      <c r="F1364" s="416"/>
      <c r="G1364" s="1251"/>
      <c r="H1364" s="676"/>
      <c r="I1364" s="677"/>
      <c r="J1364" s="1431"/>
      <c r="K1364" s="1397"/>
      <c r="L1364" s="471"/>
      <c r="M1364" s="1320"/>
      <c r="N1364" s="866"/>
      <c r="O1364" s="682"/>
      <c r="P1364" s="470"/>
      <c r="Q1364" s="1355"/>
      <c r="R1364" s="862"/>
      <c r="S1364" s="862"/>
      <c r="T1364" s="562">
        <v>0</v>
      </c>
      <c r="U1364" s="472"/>
      <c r="V1364" s="517">
        <f t="shared" si="2666"/>
        <v>0</v>
      </c>
      <c r="W1364" s="976">
        <f t="shared" si="2667"/>
        <v>0</v>
      </c>
      <c r="X1364" s="975">
        <f t="shared" si="2668"/>
        <v>0</v>
      </c>
      <c r="Y1364" s="519"/>
      <c r="AA1364" s="24"/>
      <c r="AB1364" s="24"/>
      <c r="AC1364" s="24"/>
      <c r="AD1364" s="24"/>
      <c r="AE1364" s="24"/>
    </row>
    <row r="1365" spans="1:31" hidden="1" outlineLevel="1">
      <c r="A1365" s="55">
        <v>2422091000</v>
      </c>
      <c r="B1365" s="509" t="s">
        <v>112</v>
      </c>
      <c r="C1365" s="679" t="s">
        <v>106</v>
      </c>
      <c r="D1365" s="680"/>
      <c r="E1365" s="219">
        <v>45016</v>
      </c>
      <c r="F1365" s="416"/>
      <c r="G1365" s="1251"/>
      <c r="H1365" s="676"/>
      <c r="I1365" s="677"/>
      <c r="J1365" s="1431"/>
      <c r="K1365" s="1397"/>
      <c r="L1365" s="471"/>
      <c r="M1365" s="1320"/>
      <c r="N1365" s="866"/>
      <c r="O1365" s="682"/>
      <c r="P1365" s="470"/>
      <c r="Q1365" s="1355"/>
      <c r="R1365" s="862"/>
      <c r="S1365" s="862"/>
      <c r="T1365" s="562">
        <v>0</v>
      </c>
      <c r="U1365" s="472"/>
      <c r="V1365" s="517">
        <f t="shared" si="2666"/>
        <v>0</v>
      </c>
      <c r="W1365" s="976">
        <f t="shared" si="2667"/>
        <v>0</v>
      </c>
      <c r="X1365" s="975">
        <f t="shared" si="2668"/>
        <v>0</v>
      </c>
      <c r="Y1365" s="519"/>
      <c r="AA1365" s="24"/>
      <c r="AB1365" s="24"/>
      <c r="AC1365" s="24"/>
      <c r="AD1365" s="24"/>
      <c r="AE1365" s="24"/>
    </row>
    <row r="1366" spans="1:31" hidden="1" outlineLevel="1">
      <c r="A1366" s="55">
        <v>2422091000</v>
      </c>
      <c r="B1366" s="509" t="s">
        <v>113</v>
      </c>
      <c r="C1366" s="679" t="s">
        <v>106</v>
      </c>
      <c r="D1366" s="680"/>
      <c r="E1366" s="219">
        <v>45046</v>
      </c>
      <c r="F1366" s="416"/>
      <c r="G1366" s="1251"/>
      <c r="H1366" s="676"/>
      <c r="I1366" s="677"/>
      <c r="J1366" s="1431"/>
      <c r="K1366" s="1397"/>
      <c r="L1366" s="471"/>
      <c r="M1366" s="1320"/>
      <c r="N1366" s="866"/>
      <c r="O1366" s="682"/>
      <c r="P1366" s="470"/>
      <c r="Q1366" s="1355"/>
      <c r="R1366" s="862"/>
      <c r="S1366" s="862"/>
      <c r="T1366" s="562">
        <v>0</v>
      </c>
      <c r="U1366" s="472"/>
      <c r="V1366" s="517">
        <f t="shared" si="2666"/>
        <v>0</v>
      </c>
      <c r="W1366" s="976">
        <f t="shared" si="2667"/>
        <v>0</v>
      </c>
      <c r="X1366" s="975">
        <f t="shared" si="2668"/>
        <v>0</v>
      </c>
      <c r="Y1366" s="519"/>
      <c r="AA1366" s="24"/>
      <c r="AB1366" s="24"/>
      <c r="AC1366" s="24"/>
      <c r="AD1366" s="24"/>
      <c r="AE1366" s="24"/>
    </row>
    <row r="1367" spans="1:31" hidden="1" outlineLevel="1">
      <c r="A1367" s="55">
        <v>2422091000</v>
      </c>
      <c r="B1367" s="509" t="s">
        <v>114</v>
      </c>
      <c r="C1367" s="679" t="s">
        <v>106</v>
      </c>
      <c r="D1367" s="680"/>
      <c r="E1367" s="219">
        <v>45077</v>
      </c>
      <c r="F1367" s="416"/>
      <c r="G1367" s="1251"/>
      <c r="H1367" s="676"/>
      <c r="I1367" s="677"/>
      <c r="J1367" s="1431"/>
      <c r="K1367" s="1397"/>
      <c r="L1367" s="471"/>
      <c r="M1367" s="1320"/>
      <c r="N1367" s="866"/>
      <c r="O1367" s="682"/>
      <c r="P1367" s="470"/>
      <c r="Q1367" s="1355"/>
      <c r="R1367" s="862"/>
      <c r="S1367" s="862"/>
      <c r="T1367" s="562">
        <v>0</v>
      </c>
      <c r="U1367" s="472"/>
      <c r="V1367" s="517">
        <f t="shared" si="2666"/>
        <v>0</v>
      </c>
      <c r="W1367" s="976">
        <f t="shared" si="2667"/>
        <v>0</v>
      </c>
      <c r="X1367" s="975">
        <f t="shared" si="2668"/>
        <v>0</v>
      </c>
      <c r="Y1367" s="519"/>
      <c r="AA1367" s="24"/>
      <c r="AB1367" s="24"/>
      <c r="AC1367" s="24"/>
      <c r="AD1367" s="24"/>
      <c r="AE1367" s="24"/>
    </row>
    <row r="1368" spans="1:31" hidden="1" outlineLevel="1">
      <c r="A1368" s="55">
        <v>2422091000</v>
      </c>
      <c r="B1368" s="509" t="s">
        <v>115</v>
      </c>
      <c r="C1368" s="679" t="s">
        <v>106</v>
      </c>
      <c r="D1368" s="680"/>
      <c r="E1368" s="219">
        <v>45107</v>
      </c>
      <c r="F1368" s="416"/>
      <c r="G1368" s="1251"/>
      <c r="H1368" s="676"/>
      <c r="I1368" s="677"/>
      <c r="J1368" s="1431"/>
      <c r="K1368" s="1397"/>
      <c r="L1368" s="471"/>
      <c r="M1368" s="1320"/>
      <c r="N1368" s="866"/>
      <c r="O1368" s="682"/>
      <c r="P1368" s="470"/>
      <c r="Q1368" s="1355"/>
      <c r="R1368" s="862"/>
      <c r="S1368" s="862"/>
      <c r="T1368" s="562">
        <v>0</v>
      </c>
      <c r="U1368" s="472"/>
      <c r="V1368" s="517">
        <f t="shared" si="2666"/>
        <v>0</v>
      </c>
      <c r="W1368" s="976">
        <f t="shared" si="2667"/>
        <v>0</v>
      </c>
      <c r="X1368" s="975">
        <f t="shared" si="2668"/>
        <v>0</v>
      </c>
      <c r="Y1368" s="519"/>
      <c r="AA1368" s="24"/>
      <c r="AB1368" s="24"/>
      <c r="AC1368" s="24"/>
      <c r="AD1368" s="24"/>
      <c r="AE1368" s="24"/>
    </row>
    <row r="1369" spans="1:31" hidden="1" outlineLevel="1">
      <c r="A1369" s="55">
        <v>2422091000</v>
      </c>
      <c r="B1369" s="509" t="s">
        <v>116</v>
      </c>
      <c r="C1369" s="679" t="s">
        <v>106</v>
      </c>
      <c r="D1369" s="680"/>
      <c r="E1369" s="219">
        <v>45138</v>
      </c>
      <c r="F1369" s="416"/>
      <c r="G1369" s="1251"/>
      <c r="H1369" s="676"/>
      <c r="I1369" s="677"/>
      <c r="J1369" s="1431"/>
      <c r="K1369" s="1397"/>
      <c r="L1369" s="471"/>
      <c r="M1369" s="1320"/>
      <c r="N1369" s="866"/>
      <c r="O1369" s="682"/>
      <c r="P1369" s="470"/>
      <c r="Q1369" s="1355"/>
      <c r="R1369" s="862"/>
      <c r="S1369" s="862"/>
      <c r="T1369" s="562">
        <v>0</v>
      </c>
      <c r="U1369" s="472"/>
      <c r="V1369" s="517">
        <f t="shared" si="2666"/>
        <v>0</v>
      </c>
      <c r="W1369" s="976">
        <f t="shared" si="2667"/>
        <v>0</v>
      </c>
      <c r="X1369" s="975">
        <f t="shared" si="2668"/>
        <v>0</v>
      </c>
      <c r="Y1369" s="519"/>
      <c r="AA1369" s="24"/>
      <c r="AB1369" s="24"/>
      <c r="AC1369" s="24"/>
      <c r="AD1369" s="24"/>
      <c r="AE1369" s="24"/>
    </row>
    <row r="1370" spans="1:31" hidden="1" outlineLevel="1">
      <c r="A1370" s="55">
        <v>2422091000</v>
      </c>
      <c r="B1370" s="509" t="s">
        <v>220</v>
      </c>
      <c r="C1370" s="679" t="s">
        <v>106</v>
      </c>
      <c r="D1370" s="680"/>
      <c r="E1370" s="219">
        <v>45167</v>
      </c>
      <c r="F1370" s="416"/>
      <c r="G1370" s="1251"/>
      <c r="H1370" s="676"/>
      <c r="I1370" s="677"/>
      <c r="J1370" s="1431"/>
      <c r="K1370" s="1397"/>
      <c r="L1370" s="471"/>
      <c r="M1370" s="1320"/>
      <c r="N1370" s="866"/>
      <c r="O1370" s="682"/>
      <c r="P1370" s="470"/>
      <c r="Q1370" s="1355"/>
      <c r="R1370" s="862"/>
      <c r="S1370" s="862"/>
      <c r="T1370" s="562">
        <v>0</v>
      </c>
      <c r="U1370" s="472"/>
      <c r="V1370" s="517">
        <f t="shared" si="2666"/>
        <v>0</v>
      </c>
      <c r="W1370" s="976">
        <f t="shared" si="2667"/>
        <v>0</v>
      </c>
      <c r="X1370" s="975">
        <f t="shared" si="2668"/>
        <v>0</v>
      </c>
      <c r="Y1370" s="519"/>
      <c r="AA1370" s="24"/>
      <c r="AB1370" s="24"/>
      <c r="AC1370" s="24"/>
      <c r="AD1370" s="24"/>
      <c r="AE1370" s="24"/>
    </row>
    <row r="1371" spans="1:31" hidden="1" outlineLevel="1">
      <c r="A1371" s="55">
        <v>2422091000</v>
      </c>
      <c r="B1371" s="509" t="s">
        <v>117</v>
      </c>
      <c r="C1371" s="679" t="s">
        <v>106</v>
      </c>
      <c r="D1371" s="680"/>
      <c r="E1371" s="219">
        <v>45169</v>
      </c>
      <c r="F1371" s="416"/>
      <c r="G1371" s="1251"/>
      <c r="H1371" s="676"/>
      <c r="I1371" s="677"/>
      <c r="J1371" s="1431"/>
      <c r="K1371" s="1397"/>
      <c r="L1371" s="471"/>
      <c r="M1371" s="1320"/>
      <c r="N1371" s="866"/>
      <c r="O1371" s="682"/>
      <c r="P1371" s="470"/>
      <c r="Q1371" s="1355"/>
      <c r="R1371" s="862"/>
      <c r="S1371" s="862"/>
      <c r="T1371" s="562">
        <v>0</v>
      </c>
      <c r="U1371" s="472"/>
      <c r="V1371" s="517">
        <f t="shared" si="2666"/>
        <v>0</v>
      </c>
      <c r="W1371" s="976">
        <f t="shared" si="2667"/>
        <v>0</v>
      </c>
      <c r="X1371" s="975">
        <f t="shared" si="2668"/>
        <v>0</v>
      </c>
      <c r="Y1371" s="519"/>
      <c r="AA1371" s="24"/>
      <c r="AB1371" s="24"/>
      <c r="AC1371" s="24"/>
      <c r="AD1371" s="24"/>
      <c r="AE1371" s="24"/>
    </row>
    <row r="1372" spans="1:31" hidden="1" outlineLevel="1">
      <c r="A1372" s="55">
        <v>2422091000</v>
      </c>
      <c r="B1372" s="509" t="s">
        <v>118</v>
      </c>
      <c r="C1372" s="679" t="s">
        <v>106</v>
      </c>
      <c r="D1372" s="680"/>
      <c r="E1372" s="219">
        <v>45199</v>
      </c>
      <c r="F1372" s="416"/>
      <c r="G1372" s="1251"/>
      <c r="H1372" s="676"/>
      <c r="I1372" s="677"/>
      <c r="J1372" s="1431"/>
      <c r="K1372" s="1397"/>
      <c r="L1372" s="471"/>
      <c r="M1372" s="1320"/>
      <c r="N1372" s="866"/>
      <c r="O1372" s="682"/>
      <c r="P1372" s="470"/>
      <c r="Q1372" s="1355"/>
      <c r="R1372" s="862"/>
      <c r="S1372" s="862"/>
      <c r="T1372" s="562">
        <v>0</v>
      </c>
      <c r="U1372" s="472"/>
      <c r="V1372" s="517">
        <f t="shared" si="2666"/>
        <v>0</v>
      </c>
      <c r="W1372" s="976">
        <f t="shared" si="2667"/>
        <v>0</v>
      </c>
      <c r="X1372" s="975">
        <f t="shared" si="2668"/>
        <v>0</v>
      </c>
      <c r="Y1372" s="519"/>
      <c r="AA1372" s="24"/>
      <c r="AB1372" s="24"/>
      <c r="AC1372" s="24"/>
      <c r="AD1372" s="24"/>
      <c r="AE1372" s="24"/>
    </row>
    <row r="1373" spans="1:31" hidden="1" outlineLevel="1">
      <c r="A1373" s="55">
        <v>2422091000</v>
      </c>
      <c r="B1373" s="509" t="s">
        <v>119</v>
      </c>
      <c r="C1373" s="679" t="s">
        <v>106</v>
      </c>
      <c r="D1373" s="680"/>
      <c r="E1373" s="219">
        <v>45230</v>
      </c>
      <c r="F1373" s="416"/>
      <c r="G1373" s="1251"/>
      <c r="H1373" s="676"/>
      <c r="I1373" s="677"/>
      <c r="J1373" s="1431"/>
      <c r="K1373" s="1397"/>
      <c r="L1373" s="471"/>
      <c r="M1373" s="1320"/>
      <c r="N1373" s="866"/>
      <c r="O1373" s="682"/>
      <c r="P1373" s="470"/>
      <c r="Q1373" s="1355"/>
      <c r="R1373" s="862"/>
      <c r="S1373" s="862"/>
      <c r="T1373" s="562">
        <v>0</v>
      </c>
      <c r="U1373" s="472"/>
      <c r="V1373" s="517">
        <f t="shared" si="2666"/>
        <v>0</v>
      </c>
      <c r="W1373" s="976">
        <f t="shared" si="2667"/>
        <v>0</v>
      </c>
      <c r="X1373" s="975">
        <f t="shared" si="2668"/>
        <v>0</v>
      </c>
      <c r="Y1373" s="519"/>
      <c r="AA1373" s="24"/>
      <c r="AB1373" s="24"/>
      <c r="AC1373" s="24"/>
      <c r="AD1373" s="24"/>
      <c r="AE1373" s="24"/>
    </row>
    <row r="1374" spans="1:31" hidden="1" outlineLevel="1">
      <c r="A1374" s="55">
        <v>2422091000</v>
      </c>
      <c r="B1374" s="509" t="s">
        <v>120</v>
      </c>
      <c r="C1374" s="679" t="s">
        <v>106</v>
      </c>
      <c r="D1374" s="680"/>
      <c r="E1374" s="219">
        <v>45260</v>
      </c>
      <c r="F1374" s="416"/>
      <c r="G1374" s="1251"/>
      <c r="H1374" s="676"/>
      <c r="I1374" s="677"/>
      <c r="J1374" s="1431"/>
      <c r="K1374" s="1397"/>
      <c r="L1374" s="471"/>
      <c r="M1374" s="1320"/>
      <c r="N1374" s="866"/>
      <c r="O1374" s="682"/>
      <c r="P1374" s="470"/>
      <c r="Q1374" s="1355"/>
      <c r="R1374" s="862"/>
      <c r="S1374" s="862"/>
      <c r="T1374" s="562">
        <v>0</v>
      </c>
      <c r="U1374" s="472"/>
      <c r="V1374" s="517">
        <f t="shared" si="2666"/>
        <v>0</v>
      </c>
      <c r="W1374" s="976">
        <f t="shared" si="2667"/>
        <v>0</v>
      </c>
      <c r="X1374" s="975">
        <f t="shared" si="2668"/>
        <v>0</v>
      </c>
      <c r="Y1374" s="519"/>
      <c r="AA1374" s="24"/>
      <c r="AB1374" s="24"/>
      <c r="AC1374" s="24"/>
      <c r="AD1374" s="24"/>
      <c r="AE1374" s="24"/>
    </row>
    <row r="1375" spans="1:31" hidden="1" outlineLevel="1">
      <c r="A1375" s="55">
        <v>2422091000</v>
      </c>
      <c r="B1375" s="509" t="s">
        <v>121</v>
      </c>
      <c r="C1375" s="679" t="s">
        <v>106</v>
      </c>
      <c r="D1375" s="680"/>
      <c r="E1375" s="219">
        <v>45291</v>
      </c>
      <c r="F1375" s="416"/>
      <c r="G1375" s="1251"/>
      <c r="H1375" s="676"/>
      <c r="I1375" s="677"/>
      <c r="J1375" s="1431"/>
      <c r="K1375" s="1397"/>
      <c r="L1375" s="471"/>
      <c r="M1375" s="1320"/>
      <c r="N1375" s="866"/>
      <c r="O1375" s="682"/>
      <c r="P1375" s="470"/>
      <c r="Q1375" s="1355"/>
      <c r="R1375" s="862"/>
      <c r="S1375" s="862"/>
      <c r="T1375" s="562">
        <v>0</v>
      </c>
      <c r="U1375" s="472"/>
      <c r="V1375" s="517">
        <f t="shared" si="2666"/>
        <v>0</v>
      </c>
      <c r="W1375" s="976">
        <f t="shared" si="2667"/>
        <v>0</v>
      </c>
      <c r="X1375" s="975">
        <f t="shared" si="2668"/>
        <v>0</v>
      </c>
      <c r="Y1375" s="519"/>
      <c r="AA1375" s="24"/>
      <c r="AB1375" s="24"/>
      <c r="AC1375" s="24"/>
      <c r="AD1375" s="24"/>
      <c r="AE1375" s="24"/>
    </row>
    <row r="1376" spans="1:31" hidden="1" outlineLevel="1">
      <c r="A1376" s="55"/>
      <c r="B1376" s="509"/>
      <c r="C1376" s="679"/>
      <c r="D1376" s="680"/>
      <c r="E1376" s="219"/>
      <c r="F1376" s="416"/>
      <c r="G1376" s="1251"/>
      <c r="H1376" s="676"/>
      <c r="I1376" s="677"/>
      <c r="J1376" s="1431"/>
      <c r="K1376" s="1397"/>
      <c r="L1376" s="471"/>
      <c r="M1376" s="1320"/>
      <c r="N1376" s="866"/>
      <c r="O1376" s="682"/>
      <c r="P1376" s="470"/>
      <c r="Q1376" s="1355"/>
      <c r="R1376" s="862"/>
      <c r="S1376" s="862"/>
      <c r="T1376" s="562"/>
      <c r="U1376" s="472"/>
      <c r="V1376" s="517"/>
      <c r="W1376" s="976">
        <f t="shared" si="2667"/>
        <v>0</v>
      </c>
      <c r="X1376" s="975">
        <f t="shared" si="2668"/>
        <v>0</v>
      </c>
      <c r="Y1376" s="519"/>
      <c r="AA1376" s="24"/>
      <c r="AB1376" s="24"/>
      <c r="AC1376" s="24"/>
      <c r="AD1376" s="24"/>
      <c r="AE1376" s="24"/>
    </row>
    <row r="1377" spans="1:38" s="261" customFormat="1" hidden="1" outlineLevel="1">
      <c r="A1377" s="258">
        <v>2422091000</v>
      </c>
      <c r="B1377" s="829" t="s">
        <v>124</v>
      </c>
      <c r="C1377" s="830" t="s">
        <v>106</v>
      </c>
      <c r="D1377" s="836"/>
      <c r="E1377" s="259">
        <v>44984</v>
      </c>
      <c r="F1377" s="450"/>
      <c r="G1377" s="1277"/>
      <c r="H1377" s="832"/>
      <c r="I1377" s="1436">
        <f>+F1377*H1377</f>
        <v>0</v>
      </c>
      <c r="J1377" s="469"/>
      <c r="K1377" s="1448"/>
      <c r="L1377" s="471"/>
      <c r="M1377" s="1320"/>
      <c r="N1377" s="866"/>
      <c r="O1377" s="835">
        <f>+L1377*N1377</f>
        <v>0</v>
      </c>
      <c r="P1377" s="473"/>
      <c r="Q1377" s="1356"/>
      <c r="R1377" s="867"/>
      <c r="S1377" s="867"/>
      <c r="T1377" s="835">
        <v>0</v>
      </c>
      <c r="U1377" s="473"/>
      <c r="V1377" s="835">
        <f>+I1377+O1377+T1377</f>
        <v>0</v>
      </c>
      <c r="W1377" s="469">
        <f t="shared" si="2667"/>
        <v>0</v>
      </c>
      <c r="X1377" s="849">
        <f t="shared" si="2668"/>
        <v>0</v>
      </c>
      <c r="Y1377" s="836"/>
      <c r="Z1377" s="1061"/>
      <c r="AA1377" s="260"/>
      <c r="AB1377" s="260"/>
      <c r="AC1377" s="260"/>
      <c r="AD1377" s="260"/>
      <c r="AE1377" s="260"/>
    </row>
    <row r="1378" spans="1:38" s="261" customFormat="1" hidden="1" outlineLevel="1">
      <c r="A1378" s="258">
        <v>2422091000</v>
      </c>
      <c r="B1378" s="829" t="s">
        <v>124</v>
      </c>
      <c r="C1378" s="830" t="s">
        <v>106</v>
      </c>
      <c r="D1378" s="836"/>
      <c r="E1378" s="259">
        <v>45166</v>
      </c>
      <c r="F1378" s="450"/>
      <c r="G1378" s="1277"/>
      <c r="H1378" s="832"/>
      <c r="I1378" s="1436">
        <f>+F1378*H1378</f>
        <v>0</v>
      </c>
      <c r="J1378" s="469"/>
      <c r="K1378" s="1448"/>
      <c r="L1378" s="471"/>
      <c r="M1378" s="1320"/>
      <c r="N1378" s="866"/>
      <c r="O1378" s="835">
        <f>+L1378*N1378</f>
        <v>0</v>
      </c>
      <c r="P1378" s="473"/>
      <c r="Q1378" s="1356"/>
      <c r="R1378" s="867"/>
      <c r="S1378" s="867"/>
      <c r="T1378" s="835">
        <v>0</v>
      </c>
      <c r="U1378" s="473"/>
      <c r="V1378" s="835">
        <f>+I1378+O1378+T1378</f>
        <v>0</v>
      </c>
      <c r="W1378" s="469">
        <f t="shared" si="2667"/>
        <v>0</v>
      </c>
      <c r="X1378" s="849">
        <f t="shared" si="2668"/>
        <v>0</v>
      </c>
      <c r="Y1378" s="836"/>
      <c r="Z1378" s="1061"/>
      <c r="AA1378" s="260"/>
      <c r="AB1378" s="260"/>
      <c r="AC1378" s="260"/>
      <c r="AD1378" s="260"/>
      <c r="AE1378" s="260"/>
    </row>
    <row r="1379" spans="1:38" hidden="1" outlineLevel="1">
      <c r="A1379" s="55"/>
      <c r="B1379" s="509"/>
      <c r="C1379" s="510"/>
      <c r="D1379" s="510"/>
      <c r="E1379" s="219"/>
      <c r="F1379" s="416"/>
      <c r="G1379" s="1251"/>
      <c r="H1379" s="676"/>
      <c r="I1379" s="677"/>
      <c r="J1379" s="1431"/>
      <c r="K1379" s="1397"/>
      <c r="L1379" s="471"/>
      <c r="M1379" s="1320"/>
      <c r="N1379" s="866"/>
      <c r="O1379" s="682">
        <f>+L1379*N1379</f>
        <v>0</v>
      </c>
      <c r="P1379" s="470"/>
      <c r="Q1379" s="1355"/>
      <c r="R1379" s="862"/>
      <c r="S1379" s="862"/>
      <c r="T1379" s="562"/>
      <c r="U1379" s="472"/>
      <c r="V1379" s="517"/>
      <c r="W1379" s="976"/>
      <c r="X1379" s="975"/>
      <c r="Y1379" s="519"/>
      <c r="AA1379" s="24"/>
      <c r="AB1379" s="24"/>
      <c r="AC1379" s="24"/>
      <c r="AD1379" s="24"/>
      <c r="AE1379" s="24"/>
    </row>
    <row r="1380" spans="1:38" s="290" customFormat="1" ht="16.5" collapsed="1" thickBot="1">
      <c r="A1380" s="278"/>
      <c r="B1380" s="279" t="s">
        <v>104</v>
      </c>
      <c r="C1380" s="280"/>
      <c r="D1380" s="282"/>
      <c r="E1380" s="281"/>
      <c r="F1380" s="283"/>
      <c r="G1380" s="1281"/>
      <c r="H1380" s="284"/>
      <c r="I1380" s="1437">
        <v>0</v>
      </c>
      <c r="J1380" s="287"/>
      <c r="K1380" s="1437"/>
      <c r="L1380" s="286"/>
      <c r="M1380" s="1317"/>
      <c r="N1380" s="284"/>
      <c r="O1380" s="285"/>
      <c r="P1380" s="283"/>
      <c r="Q1380" s="1281"/>
      <c r="R1380" s="284"/>
      <c r="S1380" s="284"/>
      <c r="T1380" s="285">
        <f>-I1380</f>
        <v>0</v>
      </c>
      <c r="U1380" s="320"/>
      <c r="V1380" s="285">
        <f>+I1380+O1380+T1380</f>
        <v>0</v>
      </c>
      <c r="W1380" s="287"/>
      <c r="X1380" s="288"/>
      <c r="Y1380" s="282"/>
      <c r="Z1380" s="1064"/>
      <c r="AA1380" s="289"/>
      <c r="AB1380" s="289"/>
      <c r="AC1380" s="289"/>
      <c r="AD1380" s="289"/>
      <c r="AE1380" s="289"/>
    </row>
    <row r="1381" spans="1:38" s="302" customFormat="1" ht="15.75" hidden="1" outlineLevel="1" thickBot="1">
      <c r="A1381" s="979"/>
      <c r="B1381" s="980" t="s">
        <v>1218</v>
      </c>
      <c r="C1381" s="981" t="s">
        <v>106</v>
      </c>
      <c r="D1381" s="981"/>
      <c r="E1381" s="299"/>
      <c r="F1381" s="982"/>
      <c r="G1381" s="1286"/>
      <c r="H1381" s="857"/>
      <c r="I1381" s="858"/>
      <c r="J1381" s="1419"/>
      <c r="K1381" s="1396"/>
      <c r="L1381" s="859"/>
      <c r="M1381" s="859"/>
      <c r="N1381" s="860"/>
      <c r="O1381" s="861">
        <v>0</v>
      </c>
      <c r="P1381" s="321"/>
      <c r="Q1381" s="1357"/>
      <c r="R1381" s="868"/>
      <c r="S1381" s="868"/>
      <c r="T1381" s="863"/>
      <c r="U1381" s="300"/>
      <c r="V1381" s="983">
        <f>+I1381+O1381+T1381</f>
        <v>0</v>
      </c>
      <c r="W1381" s="301"/>
      <c r="X1381" s="864"/>
      <c r="Y1381" s="865"/>
      <c r="Z1381" s="1065"/>
      <c r="AA1381" s="24"/>
      <c r="AB1381" s="24"/>
      <c r="AC1381" s="24"/>
      <c r="AD1381" s="24"/>
      <c r="AE1381" s="24"/>
    </row>
    <row r="1382" spans="1:38" s="302" customFormat="1" ht="15.75" hidden="1" outlineLevel="1" thickBot="1">
      <c r="A1382" s="979"/>
      <c r="B1382" s="980" t="s">
        <v>221</v>
      </c>
      <c r="C1382" s="981" t="s">
        <v>106</v>
      </c>
      <c r="D1382" s="981"/>
      <c r="E1382" s="299"/>
      <c r="F1382" s="982"/>
      <c r="G1382" s="1286"/>
      <c r="H1382" s="857"/>
      <c r="I1382" s="858"/>
      <c r="J1382" s="1419"/>
      <c r="K1382" s="1396"/>
      <c r="L1382" s="859"/>
      <c r="M1382" s="859"/>
      <c r="N1382" s="860"/>
      <c r="O1382" s="861">
        <v>0</v>
      </c>
      <c r="P1382" s="321"/>
      <c r="Q1382" s="1357"/>
      <c r="R1382" s="868"/>
      <c r="S1382" s="868"/>
      <c r="T1382" s="863"/>
      <c r="U1382" s="300"/>
      <c r="V1382" s="983">
        <f>+I1382+O1382+T1382</f>
        <v>0</v>
      </c>
      <c r="W1382" s="301"/>
      <c r="X1382" s="864"/>
      <c r="Y1382" s="865"/>
      <c r="Z1382" s="1065"/>
      <c r="AA1382" s="24"/>
      <c r="AB1382" s="24"/>
      <c r="AC1382" s="24"/>
      <c r="AD1382" s="24"/>
      <c r="AE1382" s="24"/>
    </row>
    <row r="1383" spans="1:38" ht="15.75" hidden="1" outlineLevel="1" thickBot="1">
      <c r="A1383" s="55"/>
      <c r="B1383" s="509"/>
      <c r="C1383" s="510"/>
      <c r="D1383" s="510"/>
      <c r="E1383" s="56"/>
      <c r="F1383" s="416"/>
      <c r="G1383" s="1251"/>
      <c r="H1383" s="676"/>
      <c r="I1383" s="677">
        <f>+F1383*H1383</f>
        <v>0</v>
      </c>
      <c r="J1383" s="1421"/>
      <c r="K1383" s="1449"/>
      <c r="L1383" s="869"/>
      <c r="M1383" s="869"/>
      <c r="N1383" s="504"/>
      <c r="O1383" s="682">
        <f>+L1383*N1383</f>
        <v>0</v>
      </c>
      <c r="P1383" s="431"/>
      <c r="Q1383" s="514"/>
      <c r="R1383" s="515"/>
      <c r="S1383" s="515"/>
      <c r="T1383" s="516">
        <f>+P1383*R1383</f>
        <v>0</v>
      </c>
      <c r="U1383" s="418">
        <f>+L1383+P1383+F1383</f>
        <v>0</v>
      </c>
      <c r="V1383" s="517">
        <f>+I1383+T1383+O1383</f>
        <v>0</v>
      </c>
      <c r="W1383" s="474"/>
      <c r="X1383" s="870"/>
      <c r="Y1383" s="871"/>
      <c r="AA1383" s="24"/>
      <c r="AB1383" s="24"/>
      <c r="AC1383" s="24"/>
      <c r="AD1383" s="24"/>
      <c r="AE1383" s="24"/>
    </row>
    <row r="1384" spans="1:38" s="322" customFormat="1" ht="19.5" collapsed="1" thickBot="1">
      <c r="A1384" s="872" t="s">
        <v>125</v>
      </c>
      <c r="B1384" s="873"/>
      <c r="C1384" s="874"/>
      <c r="D1384" s="874"/>
      <c r="E1384" s="875"/>
      <c r="F1384" s="876">
        <f>SUM(F1358:F1383)</f>
        <v>0</v>
      </c>
      <c r="G1384" s="876"/>
      <c r="H1384" s="877"/>
      <c r="I1384" s="878">
        <f>SUM(I1358:I1383)</f>
        <v>0</v>
      </c>
      <c r="J1384" s="878"/>
      <c r="K1384" s="878"/>
      <c r="L1384" s="879">
        <f>SUM(L1358:L1383)</f>
        <v>0</v>
      </c>
      <c r="M1384" s="879"/>
      <c r="N1384" s="880">
        <f>SUM(N1358:N1383)</f>
        <v>0</v>
      </c>
      <c r="O1384" s="881">
        <f>SUM(O1358:O1383)</f>
        <v>0</v>
      </c>
      <c r="P1384" s="882">
        <f>SUM(P1358:P1383)</f>
        <v>0</v>
      </c>
      <c r="Q1384" s="882"/>
      <c r="R1384" s="883"/>
      <c r="S1384" s="883"/>
      <c r="T1384" s="884">
        <f>SUM(T1358:T1383)</f>
        <v>0</v>
      </c>
      <c r="U1384" s="885">
        <f>SUM(U1358:U1383)</f>
        <v>0</v>
      </c>
      <c r="V1384" s="886">
        <f>SUM(V1358:V1383)</f>
        <v>0</v>
      </c>
      <c r="W1384" s="887">
        <f>SUM(W1358:W1383)</f>
        <v>0</v>
      </c>
      <c r="X1384" s="887">
        <f>SUM(X1358:X1383)</f>
        <v>0</v>
      </c>
      <c r="Y1384" s="888"/>
      <c r="Z1384" s="1066"/>
      <c r="AA1384" s="183"/>
      <c r="AB1384" s="183"/>
      <c r="AC1384" s="183"/>
      <c r="AD1384" s="183"/>
      <c r="AE1384" s="183"/>
    </row>
    <row r="1385" spans="1:38">
      <c r="T1385" s="3" t="s">
        <v>1219</v>
      </c>
      <c r="V1385" s="412">
        <v>0</v>
      </c>
      <c r="W1385" s="1067"/>
      <c r="X1385" s="1067"/>
      <c r="AA1385" s="24"/>
      <c r="AB1385" s="24"/>
      <c r="AC1385" s="24"/>
      <c r="AD1385" s="24"/>
      <c r="AE1385" s="24"/>
    </row>
    <row r="1386" spans="1:38" ht="15.75" thickBot="1">
      <c r="T1386" s="9"/>
      <c r="U1386" s="10">
        <f>+U1384-U1385</f>
        <v>0</v>
      </c>
      <c r="V1386" s="9">
        <f>+V1384-V1385</f>
        <v>0</v>
      </c>
      <c r="W1386" s="9"/>
      <c r="AA1386" s="24"/>
      <c r="AB1386" s="24"/>
      <c r="AC1386" s="24"/>
      <c r="AD1386" s="24"/>
      <c r="AE1386" s="24"/>
    </row>
    <row r="1387" spans="1:38" s="252" customFormat="1" ht="19.5" thickBot="1">
      <c r="A1387" s="817" t="s">
        <v>126</v>
      </c>
      <c r="B1387" s="818"/>
      <c r="C1387" s="819"/>
      <c r="D1387" s="820"/>
      <c r="E1387" s="820"/>
      <c r="F1387" s="821">
        <f>+F1149+F1043+F996+F1384</f>
        <v>106747493.83000001</v>
      </c>
      <c r="G1387" s="821"/>
      <c r="H1387" s="822"/>
      <c r="I1387" s="823">
        <f>+I1149+I1043+I996+I1384</f>
        <v>379596969416.78339</v>
      </c>
      <c r="J1387" s="823"/>
      <c r="K1387" s="823"/>
      <c r="L1387" s="821">
        <f>+L1149+L1043+L996+L1384</f>
        <v>2163777.4199999971</v>
      </c>
      <c r="M1387" s="821"/>
      <c r="N1387" s="822"/>
      <c r="O1387" s="823">
        <f ca="1">+O1149+O1043+O996+O1384</f>
        <v>10145348328.302687</v>
      </c>
      <c r="P1387" s="821">
        <f>+P1149+P1043+P996+P1384</f>
        <v>-5071021.9800000032</v>
      </c>
      <c r="Q1387" s="821"/>
      <c r="R1387" s="822"/>
      <c r="S1387" s="823"/>
      <c r="T1387" s="823">
        <f ca="1">+T1149+T1043+T996+T1384</f>
        <v>-24293376651.131516</v>
      </c>
      <c r="U1387" s="821">
        <f>+U996+U1043+U1088+U1149</f>
        <v>159046974.63999999</v>
      </c>
      <c r="V1387" s="824">
        <f ca="1">+V996+V1043+V1088+V1149+V1185+V1220+V1254+V1287+V1318+V1352+V1384</f>
        <v>2620446191508.8999</v>
      </c>
      <c r="W1387" s="823">
        <f ca="1">+W1149+W1088+W1043+W996</f>
        <v>3380740805.5234995</v>
      </c>
      <c r="X1387" s="825">
        <f ca="1">+X1149+X1088+X1043+X996</f>
        <v>-215645668.52980077</v>
      </c>
      <c r="Y1387" s="826"/>
      <c r="Z1387" s="251"/>
      <c r="AA1387" s="183"/>
      <c r="AB1387" s="183"/>
      <c r="AC1387" s="183"/>
      <c r="AD1387" s="183"/>
      <c r="AE1387" s="183"/>
    </row>
    <row r="1388" spans="1:38">
      <c r="F1388" s="444"/>
      <c r="G1388" s="444"/>
      <c r="H1388" s="442"/>
      <c r="I1388" s="443"/>
      <c r="L1388" s="441"/>
      <c r="M1388" s="441"/>
      <c r="N1388" s="442"/>
      <c r="O1388" s="443"/>
      <c r="P1388" s="444"/>
      <c r="Q1388" s="444"/>
      <c r="R1388" s="442"/>
      <c r="S1388" s="442"/>
      <c r="T1388" s="1068"/>
      <c r="U1388" s="1069"/>
      <c r="V1388" s="1069">
        <f ca="1">U1391+V1387</f>
        <v>-155222168678.1001</v>
      </c>
      <c r="W1388" s="150"/>
      <c r="X1388" s="150"/>
      <c r="AA1388" s="24"/>
      <c r="AB1388" s="24"/>
      <c r="AC1388" s="24"/>
      <c r="AD1388" s="24"/>
      <c r="AE1388" s="24"/>
    </row>
    <row r="1389" spans="1:38">
      <c r="F1389" s="444"/>
      <c r="G1389" s="444"/>
      <c r="H1389" s="442"/>
      <c r="I1389" s="443"/>
      <c r="L1389" s="441"/>
      <c r="M1389" s="441"/>
      <c r="N1389" s="442"/>
      <c r="O1389" s="443"/>
      <c r="P1389" s="444"/>
      <c r="Q1389" s="444"/>
      <c r="R1389" s="442"/>
      <c r="S1389" s="442"/>
      <c r="T1389" s="1068" t="s">
        <v>238</v>
      </c>
      <c r="U1389" s="1069">
        <v>-159046974.47</v>
      </c>
      <c r="V1389" s="475">
        <f>U1387+U1389</f>
        <v>0.16999998688697815</v>
      </c>
      <c r="W1389" s="150">
        <f>+V1391/U1389</f>
        <v>1.1567926746994096E-8</v>
      </c>
      <c r="X1389" s="1850">
        <f ca="1">+W1390+V1043+V1088+V1149</f>
        <v>-155222167882.53027</v>
      </c>
      <c r="Y1389" s="1940" t="s">
        <v>1271</v>
      </c>
      <c r="AA1389" s="1940"/>
      <c r="AB1389" s="1940">
        <f ca="1">-SUM(AB1001:AB1148)</f>
        <v>-155222168676.26013</v>
      </c>
      <c r="AC1389" s="150">
        <f ca="1">+V1388-AB1389</f>
        <v>-1.8399658203125</v>
      </c>
      <c r="AD1389" s="24"/>
      <c r="AE1389" s="24"/>
    </row>
    <row r="1390" spans="1:38">
      <c r="F1390" s="444"/>
      <c r="G1390" s="444"/>
      <c r="H1390" s="442"/>
      <c r="I1390" s="443"/>
      <c r="L1390" s="441"/>
      <c r="M1390" s="441"/>
      <c r="N1390" s="442"/>
      <c r="O1390" s="443"/>
      <c r="P1390" s="444"/>
      <c r="Q1390" s="444"/>
      <c r="R1390" s="442"/>
      <c r="S1390" s="442"/>
      <c r="T1390" s="1068" t="s">
        <v>259</v>
      </c>
      <c r="U1390" s="1067">
        <v>-2033078035507</v>
      </c>
      <c r="V1390" s="475">
        <f>V1185+V1220+V1254+V1287+V1318+V1352+V1384+U1390</f>
        <v>84</v>
      </c>
      <c r="W1390" s="152">
        <f>+U1389*$B$4</f>
        <v>-742590323800.43005</v>
      </c>
      <c r="X1390" s="152">
        <f>+W1390+U1390</f>
        <v>-2775668359307.4302</v>
      </c>
      <c r="Y1390" s="1491"/>
      <c r="AA1390" s="24"/>
      <c r="AB1390" s="24">
        <f ca="1">+X1389-AB1389</f>
        <v>793.7298583984375</v>
      </c>
      <c r="AC1390" s="24"/>
      <c r="AD1390" s="24"/>
      <c r="AE1390" s="24"/>
    </row>
    <row r="1391" spans="1:38">
      <c r="F1391" s="444"/>
      <c r="G1391" s="444"/>
      <c r="H1391" s="442"/>
      <c r="I1391" s="443"/>
      <c r="L1391" s="441"/>
      <c r="M1391" s="441"/>
      <c r="N1391" s="442"/>
      <c r="O1391" s="443"/>
      <c r="P1391" s="444"/>
      <c r="Q1391" s="444"/>
      <c r="R1391" s="442"/>
      <c r="S1391" s="442"/>
      <c r="T1391" s="1103" t="s">
        <v>260</v>
      </c>
      <c r="U1391" s="1119">
        <v>-2775668360187</v>
      </c>
      <c r="V1391" s="475">
        <f>(U1387*$B$4+V1185+V1220+V1254+V1287+V1318+V1352+V1384)+U1391</f>
        <v>-1.83984375</v>
      </c>
      <c r="W1391" s="150">
        <f>+(U1391-U1390)/U1389</f>
        <v>4669.0000055302526</v>
      </c>
      <c r="X1391" s="150">
        <f>U1391-X1390</f>
        <v>-879.56982421875</v>
      </c>
      <c r="Y1391" s="1599"/>
      <c r="AA1391" s="24"/>
      <c r="AB1391" s="24"/>
      <c r="AC1391" s="24"/>
      <c r="AD1391" s="24"/>
      <c r="AE1391" s="24"/>
    </row>
    <row r="1392" spans="1:38" s="766" customFormat="1" ht="15.75" thickBot="1">
      <c r="A1392" s="755"/>
      <c r="B1392" s="755"/>
      <c r="C1392" s="756"/>
      <c r="D1392" s="756"/>
      <c r="E1392" s="757"/>
      <c r="F1392" s="758"/>
      <c r="G1392" s="758"/>
      <c r="H1392" s="759"/>
      <c r="I1392" s="760"/>
      <c r="J1392" s="1388"/>
      <c r="K1392" s="1388"/>
      <c r="L1392" s="761"/>
      <c r="M1392" s="761"/>
      <c r="N1392" s="759"/>
      <c r="O1392" s="760"/>
      <c r="P1392" s="762"/>
      <c r="Q1392" s="762"/>
      <c r="R1392" s="759"/>
      <c r="S1392" s="759"/>
      <c r="T1392" s="760"/>
      <c r="U1392" s="758"/>
      <c r="V1392" s="763"/>
      <c r="W1392" s="760"/>
      <c r="X1392" s="760"/>
      <c r="Y1392" s="756"/>
      <c r="Z1392" s="764"/>
      <c r="AA1392" s="765"/>
      <c r="AB1392" s="765"/>
      <c r="AC1392" s="765"/>
      <c r="AD1392" s="765"/>
      <c r="AE1392" s="765"/>
      <c r="AL1392" s="1580"/>
    </row>
    <row r="1393" spans="1:34" ht="19.5" thickBot="1">
      <c r="A1393" s="488" t="s">
        <v>216</v>
      </c>
      <c r="B1393" s="489"/>
      <c r="C1393" s="490"/>
      <c r="D1393" s="490"/>
      <c r="E1393" s="491"/>
      <c r="F1393" s="492"/>
      <c r="G1393" s="492"/>
      <c r="H1393" s="493"/>
      <c r="I1393" s="494"/>
      <c r="J1393" s="494"/>
      <c r="K1393" s="494"/>
      <c r="L1393" s="495"/>
      <c r="M1393" s="495"/>
      <c r="N1393" s="493"/>
      <c r="O1393" s="494"/>
      <c r="P1393" s="492"/>
      <c r="Q1393" s="492"/>
      <c r="R1393" s="492"/>
      <c r="S1393" s="493"/>
      <c r="T1393" s="494"/>
      <c r="U1393" s="489"/>
      <c r="V1393" s="489"/>
      <c r="W1393" s="494"/>
      <c r="X1393" s="494"/>
      <c r="Y1393" s="496"/>
      <c r="AA1393" s="24"/>
      <c r="AB1393" s="24"/>
      <c r="AC1393" s="24"/>
      <c r="AD1393" s="24"/>
      <c r="AE1393" s="24"/>
    </row>
    <row r="1394" spans="1:34" s="27" customFormat="1" ht="21">
      <c r="A1394" s="827" t="s">
        <v>1414</v>
      </c>
      <c r="B1394" s="828"/>
      <c r="C1394" s="2558" t="s">
        <v>57</v>
      </c>
      <c r="D1394" s="2560" t="s">
        <v>59</v>
      </c>
      <c r="E1394" s="2562" t="s">
        <v>58</v>
      </c>
      <c r="F1394" s="2564" t="str">
        <f>+F6</f>
        <v>SALDO FISCAL 31/12/2022</v>
      </c>
      <c r="G1394" s="2565"/>
      <c r="H1394" s="2565"/>
      <c r="I1394" s="2566"/>
      <c r="J1394" s="2567" t="str">
        <f>+J6</f>
        <v>Tasa Mon Extranj</v>
      </c>
      <c r="K1394" s="2568"/>
      <c r="L1394" s="2569" t="str">
        <f>+L6</f>
        <v>ENTRADAS</v>
      </c>
      <c r="M1394" s="2570"/>
      <c r="N1394" s="2570"/>
      <c r="O1394" s="2571"/>
      <c r="P1394" s="2572" t="str">
        <f>+P6</f>
        <v>SALIDAS</v>
      </c>
      <c r="Q1394" s="2573"/>
      <c r="R1394" s="2573"/>
      <c r="S1394" s="2573"/>
      <c r="T1394" s="2574"/>
      <c r="U1394" s="2575" t="s">
        <v>62</v>
      </c>
      <c r="V1394" s="2576"/>
      <c r="W1394" s="2577" t="s">
        <v>63</v>
      </c>
      <c r="X1394" s="2578"/>
      <c r="Y1394" s="2579"/>
      <c r="Z1394" s="44"/>
      <c r="AA1394" s="213"/>
      <c r="AB1394" s="213"/>
      <c r="AC1394" s="213"/>
      <c r="AD1394" s="213"/>
      <c r="AE1394" s="213"/>
    </row>
    <row r="1395" spans="1:34" s="216" customFormat="1" ht="15.75" thickBot="1">
      <c r="A1395" s="253" t="s">
        <v>87</v>
      </c>
      <c r="B1395" s="254" t="s">
        <v>88</v>
      </c>
      <c r="C1395" s="2559"/>
      <c r="D1395" s="2561"/>
      <c r="E1395" s="2563"/>
      <c r="F1395" s="30" t="str">
        <f>+F7</f>
        <v>MON/EX</v>
      </c>
      <c r="G1395" s="1249" t="str">
        <f>+G7</f>
        <v>USD</v>
      </c>
      <c r="H1395" s="31" t="str">
        <f>+H7</f>
        <v>TRM CIERRE</v>
      </c>
      <c r="I1395" s="32" t="str">
        <f>+I7</f>
        <v>SALDO PESOS</v>
      </c>
      <c r="J1395" s="1423" t="str">
        <f>+J7</f>
        <v>Inicial</v>
      </c>
      <c r="K1395" s="1338" t="str">
        <f>+K7</f>
        <v>Pago</v>
      </c>
      <c r="L1395" s="33" t="str">
        <f>+L7</f>
        <v>ENTRADAS MON/EX</v>
      </c>
      <c r="M1395" s="1297" t="str">
        <f>+M7</f>
        <v>USD</v>
      </c>
      <c r="N1395" s="34" t="str">
        <f>+N7</f>
        <v>TRM INICIAL</v>
      </c>
      <c r="O1395" s="35" t="str">
        <f>+O7</f>
        <v>ENTRADAS PESOS</v>
      </c>
      <c r="P1395" s="36" t="str">
        <f>+P7</f>
        <v>PAGOS MON/EX</v>
      </c>
      <c r="Q1395" s="1338" t="str">
        <f t="shared" ref="Q1395:X1395" si="2669">+Q7</f>
        <v>USD</v>
      </c>
      <c r="R1395" s="37" t="str">
        <f t="shared" si="2669"/>
        <v>TRM INICIAL</v>
      </c>
      <c r="S1395" s="37" t="str">
        <f t="shared" si="2669"/>
        <v>TRM PAGO</v>
      </c>
      <c r="T1395" s="38" t="str">
        <f t="shared" si="2669"/>
        <v>PAGO EN PESOS</v>
      </c>
      <c r="U1395" s="39" t="str">
        <f t="shared" si="2669"/>
        <v xml:space="preserve"> SALDO MON/EX</v>
      </c>
      <c r="V1395" s="40" t="str">
        <f t="shared" si="2669"/>
        <v>SALDO  PESOS</v>
      </c>
      <c r="W1395" s="41" t="str">
        <f t="shared" si="2669"/>
        <v>GASTO</v>
      </c>
      <c r="X1395" s="42" t="str">
        <f t="shared" si="2669"/>
        <v>INGRESO</v>
      </c>
      <c r="Y1395" s="43"/>
      <c r="Z1395" s="214"/>
      <c r="AA1395" s="323" t="s">
        <v>292</v>
      </c>
      <c r="AB1395" s="323"/>
      <c r="AC1395" s="323"/>
      <c r="AD1395" s="323"/>
      <c r="AE1395" s="323"/>
    </row>
    <row r="1396" spans="1:34" s="334" customFormat="1" ht="15.75" hidden="1" outlineLevel="1">
      <c r="A1396" s="1919">
        <v>1420110000</v>
      </c>
      <c r="B1396" s="1920" t="s">
        <v>1485</v>
      </c>
      <c r="C1396" s="1921" t="s">
        <v>64</v>
      </c>
      <c r="D1396" s="1921">
        <v>100040874</v>
      </c>
      <c r="E1396" s="1922">
        <v>44768</v>
      </c>
      <c r="F1396" s="1918">
        <v>2860</v>
      </c>
      <c r="G1396" s="1923">
        <f t="shared" ref="G1396:G1405" si="2670">ROUND(F1396*J1396,2)</f>
        <v>2860</v>
      </c>
      <c r="H1396" s="1924">
        <f ca="1">IF(OR($E1396="",$E1396&gt;TODAY()),0,VLOOKUP($E1396,'TRM BanRep'!$A:$G,7,0))</f>
        <v>4461.63</v>
      </c>
      <c r="I1396" s="1925">
        <f t="shared" ref="I1396:I1405" ca="1" si="2671">+F1396*J1396*H1396</f>
        <v>12760261.800000001</v>
      </c>
      <c r="J1396" s="1926">
        <v>1</v>
      </c>
      <c r="K1396" s="1927">
        <v>1</v>
      </c>
      <c r="L1396" s="2376"/>
      <c r="M1396" s="2377">
        <f t="shared" ref="M1396:M1405" si="2672">+L1396*J1396</f>
        <v>0</v>
      </c>
      <c r="N1396" s="1924"/>
      <c r="O1396" s="1925">
        <f t="shared" ref="O1396:O1405" si="2673">+L1396*J1396*N1396</f>
        <v>0</v>
      </c>
      <c r="P1396" s="1918"/>
      <c r="Q1396" s="1923">
        <f t="shared" ref="Q1396:Q1405" si="2674">+P1396*K1396</f>
        <v>0</v>
      </c>
      <c r="R1396" s="1924"/>
      <c r="S1396" s="1924"/>
      <c r="T1396" s="1925">
        <f t="shared" ref="T1396:T1405" si="2675">+P1396*K1396*S1396</f>
        <v>0</v>
      </c>
      <c r="U1396" s="1918">
        <f t="shared" ref="U1396:U1405" si="2676">+L1396+P1396+F1396</f>
        <v>2860</v>
      </c>
      <c r="V1396" s="1925">
        <f t="shared" ref="V1396:V1405" ca="1" si="2677">+P1396*J1396*R1396+L1396*J1396*N1396+F1396*J1396*H1396</f>
        <v>12760261.800000001</v>
      </c>
      <c r="W1396" s="2378">
        <f t="shared" ref="W1396:W1405" si="2678">-(IF(-P1396*J1396*R1396&gt;-P1396*K1396*S1396,-((-P1396*J1396*R1396)-(-P1396*K1396*S1396)),0))</f>
        <v>0</v>
      </c>
      <c r="X1396" s="2379">
        <f t="shared" ref="X1396:X1405" si="2679">-(IF(-P1396*J1396*R1396&lt;-P1396*K1396*S1396,-((-P1396*J1396*R1396)-(-P1396*K1396*S1396)),0))</f>
        <v>0</v>
      </c>
      <c r="Y1396" s="1936"/>
      <c r="Z1396" s="1072"/>
      <c r="AA1396" s="24">
        <f ca="1">$B$4-H1396</f>
        <v>207.36999999999989</v>
      </c>
      <c r="AB1396" s="24">
        <f t="shared" ref="AB1396:AB1426" ca="1" si="2680">+U1396*AA1396</f>
        <v>593078.19999999972</v>
      </c>
      <c r="AC1396" s="333"/>
      <c r="AD1396" s="333"/>
      <c r="AE1396" s="333"/>
      <c r="AF1396" s="333"/>
      <c r="AG1396" s="333"/>
      <c r="AH1396" s="333" t="s">
        <v>1358</v>
      </c>
    </row>
    <row r="1397" spans="1:34" s="334" customFormat="1" ht="15.75" hidden="1" outlineLevel="1">
      <c r="A1397" s="1919">
        <v>1420110000</v>
      </c>
      <c r="B1397" s="1920" t="s">
        <v>2257</v>
      </c>
      <c r="C1397" s="1921" t="s">
        <v>64</v>
      </c>
      <c r="D1397" s="1921">
        <v>100047414</v>
      </c>
      <c r="E1397" s="1922">
        <v>44805</v>
      </c>
      <c r="F1397" s="1918">
        <v>556</v>
      </c>
      <c r="G1397" s="1923">
        <f t="shared" si="2670"/>
        <v>556</v>
      </c>
      <c r="H1397" s="1924">
        <f ca="1">IF(OR($E1397="",$E1397&gt;TODAY()),0,VLOOKUP($E1397,'TRM BanRep'!$A:$G,7,0))</f>
        <v>4422.7700000000004</v>
      </c>
      <c r="I1397" s="1925">
        <f t="shared" ca="1" si="2671"/>
        <v>2459060.12</v>
      </c>
      <c r="J1397" s="1926">
        <v>1</v>
      </c>
      <c r="K1397" s="1927">
        <v>1</v>
      </c>
      <c r="L1397" s="2376"/>
      <c r="M1397" s="2377">
        <f t="shared" si="2672"/>
        <v>0</v>
      </c>
      <c r="N1397" s="1924"/>
      <c r="O1397" s="1925">
        <f t="shared" si="2673"/>
        <v>0</v>
      </c>
      <c r="P1397" s="1918"/>
      <c r="Q1397" s="1923">
        <f t="shared" si="2674"/>
        <v>0</v>
      </c>
      <c r="R1397" s="1924"/>
      <c r="S1397" s="1924"/>
      <c r="T1397" s="1925">
        <f t="shared" si="2675"/>
        <v>0</v>
      </c>
      <c r="U1397" s="1918">
        <f t="shared" si="2676"/>
        <v>556</v>
      </c>
      <c r="V1397" s="1925">
        <f t="shared" ca="1" si="2677"/>
        <v>2459060.12</v>
      </c>
      <c r="W1397" s="2378">
        <f t="shared" si="2678"/>
        <v>0</v>
      </c>
      <c r="X1397" s="2379">
        <f t="shared" si="2679"/>
        <v>0</v>
      </c>
      <c r="Y1397" s="1936"/>
      <c r="Z1397" s="1072"/>
      <c r="AA1397" s="24">
        <f t="shared" ref="AA1397:AA1411" ca="1" si="2681">$B$4-H1397</f>
        <v>246.22999999999956</v>
      </c>
      <c r="AB1397" s="24">
        <f t="shared" ca="1" si="2680"/>
        <v>136903.87999999977</v>
      </c>
      <c r="AC1397" s="333"/>
      <c r="AD1397" s="333"/>
      <c r="AE1397" s="333"/>
      <c r="AF1397" s="333"/>
      <c r="AG1397" s="333"/>
      <c r="AH1397" s="333" t="s">
        <v>1358</v>
      </c>
    </row>
    <row r="1398" spans="1:34" s="334" customFormat="1" ht="15.75" hidden="1" outlineLevel="1">
      <c r="A1398" s="1919">
        <v>1420110000</v>
      </c>
      <c r="B1398" s="1920" t="s">
        <v>2258</v>
      </c>
      <c r="C1398" s="1921" t="s">
        <v>64</v>
      </c>
      <c r="D1398" s="1921">
        <v>100047513</v>
      </c>
      <c r="E1398" s="1922">
        <v>44806</v>
      </c>
      <c r="F1398" s="1918">
        <v>2860</v>
      </c>
      <c r="G1398" s="1923">
        <f t="shared" si="2670"/>
        <v>2860</v>
      </c>
      <c r="H1398" s="1924">
        <f ca="1">IF(OR($E1398="",$E1398&gt;TODAY()),0,VLOOKUP($E1398,'TRM BanRep'!$A:$G,7,0))</f>
        <v>4467.03</v>
      </c>
      <c r="I1398" s="2449">
        <f t="shared" ca="1" si="2671"/>
        <v>12775705.799999999</v>
      </c>
      <c r="J1398" s="1926">
        <v>1</v>
      </c>
      <c r="K1398" s="1927">
        <v>1</v>
      </c>
      <c r="L1398" s="2376"/>
      <c r="M1398" s="2377">
        <f t="shared" si="2672"/>
        <v>0</v>
      </c>
      <c r="N1398" s="1924"/>
      <c r="O1398" s="1925">
        <f t="shared" si="2673"/>
        <v>0</v>
      </c>
      <c r="P1398" s="1918"/>
      <c r="Q1398" s="1923">
        <f t="shared" si="2674"/>
        <v>0</v>
      </c>
      <c r="R1398" s="1924"/>
      <c r="S1398" s="1924"/>
      <c r="T1398" s="1925">
        <f t="shared" si="2675"/>
        <v>0</v>
      </c>
      <c r="U1398" s="1918">
        <f t="shared" si="2676"/>
        <v>2860</v>
      </c>
      <c r="V1398" s="1925">
        <f t="shared" ca="1" si="2677"/>
        <v>12775705.799999999</v>
      </c>
      <c r="W1398" s="2378">
        <f t="shared" si="2678"/>
        <v>0</v>
      </c>
      <c r="X1398" s="2379">
        <f t="shared" si="2679"/>
        <v>0</v>
      </c>
      <c r="Y1398" s="1936"/>
      <c r="Z1398" s="1072"/>
      <c r="AA1398" s="24">
        <f t="shared" ca="1" si="2681"/>
        <v>201.97000000000025</v>
      </c>
      <c r="AB1398" s="24">
        <f t="shared" ca="1" si="2680"/>
        <v>577634.20000000077</v>
      </c>
      <c r="AC1398" s="333"/>
      <c r="AD1398" s="333"/>
      <c r="AE1398" s="333"/>
      <c r="AF1398" s="333"/>
      <c r="AG1398" s="333"/>
      <c r="AH1398" s="333" t="s">
        <v>1358</v>
      </c>
    </row>
    <row r="1399" spans="1:34" s="334" customFormat="1" ht="15.75" hidden="1" outlineLevel="1">
      <c r="A1399" s="1919">
        <v>1420110000</v>
      </c>
      <c r="B1399" s="1920" t="s">
        <v>2259</v>
      </c>
      <c r="C1399" s="1921" t="s">
        <v>64</v>
      </c>
      <c r="D1399" s="2447">
        <v>100048167</v>
      </c>
      <c r="E1399" s="1922">
        <v>44810</v>
      </c>
      <c r="F1399" s="1918">
        <v>2470</v>
      </c>
      <c r="G1399" s="1923">
        <f t="shared" si="2670"/>
        <v>2470</v>
      </c>
      <c r="H1399" s="1924">
        <f ca="1">IF(OR($E1399="",$E1399&gt;TODAY()),0,VLOOKUP($E1399,'TRM BanRep'!$A:$G,7,0))</f>
        <v>4466.7299999999996</v>
      </c>
      <c r="I1399" s="2448">
        <f t="shared" ca="1" si="2671"/>
        <v>11032823.1</v>
      </c>
      <c r="J1399" s="1926">
        <v>1</v>
      </c>
      <c r="K1399" s="1927">
        <v>1</v>
      </c>
      <c r="L1399" s="2376"/>
      <c r="M1399" s="2377">
        <f t="shared" si="2672"/>
        <v>0</v>
      </c>
      <c r="N1399" s="1924"/>
      <c r="O1399" s="1925">
        <f t="shared" si="2673"/>
        <v>0</v>
      </c>
      <c r="P1399" s="1918"/>
      <c r="Q1399" s="1923">
        <f t="shared" si="2674"/>
        <v>0</v>
      </c>
      <c r="R1399" s="1924"/>
      <c r="S1399" s="1924"/>
      <c r="T1399" s="1925">
        <f t="shared" si="2675"/>
        <v>0</v>
      </c>
      <c r="U1399" s="1918">
        <f t="shared" si="2676"/>
        <v>2470</v>
      </c>
      <c r="V1399" s="1925">
        <f t="shared" ca="1" si="2677"/>
        <v>11032823.1</v>
      </c>
      <c r="W1399" s="2378">
        <f t="shared" si="2678"/>
        <v>0</v>
      </c>
      <c r="X1399" s="2379">
        <f t="shared" si="2679"/>
        <v>0</v>
      </c>
      <c r="Y1399" s="1936"/>
      <c r="Z1399" s="1072"/>
      <c r="AA1399" s="24">
        <f t="shared" ca="1" si="2681"/>
        <v>202.27000000000044</v>
      </c>
      <c r="AB1399" s="24">
        <f t="shared" ca="1" si="2680"/>
        <v>499606.90000000107</v>
      </c>
      <c r="AC1399" s="333"/>
      <c r="AD1399" s="333"/>
      <c r="AE1399" s="333"/>
      <c r="AF1399" s="333"/>
      <c r="AG1399" s="333"/>
      <c r="AH1399" s="333" t="s">
        <v>1358</v>
      </c>
    </row>
    <row r="1400" spans="1:34" s="334" customFormat="1" ht="15.75" hidden="1" outlineLevel="1">
      <c r="A1400" s="1919">
        <v>1420110000</v>
      </c>
      <c r="B1400" s="1920" t="s">
        <v>2259</v>
      </c>
      <c r="C1400" s="1921" t="s">
        <v>64</v>
      </c>
      <c r="D1400" s="2447">
        <v>100048167</v>
      </c>
      <c r="E1400" s="1922">
        <v>44810</v>
      </c>
      <c r="F1400" s="1918">
        <v>2470</v>
      </c>
      <c r="G1400" s="1923">
        <f t="shared" si="2670"/>
        <v>2470</v>
      </c>
      <c r="H1400" s="1924">
        <f ca="1">IF(OR($E1400="",$E1400&gt;TODAY()),0,VLOOKUP($E1400,'TRM BanRep'!$A:$G,7,0))</f>
        <v>4466.7299999999996</v>
      </c>
      <c r="I1400" s="2448">
        <f t="shared" ca="1" si="2671"/>
        <v>11032823.1</v>
      </c>
      <c r="J1400" s="1926">
        <v>1</v>
      </c>
      <c r="K1400" s="1927">
        <v>1</v>
      </c>
      <c r="L1400" s="2376"/>
      <c r="M1400" s="2377">
        <f t="shared" si="2672"/>
        <v>0</v>
      </c>
      <c r="N1400" s="1924"/>
      <c r="O1400" s="1925">
        <f t="shared" si="2673"/>
        <v>0</v>
      </c>
      <c r="P1400" s="1918"/>
      <c r="Q1400" s="1923">
        <f t="shared" si="2674"/>
        <v>0</v>
      </c>
      <c r="R1400" s="1924"/>
      <c r="S1400" s="1924"/>
      <c r="T1400" s="1925">
        <f t="shared" si="2675"/>
        <v>0</v>
      </c>
      <c r="U1400" s="1918">
        <f t="shared" si="2676"/>
        <v>2470</v>
      </c>
      <c r="V1400" s="1925">
        <f t="shared" ca="1" si="2677"/>
        <v>11032823.1</v>
      </c>
      <c r="W1400" s="2378">
        <f t="shared" si="2678"/>
        <v>0</v>
      </c>
      <c r="X1400" s="2379">
        <f t="shared" si="2679"/>
        <v>0</v>
      </c>
      <c r="Y1400" s="1936"/>
      <c r="Z1400" s="1072"/>
      <c r="AA1400" s="24">
        <f t="shared" ca="1" si="2681"/>
        <v>202.27000000000044</v>
      </c>
      <c r="AB1400" s="24">
        <f t="shared" ca="1" si="2680"/>
        <v>499606.90000000107</v>
      </c>
      <c r="AC1400" s="333"/>
      <c r="AD1400" s="333"/>
      <c r="AE1400" s="333"/>
      <c r="AF1400" s="333"/>
      <c r="AG1400" s="333"/>
      <c r="AH1400" s="333" t="s">
        <v>1358</v>
      </c>
    </row>
    <row r="1401" spans="1:34" s="334" customFormat="1" ht="15.75" hidden="1" outlineLevel="1">
      <c r="A1401" s="1919">
        <v>1420110000</v>
      </c>
      <c r="B1401" s="1920" t="s">
        <v>2260</v>
      </c>
      <c r="C1401" s="1921" t="s">
        <v>64</v>
      </c>
      <c r="D1401" s="1921">
        <v>100048276</v>
      </c>
      <c r="E1401" s="1922">
        <v>44810</v>
      </c>
      <c r="F1401" s="1918">
        <v>2860</v>
      </c>
      <c r="G1401" s="1923">
        <f t="shared" si="2670"/>
        <v>2860</v>
      </c>
      <c r="H1401" s="1924">
        <f ca="1">IF(OR($E1401="",$E1401&gt;TODAY()),0,VLOOKUP($E1401,'TRM BanRep'!$A:$G,7,0))</f>
        <v>4466.7299999999996</v>
      </c>
      <c r="I1401" s="1925">
        <f t="shared" ca="1" si="2671"/>
        <v>12774847.799999999</v>
      </c>
      <c r="J1401" s="1926">
        <v>1</v>
      </c>
      <c r="K1401" s="1927">
        <v>1</v>
      </c>
      <c r="L1401" s="2376"/>
      <c r="M1401" s="2377">
        <f t="shared" si="2672"/>
        <v>0</v>
      </c>
      <c r="N1401" s="1924"/>
      <c r="O1401" s="1925">
        <f t="shared" si="2673"/>
        <v>0</v>
      </c>
      <c r="P1401" s="1918"/>
      <c r="Q1401" s="1923">
        <f t="shared" si="2674"/>
        <v>0</v>
      </c>
      <c r="R1401" s="1924"/>
      <c r="S1401" s="1924"/>
      <c r="T1401" s="1925">
        <f t="shared" si="2675"/>
        <v>0</v>
      </c>
      <c r="U1401" s="1918">
        <f t="shared" si="2676"/>
        <v>2860</v>
      </c>
      <c r="V1401" s="1925">
        <f t="shared" ca="1" si="2677"/>
        <v>12774847.799999999</v>
      </c>
      <c r="W1401" s="2378">
        <f t="shared" si="2678"/>
        <v>0</v>
      </c>
      <c r="X1401" s="2379">
        <f t="shared" si="2679"/>
        <v>0</v>
      </c>
      <c r="Y1401" s="1936"/>
      <c r="Z1401" s="1072"/>
      <c r="AA1401" s="24">
        <f t="shared" ca="1" si="2681"/>
        <v>202.27000000000044</v>
      </c>
      <c r="AB1401" s="24">
        <f t="shared" ca="1" si="2680"/>
        <v>578492.20000000123</v>
      </c>
      <c r="AC1401" s="333"/>
      <c r="AD1401" s="333"/>
      <c r="AE1401" s="333"/>
      <c r="AF1401" s="333"/>
      <c r="AG1401" s="333"/>
      <c r="AH1401" s="333" t="s">
        <v>1358</v>
      </c>
    </row>
    <row r="1402" spans="1:34" s="334" customFormat="1" ht="15.75" hidden="1" outlineLevel="1">
      <c r="A1402" s="1919">
        <v>1420110000</v>
      </c>
      <c r="B1402" s="1920" t="s">
        <v>2261</v>
      </c>
      <c r="C1402" s="1921" t="s">
        <v>64</v>
      </c>
      <c r="D1402" s="1921">
        <v>100048671</v>
      </c>
      <c r="E1402" s="1922">
        <v>44811</v>
      </c>
      <c r="F1402" s="1918">
        <v>425</v>
      </c>
      <c r="G1402" s="1923">
        <f t="shared" si="2670"/>
        <v>425</v>
      </c>
      <c r="H1402" s="1924">
        <f ca="1">IF(OR($E1402="",$E1402&gt;TODAY()),0,VLOOKUP($E1402,'TRM BanRep'!$A:$G,7,0))</f>
        <v>4480.1000000000004</v>
      </c>
      <c r="I1402" s="1925">
        <f t="shared" ca="1" si="2671"/>
        <v>1904042.5000000002</v>
      </c>
      <c r="J1402" s="1926">
        <v>1</v>
      </c>
      <c r="K1402" s="1927">
        <v>1</v>
      </c>
      <c r="L1402" s="2376"/>
      <c r="M1402" s="2377">
        <f t="shared" si="2672"/>
        <v>0</v>
      </c>
      <c r="N1402" s="1924"/>
      <c r="O1402" s="1925">
        <f t="shared" si="2673"/>
        <v>0</v>
      </c>
      <c r="P1402" s="1918"/>
      <c r="Q1402" s="1923">
        <f t="shared" si="2674"/>
        <v>0</v>
      </c>
      <c r="R1402" s="1924"/>
      <c r="S1402" s="1924"/>
      <c r="T1402" s="1925">
        <f t="shared" si="2675"/>
        <v>0</v>
      </c>
      <c r="U1402" s="1918">
        <f t="shared" si="2676"/>
        <v>425</v>
      </c>
      <c r="V1402" s="1925">
        <f t="shared" ca="1" si="2677"/>
        <v>1904042.5000000002</v>
      </c>
      <c r="W1402" s="2378">
        <f t="shared" si="2678"/>
        <v>0</v>
      </c>
      <c r="X1402" s="2379">
        <f t="shared" si="2679"/>
        <v>0</v>
      </c>
      <c r="Y1402" s="1936"/>
      <c r="Z1402" s="1072"/>
      <c r="AA1402" s="24">
        <f t="shared" ca="1" si="2681"/>
        <v>188.89999999999964</v>
      </c>
      <c r="AB1402" s="24">
        <f t="shared" ca="1" si="2680"/>
        <v>80282.49999999984</v>
      </c>
      <c r="AC1402" s="333"/>
      <c r="AD1402" s="333"/>
      <c r="AE1402" s="333"/>
      <c r="AF1402" s="333"/>
      <c r="AG1402" s="333"/>
      <c r="AH1402" s="333" t="s">
        <v>1358</v>
      </c>
    </row>
    <row r="1403" spans="1:34" s="334" customFormat="1" ht="15.75" hidden="1" outlineLevel="1">
      <c r="A1403" s="1919">
        <v>1420110000</v>
      </c>
      <c r="B1403" s="1920" t="s">
        <v>2261</v>
      </c>
      <c r="C1403" s="1921" t="s">
        <v>64</v>
      </c>
      <c r="D1403" s="2447">
        <v>100050163</v>
      </c>
      <c r="E1403" s="1922">
        <v>44819</v>
      </c>
      <c r="F1403" s="1918">
        <v>211.6</v>
      </c>
      <c r="G1403" s="1923">
        <f t="shared" si="2670"/>
        <v>211.6</v>
      </c>
      <c r="H1403" s="1924">
        <f ca="1">IF(OR($E1403="",$E1403&gt;TODAY()),0,VLOOKUP($E1403,'TRM BanRep'!$A:$G,7,0))</f>
        <v>4389.8</v>
      </c>
      <c r="I1403" s="2450">
        <f t="shared" ca="1" si="2671"/>
        <v>928881.68</v>
      </c>
      <c r="J1403" s="1926">
        <v>1</v>
      </c>
      <c r="K1403" s="1927">
        <v>1</v>
      </c>
      <c r="L1403" s="2376"/>
      <c r="M1403" s="2377">
        <f t="shared" si="2672"/>
        <v>0</v>
      </c>
      <c r="N1403" s="1924"/>
      <c r="O1403" s="1925">
        <f t="shared" si="2673"/>
        <v>0</v>
      </c>
      <c r="P1403" s="1918"/>
      <c r="Q1403" s="1923">
        <f t="shared" si="2674"/>
        <v>0</v>
      </c>
      <c r="R1403" s="1924"/>
      <c r="S1403" s="1924"/>
      <c r="T1403" s="1925">
        <f t="shared" si="2675"/>
        <v>0</v>
      </c>
      <c r="U1403" s="1918">
        <f t="shared" si="2676"/>
        <v>211.6</v>
      </c>
      <c r="V1403" s="1925">
        <f t="shared" ca="1" si="2677"/>
        <v>928881.68</v>
      </c>
      <c r="W1403" s="2378">
        <f t="shared" si="2678"/>
        <v>0</v>
      </c>
      <c r="X1403" s="2379">
        <f t="shared" si="2679"/>
        <v>0</v>
      </c>
      <c r="Y1403" s="1936"/>
      <c r="Z1403" s="1072"/>
      <c r="AA1403" s="24">
        <f t="shared" ca="1" si="2681"/>
        <v>279.19999999999982</v>
      </c>
      <c r="AB1403" s="24">
        <f t="shared" ca="1" si="2680"/>
        <v>59078.719999999958</v>
      </c>
      <c r="AC1403" s="333"/>
      <c r="AD1403" s="333"/>
      <c r="AE1403" s="333"/>
      <c r="AF1403" s="333"/>
      <c r="AG1403" s="333"/>
      <c r="AH1403" s="333" t="s">
        <v>1358</v>
      </c>
    </row>
    <row r="1404" spans="1:34" s="334" customFormat="1" ht="15.75" hidden="1" outlineLevel="1">
      <c r="A1404" s="1919">
        <v>1420110000</v>
      </c>
      <c r="B1404" s="1920" t="s">
        <v>2261</v>
      </c>
      <c r="C1404" s="1921" t="s">
        <v>64</v>
      </c>
      <c r="D1404" s="2447">
        <v>100050163</v>
      </c>
      <c r="E1404" s="1922">
        <v>44819</v>
      </c>
      <c r="F1404" s="1918">
        <v>158.69999999999999</v>
      </c>
      <c r="G1404" s="1923">
        <f t="shared" si="2670"/>
        <v>158.69999999999999</v>
      </c>
      <c r="H1404" s="1924">
        <f ca="1">IF(OR($E1404="",$E1404&gt;TODAY()),0,VLOOKUP($E1404,'TRM BanRep'!$A:$G,7,0))</f>
        <v>4389.8</v>
      </c>
      <c r="I1404" s="2450">
        <f t="shared" ca="1" si="2671"/>
        <v>696661.26</v>
      </c>
      <c r="J1404" s="1926">
        <v>1</v>
      </c>
      <c r="K1404" s="1927">
        <v>1</v>
      </c>
      <c r="L1404" s="2376"/>
      <c r="M1404" s="2377">
        <f t="shared" si="2672"/>
        <v>0</v>
      </c>
      <c r="N1404" s="1924"/>
      <c r="O1404" s="1925">
        <f t="shared" si="2673"/>
        <v>0</v>
      </c>
      <c r="P1404" s="1918"/>
      <c r="Q1404" s="1923">
        <f t="shared" si="2674"/>
        <v>0</v>
      </c>
      <c r="R1404" s="1924"/>
      <c r="S1404" s="1924"/>
      <c r="T1404" s="1925">
        <f t="shared" si="2675"/>
        <v>0</v>
      </c>
      <c r="U1404" s="1918">
        <f t="shared" si="2676"/>
        <v>158.69999999999999</v>
      </c>
      <c r="V1404" s="1925">
        <f t="shared" ca="1" si="2677"/>
        <v>696661.26</v>
      </c>
      <c r="W1404" s="2378">
        <f t="shared" si="2678"/>
        <v>0</v>
      </c>
      <c r="X1404" s="2379">
        <f t="shared" si="2679"/>
        <v>0</v>
      </c>
      <c r="Y1404" s="1936"/>
      <c r="Z1404" s="1072"/>
      <c r="AA1404" s="24">
        <f t="shared" ca="1" si="2681"/>
        <v>279.19999999999982</v>
      </c>
      <c r="AB1404" s="24">
        <f t="shared" ca="1" si="2680"/>
        <v>44309.039999999964</v>
      </c>
      <c r="AC1404" s="333"/>
      <c r="AD1404" s="333"/>
      <c r="AE1404" s="333"/>
      <c r="AF1404" s="333"/>
      <c r="AG1404" s="333"/>
      <c r="AH1404" s="333" t="s">
        <v>1358</v>
      </c>
    </row>
    <row r="1405" spans="1:34" s="334" customFormat="1" ht="15.75" hidden="1" outlineLevel="1">
      <c r="A1405" s="1919">
        <v>1420110000</v>
      </c>
      <c r="B1405" s="1920" t="s">
        <v>2261</v>
      </c>
      <c r="C1405" s="1921" t="s">
        <v>64</v>
      </c>
      <c r="D1405" s="2447">
        <v>100050163</v>
      </c>
      <c r="E1405" s="1922">
        <v>44819</v>
      </c>
      <c r="F1405" s="1918">
        <v>158.69999999999999</v>
      </c>
      <c r="G1405" s="1923">
        <f t="shared" si="2670"/>
        <v>158.69999999999999</v>
      </c>
      <c r="H1405" s="1924">
        <f ca="1">IF(OR($E1405="",$E1405&gt;TODAY()),0,VLOOKUP($E1405,'TRM BanRep'!$A:$G,7,0))</f>
        <v>4389.8</v>
      </c>
      <c r="I1405" s="2450">
        <f t="shared" ca="1" si="2671"/>
        <v>696661.26</v>
      </c>
      <c r="J1405" s="1926">
        <v>1</v>
      </c>
      <c r="K1405" s="1927">
        <v>1</v>
      </c>
      <c r="L1405" s="2376"/>
      <c r="M1405" s="2377">
        <f t="shared" si="2672"/>
        <v>0</v>
      </c>
      <c r="N1405" s="1924"/>
      <c r="O1405" s="1925">
        <f t="shared" si="2673"/>
        <v>0</v>
      </c>
      <c r="P1405" s="1918"/>
      <c r="Q1405" s="1923">
        <f t="shared" si="2674"/>
        <v>0</v>
      </c>
      <c r="R1405" s="1924"/>
      <c r="S1405" s="1924"/>
      <c r="T1405" s="1925">
        <f t="shared" si="2675"/>
        <v>0</v>
      </c>
      <c r="U1405" s="1918">
        <f t="shared" si="2676"/>
        <v>158.69999999999999</v>
      </c>
      <c r="V1405" s="1925">
        <f t="shared" ca="1" si="2677"/>
        <v>696661.26</v>
      </c>
      <c r="W1405" s="2378">
        <f t="shared" si="2678"/>
        <v>0</v>
      </c>
      <c r="X1405" s="2379">
        <f t="shared" si="2679"/>
        <v>0</v>
      </c>
      <c r="Y1405" s="1936"/>
      <c r="Z1405" s="1072"/>
      <c r="AA1405" s="24">
        <f t="shared" ca="1" si="2681"/>
        <v>279.19999999999982</v>
      </c>
      <c r="AB1405" s="24">
        <f t="shared" ca="1" si="2680"/>
        <v>44309.039999999964</v>
      </c>
      <c r="AC1405" s="333"/>
      <c r="AD1405" s="333"/>
      <c r="AE1405" s="333"/>
      <c r="AF1405" s="333"/>
      <c r="AG1405" s="333"/>
      <c r="AH1405" s="333" t="s">
        <v>1358</v>
      </c>
    </row>
    <row r="1406" spans="1:34" s="334" customFormat="1" ht="15.75" hidden="1" outlineLevel="1">
      <c r="A1406" s="1919">
        <v>1420110000</v>
      </c>
      <c r="B1406" s="1920" t="s">
        <v>2262</v>
      </c>
      <c r="C1406" s="1921" t="s">
        <v>64</v>
      </c>
      <c r="D1406" s="1921">
        <v>100054171</v>
      </c>
      <c r="E1406" s="1922">
        <v>44834</v>
      </c>
      <c r="F1406" s="1918">
        <v>2206</v>
      </c>
      <c r="G1406" s="1923">
        <f t="shared" ref="G1406:G1410" si="2682">ROUND(F1406*J1406,2)</f>
        <v>2206</v>
      </c>
      <c r="H1406" s="1924">
        <f ca="1">IF(OR($E1406="",$E1406&gt;TODAY()),0,VLOOKUP($E1406,'TRM BanRep'!$A:$G,7,0))</f>
        <v>4532.07</v>
      </c>
      <c r="I1406" s="1925">
        <f t="shared" ref="I1406:I1407" ca="1" si="2683">+F1406*J1406*H1406</f>
        <v>9997746.4199999999</v>
      </c>
      <c r="J1406" s="1926">
        <v>1</v>
      </c>
      <c r="K1406" s="1927">
        <v>1</v>
      </c>
      <c r="L1406" s="2376"/>
      <c r="M1406" s="2377">
        <f t="shared" ref="M1406:M1407" si="2684">+L1406*J1406</f>
        <v>0</v>
      </c>
      <c r="N1406" s="1924"/>
      <c r="O1406" s="1925">
        <f t="shared" ref="O1406:O1407" si="2685">+L1406*J1406*N1406</f>
        <v>0</v>
      </c>
      <c r="P1406" s="1918"/>
      <c r="Q1406" s="1923">
        <f t="shared" ref="Q1406:Q1407" si="2686">+P1406*K1406</f>
        <v>0</v>
      </c>
      <c r="R1406" s="1924"/>
      <c r="S1406" s="1924"/>
      <c r="T1406" s="1925">
        <f t="shared" ref="T1406:T1407" si="2687">+P1406*K1406*S1406</f>
        <v>0</v>
      </c>
      <c r="U1406" s="1918">
        <f t="shared" ref="U1406:U1407" si="2688">+L1406+P1406+F1406</f>
        <v>2206</v>
      </c>
      <c r="V1406" s="1925">
        <f t="shared" ref="V1406:V1407" ca="1" si="2689">+P1406*J1406*R1406+L1406*J1406*N1406+F1406*J1406*H1406</f>
        <v>9997746.4199999999</v>
      </c>
      <c r="W1406" s="2378">
        <f t="shared" ref="W1406:W1410" si="2690">-(IF(-P1406*J1406*R1406&gt;-P1406*K1406*S1406,-((-P1406*J1406*R1406)-(-P1406*K1406*S1406)),0))</f>
        <v>0</v>
      </c>
      <c r="X1406" s="2379">
        <f t="shared" ref="X1406:X1410" si="2691">-(IF(-P1406*J1406*R1406&lt;-P1406*K1406*S1406,-((-P1406*J1406*R1406)-(-P1406*K1406*S1406)),0))</f>
        <v>0</v>
      </c>
      <c r="Y1406" s="1936"/>
      <c r="Z1406" s="1072"/>
      <c r="AA1406" s="24">
        <f t="shared" ca="1" si="2681"/>
        <v>136.93000000000029</v>
      </c>
      <c r="AB1406" s="24">
        <f t="shared" ca="1" si="2680"/>
        <v>302067.58000000066</v>
      </c>
      <c r="AC1406" s="333"/>
      <c r="AD1406" s="333"/>
      <c r="AE1406" s="333"/>
      <c r="AF1406" s="333"/>
      <c r="AG1406" s="333"/>
      <c r="AH1406" s="333" t="s">
        <v>1358</v>
      </c>
    </row>
    <row r="1407" spans="1:34" s="334" customFormat="1" ht="15.75" hidden="1" outlineLevel="1">
      <c r="A1407" s="1919">
        <v>1420110000</v>
      </c>
      <c r="B1407" s="1920" t="s">
        <v>2263</v>
      </c>
      <c r="C1407" s="1921" t="s">
        <v>64</v>
      </c>
      <c r="D1407" s="1921">
        <v>100054174</v>
      </c>
      <c r="E1407" s="1922">
        <v>44834</v>
      </c>
      <c r="F1407" s="1918">
        <v>2178</v>
      </c>
      <c r="G1407" s="1923">
        <f t="shared" si="2682"/>
        <v>2178</v>
      </c>
      <c r="H1407" s="1924">
        <f ca="1">IF(OR($E1407="",$E1407&gt;TODAY()),0,VLOOKUP($E1407,'TRM BanRep'!$A:$G,7,0))</f>
        <v>4532.07</v>
      </c>
      <c r="I1407" s="1925">
        <f t="shared" ca="1" si="2683"/>
        <v>9870848.459999999</v>
      </c>
      <c r="J1407" s="1926">
        <v>1</v>
      </c>
      <c r="K1407" s="1927">
        <v>1</v>
      </c>
      <c r="L1407" s="2376"/>
      <c r="M1407" s="2377">
        <f t="shared" si="2684"/>
        <v>0</v>
      </c>
      <c r="N1407" s="1924"/>
      <c r="O1407" s="1925">
        <f t="shared" si="2685"/>
        <v>0</v>
      </c>
      <c r="P1407" s="1918"/>
      <c r="Q1407" s="1923">
        <f t="shared" si="2686"/>
        <v>0</v>
      </c>
      <c r="R1407" s="1924"/>
      <c r="S1407" s="1924"/>
      <c r="T1407" s="1925">
        <f t="shared" si="2687"/>
        <v>0</v>
      </c>
      <c r="U1407" s="1918">
        <f t="shared" si="2688"/>
        <v>2178</v>
      </c>
      <c r="V1407" s="1925">
        <f t="shared" ca="1" si="2689"/>
        <v>9870848.459999999</v>
      </c>
      <c r="W1407" s="2378">
        <f t="shared" si="2690"/>
        <v>0</v>
      </c>
      <c r="X1407" s="2379">
        <f t="shared" si="2691"/>
        <v>0</v>
      </c>
      <c r="Y1407" s="1936"/>
      <c r="Z1407" s="1072"/>
      <c r="AA1407" s="24">
        <f t="shared" ca="1" si="2681"/>
        <v>136.93000000000029</v>
      </c>
      <c r="AB1407" s="24">
        <f t="shared" ca="1" si="2680"/>
        <v>298233.54000000062</v>
      </c>
      <c r="AC1407" s="333"/>
      <c r="AD1407" s="333"/>
      <c r="AE1407" s="333"/>
      <c r="AF1407" s="333"/>
      <c r="AG1407" s="333"/>
      <c r="AH1407" s="333" t="s">
        <v>1358</v>
      </c>
    </row>
    <row r="1408" spans="1:34" s="334" customFormat="1" ht="15.75" hidden="1" outlineLevel="1">
      <c r="A1408" s="1919">
        <v>1420110000</v>
      </c>
      <c r="B1408" s="1920" t="s">
        <v>2264</v>
      </c>
      <c r="C1408" s="1921" t="s">
        <v>64</v>
      </c>
      <c r="D1408" s="1921">
        <v>100062313</v>
      </c>
      <c r="E1408" s="1922">
        <v>44866</v>
      </c>
      <c r="F1408" s="1918">
        <v>422</v>
      </c>
      <c r="G1408" s="1923">
        <f t="shared" si="2682"/>
        <v>422</v>
      </c>
      <c r="H1408" s="1924">
        <f ca="1">IF(OR($E1408="",$E1408&gt;TODAY()),0,VLOOKUP($E1408,'TRM BanRep'!$A:$G,7,0))</f>
        <v>4898.74</v>
      </c>
      <c r="I1408" s="2449">
        <f t="shared" ref="I1408:I1410" ca="1" si="2692">+F1408*J1408*H1408</f>
        <v>2067268.2799999998</v>
      </c>
      <c r="J1408" s="1926">
        <v>1</v>
      </c>
      <c r="K1408" s="1927">
        <v>1</v>
      </c>
      <c r="L1408" s="2376"/>
      <c r="M1408" s="2377">
        <f t="shared" ref="M1408:M1410" si="2693">+L1408*J1408</f>
        <v>0</v>
      </c>
      <c r="N1408" s="1924"/>
      <c r="O1408" s="1925">
        <f t="shared" ref="O1408:O1410" si="2694">+L1408*J1408*N1408</f>
        <v>0</v>
      </c>
      <c r="P1408" s="1918"/>
      <c r="Q1408" s="1923">
        <f t="shared" ref="Q1408:Q1410" si="2695">+P1408*K1408</f>
        <v>0</v>
      </c>
      <c r="R1408" s="1924"/>
      <c r="S1408" s="1924"/>
      <c r="T1408" s="1925">
        <f t="shared" ref="T1408:T1410" si="2696">+P1408*K1408*S1408</f>
        <v>0</v>
      </c>
      <c r="U1408" s="1918">
        <f t="shared" ref="U1408:U1410" si="2697">+L1408+P1408+F1408</f>
        <v>422</v>
      </c>
      <c r="V1408" s="1925">
        <f t="shared" ref="V1408:V1410" ca="1" si="2698">+P1408*J1408*R1408+L1408*J1408*N1408+F1408*J1408*H1408</f>
        <v>2067268.2799999998</v>
      </c>
      <c r="W1408" s="2378">
        <f t="shared" si="2690"/>
        <v>0</v>
      </c>
      <c r="X1408" s="2379">
        <f t="shared" si="2691"/>
        <v>0</v>
      </c>
      <c r="Y1408" s="1936"/>
      <c r="Z1408" s="1072"/>
      <c r="AA1408" s="24">
        <f t="shared" ca="1" si="2681"/>
        <v>-229.73999999999978</v>
      </c>
      <c r="AB1408" s="24">
        <f t="shared" ca="1" si="2680"/>
        <v>-96950.279999999912</v>
      </c>
      <c r="AC1408" s="333"/>
      <c r="AD1408" s="333"/>
      <c r="AE1408" s="333"/>
      <c r="AF1408" s="333"/>
      <c r="AG1408" s="333"/>
      <c r="AH1408" s="333" t="s">
        <v>1358</v>
      </c>
    </row>
    <row r="1409" spans="1:34" s="334" customFormat="1" ht="15.75" hidden="1" outlineLevel="1">
      <c r="A1409" s="1919">
        <v>1420110000</v>
      </c>
      <c r="B1409" s="1920" t="s">
        <v>2265</v>
      </c>
      <c r="C1409" s="1921" t="s">
        <v>64</v>
      </c>
      <c r="D1409" s="1921">
        <v>100062343</v>
      </c>
      <c r="E1409" s="1922">
        <v>44867</v>
      </c>
      <c r="F1409" s="1918">
        <v>2852</v>
      </c>
      <c r="G1409" s="1923">
        <f t="shared" si="2682"/>
        <v>2852</v>
      </c>
      <c r="H1409" s="1924">
        <f ca="1">IF(OR($E1409="",$E1409&gt;TODAY()),0,VLOOKUP($E1409,'TRM BanRep'!$A:$G,7,0))</f>
        <v>4975.58</v>
      </c>
      <c r="I1409" s="1925">
        <f t="shared" ca="1" si="2692"/>
        <v>14190354.16</v>
      </c>
      <c r="J1409" s="1926">
        <v>1</v>
      </c>
      <c r="K1409" s="1927">
        <v>1</v>
      </c>
      <c r="L1409" s="2376"/>
      <c r="M1409" s="2377">
        <f t="shared" si="2693"/>
        <v>0</v>
      </c>
      <c r="N1409" s="1924"/>
      <c r="O1409" s="1925">
        <f t="shared" si="2694"/>
        <v>0</v>
      </c>
      <c r="P1409" s="1918"/>
      <c r="Q1409" s="1923">
        <f t="shared" si="2695"/>
        <v>0</v>
      </c>
      <c r="R1409" s="1924"/>
      <c r="S1409" s="1924"/>
      <c r="T1409" s="1925">
        <f t="shared" si="2696"/>
        <v>0</v>
      </c>
      <c r="U1409" s="1918">
        <f t="shared" si="2697"/>
        <v>2852</v>
      </c>
      <c r="V1409" s="1925">
        <f t="shared" ca="1" si="2698"/>
        <v>14190354.16</v>
      </c>
      <c r="W1409" s="2378">
        <f t="shared" si="2690"/>
        <v>0</v>
      </c>
      <c r="X1409" s="2379">
        <f t="shared" si="2691"/>
        <v>0</v>
      </c>
      <c r="Y1409" s="1936"/>
      <c r="Z1409" s="1072"/>
      <c r="AA1409" s="24">
        <f t="shared" ca="1" si="2681"/>
        <v>-306.57999999999993</v>
      </c>
      <c r="AB1409" s="24">
        <f t="shared" ca="1" si="2680"/>
        <v>-874366.1599999998</v>
      </c>
      <c r="AC1409" s="333"/>
      <c r="AD1409" s="333"/>
      <c r="AE1409" s="333"/>
      <c r="AF1409" s="333"/>
      <c r="AG1409" s="333"/>
      <c r="AH1409" s="333" t="s">
        <v>1358</v>
      </c>
    </row>
    <row r="1410" spans="1:34" s="334" customFormat="1" ht="15.75" hidden="1" outlineLevel="1">
      <c r="A1410" s="1919">
        <v>1420110000</v>
      </c>
      <c r="B1410" s="1920" t="s">
        <v>2266</v>
      </c>
      <c r="C1410" s="1921" t="s">
        <v>64</v>
      </c>
      <c r="D1410" s="1921">
        <v>100062365</v>
      </c>
      <c r="E1410" s="1922">
        <v>44867</v>
      </c>
      <c r="F1410" s="1918">
        <v>2852</v>
      </c>
      <c r="G1410" s="1923">
        <f t="shared" si="2682"/>
        <v>2852</v>
      </c>
      <c r="H1410" s="1924">
        <f ca="1">IF(OR($E1410="",$E1410&gt;TODAY()),0,VLOOKUP($E1410,'TRM BanRep'!$A:$G,7,0))</f>
        <v>4975.58</v>
      </c>
      <c r="I1410" s="1925">
        <f t="shared" ca="1" si="2692"/>
        <v>14190354.16</v>
      </c>
      <c r="J1410" s="1926">
        <v>1</v>
      </c>
      <c r="K1410" s="1927">
        <v>1</v>
      </c>
      <c r="L1410" s="2376"/>
      <c r="M1410" s="2377">
        <f t="shared" si="2693"/>
        <v>0</v>
      </c>
      <c r="N1410" s="1924"/>
      <c r="O1410" s="1925">
        <f t="shared" si="2694"/>
        <v>0</v>
      </c>
      <c r="P1410" s="1918"/>
      <c r="Q1410" s="1923">
        <f t="shared" si="2695"/>
        <v>0</v>
      </c>
      <c r="R1410" s="1924"/>
      <c r="S1410" s="1924"/>
      <c r="T1410" s="1925">
        <f t="shared" si="2696"/>
        <v>0</v>
      </c>
      <c r="U1410" s="1918">
        <f t="shared" si="2697"/>
        <v>2852</v>
      </c>
      <c r="V1410" s="1925">
        <f t="shared" ca="1" si="2698"/>
        <v>14190354.16</v>
      </c>
      <c r="W1410" s="2378">
        <f t="shared" si="2690"/>
        <v>0</v>
      </c>
      <c r="X1410" s="2379">
        <f t="shared" si="2691"/>
        <v>0</v>
      </c>
      <c r="Y1410" s="1936"/>
      <c r="Z1410" s="1072"/>
      <c r="AA1410" s="24">
        <f t="shared" ca="1" si="2681"/>
        <v>-306.57999999999993</v>
      </c>
      <c r="AB1410" s="24">
        <f t="shared" ca="1" si="2680"/>
        <v>-874366.1599999998</v>
      </c>
      <c r="AC1410" s="333"/>
      <c r="AD1410" s="333"/>
      <c r="AE1410" s="333"/>
      <c r="AF1410" s="333"/>
      <c r="AG1410" s="333"/>
      <c r="AH1410" s="333" t="s">
        <v>1358</v>
      </c>
    </row>
    <row r="1411" spans="1:34" s="334" customFormat="1" ht="15.75" hidden="1" outlineLevel="1">
      <c r="A1411" s="1919">
        <v>1420110000</v>
      </c>
      <c r="B1411" s="1920"/>
      <c r="C1411" s="1921"/>
      <c r="D1411" s="1921"/>
      <c r="E1411" s="1922"/>
      <c r="F1411" s="1918"/>
      <c r="G1411" s="1923">
        <f>ROUND(F1411*J1411,2)</f>
        <v>0</v>
      </c>
      <c r="H1411" s="1924">
        <f ca="1">IF(OR($E1411="",$E1411&gt;TODAY()),0,VLOOKUP($E1411,'TRM BanRep'!$A:$G,7,0))</f>
        <v>0</v>
      </c>
      <c r="I1411" s="1925">
        <f ca="1">+F1411*J1411*H1411</f>
        <v>0</v>
      </c>
      <c r="J1411" s="1926">
        <v>1</v>
      </c>
      <c r="K1411" s="1927">
        <v>1</v>
      </c>
      <c r="L1411" s="2376"/>
      <c r="M1411" s="2377">
        <f>+L1411*J1411</f>
        <v>0</v>
      </c>
      <c r="N1411" s="1924"/>
      <c r="O1411" s="1925">
        <f>+L1411*J1411*N1411</f>
        <v>0</v>
      </c>
      <c r="P1411" s="1918"/>
      <c r="Q1411" s="1923">
        <f>+P1411*K1411</f>
        <v>0</v>
      </c>
      <c r="R1411" s="1924"/>
      <c r="S1411" s="1924"/>
      <c r="T1411" s="1925">
        <f>+P1411*K1411*S1411</f>
        <v>0</v>
      </c>
      <c r="U1411" s="1918">
        <f>+L1411+P1411+F1411</f>
        <v>0</v>
      </c>
      <c r="V1411" s="1925">
        <f ca="1">+P1411*J1411*R1411+L1411*J1411*N1411+F1411*J1411*H1411</f>
        <v>0</v>
      </c>
      <c r="W1411" s="2378">
        <f>-(IF(-P1411*J1411*R1411&gt;-P1411*K1411*S1411,-((-P1411*J1411*R1411)-(-P1411*K1411*S1411)),0))</f>
        <v>0</v>
      </c>
      <c r="X1411" s="2379">
        <f>-(IF(-P1411*J1411*R1411&lt;-P1411*K1411*S1411,-((-P1411*J1411*R1411)-(-P1411*K1411*S1411)),0))</f>
        <v>0</v>
      </c>
      <c r="Y1411" s="1936"/>
      <c r="Z1411" s="1072"/>
      <c r="AA1411" s="24">
        <f t="shared" ca="1" si="2681"/>
        <v>4669</v>
      </c>
      <c r="AB1411" s="24">
        <f t="shared" ca="1" si="2680"/>
        <v>0</v>
      </c>
      <c r="AC1411" s="333"/>
      <c r="AD1411" s="333"/>
      <c r="AE1411" s="333"/>
      <c r="AF1411" s="333"/>
      <c r="AG1411" s="333"/>
      <c r="AH1411" s="333" t="s">
        <v>1358</v>
      </c>
    </row>
    <row r="1412" spans="1:34" s="401" customFormat="1" hidden="1" outlineLevel="1">
      <c r="A1412" s="984">
        <v>1420110000</v>
      </c>
      <c r="B1412" s="985" t="s">
        <v>2249</v>
      </c>
      <c r="C1412" s="986" t="s">
        <v>64</v>
      </c>
      <c r="D1412" s="986">
        <v>100011079</v>
      </c>
      <c r="E1412" s="987">
        <v>44985</v>
      </c>
      <c r="F1412" s="988"/>
      <c r="G1412" s="1287">
        <f t="shared" ref="G1412:G1419" si="2699">ROUND(F1412*J1412,2)</f>
        <v>0</v>
      </c>
      <c r="H1412" s="335">
        <f ca="1">IF(OR($E1412="",$E1412&gt;TODAY()),0,VLOOKUP($E1412,'TRM BanRep'!$A:$G,7,0))</f>
        <v>4808.1400000000003</v>
      </c>
      <c r="I1412" s="989">
        <f t="shared" ref="I1412:I1419" ca="1" si="2700">+F1412*J1412*H1412</f>
        <v>0</v>
      </c>
      <c r="J1412" s="1455">
        <v>1</v>
      </c>
      <c r="K1412" s="1456">
        <v>1</v>
      </c>
      <c r="L1412" s="336"/>
      <c r="M1412" s="1322">
        <f t="shared" ref="M1412:M1419" si="2701">+L1412*J1412</f>
        <v>0</v>
      </c>
      <c r="N1412" s="337"/>
      <c r="O1412" s="990">
        <f t="shared" ref="O1412:O1419" si="2702">+L1412*J1412*N1412</f>
        <v>0</v>
      </c>
      <c r="P1412" s="991">
        <f>-F1396</f>
        <v>-2860</v>
      </c>
      <c r="Q1412" s="1330">
        <f t="shared" ref="Q1412" si="2703">+P1412*K1412</f>
        <v>-2860</v>
      </c>
      <c r="R1412" s="337">
        <f ca="1">H1396</f>
        <v>4461.63</v>
      </c>
      <c r="S1412" s="337">
        <f ca="1">IF(OR(E1412="",E1412&gt;TODAY()),0,IF(ISERROR(VLOOKUP($E1412,'TRM BanRep'!$A:$G,7,0)),0,VLOOKUP($E1412,'TRM BanRep'!$A:$G,7,0)))</f>
        <v>4808.1400000000003</v>
      </c>
      <c r="T1412" s="990">
        <f t="shared" ref="T1412:T1419" ca="1" si="2704">+P1412*K1412*S1412</f>
        <v>-13751280.4</v>
      </c>
      <c r="U1412" s="992">
        <f t="shared" ref="U1412:U1419" si="2705">+L1412+P1412+F1412</f>
        <v>-2860</v>
      </c>
      <c r="V1412" s="990">
        <f t="shared" ref="V1412:V1419" ca="1" si="2706">+P1412*J1412*R1412+L1412*J1412*N1412+F1412*J1412*H1412</f>
        <v>-12760261.800000001</v>
      </c>
      <c r="W1412" s="993">
        <f t="shared" ref="W1412:W1419" ca="1" si="2707">-(IF(-P1412*J1412*R1412&gt;-P1412*K1412*S1412,-((-P1412*J1412*R1412)-(-P1412*K1412*S1412)),0))</f>
        <v>0</v>
      </c>
      <c r="X1412" s="994">
        <f t="shared" ref="X1412:X1419" ca="1" si="2708">-(IF(-P1412*J1412*R1412&lt;-P1412*K1412*S1412,-((-P1412*J1412*R1412)-(-P1412*K1412*S1412)),0))</f>
        <v>-991018.59999999963</v>
      </c>
      <c r="Y1412" s="995"/>
      <c r="Z1412" s="220"/>
      <c r="AA1412" s="24">
        <f ca="1">$B$4-R1412</f>
        <v>207.36999999999989</v>
      </c>
      <c r="AB1412" s="24">
        <f t="shared" ca="1" si="2680"/>
        <v>-593078.19999999972</v>
      </c>
      <c r="AC1412" s="15"/>
      <c r="AD1412" s="15"/>
      <c r="AE1412" s="15"/>
      <c r="AH1412" s="401" t="s">
        <v>1358</v>
      </c>
    </row>
    <row r="1413" spans="1:34" s="401" customFormat="1" hidden="1" outlineLevel="1">
      <c r="A1413" s="984">
        <v>1420110000</v>
      </c>
      <c r="B1413" s="985" t="s">
        <v>2249</v>
      </c>
      <c r="C1413" s="986" t="s">
        <v>64</v>
      </c>
      <c r="D1413" s="986">
        <v>100011079</v>
      </c>
      <c r="E1413" s="987">
        <v>44985</v>
      </c>
      <c r="F1413" s="988"/>
      <c r="G1413" s="1287">
        <f t="shared" si="2699"/>
        <v>0</v>
      </c>
      <c r="H1413" s="335">
        <f ca="1">IF(OR($E1413="",$E1413&gt;TODAY()),0,VLOOKUP($E1413,'TRM BanRep'!$A:$G,7,0))</f>
        <v>4808.1400000000003</v>
      </c>
      <c r="I1413" s="989">
        <f t="shared" ca="1" si="2700"/>
        <v>0</v>
      </c>
      <c r="J1413" s="1455">
        <v>1</v>
      </c>
      <c r="K1413" s="1456">
        <v>1</v>
      </c>
      <c r="L1413" s="336"/>
      <c r="M1413" s="1322">
        <f t="shared" si="2701"/>
        <v>0</v>
      </c>
      <c r="N1413" s="337"/>
      <c r="O1413" s="990">
        <f t="shared" si="2702"/>
        <v>0</v>
      </c>
      <c r="P1413" s="991">
        <f t="shared" ref="P1413:P1426" si="2709">-F1397</f>
        <v>-556</v>
      </c>
      <c r="Q1413" s="1330">
        <f t="shared" ref="Q1413:Q1426" si="2710">+P1413*K1413</f>
        <v>-556</v>
      </c>
      <c r="R1413" s="337">
        <f t="shared" ref="R1413:R1426" ca="1" si="2711">H1397</f>
        <v>4422.7700000000004</v>
      </c>
      <c r="S1413" s="337">
        <f ca="1">IF(OR(E1413="",E1413&gt;TODAY()),0,IF(ISERROR(VLOOKUP($E1413,'TRM BanRep'!$A:$G,7,0)),0,VLOOKUP($E1413,'TRM BanRep'!$A:$G,7,0)))</f>
        <v>4808.1400000000003</v>
      </c>
      <c r="T1413" s="990">
        <f t="shared" ca="1" si="2704"/>
        <v>-2673325.8400000003</v>
      </c>
      <c r="U1413" s="992">
        <f t="shared" si="2705"/>
        <v>-556</v>
      </c>
      <c r="V1413" s="990">
        <f t="shared" ca="1" si="2706"/>
        <v>-2459060.12</v>
      </c>
      <c r="W1413" s="993">
        <f t="shared" ca="1" si="2707"/>
        <v>0</v>
      </c>
      <c r="X1413" s="994">
        <f t="shared" ca="1" si="2708"/>
        <v>-214265.7200000002</v>
      </c>
      <c r="Y1413" s="995"/>
      <c r="Z1413" s="220"/>
      <c r="AA1413" s="24">
        <f t="shared" ref="AA1413:AA1427" ca="1" si="2712">$B$4-R1413</f>
        <v>246.22999999999956</v>
      </c>
      <c r="AB1413" s="24">
        <f t="shared" ca="1" si="2680"/>
        <v>-136903.87999999977</v>
      </c>
      <c r="AC1413" s="15"/>
      <c r="AD1413" s="15"/>
      <c r="AE1413" s="15"/>
      <c r="AH1413" s="401" t="s">
        <v>1358</v>
      </c>
    </row>
    <row r="1414" spans="1:34" s="401" customFormat="1" hidden="1" outlineLevel="1">
      <c r="A1414" s="984">
        <v>1420110000</v>
      </c>
      <c r="B1414" s="985" t="s">
        <v>2249</v>
      </c>
      <c r="C1414" s="986" t="s">
        <v>64</v>
      </c>
      <c r="D1414" s="986">
        <v>100011079</v>
      </c>
      <c r="E1414" s="987">
        <v>44985</v>
      </c>
      <c r="F1414" s="988"/>
      <c r="G1414" s="1287">
        <f t="shared" si="2699"/>
        <v>0</v>
      </c>
      <c r="H1414" s="335">
        <f ca="1">IF(OR($E1414="",$E1414&gt;TODAY()),0,VLOOKUP($E1414,'TRM BanRep'!$A:$G,7,0))</f>
        <v>4808.1400000000003</v>
      </c>
      <c r="I1414" s="989">
        <f t="shared" ca="1" si="2700"/>
        <v>0</v>
      </c>
      <c r="J1414" s="1455">
        <v>1</v>
      </c>
      <c r="K1414" s="1456">
        <v>1</v>
      </c>
      <c r="L1414" s="336"/>
      <c r="M1414" s="1322">
        <f t="shared" si="2701"/>
        <v>0</v>
      </c>
      <c r="N1414" s="337"/>
      <c r="O1414" s="990">
        <f t="shared" si="2702"/>
        <v>0</v>
      </c>
      <c r="P1414" s="991">
        <f t="shared" si="2709"/>
        <v>-2860</v>
      </c>
      <c r="Q1414" s="1330">
        <f t="shared" si="2710"/>
        <v>-2860</v>
      </c>
      <c r="R1414" s="337">
        <f t="shared" ca="1" si="2711"/>
        <v>4467.03</v>
      </c>
      <c r="S1414" s="337">
        <f ca="1">IF(OR(E1414="",E1414&gt;TODAY()),0,IF(ISERROR(VLOOKUP($E1414,'TRM BanRep'!$A:$G,7,0)),0,VLOOKUP($E1414,'TRM BanRep'!$A:$G,7,0)))</f>
        <v>4808.1400000000003</v>
      </c>
      <c r="T1414" s="990">
        <f t="shared" ca="1" si="2704"/>
        <v>-13751280.4</v>
      </c>
      <c r="U1414" s="992">
        <f t="shared" si="2705"/>
        <v>-2860</v>
      </c>
      <c r="V1414" s="990">
        <f t="shared" ca="1" si="2706"/>
        <v>-12775705.799999999</v>
      </c>
      <c r="W1414" s="993">
        <f t="shared" ca="1" si="2707"/>
        <v>0</v>
      </c>
      <c r="X1414" s="994">
        <f t="shared" ca="1" si="2708"/>
        <v>-975574.60000000149</v>
      </c>
      <c r="Y1414" s="995"/>
      <c r="Z1414" s="220"/>
      <c r="AA1414" s="24">
        <f t="shared" ca="1" si="2712"/>
        <v>201.97000000000025</v>
      </c>
      <c r="AB1414" s="24">
        <f t="shared" ca="1" si="2680"/>
        <v>-577634.20000000077</v>
      </c>
      <c r="AC1414" s="15"/>
      <c r="AD1414" s="15"/>
      <c r="AE1414" s="15"/>
      <c r="AH1414" s="401" t="s">
        <v>1358</v>
      </c>
    </row>
    <row r="1415" spans="1:34" s="401" customFormat="1" hidden="1" outlineLevel="1">
      <c r="A1415" s="984">
        <v>1420110000</v>
      </c>
      <c r="B1415" s="985" t="s">
        <v>2249</v>
      </c>
      <c r="C1415" s="986" t="s">
        <v>64</v>
      </c>
      <c r="D1415" s="986">
        <v>100011079</v>
      </c>
      <c r="E1415" s="987">
        <v>44985</v>
      </c>
      <c r="F1415" s="988"/>
      <c r="G1415" s="1287">
        <f t="shared" si="2699"/>
        <v>0</v>
      </c>
      <c r="H1415" s="335">
        <f ca="1">IF(OR($E1415="",$E1415&gt;TODAY()),0,VLOOKUP($E1415,'TRM BanRep'!$A:$G,7,0))</f>
        <v>4808.1400000000003</v>
      </c>
      <c r="I1415" s="989">
        <f t="shared" ca="1" si="2700"/>
        <v>0</v>
      </c>
      <c r="J1415" s="1455">
        <v>1</v>
      </c>
      <c r="K1415" s="1456">
        <v>1</v>
      </c>
      <c r="L1415" s="336"/>
      <c r="M1415" s="1322">
        <f t="shared" si="2701"/>
        <v>0</v>
      </c>
      <c r="N1415" s="337"/>
      <c r="O1415" s="990">
        <f t="shared" si="2702"/>
        <v>0</v>
      </c>
      <c r="P1415" s="991">
        <f t="shared" si="2709"/>
        <v>-2470</v>
      </c>
      <c r="Q1415" s="1330">
        <f t="shared" si="2710"/>
        <v>-2470</v>
      </c>
      <c r="R1415" s="337">
        <f t="shared" ca="1" si="2711"/>
        <v>4466.7299999999996</v>
      </c>
      <c r="S1415" s="337">
        <f ca="1">IF(OR(E1415="",E1415&gt;TODAY()),0,IF(ISERROR(VLOOKUP($E1415,'TRM BanRep'!$A:$G,7,0)),0,VLOOKUP($E1415,'TRM BanRep'!$A:$G,7,0)))</f>
        <v>4808.1400000000003</v>
      </c>
      <c r="T1415" s="990">
        <f t="shared" ca="1" si="2704"/>
        <v>-11876105.800000001</v>
      </c>
      <c r="U1415" s="992">
        <f t="shared" si="2705"/>
        <v>-2470</v>
      </c>
      <c r="V1415" s="990">
        <f t="shared" ca="1" si="2706"/>
        <v>-11032823.1</v>
      </c>
      <c r="W1415" s="993">
        <f t="shared" ca="1" si="2707"/>
        <v>0</v>
      </c>
      <c r="X1415" s="994">
        <f t="shared" ca="1" si="2708"/>
        <v>-843282.70000000112</v>
      </c>
      <c r="Y1415" s="995"/>
      <c r="Z1415" s="220"/>
      <c r="AA1415" s="24">
        <f t="shared" ca="1" si="2712"/>
        <v>202.27000000000044</v>
      </c>
      <c r="AB1415" s="24">
        <f t="shared" ca="1" si="2680"/>
        <v>-499606.90000000107</v>
      </c>
      <c r="AC1415" s="15"/>
      <c r="AD1415" s="15"/>
      <c r="AE1415" s="15"/>
      <c r="AH1415" s="401" t="s">
        <v>1358</v>
      </c>
    </row>
    <row r="1416" spans="1:34" s="401" customFormat="1" hidden="1" outlineLevel="1">
      <c r="A1416" s="984">
        <v>1420110000</v>
      </c>
      <c r="B1416" s="985" t="s">
        <v>2249</v>
      </c>
      <c r="C1416" s="986" t="s">
        <v>64</v>
      </c>
      <c r="D1416" s="986">
        <v>100011079</v>
      </c>
      <c r="E1416" s="987">
        <v>44985</v>
      </c>
      <c r="F1416" s="988"/>
      <c r="G1416" s="1287">
        <f t="shared" si="2699"/>
        <v>0</v>
      </c>
      <c r="H1416" s="335">
        <f ca="1">IF(OR($E1416="",$E1416&gt;TODAY()),0,VLOOKUP($E1416,'TRM BanRep'!$A:$G,7,0))</f>
        <v>4808.1400000000003</v>
      </c>
      <c r="I1416" s="989">
        <f t="shared" ca="1" si="2700"/>
        <v>0</v>
      </c>
      <c r="J1416" s="1455">
        <v>1</v>
      </c>
      <c r="K1416" s="1456">
        <v>1</v>
      </c>
      <c r="L1416" s="336"/>
      <c r="M1416" s="1322">
        <f t="shared" si="2701"/>
        <v>0</v>
      </c>
      <c r="N1416" s="337"/>
      <c r="O1416" s="990">
        <f t="shared" si="2702"/>
        <v>0</v>
      </c>
      <c r="P1416" s="991">
        <f t="shared" si="2709"/>
        <v>-2470</v>
      </c>
      <c r="Q1416" s="1330">
        <f t="shared" si="2710"/>
        <v>-2470</v>
      </c>
      <c r="R1416" s="337">
        <f t="shared" ca="1" si="2711"/>
        <v>4466.7299999999996</v>
      </c>
      <c r="S1416" s="337">
        <f ca="1">IF(OR(E1416="",E1416&gt;TODAY()),0,IF(ISERROR(VLOOKUP($E1416,'TRM BanRep'!$A:$G,7,0)),0,VLOOKUP($E1416,'TRM BanRep'!$A:$G,7,0)))</f>
        <v>4808.1400000000003</v>
      </c>
      <c r="T1416" s="990">
        <f t="shared" ca="1" si="2704"/>
        <v>-11876105.800000001</v>
      </c>
      <c r="U1416" s="992">
        <f t="shared" si="2705"/>
        <v>-2470</v>
      </c>
      <c r="V1416" s="990">
        <f t="shared" ca="1" si="2706"/>
        <v>-11032823.1</v>
      </c>
      <c r="W1416" s="993">
        <f t="shared" ca="1" si="2707"/>
        <v>0</v>
      </c>
      <c r="X1416" s="994">
        <f t="shared" ca="1" si="2708"/>
        <v>-843282.70000000112</v>
      </c>
      <c r="Y1416" s="995"/>
      <c r="Z1416" s="220"/>
      <c r="AA1416" s="24">
        <f t="shared" ca="1" si="2712"/>
        <v>202.27000000000044</v>
      </c>
      <c r="AB1416" s="24">
        <f t="shared" ca="1" si="2680"/>
        <v>-499606.90000000107</v>
      </c>
      <c r="AC1416" s="15"/>
      <c r="AD1416" s="15"/>
      <c r="AE1416" s="15"/>
      <c r="AH1416" s="401" t="s">
        <v>1358</v>
      </c>
    </row>
    <row r="1417" spans="1:34" s="401" customFormat="1" hidden="1" outlineLevel="1">
      <c r="A1417" s="984">
        <v>1420110000</v>
      </c>
      <c r="B1417" s="985" t="s">
        <v>2249</v>
      </c>
      <c r="C1417" s="986" t="s">
        <v>64</v>
      </c>
      <c r="D1417" s="986">
        <v>100011079</v>
      </c>
      <c r="E1417" s="987">
        <v>44985</v>
      </c>
      <c r="F1417" s="988"/>
      <c r="G1417" s="1287">
        <f t="shared" si="2699"/>
        <v>0</v>
      </c>
      <c r="H1417" s="335">
        <f ca="1">IF(OR($E1417="",$E1417&gt;TODAY()),0,VLOOKUP($E1417,'TRM BanRep'!$A:$G,7,0))</f>
        <v>4808.1400000000003</v>
      </c>
      <c r="I1417" s="989">
        <f t="shared" ca="1" si="2700"/>
        <v>0</v>
      </c>
      <c r="J1417" s="1455">
        <v>1</v>
      </c>
      <c r="K1417" s="1456">
        <v>1</v>
      </c>
      <c r="L1417" s="336"/>
      <c r="M1417" s="1322">
        <f t="shared" si="2701"/>
        <v>0</v>
      </c>
      <c r="N1417" s="337"/>
      <c r="O1417" s="990">
        <f t="shared" si="2702"/>
        <v>0</v>
      </c>
      <c r="P1417" s="991">
        <f t="shared" si="2709"/>
        <v>-2860</v>
      </c>
      <c r="Q1417" s="1330">
        <f t="shared" si="2710"/>
        <v>-2860</v>
      </c>
      <c r="R1417" s="337">
        <f t="shared" ca="1" si="2711"/>
        <v>4466.7299999999996</v>
      </c>
      <c r="S1417" s="337">
        <f ca="1">IF(OR(E1417="",E1417&gt;TODAY()),0,IF(ISERROR(VLOOKUP($E1417,'TRM BanRep'!$A:$G,7,0)),0,VLOOKUP($E1417,'TRM BanRep'!$A:$G,7,0)))</f>
        <v>4808.1400000000003</v>
      </c>
      <c r="T1417" s="990">
        <f t="shared" ca="1" si="2704"/>
        <v>-13751280.4</v>
      </c>
      <c r="U1417" s="992">
        <f t="shared" si="2705"/>
        <v>-2860</v>
      </c>
      <c r="V1417" s="990">
        <f t="shared" ca="1" si="2706"/>
        <v>-12774847.799999999</v>
      </c>
      <c r="W1417" s="993">
        <f t="shared" ca="1" si="2707"/>
        <v>0</v>
      </c>
      <c r="X1417" s="994">
        <f t="shared" ca="1" si="2708"/>
        <v>-976432.60000000149</v>
      </c>
      <c r="Y1417" s="995"/>
      <c r="Z1417" s="220"/>
      <c r="AA1417" s="24">
        <f t="shared" ca="1" si="2712"/>
        <v>202.27000000000044</v>
      </c>
      <c r="AB1417" s="24">
        <f t="shared" ca="1" si="2680"/>
        <v>-578492.20000000123</v>
      </c>
      <c r="AC1417" s="15"/>
      <c r="AD1417" s="15"/>
      <c r="AE1417" s="15"/>
      <c r="AH1417" s="401" t="s">
        <v>1358</v>
      </c>
    </row>
    <row r="1418" spans="1:34" s="401" customFormat="1" hidden="1" outlineLevel="1">
      <c r="A1418" s="984">
        <v>1420110000</v>
      </c>
      <c r="B1418" s="985" t="s">
        <v>2249</v>
      </c>
      <c r="C1418" s="986" t="s">
        <v>64</v>
      </c>
      <c r="D1418" s="986">
        <v>100011079</v>
      </c>
      <c r="E1418" s="987">
        <v>44985</v>
      </c>
      <c r="F1418" s="988"/>
      <c r="G1418" s="1287">
        <f t="shared" si="2699"/>
        <v>0</v>
      </c>
      <c r="H1418" s="335">
        <f ca="1">IF(OR($E1418="",$E1418&gt;TODAY()),0,VLOOKUP($E1418,'TRM BanRep'!$A:$G,7,0))</f>
        <v>4808.1400000000003</v>
      </c>
      <c r="I1418" s="989">
        <f t="shared" ca="1" si="2700"/>
        <v>0</v>
      </c>
      <c r="J1418" s="1455">
        <v>1</v>
      </c>
      <c r="K1418" s="1456">
        <v>1</v>
      </c>
      <c r="L1418" s="336"/>
      <c r="M1418" s="1322">
        <f t="shared" si="2701"/>
        <v>0</v>
      </c>
      <c r="N1418" s="337"/>
      <c r="O1418" s="990">
        <f t="shared" si="2702"/>
        <v>0</v>
      </c>
      <c r="P1418" s="991">
        <f t="shared" si="2709"/>
        <v>-425</v>
      </c>
      <c r="Q1418" s="1330">
        <f t="shared" si="2710"/>
        <v>-425</v>
      </c>
      <c r="R1418" s="337">
        <f t="shared" ca="1" si="2711"/>
        <v>4480.1000000000004</v>
      </c>
      <c r="S1418" s="337">
        <f ca="1">IF(OR(E1418="",E1418&gt;TODAY()),0,IF(ISERROR(VLOOKUP($E1418,'TRM BanRep'!$A:$G,7,0)),0,VLOOKUP($E1418,'TRM BanRep'!$A:$G,7,0)))</f>
        <v>4808.1400000000003</v>
      </c>
      <c r="T1418" s="990">
        <f t="shared" ca="1" si="2704"/>
        <v>-2043459.5000000002</v>
      </c>
      <c r="U1418" s="992">
        <f t="shared" si="2705"/>
        <v>-425</v>
      </c>
      <c r="V1418" s="990">
        <f t="shared" ca="1" si="2706"/>
        <v>-1904042.5000000002</v>
      </c>
      <c r="W1418" s="993">
        <f t="shared" ca="1" si="2707"/>
        <v>0</v>
      </c>
      <c r="X1418" s="994">
        <f t="shared" ca="1" si="2708"/>
        <v>-139417</v>
      </c>
      <c r="Y1418" s="995"/>
      <c r="Z1418" s="220"/>
      <c r="AA1418" s="24">
        <f t="shared" ca="1" si="2712"/>
        <v>188.89999999999964</v>
      </c>
      <c r="AB1418" s="24">
        <f t="shared" ca="1" si="2680"/>
        <v>-80282.49999999984</v>
      </c>
      <c r="AC1418" s="15"/>
      <c r="AD1418" s="15"/>
      <c r="AE1418" s="15"/>
      <c r="AH1418" s="401" t="s">
        <v>1358</v>
      </c>
    </row>
    <row r="1419" spans="1:34" s="401" customFormat="1" hidden="1" outlineLevel="1">
      <c r="A1419" s="984">
        <v>1420110000</v>
      </c>
      <c r="B1419" s="985" t="s">
        <v>2249</v>
      </c>
      <c r="C1419" s="986" t="s">
        <v>64</v>
      </c>
      <c r="D1419" s="986">
        <v>100011079</v>
      </c>
      <c r="E1419" s="987">
        <v>44985</v>
      </c>
      <c r="F1419" s="988"/>
      <c r="G1419" s="1287">
        <f t="shared" si="2699"/>
        <v>0</v>
      </c>
      <c r="H1419" s="335">
        <f ca="1">IF(OR($E1419="",$E1419&gt;TODAY()),0,VLOOKUP($E1419,'TRM BanRep'!$A:$G,7,0))</f>
        <v>4808.1400000000003</v>
      </c>
      <c r="I1419" s="989">
        <f t="shared" ca="1" si="2700"/>
        <v>0</v>
      </c>
      <c r="J1419" s="1455">
        <v>1</v>
      </c>
      <c r="K1419" s="1456">
        <v>1</v>
      </c>
      <c r="L1419" s="336"/>
      <c r="M1419" s="1322">
        <f t="shared" si="2701"/>
        <v>0</v>
      </c>
      <c r="N1419" s="337"/>
      <c r="O1419" s="990">
        <f t="shared" si="2702"/>
        <v>0</v>
      </c>
      <c r="P1419" s="991">
        <f t="shared" si="2709"/>
        <v>-211.6</v>
      </c>
      <c r="Q1419" s="1330">
        <f t="shared" si="2710"/>
        <v>-211.6</v>
      </c>
      <c r="R1419" s="337">
        <f t="shared" ca="1" si="2711"/>
        <v>4389.8</v>
      </c>
      <c r="S1419" s="337">
        <f ca="1">IF(OR(E1419="",E1419&gt;TODAY()),0,IF(ISERROR(VLOOKUP($E1419,'TRM BanRep'!$A:$G,7,0)),0,VLOOKUP($E1419,'TRM BanRep'!$A:$G,7,0)))</f>
        <v>4808.1400000000003</v>
      </c>
      <c r="T1419" s="990">
        <f t="shared" ca="1" si="2704"/>
        <v>-1017402.424</v>
      </c>
      <c r="U1419" s="992">
        <f t="shared" si="2705"/>
        <v>-211.6</v>
      </c>
      <c r="V1419" s="990">
        <f t="shared" ca="1" si="2706"/>
        <v>-928881.68</v>
      </c>
      <c r="W1419" s="993">
        <f t="shared" ca="1" si="2707"/>
        <v>0</v>
      </c>
      <c r="X1419" s="994">
        <f t="shared" ca="1" si="2708"/>
        <v>-88520.743999999948</v>
      </c>
      <c r="Y1419" s="995"/>
      <c r="Z1419" s="220"/>
      <c r="AA1419" s="24">
        <f t="shared" ca="1" si="2712"/>
        <v>279.19999999999982</v>
      </c>
      <c r="AB1419" s="24">
        <f t="shared" ca="1" si="2680"/>
        <v>-59078.719999999958</v>
      </c>
      <c r="AC1419" s="15"/>
      <c r="AD1419" s="15"/>
      <c r="AE1419" s="15"/>
      <c r="AH1419" s="401" t="s">
        <v>1358</v>
      </c>
    </row>
    <row r="1420" spans="1:34" s="401" customFormat="1" hidden="1" outlineLevel="1">
      <c r="A1420" s="984">
        <v>1420110000</v>
      </c>
      <c r="B1420" s="985" t="s">
        <v>2249</v>
      </c>
      <c r="C1420" s="986" t="s">
        <v>64</v>
      </c>
      <c r="D1420" s="986">
        <v>100011079</v>
      </c>
      <c r="E1420" s="987">
        <v>44985</v>
      </c>
      <c r="F1420" s="988"/>
      <c r="G1420" s="1287">
        <f t="shared" ref="G1420:G1423" si="2713">ROUND(F1420*J1420,2)</f>
        <v>0</v>
      </c>
      <c r="H1420" s="335">
        <f ca="1">IF(OR($E1420="",$E1420&gt;TODAY()),0,VLOOKUP($E1420,'TRM BanRep'!$A:$G,7,0))</f>
        <v>4808.1400000000003</v>
      </c>
      <c r="I1420" s="989">
        <f t="shared" ref="I1420:I1423" ca="1" si="2714">+F1420*J1420*H1420</f>
        <v>0</v>
      </c>
      <c r="J1420" s="1455">
        <v>1</v>
      </c>
      <c r="K1420" s="1456">
        <v>1</v>
      </c>
      <c r="L1420" s="336"/>
      <c r="M1420" s="1322">
        <f t="shared" ref="M1420:M1423" si="2715">+L1420*J1420</f>
        <v>0</v>
      </c>
      <c r="N1420" s="337"/>
      <c r="O1420" s="990">
        <f t="shared" ref="O1420:O1423" si="2716">+L1420*J1420*N1420</f>
        <v>0</v>
      </c>
      <c r="P1420" s="991">
        <f t="shared" si="2709"/>
        <v>-158.69999999999999</v>
      </c>
      <c r="Q1420" s="1330">
        <f t="shared" si="2710"/>
        <v>-158.69999999999999</v>
      </c>
      <c r="R1420" s="337">
        <f t="shared" ca="1" si="2711"/>
        <v>4389.8</v>
      </c>
      <c r="S1420" s="337">
        <f ca="1">IF(OR(E1420="",E1420&gt;TODAY()),0,IF(ISERROR(VLOOKUP($E1420,'TRM BanRep'!$A:$G,7,0)),0,VLOOKUP($E1420,'TRM BanRep'!$A:$G,7,0)))</f>
        <v>4808.1400000000003</v>
      </c>
      <c r="T1420" s="990">
        <f t="shared" ref="T1420:T1423" ca="1" si="2717">+P1420*K1420*S1420</f>
        <v>-763051.81799999997</v>
      </c>
      <c r="U1420" s="992">
        <f t="shared" ref="U1420:U1423" si="2718">+L1420+P1420+F1420</f>
        <v>-158.69999999999999</v>
      </c>
      <c r="V1420" s="990">
        <f t="shared" ref="V1420:V1423" ca="1" si="2719">+P1420*J1420*R1420+L1420*J1420*N1420+F1420*J1420*H1420</f>
        <v>-696661.26</v>
      </c>
      <c r="W1420" s="993">
        <f t="shared" ref="W1420:W1423" ca="1" si="2720">-(IF(-P1420*J1420*R1420&gt;-P1420*K1420*S1420,-((-P1420*J1420*R1420)-(-P1420*K1420*S1420)),0))</f>
        <v>0</v>
      </c>
      <c r="X1420" s="994">
        <f t="shared" ref="X1420:X1423" ca="1" si="2721">-(IF(-P1420*J1420*R1420&lt;-P1420*K1420*S1420,-((-P1420*J1420*R1420)-(-P1420*K1420*S1420)),0))</f>
        <v>-66390.557999999961</v>
      </c>
      <c r="Y1420" s="995"/>
      <c r="Z1420" s="220"/>
      <c r="AA1420" s="24">
        <f t="shared" ca="1" si="2712"/>
        <v>279.19999999999982</v>
      </c>
      <c r="AB1420" s="24">
        <f t="shared" ca="1" si="2680"/>
        <v>-44309.039999999964</v>
      </c>
      <c r="AC1420" s="15"/>
      <c r="AD1420" s="15"/>
      <c r="AE1420" s="15"/>
      <c r="AH1420" s="401" t="s">
        <v>1358</v>
      </c>
    </row>
    <row r="1421" spans="1:34" s="401" customFormat="1" hidden="1" outlineLevel="1">
      <c r="A1421" s="984">
        <v>1420110000</v>
      </c>
      <c r="B1421" s="985" t="s">
        <v>2249</v>
      </c>
      <c r="C1421" s="986" t="s">
        <v>64</v>
      </c>
      <c r="D1421" s="986">
        <v>100011079</v>
      </c>
      <c r="E1421" s="987">
        <v>44985</v>
      </c>
      <c r="F1421" s="988"/>
      <c r="G1421" s="1287">
        <f t="shared" si="2713"/>
        <v>0</v>
      </c>
      <c r="H1421" s="335">
        <f ca="1">IF(OR($E1421="",$E1421&gt;TODAY()),0,VLOOKUP($E1421,'TRM BanRep'!$A:$G,7,0))</f>
        <v>4808.1400000000003</v>
      </c>
      <c r="I1421" s="989">
        <f t="shared" ca="1" si="2714"/>
        <v>0</v>
      </c>
      <c r="J1421" s="1455">
        <v>1</v>
      </c>
      <c r="K1421" s="1456">
        <v>1</v>
      </c>
      <c r="L1421" s="336"/>
      <c r="M1421" s="1322">
        <f t="shared" si="2715"/>
        <v>0</v>
      </c>
      <c r="N1421" s="337"/>
      <c r="O1421" s="990">
        <f t="shared" si="2716"/>
        <v>0</v>
      </c>
      <c r="P1421" s="991">
        <f t="shared" si="2709"/>
        <v>-158.69999999999999</v>
      </c>
      <c r="Q1421" s="1330">
        <f t="shared" si="2710"/>
        <v>-158.69999999999999</v>
      </c>
      <c r="R1421" s="337">
        <f t="shared" ca="1" si="2711"/>
        <v>4389.8</v>
      </c>
      <c r="S1421" s="337">
        <f ca="1">IF(OR(E1421="",E1421&gt;TODAY()),0,IF(ISERROR(VLOOKUP($E1421,'TRM BanRep'!$A:$G,7,0)),0,VLOOKUP($E1421,'TRM BanRep'!$A:$G,7,0)))</f>
        <v>4808.1400000000003</v>
      </c>
      <c r="T1421" s="990">
        <f t="shared" ca="1" si="2717"/>
        <v>-763051.81799999997</v>
      </c>
      <c r="U1421" s="992">
        <f t="shared" si="2718"/>
        <v>-158.69999999999999</v>
      </c>
      <c r="V1421" s="990">
        <f t="shared" ca="1" si="2719"/>
        <v>-696661.26</v>
      </c>
      <c r="W1421" s="993">
        <f t="shared" ca="1" si="2720"/>
        <v>0</v>
      </c>
      <c r="X1421" s="994">
        <f t="shared" ca="1" si="2721"/>
        <v>-66390.557999999961</v>
      </c>
      <c r="Y1421" s="995"/>
      <c r="Z1421" s="220"/>
      <c r="AA1421" s="24">
        <f t="shared" ca="1" si="2712"/>
        <v>279.19999999999982</v>
      </c>
      <c r="AB1421" s="24">
        <f t="shared" ca="1" si="2680"/>
        <v>-44309.039999999964</v>
      </c>
      <c r="AC1421" s="15"/>
      <c r="AD1421" s="15"/>
      <c r="AE1421" s="15"/>
      <c r="AH1421" s="401" t="s">
        <v>1358</v>
      </c>
    </row>
    <row r="1422" spans="1:34" s="401" customFormat="1" hidden="1" outlineLevel="1">
      <c r="A1422" s="984">
        <v>1420110000</v>
      </c>
      <c r="B1422" s="985" t="s">
        <v>2249</v>
      </c>
      <c r="C1422" s="986" t="s">
        <v>64</v>
      </c>
      <c r="D1422" s="986">
        <v>100011079</v>
      </c>
      <c r="E1422" s="987">
        <v>44985</v>
      </c>
      <c r="F1422" s="988"/>
      <c r="G1422" s="1287">
        <f t="shared" si="2713"/>
        <v>0</v>
      </c>
      <c r="H1422" s="335">
        <f ca="1">IF(OR($E1422="",$E1422&gt;TODAY()),0,VLOOKUP($E1422,'TRM BanRep'!$A:$G,7,0))</f>
        <v>4808.1400000000003</v>
      </c>
      <c r="I1422" s="989">
        <f t="shared" ca="1" si="2714"/>
        <v>0</v>
      </c>
      <c r="J1422" s="1455">
        <v>1</v>
      </c>
      <c r="K1422" s="1456">
        <v>1</v>
      </c>
      <c r="L1422" s="336"/>
      <c r="M1422" s="1322">
        <f t="shared" si="2715"/>
        <v>0</v>
      </c>
      <c r="N1422" s="337"/>
      <c r="O1422" s="990">
        <f t="shared" si="2716"/>
        <v>0</v>
      </c>
      <c r="P1422" s="991">
        <f t="shared" si="2709"/>
        <v>-2206</v>
      </c>
      <c r="Q1422" s="1330">
        <f t="shared" si="2710"/>
        <v>-2206</v>
      </c>
      <c r="R1422" s="337">
        <f t="shared" ca="1" si="2711"/>
        <v>4532.07</v>
      </c>
      <c r="S1422" s="337">
        <f ca="1">IF(OR(E1422="",E1422&gt;TODAY()),0,IF(ISERROR(VLOOKUP($E1422,'TRM BanRep'!$A:$G,7,0)),0,VLOOKUP($E1422,'TRM BanRep'!$A:$G,7,0)))</f>
        <v>4808.1400000000003</v>
      </c>
      <c r="T1422" s="990">
        <f t="shared" ca="1" si="2717"/>
        <v>-10606756.84</v>
      </c>
      <c r="U1422" s="992">
        <f t="shared" si="2718"/>
        <v>-2206</v>
      </c>
      <c r="V1422" s="990">
        <f t="shared" ca="1" si="2719"/>
        <v>-9997746.4199999999</v>
      </c>
      <c r="W1422" s="993">
        <f t="shared" ca="1" si="2720"/>
        <v>0</v>
      </c>
      <c r="X1422" s="994">
        <f t="shared" ca="1" si="2721"/>
        <v>-609010.41999999993</v>
      </c>
      <c r="Y1422" s="995"/>
      <c r="Z1422" s="220"/>
      <c r="AA1422" s="24">
        <f t="shared" ca="1" si="2712"/>
        <v>136.93000000000029</v>
      </c>
      <c r="AB1422" s="24">
        <f t="shared" ca="1" si="2680"/>
        <v>-302067.58000000066</v>
      </c>
      <c r="AC1422" s="15"/>
      <c r="AD1422" s="15"/>
      <c r="AE1422" s="15"/>
      <c r="AH1422" s="401" t="s">
        <v>1358</v>
      </c>
    </row>
    <row r="1423" spans="1:34" s="401" customFormat="1" hidden="1" outlineLevel="1">
      <c r="A1423" s="984">
        <v>1420110000</v>
      </c>
      <c r="B1423" s="985" t="s">
        <v>2249</v>
      </c>
      <c r="C1423" s="986" t="s">
        <v>64</v>
      </c>
      <c r="D1423" s="986">
        <v>100011079</v>
      </c>
      <c r="E1423" s="987">
        <v>44985</v>
      </c>
      <c r="F1423" s="988"/>
      <c r="G1423" s="1287">
        <f t="shared" si="2713"/>
        <v>0</v>
      </c>
      <c r="H1423" s="335">
        <f ca="1">IF(OR($E1423="",$E1423&gt;TODAY()),0,VLOOKUP($E1423,'TRM BanRep'!$A:$G,7,0))</f>
        <v>4808.1400000000003</v>
      </c>
      <c r="I1423" s="989">
        <f t="shared" ca="1" si="2714"/>
        <v>0</v>
      </c>
      <c r="J1423" s="1455">
        <v>1</v>
      </c>
      <c r="K1423" s="1456">
        <v>1</v>
      </c>
      <c r="L1423" s="336"/>
      <c r="M1423" s="1322">
        <f t="shared" si="2715"/>
        <v>0</v>
      </c>
      <c r="N1423" s="337"/>
      <c r="O1423" s="990">
        <f t="shared" si="2716"/>
        <v>0</v>
      </c>
      <c r="P1423" s="991">
        <f t="shared" si="2709"/>
        <v>-2178</v>
      </c>
      <c r="Q1423" s="1330">
        <f t="shared" si="2710"/>
        <v>-2178</v>
      </c>
      <c r="R1423" s="337">
        <f t="shared" ca="1" si="2711"/>
        <v>4532.07</v>
      </c>
      <c r="S1423" s="337">
        <f ca="1">IF(OR(E1423="",E1423&gt;TODAY()),0,IF(ISERROR(VLOOKUP($E1423,'TRM BanRep'!$A:$G,7,0)),0,VLOOKUP($E1423,'TRM BanRep'!$A:$G,7,0)))</f>
        <v>4808.1400000000003</v>
      </c>
      <c r="T1423" s="990">
        <f t="shared" ca="1" si="2717"/>
        <v>-10472128.92</v>
      </c>
      <c r="U1423" s="992">
        <f t="shared" si="2718"/>
        <v>-2178</v>
      </c>
      <c r="V1423" s="990">
        <f t="shared" ca="1" si="2719"/>
        <v>-9870848.459999999</v>
      </c>
      <c r="W1423" s="993">
        <f t="shared" ca="1" si="2720"/>
        <v>0</v>
      </c>
      <c r="X1423" s="994">
        <f t="shared" ca="1" si="2721"/>
        <v>-601280.46000000089</v>
      </c>
      <c r="Y1423" s="995"/>
      <c r="Z1423" s="220"/>
      <c r="AA1423" s="24">
        <f t="shared" ca="1" si="2712"/>
        <v>136.93000000000029</v>
      </c>
      <c r="AB1423" s="24">
        <f t="shared" ca="1" si="2680"/>
        <v>-298233.54000000062</v>
      </c>
      <c r="AC1423" s="15"/>
      <c r="AD1423" s="15"/>
      <c r="AE1423" s="15"/>
      <c r="AH1423" s="401" t="s">
        <v>1358</v>
      </c>
    </row>
    <row r="1424" spans="1:34" s="401" customFormat="1" hidden="1" outlineLevel="1">
      <c r="A1424" s="984">
        <v>1420110000</v>
      </c>
      <c r="B1424" s="985" t="s">
        <v>2249</v>
      </c>
      <c r="C1424" s="986" t="s">
        <v>64</v>
      </c>
      <c r="D1424" s="986">
        <v>100011079</v>
      </c>
      <c r="E1424" s="987">
        <v>44985</v>
      </c>
      <c r="F1424" s="988"/>
      <c r="G1424" s="1287">
        <f t="shared" ref="G1424:G1425" si="2722">ROUND(F1424*J1424,2)</f>
        <v>0</v>
      </c>
      <c r="H1424" s="335">
        <f ca="1">IF(OR($E1424="",$E1424&gt;TODAY()),0,VLOOKUP($E1424,'TRM BanRep'!$A:$G,7,0))</f>
        <v>4808.1400000000003</v>
      </c>
      <c r="I1424" s="989">
        <f t="shared" ref="I1424:I1425" ca="1" si="2723">+F1424*J1424*H1424</f>
        <v>0</v>
      </c>
      <c r="J1424" s="1455">
        <v>1</v>
      </c>
      <c r="K1424" s="1456">
        <v>1</v>
      </c>
      <c r="L1424" s="336"/>
      <c r="M1424" s="1322">
        <f t="shared" ref="M1424:M1425" si="2724">+L1424*J1424</f>
        <v>0</v>
      </c>
      <c r="N1424" s="337"/>
      <c r="O1424" s="990">
        <f t="shared" ref="O1424:O1425" si="2725">+L1424*J1424*N1424</f>
        <v>0</v>
      </c>
      <c r="P1424" s="991">
        <f t="shared" si="2709"/>
        <v>-422</v>
      </c>
      <c r="Q1424" s="1330">
        <f t="shared" si="2710"/>
        <v>-422</v>
      </c>
      <c r="R1424" s="337">
        <f t="shared" ca="1" si="2711"/>
        <v>4898.74</v>
      </c>
      <c r="S1424" s="337">
        <f ca="1">IF(OR(E1424="",E1424&gt;TODAY()),0,IF(ISERROR(VLOOKUP($E1424,'TRM BanRep'!$A:$G,7,0)),0,VLOOKUP($E1424,'TRM BanRep'!$A:$G,7,0)))</f>
        <v>4808.1400000000003</v>
      </c>
      <c r="T1424" s="990">
        <f t="shared" ref="T1424:T1425" ca="1" si="2726">+P1424*K1424*S1424</f>
        <v>-2029035.08</v>
      </c>
      <c r="U1424" s="992">
        <f t="shared" ref="U1424:U1425" si="2727">+L1424+P1424+F1424</f>
        <v>-422</v>
      </c>
      <c r="V1424" s="990">
        <f t="shared" ref="V1424:V1425" ca="1" si="2728">+P1424*J1424*R1424+L1424*J1424*N1424+F1424*J1424*H1424</f>
        <v>-2067268.2799999998</v>
      </c>
      <c r="W1424" s="993">
        <f t="shared" ref="W1424:W1425" ca="1" si="2729">-(IF(-P1424*J1424*R1424&gt;-P1424*K1424*S1424,-((-P1424*J1424*R1424)-(-P1424*K1424*S1424)),0))</f>
        <v>38233.199999999721</v>
      </c>
      <c r="X1424" s="994">
        <f t="shared" ref="X1424:X1425" ca="1" si="2730">-(IF(-P1424*J1424*R1424&lt;-P1424*K1424*S1424,-((-P1424*J1424*R1424)-(-P1424*K1424*S1424)),0))</f>
        <v>0</v>
      </c>
      <c r="Y1424" s="995"/>
      <c r="Z1424" s="220"/>
      <c r="AA1424" s="24">
        <f t="shared" ca="1" si="2712"/>
        <v>-229.73999999999978</v>
      </c>
      <c r="AB1424" s="24">
        <f t="shared" ca="1" si="2680"/>
        <v>96950.279999999912</v>
      </c>
      <c r="AC1424" s="15"/>
      <c r="AD1424" s="15"/>
      <c r="AE1424" s="15"/>
      <c r="AH1424" s="401" t="s">
        <v>1358</v>
      </c>
    </row>
    <row r="1425" spans="1:34" s="401" customFormat="1" hidden="1" outlineLevel="1">
      <c r="A1425" s="984">
        <v>1420110000</v>
      </c>
      <c r="B1425" s="985" t="s">
        <v>2249</v>
      </c>
      <c r="C1425" s="986" t="s">
        <v>64</v>
      </c>
      <c r="D1425" s="986">
        <v>100011087</v>
      </c>
      <c r="E1425" s="987">
        <v>44985</v>
      </c>
      <c r="F1425" s="988"/>
      <c r="G1425" s="1287">
        <f t="shared" si="2722"/>
        <v>0</v>
      </c>
      <c r="H1425" s="335">
        <f ca="1">IF(OR($E1425="",$E1425&gt;TODAY()),0,VLOOKUP($E1425,'TRM BanRep'!$A:$G,7,0))</f>
        <v>4808.1400000000003</v>
      </c>
      <c r="I1425" s="989">
        <f t="shared" ca="1" si="2723"/>
        <v>0</v>
      </c>
      <c r="J1425" s="1455">
        <v>1</v>
      </c>
      <c r="K1425" s="1456">
        <v>1</v>
      </c>
      <c r="L1425" s="336"/>
      <c r="M1425" s="1322">
        <f t="shared" si="2724"/>
        <v>0</v>
      </c>
      <c r="N1425" s="337"/>
      <c r="O1425" s="990">
        <f t="shared" si="2725"/>
        <v>0</v>
      </c>
      <c r="P1425" s="991">
        <f t="shared" si="2709"/>
        <v>-2852</v>
      </c>
      <c r="Q1425" s="1330">
        <f t="shared" si="2710"/>
        <v>-2852</v>
      </c>
      <c r="R1425" s="337">
        <f t="shared" ca="1" si="2711"/>
        <v>4975.58</v>
      </c>
      <c r="S1425" s="337">
        <f ca="1">IF(OR(E1425="",E1425&gt;TODAY()),0,IF(ISERROR(VLOOKUP($E1425,'TRM BanRep'!$A:$G,7,0)),0,VLOOKUP($E1425,'TRM BanRep'!$A:$G,7,0)))</f>
        <v>4808.1400000000003</v>
      </c>
      <c r="T1425" s="990">
        <f t="shared" ca="1" si="2726"/>
        <v>-13712815.280000001</v>
      </c>
      <c r="U1425" s="992">
        <f t="shared" si="2727"/>
        <v>-2852</v>
      </c>
      <c r="V1425" s="990">
        <f t="shared" ca="1" si="2728"/>
        <v>-14190354.16</v>
      </c>
      <c r="W1425" s="993">
        <f t="shared" ca="1" si="2729"/>
        <v>477538.87999999896</v>
      </c>
      <c r="X1425" s="994">
        <f t="shared" ca="1" si="2730"/>
        <v>0</v>
      </c>
      <c r="Y1425" s="995"/>
      <c r="Z1425" s="220"/>
      <c r="AA1425" s="24">
        <f t="shared" ca="1" si="2712"/>
        <v>-306.57999999999993</v>
      </c>
      <c r="AB1425" s="24">
        <f t="shared" ca="1" si="2680"/>
        <v>874366.1599999998</v>
      </c>
      <c r="AC1425" s="15"/>
      <c r="AD1425" s="15"/>
      <c r="AE1425" s="15"/>
      <c r="AH1425" s="401" t="s">
        <v>1358</v>
      </c>
    </row>
    <row r="1426" spans="1:34" s="401" customFormat="1" hidden="1" outlineLevel="1">
      <c r="A1426" s="984">
        <v>1420110000</v>
      </c>
      <c r="B1426" s="985" t="s">
        <v>2249</v>
      </c>
      <c r="C1426" s="986" t="s">
        <v>64</v>
      </c>
      <c r="D1426" s="986">
        <v>100011079</v>
      </c>
      <c r="E1426" s="987">
        <v>44985</v>
      </c>
      <c r="F1426" s="988"/>
      <c r="G1426" s="1287">
        <f t="shared" ref="G1426" si="2731">ROUND(F1426*J1426,2)</f>
        <v>0</v>
      </c>
      <c r="H1426" s="335">
        <f ca="1">IF(OR($E1426="",$E1426&gt;TODAY()),0,VLOOKUP($E1426,'TRM BanRep'!$A:$G,7,0))</f>
        <v>4808.1400000000003</v>
      </c>
      <c r="I1426" s="989">
        <f t="shared" ref="I1426" ca="1" si="2732">+F1426*J1426*H1426</f>
        <v>0</v>
      </c>
      <c r="J1426" s="1455">
        <v>1</v>
      </c>
      <c r="K1426" s="1456">
        <v>1</v>
      </c>
      <c r="L1426" s="336"/>
      <c r="M1426" s="1322">
        <f t="shared" ref="M1426" si="2733">+L1426*J1426</f>
        <v>0</v>
      </c>
      <c r="N1426" s="337"/>
      <c r="O1426" s="990">
        <f t="shared" ref="O1426" si="2734">+L1426*J1426*N1426</f>
        <v>0</v>
      </c>
      <c r="P1426" s="991">
        <f t="shared" si="2709"/>
        <v>-2852</v>
      </c>
      <c r="Q1426" s="1330">
        <f t="shared" si="2710"/>
        <v>-2852</v>
      </c>
      <c r="R1426" s="337">
        <f t="shared" ca="1" si="2711"/>
        <v>4975.58</v>
      </c>
      <c r="S1426" s="337">
        <f ca="1">IF(OR(E1426="",E1426&gt;TODAY()),0,IF(ISERROR(VLOOKUP($E1426,'TRM BanRep'!$A:$G,7,0)),0,VLOOKUP($E1426,'TRM BanRep'!$A:$G,7,0)))</f>
        <v>4808.1400000000003</v>
      </c>
      <c r="T1426" s="990">
        <f t="shared" ref="T1426" ca="1" si="2735">+P1426*K1426*S1426</f>
        <v>-13712815.280000001</v>
      </c>
      <c r="U1426" s="992">
        <f t="shared" ref="U1426" si="2736">+L1426+P1426+F1426</f>
        <v>-2852</v>
      </c>
      <c r="V1426" s="990">
        <f t="shared" ref="V1426" ca="1" si="2737">+P1426*J1426*R1426+L1426*J1426*N1426+F1426*J1426*H1426</f>
        <v>-14190354.16</v>
      </c>
      <c r="W1426" s="993">
        <f t="shared" ref="W1426" ca="1" si="2738">-(IF(-P1426*J1426*R1426&gt;-P1426*K1426*S1426,-((-P1426*J1426*R1426)-(-P1426*K1426*S1426)),0))</f>
        <v>477538.87999999896</v>
      </c>
      <c r="X1426" s="994">
        <f t="shared" ref="X1426" ca="1" si="2739">-(IF(-P1426*J1426*R1426&lt;-P1426*K1426*S1426,-((-P1426*J1426*R1426)-(-P1426*K1426*S1426)),0))</f>
        <v>0</v>
      </c>
      <c r="Y1426" s="995"/>
      <c r="Z1426" s="220"/>
      <c r="AA1426" s="24">
        <f t="shared" ca="1" si="2712"/>
        <v>-306.57999999999993</v>
      </c>
      <c r="AB1426" s="24">
        <f t="shared" ca="1" si="2680"/>
        <v>874366.1599999998</v>
      </c>
      <c r="AC1426" s="15"/>
      <c r="AD1426" s="15"/>
      <c r="AE1426" s="15"/>
      <c r="AH1426" s="401" t="s">
        <v>1358</v>
      </c>
    </row>
    <row r="1427" spans="1:34" s="401" customFormat="1" collapsed="1">
      <c r="A1427" s="984">
        <v>1420110000</v>
      </c>
      <c r="B1427" s="985"/>
      <c r="C1427" s="986" t="s">
        <v>64</v>
      </c>
      <c r="D1427" s="986"/>
      <c r="E1427" s="987"/>
      <c r="F1427" s="988"/>
      <c r="G1427" s="1287">
        <f t="shared" ref="G1427" si="2740">ROUND(F1427*J1427,2)</f>
        <v>0</v>
      </c>
      <c r="H1427" s="335">
        <f ca="1">IF(OR($E1427="",$E1427&gt;TODAY()),0,VLOOKUP($E1427,'TRM BanRep'!$A:$G,7,0))</f>
        <v>0</v>
      </c>
      <c r="I1427" s="989">
        <f t="shared" ref="I1427" ca="1" si="2741">+F1427*J1427*H1427</f>
        <v>0</v>
      </c>
      <c r="J1427" s="1455">
        <v>1</v>
      </c>
      <c r="K1427" s="1456">
        <v>1</v>
      </c>
      <c r="L1427" s="336"/>
      <c r="M1427" s="1322">
        <f t="shared" ref="M1427" si="2742">+L1427*J1427</f>
        <v>0</v>
      </c>
      <c r="N1427" s="337"/>
      <c r="O1427" s="990">
        <f t="shared" ref="O1427" si="2743">+L1427*J1427*N1427</f>
        <v>0</v>
      </c>
      <c r="P1427" s="991"/>
      <c r="Q1427" s="1330">
        <f t="shared" ref="Q1427" si="2744">+P1427*K1427</f>
        <v>0</v>
      </c>
      <c r="R1427" s="337"/>
      <c r="S1427" s="337"/>
      <c r="T1427" s="990">
        <f t="shared" ref="T1427" si="2745">+P1427*K1427*S1427</f>
        <v>0</v>
      </c>
      <c r="U1427" s="992">
        <f t="shared" ref="U1427" si="2746">+L1427+P1427+F1427</f>
        <v>0</v>
      </c>
      <c r="V1427" s="990">
        <f t="shared" ref="V1427" ca="1" si="2747">+P1427*J1427*R1427+L1427*J1427*N1427+F1427*J1427*H1427</f>
        <v>0</v>
      </c>
      <c r="W1427" s="993">
        <f t="shared" ref="W1427" si="2748">-(IF(-P1427*J1427*R1427&gt;-P1427*K1427*S1427,-((-P1427*J1427*R1427)-(-P1427*K1427*S1427)),0))</f>
        <v>0</v>
      </c>
      <c r="X1427" s="994">
        <f t="shared" ref="X1427" si="2749">-(IF(-P1427*J1427*R1427&lt;-P1427*K1427*S1427,-((-P1427*J1427*R1427)-(-P1427*K1427*S1427)),0))</f>
        <v>0</v>
      </c>
      <c r="Y1427" s="995"/>
      <c r="Z1427" s="220"/>
      <c r="AA1427" s="24">
        <f t="shared" si="2712"/>
        <v>4669</v>
      </c>
      <c r="AB1427" s="15"/>
      <c r="AC1427" s="15"/>
      <c r="AD1427" s="15"/>
      <c r="AE1427" s="15"/>
      <c r="AH1427" s="401" t="s">
        <v>1358</v>
      </c>
    </row>
    <row r="1428" spans="1:34" s="401" customFormat="1">
      <c r="A1428" s="338"/>
      <c r="B1428" s="889"/>
      <c r="C1428" s="890"/>
      <c r="D1428" s="890"/>
      <c r="E1428" s="339"/>
      <c r="F1428" s="340"/>
      <c r="G1428" s="1288"/>
      <c r="H1428" s="891"/>
      <c r="I1428" s="892"/>
      <c r="J1428" s="1409"/>
      <c r="K1428" s="1410"/>
      <c r="L1428" s="341"/>
      <c r="M1428" s="1323">
        <f t="shared" ref="M1428" si="2750">+L1428*J1428</f>
        <v>0</v>
      </c>
      <c r="N1428" s="893"/>
      <c r="O1428" s="996">
        <f t="shared" ref="O1428:O1431" si="2751">+L1428*J1428*N1428</f>
        <v>0</v>
      </c>
      <c r="P1428" s="342"/>
      <c r="Q1428" s="1359">
        <f t="shared" ref="Q1428:Q1431" si="2752">+P1428*K1428</f>
        <v>0</v>
      </c>
      <c r="R1428" s="894"/>
      <c r="S1428" s="894"/>
      <c r="T1428" s="895">
        <f t="shared" ref="T1428:T1431" si="2753">+P1428*K1428*S1428</f>
        <v>0</v>
      </c>
      <c r="U1428" s="418"/>
      <c r="V1428" s="517">
        <f t="shared" ref="V1428:V1431" si="2754">+P1428*J1428*R1428+L1428*J1428*N1428+F1428*J1428*H1428</f>
        <v>0</v>
      </c>
      <c r="W1428" s="976">
        <f t="shared" ref="W1428:W1431" si="2755">-(IF(-P1428*J1428*R1428&gt;-P1428*K1428*S1428,-((-P1428*J1428*R1428)-(-P1428*K1428*S1428)),0))</f>
        <v>0</v>
      </c>
      <c r="X1428" s="975">
        <f t="shared" ref="X1428:X1431" si="2756">-(IF(-P1428*J1428*R1428&lt;-P1428*K1428*S1428,-((-P1428*J1428*R1428)-(-P1428*K1428*S1428)),0))</f>
        <v>0</v>
      </c>
      <c r="Y1428" s="896"/>
      <c r="Z1428" s="220"/>
      <c r="AA1428" s="1628"/>
      <c r="AB1428" s="15"/>
      <c r="AC1428" s="15"/>
      <c r="AD1428" s="15"/>
      <c r="AE1428" s="15"/>
    </row>
    <row r="1429" spans="1:34" s="401" customFormat="1" outlineLevel="1">
      <c r="A1429" s="1019">
        <v>1420110000</v>
      </c>
      <c r="B1429" s="1020" t="s">
        <v>2368</v>
      </c>
      <c r="C1429" s="1021" t="s">
        <v>64</v>
      </c>
      <c r="D1429" s="2248">
        <v>100014036</v>
      </c>
      <c r="E1429" s="1022">
        <v>45002</v>
      </c>
      <c r="F1429" s="1023"/>
      <c r="G1429" s="1290"/>
      <c r="H1429" s="352"/>
      <c r="I1429" s="1024"/>
      <c r="J1429" s="1027">
        <v>1</v>
      </c>
      <c r="K1429" s="1459">
        <v>1</v>
      </c>
      <c r="L1429" s="1026">
        <v>1144</v>
      </c>
      <c r="M1429" s="1324">
        <f t="shared" ref="M1429" si="2757">+L1429*J1429</f>
        <v>1144</v>
      </c>
      <c r="N1429" s="2102">
        <f ca="1">IF(OR(E1429="",E1429&gt;TODAY()),0,IF(ISERROR(VLOOKUP($E1429,'TRM BanRep'!$A:$G,7,0)),0,VLOOKUP($E1429,'TRM BanRep'!$A:$G,7,0)))</f>
        <v>4866.5</v>
      </c>
      <c r="O1429" s="1025">
        <f t="shared" ca="1" si="2751"/>
        <v>5567276</v>
      </c>
      <c r="P1429" s="1026"/>
      <c r="Q1429" s="1324">
        <f t="shared" si="2752"/>
        <v>0</v>
      </c>
      <c r="R1429" s="353"/>
      <c r="S1429" s="353"/>
      <c r="T1429" s="1025">
        <f t="shared" si="2753"/>
        <v>0</v>
      </c>
      <c r="U1429" s="2103">
        <f t="shared" ref="U1429:U1431" si="2758">+L1429+P1429+F1429</f>
        <v>1144</v>
      </c>
      <c r="V1429" s="1025">
        <f t="shared" ca="1" si="2754"/>
        <v>5567276</v>
      </c>
      <c r="W1429" s="1028">
        <f t="shared" si="2755"/>
        <v>0</v>
      </c>
      <c r="X1429" s="1029">
        <f t="shared" si="2756"/>
        <v>0</v>
      </c>
      <c r="Y1429" s="1030"/>
      <c r="Z1429" s="220"/>
      <c r="AA1429" s="24">
        <f ca="1">$B$4-N1429</f>
        <v>-197.5</v>
      </c>
      <c r="AB1429" s="24">
        <f t="shared" ref="AB1429" ca="1" si="2759">+U1429*AA1429</f>
        <v>-225940</v>
      </c>
      <c r="AC1429" s="15"/>
      <c r="AD1429" s="333"/>
      <c r="AE1429" s="333"/>
    </row>
    <row r="1430" spans="1:34" s="401" customFormat="1" outlineLevel="1">
      <c r="A1430" s="1019">
        <v>1420110000</v>
      </c>
      <c r="B1430" s="1020" t="s">
        <v>2546</v>
      </c>
      <c r="C1430" s="1021" t="s">
        <v>64</v>
      </c>
      <c r="D1430" s="2248">
        <v>100021809</v>
      </c>
      <c r="E1430" s="1022">
        <v>45034</v>
      </c>
      <c r="F1430" s="1023"/>
      <c r="G1430" s="1290"/>
      <c r="H1430" s="352"/>
      <c r="I1430" s="1024"/>
      <c r="J1430" s="1027">
        <v>1</v>
      </c>
      <c r="K1430" s="1459">
        <v>1</v>
      </c>
      <c r="L1430" s="1026">
        <v>869</v>
      </c>
      <c r="M1430" s="1324">
        <f t="shared" ref="M1430" si="2760">+L1430*J1430</f>
        <v>869</v>
      </c>
      <c r="N1430" s="2102">
        <f ca="1">IF(OR(E1430="",E1430&gt;TODAY()),0,IF(ISERROR(VLOOKUP($E1430,'TRM BanRep'!$A:$G,7,0)),0,VLOOKUP($E1430,'TRM BanRep'!$A:$G,7,0)))</f>
        <v>4431.45</v>
      </c>
      <c r="O1430" s="1025">
        <f t="shared" ref="O1430" ca="1" si="2761">+L1430*J1430*N1430</f>
        <v>3850930.05</v>
      </c>
      <c r="P1430" s="1026"/>
      <c r="Q1430" s="1324">
        <f t="shared" ref="Q1430" si="2762">+P1430*K1430</f>
        <v>0</v>
      </c>
      <c r="R1430" s="353"/>
      <c r="S1430" s="353"/>
      <c r="T1430" s="1025">
        <f t="shared" ref="T1430" si="2763">+P1430*K1430*S1430</f>
        <v>0</v>
      </c>
      <c r="U1430" s="2103">
        <f t="shared" ref="U1430" si="2764">+L1430+P1430+F1430</f>
        <v>869</v>
      </c>
      <c r="V1430" s="1025">
        <f t="shared" ref="V1430" ca="1" si="2765">+P1430*J1430*R1430+L1430*J1430*N1430+F1430*J1430*H1430</f>
        <v>3850930.05</v>
      </c>
      <c r="W1430" s="1028">
        <f t="shared" ref="W1430" si="2766">-(IF(-P1430*J1430*R1430&gt;-P1430*K1430*S1430,-((-P1430*J1430*R1430)-(-P1430*K1430*S1430)),0))</f>
        <v>0</v>
      </c>
      <c r="X1430" s="1029">
        <f t="shared" ref="X1430" si="2767">-(IF(-P1430*J1430*R1430&lt;-P1430*K1430*S1430,-((-P1430*J1430*R1430)-(-P1430*K1430*S1430)),0))</f>
        <v>0</v>
      </c>
      <c r="Y1430" s="1030"/>
      <c r="Z1430" s="220"/>
      <c r="AA1430" s="24">
        <f ca="1">$B$4-N1430</f>
        <v>237.55000000000018</v>
      </c>
      <c r="AB1430" s="24">
        <f t="shared" ref="AB1430" ca="1" si="2768">+U1430*AA1430</f>
        <v>206430.95000000016</v>
      </c>
      <c r="AC1430" s="15"/>
      <c r="AD1430" s="333"/>
      <c r="AE1430" s="333"/>
    </row>
    <row r="1431" spans="1:34" s="401" customFormat="1">
      <c r="A1431" s="1019">
        <v>1420110000</v>
      </c>
      <c r="B1431" s="1020"/>
      <c r="C1431" s="1021" t="s">
        <v>64</v>
      </c>
      <c r="D1431" s="1021"/>
      <c r="E1431" s="1022"/>
      <c r="F1431" s="1023"/>
      <c r="G1431" s="1290"/>
      <c r="H1431" s="352"/>
      <c r="I1431" s="1024"/>
      <c r="J1431" s="1027">
        <v>1</v>
      </c>
      <c r="K1431" s="1459">
        <v>1</v>
      </c>
      <c r="L1431" s="1026"/>
      <c r="M1431" s="1324">
        <f t="shared" ref="M1431" si="2769">+L1431*J1431</f>
        <v>0</v>
      </c>
      <c r="N1431" s="353"/>
      <c r="O1431" s="1025">
        <f t="shared" si="2751"/>
        <v>0</v>
      </c>
      <c r="P1431" s="1026"/>
      <c r="Q1431" s="1324">
        <f t="shared" si="2752"/>
        <v>0</v>
      </c>
      <c r="R1431" s="353"/>
      <c r="S1431" s="353"/>
      <c r="T1431" s="1025">
        <f t="shared" si="2753"/>
        <v>0</v>
      </c>
      <c r="U1431" s="1027">
        <f t="shared" si="2758"/>
        <v>0</v>
      </c>
      <c r="V1431" s="1025">
        <f t="shared" si="2754"/>
        <v>0</v>
      </c>
      <c r="W1431" s="1028">
        <f t="shared" si="2755"/>
        <v>0</v>
      </c>
      <c r="X1431" s="1029">
        <f t="shared" si="2756"/>
        <v>0</v>
      </c>
      <c r="Y1431" s="1030"/>
      <c r="Z1431" s="220"/>
      <c r="AA1431" s="1628"/>
      <c r="AB1431" s="15"/>
      <c r="AC1431" s="15"/>
      <c r="AD1431" s="15"/>
      <c r="AE1431" s="15"/>
    </row>
    <row r="1432" spans="1:34" s="401" customFormat="1">
      <c r="A1432" s="338"/>
      <c r="B1432" s="889"/>
      <c r="C1432" s="890"/>
      <c r="D1432" s="890"/>
      <c r="E1432" s="339"/>
      <c r="F1432" s="340"/>
      <c r="G1432" s="1288"/>
      <c r="H1432" s="891"/>
      <c r="I1432" s="892"/>
      <c r="J1432" s="1409"/>
      <c r="K1432" s="1410"/>
      <c r="L1432" s="341"/>
      <c r="M1432" s="1323"/>
      <c r="N1432" s="893"/>
      <c r="O1432" s="996"/>
      <c r="P1432" s="342"/>
      <c r="Q1432" s="1359"/>
      <c r="R1432" s="894"/>
      <c r="S1432" s="894"/>
      <c r="T1432" s="895"/>
      <c r="U1432" s="418"/>
      <c r="V1432" s="517"/>
      <c r="W1432" s="976"/>
      <c r="X1432" s="975"/>
      <c r="Y1432" s="896"/>
      <c r="Z1432" s="220"/>
      <c r="AA1432" s="1628"/>
      <c r="AB1432" s="15"/>
      <c r="AC1432" s="15"/>
      <c r="AD1432" s="15"/>
      <c r="AE1432" s="15"/>
    </row>
    <row r="1433" spans="1:34" s="401" customFormat="1" outlineLevel="1">
      <c r="A1433" s="1019">
        <v>1420110000</v>
      </c>
      <c r="B1433" s="1020"/>
      <c r="C1433" s="1021" t="s">
        <v>64</v>
      </c>
      <c r="D1433" s="2248"/>
      <c r="E1433" s="1022"/>
      <c r="F1433" s="1023"/>
      <c r="G1433" s="1290"/>
      <c r="H1433" s="352"/>
      <c r="I1433" s="1024"/>
      <c r="J1433" s="1027">
        <v>1</v>
      </c>
      <c r="K1433" s="1459">
        <v>1</v>
      </c>
      <c r="L1433" s="1026"/>
      <c r="M1433" s="1324">
        <f t="shared" ref="M1433:M1434" si="2770">+L1433*J1433</f>
        <v>0</v>
      </c>
      <c r="N1433" s="2102">
        <f ca="1">IF(OR(E1433="",E1433&gt;TODAY()),0,IF(ISERROR(VLOOKUP($E1433,'TRM BanRep'!$A:$G,7,0)),0,VLOOKUP($E1433,'TRM BanRep'!$A:$G,7,0)))</f>
        <v>0</v>
      </c>
      <c r="O1433" s="1025">
        <f t="shared" ref="O1433:O1434" ca="1" si="2771">+L1433*J1433*N1433</f>
        <v>0</v>
      </c>
      <c r="P1433" s="1026"/>
      <c r="Q1433" s="1324">
        <f t="shared" ref="Q1433:Q1434" si="2772">+P1433*K1433</f>
        <v>0</v>
      </c>
      <c r="R1433" s="353"/>
      <c r="S1433" s="353">
        <f ca="1">IF(OR(E1433="",E1433&gt;TODAY()),0,IF(ISERROR(VLOOKUP($E1433,'TRM BanRep'!$A:$G,7,0)),0,VLOOKUP($E1433,'TRM BanRep'!$A:$G,7,0)))</f>
        <v>0</v>
      </c>
      <c r="T1433" s="1025">
        <f t="shared" ref="T1433:T1434" ca="1" si="2773">+P1433*K1433*S1433</f>
        <v>0</v>
      </c>
      <c r="U1433" s="2103">
        <f t="shared" ref="U1433:U1434" si="2774">+L1433+P1433+F1433</f>
        <v>0</v>
      </c>
      <c r="V1433" s="1025">
        <f t="shared" ref="V1433:V1434" ca="1" si="2775">+P1433*J1433*R1433+L1433*J1433*N1433+F1433*J1433*H1433</f>
        <v>0</v>
      </c>
      <c r="W1433" s="1028">
        <f t="shared" ref="W1433:W1434" ca="1" si="2776">-(IF(-P1433*J1433*R1433&gt;-P1433*K1433*S1433,-((-P1433*J1433*R1433)-(-P1433*K1433*S1433)),0))</f>
        <v>0</v>
      </c>
      <c r="X1433" s="1029">
        <f t="shared" ref="X1433:X1434" ca="1" si="2777">-(IF(-P1433*J1433*R1433&lt;-P1433*K1433*S1433,-((-P1433*J1433*R1433)-(-P1433*K1433*S1433)),0))</f>
        <v>0</v>
      </c>
      <c r="Y1433" s="1030"/>
      <c r="Z1433" s="220"/>
      <c r="AA1433" s="1628"/>
      <c r="AB1433" s="15"/>
      <c r="AC1433" s="15"/>
      <c r="AD1433" s="333"/>
      <c r="AE1433" s="333"/>
    </row>
    <row r="1434" spans="1:34" s="401" customFormat="1" ht="12.75" customHeight="1" outlineLevel="1">
      <c r="A1434" s="338">
        <v>1420110000</v>
      </c>
      <c r="B1434" s="889"/>
      <c r="C1434" s="890" t="s">
        <v>106</v>
      </c>
      <c r="D1434" s="890"/>
      <c r="E1434" s="2273"/>
      <c r="F1434" s="340"/>
      <c r="G1434" s="1288"/>
      <c r="H1434" s="891"/>
      <c r="I1434" s="892"/>
      <c r="J1434" s="1457">
        <v>1</v>
      </c>
      <c r="K1434" s="1458">
        <v>1</v>
      </c>
      <c r="L1434" s="341"/>
      <c r="M1434" s="1323">
        <f t="shared" si="2770"/>
        <v>0</v>
      </c>
      <c r="N1434" s="893">
        <f ca="1">IF(OR(E1434="",E1434&gt;TODAY()),0,IF(ISERROR(VLOOKUP($E1434,'TRM BanRep'!$A:$G,7,0)),0,VLOOKUP($E1434,'TRM BanRep'!$A:$G,7,0)))</f>
        <v>0</v>
      </c>
      <c r="O1434" s="996">
        <f t="shared" ca="1" si="2771"/>
        <v>0</v>
      </c>
      <c r="P1434" s="342">
        <f>-L1433</f>
        <v>0</v>
      </c>
      <c r="Q1434" s="1359">
        <f t="shared" si="2772"/>
        <v>0</v>
      </c>
      <c r="R1434" s="894">
        <f ca="1">+N1433</f>
        <v>0</v>
      </c>
      <c r="S1434" s="2272">
        <f ca="1">IF(OR(E1434="",E1434&gt;TODAY()),0,IF(ISERROR(VLOOKUP($E1434,'TRM BanRep'!$A:$G,7,0)),0,VLOOKUP($E1434,'TRM BanRep'!$A:$G,7,0)))</f>
        <v>0</v>
      </c>
      <c r="T1434" s="895">
        <f t="shared" ca="1" si="2773"/>
        <v>0</v>
      </c>
      <c r="U1434" s="418">
        <f t="shared" si="2774"/>
        <v>0</v>
      </c>
      <c r="V1434" s="517">
        <f t="shared" ca="1" si="2775"/>
        <v>0</v>
      </c>
      <c r="W1434" s="976">
        <f t="shared" ca="1" si="2776"/>
        <v>0</v>
      </c>
      <c r="X1434" s="975">
        <f t="shared" ca="1" si="2777"/>
        <v>0</v>
      </c>
      <c r="Y1434" s="896"/>
      <c r="Z1434" s="220"/>
      <c r="AA1434" s="1628"/>
      <c r="AB1434" s="15"/>
      <c r="AC1434" s="15"/>
      <c r="AD1434" s="15"/>
      <c r="AE1434" s="15"/>
    </row>
    <row r="1435" spans="1:34" s="401" customFormat="1" outlineLevel="1">
      <c r="A1435" s="338">
        <v>1420110000</v>
      </c>
      <c r="B1435" s="889"/>
      <c r="C1435" s="890" t="s">
        <v>64</v>
      </c>
      <c r="D1435" s="890"/>
      <c r="E1435" s="339"/>
      <c r="F1435" s="340"/>
      <c r="G1435" s="1288"/>
      <c r="H1435" s="891"/>
      <c r="I1435" s="892"/>
      <c r="J1435" s="1409"/>
      <c r="K1435" s="1410"/>
      <c r="L1435" s="341"/>
      <c r="M1435" s="1323">
        <f t="shared" ref="M1435:M1437" si="2778">+L1435*J1435</f>
        <v>0</v>
      </c>
      <c r="N1435" s="893"/>
      <c r="O1435" s="996">
        <f t="shared" ref="O1435:O1437" si="2779">+L1435*J1435*N1435</f>
        <v>0</v>
      </c>
      <c r="P1435" s="342"/>
      <c r="Q1435" s="1359">
        <f t="shared" ref="Q1435:Q1436" si="2780">+P1435*K1435</f>
        <v>0</v>
      </c>
      <c r="R1435" s="894"/>
      <c r="S1435" s="894">
        <f ca="1">IF(OR(E1435="",E1435&gt;TODAY()),0,IF(ISERROR(VLOOKUP($E1435,'TRM BanRep'!$A:$G,7,0)),0,VLOOKUP($E1435,'TRM BanRep'!$A:$G,7,0)))</f>
        <v>0</v>
      </c>
      <c r="T1435" s="895">
        <f t="shared" ref="T1435:T1437" ca="1" si="2781">+P1435*K1435*S1435</f>
        <v>0</v>
      </c>
      <c r="U1435" s="418">
        <f t="shared" ref="U1435:U1443" si="2782">+L1435+P1435+F1435</f>
        <v>0</v>
      </c>
      <c r="V1435" s="517">
        <f t="shared" ref="V1435:V1436" si="2783">+P1435*J1435*R1435+L1435*J1435*N1435+F1435*J1435*H1435</f>
        <v>0</v>
      </c>
      <c r="W1435" s="976">
        <f t="shared" ref="W1435:W1444" ca="1" si="2784">-(IF(-P1435*J1435*R1435&gt;-P1435*K1435*S1435,-((-P1435*J1435*R1435)-(-P1435*K1435*S1435)),0))</f>
        <v>0</v>
      </c>
      <c r="X1435" s="975">
        <f t="shared" ref="X1435:X1444" ca="1" si="2785">-(IF(-P1435*J1435*R1435&lt;-P1435*K1435*S1435,-((-P1435*J1435*R1435)-(-P1435*K1435*S1435)),0))</f>
        <v>0</v>
      </c>
      <c r="Y1435" s="896"/>
      <c r="Z1435" s="220"/>
      <c r="AA1435" s="1628"/>
      <c r="AB1435" s="15"/>
      <c r="AC1435" s="15"/>
      <c r="AD1435" s="15"/>
      <c r="AE1435" s="15"/>
    </row>
    <row r="1436" spans="1:34" s="401" customFormat="1">
      <c r="A1436" s="338"/>
      <c r="B1436" s="889"/>
      <c r="C1436" s="890"/>
      <c r="D1436" s="890"/>
      <c r="E1436" s="339"/>
      <c r="F1436" s="340"/>
      <c r="G1436" s="1288"/>
      <c r="H1436" s="891"/>
      <c r="I1436" s="892"/>
      <c r="J1436" s="1409"/>
      <c r="K1436" s="1410"/>
      <c r="L1436" s="341"/>
      <c r="M1436" s="1323">
        <f t="shared" si="2778"/>
        <v>0</v>
      </c>
      <c r="N1436" s="893"/>
      <c r="O1436" s="996">
        <f t="shared" si="2779"/>
        <v>0</v>
      </c>
      <c r="P1436" s="342"/>
      <c r="Q1436" s="1359">
        <f t="shared" si="2780"/>
        <v>0</v>
      </c>
      <c r="R1436" s="894"/>
      <c r="S1436" s="894"/>
      <c r="T1436" s="895">
        <f t="shared" si="2781"/>
        <v>0</v>
      </c>
      <c r="U1436" s="418">
        <f t="shared" si="2782"/>
        <v>0</v>
      </c>
      <c r="V1436" s="517">
        <f t="shared" si="2783"/>
        <v>0</v>
      </c>
      <c r="W1436" s="976">
        <f t="shared" si="2784"/>
        <v>0</v>
      </c>
      <c r="X1436" s="975">
        <f t="shared" si="2785"/>
        <v>0</v>
      </c>
      <c r="Y1436" s="896"/>
      <c r="Z1436" s="220"/>
      <c r="AA1436" s="1628"/>
      <c r="AB1436" s="15"/>
      <c r="AC1436" s="15"/>
      <c r="AD1436" s="15"/>
      <c r="AE1436" s="15"/>
    </row>
    <row r="1437" spans="1:34" ht="15.75">
      <c r="A1437" s="961">
        <v>1420110000</v>
      </c>
      <c r="B1437" s="962" t="s">
        <v>77</v>
      </c>
      <c r="C1437" s="963" t="s">
        <v>146</v>
      </c>
      <c r="D1437" s="963"/>
      <c r="E1437" s="969"/>
      <c r="F1437" s="964"/>
      <c r="G1437" s="1250">
        <f>ROUND(F1437*J1437,2)</f>
        <v>0</v>
      </c>
      <c r="H1437" s="47"/>
      <c r="I1437" s="965">
        <f>+F1437*J1437*H1437</f>
        <v>0</v>
      </c>
      <c r="J1437" s="1413"/>
      <c r="K1437" s="1414"/>
      <c r="L1437" s="218"/>
      <c r="M1437" s="1309">
        <f t="shared" si="2778"/>
        <v>0</v>
      </c>
      <c r="N1437" s="47"/>
      <c r="O1437" s="965">
        <f t="shared" si="2779"/>
        <v>0</v>
      </c>
      <c r="P1437" s="964"/>
      <c r="Q1437" s="1250">
        <f>+P1437*K1437</f>
        <v>0</v>
      </c>
      <c r="R1437" s="47"/>
      <c r="S1437" s="47"/>
      <c r="T1437" s="965">
        <f t="shared" si="2781"/>
        <v>0</v>
      </c>
      <c r="U1437" s="959">
        <f t="shared" si="2782"/>
        <v>0</v>
      </c>
      <c r="V1437" s="965">
        <f>+P1437*J1437*R1437+L1437*J1437*N1437+F1437*J1437*H1437</f>
        <v>0</v>
      </c>
      <c r="W1437" s="968">
        <f t="shared" si="2784"/>
        <v>0</v>
      </c>
      <c r="X1437" s="966">
        <f t="shared" si="2785"/>
        <v>0</v>
      </c>
      <c r="Y1437" s="967"/>
      <c r="Z1437" s="220"/>
      <c r="AA1437" s="24"/>
      <c r="AB1437" s="24"/>
      <c r="AC1437" s="24"/>
      <c r="AD1437" s="24"/>
      <c r="AE1437" s="24"/>
    </row>
    <row r="1438" spans="1:34" s="401" customFormat="1" hidden="1" outlineLevel="1">
      <c r="A1438" s="984">
        <v>1420110000</v>
      </c>
      <c r="B1438" s="985"/>
      <c r="C1438" s="986" t="s">
        <v>146</v>
      </c>
      <c r="D1438" s="986"/>
      <c r="E1438" s="987"/>
      <c r="F1438" s="988"/>
      <c r="G1438" s="1287">
        <f>ROUND(F1438*J1438,2)</f>
        <v>0</v>
      </c>
      <c r="H1438" s="335"/>
      <c r="I1438" s="989">
        <f>+F1438*J1438*H1438</f>
        <v>0</v>
      </c>
      <c r="J1438" s="1415">
        <f>J1437</f>
        <v>0</v>
      </c>
      <c r="K1438" s="1416"/>
      <c r="L1438" s="336"/>
      <c r="M1438" s="1322">
        <f>+L1438*J1438</f>
        <v>0</v>
      </c>
      <c r="N1438" s="337"/>
      <c r="O1438" s="990">
        <f>+L1438*J1438*N1438</f>
        <v>0</v>
      </c>
      <c r="P1438" s="991">
        <f>-F1437</f>
        <v>0</v>
      </c>
      <c r="Q1438" s="1330">
        <f>+P1438*K1438</f>
        <v>0</v>
      </c>
      <c r="R1438" s="337">
        <f>+H1437</f>
        <v>0</v>
      </c>
      <c r="S1438" s="337"/>
      <c r="T1438" s="990">
        <f>+P1438*K1438*S1438</f>
        <v>0</v>
      </c>
      <c r="U1438" s="992">
        <f t="shared" si="2782"/>
        <v>0</v>
      </c>
      <c r="V1438" s="990">
        <f t="shared" ref="V1438:V1443" si="2786">+P1438*J1438*R1438+L1438*J1438*N1438+F1438*J1438*H1438</f>
        <v>0</v>
      </c>
      <c r="W1438" s="993">
        <f t="shared" si="2784"/>
        <v>0</v>
      </c>
      <c r="X1438" s="994">
        <f t="shared" si="2785"/>
        <v>0</v>
      </c>
      <c r="Y1438" s="995"/>
      <c r="Z1438" s="220"/>
      <c r="AA1438" s="15"/>
      <c r="AB1438" s="15"/>
      <c r="AC1438" s="15"/>
      <c r="AD1438" s="15"/>
      <c r="AE1438" s="15"/>
    </row>
    <row r="1439" spans="1:34" s="401" customFormat="1" hidden="1" outlineLevel="1">
      <c r="A1439" s="1019">
        <v>1420110000</v>
      </c>
      <c r="B1439" s="1020"/>
      <c r="C1439" s="1021" t="s">
        <v>146</v>
      </c>
      <c r="D1439" s="1021"/>
      <c r="E1439" s="1022"/>
      <c r="F1439" s="1023"/>
      <c r="G1439" s="1290"/>
      <c r="H1439" s="352"/>
      <c r="I1439" s="1024"/>
      <c r="J1439" s="1461"/>
      <c r="K1439" s="1459"/>
      <c r="L1439" s="1026"/>
      <c r="M1439" s="1324">
        <f t="shared" ref="M1439" si="2787">+L1439*J1439</f>
        <v>0</v>
      </c>
      <c r="N1439" s="353"/>
      <c r="O1439" s="1025">
        <f t="shared" ref="O1439" si="2788">+L1439*J1439*N1439</f>
        <v>0</v>
      </c>
      <c r="P1439" s="1026"/>
      <c r="Q1439" s="1324">
        <f t="shared" ref="Q1439" si="2789">+P1439*K1439</f>
        <v>0</v>
      </c>
      <c r="R1439" s="353"/>
      <c r="S1439" s="353"/>
      <c r="T1439" s="1025">
        <f t="shared" ref="T1439:T1443" si="2790">+P1439*K1439*S1439</f>
        <v>0</v>
      </c>
      <c r="U1439" s="1027">
        <f t="shared" si="2782"/>
        <v>0</v>
      </c>
      <c r="V1439" s="1025">
        <f t="shared" si="2786"/>
        <v>0</v>
      </c>
      <c r="W1439" s="1028">
        <f t="shared" si="2784"/>
        <v>0</v>
      </c>
      <c r="X1439" s="1029">
        <f t="shared" si="2785"/>
        <v>0</v>
      </c>
      <c r="Y1439" s="1030"/>
      <c r="Z1439" s="220"/>
      <c r="AA1439" s="1628"/>
      <c r="AB1439" s="15"/>
      <c r="AC1439" s="15"/>
      <c r="AD1439" s="15"/>
      <c r="AE1439" s="15"/>
    </row>
    <row r="1440" spans="1:34" s="401" customFormat="1" collapsed="1">
      <c r="A1440" s="338"/>
      <c r="B1440" s="889"/>
      <c r="C1440" s="890"/>
      <c r="D1440" s="890"/>
      <c r="E1440" s="339"/>
      <c r="F1440" s="340"/>
      <c r="G1440" s="1288"/>
      <c r="H1440" s="891"/>
      <c r="I1440" s="892"/>
      <c r="J1440" s="1409"/>
      <c r="K1440" s="1410"/>
      <c r="L1440" s="341"/>
      <c r="M1440" s="1323"/>
      <c r="N1440" s="893"/>
      <c r="O1440" s="897">
        <f>+L1440*N1440</f>
        <v>0</v>
      </c>
      <c r="P1440" s="342"/>
      <c r="Q1440" s="1359"/>
      <c r="R1440" s="894"/>
      <c r="S1440" s="894"/>
      <c r="T1440" s="895">
        <f t="shared" si="2790"/>
        <v>0</v>
      </c>
      <c r="U1440" s="418">
        <f t="shared" si="2782"/>
        <v>0</v>
      </c>
      <c r="V1440" s="517">
        <f t="shared" si="2786"/>
        <v>0</v>
      </c>
      <c r="W1440" s="976">
        <f t="shared" si="2784"/>
        <v>0</v>
      </c>
      <c r="X1440" s="975">
        <f t="shared" si="2785"/>
        <v>0</v>
      </c>
      <c r="Y1440" s="896"/>
      <c r="Z1440" s="220"/>
      <c r="AA1440" s="15"/>
      <c r="AB1440" s="15"/>
      <c r="AC1440" s="15"/>
      <c r="AD1440" s="15"/>
      <c r="AE1440" s="15"/>
    </row>
    <row r="1441" spans="1:31" s="401" customFormat="1" hidden="1" outlineLevel="1">
      <c r="A1441" s="338">
        <v>1420110000</v>
      </c>
      <c r="B1441" s="889"/>
      <c r="C1441" s="890" t="s">
        <v>146</v>
      </c>
      <c r="D1441" s="890"/>
      <c r="E1441" s="339"/>
      <c r="F1441" s="340"/>
      <c r="G1441" s="1288"/>
      <c r="H1441" s="891"/>
      <c r="I1441" s="892"/>
      <c r="J1441" s="1503"/>
      <c r="K1441" s="1504"/>
      <c r="L1441" s="1036"/>
      <c r="M1441" s="1325"/>
      <c r="N1441" s="893"/>
      <c r="O1441" s="897">
        <f>+L1441*N1441</f>
        <v>0</v>
      </c>
      <c r="P1441" s="342"/>
      <c r="Q1441" s="1359"/>
      <c r="R1441" s="894"/>
      <c r="S1441" s="894"/>
      <c r="T1441" s="895">
        <f t="shared" si="2790"/>
        <v>0</v>
      </c>
      <c r="U1441" s="418">
        <f t="shared" si="2782"/>
        <v>0</v>
      </c>
      <c r="V1441" s="517">
        <f t="shared" si="2786"/>
        <v>0</v>
      </c>
      <c r="W1441" s="976">
        <f t="shared" si="2784"/>
        <v>0</v>
      </c>
      <c r="X1441" s="975">
        <f t="shared" si="2785"/>
        <v>0</v>
      </c>
      <c r="Y1441" s="896"/>
      <c r="Z1441" s="220"/>
      <c r="AA1441" s="15"/>
      <c r="AB1441" s="15"/>
      <c r="AC1441" s="15"/>
      <c r="AD1441" s="15"/>
      <c r="AE1441" s="15"/>
    </row>
    <row r="1442" spans="1:31" s="401" customFormat="1" hidden="1" outlineLevel="1">
      <c r="A1442" s="338">
        <v>1420110000</v>
      </c>
      <c r="B1442" s="889"/>
      <c r="C1442" s="890" t="s">
        <v>146</v>
      </c>
      <c r="D1442" s="890"/>
      <c r="E1442" s="339"/>
      <c r="F1442" s="340"/>
      <c r="G1442" s="1288"/>
      <c r="H1442" s="891"/>
      <c r="I1442" s="892"/>
      <c r="J1442" s="1503"/>
      <c r="K1442" s="1504"/>
      <c r="L1442" s="341"/>
      <c r="M1442" s="1323"/>
      <c r="N1442" s="893"/>
      <c r="O1442" s="897">
        <f>+L1442*N1442</f>
        <v>0</v>
      </c>
      <c r="P1442" s="342">
        <f>-L1441</f>
        <v>0</v>
      </c>
      <c r="Q1442" s="1359"/>
      <c r="R1442" s="894">
        <f>N1441</f>
        <v>0</v>
      </c>
      <c r="S1442" s="894"/>
      <c r="T1442" s="895">
        <f t="shared" si="2790"/>
        <v>0</v>
      </c>
      <c r="U1442" s="418">
        <f t="shared" si="2782"/>
        <v>0</v>
      </c>
      <c r="V1442" s="517">
        <f t="shared" si="2786"/>
        <v>0</v>
      </c>
      <c r="W1442" s="976">
        <f t="shared" si="2784"/>
        <v>0</v>
      </c>
      <c r="X1442" s="975">
        <f t="shared" si="2785"/>
        <v>0</v>
      </c>
      <c r="Y1442" s="896"/>
      <c r="Z1442" s="220"/>
      <c r="AA1442" s="15"/>
      <c r="AB1442" s="15"/>
      <c r="AC1442" s="15"/>
      <c r="AD1442" s="15"/>
      <c r="AE1442" s="15"/>
    </row>
    <row r="1443" spans="1:31" s="401" customFormat="1" hidden="1" outlineLevel="1">
      <c r="A1443" s="338">
        <v>1420110000</v>
      </c>
      <c r="B1443" s="889"/>
      <c r="C1443" s="890" t="s">
        <v>146</v>
      </c>
      <c r="D1443" s="890"/>
      <c r="E1443" s="339"/>
      <c r="F1443" s="340"/>
      <c r="G1443" s="1288"/>
      <c r="H1443" s="891"/>
      <c r="I1443" s="892"/>
      <c r="J1443" s="1409"/>
      <c r="K1443" s="1410"/>
      <c r="L1443" s="341"/>
      <c r="M1443" s="1323"/>
      <c r="N1443" s="893"/>
      <c r="O1443" s="897">
        <f>+L1443*N1443</f>
        <v>0</v>
      </c>
      <c r="P1443" s="342"/>
      <c r="Q1443" s="1359"/>
      <c r="R1443" s="894"/>
      <c r="S1443" s="894"/>
      <c r="T1443" s="895">
        <f t="shared" si="2790"/>
        <v>0</v>
      </c>
      <c r="U1443" s="418">
        <f t="shared" si="2782"/>
        <v>0</v>
      </c>
      <c r="V1443" s="517">
        <f t="shared" si="2786"/>
        <v>0</v>
      </c>
      <c r="W1443" s="976">
        <f t="shared" si="2784"/>
        <v>0</v>
      </c>
      <c r="X1443" s="975">
        <f t="shared" si="2785"/>
        <v>0</v>
      </c>
      <c r="Y1443" s="896"/>
      <c r="Z1443" s="220"/>
      <c r="AA1443" s="15"/>
      <c r="AB1443" s="15"/>
      <c r="AC1443" s="15"/>
      <c r="AD1443" s="15"/>
      <c r="AE1443" s="15"/>
    </row>
    <row r="1444" spans="1:31" s="401" customFormat="1" collapsed="1">
      <c r="A1444" s="338"/>
      <c r="B1444" s="889"/>
      <c r="C1444" s="890"/>
      <c r="D1444" s="890"/>
      <c r="E1444" s="339"/>
      <c r="F1444" s="340"/>
      <c r="G1444" s="1288"/>
      <c r="H1444" s="891"/>
      <c r="I1444" s="892"/>
      <c r="J1444" s="1409"/>
      <c r="K1444" s="1410"/>
      <c r="L1444" s="341"/>
      <c r="M1444" s="1323"/>
      <c r="N1444" s="893"/>
      <c r="O1444" s="897"/>
      <c r="P1444" s="342"/>
      <c r="Q1444" s="1359"/>
      <c r="R1444" s="894"/>
      <c r="S1444" s="894"/>
      <c r="T1444" s="895"/>
      <c r="U1444" s="418"/>
      <c r="V1444" s="517"/>
      <c r="W1444" s="976">
        <f t="shared" si="2784"/>
        <v>0</v>
      </c>
      <c r="X1444" s="975">
        <f t="shared" si="2785"/>
        <v>0</v>
      </c>
      <c r="Y1444" s="896"/>
      <c r="Z1444" s="220"/>
      <c r="AA1444" s="15"/>
      <c r="AB1444" s="15"/>
      <c r="AC1444" s="15"/>
      <c r="AD1444" s="15"/>
      <c r="AE1444" s="15"/>
    </row>
    <row r="1445" spans="1:31" s="344" customFormat="1" ht="15.75">
      <c r="A1445" s="997">
        <v>1420110000</v>
      </c>
      <c r="B1445" s="998" t="s">
        <v>77</v>
      </c>
      <c r="C1445" s="999" t="s">
        <v>106</v>
      </c>
      <c r="D1445" s="999" t="s">
        <v>128</v>
      </c>
      <c r="E1445" s="1000"/>
      <c r="F1445" s="1001"/>
      <c r="G1445" s="1291"/>
      <c r="H1445" s="343"/>
      <c r="I1445" s="1002">
        <f>-115927781+4465800</f>
        <v>-111461981</v>
      </c>
      <c r="J1445" s="1417"/>
      <c r="K1445" s="1418"/>
      <c r="L1445" s="1003"/>
      <c r="M1445" s="1326"/>
      <c r="N1445" s="343"/>
      <c r="O1445" s="1002">
        <f>+L1445*N1445</f>
        <v>0</v>
      </c>
      <c r="P1445" s="1001"/>
      <c r="Q1445" s="1291"/>
      <c r="R1445" s="343"/>
      <c r="S1445" s="343"/>
      <c r="T1445" s="1002">
        <f>+P1445*R1445</f>
        <v>0</v>
      </c>
      <c r="U1445" s="1001">
        <f t="shared" ref="U1445:U1453" si="2791">+L1445+P1445+F1445</f>
        <v>0</v>
      </c>
      <c r="V1445" s="1937">
        <f>+I1445+T1445+O1445</f>
        <v>-111461981</v>
      </c>
      <c r="W1445" s="968"/>
      <c r="X1445" s="966"/>
      <c r="Y1445" s="967"/>
      <c r="Z1445" s="220"/>
      <c r="AA1445" s="24">
        <v>4522765</v>
      </c>
      <c r="AB1445" s="24"/>
      <c r="AC1445" s="24"/>
      <c r="AD1445" s="24"/>
      <c r="AE1445" s="24"/>
    </row>
    <row r="1446" spans="1:31" s="302" customFormat="1" ht="15.75" outlineLevel="1">
      <c r="A1446" s="979">
        <v>1420110000</v>
      </c>
      <c r="B1446" s="980" t="s">
        <v>129</v>
      </c>
      <c r="C1446" s="981" t="s">
        <v>106</v>
      </c>
      <c r="D1446" s="981" t="s">
        <v>128</v>
      </c>
      <c r="E1446" s="1004"/>
      <c r="F1446" s="982"/>
      <c r="G1446" s="1286"/>
      <c r="H1446" s="857"/>
      <c r="I1446" s="1005">
        <f t="shared" ref="I1446:I1453" si="2792">+F1446*H1446</f>
        <v>0</v>
      </c>
      <c r="J1446" s="1419"/>
      <c r="K1446" s="1420"/>
      <c r="L1446" s="1006"/>
      <c r="M1446" s="1327"/>
      <c r="N1446" s="898"/>
      <c r="O1446" s="1007"/>
      <c r="P1446" s="1008"/>
      <c r="Q1446" s="1360"/>
      <c r="R1446" s="899"/>
      <c r="S1446" s="899"/>
      <c r="T1446" s="1009"/>
      <c r="U1446" s="1010">
        <f t="shared" si="2791"/>
        <v>0</v>
      </c>
      <c r="V1446" s="983">
        <v>7674300</v>
      </c>
      <c r="W1446" s="968"/>
      <c r="X1446" s="966"/>
      <c r="Y1446" s="967"/>
      <c r="Z1446" s="220"/>
      <c r="AA1446" s="24"/>
      <c r="AB1446" s="24"/>
      <c r="AC1446" s="24"/>
      <c r="AD1446" s="24"/>
      <c r="AE1446" s="24"/>
    </row>
    <row r="1447" spans="1:31" s="302" customFormat="1" ht="15.75" outlineLevel="1">
      <c r="A1447" s="979">
        <v>1420110000</v>
      </c>
      <c r="B1447" s="980" t="s">
        <v>130</v>
      </c>
      <c r="C1447" s="981" t="s">
        <v>106</v>
      </c>
      <c r="D1447" s="981" t="s">
        <v>128</v>
      </c>
      <c r="E1447" s="1004"/>
      <c r="F1447" s="982"/>
      <c r="G1447" s="1286"/>
      <c r="H1447" s="857"/>
      <c r="I1447" s="1005">
        <f t="shared" si="2792"/>
        <v>0</v>
      </c>
      <c r="J1447" s="1419"/>
      <c r="K1447" s="1420"/>
      <c r="L1447" s="1006"/>
      <c r="M1447" s="1327"/>
      <c r="N1447" s="898"/>
      <c r="O1447" s="1007"/>
      <c r="P1447" s="1008"/>
      <c r="Q1447" s="1360"/>
      <c r="R1447" s="899"/>
      <c r="S1447" s="899"/>
      <c r="T1447" s="1009"/>
      <c r="U1447" s="1010">
        <f t="shared" si="2791"/>
        <v>0</v>
      </c>
      <c r="V1447" s="983">
        <f>8581300+116076981</f>
        <v>124658281</v>
      </c>
      <c r="W1447" s="968"/>
      <c r="X1447" s="966"/>
      <c r="Y1447" s="967"/>
      <c r="Z1447" s="220"/>
      <c r="AA1447" s="24"/>
      <c r="AB1447" s="24"/>
      <c r="AC1447" s="24"/>
      <c r="AD1447" s="24"/>
      <c r="AE1447" s="24"/>
    </row>
    <row r="1448" spans="1:31" s="302" customFormat="1" ht="15.75" outlineLevel="1">
      <c r="A1448" s="979">
        <v>1420110000</v>
      </c>
      <c r="B1448" s="980" t="s">
        <v>131</v>
      </c>
      <c r="C1448" s="981" t="s">
        <v>106</v>
      </c>
      <c r="D1448" s="981" t="s">
        <v>128</v>
      </c>
      <c r="E1448" s="1004"/>
      <c r="F1448" s="982"/>
      <c r="G1448" s="1286"/>
      <c r="H1448" s="857"/>
      <c r="I1448" s="1005">
        <f t="shared" si="2792"/>
        <v>0</v>
      </c>
      <c r="J1448" s="1419"/>
      <c r="K1448" s="1420"/>
      <c r="L1448" s="1006"/>
      <c r="M1448" s="1327"/>
      <c r="N1448" s="898"/>
      <c r="O1448" s="1007"/>
      <c r="P1448" s="1008"/>
      <c r="Q1448" s="1360"/>
      <c r="R1448" s="899"/>
      <c r="S1448" s="899"/>
      <c r="T1448" s="1009"/>
      <c r="U1448" s="1010">
        <f t="shared" si="2791"/>
        <v>0</v>
      </c>
      <c r="V1448" s="983">
        <v>-8630400</v>
      </c>
      <c r="W1448" s="968"/>
      <c r="X1448" s="966"/>
      <c r="Y1448" s="967"/>
      <c r="Z1448" s="220"/>
      <c r="AA1448" s="24"/>
      <c r="AB1448" s="24"/>
      <c r="AC1448" s="24"/>
      <c r="AD1448" s="24"/>
      <c r="AE1448" s="24"/>
    </row>
    <row r="1449" spans="1:31" s="302" customFormat="1" ht="15.75" outlineLevel="1">
      <c r="A1449" s="979">
        <v>1420110000</v>
      </c>
      <c r="B1449" s="980" t="s">
        <v>132</v>
      </c>
      <c r="C1449" s="981" t="s">
        <v>106</v>
      </c>
      <c r="D1449" s="981" t="s">
        <v>128</v>
      </c>
      <c r="E1449" s="1004"/>
      <c r="F1449" s="982"/>
      <c r="G1449" s="1286"/>
      <c r="H1449" s="857"/>
      <c r="I1449" s="1005">
        <f t="shared" si="2792"/>
        <v>0</v>
      </c>
      <c r="J1449" s="1419"/>
      <c r="K1449" s="1420"/>
      <c r="L1449" s="1006"/>
      <c r="M1449" s="1327"/>
      <c r="N1449" s="898"/>
      <c r="O1449" s="1007"/>
      <c r="P1449" s="1008"/>
      <c r="Q1449" s="1360"/>
      <c r="R1449" s="899"/>
      <c r="S1449" s="899"/>
      <c r="T1449" s="1009"/>
      <c r="U1449" s="1010">
        <f t="shared" si="2791"/>
        <v>0</v>
      </c>
      <c r="V1449" s="983">
        <v>-6357076</v>
      </c>
      <c r="W1449" s="968"/>
      <c r="X1449" s="966"/>
      <c r="Y1449" s="967"/>
      <c r="Z1449" s="220"/>
      <c r="AA1449" s="24"/>
      <c r="AB1449" s="24"/>
      <c r="AC1449" s="24"/>
      <c r="AD1449" s="24"/>
      <c r="AE1449" s="24"/>
    </row>
    <row r="1450" spans="1:31" s="302" customFormat="1" ht="15.75" outlineLevel="1">
      <c r="A1450" s="979">
        <v>1420110000</v>
      </c>
      <c r="B1450" s="980" t="s">
        <v>133</v>
      </c>
      <c r="C1450" s="981" t="s">
        <v>106</v>
      </c>
      <c r="D1450" s="981" t="s">
        <v>128</v>
      </c>
      <c r="E1450" s="1004"/>
      <c r="F1450" s="982"/>
      <c r="G1450" s="1286"/>
      <c r="H1450" s="857"/>
      <c r="I1450" s="1005">
        <f t="shared" si="2792"/>
        <v>0</v>
      </c>
      <c r="J1450" s="1419"/>
      <c r="K1450" s="1420"/>
      <c r="L1450" s="1006"/>
      <c r="M1450" s="1327"/>
      <c r="N1450" s="898"/>
      <c r="O1450" s="1007"/>
      <c r="P1450" s="1008"/>
      <c r="Q1450" s="1360"/>
      <c r="R1450" s="899"/>
      <c r="S1450" s="899"/>
      <c r="T1450" s="1009"/>
      <c r="U1450" s="1010">
        <f t="shared" si="2791"/>
        <v>0</v>
      </c>
      <c r="V1450" s="983">
        <v>0</v>
      </c>
      <c r="W1450" s="968"/>
      <c r="X1450" s="966"/>
      <c r="Y1450" s="967"/>
      <c r="Z1450" s="220"/>
      <c r="AA1450" s="24"/>
      <c r="AB1450" s="24"/>
      <c r="AC1450" s="24"/>
      <c r="AD1450" s="24"/>
      <c r="AE1450" s="24"/>
    </row>
    <row r="1451" spans="1:31" s="302" customFormat="1" ht="15.75" outlineLevel="1">
      <c r="A1451" s="979">
        <v>1420110000</v>
      </c>
      <c r="B1451" s="980" t="s">
        <v>134</v>
      </c>
      <c r="C1451" s="981" t="s">
        <v>106</v>
      </c>
      <c r="D1451" s="981" t="s">
        <v>128</v>
      </c>
      <c r="E1451" s="1004"/>
      <c r="F1451" s="982"/>
      <c r="G1451" s="1286"/>
      <c r="H1451" s="857"/>
      <c r="I1451" s="1005">
        <f t="shared" si="2792"/>
        <v>0</v>
      </c>
      <c r="J1451" s="1419"/>
      <c r="K1451" s="1420"/>
      <c r="L1451" s="1006"/>
      <c r="M1451" s="1327"/>
      <c r="N1451" s="898"/>
      <c r="O1451" s="1007">
        <f>+L1451*N1451</f>
        <v>0</v>
      </c>
      <c r="P1451" s="1008"/>
      <c r="Q1451" s="1360"/>
      <c r="R1451" s="899"/>
      <c r="S1451" s="899"/>
      <c r="T1451" s="1009">
        <f>+P1451*R1451</f>
        <v>0</v>
      </c>
      <c r="U1451" s="1010">
        <f t="shared" si="2791"/>
        <v>0</v>
      </c>
      <c r="V1451" s="983">
        <v>0</v>
      </c>
      <c r="W1451" s="968"/>
      <c r="X1451" s="966"/>
      <c r="Y1451" s="967"/>
      <c r="Z1451" s="220"/>
      <c r="AA1451" s="24"/>
      <c r="AB1451" s="24"/>
      <c r="AC1451" s="24"/>
      <c r="AD1451" s="24"/>
      <c r="AE1451" s="24"/>
    </row>
    <row r="1452" spans="1:31" s="302" customFormat="1" ht="15.75" outlineLevel="1">
      <c r="A1452" s="979">
        <v>1420110000</v>
      </c>
      <c r="B1452" s="980" t="s">
        <v>135</v>
      </c>
      <c r="C1452" s="981" t="s">
        <v>106</v>
      </c>
      <c r="D1452" s="981" t="s">
        <v>128</v>
      </c>
      <c r="E1452" s="1004"/>
      <c r="F1452" s="982"/>
      <c r="G1452" s="1286"/>
      <c r="H1452" s="857"/>
      <c r="I1452" s="1005">
        <f t="shared" si="2792"/>
        <v>0</v>
      </c>
      <c r="J1452" s="1419"/>
      <c r="K1452" s="1420"/>
      <c r="L1452" s="1006"/>
      <c r="M1452" s="1327"/>
      <c r="N1452" s="898"/>
      <c r="O1452" s="1007">
        <f>+L1452*N1452</f>
        <v>0</v>
      </c>
      <c r="P1452" s="1008"/>
      <c r="Q1452" s="1360"/>
      <c r="R1452" s="899"/>
      <c r="S1452" s="899"/>
      <c r="T1452" s="1009">
        <f>+P1452*R1452</f>
        <v>0</v>
      </c>
      <c r="U1452" s="1010">
        <f t="shared" si="2791"/>
        <v>0</v>
      </c>
      <c r="V1452" s="983">
        <v>0</v>
      </c>
      <c r="W1452" s="968"/>
      <c r="X1452" s="966"/>
      <c r="Y1452" s="967"/>
      <c r="Z1452" s="220"/>
      <c r="AA1452" s="24"/>
      <c r="AB1452" s="24"/>
      <c r="AC1452" s="24"/>
      <c r="AD1452" s="24"/>
      <c r="AE1452" s="24"/>
    </row>
    <row r="1453" spans="1:31" s="302" customFormat="1" ht="15.75" outlineLevel="1">
      <c r="A1453" s="979">
        <v>1420110000</v>
      </c>
      <c r="B1453" s="980" t="s">
        <v>136</v>
      </c>
      <c r="C1453" s="981" t="s">
        <v>106</v>
      </c>
      <c r="D1453" s="981" t="s">
        <v>128</v>
      </c>
      <c r="E1453" s="1004"/>
      <c r="F1453" s="982"/>
      <c r="G1453" s="1286"/>
      <c r="H1453" s="857"/>
      <c r="I1453" s="1005">
        <f t="shared" si="2792"/>
        <v>0</v>
      </c>
      <c r="J1453" s="1419"/>
      <c r="K1453" s="1420"/>
      <c r="L1453" s="1006"/>
      <c r="M1453" s="1327"/>
      <c r="N1453" s="898"/>
      <c r="O1453" s="1007">
        <f>+L1453*N1453</f>
        <v>0</v>
      </c>
      <c r="P1453" s="1008"/>
      <c r="Q1453" s="1360"/>
      <c r="R1453" s="899"/>
      <c r="S1453" s="899"/>
      <c r="T1453" s="1009">
        <f>+P1453*R1453</f>
        <v>0</v>
      </c>
      <c r="U1453" s="1010">
        <f t="shared" si="2791"/>
        <v>0</v>
      </c>
      <c r="V1453" s="983">
        <v>0</v>
      </c>
      <c r="W1453" s="968"/>
      <c r="X1453" s="966"/>
      <c r="Y1453" s="967"/>
      <c r="Z1453" s="220"/>
      <c r="AA1453" s="24"/>
      <c r="AB1453" s="24"/>
      <c r="AC1453" s="24"/>
      <c r="AD1453" s="24"/>
      <c r="AE1453" s="24"/>
    </row>
    <row r="1454" spans="1:31" s="302" customFormat="1" ht="15.75" outlineLevel="1">
      <c r="A1454" s="979">
        <v>1420110000</v>
      </c>
      <c r="B1454" s="980" t="s">
        <v>137</v>
      </c>
      <c r="C1454" s="981" t="s">
        <v>106</v>
      </c>
      <c r="D1454" s="981" t="s">
        <v>128</v>
      </c>
      <c r="E1454" s="1004"/>
      <c r="F1454" s="982"/>
      <c r="G1454" s="1286"/>
      <c r="H1454" s="857"/>
      <c r="I1454" s="1005"/>
      <c r="J1454" s="1419"/>
      <c r="K1454" s="1420"/>
      <c r="L1454" s="1006"/>
      <c r="M1454" s="1327"/>
      <c r="N1454" s="898"/>
      <c r="O1454" s="1007"/>
      <c r="P1454" s="1008"/>
      <c r="Q1454" s="1360"/>
      <c r="R1454" s="899"/>
      <c r="S1454" s="899"/>
      <c r="T1454" s="1009"/>
      <c r="U1454" s="1010"/>
      <c r="V1454" s="983">
        <v>0</v>
      </c>
      <c r="W1454" s="968"/>
      <c r="X1454" s="966"/>
      <c r="Y1454" s="967"/>
      <c r="Z1454" s="220"/>
      <c r="AA1454" s="24"/>
      <c r="AB1454" s="24"/>
      <c r="AC1454" s="24"/>
      <c r="AD1454" s="24"/>
      <c r="AE1454" s="24"/>
    </row>
    <row r="1455" spans="1:31" s="302" customFormat="1" ht="15.75" outlineLevel="1">
      <c r="A1455" s="979">
        <v>1420110000</v>
      </c>
      <c r="B1455" s="980" t="s">
        <v>138</v>
      </c>
      <c r="C1455" s="981" t="s">
        <v>106</v>
      </c>
      <c r="D1455" s="981" t="s">
        <v>128</v>
      </c>
      <c r="E1455" s="1004"/>
      <c r="F1455" s="982"/>
      <c r="G1455" s="1286"/>
      <c r="H1455" s="857"/>
      <c r="I1455" s="1005"/>
      <c r="J1455" s="1419"/>
      <c r="K1455" s="1420"/>
      <c r="L1455" s="1006"/>
      <c r="M1455" s="1327"/>
      <c r="N1455" s="898"/>
      <c r="O1455" s="1007"/>
      <c r="P1455" s="1008"/>
      <c r="Q1455" s="1360"/>
      <c r="R1455" s="899"/>
      <c r="S1455" s="899"/>
      <c r="T1455" s="1009"/>
      <c r="U1455" s="1010"/>
      <c r="V1455" s="983">
        <v>0</v>
      </c>
      <c r="W1455" s="968"/>
      <c r="X1455" s="966"/>
      <c r="Y1455" s="967"/>
      <c r="Z1455" s="220"/>
      <c r="AA1455" s="24"/>
      <c r="AB1455" s="24"/>
      <c r="AC1455" s="24"/>
      <c r="AD1455" s="24"/>
      <c r="AE1455" s="24"/>
    </row>
    <row r="1456" spans="1:31" s="302" customFormat="1" ht="15.75" outlineLevel="1">
      <c r="A1456" s="979">
        <v>1420110000</v>
      </c>
      <c r="B1456" s="980" t="s">
        <v>139</v>
      </c>
      <c r="C1456" s="981" t="s">
        <v>106</v>
      </c>
      <c r="D1456" s="981" t="s">
        <v>128</v>
      </c>
      <c r="E1456" s="1004"/>
      <c r="F1456" s="982"/>
      <c r="G1456" s="1286"/>
      <c r="H1456" s="857"/>
      <c r="I1456" s="1005"/>
      <c r="J1456" s="1419"/>
      <c r="K1456" s="1420"/>
      <c r="L1456" s="1006"/>
      <c r="M1456" s="1327"/>
      <c r="N1456" s="898"/>
      <c r="O1456" s="1007"/>
      <c r="P1456" s="1008"/>
      <c r="Q1456" s="1360"/>
      <c r="R1456" s="899"/>
      <c r="S1456" s="899"/>
      <c r="T1456" s="1009"/>
      <c r="U1456" s="1010"/>
      <c r="V1456" s="983">
        <v>0</v>
      </c>
      <c r="W1456" s="968"/>
      <c r="X1456" s="966"/>
      <c r="Y1456" s="967"/>
      <c r="Z1456" s="220"/>
      <c r="AA1456" s="24"/>
      <c r="AB1456" s="24"/>
      <c r="AC1456" s="24"/>
      <c r="AD1456" s="24"/>
      <c r="AE1456" s="24"/>
    </row>
    <row r="1457" spans="1:34" s="302" customFormat="1" ht="15.75" outlineLevel="1">
      <c r="A1457" s="979">
        <v>1420110000</v>
      </c>
      <c r="B1457" s="980" t="s">
        <v>140</v>
      </c>
      <c r="C1457" s="981" t="s">
        <v>106</v>
      </c>
      <c r="D1457" s="981" t="s">
        <v>128</v>
      </c>
      <c r="E1457" s="1004"/>
      <c r="F1457" s="982"/>
      <c r="G1457" s="1286"/>
      <c r="H1457" s="857"/>
      <c r="I1457" s="1005"/>
      <c r="J1457" s="1419"/>
      <c r="K1457" s="1420"/>
      <c r="L1457" s="1006"/>
      <c r="M1457" s="1327"/>
      <c r="N1457" s="898"/>
      <c r="O1457" s="1007"/>
      <c r="P1457" s="1008"/>
      <c r="Q1457" s="1360"/>
      <c r="R1457" s="899"/>
      <c r="S1457" s="899"/>
      <c r="T1457" s="1009"/>
      <c r="U1457" s="1010"/>
      <c r="V1457" s="983">
        <v>0</v>
      </c>
      <c r="W1457" s="968"/>
      <c r="X1457" s="966"/>
      <c r="Y1457" s="967"/>
      <c r="Z1457" s="220"/>
      <c r="AA1457" s="24"/>
      <c r="AB1457" s="24"/>
      <c r="AC1457" s="24"/>
      <c r="AD1457" s="24"/>
      <c r="AE1457" s="24"/>
    </row>
    <row r="1458" spans="1:34" ht="15.75" thickBot="1">
      <c r="A1458" s="55"/>
      <c r="B1458" s="509"/>
      <c r="C1458" s="510"/>
      <c r="D1458" s="510"/>
      <c r="E1458" s="219"/>
      <c r="F1458" s="416"/>
      <c r="G1458" s="1251"/>
      <c r="H1458" s="676"/>
      <c r="I1458" s="681">
        <f>+F1458*H1458</f>
        <v>0</v>
      </c>
      <c r="J1458" s="1421"/>
      <c r="K1458" s="1422"/>
      <c r="L1458" s="438"/>
      <c r="M1458" s="1302"/>
      <c r="N1458" s="504"/>
      <c r="O1458" s="682">
        <f>+L1458*N1458</f>
        <v>0</v>
      </c>
      <c r="P1458" s="431"/>
      <c r="Q1458" s="514"/>
      <c r="R1458" s="515"/>
      <c r="S1458" s="515"/>
      <c r="T1458" s="562">
        <f>+P1458*R1458</f>
        <v>0</v>
      </c>
      <c r="U1458" s="418"/>
      <c r="V1458" s="517"/>
      <c r="W1458" s="976">
        <f>IF((-P1458*R1458)-(-P1458*S1458)&gt;0,(-P1458*R1458)-(-P1458*S1458),0)</f>
        <v>0</v>
      </c>
      <c r="X1458" s="975">
        <f>IF((-P1458*R1458)-(-P1458*S1458)&lt;0,(-P1458*R1458)-(-P1458*S1458),0)</f>
        <v>0</v>
      </c>
      <c r="Y1458" s="519"/>
      <c r="AA1458" s="24"/>
      <c r="AB1458" s="24"/>
      <c r="AC1458" s="24"/>
      <c r="AD1458" s="24"/>
      <c r="AE1458" s="24"/>
    </row>
    <row r="1459" spans="1:34" s="252" customFormat="1" ht="19.5" thickBot="1">
      <c r="A1459" s="900" t="s">
        <v>141</v>
      </c>
      <c r="B1459" s="901"/>
      <c r="C1459" s="902"/>
      <c r="D1459" s="902"/>
      <c r="E1459" s="903"/>
      <c r="F1459" s="904">
        <f>SUM(F1396:F1458)</f>
        <v>25540</v>
      </c>
      <c r="G1459" s="1292"/>
      <c r="H1459" s="905"/>
      <c r="I1459" s="906">
        <f ca="1">SUM(I1396:I1458)</f>
        <v>5916358.8999999762</v>
      </c>
      <c r="J1459" s="1373"/>
      <c r="K1459" s="1373"/>
      <c r="L1459" s="907">
        <f>SUM(L1396:L1458)</f>
        <v>2013</v>
      </c>
      <c r="M1459" s="1328"/>
      <c r="N1459" s="908"/>
      <c r="O1459" s="909">
        <f ca="1">SUM(O1396:O1458)</f>
        <v>9418206.0500000007</v>
      </c>
      <c r="P1459" s="910">
        <f>SUM(P1396:P1458)</f>
        <v>-25540</v>
      </c>
      <c r="Q1459" s="1361"/>
      <c r="R1459" s="911"/>
      <c r="S1459" s="911"/>
      <c r="T1459" s="912">
        <f ca="1">SUM(T1396:T1458)</f>
        <v>-122799895.60000001</v>
      </c>
      <c r="U1459" s="913">
        <f>SUM(U1396:U1458)</f>
        <v>2012.9999999999982</v>
      </c>
      <c r="V1459" s="914">
        <f ca="1">SUM(V1396:V1458)</f>
        <v>15301330.049999997</v>
      </c>
      <c r="W1459" s="915">
        <f ca="1">SUM(W1396:W1458)</f>
        <v>993310.95999999763</v>
      </c>
      <c r="X1459" s="916">
        <f ca="1">SUM(X1396:X1458)</f>
        <v>-6414866.6600000067</v>
      </c>
      <c r="Y1459" s="917"/>
      <c r="Z1459" s="1073"/>
      <c r="AA1459" s="213"/>
      <c r="AB1459" s="213"/>
      <c r="AC1459" s="213"/>
      <c r="AD1459" s="213"/>
      <c r="AE1459" s="213"/>
    </row>
    <row r="1460" spans="1:34" ht="15.75" thickBot="1">
      <c r="W1460" s="9"/>
      <c r="X1460" s="9"/>
      <c r="Y1460" s="345"/>
      <c r="AA1460" s="24"/>
      <c r="AB1460" s="24"/>
      <c r="AC1460" s="24"/>
      <c r="AD1460" s="24"/>
      <c r="AE1460" s="24"/>
    </row>
    <row r="1461" spans="1:34" ht="19.5" thickBot="1">
      <c r="A1461" s="488" t="s">
        <v>216</v>
      </c>
      <c r="B1461" s="489"/>
      <c r="C1461" s="490"/>
      <c r="D1461" s="490"/>
      <c r="E1461" s="491"/>
      <c r="F1461" s="492"/>
      <c r="G1461" s="492"/>
      <c r="H1461" s="493"/>
      <c r="I1461" s="494"/>
      <c r="J1461" s="494"/>
      <c r="K1461" s="494"/>
      <c r="L1461" s="495"/>
      <c r="M1461" s="495"/>
      <c r="N1461" s="493"/>
      <c r="O1461" s="494"/>
      <c r="P1461" s="492"/>
      <c r="Q1461" s="492"/>
      <c r="R1461" s="492"/>
      <c r="S1461" s="493"/>
      <c r="T1461" s="494"/>
      <c r="U1461" s="489"/>
      <c r="V1461" s="489"/>
      <c r="W1461" s="494"/>
      <c r="X1461" s="494"/>
      <c r="Y1461" s="496"/>
      <c r="AA1461" s="24"/>
      <c r="AB1461" s="24"/>
      <c r="AC1461" s="24"/>
      <c r="AD1461" s="24"/>
      <c r="AE1461" s="24"/>
    </row>
    <row r="1462" spans="1:34" s="27" customFormat="1" ht="21">
      <c r="A1462" s="827" t="s">
        <v>127</v>
      </c>
      <c r="B1462" s="828"/>
      <c r="C1462" s="2558" t="s">
        <v>57</v>
      </c>
      <c r="D1462" s="2560" t="s">
        <v>59</v>
      </c>
      <c r="E1462" s="2562" t="s">
        <v>58</v>
      </c>
      <c r="F1462" s="2564" t="str">
        <f>+F6</f>
        <v>SALDO FISCAL 31/12/2022</v>
      </c>
      <c r="G1462" s="2565"/>
      <c r="H1462" s="2565"/>
      <c r="I1462" s="2566"/>
      <c r="J1462" s="2567" t="str">
        <f>J6</f>
        <v>Tasa Mon Extranj</v>
      </c>
      <c r="K1462" s="2568"/>
      <c r="L1462" s="2569" t="str">
        <f>+L6</f>
        <v>ENTRADAS</v>
      </c>
      <c r="M1462" s="2570"/>
      <c r="N1462" s="2570"/>
      <c r="O1462" s="2571"/>
      <c r="P1462" s="2572" t="str">
        <f>+P6</f>
        <v>SALIDAS</v>
      </c>
      <c r="Q1462" s="2573"/>
      <c r="R1462" s="2573"/>
      <c r="S1462" s="2573"/>
      <c r="T1462" s="2574"/>
      <c r="U1462" s="2575" t="s">
        <v>62</v>
      </c>
      <c r="V1462" s="2576"/>
      <c r="W1462" s="2577" t="s">
        <v>63</v>
      </c>
      <c r="X1462" s="2578"/>
      <c r="Y1462" s="2579"/>
      <c r="Z1462" s="44"/>
      <c r="AA1462" s="213"/>
      <c r="AB1462" s="213"/>
      <c r="AC1462" s="213"/>
      <c r="AD1462" s="213"/>
      <c r="AE1462" s="213"/>
    </row>
    <row r="1463" spans="1:34" s="216" customFormat="1" ht="15.75" thickBot="1">
      <c r="A1463" s="253" t="s">
        <v>87</v>
      </c>
      <c r="B1463" s="254" t="s">
        <v>88</v>
      </c>
      <c r="C1463" s="2559"/>
      <c r="D1463" s="2561"/>
      <c r="E1463" s="2563"/>
      <c r="F1463" s="30" t="str">
        <f>F7</f>
        <v>MON/EX</v>
      </c>
      <c r="G1463" s="1249" t="str">
        <f>G7</f>
        <v>USD</v>
      </c>
      <c r="H1463" s="31" t="str">
        <f>H7</f>
        <v>TRM CIERRE</v>
      </c>
      <c r="I1463" s="32" t="str">
        <f>I7</f>
        <v>SALDO PESOS</v>
      </c>
      <c r="J1463" s="1423" t="str">
        <f>J7</f>
        <v>Inicial</v>
      </c>
      <c r="K1463" s="1338" t="str">
        <f t="shared" ref="K1463:X1463" si="2793">K7</f>
        <v>Pago</v>
      </c>
      <c r="L1463" s="33" t="str">
        <f t="shared" si="2793"/>
        <v>ENTRADAS MON/EX</v>
      </c>
      <c r="M1463" s="1297" t="str">
        <f t="shared" si="2793"/>
        <v>USD</v>
      </c>
      <c r="N1463" s="34" t="str">
        <f t="shared" si="2793"/>
        <v>TRM INICIAL</v>
      </c>
      <c r="O1463" s="35" t="str">
        <f t="shared" si="2793"/>
        <v>ENTRADAS PESOS</v>
      </c>
      <c r="P1463" s="36" t="str">
        <f t="shared" si="2793"/>
        <v>PAGOS MON/EX</v>
      </c>
      <c r="Q1463" s="1338" t="str">
        <f t="shared" si="2793"/>
        <v>USD</v>
      </c>
      <c r="R1463" s="37" t="str">
        <f t="shared" si="2793"/>
        <v>TRM INICIAL</v>
      </c>
      <c r="S1463" s="37" t="str">
        <f t="shared" si="2793"/>
        <v>TRM PAGO</v>
      </c>
      <c r="T1463" s="38" t="str">
        <f t="shared" si="2793"/>
        <v>PAGO EN PESOS</v>
      </c>
      <c r="U1463" s="39" t="str">
        <f t="shared" si="2793"/>
        <v xml:space="preserve"> SALDO MON/EX</v>
      </c>
      <c r="V1463" s="40" t="str">
        <f t="shared" si="2793"/>
        <v>SALDO  PESOS</v>
      </c>
      <c r="W1463" s="41" t="str">
        <f t="shared" si="2793"/>
        <v>GASTO</v>
      </c>
      <c r="X1463" s="42" t="str">
        <f t="shared" si="2793"/>
        <v>INGRESO</v>
      </c>
      <c r="Y1463" s="43"/>
      <c r="Z1463" s="214"/>
      <c r="AC1463" s="323" t="s">
        <v>292</v>
      </c>
      <c r="AD1463" s="323"/>
      <c r="AE1463" s="323"/>
    </row>
    <row r="1464" spans="1:34" s="334" customFormat="1" ht="15.75" outlineLevel="1">
      <c r="A1464" s="1919">
        <v>1420120200</v>
      </c>
      <c r="B1464" s="1920" t="s">
        <v>1181</v>
      </c>
      <c r="C1464" s="2237" t="s">
        <v>64</v>
      </c>
      <c r="D1464" s="2237">
        <v>2000012231</v>
      </c>
      <c r="E1464" s="1922">
        <v>44559</v>
      </c>
      <c r="F1464" s="1918">
        <v>124089</v>
      </c>
      <c r="G1464" s="1923">
        <f>ROUND(F1464*J1464,2)</f>
        <v>124089</v>
      </c>
      <c r="H1464" s="2340">
        <v>4004</v>
      </c>
      <c r="I1464" s="1925">
        <f>+F1464*J1464*H1464</f>
        <v>496852356</v>
      </c>
      <c r="J1464" s="1926">
        <v>1</v>
      </c>
      <c r="K1464" s="1927">
        <v>1</v>
      </c>
      <c r="L1464" s="1928"/>
      <c r="M1464" s="1929">
        <f>+L1464*J1464</f>
        <v>0</v>
      </c>
      <c r="N1464" s="1930"/>
      <c r="O1464" s="1931">
        <f>+L1464*J1464*N1464</f>
        <v>0</v>
      </c>
      <c r="P1464" s="1932"/>
      <c r="Q1464" s="1933">
        <f>+P1464*K1464</f>
        <v>0</v>
      </c>
      <c r="R1464" s="1930"/>
      <c r="S1464" s="1930"/>
      <c r="T1464" s="1931">
        <f>+P1464*K1464*S1464</f>
        <v>0</v>
      </c>
      <c r="U1464" s="2098">
        <f>+L1464+P1464+F1464</f>
        <v>124089</v>
      </c>
      <c r="V1464" s="1925">
        <f>+P1464*J1464*R1464+L1464*J1464*N1464+F1464*J1464*H1464</f>
        <v>496852356</v>
      </c>
      <c r="W1464" s="1934">
        <f>-(IF(-P1464*J1464*R1464&gt;-P1464*K1464*S1464,-((-P1464*J1464*R1464)-(-P1464*K1464*S1464)),0))</f>
        <v>0</v>
      </c>
      <c r="X1464" s="1935">
        <f>-(IF(-P1464*J1464*R1464&lt;-P1464*K1464*S1464,-((-P1464*J1464*R1464)-(-P1464*K1464*S1464)),0))</f>
        <v>0</v>
      </c>
      <c r="Y1464" s="1936">
        <v>33491</v>
      </c>
      <c r="Z1464" s="1072"/>
      <c r="AA1464" s="24">
        <f>$B$4-H1464</f>
        <v>665</v>
      </c>
      <c r="AB1464" s="24">
        <f t="shared" ref="AB1464" si="2794">+U1464*AA1464</f>
        <v>82519185</v>
      </c>
      <c r="AC1464" s="2086">
        <v>33491</v>
      </c>
      <c r="AD1464" s="2087" t="s">
        <v>2557</v>
      </c>
      <c r="AE1464" s="333"/>
    </row>
    <row r="1465" spans="1:34" s="334" customFormat="1" ht="15.75" outlineLevel="1">
      <c r="A1465" s="1919">
        <v>1420120200</v>
      </c>
      <c r="B1465" s="1920" t="s">
        <v>1297</v>
      </c>
      <c r="C1465" s="2237" t="s">
        <v>64</v>
      </c>
      <c r="D1465" s="2237">
        <v>2200000037</v>
      </c>
      <c r="E1465" s="1922">
        <v>44652</v>
      </c>
      <c r="F1465" s="1918">
        <v>-16856.2</v>
      </c>
      <c r="G1465" s="1923">
        <f>ROUND(F1465*J1465,2)</f>
        <v>-16856.2</v>
      </c>
      <c r="H1465" s="2340">
        <v>4004</v>
      </c>
      <c r="I1465" s="1925">
        <f t="shared" ref="I1465:I1473" si="2795">+F1465*J1465*H1465</f>
        <v>-67492224.799999997</v>
      </c>
      <c r="J1465" s="1926">
        <v>1</v>
      </c>
      <c r="K1465" s="1927">
        <v>1</v>
      </c>
      <c r="L1465" s="1928"/>
      <c r="M1465" s="1929">
        <f t="shared" ref="M1465:M1473" si="2796">+L1465*J1465</f>
        <v>0</v>
      </c>
      <c r="N1465" s="1930"/>
      <c r="O1465" s="1931">
        <f t="shared" ref="O1465:O1473" si="2797">+L1465*J1465*N1465</f>
        <v>0</v>
      </c>
      <c r="P1465" s="1932"/>
      <c r="Q1465" s="1933">
        <f t="shared" ref="Q1465:Q1473" si="2798">+P1465*K1465</f>
        <v>0</v>
      </c>
      <c r="R1465" s="1930"/>
      <c r="S1465" s="1930"/>
      <c r="T1465" s="1931">
        <f t="shared" ref="T1465:T1473" si="2799">+P1465*K1465*S1465</f>
        <v>0</v>
      </c>
      <c r="U1465" s="2098">
        <f t="shared" ref="U1465:U1473" si="2800">+L1465+P1465+F1465</f>
        <v>-16856.2</v>
      </c>
      <c r="V1465" s="1925">
        <f t="shared" ref="V1465:V1473" si="2801">+P1465*J1465*R1465+L1465*J1465*N1465+F1465*J1465*H1465</f>
        <v>-67492224.799999997</v>
      </c>
      <c r="W1465" s="1934">
        <f>-(IF(-P1465*J1465*R1465&gt;-P1465*K1465*S1465,-((-P1465*J1465*R1465)-(-P1465*K1465*S1465)),0))</f>
        <v>0</v>
      </c>
      <c r="X1465" s="1935">
        <f>-(IF(-P1465*J1465*R1465&lt;-P1465*K1465*S1465,-((-P1465*J1465*R1465)-(-P1465*K1465*S1465)),0))</f>
        <v>0</v>
      </c>
      <c r="Y1465" s="1936">
        <v>33491</v>
      </c>
      <c r="Z1465" s="1072"/>
      <c r="AA1465" s="24">
        <f t="shared" ref="AA1465:AA1477" si="2802">$B$4-H1465</f>
        <v>665</v>
      </c>
      <c r="AB1465" s="24">
        <f t="shared" ref="AB1465:AB1477" si="2803">+U1465*AA1465</f>
        <v>-11209373</v>
      </c>
      <c r="AC1465" s="2086">
        <v>33491</v>
      </c>
      <c r="AD1465" s="2087" t="s">
        <v>2557</v>
      </c>
      <c r="AE1465" s="333"/>
    </row>
    <row r="1466" spans="1:34" s="334" customFormat="1" ht="15.75" outlineLevel="1">
      <c r="A1466" s="1919">
        <v>1420120200</v>
      </c>
      <c r="B1466" s="1920" t="s">
        <v>1298</v>
      </c>
      <c r="C1466" s="2237" t="s">
        <v>64</v>
      </c>
      <c r="D1466" s="2237">
        <v>2200000047</v>
      </c>
      <c r="E1466" s="1922">
        <v>44680</v>
      </c>
      <c r="F1466" s="1918">
        <v>-7531.4</v>
      </c>
      <c r="G1466" s="1923">
        <f t="shared" ref="G1466:G1473" si="2804">ROUND(F1466*J1466,2)</f>
        <v>-7531.4</v>
      </c>
      <c r="H1466" s="2340">
        <v>4004</v>
      </c>
      <c r="I1466" s="1925">
        <f t="shared" si="2795"/>
        <v>-30155725.599999998</v>
      </c>
      <c r="J1466" s="1926">
        <v>1</v>
      </c>
      <c r="K1466" s="1927">
        <v>1</v>
      </c>
      <c r="L1466" s="1928"/>
      <c r="M1466" s="1929">
        <f t="shared" si="2796"/>
        <v>0</v>
      </c>
      <c r="N1466" s="1930"/>
      <c r="O1466" s="1931">
        <f t="shared" si="2797"/>
        <v>0</v>
      </c>
      <c r="P1466" s="1932"/>
      <c r="Q1466" s="1933">
        <f t="shared" si="2798"/>
        <v>0</v>
      </c>
      <c r="R1466" s="1930"/>
      <c r="S1466" s="1930"/>
      <c r="T1466" s="1931">
        <f t="shared" si="2799"/>
        <v>0</v>
      </c>
      <c r="U1466" s="2098">
        <f t="shared" si="2800"/>
        <v>-7531.4</v>
      </c>
      <c r="V1466" s="1925">
        <f t="shared" si="2801"/>
        <v>-30155725.599999998</v>
      </c>
      <c r="W1466" s="1934">
        <f t="shared" ref="W1466:W1473" si="2805">-(IF(-P1466*J1466*R1466&gt;-P1466*K1466*S1466,-((-P1466*J1466*R1466)-(-P1466*K1466*S1466)),0))</f>
        <v>0</v>
      </c>
      <c r="X1466" s="1935">
        <f t="shared" ref="X1466:X1473" si="2806">-(IF(-P1466*J1466*R1466&lt;-P1466*K1466*S1466,-((-P1466*J1466*R1466)-(-P1466*K1466*S1466)),0))</f>
        <v>0</v>
      </c>
      <c r="Y1466" s="1936">
        <v>33491</v>
      </c>
      <c r="Z1466" s="1072"/>
      <c r="AA1466" s="24">
        <f t="shared" si="2802"/>
        <v>665</v>
      </c>
      <c r="AB1466" s="24">
        <f t="shared" si="2803"/>
        <v>-5008381</v>
      </c>
      <c r="AC1466" s="2086">
        <v>33491</v>
      </c>
      <c r="AD1466" s="2087" t="s">
        <v>2557</v>
      </c>
      <c r="AE1466" s="333"/>
      <c r="AH1466" s="334" t="s">
        <v>1358</v>
      </c>
    </row>
    <row r="1467" spans="1:34" s="334" customFormat="1" ht="15.75" outlineLevel="1">
      <c r="A1467" s="1919">
        <v>1420120200</v>
      </c>
      <c r="B1467" s="1920" t="s">
        <v>1318</v>
      </c>
      <c r="C1467" s="2237" t="s">
        <v>64</v>
      </c>
      <c r="D1467" s="2237">
        <v>2200000066</v>
      </c>
      <c r="E1467" s="1922">
        <v>44708</v>
      </c>
      <c r="F1467" s="1918">
        <v>-2532.6</v>
      </c>
      <c r="G1467" s="1923">
        <f t="shared" si="2804"/>
        <v>-2532.6</v>
      </c>
      <c r="H1467" s="2340">
        <v>4004</v>
      </c>
      <c r="I1467" s="1925">
        <f t="shared" si="2795"/>
        <v>-10140530.4</v>
      </c>
      <c r="J1467" s="1926">
        <v>1</v>
      </c>
      <c r="K1467" s="1927">
        <v>1</v>
      </c>
      <c r="L1467" s="1928"/>
      <c r="M1467" s="1929">
        <f t="shared" si="2796"/>
        <v>0</v>
      </c>
      <c r="N1467" s="1930"/>
      <c r="O1467" s="1931">
        <f t="shared" si="2797"/>
        <v>0</v>
      </c>
      <c r="P1467" s="1932"/>
      <c r="Q1467" s="1933">
        <f t="shared" si="2798"/>
        <v>0</v>
      </c>
      <c r="R1467" s="1930"/>
      <c r="S1467" s="1930"/>
      <c r="T1467" s="1931">
        <f t="shared" si="2799"/>
        <v>0</v>
      </c>
      <c r="U1467" s="2098">
        <f t="shared" si="2800"/>
        <v>-2532.6</v>
      </c>
      <c r="V1467" s="1925">
        <f t="shared" si="2801"/>
        <v>-10140530.4</v>
      </c>
      <c r="W1467" s="1934">
        <f t="shared" si="2805"/>
        <v>0</v>
      </c>
      <c r="X1467" s="1935">
        <f t="shared" si="2806"/>
        <v>0</v>
      </c>
      <c r="Y1467" s="1936">
        <v>33491</v>
      </c>
      <c r="Z1467" s="1072"/>
      <c r="AA1467" s="24">
        <f t="shared" si="2802"/>
        <v>665</v>
      </c>
      <c r="AB1467" s="24">
        <f t="shared" si="2803"/>
        <v>-1684179</v>
      </c>
      <c r="AC1467" s="2086">
        <v>33491</v>
      </c>
      <c r="AD1467" s="2087" t="s">
        <v>2557</v>
      </c>
      <c r="AE1467" s="333"/>
      <c r="AH1467" s="334" t="s">
        <v>1358</v>
      </c>
    </row>
    <row r="1468" spans="1:34" s="334" customFormat="1" ht="15.75" outlineLevel="1">
      <c r="A1468" s="1919">
        <v>1420120200</v>
      </c>
      <c r="B1468" s="1920" t="s">
        <v>1371</v>
      </c>
      <c r="C1468" s="2237" t="s">
        <v>64</v>
      </c>
      <c r="D1468" s="2237">
        <v>2200000116</v>
      </c>
      <c r="E1468" s="1922">
        <v>44805</v>
      </c>
      <c r="F1468" s="1918">
        <v>-15079.4</v>
      </c>
      <c r="G1468" s="1923">
        <f t="shared" si="2804"/>
        <v>-15079.4</v>
      </c>
      <c r="H1468" s="2340">
        <v>4004</v>
      </c>
      <c r="I1468" s="1925">
        <f t="shared" si="2795"/>
        <v>-60377917.600000001</v>
      </c>
      <c r="J1468" s="1926">
        <v>1</v>
      </c>
      <c r="K1468" s="1927">
        <v>1</v>
      </c>
      <c r="L1468" s="1928"/>
      <c r="M1468" s="1929">
        <f t="shared" si="2796"/>
        <v>0</v>
      </c>
      <c r="N1468" s="1930"/>
      <c r="O1468" s="1931">
        <f t="shared" si="2797"/>
        <v>0</v>
      </c>
      <c r="P1468" s="1932"/>
      <c r="Q1468" s="1933">
        <f t="shared" si="2798"/>
        <v>0</v>
      </c>
      <c r="R1468" s="1930"/>
      <c r="S1468" s="1930"/>
      <c r="T1468" s="1931">
        <f t="shared" si="2799"/>
        <v>0</v>
      </c>
      <c r="U1468" s="2098">
        <f t="shared" si="2800"/>
        <v>-15079.4</v>
      </c>
      <c r="V1468" s="1925">
        <f t="shared" si="2801"/>
        <v>-60377917.600000001</v>
      </c>
      <c r="W1468" s="1934">
        <f t="shared" si="2805"/>
        <v>0</v>
      </c>
      <c r="X1468" s="1935">
        <f t="shared" si="2806"/>
        <v>0</v>
      </c>
      <c r="Y1468" s="1936">
        <v>33491</v>
      </c>
      <c r="Z1468" s="1072"/>
      <c r="AA1468" s="24">
        <f t="shared" si="2802"/>
        <v>665</v>
      </c>
      <c r="AB1468" s="24">
        <f t="shared" si="2803"/>
        <v>-10027801</v>
      </c>
      <c r="AC1468" s="2086">
        <v>33491</v>
      </c>
      <c r="AD1468" s="2087" t="s">
        <v>2557</v>
      </c>
      <c r="AE1468" s="333"/>
      <c r="AH1468" s="334" t="s">
        <v>1358</v>
      </c>
    </row>
    <row r="1469" spans="1:34" s="334" customFormat="1" ht="15.75" outlineLevel="1">
      <c r="A1469" s="1919">
        <v>1420120200</v>
      </c>
      <c r="B1469" s="1920" t="s">
        <v>1402</v>
      </c>
      <c r="C1469" s="2237" t="s">
        <v>64</v>
      </c>
      <c r="D1469" s="2237">
        <v>2200000134</v>
      </c>
      <c r="E1469" s="1922">
        <v>44867</v>
      </c>
      <c r="F1469" s="1918">
        <v>-11989.84</v>
      </c>
      <c r="G1469" s="1923">
        <f t="shared" si="2804"/>
        <v>-11989.84</v>
      </c>
      <c r="H1469" s="2340">
        <v>4004</v>
      </c>
      <c r="I1469" s="1925">
        <f t="shared" si="2795"/>
        <v>-48007319.359999999</v>
      </c>
      <c r="J1469" s="1926">
        <v>1</v>
      </c>
      <c r="K1469" s="1927">
        <v>1</v>
      </c>
      <c r="L1469" s="1928"/>
      <c r="M1469" s="1929">
        <f t="shared" si="2796"/>
        <v>0</v>
      </c>
      <c r="N1469" s="1930"/>
      <c r="O1469" s="1931">
        <f t="shared" si="2797"/>
        <v>0</v>
      </c>
      <c r="P1469" s="1932"/>
      <c r="Q1469" s="1933">
        <f t="shared" si="2798"/>
        <v>0</v>
      </c>
      <c r="R1469" s="1930"/>
      <c r="S1469" s="1930"/>
      <c r="T1469" s="1931">
        <f t="shared" si="2799"/>
        <v>0</v>
      </c>
      <c r="U1469" s="2098">
        <f t="shared" si="2800"/>
        <v>-11989.84</v>
      </c>
      <c r="V1469" s="1925">
        <f t="shared" si="2801"/>
        <v>-48007319.359999999</v>
      </c>
      <c r="W1469" s="1934">
        <f t="shared" si="2805"/>
        <v>0</v>
      </c>
      <c r="X1469" s="1935">
        <f t="shared" si="2806"/>
        <v>0</v>
      </c>
      <c r="Y1469" s="1936">
        <v>33491</v>
      </c>
      <c r="Z1469" s="1072"/>
      <c r="AA1469" s="24">
        <f t="shared" si="2802"/>
        <v>665</v>
      </c>
      <c r="AB1469" s="24">
        <f t="shared" si="2803"/>
        <v>-7973243.6000000006</v>
      </c>
      <c r="AC1469" s="2086">
        <v>33491</v>
      </c>
      <c r="AD1469" s="2087" t="s">
        <v>2557</v>
      </c>
      <c r="AE1469" s="333"/>
      <c r="AH1469" s="334" t="s">
        <v>1358</v>
      </c>
    </row>
    <row r="1470" spans="1:34" s="334" customFormat="1" ht="15.75" outlineLevel="1">
      <c r="A1470" s="1919">
        <v>1420120200</v>
      </c>
      <c r="B1470" s="1920" t="s">
        <v>1447</v>
      </c>
      <c r="C1470" s="2237" t="s">
        <v>64</v>
      </c>
      <c r="D1470" s="2237">
        <v>2200000148</v>
      </c>
      <c r="E1470" s="1922">
        <v>44897</v>
      </c>
      <c r="F1470" s="1918">
        <v>-6719.04</v>
      </c>
      <c r="G1470" s="1923">
        <f t="shared" si="2804"/>
        <v>-6719.04</v>
      </c>
      <c r="H1470" s="2340">
        <v>4004</v>
      </c>
      <c r="I1470" s="1925">
        <f t="shared" si="2795"/>
        <v>-26903036.16</v>
      </c>
      <c r="J1470" s="1926">
        <v>1</v>
      </c>
      <c r="K1470" s="1927">
        <v>1</v>
      </c>
      <c r="L1470" s="1928"/>
      <c r="M1470" s="1929">
        <f t="shared" si="2796"/>
        <v>0</v>
      </c>
      <c r="N1470" s="1930"/>
      <c r="O1470" s="1931">
        <f t="shared" si="2797"/>
        <v>0</v>
      </c>
      <c r="P1470" s="1932"/>
      <c r="Q1470" s="1933">
        <f t="shared" si="2798"/>
        <v>0</v>
      </c>
      <c r="R1470" s="1930"/>
      <c r="S1470" s="1930"/>
      <c r="T1470" s="1931">
        <f t="shared" si="2799"/>
        <v>0</v>
      </c>
      <c r="U1470" s="2098">
        <f t="shared" si="2800"/>
        <v>-6719.04</v>
      </c>
      <c r="V1470" s="1925">
        <f t="shared" si="2801"/>
        <v>-26903036.16</v>
      </c>
      <c r="W1470" s="1934">
        <f t="shared" si="2805"/>
        <v>0</v>
      </c>
      <c r="X1470" s="1935">
        <f t="shared" si="2806"/>
        <v>0</v>
      </c>
      <c r="Y1470" s="1936">
        <v>33491</v>
      </c>
      <c r="Z1470" s="1072"/>
      <c r="AA1470" s="24">
        <f t="shared" si="2802"/>
        <v>665</v>
      </c>
      <c r="AB1470" s="24">
        <f t="shared" si="2803"/>
        <v>-4468161.5999999996</v>
      </c>
      <c r="AC1470" s="2086">
        <v>33491</v>
      </c>
      <c r="AD1470" s="2087" t="s">
        <v>2557</v>
      </c>
      <c r="AE1470" s="333"/>
      <c r="AH1470" s="334" t="s">
        <v>1358</v>
      </c>
    </row>
    <row r="1471" spans="1:34" s="334" customFormat="1" ht="15.75" outlineLevel="1">
      <c r="A1471" s="1919">
        <v>1420120200</v>
      </c>
      <c r="B1471" s="1920" t="s">
        <v>1450</v>
      </c>
      <c r="C1471" s="2237" t="s">
        <v>64</v>
      </c>
      <c r="D1471" s="2237">
        <v>2200000172</v>
      </c>
      <c r="E1471" s="1922">
        <v>44915</v>
      </c>
      <c r="F1471" s="1918">
        <v>-30464.240000000002</v>
      </c>
      <c r="G1471" s="1923">
        <f t="shared" si="2804"/>
        <v>-30464.240000000002</v>
      </c>
      <c r="H1471" s="2340">
        <v>4004</v>
      </c>
      <c r="I1471" s="1925">
        <f t="shared" si="2795"/>
        <v>-121978816.96000001</v>
      </c>
      <c r="J1471" s="1926">
        <v>1</v>
      </c>
      <c r="K1471" s="1927">
        <v>1</v>
      </c>
      <c r="L1471" s="1928"/>
      <c r="M1471" s="1929">
        <f t="shared" si="2796"/>
        <v>0</v>
      </c>
      <c r="N1471" s="1930"/>
      <c r="O1471" s="1931">
        <f t="shared" si="2797"/>
        <v>0</v>
      </c>
      <c r="P1471" s="1932"/>
      <c r="Q1471" s="1933">
        <f t="shared" si="2798"/>
        <v>0</v>
      </c>
      <c r="R1471" s="1930"/>
      <c r="S1471" s="1930"/>
      <c r="T1471" s="1931">
        <f t="shared" si="2799"/>
        <v>0</v>
      </c>
      <c r="U1471" s="2098">
        <f t="shared" si="2800"/>
        <v>-30464.240000000002</v>
      </c>
      <c r="V1471" s="1925">
        <f t="shared" si="2801"/>
        <v>-121978816.96000001</v>
      </c>
      <c r="W1471" s="1934">
        <f t="shared" si="2805"/>
        <v>0</v>
      </c>
      <c r="X1471" s="1935">
        <f t="shared" si="2806"/>
        <v>0</v>
      </c>
      <c r="Y1471" s="1936">
        <v>33491</v>
      </c>
      <c r="Z1471" s="1072"/>
      <c r="AA1471" s="24">
        <f t="shared" si="2802"/>
        <v>665</v>
      </c>
      <c r="AB1471" s="24">
        <f t="shared" si="2803"/>
        <v>-20258719.600000001</v>
      </c>
      <c r="AC1471" s="2086">
        <v>33491</v>
      </c>
      <c r="AD1471" s="2087" t="s">
        <v>2557</v>
      </c>
      <c r="AE1471" s="333"/>
      <c r="AH1471" s="334" t="s">
        <v>1358</v>
      </c>
    </row>
    <row r="1472" spans="1:34" s="334" customFormat="1" ht="15.75" outlineLevel="1">
      <c r="A1472" s="1919">
        <v>1420120200</v>
      </c>
      <c r="B1472" s="1920" t="s">
        <v>1350</v>
      </c>
      <c r="C1472" s="2241" t="s">
        <v>64</v>
      </c>
      <c r="D1472" s="2241">
        <v>2000007478</v>
      </c>
      <c r="E1472" s="1922">
        <v>44764</v>
      </c>
      <c r="F1472" s="1918">
        <v>88583.92</v>
      </c>
      <c r="G1472" s="1923">
        <f t="shared" si="2804"/>
        <v>88583.92</v>
      </c>
      <c r="H1472" s="2339">
        <v>4410.1400000000003</v>
      </c>
      <c r="I1472" s="1925">
        <f t="shared" si="2795"/>
        <v>390667488.94880003</v>
      </c>
      <c r="J1472" s="1926">
        <v>1</v>
      </c>
      <c r="K1472" s="1927">
        <v>1</v>
      </c>
      <c r="L1472" s="1928"/>
      <c r="M1472" s="1929">
        <f t="shared" si="2796"/>
        <v>0</v>
      </c>
      <c r="N1472" s="1930"/>
      <c r="O1472" s="1931">
        <f t="shared" si="2797"/>
        <v>0</v>
      </c>
      <c r="P1472" s="1932"/>
      <c r="Q1472" s="1933">
        <f t="shared" si="2798"/>
        <v>0</v>
      </c>
      <c r="R1472" s="1930"/>
      <c r="S1472" s="1930"/>
      <c r="T1472" s="1931">
        <f t="shared" si="2799"/>
        <v>0</v>
      </c>
      <c r="U1472" s="2097">
        <f t="shared" si="2800"/>
        <v>88583.92</v>
      </c>
      <c r="V1472" s="1925">
        <f t="shared" si="2801"/>
        <v>390667488.94880003</v>
      </c>
      <c r="W1472" s="1934">
        <f t="shared" si="2805"/>
        <v>0</v>
      </c>
      <c r="X1472" s="1935">
        <f t="shared" si="2806"/>
        <v>0</v>
      </c>
      <c r="Y1472" s="1936">
        <v>11117</v>
      </c>
      <c r="Z1472" s="1072"/>
      <c r="AA1472" s="24">
        <f t="shared" si="2802"/>
        <v>258.85999999999967</v>
      </c>
      <c r="AB1472" s="24">
        <f t="shared" si="2803"/>
        <v>22930833.531199969</v>
      </c>
      <c r="AC1472" s="1628">
        <v>11117</v>
      </c>
      <c r="AD1472" s="15" t="s">
        <v>2558</v>
      </c>
      <c r="AE1472" s="333"/>
      <c r="AF1472" s="333"/>
      <c r="AG1472" s="333"/>
      <c r="AH1472" s="333" t="s">
        <v>1358</v>
      </c>
    </row>
    <row r="1473" spans="1:34" s="334" customFormat="1" ht="15.75" outlineLevel="1">
      <c r="A1473" s="1919">
        <v>1420120200</v>
      </c>
      <c r="B1473" s="1920" t="s">
        <v>1384</v>
      </c>
      <c r="C1473" s="2241" t="s">
        <v>64</v>
      </c>
      <c r="D1473" s="2241">
        <v>2200000123</v>
      </c>
      <c r="E1473" s="1922">
        <v>44837</v>
      </c>
      <c r="F1473" s="1918">
        <v>-17716.78</v>
      </c>
      <c r="G1473" s="1923">
        <f t="shared" si="2804"/>
        <v>-17716.78</v>
      </c>
      <c r="H1473" s="2339">
        <v>4410.1400000000003</v>
      </c>
      <c r="I1473" s="1925">
        <f t="shared" si="2795"/>
        <v>-78133480.149200007</v>
      </c>
      <c r="J1473" s="1926">
        <v>1</v>
      </c>
      <c r="K1473" s="1927">
        <v>1</v>
      </c>
      <c r="L1473" s="1928"/>
      <c r="M1473" s="1929">
        <f t="shared" si="2796"/>
        <v>0</v>
      </c>
      <c r="N1473" s="1930"/>
      <c r="O1473" s="1931">
        <f t="shared" si="2797"/>
        <v>0</v>
      </c>
      <c r="P1473" s="1932"/>
      <c r="Q1473" s="1933">
        <f t="shared" si="2798"/>
        <v>0</v>
      </c>
      <c r="R1473" s="1930"/>
      <c r="S1473" s="1930"/>
      <c r="T1473" s="1931">
        <f t="shared" si="2799"/>
        <v>0</v>
      </c>
      <c r="U1473" s="2097">
        <f t="shared" si="2800"/>
        <v>-17716.78</v>
      </c>
      <c r="V1473" s="1925">
        <f t="shared" si="2801"/>
        <v>-78133480.149200007</v>
      </c>
      <c r="W1473" s="1934">
        <f t="shared" si="2805"/>
        <v>0</v>
      </c>
      <c r="X1473" s="1935">
        <f t="shared" si="2806"/>
        <v>0</v>
      </c>
      <c r="Y1473" s="1936">
        <v>11117</v>
      </c>
      <c r="Z1473" s="1072"/>
      <c r="AA1473" s="24">
        <f t="shared" si="2802"/>
        <v>258.85999999999967</v>
      </c>
      <c r="AB1473" s="24">
        <f t="shared" si="2803"/>
        <v>-4586165.6707999939</v>
      </c>
      <c r="AC1473" s="1628">
        <v>11117</v>
      </c>
      <c r="AD1473" s="15" t="s">
        <v>2558</v>
      </c>
      <c r="AE1473" s="333"/>
      <c r="AF1473" s="333"/>
      <c r="AG1473" s="333"/>
      <c r="AH1473" s="333" t="s">
        <v>1358</v>
      </c>
    </row>
    <row r="1474" spans="1:34" s="334" customFormat="1" ht="15.75" outlineLevel="1">
      <c r="A1474" s="1919">
        <v>1420120200</v>
      </c>
      <c r="B1474" s="1920" t="s">
        <v>1401</v>
      </c>
      <c r="C1474" s="2241" t="s">
        <v>64</v>
      </c>
      <c r="D1474" s="2241">
        <v>2200000145</v>
      </c>
      <c r="E1474" s="1922">
        <v>44890</v>
      </c>
      <c r="F1474" s="1918">
        <v>-19489</v>
      </c>
      <c r="G1474" s="1923">
        <f>ROUND(F1474*J1474,2)</f>
        <v>-19489</v>
      </c>
      <c r="H1474" s="2339">
        <v>4410.1400000000003</v>
      </c>
      <c r="I1474" s="1925">
        <f>+F1474*J1474*H1474</f>
        <v>-85949218.460000008</v>
      </c>
      <c r="J1474" s="1926">
        <v>1</v>
      </c>
      <c r="K1474" s="1927">
        <v>1</v>
      </c>
      <c r="L1474" s="1928"/>
      <c r="M1474" s="1929">
        <f>+L1474*J1474</f>
        <v>0</v>
      </c>
      <c r="N1474" s="1930"/>
      <c r="O1474" s="1931">
        <f>+L1474*J1474*N1474</f>
        <v>0</v>
      </c>
      <c r="P1474" s="1932"/>
      <c r="Q1474" s="1933">
        <f>+P1474*K1474</f>
        <v>0</v>
      </c>
      <c r="R1474" s="1930"/>
      <c r="S1474" s="1930"/>
      <c r="T1474" s="1931">
        <f>+P1474*K1474*S1474</f>
        <v>0</v>
      </c>
      <c r="U1474" s="2097">
        <f>+L1474+P1474+F1474</f>
        <v>-19489</v>
      </c>
      <c r="V1474" s="1925">
        <f>+P1474*J1474*R1474+L1474*J1474*N1474+F1474*J1474*H1474</f>
        <v>-85949218.460000008</v>
      </c>
      <c r="W1474" s="1934">
        <f>-(IF(-P1474*J1474*R1474&gt;-P1474*K1474*S1474,-((-P1474*J1474*R1474)-(-P1474*K1474*S1474)),0))</f>
        <v>0</v>
      </c>
      <c r="X1474" s="1935">
        <f>-(IF(-P1474*J1474*R1474&lt;-P1474*K1474*S1474,-((-P1474*J1474*R1474)-(-P1474*K1474*S1474)),0))</f>
        <v>0</v>
      </c>
      <c r="Y1474" s="1936">
        <v>11117</v>
      </c>
      <c r="Z1474" s="1072"/>
      <c r="AA1474" s="24">
        <f t="shared" si="2802"/>
        <v>258.85999999999967</v>
      </c>
      <c r="AB1474" s="24">
        <f t="shared" si="2803"/>
        <v>-5044922.5399999935</v>
      </c>
      <c r="AC1474" s="1628">
        <v>11117</v>
      </c>
      <c r="AD1474" s="15" t="s">
        <v>2558</v>
      </c>
      <c r="AE1474" s="333"/>
      <c r="AF1474" s="333"/>
      <c r="AG1474" s="333"/>
      <c r="AH1474" s="333" t="s">
        <v>1358</v>
      </c>
    </row>
    <row r="1475" spans="1:34" s="334" customFormat="1" ht="15.75" outlineLevel="1">
      <c r="A1475" s="1919">
        <v>1420120200</v>
      </c>
      <c r="B1475" s="1920" t="s">
        <v>1403</v>
      </c>
      <c r="C1475" s="2240" t="s">
        <v>64</v>
      </c>
      <c r="D1475" s="2240">
        <v>2000011574</v>
      </c>
      <c r="E1475" s="1922">
        <v>44886</v>
      </c>
      <c r="F1475" s="1918">
        <v>4235380.01</v>
      </c>
      <c r="G1475" s="1923">
        <f>ROUND(F1475*J1475,2)</f>
        <v>4235380.01</v>
      </c>
      <c r="H1475" s="2341">
        <v>4994.6099999999997</v>
      </c>
      <c r="I1475" s="1925">
        <f>+F1475*J1475*H1475</f>
        <v>21154071351.746098</v>
      </c>
      <c r="J1475" s="1926">
        <v>1</v>
      </c>
      <c r="K1475" s="1927">
        <v>1</v>
      </c>
      <c r="L1475" s="1928"/>
      <c r="M1475" s="1929">
        <f>+L1475*J1475</f>
        <v>0</v>
      </c>
      <c r="N1475" s="1930"/>
      <c r="O1475" s="1931">
        <f>+L1475*J1475*N1475</f>
        <v>0</v>
      </c>
      <c r="P1475" s="1932"/>
      <c r="Q1475" s="1933">
        <f>+P1475*K1475</f>
        <v>0</v>
      </c>
      <c r="R1475" s="1930"/>
      <c r="S1475" s="1930"/>
      <c r="T1475" s="1931">
        <f>+P1475*K1475*S1475</f>
        <v>0</v>
      </c>
      <c r="U1475" s="2101">
        <f>+L1475+P1475+F1475</f>
        <v>4235380.01</v>
      </c>
      <c r="V1475" s="1925">
        <f>+P1475*J1475*R1475+L1475*J1475*N1475+F1475*J1475*H1475</f>
        <v>21154071351.746098</v>
      </c>
      <c r="W1475" s="1934">
        <f>-(IF(-P1475*J1475*R1475&gt;-P1475*K1475*S1475,-((-P1475*J1475*R1475)-(-P1475*K1475*S1475)),0))</f>
        <v>0</v>
      </c>
      <c r="X1475" s="1935">
        <f>-(IF(-P1475*J1475*R1475&lt;-P1475*K1475*S1475,-((-P1475*J1475*R1475)-(-P1475*K1475*S1475)),0))</f>
        <v>0</v>
      </c>
      <c r="Y1475" s="1936">
        <v>4897</v>
      </c>
      <c r="Z1475" s="1072"/>
      <c r="AA1475" s="24">
        <f t="shared" si="2802"/>
        <v>-325.60999999999967</v>
      </c>
      <c r="AB1475" s="24">
        <f t="shared" si="2803"/>
        <v>-1379082085.0560985</v>
      </c>
      <c r="AC1475" s="1628">
        <v>4897</v>
      </c>
      <c r="AD1475" s="15" t="s">
        <v>1404</v>
      </c>
      <c r="AE1475" s="333"/>
      <c r="AF1475" s="333"/>
      <c r="AG1475" s="333"/>
      <c r="AH1475" s="333" t="s">
        <v>1358</v>
      </c>
    </row>
    <row r="1476" spans="1:34" s="334" customFormat="1" ht="15.75" outlineLevel="1">
      <c r="A1476" s="1919">
        <v>1420120200</v>
      </c>
      <c r="B1476" s="1920" t="s">
        <v>1448</v>
      </c>
      <c r="C1476" s="2244" t="s">
        <v>64</v>
      </c>
      <c r="D1476" s="2244">
        <v>2000012154</v>
      </c>
      <c r="E1476" s="1922">
        <v>44902</v>
      </c>
      <c r="F1476" s="1918">
        <v>58881</v>
      </c>
      <c r="G1476" s="1923">
        <f>ROUND(F1476*J1476,2)</f>
        <v>58881</v>
      </c>
      <c r="H1476" s="2342">
        <v>4818.32</v>
      </c>
      <c r="I1476" s="1925">
        <f>+F1476*J1476*H1476</f>
        <v>283707499.91999996</v>
      </c>
      <c r="J1476" s="1926">
        <v>1</v>
      </c>
      <c r="K1476" s="1927">
        <v>1</v>
      </c>
      <c r="L1476" s="1928"/>
      <c r="M1476" s="1929">
        <f>+L1476*J1476</f>
        <v>0</v>
      </c>
      <c r="N1476" s="1930"/>
      <c r="O1476" s="1931">
        <f>+L1476*J1476*N1476</f>
        <v>0</v>
      </c>
      <c r="P1476" s="1932"/>
      <c r="Q1476" s="1933">
        <f>+P1476*K1476</f>
        <v>0</v>
      </c>
      <c r="R1476" s="1930"/>
      <c r="S1476" s="1930"/>
      <c r="T1476" s="1931">
        <f>+P1476*K1476*S1476</f>
        <v>0</v>
      </c>
      <c r="U1476" s="2092">
        <f>+L1476+P1476+F1476</f>
        <v>58881</v>
      </c>
      <c r="V1476" s="1925">
        <f>+P1476*J1476*R1476+L1476*J1476*N1476+F1476*J1476*H1476</f>
        <v>283707499.91999996</v>
      </c>
      <c r="W1476" s="1934">
        <f>-(IF(-P1476*J1476*R1476&gt;-P1476*K1476*S1476,-((-P1476*J1476*R1476)-(-P1476*K1476*S1476)),0))</f>
        <v>0</v>
      </c>
      <c r="X1476" s="1935">
        <f>-(IF(-P1476*J1476*R1476&lt;-P1476*K1476*S1476,-((-P1476*J1476*R1476)-(-P1476*K1476*S1476)),0))</f>
        <v>0</v>
      </c>
      <c r="Y1476" s="1936">
        <v>4558</v>
      </c>
      <c r="Z1476" s="1072"/>
      <c r="AA1476" s="24">
        <f t="shared" si="2802"/>
        <v>-149.31999999999971</v>
      </c>
      <c r="AB1476" s="24">
        <f t="shared" si="2803"/>
        <v>-8792110.9199999832</v>
      </c>
      <c r="AC1476" s="1628">
        <v>4558</v>
      </c>
      <c r="AD1476" s="15" t="s">
        <v>2559</v>
      </c>
      <c r="AE1476" s="333"/>
      <c r="AF1476" s="333"/>
      <c r="AG1476" s="333"/>
      <c r="AH1476" s="333" t="s">
        <v>1358</v>
      </c>
    </row>
    <row r="1477" spans="1:34" s="334" customFormat="1" ht="15.75" outlineLevel="1">
      <c r="A1477" s="1919">
        <v>1420120200</v>
      </c>
      <c r="B1477" s="1920" t="s">
        <v>1449</v>
      </c>
      <c r="C1477" s="2247" t="s">
        <v>64</v>
      </c>
      <c r="D1477" s="2247">
        <v>2000012407</v>
      </c>
      <c r="E1477" s="1922">
        <v>44904</v>
      </c>
      <c r="F1477" s="1918">
        <v>88321.5</v>
      </c>
      <c r="G1477" s="1923">
        <f>ROUND(F1477*J1477,2)</f>
        <v>88321.5</v>
      </c>
      <c r="H1477" s="2343">
        <v>4825.83</v>
      </c>
      <c r="I1477" s="1925">
        <f>+F1477*J1477*H1477</f>
        <v>426224544.34499997</v>
      </c>
      <c r="J1477" s="1926">
        <v>1</v>
      </c>
      <c r="K1477" s="1927">
        <v>1</v>
      </c>
      <c r="L1477" s="1928"/>
      <c r="M1477" s="1929">
        <f>+L1477*J1477</f>
        <v>0</v>
      </c>
      <c r="N1477" s="1930"/>
      <c r="O1477" s="1931">
        <f>+L1477*J1477*N1477</f>
        <v>0</v>
      </c>
      <c r="P1477" s="1932"/>
      <c r="Q1477" s="1933">
        <f>+P1477*K1477</f>
        <v>0</v>
      </c>
      <c r="R1477" s="1930"/>
      <c r="S1477" s="1930"/>
      <c r="T1477" s="1931">
        <f>+P1477*K1477*S1477</f>
        <v>0</v>
      </c>
      <c r="U1477" s="2093">
        <f>+L1477+P1477+F1477</f>
        <v>88321.5</v>
      </c>
      <c r="V1477" s="1925">
        <f>+P1477*J1477*R1477+L1477*J1477*N1477+F1477*J1477*H1477</f>
        <v>426224544.34499997</v>
      </c>
      <c r="W1477" s="1934">
        <f>-(IF(-P1477*J1477*R1477&gt;-P1477*K1477*S1477,-((-P1477*J1477*R1477)-(-P1477*K1477*S1477)),0))</f>
        <v>0</v>
      </c>
      <c r="X1477" s="1935">
        <f>-(IF(-P1477*J1477*R1477&lt;-P1477*K1477*S1477,-((-P1477*J1477*R1477)-(-P1477*K1477*S1477)),0))</f>
        <v>0</v>
      </c>
      <c r="Y1477" s="1936">
        <v>4558</v>
      </c>
      <c r="Z1477" s="1072"/>
      <c r="AA1477" s="24">
        <f t="shared" si="2802"/>
        <v>-156.82999999999993</v>
      </c>
      <c r="AB1477" s="24">
        <f t="shared" si="2803"/>
        <v>-13851460.844999993</v>
      </c>
      <c r="AC1477" s="1628">
        <v>4558</v>
      </c>
      <c r="AD1477" s="15" t="s">
        <v>2559</v>
      </c>
      <c r="AE1477" s="333"/>
      <c r="AF1477" s="333"/>
      <c r="AG1477" s="333"/>
      <c r="AH1477" s="333" t="s">
        <v>1358</v>
      </c>
    </row>
    <row r="1478" spans="1:34" s="334" customFormat="1" ht="15.75">
      <c r="A1478" s="2249">
        <v>1420120200</v>
      </c>
      <c r="B1478" s="2250"/>
      <c r="C1478" s="2251"/>
      <c r="D1478" s="2251"/>
      <c r="E1478" s="2252"/>
      <c r="F1478" s="2253"/>
      <c r="G1478" s="2254">
        <f t="shared" ref="G1478" si="2807">ROUND(F1478*J1478,2)</f>
        <v>0</v>
      </c>
      <c r="H1478" s="2255"/>
      <c r="I1478" s="2256">
        <f t="shared" ref="I1478" si="2808">+F1478*J1478*H1478</f>
        <v>0</v>
      </c>
      <c r="J1478" s="2257">
        <v>1</v>
      </c>
      <c r="K1478" s="2258">
        <v>1</v>
      </c>
      <c r="L1478" s="2259"/>
      <c r="M1478" s="2260">
        <f t="shared" ref="M1478" si="2809">+L1478*J1478</f>
        <v>0</v>
      </c>
      <c r="N1478" s="2261"/>
      <c r="O1478" s="2262">
        <f t="shared" ref="O1478" si="2810">+L1478*J1478*N1478</f>
        <v>0</v>
      </c>
      <c r="P1478" s="2263"/>
      <c r="Q1478" s="2264">
        <f t="shared" ref="Q1478" si="2811">+P1478*K1478</f>
        <v>0</v>
      </c>
      <c r="R1478" s="2261"/>
      <c r="S1478" s="2261"/>
      <c r="T1478" s="2262">
        <f t="shared" ref="T1478" si="2812">+P1478*K1478*S1478</f>
        <v>0</v>
      </c>
      <c r="U1478" s="2253">
        <f t="shared" ref="U1478" si="2813">+L1478+P1478+F1478</f>
        <v>0</v>
      </c>
      <c r="V1478" s="2256">
        <f t="shared" ref="V1478" si="2814">+P1478*J1478*R1478+L1478*J1478*N1478+F1478*J1478*H1478</f>
        <v>0</v>
      </c>
      <c r="W1478" s="2265">
        <f t="shared" ref="W1478" si="2815">-(IF(-P1478*J1478*R1478&gt;-P1478*K1478*S1478,-((-P1478*J1478*R1478)-(-P1478*K1478*S1478)),0))</f>
        <v>0</v>
      </c>
      <c r="X1478" s="2266">
        <f t="shared" ref="X1478" si="2816">-(IF(-P1478*J1478*R1478&lt;-P1478*K1478*S1478,-((-P1478*J1478*R1478)-(-P1478*K1478*S1478)),0))</f>
        <v>0</v>
      </c>
      <c r="Y1478" s="2267"/>
      <c r="Z1478" s="1072"/>
      <c r="AC1478" s="1628"/>
      <c r="AD1478" s="15"/>
      <c r="AE1478" s="333"/>
      <c r="AF1478" s="333"/>
      <c r="AG1478" s="333"/>
      <c r="AH1478" s="333" t="s">
        <v>1358</v>
      </c>
    </row>
    <row r="1479" spans="1:34" s="334" customFormat="1" ht="15.75">
      <c r="A1479" s="2249">
        <v>1420120200</v>
      </c>
      <c r="B1479" s="2250"/>
      <c r="C1479" s="2251"/>
      <c r="D1479" s="2251"/>
      <c r="E1479" s="2252"/>
      <c r="F1479" s="2253"/>
      <c r="G1479" s="2254">
        <f t="shared" ref="G1479" si="2817">ROUND(F1479*J1479,2)</f>
        <v>0</v>
      </c>
      <c r="H1479" s="2255"/>
      <c r="I1479" s="2256">
        <f t="shared" ref="I1479" si="2818">+F1479*J1479*H1479</f>
        <v>0</v>
      </c>
      <c r="J1479" s="2257">
        <v>1</v>
      </c>
      <c r="K1479" s="2258">
        <v>1</v>
      </c>
      <c r="L1479" s="2259"/>
      <c r="M1479" s="2260">
        <f t="shared" ref="M1479:M1480" si="2819">+L1479*J1479</f>
        <v>0</v>
      </c>
      <c r="N1479" s="2261"/>
      <c r="O1479" s="2262">
        <f t="shared" ref="O1479:O1480" si="2820">+L1479*J1479*N1479</f>
        <v>0</v>
      </c>
      <c r="P1479" s="2263"/>
      <c r="Q1479" s="2264">
        <f t="shared" ref="Q1479:Q1480" si="2821">+P1479*K1479</f>
        <v>0</v>
      </c>
      <c r="R1479" s="2261"/>
      <c r="S1479" s="2261"/>
      <c r="T1479" s="2262">
        <f t="shared" ref="T1479:T1480" si="2822">+P1479*K1479*S1479</f>
        <v>0</v>
      </c>
      <c r="U1479" s="2253">
        <f t="shared" ref="U1479:U1480" si="2823">+L1479+P1479+F1479</f>
        <v>0</v>
      </c>
      <c r="V1479" s="2256">
        <f t="shared" ref="V1479:V1480" si="2824">+P1479*J1479*R1479+L1479*J1479*N1479+F1479*J1479*H1479</f>
        <v>0</v>
      </c>
      <c r="W1479" s="2265">
        <f t="shared" ref="W1479:W1480" si="2825">-(IF(-P1479*J1479*R1479&gt;-P1479*K1479*S1479,-((-P1479*J1479*R1479)-(-P1479*K1479*S1479)),0))</f>
        <v>0</v>
      </c>
      <c r="X1479" s="2266">
        <f t="shared" ref="X1479:X1480" si="2826">-(IF(-P1479*J1479*R1479&lt;-P1479*K1479*S1479,-((-P1479*J1479*R1479)-(-P1479*K1479*S1479)),0))</f>
        <v>0</v>
      </c>
      <c r="Y1479" s="2267"/>
      <c r="Z1479" s="1072"/>
      <c r="AC1479" s="1628"/>
      <c r="AD1479" s="15"/>
      <c r="AE1479" s="333"/>
      <c r="AF1479" s="333"/>
      <c r="AG1479" s="333"/>
      <c r="AH1479" s="333" t="s">
        <v>1358</v>
      </c>
    </row>
    <row r="1480" spans="1:34" s="401" customFormat="1" ht="15.75">
      <c r="A1480" s="984">
        <v>1420120200</v>
      </c>
      <c r="B1480" s="985" t="s">
        <v>2250</v>
      </c>
      <c r="C1480" s="986" t="s">
        <v>64</v>
      </c>
      <c r="D1480" s="2238">
        <v>2200000035</v>
      </c>
      <c r="E1480" s="987">
        <v>44984</v>
      </c>
      <c r="F1480" s="988"/>
      <c r="G1480" s="1287"/>
      <c r="H1480" s="335"/>
      <c r="I1480" s="989"/>
      <c r="J1480" s="1455">
        <v>1</v>
      </c>
      <c r="K1480" s="1456">
        <v>1</v>
      </c>
      <c r="L1480" s="336"/>
      <c r="M1480" s="1322">
        <f t="shared" si="2819"/>
        <v>0</v>
      </c>
      <c r="N1480" s="337"/>
      <c r="O1480" s="990">
        <f t="shared" si="2820"/>
        <v>0</v>
      </c>
      <c r="P1480" s="991">
        <v>-4844.3999999999996</v>
      </c>
      <c r="Q1480" s="1330">
        <f t="shared" si="2821"/>
        <v>-4844.3999999999996</v>
      </c>
      <c r="R1480" s="2099">
        <f>$H$1464</f>
        <v>4004</v>
      </c>
      <c r="S1480" s="337">
        <f ca="1">IF(OR(E1480="",E1480&gt;TODAY()),0,IF(ISERROR(VLOOKUP($E1480,'TRM BanRep'!$A:$G,7,0)),0,VLOOKUP($E1480,'TRM BanRep'!$A:$G,7,0)))</f>
        <v>4849.6499999999996</v>
      </c>
      <c r="T1480" s="990">
        <f t="shared" ca="1" si="2822"/>
        <v>-23493644.459999997</v>
      </c>
      <c r="U1480" s="2111">
        <f t="shared" si="2823"/>
        <v>-4844.3999999999996</v>
      </c>
      <c r="V1480" s="990">
        <f t="shared" si="2824"/>
        <v>-19396977.599999998</v>
      </c>
      <c r="W1480" s="993">
        <f t="shared" ca="1" si="2825"/>
        <v>0</v>
      </c>
      <c r="X1480" s="994">
        <f t="shared" ca="1" si="2826"/>
        <v>-4096666.8599999994</v>
      </c>
      <c r="Y1480" s="995" t="s">
        <v>2251</v>
      </c>
      <c r="Z1480" s="220" t="s">
        <v>294</v>
      </c>
      <c r="AA1480" s="24">
        <f>$B$4-R1480</f>
        <v>665</v>
      </c>
      <c r="AB1480" s="24">
        <f t="shared" ref="AB1480" si="2827">+U1480*AA1480</f>
        <v>-3221525.9999999995</v>
      </c>
      <c r="AC1480" s="2086">
        <v>33491</v>
      </c>
      <c r="AD1480" s="2087" t="s">
        <v>2557</v>
      </c>
      <c r="AE1480" s="333"/>
    </row>
    <row r="1481" spans="1:34" s="401" customFormat="1" ht="15.75">
      <c r="A1481" s="984">
        <v>1420120200</v>
      </c>
      <c r="B1481" s="985" t="s">
        <v>2552</v>
      </c>
      <c r="C1481" s="986" t="s">
        <v>64</v>
      </c>
      <c r="D1481" s="2238">
        <v>2200000065</v>
      </c>
      <c r="E1481" s="987">
        <v>45043</v>
      </c>
      <c r="F1481" s="988"/>
      <c r="G1481" s="1287"/>
      <c r="H1481" s="335"/>
      <c r="I1481" s="989"/>
      <c r="J1481" s="1455">
        <v>1</v>
      </c>
      <c r="K1481" s="1456">
        <v>1</v>
      </c>
      <c r="L1481" s="336"/>
      <c r="M1481" s="1322">
        <f t="shared" ref="M1481:M1490" si="2828">+L1481*J1481</f>
        <v>0</v>
      </c>
      <c r="N1481" s="337"/>
      <c r="O1481" s="990">
        <f t="shared" ref="O1481:O1490" si="2829">+L1481*J1481*N1481</f>
        <v>0</v>
      </c>
      <c r="P1481" s="991">
        <v>-11281.52</v>
      </c>
      <c r="Q1481" s="1330">
        <f t="shared" ref="Q1481:Q1483" si="2830">+P1481*K1481</f>
        <v>-11281.52</v>
      </c>
      <c r="R1481" s="2099">
        <f>$H$1464</f>
        <v>4004</v>
      </c>
      <c r="S1481" s="337">
        <f ca="1">IF(OR(E1481="",E1481&gt;TODAY()),0,IF(ISERROR(VLOOKUP($E1481,'TRM BanRep'!$A:$G,7,0)),0,VLOOKUP($E1481,'TRM BanRep'!$A:$G,7,0)))</f>
        <v>4552.59</v>
      </c>
      <c r="T1481" s="990">
        <f t="shared" ref="T1481:T1490" ca="1" si="2831">+P1481*K1481*S1481</f>
        <v>-51360135.136800006</v>
      </c>
      <c r="U1481" s="2111">
        <f t="shared" ref="U1481:U1490" si="2832">+L1481+P1481+F1481</f>
        <v>-11281.52</v>
      </c>
      <c r="V1481" s="990">
        <f t="shared" ref="V1481:V1490" si="2833">+P1481*J1481*R1481+L1481*J1481*N1481+F1481*J1481*H1481</f>
        <v>-45171206.079999998</v>
      </c>
      <c r="W1481" s="993">
        <f t="shared" ref="W1481:W1490" ca="1" si="2834">-(IF(-P1481*J1481*R1481&gt;-P1481*K1481*S1481,-((-P1481*J1481*R1481)-(-P1481*K1481*S1481)),0))</f>
        <v>0</v>
      </c>
      <c r="X1481" s="994">
        <f t="shared" ref="X1481:X1490" ca="1" si="2835">-(IF(-P1481*J1481*R1481&lt;-P1481*K1481*S1481,-((-P1481*J1481*R1481)-(-P1481*K1481*S1481)),0))</f>
        <v>-6188929.0568000078</v>
      </c>
      <c r="Y1481" s="995" t="s">
        <v>2553</v>
      </c>
      <c r="Z1481" s="220"/>
      <c r="AA1481" s="24">
        <f t="shared" ref="AA1481:AA1490" si="2836">$B$4-R1481</f>
        <v>665</v>
      </c>
      <c r="AB1481" s="24">
        <f t="shared" ref="AB1481:AB1490" si="2837">+U1481*AA1481</f>
        <v>-7502210.8000000007</v>
      </c>
      <c r="AC1481" s="2086">
        <v>33491</v>
      </c>
      <c r="AD1481" s="2087" t="s">
        <v>2557</v>
      </c>
      <c r="AE1481" s="333"/>
    </row>
    <row r="1482" spans="1:34" s="401" customFormat="1" ht="15.75">
      <c r="A1482" s="984">
        <v>1420120200</v>
      </c>
      <c r="B1482" s="985"/>
      <c r="C1482" s="986" t="s">
        <v>64</v>
      </c>
      <c r="D1482" s="2238"/>
      <c r="E1482" s="987"/>
      <c r="F1482" s="988"/>
      <c r="G1482" s="1287"/>
      <c r="H1482" s="335"/>
      <c r="I1482" s="989"/>
      <c r="J1482" s="1455">
        <v>1</v>
      </c>
      <c r="K1482" s="1456">
        <v>1</v>
      </c>
      <c r="L1482" s="336"/>
      <c r="M1482" s="1322">
        <f t="shared" ref="M1482" si="2838">+L1482*J1482</f>
        <v>0</v>
      </c>
      <c r="N1482" s="337"/>
      <c r="O1482" s="990">
        <f t="shared" ref="O1482" si="2839">+L1482*J1482*N1482</f>
        <v>0</v>
      </c>
      <c r="P1482" s="991"/>
      <c r="Q1482" s="1330">
        <f t="shared" ref="Q1482" si="2840">+P1482*K1482</f>
        <v>0</v>
      </c>
      <c r="R1482" s="2099">
        <f>$H$1464</f>
        <v>4004</v>
      </c>
      <c r="S1482" s="337"/>
      <c r="T1482" s="990">
        <f t="shared" ref="T1482" si="2841">+P1482*K1482*S1482</f>
        <v>0</v>
      </c>
      <c r="U1482" s="2111">
        <f t="shared" ref="U1482" si="2842">+L1482+P1482+F1482</f>
        <v>0</v>
      </c>
      <c r="V1482" s="990">
        <f t="shared" ref="V1482" si="2843">+P1482*J1482*R1482+L1482*J1482*N1482+F1482*J1482*H1482</f>
        <v>0</v>
      </c>
      <c r="W1482" s="993">
        <f t="shared" ref="W1482" si="2844">-(IF(-P1482*J1482*R1482&gt;-P1482*K1482*S1482,-((-P1482*J1482*R1482)-(-P1482*K1482*S1482)),0))</f>
        <v>0</v>
      </c>
      <c r="X1482" s="994">
        <f t="shared" ref="X1482" si="2845">-(IF(-P1482*J1482*R1482&lt;-P1482*K1482*S1482,-((-P1482*J1482*R1482)-(-P1482*K1482*S1482)),0))</f>
        <v>0</v>
      </c>
      <c r="Y1482" s="995"/>
      <c r="Z1482" s="220"/>
      <c r="AA1482" s="24">
        <f t="shared" ref="AA1482" si="2846">$B$4-R1482</f>
        <v>665</v>
      </c>
      <c r="AB1482" s="24">
        <f t="shared" ref="AB1482" si="2847">+U1482*AA1482</f>
        <v>0</v>
      </c>
      <c r="AC1482" s="2086"/>
      <c r="AD1482" s="2087"/>
      <c r="AE1482" s="333"/>
    </row>
    <row r="1483" spans="1:34" s="401" customFormat="1" ht="15.75" outlineLevel="1">
      <c r="A1483" s="984">
        <v>1420120200</v>
      </c>
      <c r="B1483" s="985"/>
      <c r="C1483" s="986" t="s">
        <v>64</v>
      </c>
      <c r="D1483" s="2242"/>
      <c r="E1483" s="987"/>
      <c r="F1483" s="988"/>
      <c r="G1483" s="1287"/>
      <c r="H1483" s="335"/>
      <c r="I1483" s="989"/>
      <c r="J1483" s="1455">
        <v>1</v>
      </c>
      <c r="K1483" s="1456">
        <v>1</v>
      </c>
      <c r="L1483" s="336"/>
      <c r="M1483" s="1322">
        <f t="shared" si="2828"/>
        <v>0</v>
      </c>
      <c r="N1483" s="337"/>
      <c r="O1483" s="990">
        <f t="shared" si="2829"/>
        <v>0</v>
      </c>
      <c r="P1483" s="991"/>
      <c r="Q1483" s="1330">
        <f t="shared" si="2830"/>
        <v>0</v>
      </c>
      <c r="R1483" s="2096">
        <f>$H$1472</f>
        <v>4410.1400000000003</v>
      </c>
      <c r="S1483" s="337"/>
      <c r="T1483" s="990">
        <f t="shared" si="2831"/>
        <v>0</v>
      </c>
      <c r="U1483" s="2113">
        <f t="shared" si="2832"/>
        <v>0</v>
      </c>
      <c r="V1483" s="990">
        <f t="shared" si="2833"/>
        <v>0</v>
      </c>
      <c r="W1483" s="993">
        <f t="shared" si="2834"/>
        <v>0</v>
      </c>
      <c r="X1483" s="994">
        <f t="shared" si="2835"/>
        <v>0</v>
      </c>
      <c r="Y1483" s="995"/>
      <c r="Z1483" s="220"/>
      <c r="AA1483" s="24">
        <f t="shared" si="2836"/>
        <v>258.85999999999967</v>
      </c>
      <c r="AB1483" s="24">
        <f t="shared" si="2837"/>
        <v>0</v>
      </c>
      <c r="AC1483" s="1628"/>
      <c r="AD1483" s="15"/>
      <c r="AE1483" s="333"/>
    </row>
    <row r="1484" spans="1:34" s="401" customFormat="1" ht="15.75" outlineLevel="1">
      <c r="A1484" s="984">
        <v>1420120200</v>
      </c>
      <c r="B1484" s="985"/>
      <c r="C1484" s="986" t="s">
        <v>64</v>
      </c>
      <c r="D1484" s="2242"/>
      <c r="E1484" s="987"/>
      <c r="F1484" s="988"/>
      <c r="G1484" s="1287"/>
      <c r="H1484" s="335"/>
      <c r="I1484" s="989"/>
      <c r="J1484" s="1455">
        <v>1</v>
      </c>
      <c r="K1484" s="1456">
        <v>1</v>
      </c>
      <c r="L1484" s="336"/>
      <c r="M1484" s="1322">
        <f t="shared" si="2828"/>
        <v>0</v>
      </c>
      <c r="N1484" s="337"/>
      <c r="O1484" s="990">
        <f t="shared" si="2829"/>
        <v>0</v>
      </c>
      <c r="P1484" s="991"/>
      <c r="Q1484" s="1330">
        <f t="shared" ref="Q1484" si="2848">+P1484*K1484</f>
        <v>0</v>
      </c>
      <c r="R1484" s="2096">
        <f>$H$1472</f>
        <v>4410.1400000000003</v>
      </c>
      <c r="S1484" s="337"/>
      <c r="T1484" s="990">
        <f t="shared" si="2831"/>
        <v>0</v>
      </c>
      <c r="U1484" s="2113">
        <f t="shared" si="2832"/>
        <v>0</v>
      </c>
      <c r="V1484" s="990">
        <f t="shared" si="2833"/>
        <v>0</v>
      </c>
      <c r="W1484" s="993">
        <f t="shared" si="2834"/>
        <v>0</v>
      </c>
      <c r="X1484" s="994">
        <f t="shared" si="2835"/>
        <v>0</v>
      </c>
      <c r="Y1484" s="995"/>
      <c r="Z1484" s="220"/>
      <c r="AA1484" s="24">
        <f t="shared" si="2836"/>
        <v>258.85999999999967</v>
      </c>
      <c r="AB1484" s="24">
        <f t="shared" si="2837"/>
        <v>0</v>
      </c>
      <c r="AC1484" s="1628"/>
      <c r="AD1484" s="15"/>
      <c r="AE1484" s="333"/>
    </row>
    <row r="1485" spans="1:34" s="401" customFormat="1" ht="15.75" outlineLevel="1">
      <c r="A1485" s="984">
        <v>1420120200</v>
      </c>
      <c r="B1485" s="985" t="s">
        <v>2555</v>
      </c>
      <c r="C1485" s="986" t="s">
        <v>64</v>
      </c>
      <c r="D1485" s="2239">
        <v>2200000066</v>
      </c>
      <c r="E1485" s="987">
        <v>45044</v>
      </c>
      <c r="F1485" s="988"/>
      <c r="G1485" s="1287"/>
      <c r="H1485" s="335"/>
      <c r="I1485" s="989"/>
      <c r="J1485" s="1455">
        <v>1</v>
      </c>
      <c r="K1485" s="1456">
        <v>1</v>
      </c>
      <c r="L1485" s="336"/>
      <c r="M1485" s="1322">
        <f>+L1485*J1485</f>
        <v>0</v>
      </c>
      <c r="N1485" s="337"/>
      <c r="O1485" s="990">
        <f>+L1485*J1485*N1485</f>
        <v>0</v>
      </c>
      <c r="P1485" s="991">
        <v>-67139.8</v>
      </c>
      <c r="Q1485" s="1330">
        <f>+P1485*K1485</f>
        <v>-67139.8</v>
      </c>
      <c r="R1485" s="2100">
        <f>$H$1475</f>
        <v>4994.6099999999997</v>
      </c>
      <c r="S1485" s="337">
        <f ca="1">IF(OR(E1485="",E1485&gt;TODAY()),0,IF(ISERROR(VLOOKUP($E1485,'TRM BanRep'!$A:$G,7,0)),0,VLOOKUP($E1485,'TRM BanRep'!$A:$G,7,0)))</f>
        <v>4654.1400000000003</v>
      </c>
      <c r="T1485" s="990">
        <f ca="1">+P1485*K1485*S1485</f>
        <v>-312478028.77200001</v>
      </c>
      <c r="U1485" s="2112">
        <f>+L1485+P1485+F1485</f>
        <v>-67139.8</v>
      </c>
      <c r="V1485" s="990">
        <f>+P1485*J1485*R1485+L1485*J1485*N1485+F1485*J1485*H1485</f>
        <v>-335337116.47799999</v>
      </c>
      <c r="W1485" s="993">
        <f ca="1">-(IF(-P1485*J1485*R1485&gt;-P1485*K1485*S1485,-((-P1485*J1485*R1485)-(-P1485*K1485*S1485)),0))</f>
        <v>22859087.70599997</v>
      </c>
      <c r="X1485" s="994">
        <f ca="1">-(IF(-P1485*J1485*R1485&lt;-P1485*K1485*S1485,-((-P1485*J1485*R1485)-(-P1485*K1485*S1485)),0))</f>
        <v>0</v>
      </c>
      <c r="Y1485" s="995" t="s">
        <v>2556</v>
      </c>
      <c r="Z1485" s="220" t="s">
        <v>294</v>
      </c>
      <c r="AA1485" s="24">
        <f t="shared" si="2836"/>
        <v>-325.60999999999967</v>
      </c>
      <c r="AB1485" s="24">
        <f t="shared" si="2837"/>
        <v>21861390.277999979</v>
      </c>
      <c r="AC1485" s="1628">
        <v>4897</v>
      </c>
      <c r="AD1485" s="15" t="s">
        <v>1404</v>
      </c>
      <c r="AE1485" s="333"/>
    </row>
    <row r="1486" spans="1:34" s="401" customFormat="1" ht="15.75" outlineLevel="1">
      <c r="A1486" s="984">
        <v>1420120200</v>
      </c>
      <c r="B1486" s="985"/>
      <c r="C1486" s="986" t="s">
        <v>64</v>
      </c>
      <c r="D1486" s="2239"/>
      <c r="E1486" s="987"/>
      <c r="F1486" s="988"/>
      <c r="G1486" s="1287"/>
      <c r="H1486" s="335"/>
      <c r="I1486" s="989"/>
      <c r="J1486" s="1455">
        <v>1</v>
      </c>
      <c r="K1486" s="1456">
        <v>1</v>
      </c>
      <c r="L1486" s="336"/>
      <c r="M1486" s="1322">
        <f>+L1486*J1486</f>
        <v>0</v>
      </c>
      <c r="N1486" s="337"/>
      <c r="O1486" s="990">
        <f>+L1486*J1486*N1486</f>
        <v>0</v>
      </c>
      <c r="P1486" s="991"/>
      <c r="Q1486" s="1330">
        <f>+P1486*K1486</f>
        <v>0</v>
      </c>
      <c r="R1486" s="2100">
        <f>$H$1475</f>
        <v>4994.6099999999997</v>
      </c>
      <c r="S1486" s="337"/>
      <c r="T1486" s="990">
        <f>+P1486*K1486*S1486</f>
        <v>0</v>
      </c>
      <c r="U1486" s="2112">
        <f>+L1486+P1486+F1486</f>
        <v>0</v>
      </c>
      <c r="V1486" s="990">
        <f>+P1486*J1486*R1486+L1486*J1486*N1486+F1486*J1486*H1486</f>
        <v>0</v>
      </c>
      <c r="W1486" s="993">
        <f>-(IF(-P1486*J1486*R1486&gt;-P1486*K1486*S1486,-((-P1486*J1486*R1486)-(-P1486*K1486*S1486)),0))</f>
        <v>0</v>
      </c>
      <c r="X1486" s="994">
        <f>-(IF(-P1486*J1486*R1486&lt;-P1486*K1486*S1486,-((-P1486*J1486*R1486)-(-P1486*K1486*S1486)),0))</f>
        <v>0</v>
      </c>
      <c r="Y1486" s="995"/>
      <c r="Z1486" s="220"/>
      <c r="AA1486" s="24">
        <f t="shared" si="2836"/>
        <v>-325.60999999999967</v>
      </c>
      <c r="AB1486" s="24">
        <f t="shared" si="2837"/>
        <v>0</v>
      </c>
      <c r="AC1486" s="1628"/>
      <c r="AD1486" s="15"/>
      <c r="AE1486" s="333"/>
    </row>
    <row r="1487" spans="1:34" s="401" customFormat="1" ht="15.75" outlineLevel="1">
      <c r="A1487" s="984">
        <v>1420120200</v>
      </c>
      <c r="B1487" s="985"/>
      <c r="C1487" s="986" t="s">
        <v>64</v>
      </c>
      <c r="D1487" s="2245"/>
      <c r="E1487" s="2104"/>
      <c r="F1487" s="988"/>
      <c r="G1487" s="1287"/>
      <c r="H1487" s="335"/>
      <c r="I1487" s="989"/>
      <c r="J1487" s="1455">
        <v>1</v>
      </c>
      <c r="K1487" s="1456">
        <v>1</v>
      </c>
      <c r="L1487" s="336"/>
      <c r="M1487" s="1322">
        <f>+L1487*J1487</f>
        <v>0</v>
      </c>
      <c r="N1487" s="337"/>
      <c r="O1487" s="990">
        <f>+L1487*J1487*N1487</f>
        <v>0</v>
      </c>
      <c r="P1487" s="991"/>
      <c r="Q1487" s="1330">
        <f>+P1487*K1487</f>
        <v>0</v>
      </c>
      <c r="R1487" s="2095">
        <f>$H$1476</f>
        <v>4818.32</v>
      </c>
      <c r="S1487" s="337"/>
      <c r="T1487" s="990">
        <f>+P1487*K1487*S1487</f>
        <v>0</v>
      </c>
      <c r="U1487" s="2114">
        <f>+L1487+P1487+F1487</f>
        <v>0</v>
      </c>
      <c r="V1487" s="990">
        <f>+P1487*J1487*R1487+L1487*J1487*N1487+F1487*J1487*H1487</f>
        <v>0</v>
      </c>
      <c r="W1487" s="993">
        <f>-(IF(-P1487*J1487*R1487&gt;-P1487*K1487*S1487,-((-P1487*J1487*R1487)-(-P1487*K1487*S1487)),0))</f>
        <v>0</v>
      </c>
      <c r="X1487" s="994">
        <f>-(IF(-P1487*J1487*R1487&lt;-P1487*K1487*S1487,-((-P1487*J1487*R1487)-(-P1487*K1487*S1487)),0))</f>
        <v>0</v>
      </c>
      <c r="Y1487" s="995"/>
      <c r="Z1487" s="220"/>
      <c r="AA1487" s="24">
        <f t="shared" si="2836"/>
        <v>-149.31999999999971</v>
      </c>
      <c r="AB1487" s="24">
        <f t="shared" si="2837"/>
        <v>0</v>
      </c>
      <c r="AC1487" s="1628"/>
      <c r="AD1487" s="15"/>
      <c r="AE1487" s="333"/>
    </row>
    <row r="1488" spans="1:34" s="401" customFormat="1" ht="15.75" outlineLevel="1">
      <c r="A1488" s="984">
        <v>1420120200</v>
      </c>
      <c r="B1488" s="985"/>
      <c r="C1488" s="986" t="s">
        <v>64</v>
      </c>
      <c r="D1488" s="2245"/>
      <c r="E1488" s="2104"/>
      <c r="F1488" s="988"/>
      <c r="G1488" s="1287"/>
      <c r="H1488" s="335"/>
      <c r="I1488" s="989"/>
      <c r="J1488" s="1455">
        <v>1</v>
      </c>
      <c r="K1488" s="1456">
        <v>1</v>
      </c>
      <c r="L1488" s="336"/>
      <c r="M1488" s="1322">
        <f t="shared" ref="M1488" si="2849">+L1488*J1488</f>
        <v>0</v>
      </c>
      <c r="N1488" s="337"/>
      <c r="O1488" s="990">
        <f t="shared" ref="O1488" si="2850">+L1488*J1488*N1488</f>
        <v>0</v>
      </c>
      <c r="P1488" s="991"/>
      <c r="Q1488" s="1330">
        <f t="shared" ref="Q1488" si="2851">+P1488*K1488</f>
        <v>0</v>
      </c>
      <c r="R1488" s="2095">
        <f>$H$1476</f>
        <v>4818.32</v>
      </c>
      <c r="S1488" s="337"/>
      <c r="T1488" s="990">
        <f t="shared" ref="T1488" si="2852">+P1488*K1488*S1488</f>
        <v>0</v>
      </c>
      <c r="U1488" s="2114">
        <f t="shared" ref="U1488" si="2853">+L1488+P1488+F1488</f>
        <v>0</v>
      </c>
      <c r="V1488" s="990">
        <f t="shared" ref="V1488" si="2854">+P1488*J1488*R1488+L1488*J1488*N1488+F1488*J1488*H1488</f>
        <v>0</v>
      </c>
      <c r="W1488" s="993">
        <f t="shared" ref="W1488" si="2855">-(IF(-P1488*J1488*R1488&gt;-P1488*K1488*S1488,-((-P1488*J1488*R1488)-(-P1488*K1488*S1488)),0))</f>
        <v>0</v>
      </c>
      <c r="X1488" s="994">
        <f t="shared" ref="X1488" si="2856">-(IF(-P1488*J1488*R1488&lt;-P1488*K1488*S1488,-((-P1488*J1488*R1488)-(-P1488*K1488*S1488)),0))</f>
        <v>0</v>
      </c>
      <c r="Y1488" s="995"/>
      <c r="Z1488" s="220"/>
      <c r="AA1488" s="24">
        <f t="shared" si="2836"/>
        <v>-149.31999999999971</v>
      </c>
      <c r="AB1488" s="24">
        <f t="shared" si="2837"/>
        <v>0</v>
      </c>
      <c r="AC1488" s="1628"/>
      <c r="AD1488" s="15"/>
      <c r="AE1488" s="333"/>
    </row>
    <row r="1489" spans="1:31" s="401" customFormat="1" ht="15.75" outlineLevel="1">
      <c r="A1489" s="984">
        <v>1420120200</v>
      </c>
      <c r="B1489" s="985"/>
      <c r="C1489" s="986" t="s">
        <v>64</v>
      </c>
      <c r="D1489" s="2246"/>
      <c r="E1489" s="2104"/>
      <c r="F1489" s="988"/>
      <c r="G1489" s="1287"/>
      <c r="H1489" s="335"/>
      <c r="I1489" s="989"/>
      <c r="J1489" s="1455">
        <v>1</v>
      </c>
      <c r="K1489" s="1456">
        <v>1</v>
      </c>
      <c r="L1489" s="336"/>
      <c r="M1489" s="1322">
        <f>+L1489*J1489</f>
        <v>0</v>
      </c>
      <c r="N1489" s="337"/>
      <c r="O1489" s="990">
        <f>+L1489*J1489*N1489</f>
        <v>0</v>
      </c>
      <c r="P1489" s="991"/>
      <c r="Q1489" s="1330">
        <f>+P1489*K1489</f>
        <v>0</v>
      </c>
      <c r="R1489" s="2094">
        <f>$H$1477</f>
        <v>4825.83</v>
      </c>
      <c r="S1489" s="337"/>
      <c r="T1489" s="990">
        <f>+P1489*K1489*S1489</f>
        <v>0</v>
      </c>
      <c r="U1489" s="2115">
        <f>+L1489+P1489+F1489</f>
        <v>0</v>
      </c>
      <c r="V1489" s="990">
        <f>+P1489*J1489*R1489+L1489*J1489*N1489+F1489*J1489*H1489</f>
        <v>0</v>
      </c>
      <c r="W1489" s="993">
        <f>-(IF(-P1489*J1489*R1489&gt;-P1489*K1489*S1489,-((-P1489*J1489*R1489)-(-P1489*K1489*S1489)),0))</f>
        <v>0</v>
      </c>
      <c r="X1489" s="994">
        <f>-(IF(-P1489*J1489*R1489&lt;-P1489*K1489*S1489,-((-P1489*J1489*R1489)-(-P1489*K1489*S1489)),0))</f>
        <v>0</v>
      </c>
      <c r="Y1489" s="995"/>
      <c r="Z1489" s="220"/>
      <c r="AA1489" s="24">
        <f t="shared" si="2836"/>
        <v>-156.82999999999993</v>
      </c>
      <c r="AB1489" s="24">
        <f t="shared" si="2837"/>
        <v>0</v>
      </c>
      <c r="AC1489" s="1628"/>
      <c r="AD1489" s="15"/>
      <c r="AE1489" s="333"/>
    </row>
    <row r="1490" spans="1:31" s="401" customFormat="1" ht="15.75" outlineLevel="1">
      <c r="A1490" s="984">
        <v>1420120200</v>
      </c>
      <c r="B1490" s="985"/>
      <c r="C1490" s="986" t="s">
        <v>64</v>
      </c>
      <c r="D1490" s="2243"/>
      <c r="E1490" s="2104"/>
      <c r="F1490" s="988"/>
      <c r="G1490" s="1287"/>
      <c r="H1490" s="335"/>
      <c r="I1490" s="989"/>
      <c r="J1490" s="1455">
        <v>1</v>
      </c>
      <c r="K1490" s="1456">
        <v>1</v>
      </c>
      <c r="L1490" s="336"/>
      <c r="M1490" s="1322">
        <f t="shared" si="2828"/>
        <v>0</v>
      </c>
      <c r="N1490" s="337"/>
      <c r="O1490" s="990">
        <f t="shared" si="2829"/>
        <v>0</v>
      </c>
      <c r="P1490" s="991"/>
      <c r="Q1490" s="1330">
        <f t="shared" ref="Q1490" si="2857">+P1490*K1490</f>
        <v>0</v>
      </c>
      <c r="R1490" s="2155"/>
      <c r="S1490" s="337"/>
      <c r="T1490" s="990">
        <f t="shared" si="2831"/>
        <v>0</v>
      </c>
      <c r="U1490" s="2154">
        <f t="shared" si="2832"/>
        <v>0</v>
      </c>
      <c r="V1490" s="990">
        <f t="shared" si="2833"/>
        <v>0</v>
      </c>
      <c r="W1490" s="993">
        <f t="shared" si="2834"/>
        <v>0</v>
      </c>
      <c r="X1490" s="994">
        <f t="shared" si="2835"/>
        <v>0</v>
      </c>
      <c r="Y1490" s="995"/>
      <c r="Z1490" s="220"/>
      <c r="AA1490" s="24">
        <f t="shared" si="2836"/>
        <v>4669</v>
      </c>
      <c r="AB1490" s="24">
        <f t="shared" si="2837"/>
        <v>0</v>
      </c>
      <c r="AC1490" s="1628"/>
      <c r="AD1490" s="15"/>
      <c r="AE1490" s="333"/>
    </row>
    <row r="1491" spans="1:31" s="401" customFormat="1" ht="15.75">
      <c r="A1491" s="984">
        <v>1420120200</v>
      </c>
      <c r="B1491" s="985"/>
      <c r="C1491" s="986" t="s">
        <v>64</v>
      </c>
      <c r="D1491" s="986"/>
      <c r="E1491" s="987"/>
      <c r="F1491" s="988"/>
      <c r="G1491" s="1287"/>
      <c r="H1491" s="335"/>
      <c r="I1491" s="989"/>
      <c r="J1491" s="1455">
        <v>1</v>
      </c>
      <c r="K1491" s="1456">
        <v>1</v>
      </c>
      <c r="L1491" s="336"/>
      <c r="M1491" s="1322">
        <f t="shared" ref="M1491:M1507" si="2858">+L1491*J1491</f>
        <v>0</v>
      </c>
      <c r="N1491" s="337"/>
      <c r="O1491" s="990">
        <f t="shared" ref="O1491:O1507" si="2859">+L1491*J1491*N1491</f>
        <v>0</v>
      </c>
      <c r="P1491" s="991"/>
      <c r="Q1491" s="1330">
        <f t="shared" ref="Q1491:Q1503" si="2860">+P1491*K1491</f>
        <v>0</v>
      </c>
      <c r="R1491" s="337"/>
      <c r="S1491" s="337"/>
      <c r="T1491" s="990">
        <f t="shared" ref="T1491:T1507" si="2861">+P1491*K1491*S1491</f>
        <v>0</v>
      </c>
      <c r="U1491" s="2116">
        <f t="shared" ref="U1491:U1495" si="2862">+L1491+P1491+F1491</f>
        <v>0</v>
      </c>
      <c r="V1491" s="990">
        <f t="shared" ref="V1491:V1503" si="2863">+P1491*J1491*R1491+L1491*J1491*N1491+F1491*J1491*H1491</f>
        <v>0</v>
      </c>
      <c r="W1491" s="993">
        <f t="shared" ref="W1491:W1499" si="2864">-(IF(-P1491*J1491*R1491&gt;-P1491*K1491*S1491,-((-P1491*J1491*R1491)-(-P1491*K1491*S1491)),0))</f>
        <v>0</v>
      </c>
      <c r="X1491" s="994">
        <f t="shared" ref="X1491:X1519" si="2865">-(IF(-P1491*J1491*R1491&lt;-P1491*K1491*S1491,-((-P1491*J1491*R1491)-(-P1491*K1491*S1491)),0))</f>
        <v>0</v>
      </c>
      <c r="Y1491" s="995"/>
      <c r="Z1491" s="220"/>
      <c r="AC1491" s="1628"/>
      <c r="AD1491" s="15"/>
      <c r="AE1491" s="333"/>
    </row>
    <row r="1492" spans="1:31" s="401" customFormat="1">
      <c r="A1492" s="338"/>
      <c r="B1492" s="889"/>
      <c r="C1492" s="890"/>
      <c r="D1492" s="890"/>
      <c r="E1492" s="339"/>
      <c r="F1492" s="340"/>
      <c r="G1492" s="1288"/>
      <c r="H1492" s="891"/>
      <c r="I1492" s="892"/>
      <c r="J1492" s="1409"/>
      <c r="K1492" s="1410"/>
      <c r="L1492" s="341"/>
      <c r="M1492" s="1323">
        <f t="shared" si="2858"/>
        <v>0</v>
      </c>
      <c r="N1492" s="893"/>
      <c r="O1492" s="996">
        <f t="shared" si="2859"/>
        <v>0</v>
      </c>
      <c r="P1492" s="342"/>
      <c r="Q1492" s="1359">
        <f t="shared" si="2860"/>
        <v>0</v>
      </c>
      <c r="R1492" s="894"/>
      <c r="S1492" s="894"/>
      <c r="T1492" s="895">
        <f t="shared" si="2861"/>
        <v>0</v>
      </c>
      <c r="U1492" s="418">
        <f t="shared" si="2862"/>
        <v>0</v>
      </c>
      <c r="V1492" s="517">
        <f t="shared" si="2863"/>
        <v>0</v>
      </c>
      <c r="W1492" s="976">
        <f t="shared" si="2864"/>
        <v>0</v>
      </c>
      <c r="X1492" s="975">
        <f t="shared" si="2865"/>
        <v>0</v>
      </c>
      <c r="Y1492" s="896"/>
      <c r="Z1492" s="220"/>
      <c r="AC1492" s="1628"/>
      <c r="AD1492" s="15"/>
      <c r="AE1492" s="15"/>
    </row>
    <row r="1493" spans="1:31" s="334" customFormat="1" ht="15.75">
      <c r="A1493" s="961">
        <v>1420120200</v>
      </c>
      <c r="B1493" s="962"/>
      <c r="C1493" s="963" t="s">
        <v>206</v>
      </c>
      <c r="D1493" s="963"/>
      <c r="E1493" s="969"/>
      <c r="F1493" s="329"/>
      <c r="G1493" s="1289">
        <f t="shared" ref="G1493" si="2866">ROUND(F1493*J1493,2)</f>
        <v>0</v>
      </c>
      <c r="H1493" s="327"/>
      <c r="I1493" s="328">
        <f t="shared" ref="I1493" si="2867">+F1493*J1493*H1493</f>
        <v>0</v>
      </c>
      <c r="J1493" s="1411"/>
      <c r="K1493" s="1412"/>
      <c r="L1493" s="326"/>
      <c r="M1493" s="1321">
        <f t="shared" si="2858"/>
        <v>0</v>
      </c>
      <c r="N1493" s="327"/>
      <c r="O1493" s="328">
        <f t="shared" si="2859"/>
        <v>0</v>
      </c>
      <c r="P1493" s="329"/>
      <c r="Q1493" s="1289">
        <f t="shared" si="2860"/>
        <v>0</v>
      </c>
      <c r="R1493" s="327"/>
      <c r="S1493" s="327"/>
      <c r="T1493" s="328">
        <f t="shared" si="2861"/>
        <v>0</v>
      </c>
      <c r="U1493" s="329">
        <f t="shared" si="2862"/>
        <v>0</v>
      </c>
      <c r="V1493" s="328">
        <f t="shared" si="2863"/>
        <v>0</v>
      </c>
      <c r="W1493" s="330">
        <f t="shared" si="2864"/>
        <v>0</v>
      </c>
      <c r="X1493" s="331">
        <f t="shared" si="2865"/>
        <v>0</v>
      </c>
      <c r="Y1493" s="332"/>
      <c r="Z1493" s="1072"/>
      <c r="AC1493" s="1627"/>
      <c r="AD1493" s="333"/>
      <c r="AE1493" s="333"/>
    </row>
    <row r="1494" spans="1:31" s="401" customFormat="1">
      <c r="A1494" s="984">
        <v>1420120200</v>
      </c>
      <c r="B1494" s="985"/>
      <c r="C1494" s="986" t="s">
        <v>206</v>
      </c>
      <c r="D1494" s="986"/>
      <c r="E1494" s="987"/>
      <c r="F1494" s="988"/>
      <c r="G1494" s="1287"/>
      <c r="H1494" s="335"/>
      <c r="I1494" s="989"/>
      <c r="J1494" s="993"/>
      <c r="K1494" s="1408"/>
      <c r="L1494" s="336"/>
      <c r="M1494" s="1322">
        <f t="shared" si="2858"/>
        <v>0</v>
      </c>
      <c r="N1494" s="337"/>
      <c r="O1494" s="990">
        <f t="shared" si="2859"/>
        <v>0</v>
      </c>
      <c r="P1494" s="991"/>
      <c r="Q1494" s="1330">
        <f t="shared" si="2860"/>
        <v>0</v>
      </c>
      <c r="R1494" s="337"/>
      <c r="S1494" s="337"/>
      <c r="T1494" s="990">
        <f t="shared" si="2861"/>
        <v>0</v>
      </c>
      <c r="U1494" s="992">
        <f t="shared" si="2862"/>
        <v>0</v>
      </c>
      <c r="V1494" s="990">
        <f t="shared" si="2863"/>
        <v>0</v>
      </c>
      <c r="W1494" s="993">
        <f t="shared" si="2864"/>
        <v>0</v>
      </c>
      <c r="X1494" s="994">
        <f t="shared" si="2865"/>
        <v>0</v>
      </c>
      <c r="Y1494" s="995"/>
      <c r="Z1494" s="220"/>
      <c r="AC1494" s="1628"/>
      <c r="AD1494" s="15"/>
      <c r="AE1494" s="15"/>
    </row>
    <row r="1495" spans="1:31" s="401" customFormat="1">
      <c r="A1495" s="984">
        <v>1420120200</v>
      </c>
      <c r="B1495" s="985"/>
      <c r="C1495" s="986" t="s">
        <v>206</v>
      </c>
      <c r="D1495" s="986"/>
      <c r="E1495" s="987"/>
      <c r="F1495" s="988"/>
      <c r="G1495" s="1287"/>
      <c r="H1495" s="335"/>
      <c r="I1495" s="989"/>
      <c r="J1495" s="993"/>
      <c r="K1495" s="1408"/>
      <c r="L1495" s="336"/>
      <c r="M1495" s="1322">
        <f t="shared" si="2858"/>
        <v>0</v>
      </c>
      <c r="N1495" s="337"/>
      <c r="O1495" s="990">
        <f t="shared" si="2859"/>
        <v>0</v>
      </c>
      <c r="P1495" s="991"/>
      <c r="Q1495" s="1330">
        <f t="shared" si="2860"/>
        <v>0</v>
      </c>
      <c r="R1495" s="337"/>
      <c r="S1495" s="337"/>
      <c r="T1495" s="990">
        <f t="shared" si="2861"/>
        <v>0</v>
      </c>
      <c r="U1495" s="992">
        <f t="shared" si="2862"/>
        <v>0</v>
      </c>
      <c r="V1495" s="990">
        <f t="shared" si="2863"/>
        <v>0</v>
      </c>
      <c r="W1495" s="993">
        <f t="shared" si="2864"/>
        <v>0</v>
      </c>
      <c r="X1495" s="994">
        <f t="shared" si="2865"/>
        <v>0</v>
      </c>
      <c r="Y1495" s="995"/>
      <c r="Z1495" s="220"/>
      <c r="AC1495" s="1628"/>
      <c r="AD1495" s="15"/>
      <c r="AE1495" s="15"/>
    </row>
    <row r="1496" spans="1:31" s="401" customFormat="1">
      <c r="A1496" s="338"/>
      <c r="B1496" s="889"/>
      <c r="C1496" s="890"/>
      <c r="D1496" s="890"/>
      <c r="E1496" s="339"/>
      <c r="F1496" s="340"/>
      <c r="G1496" s="1288"/>
      <c r="H1496" s="891"/>
      <c r="I1496" s="892"/>
      <c r="J1496" s="1409"/>
      <c r="K1496" s="1410"/>
      <c r="L1496" s="341"/>
      <c r="M1496" s="1323">
        <f t="shared" si="2858"/>
        <v>0</v>
      </c>
      <c r="N1496" s="893"/>
      <c r="O1496" s="996">
        <f t="shared" si="2859"/>
        <v>0</v>
      </c>
      <c r="P1496" s="342"/>
      <c r="Q1496" s="1359">
        <f t="shared" si="2860"/>
        <v>0</v>
      </c>
      <c r="R1496" s="894"/>
      <c r="S1496" s="894"/>
      <c r="T1496" s="895">
        <f t="shared" si="2861"/>
        <v>0</v>
      </c>
      <c r="U1496" s="418"/>
      <c r="V1496" s="517">
        <f t="shared" si="2863"/>
        <v>0</v>
      </c>
      <c r="W1496" s="976">
        <f t="shared" si="2864"/>
        <v>0</v>
      </c>
      <c r="X1496" s="975">
        <f t="shared" si="2865"/>
        <v>0</v>
      </c>
      <c r="Y1496" s="896"/>
      <c r="Z1496" s="220"/>
      <c r="AC1496" s="1628"/>
      <c r="AD1496" s="15"/>
      <c r="AE1496" s="15"/>
    </row>
    <row r="1497" spans="1:31" s="401" customFormat="1" outlineLevel="1">
      <c r="A1497" s="1019">
        <v>1420120200</v>
      </c>
      <c r="B1497" s="1020" t="s">
        <v>2252</v>
      </c>
      <c r="C1497" s="1021" t="s">
        <v>64</v>
      </c>
      <c r="D1497" s="1021">
        <v>2000001560</v>
      </c>
      <c r="E1497" s="1022">
        <v>44977</v>
      </c>
      <c r="F1497" s="1023"/>
      <c r="G1497" s="1290"/>
      <c r="H1497" s="352"/>
      <c r="I1497" s="1024"/>
      <c r="J1497" s="1027">
        <v>1</v>
      </c>
      <c r="K1497" s="1459">
        <v>1</v>
      </c>
      <c r="L1497" s="1026">
        <v>6117</v>
      </c>
      <c r="M1497" s="1324">
        <f t="shared" ref="M1497:M1500" si="2868">+L1497*J1497</f>
        <v>6117</v>
      </c>
      <c r="N1497" s="353">
        <f ca="1">IF(OR(E1497="",E1497&gt;TODAY()),0,IF(ISERROR(VLOOKUP($E1497,'TRM BanRep'!$A:$G,7,0)),0,VLOOKUP($E1497,'TRM BanRep'!$A:$G,7,0)))</f>
        <v>4918.9399999999996</v>
      </c>
      <c r="O1497" s="1025">
        <f t="shared" ref="O1497:O1499" ca="1" si="2869">+L1497*J1497*N1497</f>
        <v>30089155.979999997</v>
      </c>
      <c r="P1497" s="1026"/>
      <c r="Q1497" s="1324">
        <f t="shared" ref="Q1497:Q1499" si="2870">+P1497*K1497</f>
        <v>0</v>
      </c>
      <c r="R1497" s="353"/>
      <c r="S1497" s="353"/>
      <c r="T1497" s="1025">
        <f t="shared" ref="T1497:T1499" si="2871">+P1497*K1497*S1497</f>
        <v>0</v>
      </c>
      <c r="U1497" s="1027">
        <f t="shared" ref="U1497:U1499" si="2872">+L1497+P1497+F1497</f>
        <v>6117</v>
      </c>
      <c r="V1497" s="1025">
        <f t="shared" ref="V1497:V1499" ca="1" si="2873">+P1497*J1497*R1497+L1497*J1497*N1497+F1497*J1497*H1497</f>
        <v>30089155.979999997</v>
      </c>
      <c r="W1497" s="1028">
        <f t="shared" si="2864"/>
        <v>0</v>
      </c>
      <c r="X1497" s="1029">
        <f t="shared" ref="X1497:X1499" si="2874">-(IF(-P1497*J1497*R1497&lt;-P1497*K1497*S1497,-((-P1497*J1497*R1497)-(-P1497*K1497*S1497)),0))</f>
        <v>0</v>
      </c>
      <c r="Y1497" s="1030"/>
      <c r="Z1497" s="220"/>
      <c r="AA1497" s="24">
        <f ca="1">$B$4-N1497</f>
        <v>-249.9399999999996</v>
      </c>
      <c r="AB1497" s="24">
        <f t="shared" ref="AB1497" ca="1" si="2875">+U1497*AA1497</f>
        <v>-1528882.9799999977</v>
      </c>
      <c r="AC1497" s="1628">
        <v>4921</v>
      </c>
      <c r="AD1497" s="15" t="s">
        <v>2550</v>
      </c>
      <c r="AE1497" s="15"/>
    </row>
    <row r="1498" spans="1:31" s="401" customFormat="1" outlineLevel="1">
      <c r="A1498" s="1019">
        <v>1420120200</v>
      </c>
      <c r="B1498" s="1020" t="s">
        <v>2369</v>
      </c>
      <c r="C1498" s="1021" t="s">
        <v>64</v>
      </c>
      <c r="D1498" s="1021">
        <v>2000002478</v>
      </c>
      <c r="E1498" s="1022">
        <v>45002</v>
      </c>
      <c r="F1498" s="1023"/>
      <c r="G1498" s="1290"/>
      <c r="H1498" s="352"/>
      <c r="I1498" s="1024"/>
      <c r="J1498" s="1027">
        <v>1</v>
      </c>
      <c r="K1498" s="1459">
        <v>1</v>
      </c>
      <c r="L1498" s="1026">
        <v>2857090.54</v>
      </c>
      <c r="M1498" s="1324">
        <f t="shared" si="2868"/>
        <v>2857090.54</v>
      </c>
      <c r="N1498" s="353">
        <f ca="1">IF(OR(E1498="",E1498&gt;TODAY()),0,IF(ISERROR(VLOOKUP($E1498,'TRM BanRep'!$A:$G,7,0)),0,VLOOKUP($E1498,'TRM BanRep'!$A:$G,7,0)))</f>
        <v>4866.5</v>
      </c>
      <c r="O1498" s="1025">
        <f t="shared" ca="1" si="2869"/>
        <v>13904031112.91</v>
      </c>
      <c r="P1498" s="1026"/>
      <c r="Q1498" s="1324">
        <f t="shared" si="2870"/>
        <v>0</v>
      </c>
      <c r="R1498" s="353"/>
      <c r="S1498" s="353"/>
      <c r="T1498" s="1025">
        <f t="shared" si="2871"/>
        <v>0</v>
      </c>
      <c r="U1498" s="1027">
        <f t="shared" si="2872"/>
        <v>2857090.54</v>
      </c>
      <c r="V1498" s="1025">
        <f t="shared" ca="1" si="2873"/>
        <v>13904031112.91</v>
      </c>
      <c r="W1498" s="1028">
        <f t="shared" si="2864"/>
        <v>0</v>
      </c>
      <c r="X1498" s="1029">
        <f t="shared" si="2874"/>
        <v>0</v>
      </c>
      <c r="Y1498" s="1030"/>
      <c r="Z1498" s="220"/>
      <c r="AA1498" s="24">
        <f ca="1">$B$4-N1498</f>
        <v>-197.5</v>
      </c>
      <c r="AB1498" s="24">
        <f t="shared" ref="AB1498" ca="1" si="2876">+U1498*AA1498</f>
        <v>-564275381.64999998</v>
      </c>
      <c r="AC1498" s="1628">
        <v>4908</v>
      </c>
      <c r="AD1498" s="15" t="s">
        <v>2551</v>
      </c>
      <c r="AE1498" s="15"/>
    </row>
    <row r="1499" spans="1:31" s="401" customFormat="1" outlineLevel="1">
      <c r="A1499" s="1019">
        <v>1420120200</v>
      </c>
      <c r="B1499" s="1020" t="s">
        <v>2548</v>
      </c>
      <c r="C1499" s="1021" t="s">
        <v>64</v>
      </c>
      <c r="D1499" s="1021">
        <v>2000003084</v>
      </c>
      <c r="E1499" s="1022">
        <v>45028</v>
      </c>
      <c r="F1499" s="1023"/>
      <c r="G1499" s="1290"/>
      <c r="H1499" s="352"/>
      <c r="I1499" s="1024"/>
      <c r="J1499" s="1027">
        <v>1</v>
      </c>
      <c r="K1499" s="1459">
        <v>1</v>
      </c>
      <c r="L1499" s="1026">
        <v>88321.5</v>
      </c>
      <c r="M1499" s="1324">
        <f t="shared" si="2868"/>
        <v>88321.5</v>
      </c>
      <c r="N1499" s="353">
        <f ca="1">IF(OR(E1499="",E1499&gt;TODAY()),0,IF(ISERROR(VLOOKUP($E1499,'TRM BanRep'!$A:$G,7,0)),0,VLOOKUP($E1499,'TRM BanRep'!$A:$G,7,0)))</f>
        <v>4516.76</v>
      </c>
      <c r="O1499" s="1025">
        <f t="shared" ca="1" si="2869"/>
        <v>398927018.34000003</v>
      </c>
      <c r="P1499" s="1026"/>
      <c r="Q1499" s="1324">
        <f t="shared" si="2870"/>
        <v>0</v>
      </c>
      <c r="R1499" s="353"/>
      <c r="S1499" s="353"/>
      <c r="T1499" s="1025">
        <f t="shared" si="2871"/>
        <v>0</v>
      </c>
      <c r="U1499" s="1027">
        <f t="shared" si="2872"/>
        <v>88321.5</v>
      </c>
      <c r="V1499" s="1025">
        <f t="shared" ca="1" si="2873"/>
        <v>398927018.34000003</v>
      </c>
      <c r="W1499" s="1028">
        <f t="shared" si="2864"/>
        <v>0</v>
      </c>
      <c r="X1499" s="1029">
        <f t="shared" si="2874"/>
        <v>0</v>
      </c>
      <c r="Y1499" s="1030"/>
      <c r="Z1499" s="220"/>
      <c r="AA1499" s="24">
        <f ca="1">$B$4-N1499</f>
        <v>152.23999999999978</v>
      </c>
      <c r="AB1499" s="24">
        <f t="shared" ref="AB1499" ca="1" si="2877">+U1499*AA1499</f>
        <v>13446065.159999982</v>
      </c>
      <c r="AC1499" s="1628">
        <v>4558</v>
      </c>
      <c r="AD1499" s="15" t="s">
        <v>2559</v>
      </c>
      <c r="AE1499" s="15"/>
    </row>
    <row r="1500" spans="1:31" s="401" customFormat="1" outlineLevel="1">
      <c r="A1500" s="1019">
        <v>1420120200</v>
      </c>
      <c r="B1500" s="1020" t="s">
        <v>2549</v>
      </c>
      <c r="C1500" s="1021" t="s">
        <v>64</v>
      </c>
      <c r="D1500" s="1021">
        <v>2000003381</v>
      </c>
      <c r="E1500" s="1022">
        <v>45033</v>
      </c>
      <c r="F1500" s="1023"/>
      <c r="G1500" s="1290"/>
      <c r="H1500" s="352"/>
      <c r="I1500" s="1024"/>
      <c r="J1500" s="1027">
        <v>1</v>
      </c>
      <c r="K1500" s="1459">
        <v>1</v>
      </c>
      <c r="L1500" s="1026">
        <v>88321.5</v>
      </c>
      <c r="M1500" s="1324">
        <f t="shared" si="2868"/>
        <v>88321.5</v>
      </c>
      <c r="N1500" s="353">
        <f ca="1">IF(OR(E1500="",E1500&gt;TODAY()),0,IF(ISERROR(VLOOKUP($E1500,'TRM BanRep'!$A:$G,7,0)),0,VLOOKUP($E1500,'TRM BanRep'!$A:$G,7,0)))</f>
        <v>4425.2700000000004</v>
      </c>
      <c r="O1500" s="1025">
        <f t="shared" ref="O1500" ca="1" si="2878">+L1500*J1500*N1500</f>
        <v>390846484.30500007</v>
      </c>
      <c r="P1500" s="1026"/>
      <c r="Q1500" s="1324">
        <f t="shared" ref="Q1500" si="2879">+P1500*K1500</f>
        <v>0</v>
      </c>
      <c r="R1500" s="353"/>
      <c r="S1500" s="353"/>
      <c r="T1500" s="1025">
        <f t="shared" ref="T1500" si="2880">+P1500*K1500*S1500</f>
        <v>0</v>
      </c>
      <c r="U1500" s="1027">
        <f t="shared" ref="U1500" si="2881">+L1500+P1500+F1500</f>
        <v>88321.5</v>
      </c>
      <c r="V1500" s="1025">
        <f t="shared" ref="V1500" ca="1" si="2882">+P1500*J1500*R1500+L1500*J1500*N1500+F1500*J1500*H1500</f>
        <v>390846484.30500007</v>
      </c>
      <c r="W1500" s="1028">
        <f t="shared" ref="W1500" si="2883">-(IF(-P1500*J1500*R1500&gt;-P1500*K1500*S1500,-((-P1500*J1500*R1500)-(-P1500*K1500*S1500)),0))</f>
        <v>0</v>
      </c>
      <c r="X1500" s="1029">
        <f t="shared" ref="X1500" si="2884">-(IF(-P1500*J1500*R1500&lt;-P1500*K1500*S1500,-((-P1500*J1500*R1500)-(-P1500*K1500*S1500)),0))</f>
        <v>0</v>
      </c>
      <c r="Y1500" s="1030"/>
      <c r="Z1500" s="220"/>
      <c r="AA1500" s="24">
        <f ca="1">$B$4-N1500</f>
        <v>243.72999999999956</v>
      </c>
      <c r="AB1500" s="24">
        <f t="shared" ref="AB1500" ca="1" si="2885">+U1500*AA1500</f>
        <v>21526599.194999963</v>
      </c>
      <c r="AC1500" s="1628">
        <v>4558</v>
      </c>
      <c r="AD1500" s="15" t="s">
        <v>2559</v>
      </c>
      <c r="AE1500" s="15"/>
    </row>
    <row r="1501" spans="1:31" s="401" customFormat="1">
      <c r="A1501" s="1019">
        <v>1420120200</v>
      </c>
      <c r="B1501" s="1020"/>
      <c r="C1501" s="1021" t="s">
        <v>64</v>
      </c>
      <c r="D1501" s="1021"/>
      <c r="E1501" s="1022"/>
      <c r="F1501" s="1023"/>
      <c r="G1501" s="1290"/>
      <c r="H1501" s="352"/>
      <c r="I1501" s="1024"/>
      <c r="J1501" s="1027">
        <v>1</v>
      </c>
      <c r="K1501" s="1459">
        <v>1</v>
      </c>
      <c r="L1501" s="1026"/>
      <c r="M1501" s="1324">
        <f t="shared" ref="M1501" si="2886">+L1501*J1501</f>
        <v>0</v>
      </c>
      <c r="N1501" s="353">
        <f ca="1">IF(OR(E1501="",E1501&gt;TODAY()),0,IF(ISERROR(VLOOKUP($E1501,'TRM BanRep'!$A:$G,7,0)),0,VLOOKUP($E1501,'TRM BanRep'!$A:$G,7,0)))</f>
        <v>0</v>
      </c>
      <c r="O1501" s="1025">
        <f t="shared" ref="O1501" ca="1" si="2887">+L1501*J1501*N1501</f>
        <v>0</v>
      </c>
      <c r="P1501" s="1026"/>
      <c r="Q1501" s="1324">
        <f t="shared" ref="Q1501" si="2888">+P1501*K1501</f>
        <v>0</v>
      </c>
      <c r="R1501" s="353"/>
      <c r="S1501" s="353"/>
      <c r="T1501" s="1025">
        <f t="shared" ref="T1501" si="2889">+P1501*K1501*S1501</f>
        <v>0</v>
      </c>
      <c r="U1501" s="1027">
        <f t="shared" ref="U1501" si="2890">+L1501+P1501+F1501</f>
        <v>0</v>
      </c>
      <c r="V1501" s="1025">
        <f t="shared" ref="V1501" ca="1" si="2891">+P1501*J1501*R1501+L1501*J1501*N1501+F1501*J1501*H1501</f>
        <v>0</v>
      </c>
      <c r="W1501" s="1028">
        <f t="shared" ref="W1501" si="2892">-(IF(-P1501*J1501*R1501&gt;-P1501*K1501*S1501,-((-P1501*J1501*R1501)-(-P1501*K1501*S1501)),0))</f>
        <v>0</v>
      </c>
      <c r="X1501" s="1029">
        <f t="shared" ref="X1501" si="2893">-(IF(-P1501*J1501*R1501&lt;-P1501*K1501*S1501,-((-P1501*J1501*R1501)-(-P1501*K1501*S1501)),0))</f>
        <v>0</v>
      </c>
      <c r="Y1501" s="1030"/>
      <c r="Z1501" s="220"/>
      <c r="AC1501" s="1628"/>
      <c r="AD1501" s="15"/>
      <c r="AE1501" s="15"/>
    </row>
    <row r="1502" spans="1:31" s="401" customFormat="1">
      <c r="A1502" s="338"/>
      <c r="B1502" s="889"/>
      <c r="C1502" s="890"/>
      <c r="D1502" s="890"/>
      <c r="E1502" s="339"/>
      <c r="F1502" s="340"/>
      <c r="G1502" s="1288"/>
      <c r="H1502" s="891"/>
      <c r="I1502" s="892"/>
      <c r="J1502" s="1409"/>
      <c r="K1502" s="1410"/>
      <c r="L1502" s="341"/>
      <c r="M1502" s="1323"/>
      <c r="N1502" s="893">
        <f ca="1">IF(OR(E1502="",E1502&gt;TODAY()),0,IF(ISERROR(VLOOKUP($E1502,'TRM BanRep'!$A:$G,7,0)),0,VLOOKUP($E1502,'TRM BanRep'!$A:$G,7,0)))</f>
        <v>0</v>
      </c>
      <c r="O1502" s="996"/>
      <c r="P1502" s="342"/>
      <c r="Q1502" s="1359"/>
      <c r="R1502" s="894"/>
      <c r="S1502" s="894"/>
      <c r="T1502" s="895"/>
      <c r="U1502" s="418"/>
      <c r="V1502" s="517"/>
      <c r="W1502" s="976"/>
      <c r="X1502" s="975"/>
      <c r="Y1502" s="896"/>
      <c r="Z1502" s="220"/>
      <c r="AC1502" s="1628"/>
      <c r="AD1502" s="15"/>
      <c r="AE1502" s="15"/>
    </row>
    <row r="1503" spans="1:31" s="401" customFormat="1" outlineLevel="1">
      <c r="A1503" s="338">
        <v>1420120200</v>
      </c>
      <c r="B1503" s="889"/>
      <c r="C1503" s="890" t="s">
        <v>64</v>
      </c>
      <c r="D1503" s="890"/>
      <c r="E1503" s="339"/>
      <c r="F1503" s="340"/>
      <c r="G1503" s="1288"/>
      <c r="H1503" s="891"/>
      <c r="I1503" s="892"/>
      <c r="J1503" s="1457">
        <v>1</v>
      </c>
      <c r="K1503" s="1458">
        <v>1</v>
      </c>
      <c r="L1503" s="341"/>
      <c r="M1503" s="1323">
        <f t="shared" si="2858"/>
        <v>0</v>
      </c>
      <c r="N1503" s="893">
        <f ca="1">IF(OR(E1503="",E1503&gt;TODAY()),0,IF(ISERROR(VLOOKUP($E1503,'TRM BanRep'!$A:$G,7,0)),0,VLOOKUP($E1503,'TRM BanRep'!$A:$G,7,0)))</f>
        <v>0</v>
      </c>
      <c r="O1503" s="996">
        <f t="shared" ca="1" si="2859"/>
        <v>0</v>
      </c>
      <c r="P1503" s="342"/>
      <c r="Q1503" s="1359">
        <f t="shared" si="2860"/>
        <v>0</v>
      </c>
      <c r="R1503" s="894"/>
      <c r="S1503" s="349">
        <f ca="1">IF(OR(E1503="",E1503&gt;TODAY()),0,IF(ISERROR(VLOOKUP($E1503,'TRM BanRep'!$A:$G,7,0)),0,VLOOKUP($E1503,'TRM BanRep'!$A:$G,7,0)))</f>
        <v>0</v>
      </c>
      <c r="T1503" s="895">
        <f t="shared" ca="1" si="2861"/>
        <v>0</v>
      </c>
      <c r="U1503" s="418">
        <f t="shared" ref="U1503:U1518" si="2894">+L1503+P1503+F1503</f>
        <v>0</v>
      </c>
      <c r="V1503" s="517">
        <f t="shared" ca="1" si="2863"/>
        <v>0</v>
      </c>
      <c r="W1503" s="976">
        <f t="shared" ref="W1503:W1504" ca="1" si="2895">-(IF(-P1503*J1503*R1503&gt;-P1503*K1503*S1503,-((-P1503*J1503*R1503)-(-P1503*K1503*S1503)),0))</f>
        <v>0</v>
      </c>
      <c r="X1503" s="975">
        <f t="shared" ca="1" si="2865"/>
        <v>0</v>
      </c>
      <c r="Y1503" s="896"/>
      <c r="Z1503" s="220"/>
      <c r="AC1503" s="1628">
        <v>4866</v>
      </c>
      <c r="AD1503" s="15" t="s">
        <v>2560</v>
      </c>
      <c r="AE1503" s="15"/>
    </row>
    <row r="1504" spans="1:31" s="401" customFormat="1" ht="12.75" customHeight="1" outlineLevel="1">
      <c r="A1504" s="338">
        <v>1420120200</v>
      </c>
      <c r="B1504" s="889"/>
      <c r="C1504" s="890" t="s">
        <v>64</v>
      </c>
      <c r="D1504" s="890"/>
      <c r="E1504" s="339"/>
      <c r="F1504" s="340"/>
      <c r="G1504" s="1288"/>
      <c r="H1504" s="891"/>
      <c r="I1504" s="892"/>
      <c r="J1504" s="1457">
        <v>1</v>
      </c>
      <c r="K1504" s="1458">
        <v>1</v>
      </c>
      <c r="L1504" s="341"/>
      <c r="M1504" s="1323">
        <f t="shared" ref="M1504" si="2896">+L1504*J1504</f>
        <v>0</v>
      </c>
      <c r="N1504" s="893">
        <f ca="1">IF(OR(E1504="",E1504&gt;TODAY()),0,IF(ISERROR(VLOOKUP($E1504,'TRM BanRep'!$A:$G,7,0)),0,VLOOKUP($E1504,'TRM BanRep'!$A:$G,7,0)))</f>
        <v>0</v>
      </c>
      <c r="O1504" s="996">
        <f t="shared" ref="O1504" ca="1" si="2897">+L1504*J1504*N1504</f>
        <v>0</v>
      </c>
      <c r="P1504" s="342"/>
      <c r="Q1504" s="1359">
        <f t="shared" ref="Q1504" si="2898">+P1504*K1504</f>
        <v>0</v>
      </c>
      <c r="R1504" s="894"/>
      <c r="S1504" s="349">
        <f ca="1">IF(OR(E1504="",E1504&gt;TODAY()),0,IF(ISERROR(VLOOKUP($E1504,'TRM BanRep'!$A:$G,7,0)),0,VLOOKUP($E1504,'TRM BanRep'!$A:$G,7,0)))</f>
        <v>0</v>
      </c>
      <c r="T1504" s="895">
        <f t="shared" ref="T1504" ca="1" si="2899">+P1504*K1504*S1504</f>
        <v>0</v>
      </c>
      <c r="U1504" s="418">
        <f t="shared" ref="U1504" si="2900">+L1504+P1504+F1504</f>
        <v>0</v>
      </c>
      <c r="V1504" s="517">
        <f t="shared" ref="V1504" ca="1" si="2901">+P1504*J1504*R1504+L1504*J1504*N1504+F1504*J1504*H1504</f>
        <v>0</v>
      </c>
      <c r="W1504" s="976">
        <f t="shared" ca="1" si="2895"/>
        <v>0</v>
      </c>
      <c r="X1504" s="975">
        <f t="shared" ref="X1504" ca="1" si="2902">-(IF(-P1504*J1504*R1504&lt;-P1504*K1504*S1504,-((-P1504*J1504*R1504)-(-P1504*K1504*S1504)),0))</f>
        <v>0</v>
      </c>
      <c r="Y1504" s="896"/>
      <c r="Z1504" s="220"/>
      <c r="AC1504" s="1628">
        <v>4866</v>
      </c>
      <c r="AD1504" s="15" t="s">
        <v>2560</v>
      </c>
      <c r="AE1504" s="15"/>
    </row>
    <row r="1505" spans="1:32" s="401" customFormat="1" outlineLevel="1">
      <c r="A1505" s="338">
        <v>1420120200</v>
      </c>
      <c r="B1505" s="889"/>
      <c r="C1505" s="890" t="s">
        <v>64</v>
      </c>
      <c r="D1505" s="890"/>
      <c r="E1505" s="339"/>
      <c r="F1505" s="340"/>
      <c r="G1505" s="1288"/>
      <c r="H1505" s="891"/>
      <c r="I1505" s="892"/>
      <c r="J1505" s="1409"/>
      <c r="K1505" s="1410"/>
      <c r="L1505" s="341"/>
      <c r="M1505" s="1323">
        <f t="shared" ref="M1505" si="2903">+L1505*J1505</f>
        <v>0</v>
      </c>
      <c r="N1505" s="893">
        <f ca="1">IF(OR(E1505="",E1505&gt;TODAY()),0,IF(ISERROR(VLOOKUP($E1505,'TRM BanRep'!$A:$G,7,0)),0,VLOOKUP($E1505,'TRM BanRep'!$A:$G,7,0)))</f>
        <v>0</v>
      </c>
      <c r="O1505" s="996">
        <f t="shared" ref="O1505" ca="1" si="2904">+L1505*J1505*N1505</f>
        <v>0</v>
      </c>
      <c r="P1505" s="342"/>
      <c r="Q1505" s="1359">
        <f t="shared" ref="Q1505" si="2905">+P1505*K1505</f>
        <v>0</v>
      </c>
      <c r="R1505" s="894"/>
      <c r="S1505" s="894">
        <f ca="1">IF(OR(E1505="",E1505&gt;TODAY()),0,IF(ISERROR(VLOOKUP($E1505,'TRM BanRep'!$A:$G,7,0)),0,VLOOKUP($E1505,'TRM BanRep'!$A:$G,7,0)))</f>
        <v>0</v>
      </c>
      <c r="T1505" s="895">
        <f t="shared" ref="T1505" ca="1" si="2906">+P1505*K1505*S1505</f>
        <v>0</v>
      </c>
      <c r="U1505" s="418">
        <f t="shared" ref="U1505" si="2907">+L1505+P1505+F1505</f>
        <v>0</v>
      </c>
      <c r="V1505" s="517">
        <f t="shared" ref="V1505" ca="1" si="2908">+P1505*J1505*R1505+L1505*J1505*N1505+F1505*J1505*H1505</f>
        <v>0</v>
      </c>
      <c r="W1505" s="976">
        <f t="shared" ref="W1505:W1519" ca="1" si="2909">-(IF(-P1505*J1505*R1505&gt;-P1505*K1505*S1505,-((-P1505*J1505*R1505)-(-P1505*K1505*S1505)),0))</f>
        <v>0</v>
      </c>
      <c r="X1505" s="975">
        <f t="shared" ref="X1505" ca="1" si="2910">-(IF(-P1505*J1505*R1505&lt;-P1505*K1505*S1505,-((-P1505*J1505*R1505)-(-P1505*K1505*S1505)),0))</f>
        <v>0</v>
      </c>
      <c r="Y1505" s="896"/>
      <c r="Z1505" s="220"/>
      <c r="AC1505" s="1628"/>
      <c r="AD1505" s="15"/>
      <c r="AE1505" s="15"/>
    </row>
    <row r="1506" spans="1:32" s="401" customFormat="1">
      <c r="A1506" s="338"/>
      <c r="B1506" s="889"/>
      <c r="C1506" s="890"/>
      <c r="D1506" s="890"/>
      <c r="E1506" s="339"/>
      <c r="F1506" s="340"/>
      <c r="G1506" s="1288"/>
      <c r="H1506" s="891"/>
      <c r="I1506" s="892"/>
      <c r="J1506" s="1409"/>
      <c r="K1506" s="1410"/>
      <c r="L1506" s="341"/>
      <c r="M1506" s="1323"/>
      <c r="N1506" s="893">
        <f ca="1">IF(OR(E1506="",E1506&gt;TODAY()),0,IF(ISERROR(VLOOKUP($E1506,'TRM BanRep'!$A:$G,7,0)),0,VLOOKUP($E1506,'TRM BanRep'!$A:$G,7,0)))</f>
        <v>0</v>
      </c>
      <c r="O1506" s="996"/>
      <c r="P1506" s="342"/>
      <c r="Q1506" s="1359"/>
      <c r="R1506" s="894"/>
      <c r="S1506" s="894"/>
      <c r="T1506" s="895"/>
      <c r="U1506" s="418"/>
      <c r="V1506" s="517"/>
      <c r="W1506" s="976"/>
      <c r="X1506" s="975"/>
      <c r="Y1506" s="896"/>
      <c r="Z1506" s="220"/>
      <c r="AC1506" s="1628"/>
      <c r="AD1506" s="15"/>
      <c r="AE1506" s="15"/>
    </row>
    <row r="1507" spans="1:32" ht="15.75">
      <c r="A1507" s="961">
        <v>1420120200</v>
      </c>
      <c r="B1507" s="962" t="s">
        <v>1444</v>
      </c>
      <c r="C1507" s="963" t="s">
        <v>146</v>
      </c>
      <c r="D1507" s="963">
        <v>2000012794</v>
      </c>
      <c r="E1507" s="969">
        <v>44917</v>
      </c>
      <c r="F1507" s="964">
        <v>9705</v>
      </c>
      <c r="G1507" s="1250">
        <f>ROUND(F1507*J1507,2)</f>
        <v>10287.790000000001</v>
      </c>
      <c r="H1507" s="47">
        <v>4761.6400000000003</v>
      </c>
      <c r="I1507" s="965">
        <f>+F1507*J1507*H1507</f>
        <v>48986729.757809997</v>
      </c>
      <c r="J1507" s="1413">
        <v>1.0600499999999999</v>
      </c>
      <c r="K1507" s="1414"/>
      <c r="L1507" s="218"/>
      <c r="M1507" s="1309">
        <f t="shared" si="2858"/>
        <v>0</v>
      </c>
      <c r="N1507" s="47">
        <f ca="1">IF(OR(E1507="",E1507&gt;TODAY()),0,IF(ISERROR(VLOOKUP($E1507,'TRM BanRep'!$A:$G,7,0)),0,VLOOKUP($E1507,'TRM BanRep'!$A:$G,7,0)))</f>
        <v>4761.6400000000003</v>
      </c>
      <c r="O1507" s="965">
        <f t="shared" ca="1" si="2859"/>
        <v>0</v>
      </c>
      <c r="P1507" s="964"/>
      <c r="Q1507" s="1250">
        <f>+P1507*K1507</f>
        <v>0</v>
      </c>
      <c r="R1507" s="47"/>
      <c r="S1507" s="47"/>
      <c r="T1507" s="965">
        <f t="shared" si="2861"/>
        <v>0</v>
      </c>
      <c r="U1507" s="959">
        <f t="shared" si="2894"/>
        <v>9705</v>
      </c>
      <c r="V1507" s="965">
        <f ca="1">+P1507*J1507*R1507+L1507*J1507*N1507+F1507*J1507*H1507</f>
        <v>48986729.757809997</v>
      </c>
      <c r="W1507" s="968">
        <f t="shared" si="2909"/>
        <v>0</v>
      </c>
      <c r="X1507" s="966">
        <f t="shared" si="2865"/>
        <v>0</v>
      </c>
      <c r="Y1507" s="967"/>
      <c r="Z1507" s="220"/>
      <c r="AA1507" s="24">
        <f>$B$4-H1507</f>
        <v>-92.640000000000327</v>
      </c>
      <c r="AB1507" s="24">
        <f>+G1507*AA1507</f>
        <v>-953060.8656000034</v>
      </c>
      <c r="AC1507" s="1628">
        <v>4556</v>
      </c>
      <c r="AD1507" s="15" t="s">
        <v>1299</v>
      </c>
      <c r="AE1507" s="24"/>
    </row>
    <row r="1508" spans="1:32" ht="15.75">
      <c r="A1508" s="961">
        <v>1420120200</v>
      </c>
      <c r="B1508" s="962" t="s">
        <v>1444</v>
      </c>
      <c r="C1508" s="963" t="s">
        <v>146</v>
      </c>
      <c r="D1508" s="963">
        <v>2000012794</v>
      </c>
      <c r="E1508" s="969">
        <v>44917</v>
      </c>
      <c r="F1508" s="964">
        <v>33757</v>
      </c>
      <c r="G1508" s="1250">
        <f>ROUND(F1508*J1508,2)</f>
        <v>35784.11</v>
      </c>
      <c r="H1508" s="47">
        <v>4761.6400000000003</v>
      </c>
      <c r="I1508" s="965">
        <f>+F1508*J1508*H1508</f>
        <v>170391039.302874</v>
      </c>
      <c r="J1508" s="1413">
        <v>1.0600499999999999</v>
      </c>
      <c r="K1508" s="1414"/>
      <c r="L1508" s="218"/>
      <c r="M1508" s="1309">
        <f t="shared" ref="M1508" si="2911">+L1508*J1508</f>
        <v>0</v>
      </c>
      <c r="N1508" s="47">
        <f ca="1">IF(OR(E1508="",E1508&gt;TODAY()),0,IF(ISERROR(VLOOKUP($E1508,'TRM BanRep'!$A:$G,7,0)),0,VLOOKUP($E1508,'TRM BanRep'!$A:$G,7,0)))</f>
        <v>4761.6400000000003</v>
      </c>
      <c r="O1508" s="965">
        <f t="shared" ref="O1508" ca="1" si="2912">+L1508*J1508*N1508</f>
        <v>0</v>
      </c>
      <c r="P1508" s="964"/>
      <c r="Q1508" s="1250">
        <f>+P1508*K1508</f>
        <v>0</v>
      </c>
      <c r="R1508" s="47"/>
      <c r="S1508" s="47"/>
      <c r="T1508" s="965">
        <f t="shared" ref="T1508" si="2913">+P1508*K1508*S1508</f>
        <v>0</v>
      </c>
      <c r="U1508" s="959">
        <f t="shared" ref="U1508" si="2914">+L1508+P1508+F1508</f>
        <v>33757</v>
      </c>
      <c r="V1508" s="965">
        <f ca="1">+P1508*J1508*R1508+L1508*J1508*N1508+F1508*J1508*H1508</f>
        <v>170391039.302874</v>
      </c>
      <c r="W1508" s="968">
        <f t="shared" ref="W1508" si="2915">-(IF(-P1508*J1508*R1508&gt;-P1508*K1508*S1508,-((-P1508*J1508*R1508)-(-P1508*K1508*S1508)),0))</f>
        <v>0</v>
      </c>
      <c r="X1508" s="966">
        <f t="shared" ref="X1508" si="2916">-(IF(-P1508*J1508*R1508&lt;-P1508*K1508*S1508,-((-P1508*J1508*R1508)-(-P1508*K1508*S1508)),0))</f>
        <v>0</v>
      </c>
      <c r="Y1508" s="967"/>
      <c r="Z1508" s="220"/>
      <c r="AA1508" s="24">
        <f t="shared" ref="AA1508:AA1509" si="2917">$B$4-H1508</f>
        <v>-92.640000000000327</v>
      </c>
      <c r="AB1508" s="24">
        <f t="shared" ref="AB1508:AB1509" si="2918">+G1508*AA1508</f>
        <v>-3315039.9504000116</v>
      </c>
      <c r="AC1508" s="1628">
        <v>4556</v>
      </c>
      <c r="AD1508" s="15" t="s">
        <v>1299</v>
      </c>
      <c r="AE1508" s="24"/>
    </row>
    <row r="1509" spans="1:32" ht="15.75">
      <c r="A1509" s="961">
        <v>1420120200</v>
      </c>
      <c r="B1509" s="962" t="s">
        <v>1444</v>
      </c>
      <c r="C1509" s="963" t="s">
        <v>146</v>
      </c>
      <c r="D1509" s="963">
        <v>2000012794</v>
      </c>
      <c r="E1509" s="969">
        <v>44917</v>
      </c>
      <c r="F1509" s="964">
        <v>33757</v>
      </c>
      <c r="G1509" s="1250">
        <f>ROUND(F1509*J1509,2)</f>
        <v>35784.11</v>
      </c>
      <c r="H1509" s="47">
        <v>4761.6400000000003</v>
      </c>
      <c r="I1509" s="965">
        <f>+F1509*J1509*H1509</f>
        <v>170391039.302874</v>
      </c>
      <c r="J1509" s="1413">
        <v>1.0600499999999999</v>
      </c>
      <c r="K1509" s="1414"/>
      <c r="L1509" s="218"/>
      <c r="M1509" s="1309">
        <f t="shared" ref="M1509" si="2919">+L1509*J1509</f>
        <v>0</v>
      </c>
      <c r="N1509" s="47">
        <f ca="1">IF(OR(E1509="",E1509&gt;TODAY()),0,IF(ISERROR(VLOOKUP($E1509,'TRM BanRep'!$A:$G,7,0)),0,VLOOKUP($E1509,'TRM BanRep'!$A:$G,7,0)))</f>
        <v>4761.6400000000003</v>
      </c>
      <c r="O1509" s="965">
        <f t="shared" ref="O1509" ca="1" si="2920">+L1509*J1509*N1509</f>
        <v>0</v>
      </c>
      <c r="P1509" s="964"/>
      <c r="Q1509" s="1250">
        <f>+P1509*K1509</f>
        <v>0</v>
      </c>
      <c r="R1509" s="47"/>
      <c r="S1509" s="47"/>
      <c r="T1509" s="965">
        <f t="shared" ref="T1509" si="2921">+P1509*K1509*S1509</f>
        <v>0</v>
      </c>
      <c r="U1509" s="959">
        <f t="shared" ref="U1509" si="2922">+L1509+P1509+F1509</f>
        <v>33757</v>
      </c>
      <c r="V1509" s="965">
        <f ca="1">+P1509*J1509*R1509+L1509*J1509*N1509+F1509*J1509*H1509</f>
        <v>170391039.302874</v>
      </c>
      <c r="W1509" s="968">
        <f t="shared" ref="W1509" si="2923">-(IF(-P1509*J1509*R1509&gt;-P1509*K1509*S1509,-((-P1509*J1509*R1509)-(-P1509*K1509*S1509)),0))</f>
        <v>0</v>
      </c>
      <c r="X1509" s="966">
        <f t="shared" ref="X1509" si="2924">-(IF(-P1509*J1509*R1509&lt;-P1509*K1509*S1509,-((-P1509*J1509*R1509)-(-P1509*K1509*S1509)),0))</f>
        <v>0</v>
      </c>
      <c r="Y1509" s="967"/>
      <c r="Z1509" s="220"/>
      <c r="AA1509" s="24">
        <f t="shared" si="2917"/>
        <v>-92.640000000000327</v>
      </c>
      <c r="AB1509" s="24">
        <f t="shared" si="2918"/>
        <v>-3315039.9504000116</v>
      </c>
      <c r="AC1509" s="1628">
        <v>4556</v>
      </c>
      <c r="AD1509" s="15" t="s">
        <v>1299</v>
      </c>
      <c r="AE1509" s="24"/>
    </row>
    <row r="1510" spans="1:32" s="401" customFormat="1" outlineLevel="1">
      <c r="A1510" s="984">
        <v>1420120200</v>
      </c>
      <c r="B1510" s="985"/>
      <c r="C1510" s="986" t="s">
        <v>146</v>
      </c>
      <c r="D1510" s="986"/>
      <c r="E1510" s="987"/>
      <c r="F1510" s="988"/>
      <c r="G1510" s="1287">
        <f>ROUND(F1510*J1510,2)</f>
        <v>0</v>
      </c>
      <c r="H1510" s="335"/>
      <c r="I1510" s="989">
        <f>+F1510*J1510*H1510</f>
        <v>0</v>
      </c>
      <c r="J1510" s="1415">
        <f>J1507</f>
        <v>1.0600499999999999</v>
      </c>
      <c r="K1510" s="1416"/>
      <c r="L1510" s="336"/>
      <c r="M1510" s="1322">
        <f>+L1510*J1510</f>
        <v>0</v>
      </c>
      <c r="N1510" s="337">
        <f ca="1">IF(OR(E1510="",E1510&gt;TODAY()),0,IF(ISERROR(VLOOKUP($E1510,'TRM BanRep'!$A:$G,7,0)),0,VLOOKUP($E1510,'TRM BanRep'!$A:$G,7,0)))</f>
        <v>0</v>
      </c>
      <c r="O1510" s="990">
        <f ca="1">+L1510*J1510*N1510</f>
        <v>0</v>
      </c>
      <c r="P1510" s="991"/>
      <c r="Q1510" s="1330">
        <f>+P1510*K1510</f>
        <v>0</v>
      </c>
      <c r="R1510" s="337">
        <f>+H1507</f>
        <v>4761.6400000000003</v>
      </c>
      <c r="S1510" s="337"/>
      <c r="T1510" s="990">
        <f>+P1510*K1510*S1510</f>
        <v>0</v>
      </c>
      <c r="U1510" s="992">
        <f t="shared" si="2894"/>
        <v>0</v>
      </c>
      <c r="V1510" s="990">
        <f t="shared" ref="V1510:V1518" ca="1" si="2925">+P1510*J1510*R1510+L1510*J1510*N1510+F1510*J1510*H1510</f>
        <v>0</v>
      </c>
      <c r="W1510" s="993">
        <f t="shared" si="2909"/>
        <v>0</v>
      </c>
      <c r="X1510" s="994">
        <f t="shared" si="2865"/>
        <v>0</v>
      </c>
      <c r="Y1510" s="995"/>
      <c r="Z1510" s="220"/>
      <c r="AA1510" s="24">
        <f t="shared" ref="AA1510" si="2926">$B$4-R1510</f>
        <v>-92.640000000000327</v>
      </c>
      <c r="AB1510" s="24">
        <f>+Q1510*AA1510</f>
        <v>0</v>
      </c>
      <c r="AC1510" s="15"/>
      <c r="AD1510" s="15"/>
      <c r="AE1510" s="15"/>
    </row>
    <row r="1511" spans="1:32" s="401" customFormat="1" outlineLevel="1">
      <c r="A1511" s="1019">
        <v>1420120200</v>
      </c>
      <c r="B1511" s="1020"/>
      <c r="C1511" s="1021" t="s">
        <v>146</v>
      </c>
      <c r="D1511" s="1021"/>
      <c r="E1511" s="1022">
        <v>44927</v>
      </c>
      <c r="F1511" s="1023"/>
      <c r="G1511" s="1290"/>
      <c r="H1511" s="352"/>
      <c r="I1511" s="1024"/>
      <c r="J1511" s="1461">
        <f>VLOOKUP($E1511,'TRM BanRep'!$A:$K,11,0)</f>
        <v>1.06725</v>
      </c>
      <c r="K1511" s="1459"/>
      <c r="L1511" s="1026"/>
      <c r="M1511" s="1324">
        <f t="shared" ref="M1511" si="2927">+L1511*J1511</f>
        <v>0</v>
      </c>
      <c r="N1511" s="353">
        <f ca="1">IF(OR(E1511="",E1511&gt;TODAY()),0,IF(ISERROR(VLOOKUP($E1511,'TRM BanRep'!$A:$G,7,0)),0,VLOOKUP($E1511,'TRM BanRep'!$A:$G,7,0)))</f>
        <v>4810.2</v>
      </c>
      <c r="O1511" s="1025">
        <f t="shared" ref="O1511" ca="1" si="2928">+L1511*J1511*N1511</f>
        <v>0</v>
      </c>
      <c r="P1511" s="1026"/>
      <c r="Q1511" s="1324">
        <f t="shared" ref="Q1511" si="2929">+P1511*K1511</f>
        <v>0</v>
      </c>
      <c r="R1511" s="353"/>
      <c r="S1511" s="353"/>
      <c r="T1511" s="1025">
        <f t="shared" ref="T1511" si="2930">+P1511*K1511*S1511</f>
        <v>0</v>
      </c>
      <c r="U1511" s="1027">
        <f t="shared" si="2894"/>
        <v>0</v>
      </c>
      <c r="V1511" s="1025">
        <f t="shared" ca="1" si="2925"/>
        <v>0</v>
      </c>
      <c r="W1511" s="1028">
        <f t="shared" si="2909"/>
        <v>0</v>
      </c>
      <c r="X1511" s="1029">
        <f t="shared" si="2865"/>
        <v>0</v>
      </c>
      <c r="Y1511" s="1030"/>
      <c r="Z1511" s="220"/>
      <c r="AA1511" s="24">
        <f t="shared" ref="AA1511:AA1514" ca="1" si="2931">$B$4-N1511</f>
        <v>-141.19999999999982</v>
      </c>
      <c r="AB1511" s="24">
        <f ca="1">+M1511*AA1511</f>
        <v>0</v>
      </c>
      <c r="AC1511" s="1628"/>
      <c r="AD1511" s="15"/>
      <c r="AE1511" s="15"/>
    </row>
    <row r="1512" spans="1:32" s="401" customFormat="1" outlineLevel="1">
      <c r="A1512" s="1019">
        <v>1420120200</v>
      </c>
      <c r="B1512" s="1020"/>
      <c r="C1512" s="1021" t="s">
        <v>146</v>
      </c>
      <c r="D1512" s="1021"/>
      <c r="E1512" s="1022"/>
      <c r="F1512" s="1023"/>
      <c r="G1512" s="1290"/>
      <c r="H1512" s="352"/>
      <c r="I1512" s="1024"/>
      <c r="J1512" s="1461"/>
      <c r="K1512" s="1459"/>
      <c r="L1512" s="1026"/>
      <c r="M1512" s="1324">
        <f t="shared" ref="M1512" si="2932">+L1512*J1512</f>
        <v>0</v>
      </c>
      <c r="N1512" s="353">
        <f ca="1">IF(OR(E1512="",E1512&gt;TODAY()),0,IF(ISERROR(VLOOKUP($E1512,'TRM BanRep'!$A:$G,7,0)),0,VLOOKUP($E1512,'TRM BanRep'!$A:$G,7,0)))</f>
        <v>0</v>
      </c>
      <c r="O1512" s="1025">
        <f t="shared" ref="O1512" ca="1" si="2933">+L1512*J1512*N1512</f>
        <v>0</v>
      </c>
      <c r="P1512" s="1026"/>
      <c r="Q1512" s="1324">
        <f t="shared" ref="Q1512" si="2934">+P1512*K1512</f>
        <v>0</v>
      </c>
      <c r="R1512" s="353"/>
      <c r="S1512" s="353"/>
      <c r="T1512" s="1025">
        <f t="shared" ref="T1512" si="2935">+P1512*K1512*S1512</f>
        <v>0</v>
      </c>
      <c r="U1512" s="1027">
        <f t="shared" ref="U1512" si="2936">+L1512+P1512+F1512</f>
        <v>0</v>
      </c>
      <c r="V1512" s="1025">
        <f t="shared" ref="V1512" ca="1" si="2937">+P1512*J1512*R1512+L1512*J1512*N1512+F1512*J1512*H1512</f>
        <v>0</v>
      </c>
      <c r="W1512" s="1028">
        <f t="shared" ref="W1512" si="2938">-(IF(-P1512*J1512*R1512&gt;-P1512*K1512*S1512,-((-P1512*J1512*R1512)-(-P1512*K1512*S1512)),0))</f>
        <v>0</v>
      </c>
      <c r="X1512" s="1029">
        <f t="shared" ref="X1512" si="2939">-(IF(-P1512*J1512*R1512&lt;-P1512*K1512*S1512,-((-P1512*J1512*R1512)-(-P1512*K1512*S1512)),0))</f>
        <v>0</v>
      </c>
      <c r="Y1512" s="1030"/>
      <c r="Z1512" s="220"/>
      <c r="AA1512" s="24">
        <f t="shared" ca="1" si="2931"/>
        <v>4669</v>
      </c>
      <c r="AB1512" s="24">
        <f t="shared" ref="AB1512:AB1514" ca="1" si="2940">+M1512*AA1512</f>
        <v>0</v>
      </c>
      <c r="AC1512" s="1628"/>
      <c r="AD1512" s="15"/>
      <c r="AE1512" s="15"/>
    </row>
    <row r="1513" spans="1:32" s="401" customFormat="1" outlineLevel="1">
      <c r="A1513" s="1019">
        <v>1420120200</v>
      </c>
      <c r="B1513" s="1020"/>
      <c r="C1513" s="1021" t="s">
        <v>146</v>
      </c>
      <c r="D1513" s="1021"/>
      <c r="E1513" s="1022"/>
      <c r="F1513" s="1023"/>
      <c r="G1513" s="1290"/>
      <c r="H1513" s="352"/>
      <c r="I1513" s="1024"/>
      <c r="J1513" s="1461"/>
      <c r="K1513" s="1459"/>
      <c r="L1513" s="1026"/>
      <c r="M1513" s="1324">
        <f t="shared" ref="M1513" si="2941">+L1513*J1513</f>
        <v>0</v>
      </c>
      <c r="N1513" s="353">
        <f ca="1">IF(OR(E1513="",E1513&gt;TODAY()),0,IF(ISERROR(VLOOKUP($E1513,'TRM BanRep'!$A:$G,7,0)),0,VLOOKUP($E1513,'TRM BanRep'!$A:$G,7,0)))</f>
        <v>0</v>
      </c>
      <c r="O1513" s="1025">
        <f t="shared" ref="O1513" ca="1" si="2942">+L1513*J1513*N1513</f>
        <v>0</v>
      </c>
      <c r="P1513" s="1026"/>
      <c r="Q1513" s="1324">
        <f t="shared" ref="Q1513" si="2943">+P1513*K1513</f>
        <v>0</v>
      </c>
      <c r="R1513" s="353"/>
      <c r="S1513" s="353"/>
      <c r="T1513" s="1025">
        <f t="shared" ref="T1513" si="2944">+P1513*K1513*S1513</f>
        <v>0</v>
      </c>
      <c r="U1513" s="1027">
        <f t="shared" ref="U1513" si="2945">+L1513+P1513+F1513</f>
        <v>0</v>
      </c>
      <c r="V1513" s="1025">
        <f t="shared" ref="V1513" ca="1" si="2946">+P1513*J1513*R1513+L1513*J1513*N1513+F1513*J1513*H1513</f>
        <v>0</v>
      </c>
      <c r="W1513" s="1028">
        <f t="shared" ref="W1513" si="2947">-(IF(-P1513*J1513*R1513&gt;-P1513*K1513*S1513,-((-P1513*J1513*R1513)-(-P1513*K1513*S1513)),0))</f>
        <v>0</v>
      </c>
      <c r="X1513" s="1029">
        <f t="shared" ref="X1513" si="2948">-(IF(-P1513*J1513*R1513&lt;-P1513*K1513*S1513,-((-P1513*J1513*R1513)-(-P1513*K1513*S1513)),0))</f>
        <v>0</v>
      </c>
      <c r="Y1513" s="1030"/>
      <c r="Z1513" s="220"/>
      <c r="AA1513" s="24">
        <f t="shared" ca="1" si="2931"/>
        <v>4669</v>
      </c>
      <c r="AB1513" s="24">
        <f t="shared" ca="1" si="2940"/>
        <v>0</v>
      </c>
      <c r="AC1513" s="1628"/>
      <c r="AD1513" s="15"/>
      <c r="AE1513" s="15"/>
    </row>
    <row r="1514" spans="1:32" s="401" customFormat="1" outlineLevel="1">
      <c r="A1514" s="1019">
        <v>1420120200</v>
      </c>
      <c r="B1514" s="1020"/>
      <c r="C1514" s="1021" t="s">
        <v>146</v>
      </c>
      <c r="D1514" s="1021"/>
      <c r="E1514" s="1022"/>
      <c r="F1514" s="1023"/>
      <c r="G1514" s="1290"/>
      <c r="H1514" s="352"/>
      <c r="I1514" s="1024"/>
      <c r="J1514" s="1461"/>
      <c r="K1514" s="1459"/>
      <c r="L1514" s="1026"/>
      <c r="M1514" s="1324">
        <f t="shared" ref="M1514" si="2949">+L1514*J1514</f>
        <v>0</v>
      </c>
      <c r="N1514" s="353">
        <f ca="1">IF(OR(E1514="",E1514&gt;TODAY()),0,IF(ISERROR(VLOOKUP($E1514,'TRM BanRep'!$A:$G,7,0)),0,VLOOKUP($E1514,'TRM BanRep'!$A:$G,7,0)))</f>
        <v>0</v>
      </c>
      <c r="O1514" s="1025">
        <f t="shared" ref="O1514" ca="1" si="2950">+L1514*J1514*N1514</f>
        <v>0</v>
      </c>
      <c r="P1514" s="1026"/>
      <c r="Q1514" s="1324">
        <f t="shared" ref="Q1514" si="2951">+P1514*K1514</f>
        <v>0</v>
      </c>
      <c r="R1514" s="353"/>
      <c r="S1514" s="353"/>
      <c r="T1514" s="1025">
        <f t="shared" ref="T1514" si="2952">+P1514*K1514*S1514</f>
        <v>0</v>
      </c>
      <c r="U1514" s="1027">
        <f t="shared" si="2894"/>
        <v>0</v>
      </c>
      <c r="V1514" s="1025">
        <f t="shared" ca="1" si="2925"/>
        <v>0</v>
      </c>
      <c r="W1514" s="1028">
        <f t="shared" si="2909"/>
        <v>0</v>
      </c>
      <c r="X1514" s="1029">
        <f t="shared" si="2865"/>
        <v>0</v>
      </c>
      <c r="Y1514" s="1030"/>
      <c r="Z1514" s="220"/>
      <c r="AA1514" s="24">
        <f t="shared" ca="1" si="2931"/>
        <v>4669</v>
      </c>
      <c r="AB1514" s="24">
        <f t="shared" ca="1" si="2940"/>
        <v>0</v>
      </c>
      <c r="AC1514" s="1628"/>
      <c r="AD1514" s="15"/>
      <c r="AE1514" s="15"/>
    </row>
    <row r="1515" spans="1:32" s="401" customFormat="1">
      <c r="A1515" s="338"/>
      <c r="B1515" s="889"/>
      <c r="C1515" s="890"/>
      <c r="D1515" s="890"/>
      <c r="E1515" s="339"/>
      <c r="F1515" s="340"/>
      <c r="G1515" s="1288"/>
      <c r="H1515" s="891"/>
      <c r="I1515" s="892"/>
      <c r="J1515" s="1409"/>
      <c r="K1515" s="1410"/>
      <c r="L1515" s="341"/>
      <c r="M1515" s="1323"/>
      <c r="N1515" s="893">
        <f ca="1">IF(OR(E1515="",E1515&gt;TODAY()),0,IF(ISERROR(VLOOKUP($E1515,'TRM BanRep'!$A:$G,7,0)),0,VLOOKUP($E1515,'TRM BanRep'!$A:$G,7,0)))</f>
        <v>0</v>
      </c>
      <c r="O1515" s="897">
        <f ca="1">+L1515*N1515</f>
        <v>0</v>
      </c>
      <c r="P1515" s="342"/>
      <c r="Q1515" s="1359"/>
      <c r="R1515" s="894"/>
      <c r="S1515" s="894"/>
      <c r="T1515" s="895">
        <f t="shared" ref="T1515:T1518" si="2953">+P1515*K1515*S1515</f>
        <v>0</v>
      </c>
      <c r="U1515" s="418">
        <f t="shared" si="2894"/>
        <v>0</v>
      </c>
      <c r="V1515" s="517">
        <f t="shared" ca="1" si="2925"/>
        <v>0</v>
      </c>
      <c r="W1515" s="976">
        <f t="shared" si="2909"/>
        <v>0</v>
      </c>
      <c r="X1515" s="975">
        <f t="shared" si="2865"/>
        <v>0</v>
      </c>
      <c r="Y1515" s="896"/>
      <c r="Z1515" s="220"/>
      <c r="AA1515" s="15"/>
      <c r="AB1515" s="15"/>
      <c r="AC1515" s="15"/>
      <c r="AD1515" s="15"/>
      <c r="AE1515" s="15"/>
    </row>
    <row r="1516" spans="1:32" s="401" customFormat="1" outlineLevel="1">
      <c r="A1516" s="338">
        <v>1420120200</v>
      </c>
      <c r="B1516" s="889"/>
      <c r="C1516" s="890" t="s">
        <v>146</v>
      </c>
      <c r="D1516" s="890"/>
      <c r="E1516" s="339">
        <v>44659</v>
      </c>
      <c r="F1516" s="340"/>
      <c r="G1516" s="1288"/>
      <c r="H1516" s="891"/>
      <c r="I1516" s="892"/>
      <c r="J1516" s="1503">
        <f>VLOOKUP($E1516,'TRM BanRep'!$A:$K,11,0)</f>
        <v>1.08735</v>
      </c>
      <c r="K1516" s="1504"/>
      <c r="L1516" s="1036"/>
      <c r="M1516" s="1325">
        <f t="shared" ref="M1516" si="2954">+L1516*J1516</f>
        <v>0</v>
      </c>
      <c r="N1516" s="893">
        <f ca="1">IF(OR(E1516="",E1516&gt;TODAY()),0,IF(ISERROR(VLOOKUP($E1516,'TRM BanRep'!$A:$G,7,0)),0,VLOOKUP($E1516,'TRM BanRep'!$A:$G,7,0)))</f>
        <v>3771.83</v>
      </c>
      <c r="O1516" s="897">
        <f ca="1">+L1516*N1516</f>
        <v>0</v>
      </c>
      <c r="P1516" s="342"/>
      <c r="Q1516" s="1359"/>
      <c r="R1516" s="894"/>
      <c r="S1516" s="894"/>
      <c r="T1516" s="895">
        <f t="shared" si="2953"/>
        <v>0</v>
      </c>
      <c r="U1516" s="418">
        <f t="shared" si="2894"/>
        <v>0</v>
      </c>
      <c r="V1516" s="517">
        <f t="shared" ca="1" si="2925"/>
        <v>0</v>
      </c>
      <c r="W1516" s="976">
        <f t="shared" si="2909"/>
        <v>0</v>
      </c>
      <c r="X1516" s="975">
        <f t="shared" si="2865"/>
        <v>0</v>
      </c>
      <c r="Y1516" s="896"/>
      <c r="Z1516" s="220"/>
      <c r="AA1516" s="15"/>
      <c r="AB1516" s="15"/>
      <c r="AC1516" s="15"/>
      <c r="AD1516" s="15"/>
      <c r="AE1516" s="15"/>
    </row>
    <row r="1517" spans="1:32" s="401" customFormat="1" outlineLevel="1">
      <c r="A1517" s="338">
        <v>1420120200</v>
      </c>
      <c r="B1517" s="889"/>
      <c r="C1517" s="890" t="s">
        <v>146</v>
      </c>
      <c r="D1517" s="890"/>
      <c r="E1517" s="339">
        <v>44770</v>
      </c>
      <c r="F1517" s="340"/>
      <c r="G1517" s="1288"/>
      <c r="H1517" s="891"/>
      <c r="I1517" s="892"/>
      <c r="J1517" s="1503">
        <f>+J1516</f>
        <v>1.08735</v>
      </c>
      <c r="K1517" s="1504">
        <f>VLOOKUP($E1517,'TRM BanRep'!$A:$K,11,0)</f>
        <v>1.01555</v>
      </c>
      <c r="L1517" s="341"/>
      <c r="M1517" s="1323"/>
      <c r="N1517" s="893">
        <f ca="1">IF(OR(E1517="",E1517&gt;TODAY()),0,IF(ISERROR(VLOOKUP($E1517,'TRM BanRep'!$A:$G,7,0)),0,VLOOKUP($E1517,'TRM BanRep'!$A:$G,7,0)))</f>
        <v>4420.75</v>
      </c>
      <c r="O1517" s="897">
        <f ca="1">+L1517*N1517</f>
        <v>0</v>
      </c>
      <c r="P1517" s="342">
        <f>-L1516</f>
        <v>0</v>
      </c>
      <c r="Q1517" s="1359">
        <f t="shared" ref="Q1517" si="2955">+P1517*K1517</f>
        <v>0</v>
      </c>
      <c r="R1517" s="894">
        <f ca="1">N1516</f>
        <v>3771.83</v>
      </c>
      <c r="S1517" s="894">
        <f ca="1">IF(OR(E1517="",E1517&gt;TODAY()),0,IF(ISERROR(VLOOKUP($E1517,'TRM BanRep'!$A:$G,7,0)),0,VLOOKUP($E1517,'TRM BanRep'!$A:$G,7,0)))</f>
        <v>4420.75</v>
      </c>
      <c r="T1517" s="895">
        <f t="shared" ca="1" si="2953"/>
        <v>0</v>
      </c>
      <c r="U1517" s="418">
        <f t="shared" si="2894"/>
        <v>0</v>
      </c>
      <c r="V1517" s="517">
        <f t="shared" ca="1" si="2925"/>
        <v>0</v>
      </c>
      <c r="W1517" s="976">
        <f t="shared" ca="1" si="2909"/>
        <v>0</v>
      </c>
      <c r="X1517" s="975">
        <f t="shared" ca="1" si="2865"/>
        <v>0</v>
      </c>
      <c r="Y1517" s="896"/>
      <c r="Z1517" s="220"/>
      <c r="AA1517" s="15"/>
      <c r="AB1517" s="15"/>
      <c r="AC1517" s="15"/>
      <c r="AD1517" s="15"/>
      <c r="AE1517" s="15"/>
    </row>
    <row r="1518" spans="1:32" s="401" customFormat="1" outlineLevel="1">
      <c r="A1518" s="338">
        <v>1420120200</v>
      </c>
      <c r="B1518" s="889"/>
      <c r="C1518" s="890" t="s">
        <v>146</v>
      </c>
      <c r="D1518" s="890"/>
      <c r="E1518" s="339"/>
      <c r="F1518" s="340"/>
      <c r="G1518" s="1288"/>
      <c r="H1518" s="891"/>
      <c r="I1518" s="892"/>
      <c r="J1518" s="1409"/>
      <c r="K1518" s="1410"/>
      <c r="L1518" s="341"/>
      <c r="M1518" s="1323"/>
      <c r="N1518" s="893">
        <f ca="1">IF(OR(E1518="",E1518&gt;TODAY()),0,IF(ISERROR(VLOOKUP($E1518,'TRM BanRep'!$A:$G,7,0)),0,VLOOKUP($E1518,'TRM BanRep'!$A:$G,7,0)))</f>
        <v>0</v>
      </c>
      <c r="O1518" s="897">
        <f ca="1">+L1518*N1518</f>
        <v>0</v>
      </c>
      <c r="P1518" s="342"/>
      <c r="Q1518" s="1359"/>
      <c r="R1518" s="894"/>
      <c r="S1518" s="894"/>
      <c r="T1518" s="895">
        <f t="shared" si="2953"/>
        <v>0</v>
      </c>
      <c r="U1518" s="418">
        <f t="shared" si="2894"/>
        <v>0</v>
      </c>
      <c r="V1518" s="517">
        <f t="shared" ca="1" si="2925"/>
        <v>0</v>
      </c>
      <c r="W1518" s="976">
        <f t="shared" si="2909"/>
        <v>0</v>
      </c>
      <c r="X1518" s="975">
        <f t="shared" si="2865"/>
        <v>0</v>
      </c>
      <c r="Y1518" s="896"/>
      <c r="Z1518" s="220"/>
      <c r="AA1518" s="15"/>
      <c r="AB1518" s="15"/>
      <c r="AC1518" s="15"/>
      <c r="AD1518" s="15"/>
      <c r="AE1518" s="15"/>
    </row>
    <row r="1519" spans="1:32" s="401" customFormat="1">
      <c r="A1519" s="338"/>
      <c r="B1519" s="889"/>
      <c r="C1519" s="890"/>
      <c r="D1519" s="890"/>
      <c r="E1519" s="339"/>
      <c r="F1519" s="340"/>
      <c r="G1519" s="1288"/>
      <c r="H1519" s="891"/>
      <c r="I1519" s="892"/>
      <c r="J1519" s="1409"/>
      <c r="K1519" s="1410"/>
      <c r="L1519" s="341"/>
      <c r="M1519" s="1323"/>
      <c r="N1519" s="893"/>
      <c r="O1519" s="897"/>
      <c r="P1519" s="342"/>
      <c r="Q1519" s="1359"/>
      <c r="R1519" s="894"/>
      <c r="S1519" s="894"/>
      <c r="T1519" s="895"/>
      <c r="U1519" s="418"/>
      <c r="V1519" s="517"/>
      <c r="W1519" s="976">
        <f t="shared" si="2909"/>
        <v>0</v>
      </c>
      <c r="X1519" s="975">
        <f t="shared" si="2865"/>
        <v>0</v>
      </c>
      <c r="Y1519" s="896"/>
      <c r="Z1519" s="220"/>
      <c r="AA1519" s="15"/>
      <c r="AB1519" s="15"/>
      <c r="AC1519" s="15"/>
      <c r="AD1519" s="15"/>
      <c r="AE1519" s="15"/>
    </row>
    <row r="1520" spans="1:32" s="344" customFormat="1" ht="15.75">
      <c r="A1520" s="997">
        <v>1420120200</v>
      </c>
      <c r="B1520" s="998" t="s">
        <v>77</v>
      </c>
      <c r="C1520" s="999" t="s">
        <v>106</v>
      </c>
      <c r="D1520" s="999" t="s">
        <v>128</v>
      </c>
      <c r="E1520" s="1000"/>
      <c r="F1520" s="1001"/>
      <c r="G1520" s="1291"/>
      <c r="H1520" s="343"/>
      <c r="I1520" s="1002">
        <v>30565867293</v>
      </c>
      <c r="J1520" s="1417"/>
      <c r="K1520" s="1418"/>
      <c r="L1520" s="1003"/>
      <c r="M1520" s="1326"/>
      <c r="N1520" s="343"/>
      <c r="O1520" s="1002">
        <f>+L1520*N1520</f>
        <v>0</v>
      </c>
      <c r="P1520" s="1001"/>
      <c r="Q1520" s="1291"/>
      <c r="R1520" s="343"/>
      <c r="S1520" s="343"/>
      <c r="T1520" s="1002">
        <f>+P1520*R1520</f>
        <v>0</v>
      </c>
      <c r="U1520" s="1001">
        <f t="shared" ref="U1520:U1528" si="2956">+L1520+P1520+F1520</f>
        <v>0</v>
      </c>
      <c r="V1520" s="1937">
        <f>+I1520+T1520+O1520</f>
        <v>30565867293</v>
      </c>
      <c r="W1520" s="968"/>
      <c r="X1520" s="966"/>
      <c r="Y1520" s="967"/>
      <c r="Z1520" s="220"/>
      <c r="AA1520" s="24"/>
      <c r="AB1520" s="24"/>
      <c r="AC1520" s="24"/>
      <c r="AD1520" s="24"/>
      <c r="AE1520" s="24"/>
      <c r="AF1520" s="24">
        <v>4522765</v>
      </c>
    </row>
    <row r="1521" spans="1:31" s="302" customFormat="1" ht="15.75" outlineLevel="1">
      <c r="A1521" s="979">
        <v>1420120200</v>
      </c>
      <c r="B1521" s="980" t="s">
        <v>129</v>
      </c>
      <c r="C1521" s="981" t="s">
        <v>106</v>
      </c>
      <c r="D1521" s="981" t="s">
        <v>128</v>
      </c>
      <c r="E1521" s="1004"/>
      <c r="F1521" s="982"/>
      <c r="G1521" s="1286"/>
      <c r="H1521" s="857"/>
      <c r="I1521" s="1005">
        <f t="shared" ref="I1521:I1528" si="2957">+F1521*H1521</f>
        <v>0</v>
      </c>
      <c r="J1521" s="1419"/>
      <c r="K1521" s="1420"/>
      <c r="L1521" s="1006"/>
      <c r="M1521" s="1327"/>
      <c r="N1521" s="898"/>
      <c r="O1521" s="1007"/>
      <c r="P1521" s="1008"/>
      <c r="Q1521" s="1360"/>
      <c r="R1521" s="899"/>
      <c r="S1521" s="899"/>
      <c r="T1521" s="1009"/>
      <c r="U1521" s="1010">
        <f t="shared" si="2956"/>
        <v>0</v>
      </c>
      <c r="V1521" s="983">
        <v>-440946507</v>
      </c>
      <c r="W1521" s="968"/>
      <c r="X1521" s="966"/>
      <c r="Y1521" s="967"/>
      <c r="Z1521" s="220"/>
      <c r="AA1521" s="24"/>
      <c r="AB1521" s="24"/>
      <c r="AC1521" s="24"/>
      <c r="AD1521" s="24"/>
      <c r="AE1521" s="24"/>
    </row>
    <row r="1522" spans="1:31" s="302" customFormat="1" ht="15.75" outlineLevel="1">
      <c r="A1522" s="979">
        <v>1420120200</v>
      </c>
      <c r="B1522" s="980" t="s">
        <v>130</v>
      </c>
      <c r="C1522" s="981" t="s">
        <v>106</v>
      </c>
      <c r="D1522" s="981" t="s">
        <v>128</v>
      </c>
      <c r="E1522" s="1004"/>
      <c r="F1522" s="982"/>
      <c r="G1522" s="1286"/>
      <c r="H1522" s="857"/>
      <c r="I1522" s="1005">
        <f t="shared" si="2957"/>
        <v>0</v>
      </c>
      <c r="J1522" s="1419"/>
      <c r="K1522" s="1420"/>
      <c r="L1522" s="1006"/>
      <c r="M1522" s="1327"/>
      <c r="N1522" s="898"/>
      <c r="O1522" s="1007"/>
      <c r="P1522" s="1008"/>
      <c r="Q1522" s="1360"/>
      <c r="R1522" s="899"/>
      <c r="S1522" s="899"/>
      <c r="T1522" s="1009"/>
      <c r="U1522" s="1010">
        <f t="shared" si="2956"/>
        <v>0</v>
      </c>
      <c r="V1522" s="983">
        <v>-697730355</v>
      </c>
      <c r="W1522" s="968"/>
      <c r="X1522" s="966"/>
      <c r="Y1522" s="967"/>
      <c r="Z1522" s="220"/>
      <c r="AA1522" s="24"/>
      <c r="AB1522" s="24"/>
      <c r="AC1522" s="24"/>
      <c r="AD1522" s="24"/>
      <c r="AE1522" s="24"/>
    </row>
    <row r="1523" spans="1:31" s="302" customFormat="1" ht="15.75" outlineLevel="1">
      <c r="A1523" s="979">
        <v>1420120200</v>
      </c>
      <c r="B1523" s="980" t="s">
        <v>131</v>
      </c>
      <c r="C1523" s="981" t="s">
        <v>106</v>
      </c>
      <c r="D1523" s="981" t="s">
        <v>128</v>
      </c>
      <c r="E1523" s="1004"/>
      <c r="F1523" s="982"/>
      <c r="G1523" s="1286"/>
      <c r="H1523" s="857"/>
      <c r="I1523" s="1005">
        <f t="shared" si="2957"/>
        <v>0</v>
      </c>
      <c r="J1523" s="1419"/>
      <c r="K1523" s="1420"/>
      <c r="L1523" s="1006"/>
      <c r="M1523" s="1327"/>
      <c r="N1523" s="898"/>
      <c r="O1523" s="1007"/>
      <c r="P1523" s="1008"/>
      <c r="Q1523" s="1360"/>
      <c r="R1523" s="899"/>
      <c r="S1523" s="899"/>
      <c r="T1523" s="1009"/>
      <c r="U1523" s="1010">
        <f t="shared" si="2956"/>
        <v>0</v>
      </c>
      <c r="V1523" s="983">
        <v>-1243571096</v>
      </c>
      <c r="W1523" s="968"/>
      <c r="X1523" s="966"/>
      <c r="Y1523" s="967"/>
      <c r="Z1523" s="220"/>
      <c r="AA1523" s="24"/>
      <c r="AB1523" s="24"/>
      <c r="AC1523" s="24"/>
      <c r="AD1523" s="24"/>
      <c r="AE1523" s="24"/>
    </row>
    <row r="1524" spans="1:31" s="302" customFormat="1" ht="15.75" outlineLevel="1">
      <c r="A1524" s="979">
        <v>1420120200</v>
      </c>
      <c r="B1524" s="980" t="s">
        <v>132</v>
      </c>
      <c r="C1524" s="981" t="s">
        <v>106</v>
      </c>
      <c r="D1524" s="981" t="s">
        <v>128</v>
      </c>
      <c r="E1524" s="1004"/>
      <c r="F1524" s="982"/>
      <c r="G1524" s="1286"/>
      <c r="H1524" s="857"/>
      <c r="I1524" s="1005">
        <f t="shared" si="2957"/>
        <v>0</v>
      </c>
      <c r="J1524" s="1419"/>
      <c r="K1524" s="1420"/>
      <c r="L1524" s="1006"/>
      <c r="M1524" s="1327"/>
      <c r="N1524" s="898"/>
      <c r="O1524" s="1007"/>
      <c r="P1524" s="1008"/>
      <c r="Q1524" s="1360"/>
      <c r="R1524" s="899"/>
      <c r="S1524" s="899"/>
      <c r="T1524" s="1009"/>
      <c r="U1524" s="1010">
        <f t="shared" si="2956"/>
        <v>0</v>
      </c>
      <c r="V1524" s="983">
        <v>-7317635895</v>
      </c>
      <c r="W1524" s="968"/>
      <c r="X1524" s="966"/>
      <c r="Y1524" s="967"/>
      <c r="Z1524" s="220"/>
      <c r="AA1524" s="24"/>
      <c r="AB1524" s="24"/>
      <c r="AC1524" s="24"/>
      <c r="AD1524" s="24"/>
      <c r="AE1524" s="24"/>
    </row>
    <row r="1525" spans="1:31" s="302" customFormat="1" ht="15.75" outlineLevel="1">
      <c r="A1525" s="979">
        <v>1420120200</v>
      </c>
      <c r="B1525" s="980" t="s">
        <v>133</v>
      </c>
      <c r="C1525" s="981" t="s">
        <v>106</v>
      </c>
      <c r="D1525" s="981" t="s">
        <v>128</v>
      </c>
      <c r="E1525" s="1004"/>
      <c r="F1525" s="982"/>
      <c r="G1525" s="1286"/>
      <c r="H1525" s="857"/>
      <c r="I1525" s="1005">
        <f t="shared" si="2957"/>
        <v>0</v>
      </c>
      <c r="J1525" s="1419"/>
      <c r="K1525" s="1420"/>
      <c r="L1525" s="1006"/>
      <c r="M1525" s="1327"/>
      <c r="N1525" s="898"/>
      <c r="O1525" s="1007"/>
      <c r="P1525" s="1008"/>
      <c r="Q1525" s="1360"/>
      <c r="R1525" s="899"/>
      <c r="S1525" s="899"/>
      <c r="T1525" s="1009"/>
      <c r="U1525" s="1010">
        <f t="shared" si="2956"/>
        <v>0</v>
      </c>
      <c r="V1525" s="983">
        <v>0</v>
      </c>
      <c r="W1525" s="968"/>
      <c r="X1525" s="966"/>
      <c r="Y1525" s="967"/>
      <c r="Z1525" s="220"/>
      <c r="AA1525" s="24"/>
      <c r="AB1525" s="24"/>
      <c r="AC1525" s="24"/>
      <c r="AD1525" s="24"/>
      <c r="AE1525" s="24"/>
    </row>
    <row r="1526" spans="1:31" s="302" customFormat="1" ht="15.75" outlineLevel="1">
      <c r="A1526" s="979">
        <v>1420120200</v>
      </c>
      <c r="B1526" s="980" t="s">
        <v>134</v>
      </c>
      <c r="C1526" s="981" t="s">
        <v>106</v>
      </c>
      <c r="D1526" s="981" t="s">
        <v>128</v>
      </c>
      <c r="E1526" s="1004"/>
      <c r="F1526" s="982"/>
      <c r="G1526" s="1286"/>
      <c r="H1526" s="857"/>
      <c r="I1526" s="1005">
        <f t="shared" si="2957"/>
        <v>0</v>
      </c>
      <c r="J1526" s="1419"/>
      <c r="K1526" s="1420"/>
      <c r="L1526" s="1006"/>
      <c r="M1526" s="1327"/>
      <c r="N1526" s="898"/>
      <c r="O1526" s="1007">
        <f>+L1526*N1526</f>
        <v>0</v>
      </c>
      <c r="P1526" s="1008"/>
      <c r="Q1526" s="1360"/>
      <c r="R1526" s="899"/>
      <c r="S1526" s="899"/>
      <c r="T1526" s="1009">
        <f>+P1526*R1526</f>
        <v>0</v>
      </c>
      <c r="U1526" s="1010">
        <f t="shared" si="2956"/>
        <v>0</v>
      </c>
      <c r="V1526" s="983">
        <v>0</v>
      </c>
      <c r="W1526" s="968"/>
      <c r="X1526" s="966"/>
      <c r="Y1526" s="967"/>
      <c r="Z1526" s="220"/>
      <c r="AA1526" s="24"/>
      <c r="AB1526" s="24"/>
      <c r="AC1526" s="24"/>
      <c r="AD1526" s="24"/>
      <c r="AE1526" s="24"/>
    </row>
    <row r="1527" spans="1:31" s="302" customFormat="1" ht="15.75" outlineLevel="1">
      <c r="A1527" s="979">
        <v>1420120200</v>
      </c>
      <c r="B1527" s="980" t="s">
        <v>135</v>
      </c>
      <c r="C1527" s="981" t="s">
        <v>106</v>
      </c>
      <c r="D1527" s="981" t="s">
        <v>128</v>
      </c>
      <c r="E1527" s="1004"/>
      <c r="F1527" s="982"/>
      <c r="G1527" s="1286"/>
      <c r="H1527" s="857"/>
      <c r="I1527" s="1005">
        <f t="shared" si="2957"/>
        <v>0</v>
      </c>
      <c r="J1527" s="1419"/>
      <c r="K1527" s="1420"/>
      <c r="L1527" s="1006"/>
      <c r="M1527" s="1327"/>
      <c r="N1527" s="898"/>
      <c r="O1527" s="1007">
        <f>+L1527*N1527</f>
        <v>0</v>
      </c>
      <c r="P1527" s="1008"/>
      <c r="Q1527" s="1360"/>
      <c r="R1527" s="899"/>
      <c r="S1527" s="899"/>
      <c r="T1527" s="1009">
        <f>+P1527*R1527</f>
        <v>0</v>
      </c>
      <c r="U1527" s="1010">
        <f t="shared" si="2956"/>
        <v>0</v>
      </c>
      <c r="V1527" s="983">
        <v>0</v>
      </c>
      <c r="W1527" s="968"/>
      <c r="X1527" s="966"/>
      <c r="Y1527" s="967"/>
      <c r="Z1527" s="220"/>
      <c r="AA1527" s="24"/>
      <c r="AB1527" s="24"/>
      <c r="AC1527" s="24"/>
      <c r="AD1527" s="24"/>
      <c r="AE1527" s="24"/>
    </row>
    <row r="1528" spans="1:31" s="302" customFormat="1" ht="15.75" outlineLevel="1">
      <c r="A1528" s="979">
        <v>1420120200</v>
      </c>
      <c r="B1528" s="980" t="s">
        <v>136</v>
      </c>
      <c r="C1528" s="981" t="s">
        <v>106</v>
      </c>
      <c r="D1528" s="981" t="s">
        <v>128</v>
      </c>
      <c r="E1528" s="1004"/>
      <c r="F1528" s="982"/>
      <c r="G1528" s="1286"/>
      <c r="H1528" s="857"/>
      <c r="I1528" s="1005">
        <f t="shared" si="2957"/>
        <v>0</v>
      </c>
      <c r="J1528" s="1419"/>
      <c r="K1528" s="1420"/>
      <c r="L1528" s="1006"/>
      <c r="M1528" s="1327"/>
      <c r="N1528" s="898"/>
      <c r="O1528" s="1007">
        <f>+L1528*N1528</f>
        <v>0</v>
      </c>
      <c r="P1528" s="1008"/>
      <c r="Q1528" s="1360"/>
      <c r="R1528" s="899"/>
      <c r="S1528" s="899"/>
      <c r="T1528" s="1009">
        <f>+P1528*R1528</f>
        <v>0</v>
      </c>
      <c r="U1528" s="1010">
        <f t="shared" si="2956"/>
        <v>0</v>
      </c>
      <c r="V1528" s="983">
        <v>0</v>
      </c>
      <c r="W1528" s="968"/>
      <c r="X1528" s="966"/>
      <c r="Y1528" s="967"/>
      <c r="Z1528" s="220"/>
      <c r="AA1528" s="24"/>
      <c r="AB1528" s="24"/>
      <c r="AC1528" s="24"/>
      <c r="AD1528" s="24"/>
      <c r="AE1528" s="24"/>
    </row>
    <row r="1529" spans="1:31" s="302" customFormat="1" ht="15.75" outlineLevel="1">
      <c r="A1529" s="979">
        <v>1420120200</v>
      </c>
      <c r="B1529" s="980" t="s">
        <v>137</v>
      </c>
      <c r="C1529" s="981" t="s">
        <v>106</v>
      </c>
      <c r="D1529" s="981" t="s">
        <v>128</v>
      </c>
      <c r="E1529" s="1004"/>
      <c r="F1529" s="982"/>
      <c r="G1529" s="1286"/>
      <c r="H1529" s="857"/>
      <c r="I1529" s="1005"/>
      <c r="J1529" s="1419"/>
      <c r="K1529" s="1420"/>
      <c r="L1529" s="1006"/>
      <c r="M1529" s="1327"/>
      <c r="N1529" s="898"/>
      <c r="O1529" s="1007"/>
      <c r="P1529" s="1008"/>
      <c r="Q1529" s="1360"/>
      <c r="R1529" s="899"/>
      <c r="S1529" s="899"/>
      <c r="T1529" s="1009"/>
      <c r="U1529" s="1010"/>
      <c r="V1529" s="983">
        <v>0</v>
      </c>
      <c r="W1529" s="968"/>
      <c r="X1529" s="966"/>
      <c r="Y1529" s="967"/>
      <c r="Z1529" s="220"/>
      <c r="AA1529" s="24"/>
      <c r="AB1529" s="24"/>
      <c r="AC1529" s="24"/>
      <c r="AD1529" s="24"/>
      <c r="AE1529" s="24"/>
    </row>
    <row r="1530" spans="1:31" s="302" customFormat="1" ht="15.75" outlineLevel="1">
      <c r="A1530" s="979">
        <v>1420120200</v>
      </c>
      <c r="B1530" s="980" t="s">
        <v>138</v>
      </c>
      <c r="C1530" s="981" t="s">
        <v>106</v>
      </c>
      <c r="D1530" s="981" t="s">
        <v>128</v>
      </c>
      <c r="E1530" s="1004"/>
      <c r="F1530" s="982"/>
      <c r="G1530" s="1286"/>
      <c r="H1530" s="857"/>
      <c r="I1530" s="1005"/>
      <c r="J1530" s="1419"/>
      <c r="K1530" s="1420"/>
      <c r="L1530" s="1006"/>
      <c r="M1530" s="1327"/>
      <c r="N1530" s="898"/>
      <c r="O1530" s="1007"/>
      <c r="P1530" s="1008"/>
      <c r="Q1530" s="1360"/>
      <c r="R1530" s="899"/>
      <c r="S1530" s="899"/>
      <c r="T1530" s="1009"/>
      <c r="U1530" s="1010"/>
      <c r="V1530" s="983">
        <v>0</v>
      </c>
      <c r="W1530" s="968"/>
      <c r="X1530" s="966"/>
      <c r="Y1530" s="967"/>
      <c r="Z1530" s="220"/>
      <c r="AA1530" s="24"/>
      <c r="AB1530" s="24"/>
      <c r="AC1530" s="24"/>
      <c r="AD1530" s="24"/>
      <c r="AE1530" s="24"/>
    </row>
    <row r="1531" spans="1:31" s="302" customFormat="1" ht="15.75" outlineLevel="1">
      <c r="A1531" s="979">
        <v>1420120200</v>
      </c>
      <c r="B1531" s="980" t="s">
        <v>139</v>
      </c>
      <c r="C1531" s="981" t="s">
        <v>106</v>
      </c>
      <c r="D1531" s="981" t="s">
        <v>128</v>
      </c>
      <c r="E1531" s="1004"/>
      <c r="F1531" s="982"/>
      <c r="G1531" s="1286"/>
      <c r="H1531" s="857"/>
      <c r="I1531" s="1005"/>
      <c r="J1531" s="1419"/>
      <c r="K1531" s="1420"/>
      <c r="L1531" s="1006"/>
      <c r="M1531" s="1327"/>
      <c r="N1531" s="898"/>
      <c r="O1531" s="1007"/>
      <c r="P1531" s="1008"/>
      <c r="Q1531" s="1360"/>
      <c r="R1531" s="899"/>
      <c r="S1531" s="899"/>
      <c r="T1531" s="1009"/>
      <c r="U1531" s="1010"/>
      <c r="V1531" s="983">
        <v>0</v>
      </c>
      <c r="W1531" s="968"/>
      <c r="X1531" s="966"/>
      <c r="Y1531" s="967"/>
      <c r="Z1531" s="220"/>
      <c r="AA1531" s="24"/>
      <c r="AB1531" s="24"/>
      <c r="AC1531" s="24"/>
      <c r="AD1531" s="24"/>
      <c r="AE1531" s="24"/>
    </row>
    <row r="1532" spans="1:31" s="302" customFormat="1" ht="15.75" outlineLevel="1">
      <c r="A1532" s="979">
        <v>1420120200</v>
      </c>
      <c r="B1532" s="980" t="s">
        <v>140</v>
      </c>
      <c r="C1532" s="981" t="s">
        <v>106</v>
      </c>
      <c r="D1532" s="981" t="s">
        <v>128</v>
      </c>
      <c r="E1532" s="1004"/>
      <c r="F1532" s="982"/>
      <c r="G1532" s="1286"/>
      <c r="H1532" s="857"/>
      <c r="I1532" s="1005"/>
      <c r="J1532" s="1419"/>
      <c r="K1532" s="1420"/>
      <c r="L1532" s="1006"/>
      <c r="M1532" s="1327"/>
      <c r="N1532" s="898"/>
      <c r="O1532" s="1007"/>
      <c r="P1532" s="1008"/>
      <c r="Q1532" s="1360"/>
      <c r="R1532" s="899"/>
      <c r="S1532" s="899"/>
      <c r="T1532" s="1009"/>
      <c r="U1532" s="1010"/>
      <c r="V1532" s="983">
        <v>0</v>
      </c>
      <c r="W1532" s="968"/>
      <c r="X1532" s="966"/>
      <c r="Y1532" s="967"/>
      <c r="Z1532" s="220"/>
      <c r="AA1532" s="24"/>
      <c r="AB1532" s="24"/>
      <c r="AC1532" s="24"/>
      <c r="AD1532" s="24"/>
      <c r="AE1532" s="24"/>
    </row>
    <row r="1533" spans="1:31" ht="15.75" thickBot="1">
      <c r="A1533" s="55"/>
      <c r="B1533" s="509"/>
      <c r="C1533" s="510"/>
      <c r="D1533" s="510"/>
      <c r="E1533" s="219"/>
      <c r="F1533" s="416"/>
      <c r="G1533" s="1251"/>
      <c r="H1533" s="676"/>
      <c r="I1533" s="681">
        <f>+F1533*H1533</f>
        <v>0</v>
      </c>
      <c r="J1533" s="1421"/>
      <c r="K1533" s="1422"/>
      <c r="L1533" s="438"/>
      <c r="M1533" s="1302"/>
      <c r="N1533" s="504"/>
      <c r="O1533" s="682">
        <f>+L1533*N1533</f>
        <v>0</v>
      </c>
      <c r="P1533" s="431"/>
      <c r="Q1533" s="514"/>
      <c r="R1533" s="515"/>
      <c r="S1533" s="515"/>
      <c r="T1533" s="562">
        <f>+P1533*R1533</f>
        <v>0</v>
      </c>
      <c r="U1533" s="418"/>
      <c r="V1533" s="517"/>
      <c r="W1533" s="976">
        <f>IF((-P1533*R1533)-(-P1533*S1533)&gt;0,(-P1533*R1533)-(-P1533*S1533),0)</f>
        <v>0</v>
      </c>
      <c r="X1533" s="975">
        <f>IF((-P1533*R1533)-(-P1533*S1533)&lt;0,(-P1533*R1533)-(-P1533*S1533),0)</f>
        <v>0</v>
      </c>
      <c r="Y1533" s="519"/>
      <c r="AA1533" s="24"/>
      <c r="AB1533" s="24"/>
      <c r="AC1533" s="24"/>
      <c r="AD1533" s="24"/>
      <c r="AE1533" s="24"/>
    </row>
    <row r="1534" spans="1:31" s="252" customFormat="1" ht="19.5" thickBot="1">
      <c r="A1534" s="900" t="s">
        <v>141</v>
      </c>
      <c r="B1534" s="901"/>
      <c r="C1534" s="902"/>
      <c r="D1534" s="902"/>
      <c r="E1534" s="903"/>
      <c r="F1534" s="904">
        <f>SUM(F1464:F1533)</f>
        <v>4544095.93</v>
      </c>
      <c r="G1534" s="1292"/>
      <c r="H1534" s="905"/>
      <c r="I1534" s="906">
        <f>SUM(I1464:I1533)</f>
        <v>53178021072.834259</v>
      </c>
      <c r="J1534" s="1373"/>
      <c r="K1534" s="1373"/>
      <c r="L1534" s="907">
        <f>SUM(L1464:L1533)</f>
        <v>3039850.54</v>
      </c>
      <c r="M1534" s="1328"/>
      <c r="N1534" s="908"/>
      <c r="O1534" s="909">
        <f ca="1">SUM(O1464:O1533)</f>
        <v>14723893771.535</v>
      </c>
      <c r="P1534" s="910">
        <f>SUM(P1464:P1533)</f>
        <v>-83265.72</v>
      </c>
      <c r="Q1534" s="1361"/>
      <c r="R1534" s="911"/>
      <c r="S1534" s="911"/>
      <c r="T1534" s="912">
        <f ca="1">SUM(T1464:T1533)</f>
        <v>-387331808.36880004</v>
      </c>
      <c r="U1534" s="913">
        <f>SUM(U1464:U1533)</f>
        <v>7500680.75</v>
      </c>
      <c r="V1534" s="914">
        <f ca="1">SUM(V1464:V1533)</f>
        <v>57802125691.21125</v>
      </c>
      <c r="W1534" s="915">
        <f ca="1">SUM(W1464:W1533)</f>
        <v>22859087.70599997</v>
      </c>
      <c r="X1534" s="916">
        <f ca="1">SUM(X1464:X1533)</f>
        <v>-10285595.916800007</v>
      </c>
      <c r="Y1534" s="917"/>
      <c r="Z1534" s="1073"/>
      <c r="AA1534" s="213"/>
      <c r="AB1534" s="213"/>
      <c r="AC1534" s="213"/>
      <c r="AD1534" s="213"/>
      <c r="AE1534" s="213"/>
    </row>
    <row r="1535" spans="1:31" ht="15.75" thickBot="1">
      <c r="W1535" s="9"/>
      <c r="X1535" s="9"/>
      <c r="Y1535" s="345"/>
      <c r="AA1535" s="24"/>
      <c r="AB1535" s="24"/>
      <c r="AC1535" s="24"/>
      <c r="AD1535" s="24"/>
      <c r="AE1535" s="24"/>
    </row>
    <row r="1536" spans="1:31" s="27" customFormat="1" ht="21">
      <c r="A1536" s="827" t="s">
        <v>142</v>
      </c>
      <c r="B1536" s="828"/>
      <c r="C1536" s="2558" t="s">
        <v>57</v>
      </c>
      <c r="D1536" s="2560" t="s">
        <v>59</v>
      </c>
      <c r="E1536" s="2562" t="s">
        <v>58</v>
      </c>
      <c r="F1536" s="2564" t="str">
        <f>+F6</f>
        <v>SALDO FISCAL 31/12/2022</v>
      </c>
      <c r="G1536" s="2565"/>
      <c r="H1536" s="2565"/>
      <c r="I1536" s="2566"/>
      <c r="J1536" s="2567" t="str">
        <f>J6</f>
        <v>Tasa Mon Extranj</v>
      </c>
      <c r="K1536" s="2568"/>
      <c r="L1536" s="2569" t="str">
        <f>+L6</f>
        <v>ENTRADAS</v>
      </c>
      <c r="M1536" s="2570"/>
      <c r="N1536" s="2570"/>
      <c r="O1536" s="2571"/>
      <c r="P1536" s="2572" t="str">
        <f>+P6</f>
        <v>SALIDAS</v>
      </c>
      <c r="Q1536" s="2573"/>
      <c r="R1536" s="2573"/>
      <c r="S1536" s="2573"/>
      <c r="T1536" s="2574"/>
      <c r="U1536" s="2575" t="s">
        <v>62</v>
      </c>
      <c r="V1536" s="2576"/>
      <c r="W1536" s="2577" t="s">
        <v>63</v>
      </c>
      <c r="X1536" s="2578"/>
      <c r="Y1536" s="2579"/>
      <c r="Z1536" s="44"/>
      <c r="AA1536" s="213"/>
      <c r="AB1536" s="213"/>
      <c r="AC1536" s="213"/>
      <c r="AD1536" s="213"/>
      <c r="AE1536" s="213"/>
    </row>
    <row r="1537" spans="1:31" s="216" customFormat="1" ht="15.75" thickBot="1">
      <c r="A1537" s="253" t="s">
        <v>87</v>
      </c>
      <c r="B1537" s="254" t="s">
        <v>88</v>
      </c>
      <c r="C1537" s="2559"/>
      <c r="D1537" s="2561"/>
      <c r="E1537" s="2563"/>
      <c r="F1537" s="30" t="str">
        <f>F7</f>
        <v>MON/EX</v>
      </c>
      <c r="G1537" s="1249" t="str">
        <f>G7</f>
        <v>USD</v>
      </c>
      <c r="H1537" s="31" t="str">
        <f>H7</f>
        <v>TRM CIERRE</v>
      </c>
      <c r="I1537" s="32" t="str">
        <f>I7</f>
        <v>SALDO PESOS</v>
      </c>
      <c r="J1537" s="1423" t="str">
        <f>J7</f>
        <v>Inicial</v>
      </c>
      <c r="K1537" s="1338" t="str">
        <f t="shared" ref="K1537:X1537" si="2958">K7</f>
        <v>Pago</v>
      </c>
      <c r="L1537" s="33" t="str">
        <f t="shared" si="2958"/>
        <v>ENTRADAS MON/EX</v>
      </c>
      <c r="M1537" s="1297" t="str">
        <f t="shared" si="2958"/>
        <v>USD</v>
      </c>
      <c r="N1537" s="34" t="str">
        <f t="shared" si="2958"/>
        <v>TRM INICIAL</v>
      </c>
      <c r="O1537" s="35" t="str">
        <f t="shared" si="2958"/>
        <v>ENTRADAS PESOS</v>
      </c>
      <c r="P1537" s="36" t="str">
        <f t="shared" si="2958"/>
        <v>PAGOS MON/EX</v>
      </c>
      <c r="Q1537" s="1338" t="str">
        <f t="shared" si="2958"/>
        <v>USD</v>
      </c>
      <c r="R1537" s="37" t="str">
        <f t="shared" si="2958"/>
        <v>TRM INICIAL</v>
      </c>
      <c r="S1537" s="37" t="str">
        <f t="shared" si="2958"/>
        <v>TRM PAGO</v>
      </c>
      <c r="T1537" s="38" t="str">
        <f t="shared" si="2958"/>
        <v>PAGO EN PESOS</v>
      </c>
      <c r="U1537" s="39" t="str">
        <f t="shared" si="2958"/>
        <v xml:space="preserve"> SALDO MON/EX</v>
      </c>
      <c r="V1537" s="40" t="str">
        <f t="shared" si="2958"/>
        <v>SALDO  PESOS</v>
      </c>
      <c r="W1537" s="41" t="str">
        <f t="shared" si="2958"/>
        <v>GASTO</v>
      </c>
      <c r="X1537" s="42" t="str">
        <f t="shared" si="2958"/>
        <v>INGRESO</v>
      </c>
      <c r="Y1537" s="43"/>
      <c r="Z1537" s="214"/>
      <c r="AA1537" s="213"/>
      <c r="AB1537" s="213"/>
      <c r="AC1537" s="213"/>
      <c r="AD1537" s="213"/>
      <c r="AE1537" s="213"/>
    </row>
    <row r="1538" spans="1:31" ht="15.75" hidden="1" outlineLevel="1">
      <c r="A1538" s="961">
        <v>2401011000</v>
      </c>
      <c r="B1538" s="962" t="s">
        <v>2267</v>
      </c>
      <c r="C1538" s="963" t="s">
        <v>64</v>
      </c>
      <c r="D1538" s="963">
        <v>5100010159</v>
      </c>
      <c r="E1538" s="969">
        <v>44901</v>
      </c>
      <c r="F1538" s="964">
        <v>7450.08</v>
      </c>
      <c r="G1538" s="1250">
        <f>ROUND(F1538*J1538,2)</f>
        <v>7450.08</v>
      </c>
      <c r="H1538" s="47">
        <v>4812.37</v>
      </c>
      <c r="I1538" s="965">
        <f>+F1538*J1538*H1538</f>
        <v>35852541.489599995</v>
      </c>
      <c r="J1538" s="773">
        <v>1</v>
      </c>
      <c r="K1538" s="1377">
        <v>1</v>
      </c>
      <c r="L1538" s="218"/>
      <c r="M1538" s="1309">
        <f t="shared" ref="M1538" si="2959">+L1538*J1538</f>
        <v>0</v>
      </c>
      <c r="N1538" s="47"/>
      <c r="O1538" s="965">
        <f t="shared" ref="O1538" si="2960">+L1538*J1538*N1538</f>
        <v>0</v>
      </c>
      <c r="P1538" s="964"/>
      <c r="Q1538" s="1250">
        <f>+P1538*K1538</f>
        <v>0</v>
      </c>
      <c r="R1538" s="47"/>
      <c r="S1538" s="47"/>
      <c r="T1538" s="965">
        <f t="shared" ref="T1538" si="2961">+P1538*K1538*S1538</f>
        <v>0</v>
      </c>
      <c r="U1538" s="959">
        <f>+L1538+P1538+F1538</f>
        <v>7450.08</v>
      </c>
      <c r="V1538" s="960">
        <f>+P1538*J1538*R1538+L1538*J1538*N1538+F1538*J1538*H1538</f>
        <v>35852541.489599995</v>
      </c>
      <c r="W1538" s="968">
        <f t="shared" ref="W1538:W1736" si="2962">-(IF(-P1538*J1538*R1538&lt;-P1538*K1538*S1538,(-P1538*J1538*R1538)-(-P1538*K1538*S1538),0))</f>
        <v>0</v>
      </c>
      <c r="X1538" s="966">
        <f t="shared" ref="X1538:X1736" si="2963">-(IF(-P1538*J1538*R1538&gt;-P1538*K1538*S1538,(-P1538*J1538*R1538)-(-P1538*K1538*S1538),0))</f>
        <v>0</v>
      </c>
      <c r="Y1538" s="967"/>
      <c r="Z1538" s="220"/>
      <c r="AA1538" s="325"/>
      <c r="AB1538" s="325"/>
      <c r="AC1538" s="325"/>
      <c r="AD1538" s="333"/>
      <c r="AE1538" s="333"/>
    </row>
    <row r="1539" spans="1:31" ht="15.75" hidden="1" outlineLevel="1">
      <c r="A1539" s="961">
        <v>2401011000</v>
      </c>
      <c r="B1539" s="962" t="s">
        <v>1452</v>
      </c>
      <c r="C1539" s="963" t="s">
        <v>64</v>
      </c>
      <c r="D1539" s="963">
        <v>5100010280</v>
      </c>
      <c r="E1539" s="969">
        <v>44907</v>
      </c>
      <c r="F1539" s="964">
        <v>4109.8599999999997</v>
      </c>
      <c r="G1539" s="1250">
        <f t="shared" ref="G1539:G1544" si="2964">ROUND(F1539*J1539,2)</f>
        <v>4109.8599999999997</v>
      </c>
      <c r="H1539" s="47">
        <v>4815.99</v>
      </c>
      <c r="I1539" s="965">
        <f t="shared" ref="I1539:I1544" si="2965">+F1539*J1539*H1539</f>
        <v>19793044.661399998</v>
      </c>
      <c r="J1539" s="964">
        <v>1</v>
      </c>
      <c r="K1539" s="1454">
        <v>1</v>
      </c>
      <c r="L1539" s="218"/>
      <c r="M1539" s="1309">
        <f t="shared" ref="M1539:M1763" si="2966">+L1539*J1539</f>
        <v>0</v>
      </c>
      <c r="N1539" s="47"/>
      <c r="O1539" s="965">
        <f t="shared" ref="O1539:O1763" si="2967">+L1539*J1539*N1539</f>
        <v>0</v>
      </c>
      <c r="P1539" s="964"/>
      <c r="Q1539" s="1250">
        <f t="shared" ref="Q1539:Q1763" si="2968">+P1539*K1539</f>
        <v>0</v>
      </c>
      <c r="R1539" s="47"/>
      <c r="S1539" s="47"/>
      <c r="T1539" s="965">
        <f t="shared" ref="T1539:T1763" si="2969">+P1539*K1539*S1539</f>
        <v>0</v>
      </c>
      <c r="U1539" s="959">
        <f t="shared" ref="U1539:U1763" si="2970">+L1539+P1539+F1539</f>
        <v>4109.8599999999997</v>
      </c>
      <c r="V1539" s="960">
        <f t="shared" ref="V1539:V1763" si="2971">+P1539*J1539*R1539+L1539*J1539*N1539+F1539*J1539*H1539</f>
        <v>19793044.661399998</v>
      </c>
      <c r="W1539" s="968">
        <f t="shared" si="2962"/>
        <v>0</v>
      </c>
      <c r="X1539" s="966">
        <f t="shared" si="2963"/>
        <v>0</v>
      </c>
      <c r="Y1539" s="967"/>
      <c r="Z1539" s="220"/>
      <c r="AA1539" s="325"/>
      <c r="AB1539" s="325"/>
      <c r="AC1539" s="325"/>
      <c r="AD1539" s="333"/>
      <c r="AE1539" s="333"/>
    </row>
    <row r="1540" spans="1:31" ht="15.75" hidden="1" outlineLevel="1">
      <c r="A1540" s="961">
        <v>2401011000</v>
      </c>
      <c r="B1540" s="962" t="s">
        <v>2268</v>
      </c>
      <c r="C1540" s="963" t="s">
        <v>64</v>
      </c>
      <c r="D1540" s="963">
        <v>5100010352</v>
      </c>
      <c r="E1540" s="969">
        <v>44904</v>
      </c>
      <c r="F1540" s="964">
        <v>16704.68</v>
      </c>
      <c r="G1540" s="1250">
        <f t="shared" si="2964"/>
        <v>16704.68</v>
      </c>
      <c r="H1540" s="47">
        <v>4825.83</v>
      </c>
      <c r="I1540" s="965">
        <f t="shared" si="2965"/>
        <v>80613945.884399995</v>
      </c>
      <c r="J1540" s="964">
        <v>1</v>
      </c>
      <c r="K1540" s="1454">
        <v>1</v>
      </c>
      <c r="L1540" s="218"/>
      <c r="M1540" s="1309">
        <f t="shared" si="2966"/>
        <v>0</v>
      </c>
      <c r="N1540" s="47"/>
      <c r="O1540" s="965">
        <f t="shared" si="2967"/>
        <v>0</v>
      </c>
      <c r="P1540" s="964"/>
      <c r="Q1540" s="1250">
        <f t="shared" si="2968"/>
        <v>0</v>
      </c>
      <c r="R1540" s="47"/>
      <c r="S1540" s="47"/>
      <c r="T1540" s="965">
        <f t="shared" si="2969"/>
        <v>0</v>
      </c>
      <c r="U1540" s="959">
        <f t="shared" si="2970"/>
        <v>16704.68</v>
      </c>
      <c r="V1540" s="960">
        <f t="shared" si="2971"/>
        <v>80613945.884399995</v>
      </c>
      <c r="W1540" s="968">
        <f t="shared" si="2962"/>
        <v>0</v>
      </c>
      <c r="X1540" s="966">
        <f t="shared" si="2963"/>
        <v>0</v>
      </c>
      <c r="Y1540" s="967"/>
      <c r="Z1540" s="220"/>
      <c r="AA1540" s="325"/>
      <c r="AB1540" s="325"/>
      <c r="AC1540" s="325"/>
      <c r="AD1540" s="333"/>
      <c r="AE1540" s="333"/>
    </row>
    <row r="1541" spans="1:31" ht="15.75" hidden="1" outlineLevel="1">
      <c r="A1541" s="961">
        <v>2401011000</v>
      </c>
      <c r="B1541" s="962" t="s">
        <v>2269</v>
      </c>
      <c r="C1541" s="963" t="s">
        <v>64</v>
      </c>
      <c r="D1541" s="963">
        <v>5100010500</v>
      </c>
      <c r="E1541" s="969">
        <v>44910</v>
      </c>
      <c r="F1541" s="964">
        <v>4994.91</v>
      </c>
      <c r="G1541" s="1250">
        <f t="shared" si="2964"/>
        <v>4994.91</v>
      </c>
      <c r="H1541" s="47">
        <v>4778.28</v>
      </c>
      <c r="I1541" s="965">
        <f t="shared" si="2965"/>
        <v>23867078.554799996</v>
      </c>
      <c r="J1541" s="964">
        <v>1</v>
      </c>
      <c r="K1541" s="1454">
        <v>1</v>
      </c>
      <c r="L1541" s="218"/>
      <c r="M1541" s="1309">
        <f t="shared" si="2966"/>
        <v>0</v>
      </c>
      <c r="N1541" s="47"/>
      <c r="O1541" s="965">
        <f t="shared" si="2967"/>
        <v>0</v>
      </c>
      <c r="P1541" s="964"/>
      <c r="Q1541" s="1250">
        <f t="shared" si="2968"/>
        <v>0</v>
      </c>
      <c r="R1541" s="47"/>
      <c r="S1541" s="47"/>
      <c r="T1541" s="965">
        <f t="shared" si="2969"/>
        <v>0</v>
      </c>
      <c r="U1541" s="959">
        <f t="shared" si="2970"/>
        <v>4994.91</v>
      </c>
      <c r="V1541" s="960">
        <f t="shared" si="2971"/>
        <v>23867078.554799996</v>
      </c>
      <c r="W1541" s="968">
        <f t="shared" si="2962"/>
        <v>0</v>
      </c>
      <c r="X1541" s="966">
        <f t="shared" si="2963"/>
        <v>0</v>
      </c>
      <c r="Y1541" s="967"/>
      <c r="Z1541" s="220"/>
      <c r="AA1541" s="325"/>
      <c r="AB1541" s="325"/>
      <c r="AC1541" s="325"/>
      <c r="AD1541" s="333"/>
      <c r="AE1541" s="333"/>
    </row>
    <row r="1542" spans="1:31" ht="15.75" hidden="1" outlineLevel="1">
      <c r="A1542" s="961">
        <v>2401011000</v>
      </c>
      <c r="B1542" s="962" t="s">
        <v>2270</v>
      </c>
      <c r="C1542" s="963" t="s">
        <v>64</v>
      </c>
      <c r="D1542" s="963">
        <v>5100010561</v>
      </c>
      <c r="E1542" s="969">
        <v>44910</v>
      </c>
      <c r="F1542" s="964">
        <v>4994.91</v>
      </c>
      <c r="G1542" s="1250">
        <f t="shared" si="2964"/>
        <v>4994.91</v>
      </c>
      <c r="H1542" s="47">
        <v>4778.28</v>
      </c>
      <c r="I1542" s="965">
        <f t="shared" si="2965"/>
        <v>23867078.554799996</v>
      </c>
      <c r="J1542" s="964">
        <v>1</v>
      </c>
      <c r="K1542" s="1454">
        <v>1</v>
      </c>
      <c r="L1542" s="218"/>
      <c r="M1542" s="1309">
        <f t="shared" si="2966"/>
        <v>0</v>
      </c>
      <c r="N1542" s="47"/>
      <c r="O1542" s="965">
        <f t="shared" si="2967"/>
        <v>0</v>
      </c>
      <c r="P1542" s="964"/>
      <c r="Q1542" s="1250">
        <f t="shared" si="2968"/>
        <v>0</v>
      </c>
      <c r="R1542" s="47"/>
      <c r="S1542" s="47"/>
      <c r="T1542" s="965">
        <f t="shared" si="2969"/>
        <v>0</v>
      </c>
      <c r="U1542" s="959">
        <f t="shared" si="2970"/>
        <v>4994.91</v>
      </c>
      <c r="V1542" s="960">
        <f t="shared" si="2971"/>
        <v>23867078.554799996</v>
      </c>
      <c r="W1542" s="968">
        <f t="shared" si="2962"/>
        <v>0</v>
      </c>
      <c r="X1542" s="966">
        <f t="shared" si="2963"/>
        <v>0</v>
      </c>
      <c r="Y1542" s="967"/>
      <c r="Z1542" s="220"/>
      <c r="AA1542" s="325"/>
      <c r="AB1542" s="325"/>
      <c r="AC1542" s="325"/>
      <c r="AD1542" s="333"/>
      <c r="AE1542" s="333"/>
    </row>
    <row r="1543" spans="1:31" ht="15.75" hidden="1" outlineLevel="1">
      <c r="A1543" s="961">
        <v>2401011000</v>
      </c>
      <c r="B1543" s="962" t="s">
        <v>2271</v>
      </c>
      <c r="C1543" s="963" t="s">
        <v>64</v>
      </c>
      <c r="D1543" s="963">
        <v>5100010619</v>
      </c>
      <c r="E1543" s="969">
        <v>44914</v>
      </c>
      <c r="F1543" s="964">
        <v>41742.5</v>
      </c>
      <c r="G1543" s="1250">
        <f t="shared" si="2964"/>
        <v>41742.5</v>
      </c>
      <c r="H1543" s="47">
        <v>4802.4799999999996</v>
      </c>
      <c r="I1543" s="965">
        <f t="shared" si="2965"/>
        <v>200467521.39999998</v>
      </c>
      <c r="J1543" s="964">
        <v>1</v>
      </c>
      <c r="K1543" s="1454">
        <v>1</v>
      </c>
      <c r="L1543" s="218"/>
      <c r="M1543" s="1309">
        <f t="shared" si="2966"/>
        <v>0</v>
      </c>
      <c r="N1543" s="47"/>
      <c r="O1543" s="965">
        <f t="shared" si="2967"/>
        <v>0</v>
      </c>
      <c r="P1543" s="964"/>
      <c r="Q1543" s="1250">
        <f t="shared" si="2968"/>
        <v>0</v>
      </c>
      <c r="R1543" s="47"/>
      <c r="S1543" s="47"/>
      <c r="T1543" s="965">
        <f t="shared" si="2969"/>
        <v>0</v>
      </c>
      <c r="U1543" s="959">
        <f t="shared" si="2970"/>
        <v>41742.5</v>
      </c>
      <c r="V1543" s="960">
        <f t="shared" si="2971"/>
        <v>200467521.39999998</v>
      </c>
      <c r="W1543" s="968">
        <f t="shared" si="2962"/>
        <v>0</v>
      </c>
      <c r="X1543" s="966">
        <f t="shared" si="2963"/>
        <v>0</v>
      </c>
      <c r="Y1543" s="967"/>
      <c r="Z1543" s="220"/>
      <c r="AA1543" s="325"/>
      <c r="AB1543" s="325"/>
      <c r="AC1543" s="325"/>
      <c r="AD1543" s="333"/>
      <c r="AE1543" s="333"/>
    </row>
    <row r="1544" spans="1:31" ht="15.75" hidden="1" outlineLevel="1">
      <c r="A1544" s="961">
        <v>2401011000</v>
      </c>
      <c r="B1544" s="962" t="s">
        <v>2272</v>
      </c>
      <c r="C1544" s="963" t="s">
        <v>64</v>
      </c>
      <c r="D1544" s="963">
        <v>5100010694</v>
      </c>
      <c r="E1544" s="969">
        <v>44914</v>
      </c>
      <c r="F1544" s="964">
        <v>4856.34</v>
      </c>
      <c r="G1544" s="1250">
        <f t="shared" si="2964"/>
        <v>4856.34</v>
      </c>
      <c r="H1544" s="47">
        <v>4802.4799999999996</v>
      </c>
      <c r="I1544" s="965">
        <f t="shared" si="2965"/>
        <v>23322475.723199997</v>
      </c>
      <c r="J1544" s="964">
        <v>1</v>
      </c>
      <c r="K1544" s="1454">
        <v>1</v>
      </c>
      <c r="L1544" s="218"/>
      <c r="M1544" s="1309">
        <f t="shared" si="2966"/>
        <v>0</v>
      </c>
      <c r="N1544" s="47"/>
      <c r="O1544" s="965">
        <f t="shared" si="2967"/>
        <v>0</v>
      </c>
      <c r="P1544" s="964"/>
      <c r="Q1544" s="1250">
        <f t="shared" si="2968"/>
        <v>0</v>
      </c>
      <c r="R1544" s="47"/>
      <c r="S1544" s="47"/>
      <c r="T1544" s="965">
        <f t="shared" si="2969"/>
        <v>0</v>
      </c>
      <c r="U1544" s="959">
        <f t="shared" si="2970"/>
        <v>4856.34</v>
      </c>
      <c r="V1544" s="960">
        <f t="shared" si="2971"/>
        <v>23322475.723199997</v>
      </c>
      <c r="W1544" s="968">
        <f t="shared" si="2962"/>
        <v>0</v>
      </c>
      <c r="X1544" s="966">
        <f t="shared" si="2963"/>
        <v>0</v>
      </c>
      <c r="Y1544" s="967"/>
      <c r="Z1544" s="220"/>
      <c r="AA1544" s="325"/>
      <c r="AB1544" s="325"/>
      <c r="AC1544" s="325"/>
      <c r="AD1544" s="333"/>
      <c r="AE1544" s="333"/>
    </row>
    <row r="1545" spans="1:31" ht="15.75" hidden="1" outlineLevel="1">
      <c r="A1545" s="961">
        <v>2401011000</v>
      </c>
      <c r="B1545" s="962" t="s">
        <v>2273</v>
      </c>
      <c r="C1545" s="963" t="s">
        <v>64</v>
      </c>
      <c r="D1545" s="963">
        <v>5100010713</v>
      </c>
      <c r="E1545" s="969">
        <v>44915</v>
      </c>
      <c r="F1545" s="964">
        <v>1675.52</v>
      </c>
      <c r="G1545" s="1250">
        <f t="shared" ref="G1545:G1547" si="2972">ROUND(F1545*J1545,2)</f>
        <v>1675.52</v>
      </c>
      <c r="H1545" s="47">
        <v>4781.28</v>
      </c>
      <c r="I1545" s="965">
        <f t="shared" ref="I1545:I1547" si="2973">+F1545*J1545*H1545</f>
        <v>8011130.2655999996</v>
      </c>
      <c r="J1545" s="964">
        <v>1</v>
      </c>
      <c r="K1545" s="1454">
        <v>1</v>
      </c>
      <c r="L1545" s="218"/>
      <c r="M1545" s="1309">
        <f t="shared" ref="M1545:M1547" si="2974">+L1545*J1545</f>
        <v>0</v>
      </c>
      <c r="N1545" s="47"/>
      <c r="O1545" s="965">
        <f t="shared" ref="O1545:O1547" si="2975">+L1545*J1545*N1545</f>
        <v>0</v>
      </c>
      <c r="P1545" s="964"/>
      <c r="Q1545" s="1250">
        <f t="shared" ref="Q1545:Q1547" si="2976">+P1545*K1545</f>
        <v>0</v>
      </c>
      <c r="R1545" s="47"/>
      <c r="S1545" s="47"/>
      <c r="T1545" s="965">
        <f t="shared" ref="T1545:T1547" si="2977">+P1545*K1545*S1545</f>
        <v>0</v>
      </c>
      <c r="U1545" s="959">
        <f t="shared" ref="U1545:U1547" si="2978">+L1545+P1545+F1545</f>
        <v>1675.52</v>
      </c>
      <c r="V1545" s="960">
        <f t="shared" ref="V1545:V1547" si="2979">+P1545*J1545*R1545+L1545*J1545*N1545+F1545*J1545*H1545</f>
        <v>8011130.2655999996</v>
      </c>
      <c r="W1545" s="968">
        <f t="shared" ref="W1545:W1547" si="2980">-(IF(-P1545*J1545*R1545&lt;-P1545*K1545*S1545,(-P1545*J1545*R1545)-(-P1545*K1545*S1545),0))</f>
        <v>0</v>
      </c>
      <c r="X1545" s="966">
        <f t="shared" ref="X1545:X1547" si="2981">-(IF(-P1545*J1545*R1545&gt;-P1545*K1545*S1545,(-P1545*J1545*R1545)-(-P1545*K1545*S1545),0))</f>
        <v>0</v>
      </c>
      <c r="Y1545" s="967"/>
      <c r="Z1545" s="220"/>
      <c r="AA1545" s="325"/>
      <c r="AB1545" s="325"/>
      <c r="AC1545" s="325"/>
      <c r="AD1545" s="333"/>
      <c r="AE1545" s="333"/>
    </row>
    <row r="1546" spans="1:31" ht="15.75" hidden="1" outlineLevel="1">
      <c r="A1546" s="961">
        <v>2401011000</v>
      </c>
      <c r="B1546" s="962" t="s">
        <v>2274</v>
      </c>
      <c r="C1546" s="963" t="s">
        <v>64</v>
      </c>
      <c r="D1546" s="963">
        <v>5100010785</v>
      </c>
      <c r="E1546" s="969">
        <v>44916</v>
      </c>
      <c r="F1546" s="964">
        <v>2236.27</v>
      </c>
      <c r="G1546" s="1250">
        <f t="shared" si="2972"/>
        <v>2236.27</v>
      </c>
      <c r="H1546" s="47">
        <v>4769.29</v>
      </c>
      <c r="I1546" s="965">
        <f t="shared" si="2973"/>
        <v>10665420.1483</v>
      </c>
      <c r="J1546" s="964">
        <v>1</v>
      </c>
      <c r="K1546" s="1454">
        <v>1</v>
      </c>
      <c r="L1546" s="218"/>
      <c r="M1546" s="1309">
        <f t="shared" si="2974"/>
        <v>0</v>
      </c>
      <c r="N1546" s="47"/>
      <c r="O1546" s="965">
        <f t="shared" si="2975"/>
        <v>0</v>
      </c>
      <c r="P1546" s="964"/>
      <c r="Q1546" s="1250">
        <f t="shared" si="2976"/>
        <v>0</v>
      </c>
      <c r="R1546" s="47"/>
      <c r="S1546" s="47"/>
      <c r="T1546" s="965">
        <f t="shared" si="2977"/>
        <v>0</v>
      </c>
      <c r="U1546" s="959">
        <f t="shared" si="2978"/>
        <v>2236.27</v>
      </c>
      <c r="V1546" s="960">
        <f t="shared" si="2979"/>
        <v>10665420.1483</v>
      </c>
      <c r="W1546" s="968">
        <f t="shared" si="2980"/>
        <v>0</v>
      </c>
      <c r="X1546" s="966">
        <f t="shared" si="2981"/>
        <v>0</v>
      </c>
      <c r="Y1546" s="967"/>
      <c r="Z1546" s="220"/>
      <c r="AA1546" s="325"/>
      <c r="AB1546" s="325"/>
      <c r="AC1546" s="325"/>
      <c r="AD1546" s="333"/>
      <c r="AE1546" s="333"/>
    </row>
    <row r="1547" spans="1:31" ht="15.75" hidden="1" outlineLevel="1">
      <c r="A1547" s="961">
        <v>2401011000</v>
      </c>
      <c r="B1547" s="962" t="s">
        <v>1453</v>
      </c>
      <c r="C1547" s="963" t="s">
        <v>64</v>
      </c>
      <c r="D1547" s="963">
        <v>5100011038</v>
      </c>
      <c r="E1547" s="969">
        <v>44922</v>
      </c>
      <c r="F1547" s="964">
        <v>1071</v>
      </c>
      <c r="G1547" s="1250">
        <f t="shared" si="2972"/>
        <v>1071</v>
      </c>
      <c r="H1547" s="47">
        <v>4745.04</v>
      </c>
      <c r="I1547" s="965">
        <f t="shared" si="2973"/>
        <v>5081937.84</v>
      </c>
      <c r="J1547" s="964">
        <v>1</v>
      </c>
      <c r="K1547" s="1454">
        <v>1</v>
      </c>
      <c r="L1547" s="218"/>
      <c r="M1547" s="1309">
        <f t="shared" si="2974"/>
        <v>0</v>
      </c>
      <c r="N1547" s="47"/>
      <c r="O1547" s="965">
        <f t="shared" si="2975"/>
        <v>0</v>
      </c>
      <c r="P1547" s="964"/>
      <c r="Q1547" s="1250">
        <f t="shared" si="2976"/>
        <v>0</v>
      </c>
      <c r="R1547" s="47"/>
      <c r="S1547" s="47"/>
      <c r="T1547" s="965">
        <f t="shared" si="2977"/>
        <v>0</v>
      </c>
      <c r="U1547" s="959">
        <f t="shared" si="2978"/>
        <v>1071</v>
      </c>
      <c r="V1547" s="960">
        <f t="shared" si="2979"/>
        <v>5081937.84</v>
      </c>
      <c r="W1547" s="968">
        <f t="shared" si="2980"/>
        <v>0</v>
      </c>
      <c r="X1547" s="966">
        <f t="shared" si="2981"/>
        <v>0</v>
      </c>
      <c r="Y1547" s="967"/>
      <c r="Z1547" s="220"/>
      <c r="AA1547" s="325"/>
      <c r="AB1547" s="325"/>
      <c r="AC1547" s="325"/>
      <c r="AD1547" s="333"/>
      <c r="AE1547" s="333"/>
    </row>
    <row r="1548" spans="1:31" s="401" customFormat="1" hidden="1" outlineLevel="1">
      <c r="A1548" s="984">
        <v>2401011000</v>
      </c>
      <c r="B1548" s="985"/>
      <c r="C1548" s="986" t="s">
        <v>64</v>
      </c>
      <c r="D1548" s="986">
        <v>2000000095</v>
      </c>
      <c r="E1548" s="987">
        <v>44931</v>
      </c>
      <c r="F1548" s="988"/>
      <c r="G1548" s="1287"/>
      <c r="H1548" s="335"/>
      <c r="I1548" s="989"/>
      <c r="J1548" s="1455">
        <v>1</v>
      </c>
      <c r="K1548" s="1456">
        <v>1</v>
      </c>
      <c r="L1548" s="336"/>
      <c r="M1548" s="1322">
        <f t="shared" si="2966"/>
        <v>0</v>
      </c>
      <c r="N1548" s="337"/>
      <c r="O1548" s="990">
        <f t="shared" si="2967"/>
        <v>0</v>
      </c>
      <c r="P1548" s="336">
        <f>-F1538</f>
        <v>-7450.08</v>
      </c>
      <c r="Q1548" s="1330">
        <f t="shared" si="2968"/>
        <v>-7450.08</v>
      </c>
      <c r="R1548" s="337">
        <f>H1538</f>
        <v>4812.37</v>
      </c>
      <c r="S1548" s="337">
        <f ca="1">IF(OR($E1548="",$E1548&gt;TODAY()),0,VLOOKUP($E1548,'TRM BanRep'!$A:$G,7,0))</f>
        <v>4924</v>
      </c>
      <c r="T1548" s="990">
        <f t="shared" ca="1" si="2969"/>
        <v>-36684193.920000002</v>
      </c>
      <c r="U1548" s="992">
        <f t="shared" si="2970"/>
        <v>-7450.08</v>
      </c>
      <c r="V1548" s="990">
        <f t="shared" si="2971"/>
        <v>-35852541.489599995</v>
      </c>
      <c r="W1548" s="993">
        <f t="shared" ca="1" si="2962"/>
        <v>831652.43040000647</v>
      </c>
      <c r="X1548" s="994">
        <f t="shared" ca="1" si="2963"/>
        <v>0</v>
      </c>
      <c r="Y1548" s="995"/>
      <c r="Z1548" s="220"/>
      <c r="AA1548" s="15"/>
      <c r="AB1548" s="15"/>
      <c r="AC1548" s="15"/>
      <c r="AD1548" s="333"/>
      <c r="AE1548" s="333"/>
    </row>
    <row r="1549" spans="1:31" s="401" customFormat="1" hidden="1" outlineLevel="1">
      <c r="A1549" s="984">
        <v>2401011000</v>
      </c>
      <c r="B1549" s="985"/>
      <c r="C1549" s="986" t="s">
        <v>64</v>
      </c>
      <c r="D1549" s="986">
        <v>2000000376</v>
      </c>
      <c r="E1549" s="987">
        <v>44937</v>
      </c>
      <c r="F1549" s="988"/>
      <c r="G1549" s="1287"/>
      <c r="H1549" s="335"/>
      <c r="I1549" s="989"/>
      <c r="J1549" s="1455">
        <v>1</v>
      </c>
      <c r="K1549" s="1456">
        <v>1</v>
      </c>
      <c r="L1549" s="336"/>
      <c r="M1549" s="1322">
        <f>+L1549*J1549</f>
        <v>0</v>
      </c>
      <c r="N1549" s="337"/>
      <c r="O1549" s="990">
        <f>+L1549*J1549*N1549</f>
        <v>0</v>
      </c>
      <c r="P1549" s="336">
        <f t="shared" ref="P1549:P1557" si="2982">-F1539</f>
        <v>-4109.8599999999997</v>
      </c>
      <c r="Q1549" s="1330">
        <f>+P1549*K1549</f>
        <v>-4109.8599999999997</v>
      </c>
      <c r="R1549" s="337">
        <f t="shared" ref="R1549:R1557" si="2983">H1539</f>
        <v>4815.99</v>
      </c>
      <c r="S1549" s="337">
        <f ca="1">IF(OR($E1549="",$E1549&gt;TODAY()),0,VLOOKUP($E1549,'TRM BanRep'!$A:$G,7,0))</f>
        <v>4807.8500000000004</v>
      </c>
      <c r="T1549" s="990">
        <f ca="1">+P1549*K1549*S1549</f>
        <v>-19759590.401000001</v>
      </c>
      <c r="U1549" s="992">
        <f>+L1549+P1549+F1549</f>
        <v>-4109.8599999999997</v>
      </c>
      <c r="V1549" s="990">
        <f>+P1549*J1549*R1549+L1549*J1549*N1549+F1549*J1549*H1549</f>
        <v>-19793044.661399998</v>
      </c>
      <c r="W1549" s="993">
        <f ca="1">-(IF(-P1549*J1549*R1549&lt;-P1549*K1549*S1549,(-P1549*J1549*R1549)-(-P1549*K1549*S1549),0))</f>
        <v>0</v>
      </c>
      <c r="X1549" s="994">
        <f ca="1">-(IF(-P1549*J1549*R1549&gt;-P1549*K1549*S1549,(-P1549*J1549*R1549)-(-P1549*K1549*S1549),0))</f>
        <v>-33454.260399997234</v>
      </c>
      <c r="Y1549" s="995"/>
      <c r="Z1549" s="220"/>
      <c r="AA1549" s="15"/>
      <c r="AB1549" s="15"/>
      <c r="AC1549" s="15"/>
      <c r="AD1549" s="333"/>
      <c r="AE1549" s="333"/>
    </row>
    <row r="1550" spans="1:31" s="401" customFormat="1" hidden="1" outlineLevel="1">
      <c r="A1550" s="984">
        <v>2401011000</v>
      </c>
      <c r="B1550" s="985"/>
      <c r="C1550" s="986" t="s">
        <v>64</v>
      </c>
      <c r="D1550" s="986">
        <v>2000000355</v>
      </c>
      <c r="E1550" s="987">
        <v>44936</v>
      </c>
      <c r="F1550" s="988"/>
      <c r="G1550" s="1287"/>
      <c r="H1550" s="335"/>
      <c r="I1550" s="989"/>
      <c r="J1550" s="1455">
        <v>1</v>
      </c>
      <c r="K1550" s="1456">
        <v>1</v>
      </c>
      <c r="L1550" s="336"/>
      <c r="M1550" s="1322">
        <f>+L1550*J1550</f>
        <v>0</v>
      </c>
      <c r="N1550" s="337"/>
      <c r="O1550" s="990">
        <f>+L1550*J1550*N1550</f>
        <v>0</v>
      </c>
      <c r="P1550" s="336">
        <f t="shared" si="2982"/>
        <v>-16704.68</v>
      </c>
      <c r="Q1550" s="1330">
        <f>+P1550*K1550</f>
        <v>-16704.68</v>
      </c>
      <c r="R1550" s="337">
        <f t="shared" si="2983"/>
        <v>4825.83</v>
      </c>
      <c r="S1550" s="337">
        <f ca="1">IF(OR($E1550="",$E1550&gt;TODAY()),0,VLOOKUP($E1550,'TRM BanRep'!$A:$G,7,0))</f>
        <v>4885.66</v>
      </c>
      <c r="T1550" s="990">
        <f ca="1">+P1550*K1550*S1550</f>
        <v>-81613386.888799995</v>
      </c>
      <c r="U1550" s="992">
        <f>+L1550+P1550+F1550</f>
        <v>-16704.68</v>
      </c>
      <c r="V1550" s="990">
        <f>+P1550*J1550*R1550+L1550*J1550*N1550+F1550*J1550*H1550</f>
        <v>-80613945.884399995</v>
      </c>
      <c r="W1550" s="993">
        <f ca="1">-(IF(-P1550*J1550*R1550&lt;-P1550*K1550*S1550,(-P1550*J1550*R1550)-(-P1550*K1550*S1550),0))</f>
        <v>999441.00439999998</v>
      </c>
      <c r="X1550" s="994">
        <f ca="1">-(IF(-P1550*J1550*R1550&gt;-P1550*K1550*S1550,(-P1550*J1550*R1550)-(-P1550*K1550*S1550),0))</f>
        <v>0</v>
      </c>
      <c r="Y1550" s="995"/>
      <c r="Z1550" s="220"/>
      <c r="AA1550" s="15"/>
      <c r="AB1550" s="15"/>
      <c r="AC1550" s="15"/>
      <c r="AD1550" s="333"/>
      <c r="AE1550" s="333"/>
    </row>
    <row r="1551" spans="1:31" s="401" customFormat="1" hidden="1" outlineLevel="1">
      <c r="A1551" s="984">
        <v>2401011000</v>
      </c>
      <c r="B1551" s="985"/>
      <c r="C1551" s="986" t="s">
        <v>64</v>
      </c>
      <c r="D1551" s="986">
        <v>2000000485</v>
      </c>
      <c r="E1551" s="987">
        <v>44942</v>
      </c>
      <c r="F1551" s="988"/>
      <c r="G1551" s="1287"/>
      <c r="H1551" s="335"/>
      <c r="I1551" s="989"/>
      <c r="J1551" s="1455">
        <v>1</v>
      </c>
      <c r="K1551" s="1456">
        <v>1</v>
      </c>
      <c r="L1551" s="336"/>
      <c r="M1551" s="1322">
        <f>+L1551*J1551</f>
        <v>0</v>
      </c>
      <c r="N1551" s="337"/>
      <c r="O1551" s="990">
        <f>+L1551*J1551*N1551</f>
        <v>0</v>
      </c>
      <c r="P1551" s="336">
        <f t="shared" si="2982"/>
        <v>-4994.91</v>
      </c>
      <c r="Q1551" s="1330">
        <f>+P1551*K1551</f>
        <v>-4994.91</v>
      </c>
      <c r="R1551" s="337">
        <f t="shared" si="2983"/>
        <v>4778.28</v>
      </c>
      <c r="S1551" s="337">
        <f ca="1">IF(OR($E1551="",$E1551&gt;TODAY()),0,VLOOKUP($E1551,'TRM BanRep'!$A:$G,7,0))</f>
        <v>4693.99</v>
      </c>
      <c r="T1551" s="990">
        <f ca="1">+P1551*K1551*S1551</f>
        <v>-23446057.590899996</v>
      </c>
      <c r="U1551" s="992">
        <f>+L1551+P1551+F1551</f>
        <v>-4994.91</v>
      </c>
      <c r="V1551" s="990">
        <f>+P1551*J1551*R1551+L1551*J1551*N1551+F1551*J1551*H1551</f>
        <v>-23867078.554799996</v>
      </c>
      <c r="W1551" s="993">
        <f ca="1">-(IF(-P1551*J1551*R1551&lt;-P1551*K1551*S1551,(-P1551*J1551*R1551)-(-P1551*K1551*S1551),0))</f>
        <v>0</v>
      </c>
      <c r="X1551" s="994">
        <f ca="1">-(IF(-P1551*J1551*R1551&gt;-P1551*K1551*S1551,(-P1551*J1551*R1551)-(-P1551*K1551*S1551),0))</f>
        <v>-421020.96389999986</v>
      </c>
      <c r="Y1551" s="995"/>
      <c r="Z1551" s="220"/>
      <c r="AA1551" s="15"/>
      <c r="AB1551" s="15"/>
      <c r="AC1551" s="15"/>
      <c r="AD1551" s="333"/>
      <c r="AE1551" s="333"/>
    </row>
    <row r="1552" spans="1:31" s="401" customFormat="1" hidden="1" outlineLevel="1">
      <c r="A1552" s="984">
        <v>2401011000</v>
      </c>
      <c r="B1552" s="985"/>
      <c r="C1552" s="986" t="s">
        <v>64</v>
      </c>
      <c r="D1552" s="986">
        <v>2000000485</v>
      </c>
      <c r="E1552" s="987">
        <v>44942</v>
      </c>
      <c r="F1552" s="988"/>
      <c r="G1552" s="1287"/>
      <c r="H1552" s="335"/>
      <c r="I1552" s="989"/>
      <c r="J1552" s="1455">
        <v>1</v>
      </c>
      <c r="K1552" s="1456">
        <v>1</v>
      </c>
      <c r="L1552" s="336"/>
      <c r="M1552" s="1322">
        <f t="shared" ref="M1552" si="2984">+L1552*J1552</f>
        <v>0</v>
      </c>
      <c r="N1552" s="337"/>
      <c r="O1552" s="990">
        <f t="shared" ref="O1552" si="2985">+L1552*J1552*N1552</f>
        <v>0</v>
      </c>
      <c r="P1552" s="336">
        <f t="shared" si="2982"/>
        <v>-4994.91</v>
      </c>
      <c r="Q1552" s="1330">
        <f t="shared" ref="Q1552" si="2986">+P1552*K1552</f>
        <v>-4994.91</v>
      </c>
      <c r="R1552" s="337">
        <f t="shared" si="2983"/>
        <v>4778.28</v>
      </c>
      <c r="S1552" s="337">
        <f ca="1">IF(OR($E1552="",$E1552&gt;TODAY()),0,VLOOKUP($E1552,'TRM BanRep'!$A:$G,7,0))</f>
        <v>4693.99</v>
      </c>
      <c r="T1552" s="990">
        <f t="shared" ref="T1552" ca="1" si="2987">+P1552*K1552*S1552</f>
        <v>-23446057.590899996</v>
      </c>
      <c r="U1552" s="992">
        <f t="shared" ref="U1552" si="2988">+L1552+P1552+F1552</f>
        <v>-4994.91</v>
      </c>
      <c r="V1552" s="990">
        <f t="shared" ref="V1552" si="2989">+P1552*J1552*R1552+L1552*J1552*N1552+F1552*J1552*H1552</f>
        <v>-23867078.554799996</v>
      </c>
      <c r="W1552" s="993">
        <f t="shared" ref="W1552" ca="1" si="2990">-(IF(-P1552*J1552*R1552&lt;-P1552*K1552*S1552,(-P1552*J1552*R1552)-(-P1552*K1552*S1552),0))</f>
        <v>0</v>
      </c>
      <c r="X1552" s="994">
        <f t="shared" ref="X1552" ca="1" si="2991">-(IF(-P1552*J1552*R1552&gt;-P1552*K1552*S1552,(-P1552*J1552*R1552)-(-P1552*K1552*S1552),0))</f>
        <v>-421020.96389999986</v>
      </c>
      <c r="Y1552" s="995"/>
      <c r="Z1552" s="220"/>
      <c r="AA1552" s="15"/>
      <c r="AB1552" s="15"/>
      <c r="AC1552" s="15"/>
      <c r="AD1552" s="333"/>
      <c r="AE1552" s="333"/>
    </row>
    <row r="1553" spans="1:31" s="401" customFormat="1" hidden="1" outlineLevel="1">
      <c r="A1553" s="984">
        <v>2401011000</v>
      </c>
      <c r="B1553" s="985"/>
      <c r="C1553" s="986" t="s">
        <v>64</v>
      </c>
      <c r="D1553" s="986">
        <v>2000000523</v>
      </c>
      <c r="E1553" s="987">
        <v>44944</v>
      </c>
      <c r="F1553" s="988"/>
      <c r="G1553" s="1287"/>
      <c r="H1553" s="335"/>
      <c r="I1553" s="989"/>
      <c r="J1553" s="1455">
        <v>1</v>
      </c>
      <c r="K1553" s="1456">
        <v>1</v>
      </c>
      <c r="L1553" s="336"/>
      <c r="M1553" s="1322">
        <f t="shared" ref="M1553:M1555" si="2992">+L1553*J1553</f>
        <v>0</v>
      </c>
      <c r="N1553" s="337"/>
      <c r="O1553" s="990">
        <f t="shared" ref="O1553:O1555" si="2993">+L1553*J1553*N1553</f>
        <v>0</v>
      </c>
      <c r="P1553" s="336">
        <f t="shared" si="2982"/>
        <v>-41742.5</v>
      </c>
      <c r="Q1553" s="1330">
        <f t="shared" ref="Q1553:Q1555" si="2994">+P1553*K1553</f>
        <v>-41742.5</v>
      </c>
      <c r="R1553" s="337">
        <f t="shared" si="2983"/>
        <v>4802.4799999999996</v>
      </c>
      <c r="S1553" s="337">
        <f ca="1">IF(OR($E1553="",$E1553&gt;TODAY()),0,VLOOKUP($E1553,'TRM BanRep'!$A:$G,7,0))</f>
        <v>4691.09</v>
      </c>
      <c r="T1553" s="990">
        <f t="shared" ref="T1553:T1555" ca="1" si="2995">+P1553*K1553*S1553</f>
        <v>-195817824.32500002</v>
      </c>
      <c r="U1553" s="992">
        <f t="shared" ref="U1553:U1555" si="2996">+L1553+P1553+F1553</f>
        <v>-41742.5</v>
      </c>
      <c r="V1553" s="990">
        <f t="shared" ref="V1553:V1555" si="2997">+P1553*J1553*R1553+L1553*J1553*N1553+F1553*J1553*H1553</f>
        <v>-200467521.39999998</v>
      </c>
      <c r="W1553" s="993">
        <f t="shared" ref="W1553:W1555" ca="1" si="2998">-(IF(-P1553*J1553*R1553&lt;-P1553*K1553*S1553,(-P1553*J1553*R1553)-(-P1553*K1553*S1553),0))</f>
        <v>0</v>
      </c>
      <c r="X1553" s="994">
        <f t="shared" ref="X1553:X1555" ca="1" si="2999">-(IF(-P1553*J1553*R1553&gt;-P1553*K1553*S1553,(-P1553*J1553*R1553)-(-P1553*K1553*S1553),0))</f>
        <v>-4649697.0749999583</v>
      </c>
      <c r="Y1553" s="995"/>
      <c r="Z1553" s="220"/>
      <c r="AA1553" s="15"/>
      <c r="AB1553" s="15"/>
      <c r="AC1553" s="15"/>
      <c r="AD1553" s="333"/>
      <c r="AE1553" s="333"/>
    </row>
    <row r="1554" spans="1:31" s="401" customFormat="1" hidden="1" outlineLevel="1">
      <c r="A1554" s="984">
        <v>2401011000</v>
      </c>
      <c r="B1554" s="985"/>
      <c r="C1554" s="986" t="s">
        <v>64</v>
      </c>
      <c r="D1554" s="986">
        <v>2000000559</v>
      </c>
      <c r="E1554" s="987">
        <v>44945</v>
      </c>
      <c r="F1554" s="988"/>
      <c r="G1554" s="1287"/>
      <c r="H1554" s="335"/>
      <c r="I1554" s="989"/>
      <c r="J1554" s="1455">
        <v>1</v>
      </c>
      <c r="K1554" s="1456">
        <v>1</v>
      </c>
      <c r="L1554" s="336"/>
      <c r="M1554" s="1322">
        <f t="shared" si="2992"/>
        <v>0</v>
      </c>
      <c r="N1554" s="337"/>
      <c r="O1554" s="990">
        <f t="shared" si="2993"/>
        <v>0</v>
      </c>
      <c r="P1554" s="336">
        <f t="shared" si="2982"/>
        <v>-4856.34</v>
      </c>
      <c r="Q1554" s="1330">
        <f t="shared" si="2994"/>
        <v>-4856.34</v>
      </c>
      <c r="R1554" s="337">
        <f t="shared" si="2983"/>
        <v>4802.4799999999996</v>
      </c>
      <c r="S1554" s="337">
        <f ca="1">IF(OR($E1554="",$E1554&gt;TODAY()),0,VLOOKUP($E1554,'TRM BanRep'!$A:$G,7,0))</f>
        <v>4702.67</v>
      </c>
      <c r="T1554" s="990">
        <f t="shared" ca="1" si="2995"/>
        <v>-22837764.4278</v>
      </c>
      <c r="U1554" s="992">
        <f t="shared" si="2996"/>
        <v>-4856.34</v>
      </c>
      <c r="V1554" s="990">
        <f t="shared" si="2997"/>
        <v>-23322475.723199997</v>
      </c>
      <c r="W1554" s="993">
        <f t="shared" ca="1" si="2998"/>
        <v>0</v>
      </c>
      <c r="X1554" s="994">
        <f t="shared" ca="1" si="2999"/>
        <v>-484711.29539999738</v>
      </c>
      <c r="Y1554" s="995"/>
      <c r="Z1554" s="220"/>
      <c r="AA1554" s="15"/>
      <c r="AB1554" s="15"/>
      <c r="AC1554" s="15"/>
      <c r="AD1554" s="333"/>
      <c r="AE1554" s="333"/>
    </row>
    <row r="1555" spans="1:31" s="401" customFormat="1" hidden="1" outlineLevel="1">
      <c r="A1555" s="984">
        <v>2401011000</v>
      </c>
      <c r="B1555" s="985"/>
      <c r="C1555" s="986" t="s">
        <v>64</v>
      </c>
      <c r="D1555" s="986">
        <v>2000000051</v>
      </c>
      <c r="E1555" s="987">
        <v>44930</v>
      </c>
      <c r="F1555" s="988"/>
      <c r="G1555" s="1287"/>
      <c r="H1555" s="335"/>
      <c r="I1555" s="989"/>
      <c r="J1555" s="1455">
        <v>1</v>
      </c>
      <c r="K1555" s="1456">
        <v>1</v>
      </c>
      <c r="L1555" s="336"/>
      <c r="M1555" s="1322">
        <f t="shared" si="2992"/>
        <v>0</v>
      </c>
      <c r="N1555" s="337"/>
      <c r="O1555" s="990">
        <f t="shared" si="2993"/>
        <v>0</v>
      </c>
      <c r="P1555" s="336">
        <f t="shared" si="2982"/>
        <v>-1675.52</v>
      </c>
      <c r="Q1555" s="1330">
        <f t="shared" si="2994"/>
        <v>-1675.52</v>
      </c>
      <c r="R1555" s="337">
        <f t="shared" si="2983"/>
        <v>4781.28</v>
      </c>
      <c r="S1555" s="337">
        <f ca="1">IF(OR($E1555="",$E1555&gt;TODAY()),0,VLOOKUP($E1555,'TRM BanRep'!$A:$G,7,0))</f>
        <v>4842.26</v>
      </c>
      <c r="T1555" s="990">
        <f t="shared" ca="1" si="2995"/>
        <v>-8113303.4752000002</v>
      </c>
      <c r="U1555" s="992">
        <f t="shared" si="2996"/>
        <v>-1675.52</v>
      </c>
      <c r="V1555" s="990">
        <f t="shared" si="2997"/>
        <v>-8011130.2655999996</v>
      </c>
      <c r="W1555" s="993">
        <f t="shared" ca="1" si="2998"/>
        <v>102173.20960000064</v>
      </c>
      <c r="X1555" s="994">
        <f t="shared" ca="1" si="2999"/>
        <v>0</v>
      </c>
      <c r="Y1555" s="995"/>
      <c r="Z1555" s="220"/>
      <c r="AA1555" s="15"/>
      <c r="AB1555" s="15"/>
      <c r="AC1555" s="15"/>
      <c r="AD1555" s="333"/>
      <c r="AE1555" s="333"/>
    </row>
    <row r="1556" spans="1:31" s="401" customFormat="1" hidden="1" outlineLevel="1">
      <c r="A1556" s="984">
        <v>2401011000</v>
      </c>
      <c r="B1556" s="985"/>
      <c r="C1556" s="986" t="s">
        <v>64</v>
      </c>
      <c r="D1556" s="986">
        <v>2000000096</v>
      </c>
      <c r="E1556" s="987">
        <v>44931</v>
      </c>
      <c r="F1556" s="988"/>
      <c r="G1556" s="1287"/>
      <c r="H1556" s="335"/>
      <c r="I1556" s="989"/>
      <c r="J1556" s="1455">
        <v>1</v>
      </c>
      <c r="K1556" s="1456">
        <v>1</v>
      </c>
      <c r="L1556" s="336"/>
      <c r="M1556" s="1322">
        <f t="shared" ref="M1556:M1557" si="3000">+L1556*J1556</f>
        <v>0</v>
      </c>
      <c r="N1556" s="337"/>
      <c r="O1556" s="990">
        <f t="shared" ref="O1556:O1557" si="3001">+L1556*J1556*N1556</f>
        <v>0</v>
      </c>
      <c r="P1556" s="336">
        <f t="shared" si="2982"/>
        <v>-2236.27</v>
      </c>
      <c r="Q1556" s="1330">
        <f t="shared" ref="Q1556:Q1557" si="3002">+P1556*K1556</f>
        <v>-2236.27</v>
      </c>
      <c r="R1556" s="337">
        <f t="shared" si="2983"/>
        <v>4769.29</v>
      </c>
      <c r="S1556" s="337">
        <f ca="1">IF(OR($E1556="",$E1556&gt;TODAY()),0,VLOOKUP($E1556,'TRM BanRep'!$A:$G,7,0))</f>
        <v>4924</v>
      </c>
      <c r="T1556" s="990">
        <f t="shared" ref="T1556:T1557" ca="1" si="3003">+P1556*K1556*S1556</f>
        <v>-11011393.48</v>
      </c>
      <c r="U1556" s="992">
        <f t="shared" ref="U1556:U1557" si="3004">+L1556+P1556+F1556</f>
        <v>-2236.27</v>
      </c>
      <c r="V1556" s="990">
        <f t="shared" ref="V1556:V1557" si="3005">+P1556*J1556*R1556+L1556*J1556*N1556+F1556*J1556*H1556</f>
        <v>-10665420.1483</v>
      </c>
      <c r="W1556" s="993">
        <f t="shared" ref="W1556:W1557" ca="1" si="3006">-(IF(-P1556*J1556*R1556&lt;-P1556*K1556*S1556,(-P1556*J1556*R1556)-(-P1556*K1556*S1556),0))</f>
        <v>345973.33170000091</v>
      </c>
      <c r="X1556" s="994">
        <f t="shared" ref="X1556:X1557" ca="1" si="3007">-(IF(-P1556*J1556*R1556&gt;-P1556*K1556*S1556,(-P1556*J1556*R1556)-(-P1556*K1556*S1556),0))</f>
        <v>0</v>
      </c>
      <c r="Y1556" s="995"/>
      <c r="Z1556" s="220"/>
      <c r="AA1556" s="15"/>
      <c r="AB1556" s="15"/>
      <c r="AC1556" s="15"/>
      <c r="AD1556" s="333"/>
      <c r="AE1556" s="333"/>
    </row>
    <row r="1557" spans="1:31" s="401" customFormat="1" hidden="1" outlineLevel="1">
      <c r="A1557" s="984">
        <v>2401011000</v>
      </c>
      <c r="B1557" s="985"/>
      <c r="C1557" s="986" t="s">
        <v>64</v>
      </c>
      <c r="D1557" s="986">
        <v>2000000402</v>
      </c>
      <c r="E1557" s="987">
        <v>44938</v>
      </c>
      <c r="F1557" s="988"/>
      <c r="G1557" s="1287"/>
      <c r="H1557" s="335"/>
      <c r="I1557" s="989"/>
      <c r="J1557" s="1455">
        <v>1</v>
      </c>
      <c r="K1557" s="1456">
        <v>1</v>
      </c>
      <c r="L1557" s="336"/>
      <c r="M1557" s="1322">
        <f t="shared" si="3000"/>
        <v>0</v>
      </c>
      <c r="N1557" s="337"/>
      <c r="O1557" s="990">
        <f t="shared" si="3001"/>
        <v>0</v>
      </c>
      <c r="P1557" s="336">
        <f t="shared" si="2982"/>
        <v>-1071</v>
      </c>
      <c r="Q1557" s="1330">
        <f t="shared" si="3002"/>
        <v>-1071</v>
      </c>
      <c r="R1557" s="337">
        <f t="shared" si="2983"/>
        <v>4745.04</v>
      </c>
      <c r="S1557" s="337">
        <f ca="1">IF(OR($E1557="",$E1557&gt;TODAY()),0,VLOOKUP($E1557,'TRM BanRep'!$A:$G,7,0))</f>
        <v>4748.54</v>
      </c>
      <c r="T1557" s="990">
        <f t="shared" ca="1" si="3003"/>
        <v>-5085686.34</v>
      </c>
      <c r="U1557" s="992">
        <f t="shared" si="3004"/>
        <v>-1071</v>
      </c>
      <c r="V1557" s="990">
        <f t="shared" si="3005"/>
        <v>-5081937.84</v>
      </c>
      <c r="W1557" s="993">
        <f t="shared" ca="1" si="3006"/>
        <v>3748.5</v>
      </c>
      <c r="X1557" s="994">
        <f t="shared" ca="1" si="3007"/>
        <v>0</v>
      </c>
      <c r="Y1557" s="995"/>
      <c r="Z1557" s="220"/>
      <c r="AA1557" s="15"/>
      <c r="AB1557" s="15"/>
      <c r="AC1557" s="15"/>
      <c r="AD1557" s="333"/>
      <c r="AE1557" s="333"/>
    </row>
    <row r="1558" spans="1:31" s="401" customFormat="1" collapsed="1">
      <c r="A1558" s="1011"/>
      <c r="B1558" s="1012"/>
      <c r="C1558" s="1013"/>
      <c r="D1558" s="1013"/>
      <c r="E1558" s="1014"/>
      <c r="F1558" s="1015"/>
      <c r="G1558" s="1293"/>
      <c r="H1558" s="346"/>
      <c r="I1558" s="1016"/>
      <c r="J1558" s="1409"/>
      <c r="K1558" s="1410"/>
      <c r="L1558" s="347"/>
      <c r="M1558" s="1329">
        <f t="shared" si="2966"/>
        <v>0</v>
      </c>
      <c r="N1558" s="348"/>
      <c r="O1558" s="897">
        <f t="shared" si="2967"/>
        <v>0</v>
      </c>
      <c r="P1558" s="1017"/>
      <c r="Q1558" s="1362">
        <f t="shared" si="2968"/>
        <v>0</v>
      </c>
      <c r="R1558" s="349"/>
      <c r="S1558" s="349"/>
      <c r="T1558" s="895">
        <f t="shared" si="2969"/>
        <v>0</v>
      </c>
      <c r="U1558" s="350">
        <f t="shared" si="2970"/>
        <v>0</v>
      </c>
      <c r="V1558" s="918">
        <f t="shared" si="2971"/>
        <v>0</v>
      </c>
      <c r="W1558" s="351">
        <f t="shared" si="2962"/>
        <v>0</v>
      </c>
      <c r="X1558" s="919">
        <f t="shared" si="2963"/>
        <v>0</v>
      </c>
      <c r="Y1558" s="1018"/>
      <c r="Z1558" s="220"/>
      <c r="AA1558" s="15"/>
      <c r="AB1558" s="15"/>
      <c r="AC1558" s="15"/>
      <c r="AD1558" s="15"/>
      <c r="AE1558" s="15"/>
    </row>
    <row r="1559" spans="1:31" s="401" customFormat="1" outlineLevel="1">
      <c r="A1559" s="1019">
        <v>2401011000</v>
      </c>
      <c r="B1559" s="1020" t="s">
        <v>2398</v>
      </c>
      <c r="C1559" s="1021" t="s">
        <v>64</v>
      </c>
      <c r="D1559" s="1021">
        <v>5100002131</v>
      </c>
      <c r="E1559" s="1022">
        <v>45006</v>
      </c>
      <c r="F1559" s="1023"/>
      <c r="G1559" s="1290"/>
      <c r="H1559" s="352"/>
      <c r="I1559" s="1024"/>
      <c r="J1559" s="1027">
        <v>1</v>
      </c>
      <c r="K1559" s="1459">
        <v>1</v>
      </c>
      <c r="L1559" s="1026">
        <v>5585.65</v>
      </c>
      <c r="M1559" s="1324">
        <f t="shared" ref="M1559" si="3008">+L1559*J1559</f>
        <v>5585.65</v>
      </c>
      <c r="N1559" s="353">
        <f ca="1">IF(OR(E1559="",E1559&gt;TODAY()),0,IF(ISERROR(VLOOKUP($E1559,'TRM BanRep'!$A:$G,7,0)),0,VLOOKUP($E1559,'TRM BanRep'!$A:$G,7,0)))</f>
        <v>4824.25</v>
      </c>
      <c r="O1559" s="1025">
        <f t="shared" ref="O1559" ca="1" si="3009">+L1559*J1559*N1559</f>
        <v>26946572.012499999</v>
      </c>
      <c r="P1559" s="1026"/>
      <c r="Q1559" s="1324">
        <f t="shared" ref="Q1559" si="3010">+P1559*K1559</f>
        <v>0</v>
      </c>
      <c r="R1559" s="353"/>
      <c r="S1559" s="353"/>
      <c r="T1559" s="1025">
        <f t="shared" ref="T1559" si="3011">+P1559*K1559*S1559</f>
        <v>0</v>
      </c>
      <c r="U1559" s="1027">
        <f t="shared" ref="U1559" si="3012">+L1559+P1559+F1559</f>
        <v>5585.65</v>
      </c>
      <c r="V1559" s="1025">
        <f t="shared" ref="V1559" ca="1" si="3013">+P1559*J1559*R1559+L1559*J1559*N1559+F1559*J1559*H1559</f>
        <v>26946572.012499999</v>
      </c>
      <c r="W1559" s="1028">
        <f t="shared" ref="W1559" si="3014">-(IF(-P1559*J1559*R1559&lt;-P1559*K1559*S1559,(-P1559*J1559*R1559)-(-P1559*K1559*S1559),0))</f>
        <v>0</v>
      </c>
      <c r="X1559" s="1029">
        <f t="shared" ref="X1559" si="3015">-(IF(-P1559*J1559*R1559&gt;-P1559*K1559*S1559,(-P1559*J1559*R1559)-(-P1559*K1559*S1559),0))</f>
        <v>0</v>
      </c>
      <c r="Y1559" s="1030"/>
      <c r="Z1559" s="220"/>
      <c r="AA1559" s="15"/>
      <c r="AB1559" s="15"/>
      <c r="AC1559" s="15"/>
      <c r="AD1559" s="333"/>
      <c r="AE1559" s="333"/>
    </row>
    <row r="1560" spans="1:31" s="401" customFormat="1" outlineLevel="1">
      <c r="A1560" s="1019">
        <v>2401011000</v>
      </c>
      <c r="B1560" s="1020" t="s">
        <v>2571</v>
      </c>
      <c r="C1560" s="1021" t="s">
        <v>64</v>
      </c>
      <c r="D1560" s="1021">
        <v>5100002639</v>
      </c>
      <c r="E1560" s="1022">
        <v>45020</v>
      </c>
      <c r="F1560" s="1023"/>
      <c r="G1560" s="1290"/>
      <c r="H1560" s="352"/>
      <c r="I1560" s="1024"/>
      <c r="J1560" s="1027">
        <v>1</v>
      </c>
      <c r="K1560" s="1459">
        <v>1</v>
      </c>
      <c r="L1560" s="1026">
        <v>4183.34</v>
      </c>
      <c r="M1560" s="1324">
        <f>+L1560*J1560</f>
        <v>4183.34</v>
      </c>
      <c r="N1560" s="353">
        <f ca="1">IF(OR(E1560="",E1560&gt;TODAY()),0,IF(ISERROR(VLOOKUP($E1560,'TRM BanRep'!$A:$G,7,0)),0,VLOOKUP($E1560,'TRM BanRep'!$A:$G,7,0)))</f>
        <v>4603</v>
      </c>
      <c r="O1560" s="1025">
        <f ca="1">+L1560*J1560*N1560</f>
        <v>19255914.02</v>
      </c>
      <c r="P1560" s="1026"/>
      <c r="Q1560" s="1324">
        <f>+P1560*K1560</f>
        <v>0</v>
      </c>
      <c r="R1560" s="353"/>
      <c r="S1560" s="353"/>
      <c r="T1560" s="1025">
        <f>+P1560*K1560*S1560</f>
        <v>0</v>
      </c>
      <c r="U1560" s="1027">
        <f>+L1560+P1560+F1560</f>
        <v>4183.34</v>
      </c>
      <c r="V1560" s="1025">
        <f ca="1">+P1560*J1560*R1560+L1560*J1560*N1560+F1560*J1560*H1560</f>
        <v>19255914.02</v>
      </c>
      <c r="W1560" s="1028">
        <f>-(IF(-P1560*J1560*R1560&lt;-P1560*K1560*S1560,(-P1560*J1560*R1560)-(-P1560*K1560*S1560),0))</f>
        <v>0</v>
      </c>
      <c r="X1560" s="1029">
        <f>-(IF(-P1560*J1560*R1560&gt;-P1560*K1560*S1560,(-P1560*J1560*R1560)-(-P1560*K1560*S1560),0))</f>
        <v>0</v>
      </c>
      <c r="Y1560" s="1030"/>
      <c r="Z1560" s="220"/>
      <c r="AA1560" s="15"/>
      <c r="AB1560" s="15"/>
      <c r="AC1560" s="15"/>
      <c r="AD1560" s="333"/>
      <c r="AE1560" s="333"/>
    </row>
    <row r="1561" spans="1:31" s="401" customFormat="1" outlineLevel="1">
      <c r="A1561" s="1019">
        <v>2401011000</v>
      </c>
      <c r="B1561" s="1020" t="s">
        <v>2572</v>
      </c>
      <c r="C1561" s="1021" t="s">
        <v>64</v>
      </c>
      <c r="D1561" s="1021">
        <v>5100002705</v>
      </c>
      <c r="E1561" s="1022">
        <v>45021</v>
      </c>
      <c r="F1561" s="1023"/>
      <c r="G1561" s="1290"/>
      <c r="H1561" s="352"/>
      <c r="I1561" s="1024"/>
      <c r="J1561" s="1027">
        <v>1</v>
      </c>
      <c r="K1561" s="1459">
        <v>1</v>
      </c>
      <c r="L1561" s="1026">
        <v>5346.9</v>
      </c>
      <c r="M1561" s="1324">
        <f>+L1561*J1561</f>
        <v>5346.9</v>
      </c>
      <c r="N1561" s="353">
        <f ca="1">IF(OR(E1561="",E1561&gt;TODAY()),0,IF(ISERROR(VLOOKUP($E1561,'TRM BanRep'!$A:$G,7,0)),0,VLOOKUP($E1561,'TRM BanRep'!$A:$G,7,0)))</f>
        <v>4587.3100000000004</v>
      </c>
      <c r="O1561" s="1025">
        <f ca="1">+L1561*J1561*N1561</f>
        <v>24527887.839000002</v>
      </c>
      <c r="P1561" s="1026"/>
      <c r="Q1561" s="1324">
        <f>+P1561*K1561</f>
        <v>0</v>
      </c>
      <c r="R1561" s="353"/>
      <c r="S1561" s="353"/>
      <c r="T1561" s="1025">
        <f>+P1561*K1561*S1561</f>
        <v>0</v>
      </c>
      <c r="U1561" s="1027">
        <f>+L1561+P1561+F1561</f>
        <v>5346.9</v>
      </c>
      <c r="V1561" s="1025">
        <f ca="1">+P1561*J1561*R1561+L1561*J1561*N1561+F1561*J1561*H1561</f>
        <v>24527887.839000002</v>
      </c>
      <c r="W1561" s="1028">
        <f>-(IF(-P1561*J1561*R1561&lt;-P1561*K1561*S1561,(-P1561*J1561*R1561)-(-P1561*K1561*S1561),0))</f>
        <v>0</v>
      </c>
      <c r="X1561" s="1029">
        <f>-(IF(-P1561*J1561*R1561&gt;-P1561*K1561*S1561,(-P1561*J1561*R1561)-(-P1561*K1561*S1561),0))</f>
        <v>0</v>
      </c>
      <c r="Y1561" s="1030"/>
      <c r="Z1561" s="220"/>
      <c r="AA1561" s="15"/>
      <c r="AB1561" s="15"/>
      <c r="AC1561" s="15"/>
      <c r="AD1561" s="333"/>
      <c r="AE1561" s="333"/>
    </row>
    <row r="1562" spans="1:31" s="401" customFormat="1" outlineLevel="1">
      <c r="A1562" s="1019">
        <v>2401011000</v>
      </c>
      <c r="B1562" s="1020" t="s">
        <v>2573</v>
      </c>
      <c r="C1562" s="1021" t="s">
        <v>64</v>
      </c>
      <c r="D1562" s="1021">
        <v>5100002790</v>
      </c>
      <c r="E1562" s="1022">
        <v>45027</v>
      </c>
      <c r="F1562" s="1023"/>
      <c r="G1562" s="1290"/>
      <c r="H1562" s="352"/>
      <c r="I1562" s="1024"/>
      <c r="J1562" s="1027">
        <v>1</v>
      </c>
      <c r="K1562" s="1459">
        <v>1</v>
      </c>
      <c r="L1562" s="1026">
        <v>14610.51</v>
      </c>
      <c r="M1562" s="1324">
        <f t="shared" ref="M1562" si="3016">+L1562*J1562</f>
        <v>14610.51</v>
      </c>
      <c r="N1562" s="353">
        <f ca="1">IF(OR(E1562="",E1562&gt;TODAY()),0,IF(ISERROR(VLOOKUP($E1562,'TRM BanRep'!$A:$G,7,0)),0,VLOOKUP($E1562,'TRM BanRep'!$A:$G,7,0)))</f>
        <v>4564.24</v>
      </c>
      <c r="O1562" s="1025">
        <f t="shared" ref="O1562" ca="1" si="3017">+L1562*J1562*N1562</f>
        <v>66685874.1624</v>
      </c>
      <c r="P1562" s="1026"/>
      <c r="Q1562" s="1324">
        <f t="shared" ref="Q1562" si="3018">+P1562*K1562</f>
        <v>0</v>
      </c>
      <c r="R1562" s="353"/>
      <c r="S1562" s="353"/>
      <c r="T1562" s="1025">
        <f t="shared" ref="T1562" si="3019">+P1562*K1562*S1562</f>
        <v>0</v>
      </c>
      <c r="U1562" s="1027">
        <f t="shared" ref="U1562" si="3020">+L1562+P1562+F1562</f>
        <v>14610.51</v>
      </c>
      <c r="V1562" s="1025">
        <f t="shared" ref="V1562" ca="1" si="3021">+P1562*J1562*R1562+L1562*J1562*N1562+F1562*J1562*H1562</f>
        <v>66685874.1624</v>
      </c>
      <c r="W1562" s="1028">
        <f t="shared" ref="W1562" si="3022">-(IF(-P1562*J1562*R1562&lt;-P1562*K1562*S1562,(-P1562*J1562*R1562)-(-P1562*K1562*S1562),0))</f>
        <v>0</v>
      </c>
      <c r="X1562" s="1029">
        <f t="shared" ref="X1562" si="3023">-(IF(-P1562*J1562*R1562&gt;-P1562*K1562*S1562,(-P1562*J1562*R1562)-(-P1562*K1562*S1562),0))</f>
        <v>0</v>
      </c>
      <c r="Y1562" s="1030"/>
      <c r="Z1562" s="220"/>
      <c r="AA1562" s="15"/>
      <c r="AB1562" s="15"/>
      <c r="AC1562" s="15"/>
      <c r="AD1562" s="333"/>
      <c r="AE1562" s="333"/>
    </row>
    <row r="1563" spans="1:31" s="401" customFormat="1" outlineLevel="1">
      <c r="A1563" s="1019">
        <v>2401011000</v>
      </c>
      <c r="B1563" s="1020" t="s">
        <v>2574</v>
      </c>
      <c r="C1563" s="1021" t="s">
        <v>64</v>
      </c>
      <c r="D1563" s="1021">
        <v>5100002792</v>
      </c>
      <c r="E1563" s="1022">
        <v>45027</v>
      </c>
      <c r="F1563" s="1023"/>
      <c r="G1563" s="1290"/>
      <c r="H1563" s="352"/>
      <c r="I1563" s="1024"/>
      <c r="J1563" s="1027">
        <v>1</v>
      </c>
      <c r="K1563" s="1459">
        <v>1</v>
      </c>
      <c r="L1563" s="1026">
        <v>2153.56</v>
      </c>
      <c r="M1563" s="1324">
        <f t="shared" ref="M1563" si="3024">+L1563*J1563</f>
        <v>2153.56</v>
      </c>
      <c r="N1563" s="353">
        <f ca="1">IF(OR(E1563="",E1563&gt;TODAY()),0,IF(ISERROR(VLOOKUP($E1563,'TRM BanRep'!$A:$G,7,0)),0,VLOOKUP($E1563,'TRM BanRep'!$A:$G,7,0)))</f>
        <v>4564.24</v>
      </c>
      <c r="O1563" s="1025">
        <f t="shared" ref="O1563" ca="1" si="3025">+L1563*J1563*N1563</f>
        <v>9829364.6943999995</v>
      </c>
      <c r="P1563" s="1026"/>
      <c r="Q1563" s="1324">
        <f t="shared" ref="Q1563" si="3026">+P1563*K1563</f>
        <v>0</v>
      </c>
      <c r="R1563" s="353"/>
      <c r="S1563" s="353"/>
      <c r="T1563" s="1025">
        <f t="shared" ref="T1563" si="3027">+P1563*K1563*S1563</f>
        <v>0</v>
      </c>
      <c r="U1563" s="1027">
        <f t="shared" ref="U1563" si="3028">+L1563+P1563+F1563</f>
        <v>2153.56</v>
      </c>
      <c r="V1563" s="1025">
        <f t="shared" ref="V1563" ca="1" si="3029">+P1563*J1563*R1563+L1563*J1563*N1563+F1563*J1563*H1563</f>
        <v>9829364.6943999995</v>
      </c>
      <c r="W1563" s="1028">
        <f t="shared" ref="W1563" si="3030">-(IF(-P1563*J1563*R1563&lt;-P1563*K1563*S1563,(-P1563*J1563*R1563)-(-P1563*K1563*S1563),0))</f>
        <v>0</v>
      </c>
      <c r="X1563" s="1029">
        <f t="shared" ref="X1563" si="3031">-(IF(-P1563*J1563*R1563&gt;-P1563*K1563*S1563,(-P1563*J1563*R1563)-(-P1563*K1563*S1563),0))</f>
        <v>0</v>
      </c>
      <c r="Y1563" s="1030"/>
      <c r="Z1563" s="220"/>
      <c r="AA1563" s="15"/>
      <c r="AB1563" s="15"/>
      <c r="AC1563" s="15"/>
      <c r="AD1563" s="333"/>
      <c r="AE1563" s="333"/>
    </row>
    <row r="1564" spans="1:31" s="401" customFormat="1" outlineLevel="1">
      <c r="A1564" s="1019">
        <v>2401011000</v>
      </c>
      <c r="B1564" s="1020" t="s">
        <v>2575</v>
      </c>
      <c r="C1564" s="1021" t="s">
        <v>64</v>
      </c>
      <c r="D1564" s="1021">
        <v>5100003004</v>
      </c>
      <c r="E1564" s="1022">
        <v>45034</v>
      </c>
      <c r="F1564" s="1023"/>
      <c r="G1564" s="1290"/>
      <c r="H1564" s="352"/>
      <c r="I1564" s="1024"/>
      <c r="J1564" s="1027">
        <v>1</v>
      </c>
      <c r="K1564" s="1459">
        <v>1</v>
      </c>
      <c r="L1564" s="1026">
        <v>1659.11</v>
      </c>
      <c r="M1564" s="1324">
        <f>+L1564*J1564</f>
        <v>1659.11</v>
      </c>
      <c r="N1564" s="353">
        <f ca="1">IF(OR(E1564="",E1564&gt;TODAY()),0,IF(ISERROR(VLOOKUP($E1564,'TRM BanRep'!$A:$G,7,0)),0,VLOOKUP($E1564,'TRM BanRep'!$A:$G,7,0)))</f>
        <v>4431.45</v>
      </c>
      <c r="O1564" s="1025">
        <f ca="1">+L1564*J1564*N1564</f>
        <v>7352263.0094999997</v>
      </c>
      <c r="P1564" s="1026"/>
      <c r="Q1564" s="1324">
        <f>+P1564*K1564</f>
        <v>0</v>
      </c>
      <c r="R1564" s="353"/>
      <c r="S1564" s="353"/>
      <c r="T1564" s="1025">
        <f>+P1564*K1564*S1564</f>
        <v>0</v>
      </c>
      <c r="U1564" s="1027">
        <f>+L1564+P1564+F1564</f>
        <v>1659.11</v>
      </c>
      <c r="V1564" s="1025">
        <f ca="1">+P1564*J1564*R1564+L1564*J1564*N1564+F1564*J1564*H1564</f>
        <v>7352263.0094999997</v>
      </c>
      <c r="W1564" s="1028">
        <f>-(IF(-P1564*J1564*R1564&lt;-P1564*K1564*S1564,(-P1564*J1564*R1564)-(-P1564*K1564*S1564),0))</f>
        <v>0</v>
      </c>
      <c r="X1564" s="1029">
        <f>-(IF(-P1564*J1564*R1564&gt;-P1564*K1564*S1564,(-P1564*J1564*R1564)-(-P1564*K1564*S1564),0))</f>
        <v>0</v>
      </c>
      <c r="Y1564" s="1030"/>
      <c r="Z1564" s="220"/>
      <c r="AA1564" s="15"/>
      <c r="AB1564" s="15"/>
      <c r="AC1564" s="15"/>
      <c r="AD1564" s="333"/>
      <c r="AE1564" s="333"/>
    </row>
    <row r="1565" spans="1:31" s="401" customFormat="1" outlineLevel="1">
      <c r="A1565" s="1019">
        <v>2401011000</v>
      </c>
      <c r="B1565" s="1020" t="s">
        <v>2576</v>
      </c>
      <c r="C1565" s="1021" t="s">
        <v>64</v>
      </c>
      <c r="D1565" s="1021">
        <v>5100003035</v>
      </c>
      <c r="E1565" s="1022">
        <v>45035</v>
      </c>
      <c r="F1565" s="1023"/>
      <c r="G1565" s="1290"/>
      <c r="H1565" s="352"/>
      <c r="I1565" s="1024"/>
      <c r="J1565" s="1027">
        <v>1</v>
      </c>
      <c r="K1565" s="1459">
        <v>1</v>
      </c>
      <c r="L1565" s="1026">
        <v>212.44</v>
      </c>
      <c r="M1565" s="1324">
        <f t="shared" ref="M1565" si="3032">+L1565*J1565</f>
        <v>212.44</v>
      </c>
      <c r="N1565" s="353">
        <f ca="1">IF(OR(E1565="",E1565&gt;TODAY()),0,IF(ISERROR(VLOOKUP($E1565,'TRM BanRep'!$A:$G,7,0)),0,VLOOKUP($E1565,'TRM BanRep'!$A:$G,7,0)))</f>
        <v>4473.07</v>
      </c>
      <c r="O1565" s="1025">
        <f t="shared" ref="O1565" ca="1" si="3033">+L1565*J1565*N1565</f>
        <v>950258.99079999991</v>
      </c>
      <c r="P1565" s="1026"/>
      <c r="Q1565" s="1324">
        <f t="shared" ref="Q1565" si="3034">+P1565*K1565</f>
        <v>0</v>
      </c>
      <c r="R1565" s="353"/>
      <c r="S1565" s="353"/>
      <c r="T1565" s="1025">
        <f t="shared" ref="T1565" si="3035">+P1565*K1565*S1565</f>
        <v>0</v>
      </c>
      <c r="U1565" s="1027">
        <f t="shared" ref="U1565" si="3036">+L1565+P1565+F1565</f>
        <v>212.44</v>
      </c>
      <c r="V1565" s="1025">
        <f t="shared" ref="V1565" ca="1" si="3037">+P1565*J1565*R1565+L1565*J1565*N1565+F1565*J1565*H1565</f>
        <v>950258.99079999991</v>
      </c>
      <c r="W1565" s="1028">
        <f t="shared" ref="W1565" si="3038">-(IF(-P1565*J1565*R1565&lt;-P1565*K1565*S1565,(-P1565*J1565*R1565)-(-P1565*K1565*S1565),0))</f>
        <v>0</v>
      </c>
      <c r="X1565" s="1029">
        <f t="shared" ref="X1565" si="3039">-(IF(-P1565*J1565*R1565&gt;-P1565*K1565*S1565,(-P1565*J1565*R1565)-(-P1565*K1565*S1565),0))</f>
        <v>0</v>
      </c>
      <c r="Y1565" s="1030"/>
      <c r="Z1565" s="220"/>
      <c r="AA1565" s="15"/>
      <c r="AB1565" s="15"/>
      <c r="AC1565" s="15"/>
      <c r="AD1565" s="333"/>
      <c r="AE1565" s="333"/>
    </row>
    <row r="1566" spans="1:31" s="401" customFormat="1" outlineLevel="1">
      <c r="A1566" s="1019">
        <v>2401011000</v>
      </c>
      <c r="B1566" s="1020" t="s">
        <v>2577</v>
      </c>
      <c r="C1566" s="1021" t="s">
        <v>64</v>
      </c>
      <c r="D1566" s="1021">
        <v>5100003052</v>
      </c>
      <c r="E1566" s="1022">
        <v>45037</v>
      </c>
      <c r="F1566" s="1023"/>
      <c r="G1566" s="1290"/>
      <c r="H1566" s="352"/>
      <c r="I1566" s="1024"/>
      <c r="J1566" s="1027">
        <v>1</v>
      </c>
      <c r="K1566" s="1459">
        <v>1</v>
      </c>
      <c r="L1566" s="1026">
        <v>1661.94</v>
      </c>
      <c r="M1566" s="1324">
        <f>+L1566*J1566</f>
        <v>1661.94</v>
      </c>
      <c r="N1566" s="353">
        <f ca="1">IF(OR(E1566="",E1566&gt;TODAY()),0,IF(ISERROR(VLOOKUP($E1566,'TRM BanRep'!$A:$G,7,0)),0,VLOOKUP($E1566,'TRM BanRep'!$A:$G,7,0)))</f>
        <v>4535.78</v>
      </c>
      <c r="O1566" s="1025">
        <f ca="1">+L1566*J1566*N1566</f>
        <v>7538194.2132000001</v>
      </c>
      <c r="P1566" s="1026"/>
      <c r="Q1566" s="1324">
        <f>+P1566*K1566</f>
        <v>0</v>
      </c>
      <c r="R1566" s="353"/>
      <c r="S1566" s="353"/>
      <c r="T1566" s="1025">
        <f>+P1566*K1566*S1566</f>
        <v>0</v>
      </c>
      <c r="U1566" s="1027">
        <f>+L1566+P1566+F1566</f>
        <v>1661.94</v>
      </c>
      <c r="V1566" s="1025">
        <f ca="1">+P1566*J1566*R1566+L1566*J1566*N1566+F1566*J1566*H1566</f>
        <v>7538194.2132000001</v>
      </c>
      <c r="W1566" s="1028">
        <f>-(IF(-P1566*J1566*R1566&lt;-P1566*K1566*S1566,(-P1566*J1566*R1566)-(-P1566*K1566*S1566),0))</f>
        <v>0</v>
      </c>
      <c r="X1566" s="1029">
        <f>-(IF(-P1566*J1566*R1566&gt;-P1566*K1566*S1566,(-P1566*J1566*R1566)-(-P1566*K1566*S1566),0))</f>
        <v>0</v>
      </c>
      <c r="Y1566" s="1030"/>
      <c r="Z1566" s="220"/>
      <c r="AA1566" s="15"/>
      <c r="AB1566" s="15"/>
      <c r="AC1566" s="15"/>
      <c r="AD1566" s="333"/>
      <c r="AE1566" s="333"/>
    </row>
    <row r="1567" spans="1:31" s="401" customFormat="1" outlineLevel="1">
      <c r="A1567" s="1019">
        <v>2401011000</v>
      </c>
      <c r="B1567" s="1020" t="s">
        <v>2578</v>
      </c>
      <c r="C1567" s="1021" t="s">
        <v>64</v>
      </c>
      <c r="D1567" s="1021">
        <v>5100003285</v>
      </c>
      <c r="E1567" s="1022">
        <v>45041</v>
      </c>
      <c r="F1567" s="1023"/>
      <c r="G1567" s="1290"/>
      <c r="H1567" s="352"/>
      <c r="I1567" s="1024"/>
      <c r="J1567" s="1027">
        <v>1</v>
      </c>
      <c r="K1567" s="1459">
        <v>1</v>
      </c>
      <c r="L1567" s="1026">
        <v>2856.42</v>
      </c>
      <c r="M1567" s="1324">
        <f>+L1567*J1567</f>
        <v>2856.42</v>
      </c>
      <c r="N1567" s="353">
        <f ca="1">IF(OR(E1567="",E1567&gt;TODAY()),0,IF(ISERROR(VLOOKUP($E1567,'TRM BanRep'!$A:$G,7,0)),0,VLOOKUP($E1567,'TRM BanRep'!$A:$G,7,0)))</f>
        <v>4482.45</v>
      </c>
      <c r="O1567" s="1025">
        <f ca="1">+L1567*J1567*N1567</f>
        <v>12803759.829</v>
      </c>
      <c r="P1567" s="1026"/>
      <c r="Q1567" s="1324">
        <f>+P1567*K1567</f>
        <v>0</v>
      </c>
      <c r="R1567" s="353"/>
      <c r="S1567" s="353"/>
      <c r="T1567" s="1025">
        <f>+P1567*K1567*S1567</f>
        <v>0</v>
      </c>
      <c r="U1567" s="1027">
        <f>+L1567+P1567+F1567</f>
        <v>2856.42</v>
      </c>
      <c r="V1567" s="1025">
        <f ca="1">+P1567*J1567*R1567+L1567*J1567*N1567+F1567*J1567*H1567</f>
        <v>12803759.829</v>
      </c>
      <c r="W1567" s="1028">
        <f>-(IF(-P1567*J1567*R1567&lt;-P1567*K1567*S1567,(-P1567*J1567*R1567)-(-P1567*K1567*S1567),0))</f>
        <v>0</v>
      </c>
      <c r="X1567" s="1029">
        <f>-(IF(-P1567*J1567*R1567&gt;-P1567*K1567*S1567,(-P1567*J1567*R1567)-(-P1567*K1567*S1567),0))</f>
        <v>0</v>
      </c>
      <c r="Y1567" s="1030"/>
      <c r="Z1567" s="220"/>
      <c r="AA1567" s="15"/>
      <c r="AB1567" s="15"/>
      <c r="AC1567" s="15"/>
      <c r="AD1567" s="333"/>
      <c r="AE1567" s="333"/>
    </row>
    <row r="1568" spans="1:31" s="401" customFormat="1" outlineLevel="1">
      <c r="A1568" s="1019">
        <v>2401011000</v>
      </c>
      <c r="B1568" s="1020" t="s">
        <v>2579</v>
      </c>
      <c r="C1568" s="1021" t="s">
        <v>64</v>
      </c>
      <c r="D1568" s="1021">
        <v>5100003349</v>
      </c>
      <c r="E1568" s="1022">
        <v>45043</v>
      </c>
      <c r="F1568" s="1023"/>
      <c r="G1568" s="1290"/>
      <c r="H1568" s="352"/>
      <c r="I1568" s="1024"/>
      <c r="J1568" s="1027">
        <v>1</v>
      </c>
      <c r="K1568" s="1459">
        <v>1</v>
      </c>
      <c r="L1568" s="1026">
        <v>178.5</v>
      </c>
      <c r="M1568" s="1324">
        <f>+L1568*J1568</f>
        <v>178.5</v>
      </c>
      <c r="N1568" s="353">
        <f ca="1">IF(OR(E1568="",E1568&gt;TODAY()),0,IF(ISERROR(VLOOKUP($E1568,'TRM BanRep'!$A:$G,7,0)),0,VLOOKUP($E1568,'TRM BanRep'!$A:$G,7,0)))</f>
        <v>4552.59</v>
      </c>
      <c r="O1568" s="1025">
        <f ca="1">+L1568*J1568*N1568</f>
        <v>812637.31500000006</v>
      </c>
      <c r="P1568" s="1026"/>
      <c r="Q1568" s="1324">
        <f>+P1568*K1568</f>
        <v>0</v>
      </c>
      <c r="R1568" s="353"/>
      <c r="S1568" s="353"/>
      <c r="T1568" s="1025">
        <f>+P1568*K1568*S1568</f>
        <v>0</v>
      </c>
      <c r="U1568" s="1027">
        <f>+L1568+P1568+F1568</f>
        <v>178.5</v>
      </c>
      <c r="V1568" s="1025">
        <f ca="1">+P1568*J1568*R1568+L1568*J1568*N1568+F1568*J1568*H1568</f>
        <v>812637.31500000006</v>
      </c>
      <c r="W1568" s="1028">
        <f>-(IF(-P1568*J1568*R1568&lt;-P1568*K1568*S1568,(-P1568*J1568*R1568)-(-P1568*K1568*S1568),0))</f>
        <v>0</v>
      </c>
      <c r="X1568" s="1029">
        <f>-(IF(-P1568*J1568*R1568&gt;-P1568*K1568*S1568,(-P1568*J1568*R1568)-(-P1568*K1568*S1568),0))</f>
        <v>0</v>
      </c>
      <c r="Y1568" s="1030"/>
      <c r="Z1568" s="220"/>
      <c r="AA1568" s="15"/>
      <c r="AB1568" s="15"/>
      <c r="AC1568" s="15"/>
      <c r="AD1568" s="333"/>
      <c r="AE1568" s="333"/>
    </row>
    <row r="1569" spans="1:31" s="401" customFormat="1" outlineLevel="1">
      <c r="A1569" s="1019">
        <v>2401011000</v>
      </c>
      <c r="B1569" s="1020" t="s">
        <v>2580</v>
      </c>
      <c r="C1569" s="1021" t="s">
        <v>64</v>
      </c>
      <c r="D1569" s="1021">
        <v>5100003410</v>
      </c>
      <c r="E1569" s="1022">
        <v>45037</v>
      </c>
      <c r="F1569" s="1023"/>
      <c r="G1569" s="1290"/>
      <c r="H1569" s="352"/>
      <c r="I1569" s="1024"/>
      <c r="J1569" s="1027">
        <v>1</v>
      </c>
      <c r="K1569" s="1459">
        <v>1</v>
      </c>
      <c r="L1569" s="1026">
        <v>1105.3399999999999</v>
      </c>
      <c r="M1569" s="1324">
        <f t="shared" ref="M1569" si="3040">+L1569*J1569</f>
        <v>1105.3399999999999</v>
      </c>
      <c r="N1569" s="353">
        <f ca="1">IF(OR(E1569="",E1569&gt;TODAY()),0,IF(ISERROR(VLOOKUP($E1569,'TRM BanRep'!$A:$G,7,0)),0,VLOOKUP($E1569,'TRM BanRep'!$A:$G,7,0)))</f>
        <v>4535.78</v>
      </c>
      <c r="O1569" s="1025">
        <f t="shared" ref="O1569" ca="1" si="3041">+L1569*J1569*N1569</f>
        <v>5013579.0651999991</v>
      </c>
      <c r="P1569" s="1026"/>
      <c r="Q1569" s="1324">
        <f t="shared" ref="Q1569" si="3042">+P1569*K1569</f>
        <v>0</v>
      </c>
      <c r="R1569" s="353"/>
      <c r="S1569" s="353"/>
      <c r="T1569" s="1025">
        <f t="shared" ref="T1569" si="3043">+P1569*K1569*S1569</f>
        <v>0</v>
      </c>
      <c r="U1569" s="1027">
        <f t="shared" ref="U1569" si="3044">+L1569+P1569+F1569</f>
        <v>1105.3399999999999</v>
      </c>
      <c r="V1569" s="1025">
        <f t="shared" ref="V1569" ca="1" si="3045">+P1569*J1569*R1569+L1569*J1569*N1569+F1569*J1569*H1569</f>
        <v>5013579.0651999991</v>
      </c>
      <c r="W1569" s="1028">
        <f t="shared" ref="W1569" si="3046">-(IF(-P1569*J1569*R1569&lt;-P1569*K1569*S1569,(-P1569*J1569*R1569)-(-P1569*K1569*S1569),0))</f>
        <v>0</v>
      </c>
      <c r="X1569" s="1029">
        <f t="shared" ref="X1569" si="3047">-(IF(-P1569*J1569*R1569&gt;-P1569*K1569*S1569,(-P1569*J1569*R1569)-(-P1569*K1569*S1569),0))</f>
        <v>0</v>
      </c>
      <c r="Y1569" s="1030"/>
      <c r="Z1569" s="220"/>
      <c r="AA1569" s="15"/>
      <c r="AB1569" s="15"/>
      <c r="AC1569" s="15"/>
      <c r="AD1569" s="333"/>
      <c r="AE1569" s="333"/>
    </row>
    <row r="1570" spans="1:31" s="401" customFormat="1" outlineLevel="1">
      <c r="A1570" s="1019">
        <v>2401011000</v>
      </c>
      <c r="B1570" s="1020"/>
      <c r="C1570" s="1021"/>
      <c r="D1570" s="1021"/>
      <c r="E1570" s="1022"/>
      <c r="F1570" s="1023"/>
      <c r="G1570" s="1290"/>
      <c r="H1570" s="352"/>
      <c r="I1570" s="1024"/>
      <c r="J1570" s="1027"/>
      <c r="K1570" s="1459"/>
      <c r="L1570" s="1026"/>
      <c r="M1570" s="1324">
        <f t="shared" si="2966"/>
        <v>0</v>
      </c>
      <c r="N1570" s="353"/>
      <c r="O1570" s="1025">
        <f t="shared" si="2967"/>
        <v>0</v>
      </c>
      <c r="P1570" s="1026"/>
      <c r="Q1570" s="1324">
        <f t="shared" si="2968"/>
        <v>0</v>
      </c>
      <c r="R1570" s="353"/>
      <c r="S1570" s="353"/>
      <c r="T1570" s="1025">
        <f t="shared" si="2969"/>
        <v>0</v>
      </c>
      <c r="U1570" s="1027">
        <f t="shared" si="2970"/>
        <v>0</v>
      </c>
      <c r="V1570" s="1025">
        <f t="shared" si="2971"/>
        <v>0</v>
      </c>
      <c r="W1570" s="1028">
        <f t="shared" si="2962"/>
        <v>0</v>
      </c>
      <c r="X1570" s="1029">
        <f t="shared" si="2963"/>
        <v>0</v>
      </c>
      <c r="Y1570" s="1030"/>
      <c r="Z1570" s="220"/>
      <c r="AA1570" s="15"/>
      <c r="AB1570" s="15"/>
      <c r="AC1570" s="15"/>
      <c r="AD1570" s="15"/>
      <c r="AE1570" s="15"/>
    </row>
    <row r="1571" spans="1:31" s="401" customFormat="1">
      <c r="A1571" s="1011"/>
      <c r="B1571" s="1012"/>
      <c r="C1571" s="1013"/>
      <c r="D1571" s="1013"/>
      <c r="E1571" s="1014"/>
      <c r="F1571" s="1015"/>
      <c r="G1571" s="1293"/>
      <c r="H1571" s="346"/>
      <c r="I1571" s="1016"/>
      <c r="J1571" s="1501"/>
      <c r="K1571" s="1502"/>
      <c r="L1571" s="1036"/>
      <c r="M1571" s="1325">
        <f t="shared" si="2966"/>
        <v>0</v>
      </c>
      <c r="N1571" s="348"/>
      <c r="O1571" s="897">
        <f t="shared" si="2967"/>
        <v>0</v>
      </c>
      <c r="P1571" s="1017"/>
      <c r="Q1571" s="1362">
        <f t="shared" si="2968"/>
        <v>0</v>
      </c>
      <c r="R1571" s="349"/>
      <c r="S1571" s="349"/>
      <c r="T1571" s="895">
        <f t="shared" si="2969"/>
        <v>0</v>
      </c>
      <c r="U1571" s="350">
        <f t="shared" si="2970"/>
        <v>0</v>
      </c>
      <c r="V1571" s="918">
        <f t="shared" si="2971"/>
        <v>0</v>
      </c>
      <c r="W1571" s="351">
        <f t="shared" si="2962"/>
        <v>0</v>
      </c>
      <c r="X1571" s="919">
        <f t="shared" si="2963"/>
        <v>0</v>
      </c>
      <c r="Y1571" s="1018"/>
      <c r="Z1571" s="220"/>
      <c r="AA1571" s="15">
        <f>SUM(U1559:U1568)</f>
        <v>38448.370000000003</v>
      </c>
      <c r="AB1571" s="15"/>
      <c r="AC1571" s="15"/>
      <c r="AD1571" s="15"/>
      <c r="AE1571" s="15"/>
    </row>
    <row r="1572" spans="1:31" s="401" customFormat="1">
      <c r="A1572" s="1019">
        <v>2401011000</v>
      </c>
      <c r="B1572" s="1020"/>
      <c r="C1572" s="1021" t="s">
        <v>206</v>
      </c>
      <c r="D1572" s="1021"/>
      <c r="E1572" s="1022"/>
      <c r="F1572" s="1023"/>
      <c r="G1572" s="1290"/>
      <c r="H1572" s="352"/>
      <c r="I1572" s="1024"/>
      <c r="J1572" s="358"/>
      <c r="K1572" s="357"/>
      <c r="L1572" s="1026"/>
      <c r="M1572" s="1324">
        <f t="shared" si="2966"/>
        <v>0</v>
      </c>
      <c r="N1572" s="353"/>
      <c r="O1572" s="1025">
        <f t="shared" si="2967"/>
        <v>0</v>
      </c>
      <c r="P1572" s="1026"/>
      <c r="Q1572" s="1324">
        <f t="shared" si="2968"/>
        <v>0</v>
      </c>
      <c r="R1572" s="353"/>
      <c r="S1572" s="353"/>
      <c r="T1572" s="1025">
        <f t="shared" si="2969"/>
        <v>0</v>
      </c>
      <c r="U1572" s="1027">
        <f t="shared" si="2970"/>
        <v>0</v>
      </c>
      <c r="V1572" s="1025">
        <f t="shared" si="2971"/>
        <v>0</v>
      </c>
      <c r="W1572" s="1028">
        <f t="shared" si="2962"/>
        <v>0</v>
      </c>
      <c r="X1572" s="1029">
        <f t="shared" si="2963"/>
        <v>0</v>
      </c>
      <c r="Y1572" s="1030"/>
      <c r="Z1572" s="220"/>
      <c r="AA1572" s="15">
        <f>+AA1571*B4</f>
        <v>179515439.53</v>
      </c>
      <c r="AB1572" s="15"/>
      <c r="AC1572" s="15"/>
      <c r="AD1572" s="15"/>
      <c r="AE1572" s="15"/>
    </row>
    <row r="1573" spans="1:31" s="401" customFormat="1">
      <c r="A1573" s="1011"/>
      <c r="B1573" s="1012"/>
      <c r="C1573" s="1013"/>
      <c r="D1573" s="1013"/>
      <c r="E1573" s="1014"/>
      <c r="F1573" s="1015"/>
      <c r="G1573" s="1293"/>
      <c r="H1573" s="346"/>
      <c r="I1573" s="1016"/>
      <c r="J1573" s="1501"/>
      <c r="K1573" s="1502"/>
      <c r="L1573" s="1036"/>
      <c r="M1573" s="1325">
        <f t="shared" si="2966"/>
        <v>0</v>
      </c>
      <c r="N1573" s="348"/>
      <c r="O1573" s="897">
        <f t="shared" si="2967"/>
        <v>0</v>
      </c>
      <c r="P1573" s="1017"/>
      <c r="Q1573" s="1362">
        <f t="shared" si="2968"/>
        <v>0</v>
      </c>
      <c r="R1573" s="349"/>
      <c r="S1573" s="349"/>
      <c r="T1573" s="895">
        <f t="shared" si="2969"/>
        <v>0</v>
      </c>
      <c r="U1573" s="350">
        <f t="shared" si="2970"/>
        <v>0</v>
      </c>
      <c r="V1573" s="918">
        <f t="shared" si="2971"/>
        <v>0</v>
      </c>
      <c r="W1573" s="351">
        <f t="shared" si="2962"/>
        <v>0</v>
      </c>
      <c r="X1573" s="919">
        <f t="shared" si="2963"/>
        <v>0</v>
      </c>
      <c r="Y1573" s="1018"/>
      <c r="Z1573" s="220"/>
      <c r="AA1573" s="15"/>
      <c r="AB1573" s="15"/>
      <c r="AC1573" s="15"/>
      <c r="AD1573" s="15"/>
      <c r="AE1573" s="15"/>
    </row>
    <row r="1574" spans="1:31" s="401" customFormat="1">
      <c r="A1574" s="1011">
        <v>2401011000</v>
      </c>
      <c r="B1574" s="1012"/>
      <c r="C1574" s="1013" t="s">
        <v>206</v>
      </c>
      <c r="D1574" s="1013"/>
      <c r="E1574" s="1014"/>
      <c r="F1574" s="1015"/>
      <c r="G1574" s="1293"/>
      <c r="H1574" s="346"/>
      <c r="I1574" s="1016"/>
      <c r="J1574" s="1501"/>
      <c r="K1574" s="1502"/>
      <c r="L1574" s="1036"/>
      <c r="M1574" s="1325">
        <f t="shared" si="2966"/>
        <v>0</v>
      </c>
      <c r="N1574" s="348"/>
      <c r="O1574" s="897">
        <f t="shared" si="2967"/>
        <v>0</v>
      </c>
      <c r="P1574" s="1017"/>
      <c r="Q1574" s="1362">
        <f t="shared" si="2968"/>
        <v>0</v>
      </c>
      <c r="R1574" s="349"/>
      <c r="S1574" s="349"/>
      <c r="T1574" s="895">
        <f t="shared" si="2969"/>
        <v>0</v>
      </c>
      <c r="U1574" s="350">
        <f t="shared" si="2970"/>
        <v>0</v>
      </c>
      <c r="V1574" s="918">
        <f t="shared" si="2971"/>
        <v>0</v>
      </c>
      <c r="W1574" s="351">
        <f t="shared" si="2962"/>
        <v>0</v>
      </c>
      <c r="X1574" s="919">
        <f t="shared" si="2963"/>
        <v>0</v>
      </c>
      <c r="Y1574" s="1018"/>
      <c r="Z1574" s="220"/>
      <c r="AA1574" s="15"/>
      <c r="AB1574" s="15"/>
      <c r="AC1574" s="15"/>
      <c r="AD1574" s="15"/>
      <c r="AE1574" s="15"/>
    </row>
    <row r="1575" spans="1:31" s="401" customFormat="1">
      <c r="A1575" s="1011"/>
      <c r="B1575" s="1012"/>
      <c r="C1575" s="1013"/>
      <c r="D1575" s="1013"/>
      <c r="E1575" s="1014"/>
      <c r="F1575" s="1015"/>
      <c r="G1575" s="1293"/>
      <c r="H1575" s="346"/>
      <c r="I1575" s="1016"/>
      <c r="J1575" s="1501"/>
      <c r="K1575" s="1502"/>
      <c r="L1575" s="1036"/>
      <c r="M1575" s="1325">
        <f t="shared" si="2966"/>
        <v>0</v>
      </c>
      <c r="N1575" s="348"/>
      <c r="O1575" s="897">
        <f t="shared" si="2967"/>
        <v>0</v>
      </c>
      <c r="P1575" s="1017"/>
      <c r="Q1575" s="1362">
        <f t="shared" si="2968"/>
        <v>0</v>
      </c>
      <c r="R1575" s="349"/>
      <c r="S1575" s="349"/>
      <c r="T1575" s="895">
        <f t="shared" si="2969"/>
        <v>0</v>
      </c>
      <c r="U1575" s="350">
        <f t="shared" si="2970"/>
        <v>0</v>
      </c>
      <c r="V1575" s="918">
        <f t="shared" si="2971"/>
        <v>0</v>
      </c>
      <c r="W1575" s="351">
        <f t="shared" si="2962"/>
        <v>0</v>
      </c>
      <c r="X1575" s="919">
        <f t="shared" si="2963"/>
        <v>0</v>
      </c>
      <c r="Y1575" s="1018"/>
      <c r="Z1575" s="220"/>
      <c r="AA1575" s="15"/>
      <c r="AB1575" s="15"/>
      <c r="AC1575" s="15"/>
      <c r="AD1575" s="15"/>
      <c r="AE1575" s="15"/>
    </row>
    <row r="1576" spans="1:31" s="401" customFormat="1" outlineLevel="1">
      <c r="A1576" s="1011">
        <v>2401011000</v>
      </c>
      <c r="B1576" s="1012" t="s">
        <v>2293</v>
      </c>
      <c r="C1576" s="1013" t="s">
        <v>64</v>
      </c>
      <c r="D1576" s="1013">
        <v>5100000039</v>
      </c>
      <c r="E1576" s="1014">
        <v>44929</v>
      </c>
      <c r="F1576" s="1015"/>
      <c r="G1576" s="1293"/>
      <c r="H1576" s="346"/>
      <c r="I1576" s="1016"/>
      <c r="J1576" s="1457">
        <v>1</v>
      </c>
      <c r="K1576" s="1458">
        <v>1</v>
      </c>
      <c r="L1576" s="1036">
        <v>522.79999999999995</v>
      </c>
      <c r="M1576" s="1325">
        <f t="shared" si="2966"/>
        <v>522.79999999999995</v>
      </c>
      <c r="N1576" s="348">
        <f ca="1">IF(OR(E1576="",E1576&gt;TODAY()),0,IF(ISERROR(VLOOKUP($E1576,'TRM BanRep'!$A:$G,7,0)),0,VLOOKUP($E1576,'TRM BanRep'!$A:$G,7,0)))</f>
        <v>4810.2</v>
      </c>
      <c r="O1576" s="897">
        <f t="shared" ca="1" si="2967"/>
        <v>2514772.5599999996</v>
      </c>
      <c r="P1576" s="1017"/>
      <c r="Q1576" s="1362">
        <f t="shared" si="2968"/>
        <v>0</v>
      </c>
      <c r="R1576" s="349"/>
      <c r="S1576" s="349"/>
      <c r="T1576" s="895">
        <f t="shared" si="2969"/>
        <v>0</v>
      </c>
      <c r="U1576" s="350">
        <f t="shared" si="2970"/>
        <v>522.79999999999995</v>
      </c>
      <c r="V1576" s="918">
        <f t="shared" ca="1" si="2971"/>
        <v>2514772.5599999996</v>
      </c>
      <c r="W1576" s="351">
        <f t="shared" si="2962"/>
        <v>0</v>
      </c>
      <c r="X1576" s="919">
        <f t="shared" si="2963"/>
        <v>0</v>
      </c>
      <c r="Y1576" s="1018"/>
      <c r="Z1576" s="220"/>
      <c r="AA1576" s="15"/>
      <c r="AB1576" s="15"/>
      <c r="AC1576" s="15"/>
      <c r="AD1576" s="15"/>
      <c r="AE1576" s="15"/>
    </row>
    <row r="1577" spans="1:31" s="401" customFormat="1" outlineLevel="1">
      <c r="A1577" s="1011">
        <v>2401011000</v>
      </c>
      <c r="B1577" s="2382" t="s">
        <v>1497</v>
      </c>
      <c r="C1577" s="2383" t="s">
        <v>1498</v>
      </c>
      <c r="D1577" s="2383">
        <v>100000752</v>
      </c>
      <c r="E1577" s="1014">
        <v>44936</v>
      </c>
      <c r="F1577" s="1015"/>
      <c r="G1577" s="1293"/>
      <c r="H1577" s="346"/>
      <c r="I1577" s="1016"/>
      <c r="J1577" s="1457">
        <v>1</v>
      </c>
      <c r="K1577" s="1458">
        <v>1</v>
      </c>
      <c r="L1577" s="1036"/>
      <c r="M1577" s="1325">
        <f t="shared" si="2966"/>
        <v>0</v>
      </c>
      <c r="N1577" s="348">
        <f ca="1">IF(OR(E1577="",E1577&gt;TODAY()),0,IF(ISERROR(VLOOKUP($E1577,'TRM BanRep'!$A:$G,7,0)),0,VLOOKUP($E1577,'TRM BanRep'!$A:$G,7,0)))</f>
        <v>4885.66</v>
      </c>
      <c r="O1577" s="897">
        <f t="shared" ca="1" si="2967"/>
        <v>0</v>
      </c>
      <c r="P1577" s="1017">
        <f>-L1576</f>
        <v>-522.79999999999995</v>
      </c>
      <c r="Q1577" s="1362">
        <f t="shared" si="2968"/>
        <v>-522.79999999999995</v>
      </c>
      <c r="R1577" s="349">
        <f ca="1">+N1576</f>
        <v>4810.2</v>
      </c>
      <c r="S1577" s="349">
        <f ca="1">IF(OR(E1577="",E1577&gt;TODAY()),0,IF(ISERROR(VLOOKUP($E1577,'TRM BanRep'!$A:$G,7,0)),0,VLOOKUP($E1577,'TRM BanRep'!$A:$G,7,0)))</f>
        <v>4885.66</v>
      </c>
      <c r="T1577" s="895">
        <f t="shared" ca="1" si="2969"/>
        <v>-2554223.0479999995</v>
      </c>
      <c r="U1577" s="350">
        <f t="shared" si="2970"/>
        <v>-522.79999999999995</v>
      </c>
      <c r="V1577" s="918">
        <f t="shared" ca="1" si="2971"/>
        <v>-2514772.5599999996</v>
      </c>
      <c r="W1577" s="351">
        <f t="shared" ca="1" si="2962"/>
        <v>39450.487999999896</v>
      </c>
      <c r="X1577" s="919">
        <f t="shared" ca="1" si="2963"/>
        <v>0</v>
      </c>
      <c r="Y1577" s="1018"/>
      <c r="Z1577" s="220"/>
      <c r="AA1577" s="15"/>
      <c r="AB1577" s="15"/>
      <c r="AC1577" s="15"/>
      <c r="AD1577" s="15"/>
      <c r="AE1577" s="15"/>
    </row>
    <row r="1578" spans="1:31" s="401" customFormat="1" outlineLevel="1">
      <c r="A1578" s="1011">
        <v>2401011000</v>
      </c>
      <c r="B1578" s="1012" t="s">
        <v>2294</v>
      </c>
      <c r="C1578" s="1013" t="s">
        <v>64</v>
      </c>
      <c r="D1578" s="1013">
        <v>5100000152</v>
      </c>
      <c r="E1578" s="1014">
        <v>44932</v>
      </c>
      <c r="F1578" s="1015"/>
      <c r="G1578" s="1293"/>
      <c r="H1578" s="346"/>
      <c r="I1578" s="1016"/>
      <c r="J1578" s="1457">
        <v>1</v>
      </c>
      <c r="K1578" s="1458">
        <v>1</v>
      </c>
      <c r="L1578" s="1036">
        <v>854.89</v>
      </c>
      <c r="M1578" s="1325">
        <f t="shared" si="2966"/>
        <v>854.89</v>
      </c>
      <c r="N1578" s="348">
        <f ca="1">IF(OR(E1578="",E1578&gt;TODAY()),0,IF(ISERROR(VLOOKUP($E1578,'TRM BanRep'!$A:$G,7,0)),0,VLOOKUP($E1578,'TRM BanRep'!$A:$G,7,0)))</f>
        <v>4989.58</v>
      </c>
      <c r="O1578" s="897">
        <f t="shared" ca="1" si="2967"/>
        <v>4265542.0461999997</v>
      </c>
      <c r="P1578" s="1017"/>
      <c r="Q1578" s="1362">
        <f t="shared" si="2968"/>
        <v>0</v>
      </c>
      <c r="R1578" s="349"/>
      <c r="S1578" s="349">
        <f ca="1">IF(OR(E1578="",E1578&gt;TODAY()),0,IF(ISERROR(VLOOKUP($E1578,'TRM BanRep'!$A:$G,7,0)),0,VLOOKUP($E1578,'TRM BanRep'!$A:$G,7,0)))</f>
        <v>4989.58</v>
      </c>
      <c r="T1578" s="895">
        <f t="shared" ca="1" si="2969"/>
        <v>0</v>
      </c>
      <c r="U1578" s="350">
        <f t="shared" si="2970"/>
        <v>854.89</v>
      </c>
      <c r="V1578" s="918">
        <f t="shared" ca="1" si="2971"/>
        <v>4265542.0461999997</v>
      </c>
      <c r="W1578" s="351">
        <f t="shared" ca="1" si="2962"/>
        <v>0</v>
      </c>
      <c r="X1578" s="919">
        <f t="shared" ca="1" si="2963"/>
        <v>0</v>
      </c>
      <c r="Y1578" s="1018"/>
      <c r="Z1578" s="220"/>
      <c r="AA1578" s="15"/>
      <c r="AB1578" s="15"/>
      <c r="AC1578" s="15"/>
      <c r="AD1578" s="15"/>
      <c r="AE1578" s="15"/>
    </row>
    <row r="1579" spans="1:31" s="401" customFormat="1" outlineLevel="1">
      <c r="A1579" s="1011">
        <v>2401011000</v>
      </c>
      <c r="B1579" s="1012" t="s">
        <v>1366</v>
      </c>
      <c r="C1579" s="1013" t="s">
        <v>64</v>
      </c>
      <c r="D1579" s="1013">
        <v>2000000675</v>
      </c>
      <c r="E1579" s="1014">
        <v>44949</v>
      </c>
      <c r="F1579" s="1015"/>
      <c r="G1579" s="1293"/>
      <c r="H1579" s="346"/>
      <c r="I1579" s="1016"/>
      <c r="J1579" s="1457">
        <v>1</v>
      </c>
      <c r="K1579" s="1458">
        <v>1</v>
      </c>
      <c r="L1579" s="1036"/>
      <c r="M1579" s="1325">
        <f t="shared" si="2966"/>
        <v>0</v>
      </c>
      <c r="N1579" s="348">
        <f ca="1">IF(OR(E1579="",E1579&gt;TODAY()),0,IF(ISERROR(VLOOKUP($E1579,'TRM BanRep'!$A:$G,7,0)),0,VLOOKUP($E1579,'TRM BanRep'!$A:$G,7,0)))</f>
        <v>4631.6400000000003</v>
      </c>
      <c r="O1579" s="897">
        <f t="shared" ca="1" si="2967"/>
        <v>0</v>
      </c>
      <c r="P1579" s="1017">
        <f>-L1578</f>
        <v>-854.89</v>
      </c>
      <c r="Q1579" s="1362">
        <f t="shared" ref="Q1579" si="3048">+P1579*K1579</f>
        <v>-854.89</v>
      </c>
      <c r="R1579" s="349">
        <f ca="1">+N1578</f>
        <v>4989.58</v>
      </c>
      <c r="S1579" s="349">
        <f ca="1">IF(OR(E1579="",E1579&gt;TODAY()),0,IF(ISERROR(VLOOKUP($E1579,'TRM BanRep'!$A:$G,7,0)),0,VLOOKUP($E1579,'TRM BanRep'!$A:$G,7,0)))</f>
        <v>4631.6400000000003</v>
      </c>
      <c r="T1579" s="895">
        <f t="shared" ca="1" si="2969"/>
        <v>-3959542.7196000004</v>
      </c>
      <c r="U1579" s="350">
        <f t="shared" si="2970"/>
        <v>-854.89</v>
      </c>
      <c r="V1579" s="918">
        <f t="shared" ca="1" si="2971"/>
        <v>-4265542.0461999997</v>
      </c>
      <c r="W1579" s="351">
        <f t="shared" ca="1" si="2962"/>
        <v>0</v>
      </c>
      <c r="X1579" s="919">
        <f t="shared" ca="1" si="2963"/>
        <v>-305999.32659999933</v>
      </c>
      <c r="Y1579" s="1018"/>
      <c r="Z1579" s="220"/>
      <c r="AA1579" s="15"/>
      <c r="AB1579" s="15"/>
      <c r="AC1579" s="15"/>
      <c r="AD1579" s="15"/>
      <c r="AE1579" s="15"/>
    </row>
    <row r="1580" spans="1:31" s="401" customFormat="1" outlineLevel="1">
      <c r="A1580" s="1011">
        <v>2401011000</v>
      </c>
      <c r="B1580" s="1012" t="s">
        <v>2295</v>
      </c>
      <c r="C1580" s="1013" t="s">
        <v>64</v>
      </c>
      <c r="D1580" s="1013">
        <v>5100000164</v>
      </c>
      <c r="E1580" s="1014">
        <v>44938</v>
      </c>
      <c r="F1580" s="1015"/>
      <c r="G1580" s="1293"/>
      <c r="H1580" s="346"/>
      <c r="I1580" s="1016"/>
      <c r="J1580" s="1457">
        <v>1</v>
      </c>
      <c r="K1580" s="1458">
        <v>1</v>
      </c>
      <c r="L1580" s="1036">
        <v>102.34</v>
      </c>
      <c r="M1580" s="1325">
        <f t="shared" si="2966"/>
        <v>102.34</v>
      </c>
      <c r="N1580" s="348">
        <f ca="1">IF(OR(E1580="",E1580&gt;TODAY()),0,IF(ISERROR(VLOOKUP($E1580,'TRM BanRep'!$A:$G,7,0)),0,VLOOKUP($E1580,'TRM BanRep'!$A:$G,7,0)))</f>
        <v>4748.54</v>
      </c>
      <c r="O1580" s="897">
        <f t="shared" ca="1" si="2967"/>
        <v>485965.58360000001</v>
      </c>
      <c r="P1580" s="1017"/>
      <c r="Q1580" s="1362">
        <f t="shared" si="2968"/>
        <v>0</v>
      </c>
      <c r="R1580" s="349"/>
      <c r="S1580" s="349">
        <f ca="1">IF(OR(E1580="",E1580&gt;TODAY()),0,IF(ISERROR(VLOOKUP($E1580,'TRM BanRep'!$A:$G,7,0)),0,VLOOKUP($E1580,'TRM BanRep'!$A:$G,7,0)))</f>
        <v>4748.54</v>
      </c>
      <c r="T1580" s="895">
        <f t="shared" ca="1" si="2969"/>
        <v>0</v>
      </c>
      <c r="U1580" s="350">
        <f t="shared" si="2970"/>
        <v>102.34</v>
      </c>
      <c r="V1580" s="918">
        <f t="shared" ca="1" si="2971"/>
        <v>485965.58360000001</v>
      </c>
      <c r="W1580" s="351">
        <f t="shared" ca="1" si="2962"/>
        <v>0</v>
      </c>
      <c r="X1580" s="919">
        <f t="shared" ca="1" si="2963"/>
        <v>0</v>
      </c>
      <c r="Y1580" s="1018"/>
      <c r="Z1580" s="220"/>
      <c r="AA1580" s="15"/>
      <c r="AB1580" s="15"/>
      <c r="AC1580" s="15"/>
      <c r="AD1580" s="15"/>
      <c r="AE1580" s="15"/>
    </row>
    <row r="1581" spans="1:31" s="401" customFormat="1" outlineLevel="1">
      <c r="A1581" s="1011">
        <v>2401011000</v>
      </c>
      <c r="B1581" s="1012" t="s">
        <v>1366</v>
      </c>
      <c r="C1581" s="1013" t="s">
        <v>64</v>
      </c>
      <c r="D1581" s="1013">
        <v>2000000750</v>
      </c>
      <c r="E1581" s="1014">
        <v>44953</v>
      </c>
      <c r="F1581" s="1015"/>
      <c r="G1581" s="1293"/>
      <c r="H1581" s="346"/>
      <c r="I1581" s="1016"/>
      <c r="J1581" s="1457">
        <v>1</v>
      </c>
      <c r="K1581" s="1458">
        <v>1</v>
      </c>
      <c r="L1581" s="1036"/>
      <c r="M1581" s="1325">
        <f t="shared" si="2966"/>
        <v>0</v>
      </c>
      <c r="N1581" s="348">
        <f ca="1">IF(OR(E1581="",E1581&gt;TODAY()),0,IF(ISERROR(VLOOKUP($E1581,'TRM BanRep'!$A:$G,7,0)),0,VLOOKUP($E1581,'TRM BanRep'!$A:$G,7,0)))</f>
        <v>4531.75</v>
      </c>
      <c r="O1581" s="897">
        <f t="shared" ca="1" si="2967"/>
        <v>0</v>
      </c>
      <c r="P1581" s="1017">
        <f>-L1580</f>
        <v>-102.34</v>
      </c>
      <c r="Q1581" s="1362">
        <f t="shared" ref="Q1581:Q1582" si="3049">+P1581*K1581</f>
        <v>-102.34</v>
      </c>
      <c r="R1581" s="349">
        <f ca="1">+N1580</f>
        <v>4748.54</v>
      </c>
      <c r="S1581" s="349">
        <f ca="1">IF(OR(E1581="",E1581&gt;TODAY()),0,IF(ISERROR(VLOOKUP($E1581,'TRM BanRep'!$A:$G,7,0)),0,VLOOKUP($E1581,'TRM BanRep'!$A:$G,7,0)))</f>
        <v>4531.75</v>
      </c>
      <c r="T1581" s="895">
        <f t="shared" ca="1" si="2969"/>
        <v>-463779.29500000004</v>
      </c>
      <c r="U1581" s="350">
        <f t="shared" si="2970"/>
        <v>-102.34</v>
      </c>
      <c r="V1581" s="918">
        <f t="shared" ca="1" si="2971"/>
        <v>-485965.58360000001</v>
      </c>
      <c r="W1581" s="351">
        <f t="shared" ca="1" si="2962"/>
        <v>0</v>
      </c>
      <c r="X1581" s="919">
        <f t="shared" ca="1" si="2963"/>
        <v>-22186.288599999971</v>
      </c>
      <c r="Y1581" s="1018"/>
      <c r="Z1581" s="220"/>
      <c r="AA1581" s="15"/>
      <c r="AB1581" s="15"/>
      <c r="AC1581" s="15"/>
      <c r="AD1581" s="15"/>
      <c r="AE1581" s="15"/>
    </row>
    <row r="1582" spans="1:31" s="401" customFormat="1" outlineLevel="1">
      <c r="A1582" s="1011">
        <v>2401011000</v>
      </c>
      <c r="B1582" s="1012" t="s">
        <v>2296</v>
      </c>
      <c r="C1582" s="1013" t="s">
        <v>64</v>
      </c>
      <c r="D1582" s="1013">
        <v>5100000402</v>
      </c>
      <c r="E1582" s="1014">
        <v>44945</v>
      </c>
      <c r="F1582" s="1015"/>
      <c r="G1582" s="1293"/>
      <c r="H1582" s="346"/>
      <c r="I1582" s="1016"/>
      <c r="J1582" s="1457">
        <v>1</v>
      </c>
      <c r="K1582" s="1458">
        <v>1</v>
      </c>
      <c r="L1582" s="1036">
        <v>28488.6</v>
      </c>
      <c r="M1582" s="1325">
        <f t="shared" si="2966"/>
        <v>28488.6</v>
      </c>
      <c r="N1582" s="348">
        <f ca="1">IF(OR(E1582="",E1582&gt;TODAY()),0,IF(ISERROR(VLOOKUP($E1582,'TRM BanRep'!$A:$G,7,0)),0,VLOOKUP($E1582,'TRM BanRep'!$A:$G,7,0)))</f>
        <v>4702.67</v>
      </c>
      <c r="O1582" s="897">
        <f t="shared" ca="1" si="2967"/>
        <v>133972484.56199999</v>
      </c>
      <c r="P1582" s="1017"/>
      <c r="Q1582" s="1362">
        <f t="shared" si="3049"/>
        <v>0</v>
      </c>
      <c r="R1582" s="349"/>
      <c r="S1582" s="349">
        <f ca="1">IF(OR(E1582="",E1582&gt;TODAY()),0,IF(ISERROR(VLOOKUP($E1582,'TRM BanRep'!$A:$G,7,0)),0,VLOOKUP($E1582,'TRM BanRep'!$A:$G,7,0)))</f>
        <v>4702.67</v>
      </c>
      <c r="T1582" s="895">
        <f t="shared" ca="1" si="2969"/>
        <v>0</v>
      </c>
      <c r="U1582" s="350">
        <f t="shared" si="2970"/>
        <v>28488.6</v>
      </c>
      <c r="V1582" s="918">
        <f t="shared" ca="1" si="2971"/>
        <v>133972484.56199999</v>
      </c>
      <c r="W1582" s="351">
        <f t="shared" ca="1" si="2962"/>
        <v>0</v>
      </c>
      <c r="X1582" s="919">
        <f t="shared" ca="1" si="2963"/>
        <v>0</v>
      </c>
      <c r="Y1582" s="1018"/>
      <c r="Z1582" s="220"/>
      <c r="AA1582" s="15"/>
      <c r="AB1582" s="15"/>
      <c r="AC1582" s="15"/>
      <c r="AD1582" s="15"/>
      <c r="AE1582" s="15"/>
    </row>
    <row r="1583" spans="1:31" s="401" customFormat="1" outlineLevel="1">
      <c r="A1583" s="1011">
        <v>2401011000</v>
      </c>
      <c r="B1583" s="1012" t="s">
        <v>1366</v>
      </c>
      <c r="C1583" s="1013" t="s">
        <v>64</v>
      </c>
      <c r="D1583" s="1013">
        <v>2000001552</v>
      </c>
      <c r="E1583" s="1014">
        <v>44977</v>
      </c>
      <c r="F1583" s="1015"/>
      <c r="G1583" s="1293"/>
      <c r="H1583" s="346"/>
      <c r="I1583" s="1016"/>
      <c r="J1583" s="1457">
        <v>1</v>
      </c>
      <c r="K1583" s="1458">
        <v>1</v>
      </c>
      <c r="L1583" s="1036"/>
      <c r="M1583" s="1325">
        <f t="shared" ref="M1583" si="3050">+L1583*J1583</f>
        <v>0</v>
      </c>
      <c r="N1583" s="348">
        <f ca="1">IF(OR(E1583="",E1583&gt;TODAY()),0,IF(ISERROR(VLOOKUP($E1583,'TRM BanRep'!$A:$G,7,0)),0,VLOOKUP($E1583,'TRM BanRep'!$A:$G,7,0)))</f>
        <v>4918.9399999999996</v>
      </c>
      <c r="O1583" s="897">
        <f t="shared" ref="O1583" ca="1" si="3051">+L1583*J1583*N1583</f>
        <v>0</v>
      </c>
      <c r="P1583" s="1017">
        <f>-L1582</f>
        <v>-28488.6</v>
      </c>
      <c r="Q1583" s="1362">
        <f t="shared" ref="Q1583" si="3052">+P1583*K1583</f>
        <v>-28488.6</v>
      </c>
      <c r="R1583" s="349">
        <f ca="1">+N1582</f>
        <v>4702.67</v>
      </c>
      <c r="S1583" s="349">
        <f ca="1">IF(OR(E1583="",E1583&gt;TODAY()),0,IF(ISERROR(VLOOKUP($E1583,'TRM BanRep'!$A:$G,7,0)),0,VLOOKUP($E1583,'TRM BanRep'!$A:$G,7,0)))</f>
        <v>4918.9399999999996</v>
      </c>
      <c r="T1583" s="895">
        <f t="shared" ref="T1583" ca="1" si="3053">+P1583*K1583*S1583</f>
        <v>-140133714.08399999</v>
      </c>
      <c r="U1583" s="350">
        <f t="shared" ref="U1583" si="3054">+L1583+P1583+F1583</f>
        <v>-28488.6</v>
      </c>
      <c r="V1583" s="918">
        <f t="shared" ref="V1583" ca="1" si="3055">+P1583*J1583*R1583+L1583*J1583*N1583+F1583*J1583*H1583</f>
        <v>-133972484.56199999</v>
      </c>
      <c r="W1583" s="351">
        <f t="shared" ref="W1583" ca="1" si="3056">-(IF(-P1583*J1583*R1583&lt;-P1583*K1583*S1583,(-P1583*J1583*R1583)-(-P1583*K1583*S1583),0))</f>
        <v>6161229.5219999999</v>
      </c>
      <c r="X1583" s="919">
        <f t="shared" ref="X1583" ca="1" si="3057">-(IF(-P1583*J1583*R1583&gt;-P1583*K1583*S1583,(-P1583*J1583*R1583)-(-P1583*K1583*S1583),0))</f>
        <v>0</v>
      </c>
      <c r="Y1583" s="1018"/>
      <c r="Z1583" s="220"/>
      <c r="AA1583" s="15"/>
      <c r="AB1583" s="15"/>
      <c r="AC1583" s="15"/>
      <c r="AD1583" s="15"/>
      <c r="AE1583" s="15"/>
    </row>
    <row r="1584" spans="1:31" s="401" customFormat="1" outlineLevel="1">
      <c r="A1584" s="1011">
        <v>2401011000</v>
      </c>
      <c r="B1584" s="1012" t="s">
        <v>2297</v>
      </c>
      <c r="C1584" s="1013" t="s">
        <v>64</v>
      </c>
      <c r="D1584" s="1013">
        <v>5100000051</v>
      </c>
      <c r="E1584" s="1014">
        <v>44930</v>
      </c>
      <c r="F1584" s="1015"/>
      <c r="G1584" s="1293"/>
      <c r="H1584" s="346"/>
      <c r="I1584" s="1016"/>
      <c r="J1584" s="1457">
        <v>1</v>
      </c>
      <c r="K1584" s="1458">
        <v>1</v>
      </c>
      <c r="L1584" s="1036">
        <v>13767.81</v>
      </c>
      <c r="M1584" s="1325">
        <f>+L1584*J1584</f>
        <v>13767.81</v>
      </c>
      <c r="N1584" s="348">
        <f ca="1">IF(OR(E1584="",E1584&gt;TODAY()),0,IF(ISERROR(VLOOKUP($E1584,'TRM BanRep'!$A:$G,7,0)),0,VLOOKUP($E1584,'TRM BanRep'!$A:$G,7,0)))</f>
        <v>4842.26</v>
      </c>
      <c r="O1584" s="897">
        <f ca="1">+L1584*J1584*N1584</f>
        <v>66667315.650600001</v>
      </c>
      <c r="P1584" s="1017"/>
      <c r="Q1584" s="1362">
        <f>+P1584*K1584</f>
        <v>0</v>
      </c>
      <c r="R1584" s="349"/>
      <c r="S1584" s="349">
        <f ca="1">IF(OR(E1584="",E1584&gt;TODAY()),0,IF(ISERROR(VLOOKUP($E1584,'TRM BanRep'!$A:$G,7,0)),0,VLOOKUP($E1584,'TRM BanRep'!$A:$G,7,0)))</f>
        <v>4842.26</v>
      </c>
      <c r="T1584" s="895">
        <f ca="1">+P1584*K1584*S1584</f>
        <v>0</v>
      </c>
      <c r="U1584" s="350">
        <f>+L1584+P1584+F1584</f>
        <v>13767.81</v>
      </c>
      <c r="V1584" s="918">
        <f ca="1">+P1584*J1584*R1584+L1584*J1584*N1584+F1584*J1584*H1584</f>
        <v>66667315.650600001</v>
      </c>
      <c r="W1584" s="351">
        <f ca="1">-(IF(-P1584*J1584*R1584&lt;-P1584*K1584*S1584,(-P1584*J1584*R1584)-(-P1584*K1584*S1584),0))</f>
        <v>0</v>
      </c>
      <c r="X1584" s="919">
        <f ca="1">-(IF(-P1584*J1584*R1584&gt;-P1584*K1584*S1584,(-P1584*J1584*R1584)-(-P1584*K1584*S1584),0))</f>
        <v>0</v>
      </c>
      <c r="Y1584" s="1018"/>
      <c r="Z1584" s="220"/>
      <c r="AA1584" s="15"/>
      <c r="AB1584" s="15"/>
      <c r="AC1584" s="15"/>
      <c r="AD1584" s="15"/>
      <c r="AE1584" s="15"/>
    </row>
    <row r="1585" spans="1:31" s="401" customFormat="1" outlineLevel="1">
      <c r="A1585" s="1011">
        <v>2401011000</v>
      </c>
      <c r="B1585" s="1012" t="s">
        <v>1366</v>
      </c>
      <c r="C1585" s="1013" t="s">
        <v>64</v>
      </c>
      <c r="D1585" s="1013">
        <v>2000000906</v>
      </c>
      <c r="E1585" s="1014">
        <v>44960</v>
      </c>
      <c r="F1585" s="1015"/>
      <c r="G1585" s="1293"/>
      <c r="H1585" s="346"/>
      <c r="I1585" s="1016"/>
      <c r="J1585" s="1457">
        <v>1</v>
      </c>
      <c r="K1585" s="1458">
        <v>1</v>
      </c>
      <c r="L1585" s="1036"/>
      <c r="M1585" s="1325">
        <f t="shared" ref="M1585" si="3058">+L1585*J1585</f>
        <v>0</v>
      </c>
      <c r="N1585" s="348">
        <f ca="1">IF(OR(E1585="",E1585&gt;TODAY()),0,IF(ISERROR(VLOOKUP($E1585,'TRM BanRep'!$A:$G,7,0)),0,VLOOKUP($E1585,'TRM BanRep'!$A:$G,7,0)))</f>
        <v>4584.4399999999996</v>
      </c>
      <c r="O1585" s="897">
        <f t="shared" ref="O1585" ca="1" si="3059">+L1585*J1585*N1585</f>
        <v>0</v>
      </c>
      <c r="P1585" s="1017">
        <f>-L1584</f>
        <v>-13767.81</v>
      </c>
      <c r="Q1585" s="1362">
        <f t="shared" ref="Q1585" si="3060">+P1585*K1585</f>
        <v>-13767.81</v>
      </c>
      <c r="R1585" s="349">
        <f ca="1">+N1584</f>
        <v>4842.26</v>
      </c>
      <c r="S1585" s="349">
        <f ca="1">IF(OR(E1585="",E1585&gt;TODAY()),0,IF(ISERROR(VLOOKUP($E1585,'TRM BanRep'!$A:$G,7,0)),0,VLOOKUP($E1585,'TRM BanRep'!$A:$G,7,0)))</f>
        <v>4584.4399999999996</v>
      </c>
      <c r="T1585" s="895">
        <f t="shared" ref="T1585" ca="1" si="3061">+P1585*K1585*S1585</f>
        <v>-63117698.876399994</v>
      </c>
      <c r="U1585" s="350">
        <f t="shared" ref="U1585" si="3062">+L1585+P1585+F1585</f>
        <v>-13767.81</v>
      </c>
      <c r="V1585" s="918">
        <f t="shared" ref="V1585" ca="1" si="3063">+P1585*J1585*R1585+L1585*J1585*N1585+F1585*J1585*H1585</f>
        <v>-66667315.650600001</v>
      </c>
      <c r="W1585" s="351">
        <f t="shared" ref="W1585" ca="1" si="3064">-(IF(-P1585*J1585*R1585&lt;-P1585*K1585*S1585,(-P1585*J1585*R1585)-(-P1585*K1585*S1585),0))</f>
        <v>0</v>
      </c>
      <c r="X1585" s="919">
        <f t="shared" ref="X1585" ca="1" si="3065">-(IF(-P1585*J1585*R1585&gt;-P1585*K1585*S1585,(-P1585*J1585*R1585)-(-P1585*K1585*S1585),0))</f>
        <v>-3549616.7742000073</v>
      </c>
      <c r="Y1585" s="1018"/>
      <c r="Z1585" s="220"/>
      <c r="AA1585" s="15"/>
      <c r="AB1585" s="15"/>
      <c r="AC1585" s="15"/>
      <c r="AD1585" s="15"/>
      <c r="AE1585" s="15"/>
    </row>
    <row r="1586" spans="1:31" s="401" customFormat="1" outlineLevel="1">
      <c r="A1586" s="1011">
        <v>2401011000</v>
      </c>
      <c r="B1586" s="1012" t="s">
        <v>2298</v>
      </c>
      <c r="C1586" s="1013" t="s">
        <v>64</v>
      </c>
      <c r="D1586" s="1013">
        <v>5100000511</v>
      </c>
      <c r="E1586" s="1014">
        <v>44949</v>
      </c>
      <c r="F1586" s="1015"/>
      <c r="G1586" s="1293"/>
      <c r="H1586" s="346"/>
      <c r="I1586" s="1016"/>
      <c r="J1586" s="1457">
        <v>1</v>
      </c>
      <c r="K1586" s="1458">
        <v>1</v>
      </c>
      <c r="L1586" s="1036">
        <v>405.62</v>
      </c>
      <c r="M1586" s="1325">
        <f t="shared" ref="M1586:M1587" si="3066">+L1586*J1586</f>
        <v>405.62</v>
      </c>
      <c r="N1586" s="348">
        <f ca="1">IF(OR(E1586="",E1586&gt;TODAY()),0,IF(ISERROR(VLOOKUP($E1586,'TRM BanRep'!$A:$G,7,0)),0,VLOOKUP($E1586,'TRM BanRep'!$A:$G,7,0)))</f>
        <v>4631.6400000000003</v>
      </c>
      <c r="O1586" s="897">
        <f t="shared" ref="O1586:O1587" ca="1" si="3067">+L1586*J1586*N1586</f>
        <v>1878685.8168000001</v>
      </c>
      <c r="P1586" s="1017"/>
      <c r="Q1586" s="1362">
        <f t="shared" ref="Q1586:Q1587" si="3068">+P1586*K1586</f>
        <v>0</v>
      </c>
      <c r="R1586" s="349"/>
      <c r="S1586" s="349">
        <f ca="1">IF(OR(E1586="",E1586&gt;TODAY()),0,IF(ISERROR(VLOOKUP($E1586,'TRM BanRep'!$A:$G,7,0)),0,VLOOKUP($E1586,'TRM BanRep'!$A:$G,7,0)))</f>
        <v>4631.6400000000003</v>
      </c>
      <c r="T1586" s="895">
        <f t="shared" ref="T1586:T1587" ca="1" si="3069">+P1586*K1586*S1586</f>
        <v>0</v>
      </c>
      <c r="U1586" s="350">
        <f t="shared" ref="U1586:U1587" si="3070">+L1586+P1586+F1586</f>
        <v>405.62</v>
      </c>
      <c r="V1586" s="918">
        <f t="shared" ref="V1586:V1587" ca="1" si="3071">+P1586*J1586*R1586+L1586*J1586*N1586+F1586*J1586*H1586</f>
        <v>1878685.8168000001</v>
      </c>
      <c r="W1586" s="351">
        <f t="shared" ref="W1586:W1587" ca="1" si="3072">-(IF(-P1586*J1586*R1586&lt;-P1586*K1586*S1586,(-P1586*J1586*R1586)-(-P1586*K1586*S1586),0))</f>
        <v>0</v>
      </c>
      <c r="X1586" s="919">
        <f t="shared" ref="X1586:X1587" ca="1" si="3073">-(IF(-P1586*J1586*R1586&gt;-P1586*K1586*S1586,(-P1586*J1586*R1586)-(-P1586*K1586*S1586),0))</f>
        <v>0</v>
      </c>
      <c r="Y1586" s="1018"/>
      <c r="Z1586" s="220"/>
      <c r="AA1586" s="15"/>
      <c r="AB1586" s="15"/>
      <c r="AC1586" s="15"/>
      <c r="AD1586" s="15"/>
      <c r="AE1586" s="15"/>
    </row>
    <row r="1587" spans="1:31" s="401" customFormat="1" outlineLevel="1">
      <c r="A1587" s="1011">
        <v>2401011000</v>
      </c>
      <c r="B1587" s="1012" t="s">
        <v>1366</v>
      </c>
      <c r="C1587" s="1013" t="s">
        <v>64</v>
      </c>
      <c r="D1587" s="1013">
        <v>2000000955</v>
      </c>
      <c r="E1587" s="1014">
        <v>44964</v>
      </c>
      <c r="F1587" s="1015"/>
      <c r="G1587" s="1293"/>
      <c r="H1587" s="346"/>
      <c r="I1587" s="1016"/>
      <c r="J1587" s="1457">
        <v>1</v>
      </c>
      <c r="K1587" s="1458">
        <v>1</v>
      </c>
      <c r="L1587" s="1036"/>
      <c r="M1587" s="1325">
        <f t="shared" si="3066"/>
        <v>0</v>
      </c>
      <c r="N1587" s="348">
        <f ca="1">IF(OR(E1587="",E1587&gt;TODAY()),0,IF(ISERROR(VLOOKUP($E1587,'TRM BanRep'!$A:$G,7,0)),0,VLOOKUP($E1587,'TRM BanRep'!$A:$G,7,0)))</f>
        <v>4776.25</v>
      </c>
      <c r="O1587" s="897">
        <f t="shared" ca="1" si="3067"/>
        <v>0</v>
      </c>
      <c r="P1587" s="1017">
        <f>-L1586</f>
        <v>-405.62</v>
      </c>
      <c r="Q1587" s="1362">
        <f t="shared" si="3068"/>
        <v>-405.62</v>
      </c>
      <c r="R1587" s="349">
        <f ca="1">+N1586</f>
        <v>4631.6400000000003</v>
      </c>
      <c r="S1587" s="349">
        <f ca="1">IF(OR(E1587="",E1587&gt;TODAY()),0,IF(ISERROR(VLOOKUP($E1587,'TRM BanRep'!$A:$G,7,0)),0,VLOOKUP($E1587,'TRM BanRep'!$A:$G,7,0)))</f>
        <v>4776.25</v>
      </c>
      <c r="T1587" s="895">
        <f t="shared" ca="1" si="3069"/>
        <v>-1937342.5249999999</v>
      </c>
      <c r="U1587" s="350">
        <f t="shared" si="3070"/>
        <v>-405.62</v>
      </c>
      <c r="V1587" s="918">
        <f t="shared" ca="1" si="3071"/>
        <v>-1878685.8168000001</v>
      </c>
      <c r="W1587" s="351">
        <f t="shared" ca="1" si="3072"/>
        <v>58656.708199999761</v>
      </c>
      <c r="X1587" s="919">
        <f t="shared" ca="1" si="3073"/>
        <v>0</v>
      </c>
      <c r="Y1587" s="1018"/>
      <c r="Z1587" s="220"/>
      <c r="AA1587" s="15"/>
      <c r="AB1587" s="15"/>
      <c r="AC1587" s="15"/>
      <c r="AD1587" s="15"/>
      <c r="AE1587" s="15"/>
    </row>
    <row r="1588" spans="1:31" s="401" customFormat="1" outlineLevel="1">
      <c r="A1588" s="1011">
        <v>2401011000</v>
      </c>
      <c r="B1588" s="1012" t="s">
        <v>2299</v>
      </c>
      <c r="C1588" s="1013" t="s">
        <v>64</v>
      </c>
      <c r="D1588" s="1013">
        <v>5100000382</v>
      </c>
      <c r="E1588" s="1014">
        <v>44917</v>
      </c>
      <c r="F1588" s="1015"/>
      <c r="G1588" s="1293"/>
      <c r="H1588" s="346"/>
      <c r="I1588" s="1016"/>
      <c r="J1588" s="1457">
        <v>1</v>
      </c>
      <c r="K1588" s="1458">
        <v>1</v>
      </c>
      <c r="L1588" s="1036">
        <v>1568.89</v>
      </c>
      <c r="M1588" s="1325">
        <f>+L1588*J1588</f>
        <v>1568.89</v>
      </c>
      <c r="N1588" s="348">
        <f ca="1">IF(OR(E1588="",E1588&gt;TODAY()),0,IF(ISERROR(VLOOKUP($E1588,'TRM BanRep'!$A:$G,7,0)),0,VLOOKUP($E1588,'TRM BanRep'!$A:$G,7,0)))</f>
        <v>4761.6400000000003</v>
      </c>
      <c r="O1588" s="897">
        <f ca="1">+L1588*J1588*N1588</f>
        <v>7470489.3796000006</v>
      </c>
      <c r="P1588" s="1017"/>
      <c r="Q1588" s="1362">
        <f>+P1588*K1588</f>
        <v>0</v>
      </c>
      <c r="R1588" s="349"/>
      <c r="S1588" s="349">
        <f ca="1">IF(OR(E1588="",E1588&gt;TODAY()),0,IF(ISERROR(VLOOKUP($E1588,'TRM BanRep'!$A:$G,7,0)),0,VLOOKUP($E1588,'TRM BanRep'!$A:$G,7,0)))</f>
        <v>4761.6400000000003</v>
      </c>
      <c r="T1588" s="895">
        <f ca="1">+P1588*K1588*S1588</f>
        <v>0</v>
      </c>
      <c r="U1588" s="350">
        <f>+L1588+P1588+F1588</f>
        <v>1568.89</v>
      </c>
      <c r="V1588" s="918">
        <f ca="1">+P1588*J1588*R1588+L1588*J1588*N1588+F1588*J1588*H1588</f>
        <v>7470489.3796000006</v>
      </c>
      <c r="W1588" s="351">
        <f ca="1">-(IF(-P1588*J1588*R1588&lt;-P1588*K1588*S1588,(-P1588*J1588*R1588)-(-P1588*K1588*S1588),0))</f>
        <v>0</v>
      </c>
      <c r="X1588" s="919">
        <f ca="1">-(IF(-P1588*J1588*R1588&gt;-P1588*K1588*S1588,(-P1588*J1588*R1588)-(-P1588*K1588*S1588),0))</f>
        <v>0</v>
      </c>
      <c r="Y1588" s="1018"/>
      <c r="Z1588" s="220"/>
      <c r="AA1588" s="15"/>
      <c r="AB1588" s="15"/>
      <c r="AC1588" s="15"/>
      <c r="AD1588" s="15"/>
      <c r="AE1588" s="15"/>
    </row>
    <row r="1589" spans="1:31" s="401" customFormat="1" outlineLevel="1">
      <c r="A1589" s="1011">
        <v>2401011000</v>
      </c>
      <c r="B1589" s="1012" t="s">
        <v>1366</v>
      </c>
      <c r="C1589" s="1013" t="s">
        <v>64</v>
      </c>
      <c r="D1589" s="1013">
        <v>2000000925</v>
      </c>
      <c r="E1589" s="1014">
        <v>44960</v>
      </c>
      <c r="F1589" s="1015"/>
      <c r="G1589" s="1293"/>
      <c r="H1589" s="346"/>
      <c r="I1589" s="1016"/>
      <c r="J1589" s="1457">
        <v>1</v>
      </c>
      <c r="K1589" s="1458">
        <v>1</v>
      </c>
      <c r="L1589" s="1036"/>
      <c r="M1589" s="1325">
        <f t="shared" ref="M1589" si="3074">+L1589*J1589</f>
        <v>0</v>
      </c>
      <c r="N1589" s="348">
        <f ca="1">IF(OR(E1589="",E1589&gt;TODAY()),0,IF(ISERROR(VLOOKUP($E1589,'TRM BanRep'!$A:$G,7,0)),0,VLOOKUP($E1589,'TRM BanRep'!$A:$G,7,0)))</f>
        <v>4584.4399999999996</v>
      </c>
      <c r="O1589" s="897">
        <f t="shared" ref="O1589" ca="1" si="3075">+L1589*J1589*N1589</f>
        <v>0</v>
      </c>
      <c r="P1589" s="1017">
        <f>-L1588</f>
        <v>-1568.89</v>
      </c>
      <c r="Q1589" s="1362">
        <f t="shared" ref="Q1589" si="3076">+P1589*K1589</f>
        <v>-1568.89</v>
      </c>
      <c r="R1589" s="349">
        <f ca="1">+N1588</f>
        <v>4761.6400000000003</v>
      </c>
      <c r="S1589" s="349">
        <f ca="1">IF(OR(E1589="",E1589&gt;TODAY()),0,IF(ISERROR(VLOOKUP($E1589,'TRM BanRep'!$A:$G,7,0)),0,VLOOKUP($E1589,'TRM BanRep'!$A:$G,7,0)))</f>
        <v>4584.4399999999996</v>
      </c>
      <c r="T1589" s="895">
        <f t="shared" ref="T1589" ca="1" si="3077">+P1589*K1589*S1589</f>
        <v>-7192482.0715999994</v>
      </c>
      <c r="U1589" s="350">
        <f t="shared" ref="U1589" si="3078">+L1589+P1589+F1589</f>
        <v>-1568.89</v>
      </c>
      <c r="V1589" s="918">
        <f t="shared" ref="V1589" ca="1" si="3079">+P1589*J1589*R1589+L1589*J1589*N1589+F1589*J1589*H1589</f>
        <v>-7470489.3796000006</v>
      </c>
      <c r="W1589" s="351">
        <f t="shared" ref="W1589" ca="1" si="3080">-(IF(-P1589*J1589*R1589&lt;-P1589*K1589*S1589,(-P1589*J1589*R1589)-(-P1589*K1589*S1589),0))</f>
        <v>0</v>
      </c>
      <c r="X1589" s="919">
        <f t="shared" ref="X1589" ca="1" si="3081">-(IF(-P1589*J1589*R1589&gt;-P1589*K1589*S1589,(-P1589*J1589*R1589)-(-P1589*K1589*S1589),0))</f>
        <v>-278007.30800000113</v>
      </c>
      <c r="Y1589" s="1018"/>
      <c r="Z1589" s="220"/>
      <c r="AA1589" s="15"/>
      <c r="AB1589" s="15"/>
      <c r="AC1589" s="15"/>
      <c r="AD1589" s="15"/>
      <c r="AE1589" s="15"/>
    </row>
    <row r="1590" spans="1:31" s="401" customFormat="1" outlineLevel="1">
      <c r="A1590" s="1011">
        <v>2401011000</v>
      </c>
      <c r="B1590" s="1012" t="s">
        <v>2300</v>
      </c>
      <c r="C1590" s="1013" t="s">
        <v>64</v>
      </c>
      <c r="D1590" s="1013">
        <v>5100000431</v>
      </c>
      <c r="E1590" s="1014">
        <v>44946</v>
      </c>
      <c r="F1590" s="1015"/>
      <c r="G1590" s="1293"/>
      <c r="H1590" s="346"/>
      <c r="I1590" s="1016"/>
      <c r="J1590" s="1457">
        <v>1</v>
      </c>
      <c r="K1590" s="1458">
        <v>1</v>
      </c>
      <c r="L1590" s="1036">
        <v>830.47</v>
      </c>
      <c r="M1590" s="1325">
        <f t="shared" ref="M1590:M1591" si="3082">+L1590*J1590</f>
        <v>830.47</v>
      </c>
      <c r="N1590" s="348">
        <f ca="1">IF(OR(E1590="",E1590&gt;TODAY()),0,IF(ISERROR(VLOOKUP($E1590,'TRM BanRep'!$A:$G,7,0)),0,VLOOKUP($E1590,'TRM BanRep'!$A:$G,7,0)))</f>
        <v>4683.8500000000004</v>
      </c>
      <c r="O1590" s="897">
        <f t="shared" ref="O1590:O1591" ca="1" si="3083">+L1590*J1590*N1590</f>
        <v>3889796.9095000005</v>
      </c>
      <c r="P1590" s="1017"/>
      <c r="Q1590" s="1362">
        <f t="shared" ref="Q1590:Q1591" si="3084">+P1590*K1590</f>
        <v>0</v>
      </c>
      <c r="R1590" s="349"/>
      <c r="S1590" s="349">
        <f ca="1">IF(OR(E1590="",E1590&gt;TODAY()),0,IF(ISERROR(VLOOKUP($E1590,'TRM BanRep'!$A:$G,7,0)),0,VLOOKUP($E1590,'TRM BanRep'!$A:$G,7,0)))</f>
        <v>4683.8500000000004</v>
      </c>
      <c r="T1590" s="895">
        <f t="shared" ref="T1590:T1591" ca="1" si="3085">+P1590*K1590*S1590</f>
        <v>0</v>
      </c>
      <c r="U1590" s="350">
        <f t="shared" ref="U1590:U1591" si="3086">+L1590+P1590+F1590</f>
        <v>830.47</v>
      </c>
      <c r="V1590" s="918">
        <f t="shared" ref="V1590:V1591" ca="1" si="3087">+P1590*J1590*R1590+L1590*J1590*N1590+F1590*J1590*H1590</f>
        <v>3889796.9095000005</v>
      </c>
      <c r="W1590" s="351">
        <f t="shared" ref="W1590:W1591" ca="1" si="3088">-(IF(-P1590*J1590*R1590&lt;-P1590*K1590*S1590,(-P1590*J1590*R1590)-(-P1590*K1590*S1590),0))</f>
        <v>0</v>
      </c>
      <c r="X1590" s="919">
        <f t="shared" ref="X1590:X1591" ca="1" si="3089">-(IF(-P1590*J1590*R1590&gt;-P1590*K1590*S1590,(-P1590*J1590*R1590)-(-P1590*K1590*S1590),0))</f>
        <v>0</v>
      </c>
      <c r="Y1590" s="1018"/>
      <c r="Z1590" s="220"/>
      <c r="AA1590" s="15"/>
      <c r="AB1590" s="15"/>
      <c r="AC1590" s="15"/>
      <c r="AD1590" s="15"/>
      <c r="AE1590" s="15"/>
    </row>
    <row r="1591" spans="1:31" s="401" customFormat="1" outlineLevel="1">
      <c r="A1591" s="1011">
        <v>2401011000</v>
      </c>
      <c r="B1591" s="1012" t="s">
        <v>1366</v>
      </c>
      <c r="C1591" s="1013" t="s">
        <v>64</v>
      </c>
      <c r="D1591" s="1013">
        <v>2000000935</v>
      </c>
      <c r="E1591" s="1014">
        <v>44963</v>
      </c>
      <c r="F1591" s="1015"/>
      <c r="G1591" s="1293"/>
      <c r="H1591" s="346"/>
      <c r="I1591" s="1016"/>
      <c r="J1591" s="1457">
        <v>1</v>
      </c>
      <c r="K1591" s="1458">
        <v>1</v>
      </c>
      <c r="L1591" s="1036"/>
      <c r="M1591" s="1325">
        <f t="shared" si="3082"/>
        <v>0</v>
      </c>
      <c r="N1591" s="348">
        <f ca="1">IF(OR(E1591="",E1591&gt;TODAY()),0,IF(ISERROR(VLOOKUP($E1591,'TRM BanRep'!$A:$G,7,0)),0,VLOOKUP($E1591,'TRM BanRep'!$A:$G,7,0)))</f>
        <v>4669.74</v>
      </c>
      <c r="O1591" s="897">
        <f t="shared" ca="1" si="3083"/>
        <v>0</v>
      </c>
      <c r="P1591" s="1017">
        <f>-L1590</f>
        <v>-830.47</v>
      </c>
      <c r="Q1591" s="1362">
        <f t="shared" si="3084"/>
        <v>-830.47</v>
      </c>
      <c r="R1591" s="349">
        <f ca="1">+N1590</f>
        <v>4683.8500000000004</v>
      </c>
      <c r="S1591" s="349">
        <f ca="1">IF(OR(E1591="",E1591&gt;TODAY()),0,IF(ISERROR(VLOOKUP($E1591,'TRM BanRep'!$A:$G,7,0)),0,VLOOKUP($E1591,'TRM BanRep'!$A:$G,7,0)))</f>
        <v>4669.74</v>
      </c>
      <c r="T1591" s="895">
        <f t="shared" ca="1" si="3085"/>
        <v>-3878078.9778</v>
      </c>
      <c r="U1591" s="350">
        <f t="shared" si="3086"/>
        <v>-830.47</v>
      </c>
      <c r="V1591" s="918">
        <f t="shared" ca="1" si="3087"/>
        <v>-3889796.9095000005</v>
      </c>
      <c r="W1591" s="351">
        <f t="shared" ca="1" si="3088"/>
        <v>0</v>
      </c>
      <c r="X1591" s="919">
        <f t="shared" ca="1" si="3089"/>
        <v>-11717.931700000539</v>
      </c>
      <c r="Y1591" s="1018"/>
      <c r="Z1591" s="220"/>
      <c r="AA1591" s="15"/>
      <c r="AB1591" s="15"/>
      <c r="AC1591" s="15"/>
      <c r="AD1591" s="15"/>
      <c r="AE1591" s="15"/>
    </row>
    <row r="1592" spans="1:31" s="401" customFormat="1" outlineLevel="1">
      <c r="A1592" s="1011">
        <v>2401011000</v>
      </c>
      <c r="B1592" s="1012" t="s">
        <v>2301</v>
      </c>
      <c r="C1592" s="1013" t="s">
        <v>64</v>
      </c>
      <c r="D1592" s="1013">
        <v>5100000513</v>
      </c>
      <c r="E1592" s="1014">
        <v>44949</v>
      </c>
      <c r="F1592" s="1015"/>
      <c r="G1592" s="1293"/>
      <c r="H1592" s="346"/>
      <c r="I1592" s="1016"/>
      <c r="J1592" s="1457">
        <v>1</v>
      </c>
      <c r="K1592" s="1458">
        <v>1</v>
      </c>
      <c r="L1592" s="1036">
        <v>1664.97</v>
      </c>
      <c r="M1592" s="1325">
        <f>+L1592*J1592</f>
        <v>1664.97</v>
      </c>
      <c r="N1592" s="348">
        <f ca="1">IF(OR(E1592="",E1592&gt;TODAY()),0,IF(ISERROR(VLOOKUP($E1592,'TRM BanRep'!$A:$G,7,0)),0,VLOOKUP($E1592,'TRM BanRep'!$A:$G,7,0)))</f>
        <v>4631.6400000000003</v>
      </c>
      <c r="O1592" s="897">
        <f ca="1">+L1592*J1592*N1592</f>
        <v>7711541.6508000009</v>
      </c>
      <c r="P1592" s="1017"/>
      <c r="Q1592" s="1362">
        <f>+P1592*K1592</f>
        <v>0</v>
      </c>
      <c r="R1592" s="349"/>
      <c r="S1592" s="349">
        <f ca="1">IF(OR(E1592="",E1592&gt;TODAY()),0,IF(ISERROR(VLOOKUP($E1592,'TRM BanRep'!$A:$G,7,0)),0,VLOOKUP($E1592,'TRM BanRep'!$A:$G,7,0)))</f>
        <v>4631.6400000000003</v>
      </c>
      <c r="T1592" s="895">
        <f ca="1">+P1592*K1592*S1592</f>
        <v>0</v>
      </c>
      <c r="U1592" s="350">
        <f>+L1592+P1592+F1592</f>
        <v>1664.97</v>
      </c>
      <c r="V1592" s="918">
        <f ca="1">+P1592*J1592*R1592+L1592*J1592*N1592+F1592*J1592*H1592</f>
        <v>7711541.6508000009</v>
      </c>
      <c r="W1592" s="351">
        <f ca="1">-(IF(-P1592*J1592*R1592&lt;-P1592*K1592*S1592,(-P1592*J1592*R1592)-(-P1592*K1592*S1592),0))</f>
        <v>0</v>
      </c>
      <c r="X1592" s="919">
        <f ca="1">-(IF(-P1592*J1592*R1592&gt;-P1592*K1592*S1592,(-P1592*J1592*R1592)-(-P1592*K1592*S1592),0))</f>
        <v>0</v>
      </c>
      <c r="Y1592" s="1018"/>
      <c r="Z1592" s="220"/>
      <c r="AA1592" s="15"/>
      <c r="AB1592" s="15"/>
      <c r="AC1592" s="15"/>
      <c r="AD1592" s="15"/>
      <c r="AE1592" s="15"/>
    </row>
    <row r="1593" spans="1:31" s="401" customFormat="1" outlineLevel="1">
      <c r="A1593" s="1011">
        <v>2401011000</v>
      </c>
      <c r="B1593" s="1012" t="s">
        <v>1366</v>
      </c>
      <c r="C1593" s="1013" t="s">
        <v>64</v>
      </c>
      <c r="D1593" s="1013">
        <v>2000001589</v>
      </c>
      <c r="E1593" s="1014">
        <v>44979</v>
      </c>
      <c r="F1593" s="1015"/>
      <c r="G1593" s="1293"/>
      <c r="H1593" s="346"/>
      <c r="I1593" s="1016"/>
      <c r="J1593" s="1457">
        <v>1</v>
      </c>
      <c r="K1593" s="1458">
        <v>1</v>
      </c>
      <c r="L1593" s="1036"/>
      <c r="M1593" s="1325">
        <f t="shared" ref="M1593" si="3090">+L1593*J1593</f>
        <v>0</v>
      </c>
      <c r="N1593" s="348">
        <f ca="1">IF(OR(E1593="",E1593&gt;TODAY()),0,IF(ISERROR(VLOOKUP($E1593,'TRM BanRep'!$A:$G,7,0)),0,VLOOKUP($E1593,'TRM BanRep'!$A:$G,7,0)))</f>
        <v>4950.33</v>
      </c>
      <c r="O1593" s="897">
        <f t="shared" ref="O1593" ca="1" si="3091">+L1593*J1593*N1593</f>
        <v>0</v>
      </c>
      <c r="P1593" s="1017">
        <f>-L1592</f>
        <v>-1664.97</v>
      </c>
      <c r="Q1593" s="1362">
        <f t="shared" ref="Q1593" si="3092">+P1593*K1593</f>
        <v>-1664.97</v>
      </c>
      <c r="R1593" s="349">
        <f ca="1">+N1592</f>
        <v>4631.6400000000003</v>
      </c>
      <c r="S1593" s="349">
        <f ca="1">IF(OR(E1593="",E1593&gt;TODAY()),0,IF(ISERROR(VLOOKUP($E1593,'TRM BanRep'!$A:$G,7,0)),0,VLOOKUP($E1593,'TRM BanRep'!$A:$G,7,0)))</f>
        <v>4950.33</v>
      </c>
      <c r="T1593" s="895">
        <f t="shared" ref="T1593" ca="1" si="3093">+P1593*K1593*S1593</f>
        <v>-8242150.9401000002</v>
      </c>
      <c r="U1593" s="350">
        <f t="shared" ref="U1593" si="3094">+L1593+P1593+F1593</f>
        <v>-1664.97</v>
      </c>
      <c r="V1593" s="918">
        <f t="shared" ref="V1593" ca="1" si="3095">+P1593*J1593*R1593+L1593*J1593*N1593+F1593*J1593*H1593</f>
        <v>-7711541.6508000009</v>
      </c>
      <c r="W1593" s="351">
        <f t="shared" ref="W1593" ca="1" si="3096">-(IF(-P1593*J1593*R1593&lt;-P1593*K1593*S1593,(-P1593*J1593*R1593)-(-P1593*K1593*S1593),0))</f>
        <v>530609.28929999936</v>
      </c>
      <c r="X1593" s="919">
        <f t="shared" ref="X1593" ca="1" si="3097">-(IF(-P1593*J1593*R1593&gt;-P1593*K1593*S1593,(-P1593*J1593*R1593)-(-P1593*K1593*S1593),0))</f>
        <v>0</v>
      </c>
      <c r="Y1593" s="1018"/>
      <c r="Z1593" s="220"/>
      <c r="AA1593" s="15"/>
      <c r="AB1593" s="15"/>
      <c r="AC1593" s="15"/>
      <c r="AD1593" s="15"/>
      <c r="AE1593" s="15"/>
    </row>
    <row r="1594" spans="1:31" s="401" customFormat="1" outlineLevel="1">
      <c r="A1594" s="1011">
        <v>2401011000</v>
      </c>
      <c r="B1594" s="1012" t="s">
        <v>2302</v>
      </c>
      <c r="C1594" s="1013" t="s">
        <v>64</v>
      </c>
      <c r="D1594" s="1013">
        <v>5100000559</v>
      </c>
      <c r="E1594" s="1014">
        <v>44949</v>
      </c>
      <c r="F1594" s="1015"/>
      <c r="G1594" s="1293"/>
      <c r="H1594" s="346"/>
      <c r="I1594" s="1016"/>
      <c r="J1594" s="1457">
        <v>1</v>
      </c>
      <c r="K1594" s="1458">
        <v>1</v>
      </c>
      <c r="L1594" s="1036">
        <v>517.11</v>
      </c>
      <c r="M1594" s="1325">
        <f t="shared" ref="M1594:M1595" si="3098">+L1594*J1594</f>
        <v>517.11</v>
      </c>
      <c r="N1594" s="348">
        <f ca="1">IF(OR(E1594="",E1594&gt;TODAY()),0,IF(ISERROR(VLOOKUP($E1594,'TRM BanRep'!$A:$G,7,0)),0,VLOOKUP($E1594,'TRM BanRep'!$A:$G,7,0)))</f>
        <v>4631.6400000000003</v>
      </c>
      <c r="O1594" s="897">
        <f t="shared" ref="O1594:O1595" ca="1" si="3099">+L1594*J1594*N1594</f>
        <v>2395067.3604000001</v>
      </c>
      <c r="P1594" s="1017"/>
      <c r="Q1594" s="1362">
        <f t="shared" ref="Q1594:Q1595" si="3100">+P1594*K1594</f>
        <v>0</v>
      </c>
      <c r="R1594" s="349"/>
      <c r="S1594" s="349">
        <f ca="1">IF(OR(E1594="",E1594&gt;TODAY()),0,IF(ISERROR(VLOOKUP($E1594,'TRM BanRep'!$A:$G,7,0)),0,VLOOKUP($E1594,'TRM BanRep'!$A:$G,7,0)))</f>
        <v>4631.6400000000003</v>
      </c>
      <c r="T1594" s="895">
        <f t="shared" ref="T1594:T1595" ca="1" si="3101">+P1594*K1594*S1594</f>
        <v>0</v>
      </c>
      <c r="U1594" s="350">
        <f t="shared" ref="U1594:U1595" si="3102">+L1594+P1594+F1594</f>
        <v>517.11</v>
      </c>
      <c r="V1594" s="918">
        <f t="shared" ref="V1594:V1595" ca="1" si="3103">+P1594*J1594*R1594+L1594*J1594*N1594+F1594*J1594*H1594</f>
        <v>2395067.3604000001</v>
      </c>
      <c r="W1594" s="351">
        <f t="shared" ref="W1594:W1595" ca="1" si="3104">-(IF(-P1594*J1594*R1594&lt;-P1594*K1594*S1594,(-P1594*J1594*R1594)-(-P1594*K1594*S1594),0))</f>
        <v>0</v>
      </c>
      <c r="X1594" s="919">
        <f t="shared" ref="X1594:X1595" ca="1" si="3105">-(IF(-P1594*J1594*R1594&gt;-P1594*K1594*S1594,(-P1594*J1594*R1594)-(-P1594*K1594*S1594),0))</f>
        <v>0</v>
      </c>
      <c r="Y1594" s="1018"/>
      <c r="Z1594" s="220"/>
      <c r="AA1594" s="15"/>
      <c r="AB1594" s="15"/>
      <c r="AC1594" s="15"/>
      <c r="AD1594" s="15"/>
      <c r="AE1594" s="15"/>
    </row>
    <row r="1595" spans="1:31" s="401" customFormat="1" outlineLevel="1">
      <c r="A1595" s="1011">
        <v>2401011000</v>
      </c>
      <c r="B1595" s="1012" t="s">
        <v>1366</v>
      </c>
      <c r="C1595" s="1013" t="s">
        <v>64</v>
      </c>
      <c r="D1595" s="1013">
        <v>2000001213</v>
      </c>
      <c r="E1595" s="1014">
        <v>44966</v>
      </c>
      <c r="F1595" s="1015"/>
      <c r="G1595" s="1293"/>
      <c r="H1595" s="346"/>
      <c r="I1595" s="1016"/>
      <c r="J1595" s="1457">
        <v>1</v>
      </c>
      <c r="K1595" s="1458">
        <v>1</v>
      </c>
      <c r="L1595" s="1036"/>
      <c r="M1595" s="1325">
        <f t="shared" si="3098"/>
        <v>0</v>
      </c>
      <c r="N1595" s="348">
        <f ca="1">IF(OR(E1595="",E1595&gt;TODAY()),0,IF(ISERROR(VLOOKUP($E1595,'TRM BanRep'!$A:$G,7,0)),0,VLOOKUP($E1595,'TRM BanRep'!$A:$G,7,0)))</f>
        <v>4769.8500000000004</v>
      </c>
      <c r="O1595" s="897">
        <f t="shared" ca="1" si="3099"/>
        <v>0</v>
      </c>
      <c r="P1595" s="1017">
        <f>-L1594</f>
        <v>-517.11</v>
      </c>
      <c r="Q1595" s="1362">
        <f t="shared" si="3100"/>
        <v>-517.11</v>
      </c>
      <c r="R1595" s="349">
        <f ca="1">+N1594</f>
        <v>4631.6400000000003</v>
      </c>
      <c r="S1595" s="349">
        <f ca="1">IF(OR(E1595="",E1595&gt;TODAY()),0,IF(ISERROR(VLOOKUP($E1595,'TRM BanRep'!$A:$G,7,0)),0,VLOOKUP($E1595,'TRM BanRep'!$A:$G,7,0)))</f>
        <v>4769.8500000000004</v>
      </c>
      <c r="T1595" s="895">
        <f t="shared" ca="1" si="3101"/>
        <v>-2466537.1335000005</v>
      </c>
      <c r="U1595" s="350">
        <f t="shared" si="3102"/>
        <v>-517.11</v>
      </c>
      <c r="V1595" s="918">
        <f t="shared" ca="1" si="3103"/>
        <v>-2395067.3604000001</v>
      </c>
      <c r="W1595" s="351">
        <f t="shared" ca="1" si="3104"/>
        <v>71469.77310000034</v>
      </c>
      <c r="X1595" s="919">
        <f t="shared" ca="1" si="3105"/>
        <v>0</v>
      </c>
      <c r="Y1595" s="1018"/>
      <c r="Z1595" s="220"/>
      <c r="AA1595" s="15"/>
      <c r="AB1595" s="15"/>
      <c r="AC1595" s="15"/>
      <c r="AD1595" s="15"/>
      <c r="AE1595" s="15"/>
    </row>
    <row r="1596" spans="1:31" s="401" customFormat="1" outlineLevel="1">
      <c r="A1596" s="1011">
        <v>2401011000</v>
      </c>
      <c r="B1596" s="1012" t="s">
        <v>2303</v>
      </c>
      <c r="C1596" s="1013" t="s">
        <v>64</v>
      </c>
      <c r="D1596" s="1013">
        <v>5100000083</v>
      </c>
      <c r="E1596" s="1014">
        <v>44930</v>
      </c>
      <c r="F1596" s="1015"/>
      <c r="G1596" s="1293"/>
      <c r="H1596" s="346"/>
      <c r="I1596" s="1016"/>
      <c r="J1596" s="1457">
        <v>1</v>
      </c>
      <c r="K1596" s="1458">
        <v>1</v>
      </c>
      <c r="L1596" s="1036">
        <v>2581.58</v>
      </c>
      <c r="M1596" s="1325">
        <f>+L1596*J1596</f>
        <v>2581.58</v>
      </c>
      <c r="N1596" s="348">
        <f ca="1">IF(OR(E1596="",E1596&gt;TODAY()),0,IF(ISERROR(VLOOKUP($E1596,'TRM BanRep'!$A:$G,7,0)),0,VLOOKUP($E1596,'TRM BanRep'!$A:$G,7,0)))</f>
        <v>4842.26</v>
      </c>
      <c r="O1596" s="897">
        <f ca="1">+L1596*J1596*N1596</f>
        <v>12500681.570800001</v>
      </c>
      <c r="P1596" s="1017"/>
      <c r="Q1596" s="1362">
        <f>+P1596*K1596</f>
        <v>0</v>
      </c>
      <c r="R1596" s="349"/>
      <c r="S1596" s="349">
        <f ca="1">IF(OR(E1596="",E1596&gt;TODAY()),0,IF(ISERROR(VLOOKUP($E1596,'TRM BanRep'!$A:$G,7,0)),0,VLOOKUP($E1596,'TRM BanRep'!$A:$G,7,0)))</f>
        <v>4842.26</v>
      </c>
      <c r="T1596" s="895">
        <f ca="1">+P1596*K1596*S1596</f>
        <v>0</v>
      </c>
      <c r="U1596" s="350">
        <f>+L1596+P1596+F1596</f>
        <v>2581.58</v>
      </c>
      <c r="V1596" s="918">
        <f ca="1">+P1596*J1596*R1596+L1596*J1596*N1596+F1596*J1596*H1596</f>
        <v>12500681.570800001</v>
      </c>
      <c r="W1596" s="351">
        <f ca="1">-(IF(-P1596*J1596*R1596&lt;-P1596*K1596*S1596,(-P1596*J1596*R1596)-(-P1596*K1596*S1596),0))</f>
        <v>0</v>
      </c>
      <c r="X1596" s="919">
        <f ca="1">-(IF(-P1596*J1596*R1596&gt;-P1596*K1596*S1596,(-P1596*J1596*R1596)-(-P1596*K1596*S1596),0))</f>
        <v>0</v>
      </c>
      <c r="Y1596" s="1018"/>
      <c r="Z1596" s="220"/>
      <c r="AA1596" s="15"/>
      <c r="AB1596" s="15"/>
      <c r="AC1596" s="15"/>
      <c r="AD1596" s="15"/>
      <c r="AE1596" s="15"/>
    </row>
    <row r="1597" spans="1:31" s="401" customFormat="1" outlineLevel="1">
      <c r="A1597" s="1011">
        <v>2401011000</v>
      </c>
      <c r="B1597" s="1012" t="s">
        <v>1366</v>
      </c>
      <c r="C1597" s="1013" t="s">
        <v>64</v>
      </c>
      <c r="D1597" s="1013">
        <v>2000000924</v>
      </c>
      <c r="E1597" s="1014">
        <v>44960</v>
      </c>
      <c r="F1597" s="1015"/>
      <c r="G1597" s="1293"/>
      <c r="H1597" s="346"/>
      <c r="I1597" s="1016"/>
      <c r="J1597" s="1457">
        <v>1</v>
      </c>
      <c r="K1597" s="1458">
        <v>1</v>
      </c>
      <c r="L1597" s="1036"/>
      <c r="M1597" s="1325">
        <f t="shared" ref="M1597" si="3106">+L1597*J1597</f>
        <v>0</v>
      </c>
      <c r="N1597" s="348">
        <f ca="1">IF(OR(E1597="",E1597&gt;TODAY()),0,IF(ISERROR(VLOOKUP($E1597,'TRM BanRep'!$A:$G,7,0)),0,VLOOKUP($E1597,'TRM BanRep'!$A:$G,7,0)))</f>
        <v>4584.4399999999996</v>
      </c>
      <c r="O1597" s="897">
        <f t="shared" ref="O1597" ca="1" si="3107">+L1597*J1597*N1597</f>
        <v>0</v>
      </c>
      <c r="P1597" s="1017">
        <f>-L1596</f>
        <v>-2581.58</v>
      </c>
      <c r="Q1597" s="1362">
        <f t="shared" ref="Q1597" si="3108">+P1597*K1597</f>
        <v>-2581.58</v>
      </c>
      <c r="R1597" s="349">
        <f ca="1">+N1596</f>
        <v>4842.26</v>
      </c>
      <c r="S1597" s="349">
        <f ca="1">IF(OR(E1597="",E1597&gt;TODAY()),0,IF(ISERROR(VLOOKUP($E1597,'TRM BanRep'!$A:$G,7,0)),0,VLOOKUP($E1597,'TRM BanRep'!$A:$G,7,0)))</f>
        <v>4584.4399999999996</v>
      </c>
      <c r="T1597" s="895">
        <f t="shared" ref="T1597" ca="1" si="3109">+P1597*K1597*S1597</f>
        <v>-11835098.615199998</v>
      </c>
      <c r="U1597" s="350">
        <f t="shared" ref="U1597" si="3110">+L1597+P1597+F1597</f>
        <v>-2581.58</v>
      </c>
      <c r="V1597" s="918">
        <f t="shared" ref="V1597" ca="1" si="3111">+P1597*J1597*R1597+L1597*J1597*N1597+F1597*J1597*H1597</f>
        <v>-12500681.570800001</v>
      </c>
      <c r="W1597" s="351">
        <f t="shared" ref="W1597" ca="1" si="3112">-(IF(-P1597*J1597*R1597&lt;-P1597*K1597*S1597,(-P1597*J1597*R1597)-(-P1597*K1597*S1597),0))</f>
        <v>0</v>
      </c>
      <c r="X1597" s="919">
        <f t="shared" ref="X1597" ca="1" si="3113">-(IF(-P1597*J1597*R1597&gt;-P1597*K1597*S1597,(-P1597*J1597*R1597)-(-P1597*K1597*S1597),0))</f>
        <v>-665582.95560000278</v>
      </c>
      <c r="Y1597" s="1018"/>
      <c r="Z1597" s="220"/>
      <c r="AA1597" s="15"/>
      <c r="AB1597" s="15"/>
      <c r="AC1597" s="15"/>
      <c r="AD1597" s="15"/>
      <c r="AE1597" s="15"/>
    </row>
    <row r="1598" spans="1:31" s="401" customFormat="1" outlineLevel="1">
      <c r="A1598" s="1011">
        <v>2401011000</v>
      </c>
      <c r="B1598" s="1012" t="s">
        <v>2304</v>
      </c>
      <c r="C1598" s="1013" t="s">
        <v>64</v>
      </c>
      <c r="D1598" s="1013">
        <v>5100000346</v>
      </c>
      <c r="E1598" s="1014">
        <v>44944</v>
      </c>
      <c r="F1598" s="1015"/>
      <c r="G1598" s="1293"/>
      <c r="H1598" s="346"/>
      <c r="I1598" s="1016"/>
      <c r="J1598" s="1457">
        <v>1</v>
      </c>
      <c r="K1598" s="1458">
        <v>1</v>
      </c>
      <c r="L1598" s="1036">
        <v>1164.6199999999999</v>
      </c>
      <c r="M1598" s="1325">
        <f t="shared" ref="M1598:M1599" si="3114">+L1598*J1598</f>
        <v>1164.6199999999999</v>
      </c>
      <c r="N1598" s="348">
        <f ca="1">IF(OR(E1598="",E1598&gt;TODAY()),0,IF(ISERROR(VLOOKUP($E1598,'TRM BanRep'!$A:$G,7,0)),0,VLOOKUP($E1598,'TRM BanRep'!$A:$G,7,0)))</f>
        <v>4691.09</v>
      </c>
      <c r="O1598" s="897">
        <f t="shared" ref="O1598:O1599" ca="1" si="3115">+L1598*J1598*N1598</f>
        <v>5463337.2357999999</v>
      </c>
      <c r="P1598" s="1017"/>
      <c r="Q1598" s="1362">
        <f t="shared" ref="Q1598:Q1599" si="3116">+P1598*K1598</f>
        <v>0</v>
      </c>
      <c r="R1598" s="349"/>
      <c r="S1598" s="349">
        <f ca="1">IF(OR(E1598="",E1598&gt;TODAY()),0,IF(ISERROR(VLOOKUP($E1598,'TRM BanRep'!$A:$G,7,0)),0,VLOOKUP($E1598,'TRM BanRep'!$A:$G,7,0)))</f>
        <v>4691.09</v>
      </c>
      <c r="T1598" s="895">
        <f t="shared" ref="T1598:T1599" ca="1" si="3117">+P1598*K1598*S1598</f>
        <v>0</v>
      </c>
      <c r="U1598" s="350">
        <f t="shared" ref="U1598:U1599" si="3118">+L1598+P1598+F1598</f>
        <v>1164.6199999999999</v>
      </c>
      <c r="V1598" s="918">
        <f t="shared" ref="V1598:V1599" ca="1" si="3119">+P1598*J1598*R1598+L1598*J1598*N1598+F1598*J1598*H1598</f>
        <v>5463337.2357999999</v>
      </c>
      <c r="W1598" s="351">
        <f t="shared" ref="W1598:W1599" ca="1" si="3120">-(IF(-P1598*J1598*R1598&lt;-P1598*K1598*S1598,(-P1598*J1598*R1598)-(-P1598*K1598*S1598),0))</f>
        <v>0</v>
      </c>
      <c r="X1598" s="919">
        <f t="shared" ref="X1598:X1599" ca="1" si="3121">-(IF(-P1598*J1598*R1598&gt;-P1598*K1598*S1598,(-P1598*J1598*R1598)-(-P1598*K1598*S1598),0))</f>
        <v>0</v>
      </c>
      <c r="Y1598" s="1018"/>
      <c r="Z1598" s="220"/>
      <c r="AA1598" s="15"/>
      <c r="AB1598" s="15"/>
      <c r="AC1598" s="15"/>
      <c r="AD1598" s="15"/>
      <c r="AE1598" s="15"/>
    </row>
    <row r="1599" spans="1:31" s="401" customFormat="1" outlineLevel="1">
      <c r="A1599" s="1011">
        <v>2401011000</v>
      </c>
      <c r="B1599" s="1012" t="s">
        <v>1366</v>
      </c>
      <c r="C1599" s="1013" t="s">
        <v>64</v>
      </c>
      <c r="D1599" s="1013">
        <v>2000001512</v>
      </c>
      <c r="E1599" s="1014">
        <v>44974</v>
      </c>
      <c r="F1599" s="1015"/>
      <c r="G1599" s="1293"/>
      <c r="H1599" s="346"/>
      <c r="I1599" s="1016"/>
      <c r="J1599" s="1457">
        <v>1</v>
      </c>
      <c r="K1599" s="1458">
        <v>1</v>
      </c>
      <c r="L1599" s="1036"/>
      <c r="M1599" s="1325">
        <f t="shared" si="3114"/>
        <v>0</v>
      </c>
      <c r="N1599" s="348">
        <f ca="1">IF(OR(E1599="",E1599&gt;TODAY()),0,IF(ISERROR(VLOOKUP($E1599,'TRM BanRep'!$A:$G,7,0)),0,VLOOKUP($E1599,'TRM BanRep'!$A:$G,7,0)))</f>
        <v>4966.33</v>
      </c>
      <c r="O1599" s="897">
        <f t="shared" ca="1" si="3115"/>
        <v>0</v>
      </c>
      <c r="P1599" s="1017">
        <f>-L1598</f>
        <v>-1164.6199999999999</v>
      </c>
      <c r="Q1599" s="1362">
        <f t="shared" si="3116"/>
        <v>-1164.6199999999999</v>
      </c>
      <c r="R1599" s="349">
        <f ca="1">+N1598</f>
        <v>4691.09</v>
      </c>
      <c r="S1599" s="349">
        <f ca="1">IF(OR(E1599="",E1599&gt;TODAY()),0,IF(ISERROR(VLOOKUP($E1599,'TRM BanRep'!$A:$G,7,0)),0,VLOOKUP($E1599,'TRM BanRep'!$A:$G,7,0)))</f>
        <v>4966.33</v>
      </c>
      <c r="T1599" s="895">
        <f t="shared" ca="1" si="3117"/>
        <v>-5783887.2445999989</v>
      </c>
      <c r="U1599" s="350">
        <f t="shared" si="3118"/>
        <v>-1164.6199999999999</v>
      </c>
      <c r="V1599" s="918">
        <f t="shared" ca="1" si="3119"/>
        <v>-5463337.2357999999</v>
      </c>
      <c r="W1599" s="351">
        <f t="shared" ca="1" si="3120"/>
        <v>320550.00879999902</v>
      </c>
      <c r="X1599" s="919">
        <f t="shared" ca="1" si="3121"/>
        <v>0</v>
      </c>
      <c r="Y1599" s="1018"/>
      <c r="Z1599" s="220"/>
      <c r="AA1599" s="15"/>
      <c r="AB1599" s="15"/>
      <c r="AC1599" s="15"/>
      <c r="AD1599" s="15"/>
      <c r="AE1599" s="15"/>
    </row>
    <row r="1600" spans="1:31" s="401" customFormat="1" outlineLevel="1">
      <c r="A1600" s="1011">
        <v>2401011000</v>
      </c>
      <c r="B1600" s="1012" t="s">
        <v>2305</v>
      </c>
      <c r="C1600" s="1013" t="s">
        <v>64</v>
      </c>
      <c r="D1600" s="1013">
        <v>5100000609</v>
      </c>
      <c r="E1600" s="1014">
        <v>44950</v>
      </c>
      <c r="F1600" s="1015"/>
      <c r="G1600" s="1293"/>
      <c r="H1600" s="346"/>
      <c r="I1600" s="1016"/>
      <c r="J1600" s="1457">
        <v>1</v>
      </c>
      <c r="K1600" s="1458">
        <v>1</v>
      </c>
      <c r="L1600" s="1036">
        <v>2631.01</v>
      </c>
      <c r="M1600" s="1325">
        <f>+L1600*J1600</f>
        <v>2631.01</v>
      </c>
      <c r="N1600" s="348">
        <f ca="1">IF(OR(E1600="",E1600&gt;TODAY()),0,IF(ISERROR(VLOOKUP($E1600,'TRM BanRep'!$A:$G,7,0)),0,VLOOKUP($E1600,'TRM BanRep'!$A:$G,7,0)))</f>
        <v>4551.0200000000004</v>
      </c>
      <c r="O1600" s="897">
        <f ca="1">+L1600*J1600*N1600</f>
        <v>11973779.130200002</v>
      </c>
      <c r="P1600" s="1017"/>
      <c r="Q1600" s="1362">
        <f>+P1600*K1600</f>
        <v>0</v>
      </c>
      <c r="R1600" s="349"/>
      <c r="S1600" s="349">
        <f ca="1">IF(OR(E1600="",E1600&gt;TODAY()),0,IF(ISERROR(VLOOKUP($E1600,'TRM BanRep'!$A:$G,7,0)),0,VLOOKUP($E1600,'TRM BanRep'!$A:$G,7,0)))</f>
        <v>4551.0200000000004</v>
      </c>
      <c r="T1600" s="895">
        <f ca="1">+P1600*K1600*S1600</f>
        <v>0</v>
      </c>
      <c r="U1600" s="350">
        <f>+L1600+P1600+F1600</f>
        <v>2631.01</v>
      </c>
      <c r="V1600" s="918">
        <f ca="1">+P1600*J1600*R1600+L1600*J1600*N1600+F1600*J1600*H1600</f>
        <v>11973779.130200002</v>
      </c>
      <c r="W1600" s="351">
        <f ca="1">-(IF(-P1600*J1600*R1600&lt;-P1600*K1600*S1600,(-P1600*J1600*R1600)-(-P1600*K1600*S1600),0))</f>
        <v>0</v>
      </c>
      <c r="X1600" s="919">
        <f ca="1">-(IF(-P1600*J1600*R1600&gt;-P1600*K1600*S1600,(-P1600*J1600*R1600)-(-P1600*K1600*S1600),0))</f>
        <v>0</v>
      </c>
      <c r="Y1600" s="1018"/>
      <c r="Z1600" s="220"/>
      <c r="AA1600" s="15"/>
      <c r="AB1600" s="15"/>
      <c r="AC1600" s="15"/>
      <c r="AD1600" s="15"/>
      <c r="AE1600" s="15"/>
    </row>
    <row r="1601" spans="1:31" s="401" customFormat="1" outlineLevel="1">
      <c r="A1601" s="1011">
        <v>2401011000</v>
      </c>
      <c r="B1601" s="1012" t="s">
        <v>1366</v>
      </c>
      <c r="C1601" s="1013" t="s">
        <v>64</v>
      </c>
      <c r="D1601" s="1013">
        <v>2000001611</v>
      </c>
      <c r="E1601" s="1014">
        <v>44980</v>
      </c>
      <c r="F1601" s="1015"/>
      <c r="G1601" s="1293"/>
      <c r="H1601" s="346"/>
      <c r="I1601" s="1016"/>
      <c r="J1601" s="1457">
        <v>1</v>
      </c>
      <c r="K1601" s="1458">
        <v>1</v>
      </c>
      <c r="L1601" s="1036"/>
      <c r="M1601" s="1325">
        <f t="shared" ref="M1601" si="3122">+L1601*J1601</f>
        <v>0</v>
      </c>
      <c r="N1601" s="348">
        <f ca="1">IF(OR(E1601="",E1601&gt;TODAY()),0,IF(ISERROR(VLOOKUP($E1601,'TRM BanRep'!$A:$G,7,0)),0,VLOOKUP($E1601,'TRM BanRep'!$A:$G,7,0)))</f>
        <v>4924.91</v>
      </c>
      <c r="O1601" s="897">
        <f t="shared" ref="O1601" ca="1" si="3123">+L1601*J1601*N1601</f>
        <v>0</v>
      </c>
      <c r="P1601" s="1017">
        <f>-L1600</f>
        <v>-2631.01</v>
      </c>
      <c r="Q1601" s="1362">
        <f t="shared" ref="Q1601" si="3124">+P1601*K1601</f>
        <v>-2631.01</v>
      </c>
      <c r="R1601" s="349">
        <f ca="1">+N1600</f>
        <v>4551.0200000000004</v>
      </c>
      <c r="S1601" s="349">
        <f ca="1">IF(OR(E1601="",E1601&gt;TODAY()),0,IF(ISERROR(VLOOKUP($E1601,'TRM BanRep'!$A:$G,7,0)),0,VLOOKUP($E1601,'TRM BanRep'!$A:$G,7,0)))</f>
        <v>4924.91</v>
      </c>
      <c r="T1601" s="895">
        <f t="shared" ref="T1601" ca="1" si="3125">+P1601*K1601*S1601</f>
        <v>-12957487.459100001</v>
      </c>
      <c r="U1601" s="350">
        <f t="shared" ref="U1601" si="3126">+L1601+P1601+F1601</f>
        <v>-2631.01</v>
      </c>
      <c r="V1601" s="918">
        <f t="shared" ref="V1601" ca="1" si="3127">+P1601*J1601*R1601+L1601*J1601*N1601+F1601*J1601*H1601</f>
        <v>-11973779.130200002</v>
      </c>
      <c r="W1601" s="351">
        <f t="shared" ref="W1601" ca="1" si="3128">-(IF(-P1601*J1601*R1601&lt;-P1601*K1601*S1601,(-P1601*J1601*R1601)-(-P1601*K1601*S1601),0))</f>
        <v>983708.32889999822</v>
      </c>
      <c r="X1601" s="919">
        <f t="shared" ref="X1601" ca="1" si="3129">-(IF(-P1601*J1601*R1601&gt;-P1601*K1601*S1601,(-P1601*J1601*R1601)-(-P1601*K1601*S1601),0))</f>
        <v>0</v>
      </c>
      <c r="Y1601" s="1018"/>
      <c r="Z1601" s="220"/>
      <c r="AA1601" s="15"/>
      <c r="AB1601" s="15"/>
      <c r="AC1601" s="15"/>
      <c r="AD1601" s="15"/>
      <c r="AE1601" s="15"/>
    </row>
    <row r="1602" spans="1:31" s="401" customFormat="1" outlineLevel="1">
      <c r="A1602" s="1011">
        <v>2401011000</v>
      </c>
      <c r="B1602" s="1012" t="s">
        <v>1496</v>
      </c>
      <c r="C1602" s="1013" t="s">
        <v>64</v>
      </c>
      <c r="D1602" s="1013">
        <v>5100000385</v>
      </c>
      <c r="E1602" s="1014">
        <v>44945</v>
      </c>
      <c r="F1602" s="1015"/>
      <c r="G1602" s="1293"/>
      <c r="H1602" s="346"/>
      <c r="I1602" s="1016"/>
      <c r="J1602" s="1457">
        <v>1</v>
      </c>
      <c r="K1602" s="1458">
        <v>1</v>
      </c>
      <c r="L1602" s="1036">
        <v>19048.16</v>
      </c>
      <c r="M1602" s="1325">
        <f t="shared" ref="M1602:M1603" si="3130">+L1602*J1602</f>
        <v>19048.16</v>
      </c>
      <c r="N1602" s="348">
        <f ca="1">IF(OR(E1602="",E1602&gt;TODAY()),0,IF(ISERROR(VLOOKUP($E1602,'TRM BanRep'!$A:$G,7,0)),0,VLOOKUP($E1602,'TRM BanRep'!$A:$G,7,0)))</f>
        <v>4702.67</v>
      </c>
      <c r="O1602" s="897">
        <f t="shared" ref="O1602:O1603" ca="1" si="3131">+L1602*J1602*N1602</f>
        <v>89577210.587200001</v>
      </c>
      <c r="P1602" s="1017"/>
      <c r="Q1602" s="1362">
        <f t="shared" ref="Q1602:Q1603" si="3132">+P1602*K1602</f>
        <v>0</v>
      </c>
      <c r="R1602" s="349"/>
      <c r="S1602" s="349">
        <f ca="1">IF(OR(E1602="",E1602&gt;TODAY()),0,IF(ISERROR(VLOOKUP($E1602,'TRM BanRep'!$A:$G,7,0)),0,VLOOKUP($E1602,'TRM BanRep'!$A:$G,7,0)))</f>
        <v>4702.67</v>
      </c>
      <c r="T1602" s="895">
        <f t="shared" ref="T1602:T1603" ca="1" si="3133">+P1602*K1602*S1602</f>
        <v>0</v>
      </c>
      <c r="U1602" s="350">
        <f t="shared" ref="U1602:U1603" si="3134">+L1602+P1602+F1602</f>
        <v>19048.16</v>
      </c>
      <c r="V1602" s="918">
        <f t="shared" ref="V1602:V1603" ca="1" si="3135">+P1602*J1602*R1602+L1602*J1602*N1602+F1602*J1602*H1602</f>
        <v>89577210.587200001</v>
      </c>
      <c r="W1602" s="351">
        <f t="shared" ref="W1602:W1603" ca="1" si="3136">-(IF(-P1602*J1602*R1602&lt;-P1602*K1602*S1602,(-P1602*J1602*R1602)-(-P1602*K1602*S1602),0))</f>
        <v>0</v>
      </c>
      <c r="X1602" s="919">
        <f t="shared" ref="X1602:X1603" ca="1" si="3137">-(IF(-P1602*J1602*R1602&gt;-P1602*K1602*S1602,(-P1602*J1602*R1602)-(-P1602*K1602*S1602),0))</f>
        <v>0</v>
      </c>
      <c r="Y1602" s="1018"/>
      <c r="Z1602" s="220"/>
      <c r="AA1602" s="15"/>
      <c r="AB1602" s="15"/>
      <c r="AC1602" s="15"/>
      <c r="AD1602" s="15"/>
      <c r="AE1602" s="15"/>
    </row>
    <row r="1603" spans="1:31" s="401" customFormat="1" outlineLevel="1">
      <c r="A1603" s="1011">
        <v>2401011000</v>
      </c>
      <c r="B1603" s="1012" t="s">
        <v>1366</v>
      </c>
      <c r="C1603" s="1013" t="s">
        <v>64</v>
      </c>
      <c r="D1603" s="1013">
        <v>2000001537</v>
      </c>
      <c r="E1603" s="1014">
        <v>44977</v>
      </c>
      <c r="F1603" s="1015"/>
      <c r="G1603" s="1293"/>
      <c r="H1603" s="346"/>
      <c r="I1603" s="1016"/>
      <c r="J1603" s="1457">
        <v>1</v>
      </c>
      <c r="K1603" s="1458">
        <v>1</v>
      </c>
      <c r="L1603" s="1036"/>
      <c r="M1603" s="1325">
        <f t="shared" si="3130"/>
        <v>0</v>
      </c>
      <c r="N1603" s="348">
        <f ca="1">IF(OR(E1603="",E1603&gt;TODAY()),0,IF(ISERROR(VLOOKUP($E1603,'TRM BanRep'!$A:$G,7,0)),0,VLOOKUP($E1603,'TRM BanRep'!$A:$G,7,0)))</f>
        <v>4918.9399999999996</v>
      </c>
      <c r="O1603" s="897">
        <f t="shared" ca="1" si="3131"/>
        <v>0</v>
      </c>
      <c r="P1603" s="1017">
        <f>-L1602</f>
        <v>-19048.16</v>
      </c>
      <c r="Q1603" s="1362">
        <f t="shared" si="3132"/>
        <v>-19048.16</v>
      </c>
      <c r="R1603" s="349">
        <f ca="1">+N1602</f>
        <v>4702.67</v>
      </c>
      <c r="S1603" s="349">
        <f ca="1">IF(OR(E1603="",E1603&gt;TODAY()),0,IF(ISERROR(VLOOKUP($E1603,'TRM BanRep'!$A:$G,7,0)),0,VLOOKUP($E1603,'TRM BanRep'!$A:$G,7,0)))</f>
        <v>4918.9399999999996</v>
      </c>
      <c r="T1603" s="895">
        <f t="shared" ca="1" si="3133"/>
        <v>-93696756.150399998</v>
      </c>
      <c r="U1603" s="350">
        <f t="shared" si="3134"/>
        <v>-19048.16</v>
      </c>
      <c r="V1603" s="918">
        <f t="shared" ca="1" si="3135"/>
        <v>-89577210.587200001</v>
      </c>
      <c r="W1603" s="351">
        <f t="shared" ca="1" si="3136"/>
        <v>4119545.5631999969</v>
      </c>
      <c r="X1603" s="919">
        <f t="shared" ca="1" si="3137"/>
        <v>0</v>
      </c>
      <c r="Y1603" s="1018"/>
      <c r="Z1603" s="220"/>
      <c r="AA1603" s="15"/>
      <c r="AB1603" s="15"/>
      <c r="AC1603" s="15"/>
      <c r="AD1603" s="15"/>
      <c r="AE1603" s="15"/>
    </row>
    <row r="1604" spans="1:31" s="401" customFormat="1" outlineLevel="1">
      <c r="A1604" s="1011">
        <v>2401011000</v>
      </c>
      <c r="B1604" s="1012" t="s">
        <v>2306</v>
      </c>
      <c r="C1604" s="1013" t="s">
        <v>64</v>
      </c>
      <c r="D1604" s="1013">
        <v>5100000470</v>
      </c>
      <c r="E1604" s="1014">
        <v>44949</v>
      </c>
      <c r="F1604" s="1015"/>
      <c r="G1604" s="1293"/>
      <c r="H1604" s="346"/>
      <c r="I1604" s="1016"/>
      <c r="J1604" s="1457">
        <v>1</v>
      </c>
      <c r="K1604" s="1458">
        <v>1</v>
      </c>
      <c r="L1604" s="1036">
        <v>247.64</v>
      </c>
      <c r="M1604" s="1325">
        <f>+L1604*J1604</f>
        <v>247.64</v>
      </c>
      <c r="N1604" s="348">
        <f ca="1">IF(OR(E1604="",E1604&gt;TODAY()),0,IF(ISERROR(VLOOKUP($E1604,'TRM BanRep'!$A:$G,7,0)),0,VLOOKUP($E1604,'TRM BanRep'!$A:$G,7,0)))</f>
        <v>4631.6400000000003</v>
      </c>
      <c r="O1604" s="897">
        <f ca="1">+L1604*J1604*N1604</f>
        <v>1146979.3296000001</v>
      </c>
      <c r="P1604" s="1017"/>
      <c r="Q1604" s="1362">
        <f>+P1604*K1604</f>
        <v>0</v>
      </c>
      <c r="R1604" s="349"/>
      <c r="S1604" s="349">
        <f ca="1">IF(OR(E1604="",E1604&gt;TODAY()),0,IF(ISERROR(VLOOKUP($E1604,'TRM BanRep'!$A:$G,7,0)),0,VLOOKUP($E1604,'TRM BanRep'!$A:$G,7,0)))</f>
        <v>4631.6400000000003</v>
      </c>
      <c r="T1604" s="895">
        <f ca="1">+P1604*K1604*S1604</f>
        <v>0</v>
      </c>
      <c r="U1604" s="350">
        <f>+L1604+P1604+F1604</f>
        <v>247.64</v>
      </c>
      <c r="V1604" s="918">
        <f ca="1">+P1604*J1604*R1604+L1604*J1604*N1604+F1604*J1604*H1604</f>
        <v>1146979.3296000001</v>
      </c>
      <c r="W1604" s="351">
        <f ca="1">-(IF(-P1604*J1604*R1604&lt;-P1604*K1604*S1604,(-P1604*J1604*R1604)-(-P1604*K1604*S1604),0))</f>
        <v>0</v>
      </c>
      <c r="X1604" s="919">
        <f ca="1">-(IF(-P1604*J1604*R1604&gt;-P1604*K1604*S1604,(-P1604*J1604*R1604)-(-P1604*K1604*S1604),0))</f>
        <v>0</v>
      </c>
      <c r="Y1604" s="1018"/>
      <c r="Z1604" s="220"/>
      <c r="AA1604" s="15"/>
      <c r="AB1604" s="15"/>
      <c r="AC1604" s="15"/>
      <c r="AD1604" s="15"/>
      <c r="AE1604" s="15"/>
    </row>
    <row r="1605" spans="1:31" s="401" customFormat="1" outlineLevel="1">
      <c r="A1605" s="1011">
        <v>2401011000</v>
      </c>
      <c r="B1605" s="1012" t="s">
        <v>1366</v>
      </c>
      <c r="C1605" s="1013" t="s">
        <v>64</v>
      </c>
      <c r="D1605" s="1013">
        <v>2000000965</v>
      </c>
      <c r="E1605" s="1014">
        <v>44964</v>
      </c>
      <c r="F1605" s="1015"/>
      <c r="G1605" s="1293"/>
      <c r="H1605" s="346"/>
      <c r="I1605" s="1016"/>
      <c r="J1605" s="1457">
        <v>1</v>
      </c>
      <c r="K1605" s="1458">
        <v>1</v>
      </c>
      <c r="L1605" s="1036"/>
      <c r="M1605" s="1325">
        <f t="shared" ref="M1605" si="3138">+L1605*J1605</f>
        <v>0</v>
      </c>
      <c r="N1605" s="348">
        <f ca="1">IF(OR(E1605="",E1605&gt;TODAY()),0,IF(ISERROR(VLOOKUP($E1605,'TRM BanRep'!$A:$G,7,0)),0,VLOOKUP($E1605,'TRM BanRep'!$A:$G,7,0)))</f>
        <v>4776.25</v>
      </c>
      <c r="O1605" s="897">
        <f t="shared" ref="O1605" ca="1" si="3139">+L1605*J1605*N1605</f>
        <v>0</v>
      </c>
      <c r="P1605" s="1017">
        <f>-L1604</f>
        <v>-247.64</v>
      </c>
      <c r="Q1605" s="1362">
        <f t="shared" ref="Q1605" si="3140">+P1605*K1605</f>
        <v>-247.64</v>
      </c>
      <c r="R1605" s="349">
        <f ca="1">+N1604</f>
        <v>4631.6400000000003</v>
      </c>
      <c r="S1605" s="349">
        <f ca="1">IF(OR(E1605="",E1605&gt;TODAY()),0,IF(ISERROR(VLOOKUP($E1605,'TRM BanRep'!$A:$G,7,0)),0,VLOOKUP($E1605,'TRM BanRep'!$A:$G,7,0)))</f>
        <v>4776.25</v>
      </c>
      <c r="T1605" s="895">
        <f t="shared" ref="T1605" ca="1" si="3141">+P1605*K1605*S1605</f>
        <v>-1182790.55</v>
      </c>
      <c r="U1605" s="350">
        <f t="shared" ref="U1605" si="3142">+L1605+P1605+F1605</f>
        <v>-247.64</v>
      </c>
      <c r="V1605" s="918">
        <f t="shared" ref="V1605" ca="1" si="3143">+P1605*J1605*R1605+L1605*J1605*N1605+F1605*J1605*H1605</f>
        <v>-1146979.3296000001</v>
      </c>
      <c r="W1605" s="351">
        <f t="shared" ref="W1605" ca="1" si="3144">-(IF(-P1605*J1605*R1605&lt;-P1605*K1605*S1605,(-P1605*J1605*R1605)-(-P1605*K1605*S1605),0))</f>
        <v>35811.220399999991</v>
      </c>
      <c r="X1605" s="919">
        <f t="shared" ref="X1605" ca="1" si="3145">-(IF(-P1605*J1605*R1605&gt;-P1605*K1605*S1605,(-P1605*J1605*R1605)-(-P1605*K1605*S1605),0))</f>
        <v>0</v>
      </c>
      <c r="Y1605" s="1018"/>
      <c r="Z1605" s="220"/>
      <c r="AA1605" s="15"/>
      <c r="AB1605" s="15"/>
      <c r="AC1605" s="15"/>
      <c r="AD1605" s="15"/>
      <c r="AE1605" s="15"/>
    </row>
    <row r="1606" spans="1:31" s="401" customFormat="1" outlineLevel="1">
      <c r="A1606" s="1011">
        <v>2401011000</v>
      </c>
      <c r="B1606" s="1012" t="s">
        <v>2307</v>
      </c>
      <c r="C1606" s="1013" t="s">
        <v>64</v>
      </c>
      <c r="D1606" s="1013">
        <v>5100000310</v>
      </c>
      <c r="E1606" s="1014">
        <v>44938</v>
      </c>
      <c r="F1606" s="1015"/>
      <c r="G1606" s="1293"/>
      <c r="H1606" s="346"/>
      <c r="I1606" s="1016"/>
      <c r="J1606" s="1457">
        <v>1</v>
      </c>
      <c r="K1606" s="1458">
        <v>1</v>
      </c>
      <c r="L1606" s="1036">
        <v>3309.19</v>
      </c>
      <c r="M1606" s="1325">
        <f t="shared" ref="M1606:M1607" si="3146">+L1606*J1606</f>
        <v>3309.19</v>
      </c>
      <c r="N1606" s="348">
        <f ca="1">IF(OR(E1606="",E1606&gt;TODAY()),0,IF(ISERROR(VLOOKUP($E1606,'TRM BanRep'!$A:$G,7,0)),0,VLOOKUP($E1606,'TRM BanRep'!$A:$G,7,0)))</f>
        <v>4748.54</v>
      </c>
      <c r="O1606" s="897">
        <f t="shared" ref="O1606:O1607" ca="1" si="3147">+L1606*J1606*N1606</f>
        <v>15713821.082599999</v>
      </c>
      <c r="P1606" s="1017"/>
      <c r="Q1606" s="1362">
        <f t="shared" ref="Q1606:Q1607" si="3148">+P1606*K1606</f>
        <v>0</v>
      </c>
      <c r="R1606" s="349"/>
      <c r="S1606" s="349">
        <f ca="1">IF(OR(E1606="",E1606&gt;TODAY()),0,IF(ISERROR(VLOOKUP($E1606,'TRM BanRep'!$A:$G,7,0)),0,VLOOKUP($E1606,'TRM BanRep'!$A:$G,7,0)))</f>
        <v>4748.54</v>
      </c>
      <c r="T1606" s="895">
        <f t="shared" ref="T1606:T1607" ca="1" si="3149">+P1606*K1606*S1606</f>
        <v>0</v>
      </c>
      <c r="U1606" s="350">
        <f t="shared" ref="U1606:U1607" si="3150">+L1606+P1606+F1606</f>
        <v>3309.19</v>
      </c>
      <c r="V1606" s="918">
        <f t="shared" ref="V1606:V1607" ca="1" si="3151">+P1606*J1606*R1606+L1606*J1606*N1606+F1606*J1606*H1606</f>
        <v>15713821.082599999</v>
      </c>
      <c r="W1606" s="351">
        <f t="shared" ref="W1606:W1607" ca="1" si="3152">-(IF(-P1606*J1606*R1606&lt;-P1606*K1606*S1606,(-P1606*J1606*R1606)-(-P1606*K1606*S1606),0))</f>
        <v>0</v>
      </c>
      <c r="X1606" s="919">
        <f t="shared" ref="X1606:X1607" ca="1" si="3153">-(IF(-P1606*J1606*R1606&gt;-P1606*K1606*S1606,(-P1606*J1606*R1606)-(-P1606*K1606*S1606),0))</f>
        <v>0</v>
      </c>
      <c r="Y1606" s="1018"/>
      <c r="Z1606" s="220"/>
      <c r="AA1606" s="15"/>
      <c r="AB1606" s="15"/>
      <c r="AC1606" s="15"/>
      <c r="AD1606" s="15"/>
      <c r="AE1606" s="15"/>
    </row>
    <row r="1607" spans="1:31" s="401" customFormat="1" outlineLevel="1">
      <c r="A1607" s="1011">
        <v>2401011000</v>
      </c>
      <c r="B1607" s="1012" t="s">
        <v>1366</v>
      </c>
      <c r="C1607" s="1013" t="s">
        <v>64</v>
      </c>
      <c r="D1607" s="1013">
        <v>2000001469</v>
      </c>
      <c r="E1607" s="1014">
        <v>44972</v>
      </c>
      <c r="F1607" s="1015"/>
      <c r="G1607" s="1293"/>
      <c r="H1607" s="346"/>
      <c r="I1607" s="1016"/>
      <c r="J1607" s="1457">
        <v>1</v>
      </c>
      <c r="K1607" s="1458">
        <v>1</v>
      </c>
      <c r="L1607" s="1036"/>
      <c r="M1607" s="1325">
        <f t="shared" si="3146"/>
        <v>0</v>
      </c>
      <c r="N1607" s="348">
        <f ca="1">IF(OR(E1607="",E1607&gt;TODAY()),0,IF(ISERROR(VLOOKUP($E1607,'TRM BanRep'!$A:$G,7,0)),0,VLOOKUP($E1607,'TRM BanRep'!$A:$G,7,0)))</f>
        <v>4783.24</v>
      </c>
      <c r="O1607" s="897">
        <f t="shared" ca="1" si="3147"/>
        <v>0</v>
      </c>
      <c r="P1607" s="1017">
        <f>-L1606</f>
        <v>-3309.19</v>
      </c>
      <c r="Q1607" s="1362">
        <f t="shared" si="3148"/>
        <v>-3309.19</v>
      </c>
      <c r="R1607" s="349">
        <f ca="1">+N1606</f>
        <v>4748.54</v>
      </c>
      <c r="S1607" s="349">
        <f ca="1">IF(OR(E1607="",E1607&gt;TODAY()),0,IF(ISERROR(VLOOKUP($E1607,'TRM BanRep'!$A:$G,7,0)),0,VLOOKUP($E1607,'TRM BanRep'!$A:$G,7,0)))</f>
        <v>4783.24</v>
      </c>
      <c r="T1607" s="895">
        <f t="shared" ca="1" si="3149"/>
        <v>-15828649.975599999</v>
      </c>
      <c r="U1607" s="350">
        <f t="shared" si="3150"/>
        <v>-3309.19</v>
      </c>
      <c r="V1607" s="918">
        <f t="shared" ca="1" si="3151"/>
        <v>-15713821.082599999</v>
      </c>
      <c r="W1607" s="351">
        <f t="shared" ca="1" si="3152"/>
        <v>114828.89299999923</v>
      </c>
      <c r="X1607" s="919">
        <f t="shared" ca="1" si="3153"/>
        <v>0</v>
      </c>
      <c r="Y1607" s="1018"/>
      <c r="Z1607" s="220"/>
      <c r="AA1607" s="15"/>
      <c r="AB1607" s="15"/>
      <c r="AC1607" s="15"/>
      <c r="AD1607" s="15"/>
      <c r="AE1607" s="15"/>
    </row>
    <row r="1608" spans="1:31" s="401" customFormat="1" outlineLevel="1">
      <c r="A1608" s="1011">
        <v>2401011000</v>
      </c>
      <c r="B1608" s="1012" t="s">
        <v>2308</v>
      </c>
      <c r="C1608" s="1013" t="s">
        <v>64</v>
      </c>
      <c r="D1608" s="1013">
        <v>5100000099</v>
      </c>
      <c r="E1608" s="1014">
        <v>44936</v>
      </c>
      <c r="F1608" s="1015"/>
      <c r="G1608" s="1293"/>
      <c r="H1608" s="346"/>
      <c r="I1608" s="1016"/>
      <c r="J1608" s="1457">
        <v>1</v>
      </c>
      <c r="K1608" s="1458">
        <v>1</v>
      </c>
      <c r="L1608" s="1036">
        <v>17119.599999999999</v>
      </c>
      <c r="M1608" s="1325">
        <f>+L1608*J1608</f>
        <v>17119.599999999999</v>
      </c>
      <c r="N1608" s="348">
        <f ca="1">IF(OR(E1608="",E1608&gt;TODAY()),0,IF(ISERROR(VLOOKUP($E1608,'TRM BanRep'!$A:$G,7,0)),0,VLOOKUP($E1608,'TRM BanRep'!$A:$G,7,0)))</f>
        <v>4885.66</v>
      </c>
      <c r="O1608" s="897">
        <f ca="1">+L1608*J1608*N1608</f>
        <v>83640544.93599999</v>
      </c>
      <c r="P1608" s="1017"/>
      <c r="Q1608" s="1362">
        <f>+P1608*K1608</f>
        <v>0</v>
      </c>
      <c r="R1608" s="349"/>
      <c r="S1608" s="349">
        <f ca="1">IF(OR(E1608="",E1608&gt;TODAY()),0,IF(ISERROR(VLOOKUP($E1608,'TRM BanRep'!$A:$G,7,0)),0,VLOOKUP($E1608,'TRM BanRep'!$A:$G,7,0)))</f>
        <v>4885.66</v>
      </c>
      <c r="T1608" s="895">
        <f ca="1">+P1608*K1608*S1608</f>
        <v>0</v>
      </c>
      <c r="U1608" s="350">
        <f>+L1608+P1608+F1608</f>
        <v>17119.599999999999</v>
      </c>
      <c r="V1608" s="918">
        <f ca="1">+P1608*J1608*R1608+L1608*J1608*N1608+F1608*J1608*H1608</f>
        <v>83640544.93599999</v>
      </c>
      <c r="W1608" s="351">
        <f ca="1">-(IF(-P1608*J1608*R1608&lt;-P1608*K1608*S1608,(-P1608*J1608*R1608)-(-P1608*K1608*S1608),0))</f>
        <v>0</v>
      </c>
      <c r="X1608" s="919">
        <f ca="1">-(IF(-P1608*J1608*R1608&gt;-P1608*K1608*S1608,(-P1608*J1608*R1608)-(-P1608*K1608*S1608),0))</f>
        <v>0</v>
      </c>
      <c r="Y1608" s="1018"/>
      <c r="Z1608" s="220"/>
      <c r="AA1608" s="15"/>
      <c r="AB1608" s="15"/>
      <c r="AC1608" s="15"/>
      <c r="AD1608" s="15"/>
      <c r="AE1608" s="15"/>
    </row>
    <row r="1609" spans="1:31" s="401" customFormat="1" outlineLevel="1">
      <c r="A1609" s="1011">
        <v>2401011000</v>
      </c>
      <c r="B1609" s="1012" t="s">
        <v>1366</v>
      </c>
      <c r="C1609" s="1013" t="s">
        <v>64</v>
      </c>
      <c r="D1609" s="1013">
        <v>2000001592</v>
      </c>
      <c r="E1609" s="1014">
        <v>44979</v>
      </c>
      <c r="F1609" s="1015"/>
      <c r="G1609" s="1293"/>
      <c r="H1609" s="346"/>
      <c r="I1609" s="1016"/>
      <c r="J1609" s="1457">
        <v>1</v>
      </c>
      <c r="K1609" s="1458">
        <v>1</v>
      </c>
      <c r="L1609" s="1036"/>
      <c r="M1609" s="1325">
        <f t="shared" ref="M1609:M1611" si="3154">+L1609*J1609</f>
        <v>0</v>
      </c>
      <c r="N1609" s="348">
        <f ca="1">IF(OR(E1609="",E1609&gt;TODAY()),0,IF(ISERROR(VLOOKUP($E1609,'TRM BanRep'!$A:$G,7,0)),0,VLOOKUP($E1609,'TRM BanRep'!$A:$G,7,0)))</f>
        <v>4950.33</v>
      </c>
      <c r="O1609" s="897">
        <f t="shared" ref="O1609:O1611" ca="1" si="3155">+L1609*J1609*N1609</f>
        <v>0</v>
      </c>
      <c r="P1609" s="1017">
        <f>-L1608</f>
        <v>-17119.599999999999</v>
      </c>
      <c r="Q1609" s="1362">
        <f t="shared" ref="Q1609:Q1611" si="3156">+P1609*K1609</f>
        <v>-17119.599999999999</v>
      </c>
      <c r="R1609" s="349">
        <f ca="1">+N1608</f>
        <v>4885.66</v>
      </c>
      <c r="S1609" s="349">
        <f ca="1">IF(OR(E1609="",E1609&gt;TODAY()),0,IF(ISERROR(VLOOKUP($E1609,'TRM BanRep'!$A:$G,7,0)),0,VLOOKUP($E1609,'TRM BanRep'!$A:$G,7,0)))</f>
        <v>4950.33</v>
      </c>
      <c r="T1609" s="895">
        <f t="shared" ref="T1609:T1611" ca="1" si="3157">+P1609*K1609*S1609</f>
        <v>-84747669.467999995</v>
      </c>
      <c r="U1609" s="350">
        <f t="shared" ref="U1609:U1611" si="3158">+L1609+P1609+F1609</f>
        <v>-17119.599999999999</v>
      </c>
      <c r="V1609" s="918">
        <f t="shared" ref="V1609:V1611" ca="1" si="3159">+P1609*J1609*R1609+L1609*J1609*N1609+F1609*J1609*H1609</f>
        <v>-83640544.93599999</v>
      </c>
      <c r="W1609" s="351">
        <f t="shared" ref="W1609:W1611" ca="1" si="3160">-(IF(-P1609*J1609*R1609&lt;-P1609*K1609*S1609,(-P1609*J1609*R1609)-(-P1609*K1609*S1609),0))</f>
        <v>1107124.5320000052</v>
      </c>
      <c r="X1609" s="919">
        <f t="shared" ref="X1609:X1611" ca="1" si="3161">-(IF(-P1609*J1609*R1609&gt;-P1609*K1609*S1609,(-P1609*J1609*R1609)-(-P1609*K1609*S1609),0))</f>
        <v>0</v>
      </c>
      <c r="Y1609" s="1018"/>
      <c r="Z1609" s="220"/>
      <c r="AA1609" s="15"/>
      <c r="AB1609" s="15"/>
      <c r="AC1609" s="15"/>
      <c r="AD1609" s="15"/>
      <c r="AE1609" s="15"/>
    </row>
    <row r="1610" spans="1:31" s="401" customFormat="1" outlineLevel="1">
      <c r="A1610" s="1011">
        <v>2401011000</v>
      </c>
      <c r="B1610" s="1012" t="s">
        <v>2309</v>
      </c>
      <c r="C1610" s="1013" t="s">
        <v>64</v>
      </c>
      <c r="D1610" s="1013">
        <v>5100000908</v>
      </c>
      <c r="E1610" s="1014">
        <v>44887</v>
      </c>
      <c r="F1610" s="1015"/>
      <c r="G1610" s="1293"/>
      <c r="H1610" s="346"/>
      <c r="I1610" s="1016"/>
      <c r="J1610" s="1457">
        <v>1</v>
      </c>
      <c r="K1610" s="1458">
        <v>1</v>
      </c>
      <c r="L1610" s="1036">
        <v>4831.93</v>
      </c>
      <c r="M1610" s="1325">
        <f t="shared" si="3154"/>
        <v>4831.93</v>
      </c>
      <c r="N1610" s="348">
        <f ca="1">IF(OR(E1610="",E1610&gt;TODAY()),0,IF(ISERROR(VLOOKUP($E1610,'TRM BanRep'!$A:$G,7,0)),0,VLOOKUP($E1610,'TRM BanRep'!$A:$G,7,0)))</f>
        <v>4958.42</v>
      </c>
      <c r="O1610" s="897">
        <f t="shared" ca="1" si="3155"/>
        <v>23958738.3506</v>
      </c>
      <c r="P1610" s="1017"/>
      <c r="Q1610" s="1362">
        <f t="shared" si="3156"/>
        <v>0</v>
      </c>
      <c r="R1610" s="349"/>
      <c r="S1610" s="349">
        <f ca="1">IF(OR(E1610="",E1610&gt;TODAY()),0,IF(ISERROR(VLOOKUP($E1610,'TRM BanRep'!$A:$G,7,0)),0,VLOOKUP($E1610,'TRM BanRep'!$A:$G,7,0)))</f>
        <v>4958.42</v>
      </c>
      <c r="T1610" s="895">
        <f t="shared" ca="1" si="3157"/>
        <v>0</v>
      </c>
      <c r="U1610" s="350">
        <f t="shared" si="3158"/>
        <v>4831.93</v>
      </c>
      <c r="V1610" s="918">
        <f t="shared" ca="1" si="3159"/>
        <v>23958738.3506</v>
      </c>
      <c r="W1610" s="351">
        <f t="shared" ca="1" si="3160"/>
        <v>0</v>
      </c>
      <c r="X1610" s="919">
        <f t="shared" ca="1" si="3161"/>
        <v>0</v>
      </c>
      <c r="Y1610" s="1018"/>
      <c r="Z1610" s="220"/>
      <c r="AA1610" s="15"/>
      <c r="AB1610" s="15"/>
      <c r="AC1610" s="15"/>
      <c r="AD1610" s="15"/>
      <c r="AE1610" s="15"/>
    </row>
    <row r="1611" spans="1:31" s="401" customFormat="1" outlineLevel="1">
      <c r="A1611" s="1011">
        <v>2401011000</v>
      </c>
      <c r="B1611" s="1012"/>
      <c r="C1611" s="1013" t="s">
        <v>64</v>
      </c>
      <c r="D1611" s="1013">
        <v>2000001241</v>
      </c>
      <c r="E1611" s="1014">
        <v>44967</v>
      </c>
      <c r="F1611" s="1015"/>
      <c r="G1611" s="1293"/>
      <c r="H1611" s="346"/>
      <c r="I1611" s="1016"/>
      <c r="J1611" s="1457">
        <v>1</v>
      </c>
      <c r="K1611" s="1458">
        <v>1</v>
      </c>
      <c r="L1611" s="1036"/>
      <c r="M1611" s="1325">
        <f t="shared" si="3154"/>
        <v>0</v>
      </c>
      <c r="N1611" s="348">
        <f ca="1">IF(OR(E1611="",E1611&gt;TODAY()),0,IF(ISERROR(VLOOKUP($E1611,'TRM BanRep'!$A:$G,7,0)),0,VLOOKUP($E1611,'TRM BanRep'!$A:$G,7,0)))</f>
        <v>4742.05</v>
      </c>
      <c r="O1611" s="897">
        <f t="shared" ca="1" si="3155"/>
        <v>0</v>
      </c>
      <c r="P1611" s="1017">
        <f>-L1610</f>
        <v>-4831.93</v>
      </c>
      <c r="Q1611" s="1362">
        <f t="shared" si="3156"/>
        <v>-4831.93</v>
      </c>
      <c r="R1611" s="349">
        <f ca="1">+N1610</f>
        <v>4958.42</v>
      </c>
      <c r="S1611" s="349">
        <f ca="1">IF(OR(E1611="",E1611&gt;TODAY()),0,IF(ISERROR(VLOOKUP($E1611,'TRM BanRep'!$A:$G,7,0)),0,VLOOKUP($E1611,'TRM BanRep'!$A:$G,7,0)))</f>
        <v>4742.05</v>
      </c>
      <c r="T1611" s="895">
        <f t="shared" ca="1" si="3157"/>
        <v>-22913253.656500001</v>
      </c>
      <c r="U1611" s="350">
        <f t="shared" si="3158"/>
        <v>-4831.93</v>
      </c>
      <c r="V1611" s="918">
        <f t="shared" ca="1" si="3159"/>
        <v>-23958738.3506</v>
      </c>
      <c r="W1611" s="351">
        <f t="shared" ca="1" si="3160"/>
        <v>0</v>
      </c>
      <c r="X1611" s="919">
        <f t="shared" ca="1" si="3161"/>
        <v>-1045484.6941</v>
      </c>
      <c r="Y1611" s="1018"/>
      <c r="Z1611" s="220"/>
      <c r="AA1611" s="15"/>
      <c r="AB1611" s="15"/>
      <c r="AC1611" s="15"/>
      <c r="AD1611" s="15"/>
      <c r="AE1611" s="15"/>
    </row>
    <row r="1612" spans="1:31" s="401" customFormat="1" outlineLevel="1">
      <c r="A1612" s="1011">
        <v>2401011000</v>
      </c>
      <c r="B1612" s="1012" t="s">
        <v>2309</v>
      </c>
      <c r="C1612" s="1013" t="s">
        <v>64</v>
      </c>
      <c r="D1612" s="1013">
        <v>5100000907</v>
      </c>
      <c r="E1612" s="1014">
        <v>44887</v>
      </c>
      <c r="F1612" s="1015"/>
      <c r="G1612" s="1293"/>
      <c r="H1612" s="346"/>
      <c r="I1612" s="1016"/>
      <c r="J1612" s="1457">
        <v>1</v>
      </c>
      <c r="K1612" s="1458">
        <v>1</v>
      </c>
      <c r="L1612" s="1036">
        <v>-4724.83</v>
      </c>
      <c r="M1612" s="1325">
        <f>+L1612*J1612</f>
        <v>-4724.83</v>
      </c>
      <c r="N1612" s="348">
        <f ca="1">IF(OR(E1612="",E1612&gt;TODAY()),0,IF(ISERROR(VLOOKUP($E1612,'TRM BanRep'!$A:$G,7,0)),0,VLOOKUP($E1612,'TRM BanRep'!$A:$G,7,0)))</f>
        <v>4958.42</v>
      </c>
      <c r="O1612" s="897">
        <f ca="1">+L1612*J1612*N1612</f>
        <v>-23427691.568599999</v>
      </c>
      <c r="P1612" s="1017"/>
      <c r="Q1612" s="1362">
        <f>+P1612*K1612</f>
        <v>0</v>
      </c>
      <c r="R1612" s="349"/>
      <c r="S1612" s="349">
        <f ca="1">IF(OR(E1612="",E1612&gt;TODAY()),0,IF(ISERROR(VLOOKUP($E1612,'TRM BanRep'!$A:$G,7,0)),0,VLOOKUP($E1612,'TRM BanRep'!$A:$G,7,0)))</f>
        <v>4958.42</v>
      </c>
      <c r="T1612" s="895">
        <f ca="1">+P1612*K1612*S1612</f>
        <v>0</v>
      </c>
      <c r="U1612" s="350">
        <f>+L1612+P1612+F1612</f>
        <v>-4724.83</v>
      </c>
      <c r="V1612" s="918">
        <f ca="1">+P1612*J1612*R1612+L1612*J1612*N1612+F1612*J1612*H1612</f>
        <v>-23427691.568599999</v>
      </c>
      <c r="W1612" s="351">
        <f ca="1">-(IF(-P1612*J1612*R1612&lt;-P1612*K1612*S1612,(-P1612*J1612*R1612)-(-P1612*K1612*S1612),0))</f>
        <v>0</v>
      </c>
      <c r="X1612" s="919">
        <f ca="1">-(IF(-P1612*J1612*R1612&gt;-P1612*K1612*S1612,(-P1612*J1612*R1612)-(-P1612*K1612*S1612),0))</f>
        <v>0</v>
      </c>
      <c r="Y1612" s="1018"/>
      <c r="Z1612" s="220"/>
      <c r="AA1612" s="15"/>
      <c r="AB1612" s="15"/>
      <c r="AC1612" s="15"/>
      <c r="AD1612" s="15"/>
      <c r="AE1612" s="15"/>
    </row>
    <row r="1613" spans="1:31" s="401" customFormat="1" outlineLevel="1">
      <c r="A1613" s="1011">
        <v>2401011000</v>
      </c>
      <c r="B1613" s="1012" t="s">
        <v>1366</v>
      </c>
      <c r="C1613" s="1013" t="s">
        <v>64</v>
      </c>
      <c r="D1613" s="1013">
        <v>2000001241</v>
      </c>
      <c r="E1613" s="1014">
        <v>44967</v>
      </c>
      <c r="F1613" s="1015"/>
      <c r="G1613" s="1293"/>
      <c r="H1613" s="346"/>
      <c r="I1613" s="1016"/>
      <c r="J1613" s="1457">
        <v>1</v>
      </c>
      <c r="K1613" s="1458">
        <v>1</v>
      </c>
      <c r="L1613" s="1036"/>
      <c r="M1613" s="1325">
        <f t="shared" ref="M1613:M1615" si="3162">+L1613*J1613</f>
        <v>0</v>
      </c>
      <c r="N1613" s="348">
        <f ca="1">IF(OR(E1613="",E1613&gt;TODAY()),0,IF(ISERROR(VLOOKUP($E1613,'TRM BanRep'!$A:$G,7,0)),0,VLOOKUP($E1613,'TRM BanRep'!$A:$G,7,0)))</f>
        <v>4742.05</v>
      </c>
      <c r="O1613" s="897">
        <f t="shared" ref="O1613:O1615" ca="1" si="3163">+L1613*J1613*N1613</f>
        <v>0</v>
      </c>
      <c r="P1613" s="1017">
        <f>-L1612</f>
        <v>4724.83</v>
      </c>
      <c r="Q1613" s="1362">
        <f t="shared" ref="Q1613:Q1615" si="3164">+P1613*K1613</f>
        <v>4724.83</v>
      </c>
      <c r="R1613" s="349">
        <f ca="1">+N1612</f>
        <v>4958.42</v>
      </c>
      <c r="S1613" s="349">
        <f ca="1">IF(OR(E1613="",E1613&gt;TODAY()),0,IF(ISERROR(VLOOKUP($E1613,'TRM BanRep'!$A:$G,7,0)),0,VLOOKUP($E1613,'TRM BanRep'!$A:$G,7,0)))</f>
        <v>4742.05</v>
      </c>
      <c r="T1613" s="895">
        <f t="shared" ref="T1613:T1615" ca="1" si="3165">+P1613*K1613*S1613</f>
        <v>22405380.101500001</v>
      </c>
      <c r="U1613" s="350">
        <f t="shared" ref="U1613:U1615" si="3166">+L1613+P1613+F1613</f>
        <v>4724.83</v>
      </c>
      <c r="V1613" s="918">
        <f t="shared" ref="V1613:V1615" ca="1" si="3167">+P1613*J1613*R1613+L1613*J1613*N1613+F1613*J1613*H1613</f>
        <v>23427691.568599999</v>
      </c>
      <c r="W1613" s="351">
        <f t="shared" ref="W1613:W1615" ca="1" si="3168">-(IF(-P1613*J1613*R1613&lt;-P1613*K1613*S1613,(-P1613*J1613*R1613)-(-P1613*K1613*S1613),0))</f>
        <v>1022311.4670999981</v>
      </c>
      <c r="X1613" s="919">
        <f t="shared" ref="X1613:X1615" ca="1" si="3169">-(IF(-P1613*J1613*R1613&gt;-P1613*K1613*S1613,(-P1613*J1613*R1613)-(-P1613*K1613*S1613),0))</f>
        <v>0</v>
      </c>
      <c r="Y1613" s="1018"/>
      <c r="Z1613" s="220"/>
      <c r="AA1613" s="15"/>
      <c r="AB1613" s="15"/>
      <c r="AC1613" s="15"/>
      <c r="AD1613" s="15"/>
      <c r="AE1613" s="15"/>
    </row>
    <row r="1614" spans="1:31" s="401" customFormat="1" outlineLevel="1">
      <c r="A1614" s="1011">
        <v>2401011000</v>
      </c>
      <c r="B1614" s="1012" t="s">
        <v>2310</v>
      </c>
      <c r="C1614" s="1013" t="s">
        <v>64</v>
      </c>
      <c r="D1614" s="1013">
        <v>5100000915</v>
      </c>
      <c r="E1614" s="1014">
        <v>44950</v>
      </c>
      <c r="F1614" s="1015"/>
      <c r="G1614" s="1293"/>
      <c r="H1614" s="346"/>
      <c r="I1614" s="1016"/>
      <c r="J1614" s="1457">
        <v>1</v>
      </c>
      <c r="K1614" s="1458">
        <v>1</v>
      </c>
      <c r="L1614" s="1036">
        <v>553.59</v>
      </c>
      <c r="M1614" s="1325">
        <f t="shared" si="3162"/>
        <v>553.59</v>
      </c>
      <c r="N1614" s="348">
        <f ca="1">IF(OR(E1614="",E1614&gt;TODAY()),0,IF(ISERROR(VLOOKUP($E1614,'TRM BanRep'!$A:$G,7,0)),0,VLOOKUP($E1614,'TRM BanRep'!$A:$G,7,0)))</f>
        <v>4551.0200000000004</v>
      </c>
      <c r="O1614" s="897">
        <f t="shared" ca="1" si="3163"/>
        <v>2519399.1618000004</v>
      </c>
      <c r="P1614" s="1017"/>
      <c r="Q1614" s="1362">
        <f t="shared" si="3164"/>
        <v>0</v>
      </c>
      <c r="R1614" s="349"/>
      <c r="S1614" s="349">
        <f ca="1">IF(OR(E1614="",E1614&gt;TODAY()),0,IF(ISERROR(VLOOKUP($E1614,'TRM BanRep'!$A:$G,7,0)),0,VLOOKUP($E1614,'TRM BanRep'!$A:$G,7,0)))</f>
        <v>4551.0200000000004</v>
      </c>
      <c r="T1614" s="895">
        <f t="shared" ca="1" si="3165"/>
        <v>0</v>
      </c>
      <c r="U1614" s="350">
        <f t="shared" si="3166"/>
        <v>553.59</v>
      </c>
      <c r="V1614" s="918">
        <f t="shared" ca="1" si="3167"/>
        <v>2519399.1618000004</v>
      </c>
      <c r="W1614" s="351">
        <f t="shared" ca="1" si="3168"/>
        <v>0</v>
      </c>
      <c r="X1614" s="919">
        <f t="shared" ca="1" si="3169"/>
        <v>0</v>
      </c>
      <c r="Y1614" s="1018"/>
      <c r="Z1614" s="220"/>
      <c r="AA1614" s="15"/>
      <c r="AB1614" s="15"/>
      <c r="AC1614" s="15"/>
      <c r="AD1614" s="15"/>
      <c r="AE1614" s="15"/>
    </row>
    <row r="1615" spans="1:31" s="401" customFormat="1" outlineLevel="1">
      <c r="A1615" s="1011">
        <v>2401011000</v>
      </c>
      <c r="B1615" s="1012" t="s">
        <v>1366</v>
      </c>
      <c r="C1615" s="1013" t="s">
        <v>64</v>
      </c>
      <c r="D1615" s="1013">
        <v>2000001470</v>
      </c>
      <c r="E1615" s="1014">
        <v>44972</v>
      </c>
      <c r="F1615" s="1015"/>
      <c r="G1615" s="1293"/>
      <c r="H1615" s="346"/>
      <c r="I1615" s="1016"/>
      <c r="J1615" s="1457">
        <v>1</v>
      </c>
      <c r="K1615" s="1458">
        <v>1</v>
      </c>
      <c r="L1615" s="1036"/>
      <c r="M1615" s="1325">
        <f t="shared" si="3162"/>
        <v>0</v>
      </c>
      <c r="N1615" s="348">
        <f ca="1">IF(OR(E1615="",E1615&gt;TODAY()),0,IF(ISERROR(VLOOKUP($E1615,'TRM BanRep'!$A:$G,7,0)),0,VLOOKUP($E1615,'TRM BanRep'!$A:$G,7,0)))</f>
        <v>4783.24</v>
      </c>
      <c r="O1615" s="897">
        <f t="shared" ca="1" si="3163"/>
        <v>0</v>
      </c>
      <c r="P1615" s="1017">
        <f>-L1614</f>
        <v>-553.59</v>
      </c>
      <c r="Q1615" s="1362">
        <f t="shared" si="3164"/>
        <v>-553.59</v>
      </c>
      <c r="R1615" s="349">
        <f ca="1">+N1614</f>
        <v>4551.0200000000004</v>
      </c>
      <c r="S1615" s="349">
        <f ca="1">IF(OR(E1615="",E1615&gt;TODAY()),0,IF(ISERROR(VLOOKUP($E1615,'TRM BanRep'!$A:$G,7,0)),0,VLOOKUP($E1615,'TRM BanRep'!$A:$G,7,0)))</f>
        <v>4783.24</v>
      </c>
      <c r="T1615" s="895">
        <f t="shared" ca="1" si="3165"/>
        <v>-2647953.8316000002</v>
      </c>
      <c r="U1615" s="350">
        <f t="shared" si="3166"/>
        <v>-553.59</v>
      </c>
      <c r="V1615" s="918">
        <f t="shared" ca="1" si="3167"/>
        <v>-2519399.1618000004</v>
      </c>
      <c r="W1615" s="351">
        <f t="shared" ca="1" si="3168"/>
        <v>128554.6697999998</v>
      </c>
      <c r="X1615" s="919">
        <f t="shared" ca="1" si="3169"/>
        <v>0</v>
      </c>
      <c r="Y1615" s="1018"/>
      <c r="Z1615" s="220"/>
      <c r="AA1615" s="15"/>
      <c r="AB1615" s="15"/>
      <c r="AC1615" s="15"/>
      <c r="AD1615" s="15"/>
      <c r="AE1615" s="15"/>
    </row>
    <row r="1616" spans="1:31" s="401" customFormat="1" outlineLevel="1">
      <c r="A1616" s="1011">
        <v>2401011000</v>
      </c>
      <c r="B1616" s="1012" t="s">
        <v>2311</v>
      </c>
      <c r="C1616" s="1013" t="s">
        <v>64</v>
      </c>
      <c r="D1616" s="1013">
        <v>5100000804</v>
      </c>
      <c r="E1616" s="1014">
        <v>44958</v>
      </c>
      <c r="F1616" s="1015"/>
      <c r="G1616" s="1293"/>
      <c r="H1616" s="346"/>
      <c r="I1616" s="1016"/>
      <c r="J1616" s="1457">
        <v>1</v>
      </c>
      <c r="K1616" s="1458">
        <v>1</v>
      </c>
      <c r="L1616" s="1036">
        <v>419.5</v>
      </c>
      <c r="M1616" s="1325">
        <f>+L1616*J1616</f>
        <v>419.5</v>
      </c>
      <c r="N1616" s="348">
        <f ca="1">IF(OR(E1616="",E1616&gt;TODAY()),0,IF(ISERROR(VLOOKUP($E1616,'TRM BanRep'!$A:$G,7,0)),0,VLOOKUP($E1616,'TRM BanRep'!$A:$G,7,0)))</f>
        <v>4648.7</v>
      </c>
      <c r="O1616" s="897">
        <f ca="1">+L1616*J1616*N1616</f>
        <v>1950129.65</v>
      </c>
      <c r="P1616" s="1017"/>
      <c r="Q1616" s="1362">
        <f>+P1616*K1616</f>
        <v>0</v>
      </c>
      <c r="R1616" s="349"/>
      <c r="S1616" s="349">
        <f ca="1">IF(OR(E1616="",E1616&gt;TODAY()),0,IF(ISERROR(VLOOKUP($E1616,'TRM BanRep'!$A:$G,7,0)),0,VLOOKUP($E1616,'TRM BanRep'!$A:$G,7,0)))</f>
        <v>4648.7</v>
      </c>
      <c r="T1616" s="895">
        <f ca="1">+P1616*K1616*S1616</f>
        <v>0</v>
      </c>
      <c r="U1616" s="350">
        <f>+L1616+P1616+F1616</f>
        <v>419.5</v>
      </c>
      <c r="V1616" s="918">
        <f ca="1">+P1616*J1616*R1616+L1616*J1616*N1616+F1616*J1616*H1616</f>
        <v>1950129.65</v>
      </c>
      <c r="W1616" s="351">
        <f ca="1">-(IF(-P1616*J1616*R1616&lt;-P1616*K1616*S1616,(-P1616*J1616*R1616)-(-P1616*K1616*S1616),0))</f>
        <v>0</v>
      </c>
      <c r="X1616" s="919">
        <f ca="1">-(IF(-P1616*J1616*R1616&gt;-P1616*K1616*S1616,(-P1616*J1616*R1616)-(-P1616*K1616*S1616),0))</f>
        <v>0</v>
      </c>
      <c r="Y1616" s="1018"/>
      <c r="Z1616" s="220"/>
      <c r="AA1616" s="15"/>
      <c r="AB1616" s="15"/>
      <c r="AC1616" s="15"/>
      <c r="AD1616" s="15"/>
      <c r="AE1616" s="15"/>
    </row>
    <row r="1617" spans="1:31" s="401" customFormat="1" outlineLevel="1">
      <c r="A1617" s="1011">
        <v>2401011000</v>
      </c>
      <c r="B1617" s="1012"/>
      <c r="C1617" s="1013" t="s">
        <v>64</v>
      </c>
      <c r="D1617" s="1013">
        <v>2000001494</v>
      </c>
      <c r="E1617" s="1014">
        <v>44973</v>
      </c>
      <c r="F1617" s="1015"/>
      <c r="G1617" s="1293"/>
      <c r="H1617" s="346"/>
      <c r="I1617" s="1016"/>
      <c r="J1617" s="1457">
        <v>1</v>
      </c>
      <c r="K1617" s="1458">
        <v>1</v>
      </c>
      <c r="L1617" s="1036"/>
      <c r="M1617" s="1325">
        <f t="shared" ref="M1617:M1619" si="3170">+L1617*J1617</f>
        <v>0</v>
      </c>
      <c r="N1617" s="348">
        <f ca="1">IF(OR(E1617="",E1617&gt;TODAY()),0,IF(ISERROR(VLOOKUP($E1617,'TRM BanRep'!$A:$G,7,0)),0,VLOOKUP($E1617,'TRM BanRep'!$A:$G,7,0)))</f>
        <v>4878.24</v>
      </c>
      <c r="O1617" s="897">
        <f t="shared" ref="O1617:O1619" ca="1" si="3171">+L1617*J1617*N1617</f>
        <v>0</v>
      </c>
      <c r="P1617" s="1017">
        <f>-L1616</f>
        <v>-419.5</v>
      </c>
      <c r="Q1617" s="1362">
        <f t="shared" ref="Q1617:Q1619" si="3172">+P1617*K1617</f>
        <v>-419.5</v>
      </c>
      <c r="R1617" s="349">
        <f ca="1">+N1616</f>
        <v>4648.7</v>
      </c>
      <c r="S1617" s="349">
        <f ca="1">IF(OR(E1617="",E1617&gt;TODAY()),0,IF(ISERROR(VLOOKUP($E1617,'TRM BanRep'!$A:$G,7,0)),0,VLOOKUP($E1617,'TRM BanRep'!$A:$G,7,0)))</f>
        <v>4878.24</v>
      </c>
      <c r="T1617" s="895">
        <f t="shared" ref="T1617:T1619" ca="1" si="3173">+P1617*K1617*S1617</f>
        <v>-2046421.68</v>
      </c>
      <c r="U1617" s="350">
        <f t="shared" ref="U1617:U1619" si="3174">+L1617+P1617+F1617</f>
        <v>-419.5</v>
      </c>
      <c r="V1617" s="918">
        <f t="shared" ref="V1617:V1619" ca="1" si="3175">+P1617*J1617*R1617+L1617*J1617*N1617+F1617*J1617*H1617</f>
        <v>-1950129.65</v>
      </c>
      <c r="W1617" s="351">
        <f t="shared" ref="W1617:W1619" ca="1" si="3176">-(IF(-P1617*J1617*R1617&lt;-P1617*K1617*S1617,(-P1617*J1617*R1617)-(-P1617*K1617*S1617),0))</f>
        <v>96292.030000000028</v>
      </c>
      <c r="X1617" s="919">
        <f t="shared" ref="X1617:X1619" ca="1" si="3177">-(IF(-P1617*J1617*R1617&gt;-P1617*K1617*S1617,(-P1617*J1617*R1617)-(-P1617*K1617*S1617),0))</f>
        <v>0</v>
      </c>
      <c r="Y1617" s="1018"/>
      <c r="Z1617" s="220"/>
      <c r="AA1617" s="15"/>
      <c r="AB1617" s="15"/>
      <c r="AC1617" s="15"/>
      <c r="AD1617" s="15"/>
      <c r="AE1617" s="15"/>
    </row>
    <row r="1618" spans="1:31" s="401" customFormat="1" outlineLevel="1">
      <c r="A1618" s="1011">
        <v>2401011000</v>
      </c>
      <c r="B1618" s="1012" t="s">
        <v>2312</v>
      </c>
      <c r="C1618" s="1013" t="s">
        <v>64</v>
      </c>
      <c r="D1618" s="1013">
        <v>5100000805</v>
      </c>
      <c r="E1618" s="1014">
        <v>44958</v>
      </c>
      <c r="F1618" s="1015"/>
      <c r="G1618" s="1293"/>
      <c r="H1618" s="346"/>
      <c r="I1618" s="1016"/>
      <c r="J1618" s="1457">
        <v>1</v>
      </c>
      <c r="K1618" s="1458">
        <v>1</v>
      </c>
      <c r="L1618" s="1036">
        <v>818.09</v>
      </c>
      <c r="M1618" s="1325">
        <f t="shared" si="3170"/>
        <v>818.09</v>
      </c>
      <c r="N1618" s="348">
        <f ca="1">IF(OR(E1618="",E1618&gt;TODAY()),0,IF(ISERROR(VLOOKUP($E1618,'TRM BanRep'!$A:$G,7,0)),0,VLOOKUP($E1618,'TRM BanRep'!$A:$G,7,0)))</f>
        <v>4648.7</v>
      </c>
      <c r="O1618" s="897">
        <f t="shared" ca="1" si="3171"/>
        <v>3803054.983</v>
      </c>
      <c r="P1618" s="1017"/>
      <c r="Q1618" s="1362">
        <f t="shared" si="3172"/>
        <v>0</v>
      </c>
      <c r="R1618" s="349"/>
      <c r="S1618" s="349">
        <f ca="1">IF(OR(E1618="",E1618&gt;TODAY()),0,IF(ISERROR(VLOOKUP($E1618,'TRM BanRep'!$A:$G,7,0)),0,VLOOKUP($E1618,'TRM BanRep'!$A:$G,7,0)))</f>
        <v>4648.7</v>
      </c>
      <c r="T1618" s="895">
        <f t="shared" ca="1" si="3173"/>
        <v>0</v>
      </c>
      <c r="U1618" s="350">
        <f t="shared" si="3174"/>
        <v>818.09</v>
      </c>
      <c r="V1618" s="918">
        <f t="shared" ca="1" si="3175"/>
        <v>3803054.983</v>
      </c>
      <c r="W1618" s="351">
        <f t="shared" ca="1" si="3176"/>
        <v>0</v>
      </c>
      <c r="X1618" s="919">
        <f t="shared" ca="1" si="3177"/>
        <v>0</v>
      </c>
      <c r="Y1618" s="1018"/>
      <c r="Z1618" s="220"/>
      <c r="AA1618" s="15"/>
      <c r="AB1618" s="15"/>
      <c r="AC1618" s="15"/>
      <c r="AD1618" s="15"/>
      <c r="AE1618" s="15"/>
    </row>
    <row r="1619" spans="1:31" s="401" customFormat="1" outlineLevel="1">
      <c r="A1619" s="1011">
        <v>2401011000</v>
      </c>
      <c r="B1619" s="1012" t="s">
        <v>1366</v>
      </c>
      <c r="C1619" s="1013" t="s">
        <v>64</v>
      </c>
      <c r="D1619" s="1013">
        <v>2000001494</v>
      </c>
      <c r="E1619" s="1014">
        <v>44973</v>
      </c>
      <c r="F1619" s="1015"/>
      <c r="G1619" s="1293"/>
      <c r="H1619" s="346"/>
      <c r="I1619" s="1016"/>
      <c r="J1619" s="1457">
        <v>1</v>
      </c>
      <c r="K1619" s="1458">
        <v>1</v>
      </c>
      <c r="L1619" s="1036"/>
      <c r="M1619" s="1325">
        <f t="shared" si="3170"/>
        <v>0</v>
      </c>
      <c r="N1619" s="348">
        <f ca="1">IF(OR(E1619="",E1619&gt;TODAY()),0,IF(ISERROR(VLOOKUP($E1619,'TRM BanRep'!$A:$G,7,0)),0,VLOOKUP($E1619,'TRM BanRep'!$A:$G,7,0)))</f>
        <v>4878.24</v>
      </c>
      <c r="O1619" s="897">
        <f t="shared" ca="1" si="3171"/>
        <v>0</v>
      </c>
      <c r="P1619" s="1017">
        <f>-L1618</f>
        <v>-818.09</v>
      </c>
      <c r="Q1619" s="1362">
        <f t="shared" si="3172"/>
        <v>-818.09</v>
      </c>
      <c r="R1619" s="349">
        <f ca="1">+N1618</f>
        <v>4648.7</v>
      </c>
      <c r="S1619" s="349">
        <f ca="1">IF(OR(E1619="",E1619&gt;TODAY()),0,IF(ISERROR(VLOOKUP($E1619,'TRM BanRep'!$A:$G,7,0)),0,VLOOKUP($E1619,'TRM BanRep'!$A:$G,7,0)))</f>
        <v>4878.24</v>
      </c>
      <c r="T1619" s="895">
        <f t="shared" ca="1" si="3173"/>
        <v>-3990839.3615999999</v>
      </c>
      <c r="U1619" s="350">
        <f t="shared" si="3174"/>
        <v>-818.09</v>
      </c>
      <c r="V1619" s="918">
        <f t="shared" ca="1" si="3175"/>
        <v>-3803054.983</v>
      </c>
      <c r="W1619" s="351">
        <f t="shared" ca="1" si="3176"/>
        <v>187784.37859999994</v>
      </c>
      <c r="X1619" s="919">
        <f t="shared" ca="1" si="3177"/>
        <v>0</v>
      </c>
      <c r="Y1619" s="1018"/>
      <c r="Z1619" s="220"/>
      <c r="AA1619" s="15"/>
      <c r="AB1619" s="15"/>
      <c r="AC1619" s="15"/>
      <c r="AD1619" s="15"/>
      <c r="AE1619" s="15"/>
    </row>
    <row r="1620" spans="1:31" s="401" customFormat="1" outlineLevel="1">
      <c r="A1620" s="1011">
        <v>2401011000</v>
      </c>
      <c r="B1620" s="1012" t="s">
        <v>2313</v>
      </c>
      <c r="C1620" s="1013" t="s">
        <v>64</v>
      </c>
      <c r="D1620" s="1013">
        <v>5100000893</v>
      </c>
      <c r="E1620" s="1014">
        <v>44963</v>
      </c>
      <c r="F1620" s="1015"/>
      <c r="G1620" s="1293"/>
      <c r="H1620" s="346"/>
      <c r="I1620" s="1016"/>
      <c r="J1620" s="1457">
        <v>1</v>
      </c>
      <c r="K1620" s="1458">
        <v>1</v>
      </c>
      <c r="L1620" s="1036">
        <v>583.39</v>
      </c>
      <c r="M1620" s="1325">
        <f>+L1620*J1620</f>
        <v>583.39</v>
      </c>
      <c r="N1620" s="348">
        <f ca="1">IF(OR(E1620="",E1620&gt;TODAY()),0,IF(ISERROR(VLOOKUP($E1620,'TRM BanRep'!$A:$G,7,0)),0,VLOOKUP($E1620,'TRM BanRep'!$A:$G,7,0)))</f>
        <v>4669.74</v>
      </c>
      <c r="O1620" s="897">
        <f ca="1">+L1620*J1620*N1620</f>
        <v>2724279.6185999997</v>
      </c>
      <c r="P1620" s="1017"/>
      <c r="Q1620" s="1362">
        <f>+P1620*K1620</f>
        <v>0</v>
      </c>
      <c r="R1620" s="349"/>
      <c r="S1620" s="349">
        <f ca="1">IF(OR(E1620="",E1620&gt;TODAY()),0,IF(ISERROR(VLOOKUP($E1620,'TRM BanRep'!$A:$G,7,0)),0,VLOOKUP($E1620,'TRM BanRep'!$A:$G,7,0)))</f>
        <v>4669.74</v>
      </c>
      <c r="T1620" s="895">
        <f ca="1">+P1620*K1620*S1620</f>
        <v>0</v>
      </c>
      <c r="U1620" s="350">
        <f>+L1620+P1620+F1620</f>
        <v>583.39</v>
      </c>
      <c r="V1620" s="918">
        <f ca="1">+P1620*J1620*R1620+L1620*J1620*N1620+F1620*J1620*H1620</f>
        <v>2724279.6185999997</v>
      </c>
      <c r="W1620" s="351">
        <f ca="1">-(IF(-P1620*J1620*R1620&lt;-P1620*K1620*S1620,(-P1620*J1620*R1620)-(-P1620*K1620*S1620),0))</f>
        <v>0</v>
      </c>
      <c r="X1620" s="919">
        <f ca="1">-(IF(-P1620*J1620*R1620&gt;-P1620*K1620*S1620,(-P1620*J1620*R1620)-(-P1620*K1620*S1620),0))</f>
        <v>0</v>
      </c>
      <c r="Y1620" s="1018"/>
      <c r="Z1620" s="220"/>
      <c r="AA1620" s="15"/>
      <c r="AB1620" s="15"/>
      <c r="AC1620" s="15"/>
      <c r="AD1620" s="15"/>
      <c r="AE1620" s="15"/>
    </row>
    <row r="1621" spans="1:31" s="401" customFormat="1" outlineLevel="1">
      <c r="A1621" s="1011">
        <v>2401011000</v>
      </c>
      <c r="B1621" s="1012" t="s">
        <v>1366</v>
      </c>
      <c r="C1621" s="1013" t="s">
        <v>64</v>
      </c>
      <c r="D1621" s="1013">
        <v>2000001564</v>
      </c>
      <c r="E1621" s="1014">
        <v>44978</v>
      </c>
      <c r="F1621" s="1015"/>
      <c r="G1621" s="1293"/>
      <c r="H1621" s="346"/>
      <c r="I1621" s="1016"/>
      <c r="J1621" s="1457">
        <v>1</v>
      </c>
      <c r="K1621" s="1458">
        <v>1</v>
      </c>
      <c r="L1621" s="1036"/>
      <c r="M1621" s="1325">
        <f t="shared" ref="M1621:M1623" si="3178">+L1621*J1621</f>
        <v>0</v>
      </c>
      <c r="N1621" s="348">
        <f ca="1">IF(OR(E1621="",E1621&gt;TODAY()),0,IF(ISERROR(VLOOKUP($E1621,'TRM BanRep'!$A:$G,7,0)),0,VLOOKUP($E1621,'TRM BanRep'!$A:$G,7,0)))</f>
        <v>4918.9399999999996</v>
      </c>
      <c r="O1621" s="897">
        <f t="shared" ref="O1621:O1623" ca="1" si="3179">+L1621*J1621*N1621</f>
        <v>0</v>
      </c>
      <c r="P1621" s="1017">
        <f>-L1620</f>
        <v>-583.39</v>
      </c>
      <c r="Q1621" s="1362">
        <f t="shared" ref="Q1621:Q1623" si="3180">+P1621*K1621</f>
        <v>-583.39</v>
      </c>
      <c r="R1621" s="349">
        <f ca="1">+N1620</f>
        <v>4669.74</v>
      </c>
      <c r="S1621" s="349">
        <f ca="1">IF(OR(E1621="",E1621&gt;TODAY()),0,IF(ISERROR(VLOOKUP($E1621,'TRM BanRep'!$A:$G,7,0)),0,VLOOKUP($E1621,'TRM BanRep'!$A:$G,7,0)))</f>
        <v>4918.9399999999996</v>
      </c>
      <c r="T1621" s="895">
        <f t="shared" ref="T1621:T1623" ca="1" si="3181">+P1621*K1621*S1621</f>
        <v>-2869660.4065999999</v>
      </c>
      <c r="U1621" s="350">
        <f t="shared" ref="U1621:U1623" si="3182">+L1621+P1621+F1621</f>
        <v>-583.39</v>
      </c>
      <c r="V1621" s="918">
        <f t="shared" ref="V1621:V1623" ca="1" si="3183">+P1621*J1621*R1621+L1621*J1621*N1621+F1621*J1621*H1621</f>
        <v>-2724279.6185999997</v>
      </c>
      <c r="W1621" s="351">
        <f t="shared" ref="W1621:W1623" ca="1" si="3184">-(IF(-P1621*J1621*R1621&lt;-P1621*K1621*S1621,(-P1621*J1621*R1621)-(-P1621*K1621*S1621),0))</f>
        <v>145380.78800000018</v>
      </c>
      <c r="X1621" s="919">
        <f t="shared" ref="X1621:X1623" ca="1" si="3185">-(IF(-P1621*J1621*R1621&gt;-P1621*K1621*S1621,(-P1621*J1621*R1621)-(-P1621*K1621*S1621),0))</f>
        <v>0</v>
      </c>
      <c r="Y1621" s="1018"/>
      <c r="Z1621" s="220"/>
      <c r="AA1621" s="15"/>
      <c r="AB1621" s="15"/>
      <c r="AC1621" s="15"/>
      <c r="AD1621" s="15"/>
      <c r="AE1621" s="15"/>
    </row>
    <row r="1622" spans="1:31" s="401" customFormat="1" outlineLevel="1">
      <c r="A1622" s="1011">
        <v>2401011000</v>
      </c>
      <c r="B1622" s="1012" t="s">
        <v>2314</v>
      </c>
      <c r="C1622" s="1013" t="s">
        <v>64</v>
      </c>
      <c r="D1622" s="1013">
        <v>5100000935</v>
      </c>
      <c r="E1622" s="1014">
        <v>44964</v>
      </c>
      <c r="F1622" s="1015"/>
      <c r="G1622" s="1293"/>
      <c r="H1622" s="346"/>
      <c r="I1622" s="1016"/>
      <c r="J1622" s="1457">
        <v>1</v>
      </c>
      <c r="K1622" s="1458">
        <v>1</v>
      </c>
      <c r="L1622" s="1036">
        <v>703.1</v>
      </c>
      <c r="M1622" s="1325">
        <f t="shared" si="3178"/>
        <v>703.1</v>
      </c>
      <c r="N1622" s="348">
        <f ca="1">IF(OR(E1622="",E1622&gt;TODAY()),0,IF(ISERROR(VLOOKUP($E1622,'TRM BanRep'!$A:$G,7,0)),0,VLOOKUP($E1622,'TRM BanRep'!$A:$G,7,0)))</f>
        <v>4776.25</v>
      </c>
      <c r="O1622" s="897">
        <f t="shared" ca="1" si="3179"/>
        <v>3358181.375</v>
      </c>
      <c r="P1622" s="1017"/>
      <c r="Q1622" s="1362">
        <f t="shared" si="3180"/>
        <v>0</v>
      </c>
      <c r="R1622" s="349"/>
      <c r="S1622" s="349">
        <f ca="1">IF(OR(E1622="",E1622&gt;TODAY()),0,IF(ISERROR(VLOOKUP($E1622,'TRM BanRep'!$A:$G,7,0)),0,VLOOKUP($E1622,'TRM BanRep'!$A:$G,7,0)))</f>
        <v>4776.25</v>
      </c>
      <c r="T1622" s="895">
        <f t="shared" ca="1" si="3181"/>
        <v>0</v>
      </c>
      <c r="U1622" s="350">
        <f t="shared" si="3182"/>
        <v>703.1</v>
      </c>
      <c r="V1622" s="918">
        <f t="shared" ca="1" si="3183"/>
        <v>3358181.375</v>
      </c>
      <c r="W1622" s="351">
        <f t="shared" ca="1" si="3184"/>
        <v>0</v>
      </c>
      <c r="X1622" s="919">
        <f t="shared" ca="1" si="3185"/>
        <v>0</v>
      </c>
      <c r="Y1622" s="1018"/>
      <c r="Z1622" s="220"/>
      <c r="AA1622" s="15"/>
      <c r="AB1622" s="15"/>
      <c r="AC1622" s="15"/>
      <c r="AD1622" s="15"/>
      <c r="AE1622" s="15"/>
    </row>
    <row r="1623" spans="1:31" s="401" customFormat="1" outlineLevel="1">
      <c r="A1623" s="1011">
        <v>2401011000</v>
      </c>
      <c r="B1623" s="1012" t="s">
        <v>1366</v>
      </c>
      <c r="C1623" s="1013" t="s">
        <v>64</v>
      </c>
      <c r="D1623" s="1013">
        <v>2000001578</v>
      </c>
      <c r="E1623" s="1014">
        <v>44979</v>
      </c>
      <c r="F1623" s="1015"/>
      <c r="G1623" s="1293"/>
      <c r="H1623" s="346"/>
      <c r="I1623" s="1016"/>
      <c r="J1623" s="1457">
        <v>1</v>
      </c>
      <c r="K1623" s="1458">
        <v>1</v>
      </c>
      <c r="L1623" s="1036"/>
      <c r="M1623" s="1325">
        <f t="shared" si="3178"/>
        <v>0</v>
      </c>
      <c r="N1623" s="348">
        <f ca="1">IF(OR(E1623="",E1623&gt;TODAY()),0,IF(ISERROR(VLOOKUP($E1623,'TRM BanRep'!$A:$G,7,0)),0,VLOOKUP($E1623,'TRM BanRep'!$A:$G,7,0)))</f>
        <v>4950.33</v>
      </c>
      <c r="O1623" s="897">
        <f t="shared" ca="1" si="3179"/>
        <v>0</v>
      </c>
      <c r="P1623" s="1017">
        <f>-L1622</f>
        <v>-703.1</v>
      </c>
      <c r="Q1623" s="1362">
        <f t="shared" si="3180"/>
        <v>-703.1</v>
      </c>
      <c r="R1623" s="349">
        <f ca="1">+N1622</f>
        <v>4776.25</v>
      </c>
      <c r="S1623" s="349">
        <f ca="1">IF(OR(E1623="",E1623&gt;TODAY()),0,IF(ISERROR(VLOOKUP($E1623,'TRM BanRep'!$A:$G,7,0)),0,VLOOKUP($E1623,'TRM BanRep'!$A:$G,7,0)))</f>
        <v>4950.33</v>
      </c>
      <c r="T1623" s="895">
        <f t="shared" ca="1" si="3181"/>
        <v>-3480577.023</v>
      </c>
      <c r="U1623" s="350">
        <f t="shared" si="3182"/>
        <v>-703.1</v>
      </c>
      <c r="V1623" s="918">
        <f t="shared" ca="1" si="3183"/>
        <v>-3358181.375</v>
      </c>
      <c r="W1623" s="351">
        <f t="shared" ca="1" si="3184"/>
        <v>122395.64800000004</v>
      </c>
      <c r="X1623" s="919">
        <f t="shared" ca="1" si="3185"/>
        <v>0</v>
      </c>
      <c r="Y1623" s="1018"/>
      <c r="Z1623" s="220"/>
      <c r="AA1623" s="15"/>
      <c r="AB1623" s="15"/>
      <c r="AC1623" s="15"/>
      <c r="AD1623" s="15"/>
      <c r="AE1623" s="15"/>
    </row>
    <row r="1624" spans="1:31" s="401" customFormat="1" outlineLevel="1">
      <c r="A1624" s="1011">
        <v>2401011000</v>
      </c>
      <c r="B1624" s="1012" t="s">
        <v>2315</v>
      </c>
      <c r="C1624" s="1013" t="s">
        <v>64</v>
      </c>
      <c r="D1624" s="1013">
        <v>5100000934</v>
      </c>
      <c r="E1624" s="1014">
        <v>44964</v>
      </c>
      <c r="F1624" s="1015"/>
      <c r="G1624" s="1293"/>
      <c r="H1624" s="346"/>
      <c r="I1624" s="1016"/>
      <c r="J1624" s="1457">
        <v>1</v>
      </c>
      <c r="K1624" s="1458">
        <v>1</v>
      </c>
      <c r="L1624" s="1036">
        <v>1660.95</v>
      </c>
      <c r="M1624" s="1325">
        <f>+L1624*J1624</f>
        <v>1660.95</v>
      </c>
      <c r="N1624" s="348">
        <f ca="1">IF(OR(E1624="",E1624&gt;TODAY()),0,IF(ISERROR(VLOOKUP($E1624,'TRM BanRep'!$A:$G,7,0)),0,VLOOKUP($E1624,'TRM BanRep'!$A:$G,7,0)))</f>
        <v>4776.25</v>
      </c>
      <c r="O1624" s="897">
        <f ca="1">+L1624*J1624*N1624</f>
        <v>7933112.4375</v>
      </c>
      <c r="P1624" s="1017"/>
      <c r="Q1624" s="1362">
        <f>+P1624*K1624</f>
        <v>0</v>
      </c>
      <c r="R1624" s="349"/>
      <c r="S1624" s="349">
        <f ca="1">IF(OR(E1624="",E1624&gt;TODAY()),0,IF(ISERROR(VLOOKUP($E1624,'TRM BanRep'!$A:$G,7,0)),0,VLOOKUP($E1624,'TRM BanRep'!$A:$G,7,0)))</f>
        <v>4776.25</v>
      </c>
      <c r="T1624" s="895">
        <f ca="1">+P1624*K1624*S1624</f>
        <v>0</v>
      </c>
      <c r="U1624" s="350">
        <f>+L1624+P1624+F1624</f>
        <v>1660.95</v>
      </c>
      <c r="V1624" s="918">
        <f ca="1">+P1624*J1624*R1624+L1624*J1624*N1624+F1624*J1624*H1624</f>
        <v>7933112.4375</v>
      </c>
      <c r="W1624" s="351">
        <f ca="1">-(IF(-P1624*J1624*R1624&lt;-P1624*K1624*S1624,(-P1624*J1624*R1624)-(-P1624*K1624*S1624),0))</f>
        <v>0</v>
      </c>
      <c r="X1624" s="919">
        <f ca="1">-(IF(-P1624*J1624*R1624&gt;-P1624*K1624*S1624,(-P1624*J1624*R1624)-(-P1624*K1624*S1624),0))</f>
        <v>0</v>
      </c>
      <c r="Y1624" s="1018"/>
      <c r="Z1624" s="220"/>
      <c r="AA1624" s="15"/>
      <c r="AB1624" s="15"/>
      <c r="AC1624" s="15"/>
      <c r="AD1624" s="15"/>
      <c r="AE1624" s="15"/>
    </row>
    <row r="1625" spans="1:31" s="401" customFormat="1" outlineLevel="1">
      <c r="A1625" s="1011">
        <v>2401011000</v>
      </c>
      <c r="B1625" s="1012" t="s">
        <v>1366</v>
      </c>
      <c r="C1625" s="1013" t="s">
        <v>64</v>
      </c>
      <c r="D1625" s="1013">
        <v>2000001579</v>
      </c>
      <c r="E1625" s="1014">
        <v>44979</v>
      </c>
      <c r="F1625" s="1015"/>
      <c r="G1625" s="1293"/>
      <c r="H1625" s="346"/>
      <c r="I1625" s="1016"/>
      <c r="J1625" s="1457">
        <v>1</v>
      </c>
      <c r="K1625" s="1458">
        <v>1</v>
      </c>
      <c r="L1625" s="1036"/>
      <c r="M1625" s="1325">
        <f t="shared" ref="M1625:M1627" si="3186">+L1625*J1625</f>
        <v>0</v>
      </c>
      <c r="N1625" s="348">
        <f ca="1">IF(OR(E1625="",E1625&gt;TODAY()),0,IF(ISERROR(VLOOKUP($E1625,'TRM BanRep'!$A:$G,7,0)),0,VLOOKUP($E1625,'TRM BanRep'!$A:$G,7,0)))</f>
        <v>4950.33</v>
      </c>
      <c r="O1625" s="897">
        <f t="shared" ref="O1625:O1627" ca="1" si="3187">+L1625*J1625*N1625</f>
        <v>0</v>
      </c>
      <c r="P1625" s="1017">
        <f>-L1624</f>
        <v>-1660.95</v>
      </c>
      <c r="Q1625" s="1362">
        <f t="shared" ref="Q1625:Q1627" si="3188">+P1625*K1625</f>
        <v>-1660.95</v>
      </c>
      <c r="R1625" s="349">
        <f ca="1">+N1624</f>
        <v>4776.25</v>
      </c>
      <c r="S1625" s="349">
        <f ca="1">IF(OR(E1625="",E1625&gt;TODAY()),0,IF(ISERROR(VLOOKUP($E1625,'TRM BanRep'!$A:$G,7,0)),0,VLOOKUP($E1625,'TRM BanRep'!$A:$G,7,0)))</f>
        <v>4950.33</v>
      </c>
      <c r="T1625" s="895">
        <f t="shared" ref="T1625:T1627" ca="1" si="3189">+P1625*K1625*S1625</f>
        <v>-8222250.6135</v>
      </c>
      <c r="U1625" s="350">
        <f t="shared" ref="U1625:U1627" si="3190">+L1625+P1625+F1625</f>
        <v>-1660.95</v>
      </c>
      <c r="V1625" s="918">
        <f t="shared" ref="V1625:V1627" ca="1" si="3191">+P1625*J1625*R1625+L1625*J1625*N1625+F1625*J1625*H1625</f>
        <v>-7933112.4375</v>
      </c>
      <c r="W1625" s="351">
        <f t="shared" ref="W1625:W1627" ca="1" si="3192">-(IF(-P1625*J1625*R1625&lt;-P1625*K1625*S1625,(-P1625*J1625*R1625)-(-P1625*K1625*S1625),0))</f>
        <v>289138.17599999998</v>
      </c>
      <c r="X1625" s="919">
        <f t="shared" ref="X1625:X1627" ca="1" si="3193">-(IF(-P1625*J1625*R1625&gt;-P1625*K1625*S1625,(-P1625*J1625*R1625)-(-P1625*K1625*S1625),0))</f>
        <v>0</v>
      </c>
      <c r="Y1625" s="1018"/>
      <c r="Z1625" s="220"/>
      <c r="AA1625" s="15"/>
      <c r="AB1625" s="15"/>
      <c r="AC1625" s="15"/>
      <c r="AD1625" s="15"/>
      <c r="AE1625" s="15"/>
    </row>
    <row r="1626" spans="1:31" s="401" customFormat="1" outlineLevel="1">
      <c r="A1626" s="1011">
        <v>2401011000</v>
      </c>
      <c r="B1626" s="1012" t="s">
        <v>2316</v>
      </c>
      <c r="C1626" s="1013" t="s">
        <v>64</v>
      </c>
      <c r="D1626" s="1013">
        <v>5100001065</v>
      </c>
      <c r="E1626" s="1014">
        <v>44970</v>
      </c>
      <c r="F1626" s="1015"/>
      <c r="G1626" s="1293"/>
      <c r="H1626" s="346"/>
      <c r="I1626" s="1016"/>
      <c r="J1626" s="1457">
        <v>1</v>
      </c>
      <c r="K1626" s="1458">
        <v>1</v>
      </c>
      <c r="L1626" s="1036">
        <v>1765.17</v>
      </c>
      <c r="M1626" s="1325">
        <f t="shared" si="3186"/>
        <v>1765.17</v>
      </c>
      <c r="N1626" s="348">
        <f ca="1">IF(OR(E1626="",E1626&gt;TODAY()),0,IF(ISERROR(VLOOKUP($E1626,'TRM BanRep'!$A:$G,7,0)),0,VLOOKUP($E1626,'TRM BanRep'!$A:$G,7,0)))</f>
        <v>4777.7299999999996</v>
      </c>
      <c r="O1626" s="897">
        <f t="shared" ca="1" si="3187"/>
        <v>8433505.6640999988</v>
      </c>
      <c r="P1626" s="1017"/>
      <c r="Q1626" s="1362">
        <f t="shared" si="3188"/>
        <v>0</v>
      </c>
      <c r="R1626" s="349"/>
      <c r="S1626" s="349">
        <f ca="1">IF(OR(E1626="",E1626&gt;TODAY()),0,IF(ISERROR(VLOOKUP($E1626,'TRM BanRep'!$A:$G,7,0)),0,VLOOKUP($E1626,'TRM BanRep'!$A:$G,7,0)))</f>
        <v>4777.7299999999996</v>
      </c>
      <c r="T1626" s="895">
        <f t="shared" ca="1" si="3189"/>
        <v>0</v>
      </c>
      <c r="U1626" s="350">
        <f t="shared" si="3190"/>
        <v>1765.17</v>
      </c>
      <c r="V1626" s="918">
        <f t="shared" ca="1" si="3191"/>
        <v>8433505.6640999988</v>
      </c>
      <c r="W1626" s="351">
        <f t="shared" ca="1" si="3192"/>
        <v>0</v>
      </c>
      <c r="X1626" s="919">
        <f t="shared" ca="1" si="3193"/>
        <v>0</v>
      </c>
      <c r="Y1626" s="1018"/>
      <c r="Z1626" s="220"/>
      <c r="AA1626" s="15"/>
      <c r="AB1626" s="15"/>
      <c r="AC1626" s="15"/>
      <c r="AD1626" s="15"/>
      <c r="AE1626" s="15"/>
    </row>
    <row r="1627" spans="1:31" s="401" customFormat="1" outlineLevel="1">
      <c r="A1627" s="1011">
        <v>2401011000</v>
      </c>
      <c r="B1627" s="1012" t="s">
        <v>1366</v>
      </c>
      <c r="C1627" s="1013" t="s">
        <v>64</v>
      </c>
      <c r="D1627" s="1013">
        <v>2000001679</v>
      </c>
      <c r="E1627" s="1014">
        <v>44985</v>
      </c>
      <c r="F1627" s="1015"/>
      <c r="G1627" s="1293"/>
      <c r="H1627" s="346"/>
      <c r="I1627" s="1016"/>
      <c r="J1627" s="1457">
        <v>1</v>
      </c>
      <c r="K1627" s="1458">
        <v>1</v>
      </c>
      <c r="L1627" s="1036"/>
      <c r="M1627" s="1325">
        <f t="shared" si="3186"/>
        <v>0</v>
      </c>
      <c r="N1627" s="348">
        <f ca="1">IF(OR(E1627="",E1627&gt;TODAY()),0,IF(ISERROR(VLOOKUP($E1627,'TRM BanRep'!$A:$G,7,0)),0,VLOOKUP($E1627,'TRM BanRep'!$A:$G,7,0)))</f>
        <v>4808.1400000000003</v>
      </c>
      <c r="O1627" s="897">
        <f t="shared" ca="1" si="3187"/>
        <v>0</v>
      </c>
      <c r="P1627" s="1017">
        <f>-L1626</f>
        <v>-1765.17</v>
      </c>
      <c r="Q1627" s="1362">
        <f t="shared" si="3188"/>
        <v>-1765.17</v>
      </c>
      <c r="R1627" s="349">
        <f ca="1">+N1626</f>
        <v>4777.7299999999996</v>
      </c>
      <c r="S1627" s="349">
        <f ca="1">IF(OR(E1627="",E1627&gt;TODAY()),0,IF(ISERROR(VLOOKUP($E1627,'TRM BanRep'!$A:$G,7,0)),0,VLOOKUP($E1627,'TRM BanRep'!$A:$G,7,0)))</f>
        <v>4808.1400000000003</v>
      </c>
      <c r="T1627" s="895">
        <f t="shared" ca="1" si="3189"/>
        <v>-8487184.4838000014</v>
      </c>
      <c r="U1627" s="350">
        <f t="shared" si="3190"/>
        <v>-1765.17</v>
      </c>
      <c r="V1627" s="918">
        <f t="shared" ca="1" si="3191"/>
        <v>-8433505.6640999988</v>
      </c>
      <c r="W1627" s="351">
        <f t="shared" ca="1" si="3192"/>
        <v>53678.81970000267</v>
      </c>
      <c r="X1627" s="919">
        <f t="shared" ca="1" si="3193"/>
        <v>0</v>
      </c>
      <c r="Y1627" s="1018"/>
      <c r="Z1627" s="220"/>
      <c r="AA1627" s="15"/>
      <c r="AB1627" s="15"/>
      <c r="AC1627" s="15"/>
      <c r="AD1627" s="15"/>
      <c r="AE1627" s="15"/>
    </row>
    <row r="1628" spans="1:31" s="401" customFormat="1" outlineLevel="1">
      <c r="A1628" s="1011">
        <v>2401011000</v>
      </c>
      <c r="B1628" s="1012" t="s">
        <v>2317</v>
      </c>
      <c r="C1628" s="1013" t="s">
        <v>64</v>
      </c>
      <c r="D1628" s="1013">
        <v>5100001018</v>
      </c>
      <c r="E1628" s="1014">
        <v>44969</v>
      </c>
      <c r="F1628" s="1015"/>
      <c r="G1628" s="1293"/>
      <c r="H1628" s="346"/>
      <c r="I1628" s="1016"/>
      <c r="J1628" s="1457">
        <v>1</v>
      </c>
      <c r="K1628" s="1458">
        <v>1</v>
      </c>
      <c r="L1628" s="1036">
        <v>936.91</v>
      </c>
      <c r="M1628" s="1325">
        <f>+L1628*J1628</f>
        <v>936.91</v>
      </c>
      <c r="N1628" s="348">
        <f ca="1">IF(OR(E1628="",E1628&gt;TODAY()),0,IF(ISERROR(VLOOKUP($E1628,'TRM BanRep'!$A:$G,7,0)),0,VLOOKUP($E1628,'TRM BanRep'!$A:$G,7,0)))</f>
        <v>4777.7299999999996</v>
      </c>
      <c r="O1628" s="897">
        <f ca="1">+L1628*J1628*N1628</f>
        <v>4476303.014299999</v>
      </c>
      <c r="P1628" s="1017"/>
      <c r="Q1628" s="1362">
        <f>+P1628*K1628</f>
        <v>0</v>
      </c>
      <c r="R1628" s="349"/>
      <c r="S1628" s="349">
        <f ca="1">IF(OR(E1628="",E1628&gt;TODAY()),0,IF(ISERROR(VLOOKUP($E1628,'TRM BanRep'!$A:$G,7,0)),0,VLOOKUP($E1628,'TRM BanRep'!$A:$G,7,0)))</f>
        <v>4777.7299999999996</v>
      </c>
      <c r="T1628" s="895">
        <f ca="1">+P1628*K1628*S1628</f>
        <v>0</v>
      </c>
      <c r="U1628" s="350">
        <f>+L1628+P1628+F1628</f>
        <v>936.91</v>
      </c>
      <c r="V1628" s="918">
        <f ca="1">+P1628*J1628*R1628+L1628*J1628*N1628+F1628*J1628*H1628</f>
        <v>4476303.014299999</v>
      </c>
      <c r="W1628" s="351">
        <f ca="1">-(IF(-P1628*J1628*R1628&lt;-P1628*K1628*S1628,(-P1628*J1628*R1628)-(-P1628*K1628*S1628),0))</f>
        <v>0</v>
      </c>
      <c r="X1628" s="919">
        <f ca="1">-(IF(-P1628*J1628*R1628&gt;-P1628*K1628*S1628,(-P1628*J1628*R1628)-(-P1628*K1628*S1628),0))</f>
        <v>0</v>
      </c>
      <c r="Y1628" s="1018"/>
      <c r="Z1628" s="220"/>
      <c r="AA1628" s="15"/>
      <c r="AB1628" s="15"/>
      <c r="AC1628" s="15"/>
      <c r="AD1628" s="15"/>
      <c r="AE1628" s="15"/>
    </row>
    <row r="1629" spans="1:31" s="401" customFormat="1" outlineLevel="1">
      <c r="A1629" s="1011">
        <v>2401011000</v>
      </c>
      <c r="B1629" s="1012" t="s">
        <v>1366</v>
      </c>
      <c r="C1629" s="1013" t="s">
        <v>64</v>
      </c>
      <c r="D1629" s="1013">
        <v>2000001684</v>
      </c>
      <c r="E1629" s="1014">
        <v>44985</v>
      </c>
      <c r="F1629" s="1015"/>
      <c r="G1629" s="1293"/>
      <c r="H1629" s="346"/>
      <c r="I1629" s="1016"/>
      <c r="J1629" s="1457">
        <v>1</v>
      </c>
      <c r="K1629" s="1458">
        <v>1</v>
      </c>
      <c r="L1629" s="1036"/>
      <c r="M1629" s="1325">
        <f t="shared" ref="M1629:M1630" si="3194">+L1629*J1629</f>
        <v>0</v>
      </c>
      <c r="N1629" s="348">
        <f ca="1">IF(OR(E1629="",E1629&gt;TODAY()),0,IF(ISERROR(VLOOKUP($E1629,'TRM BanRep'!$A:$G,7,0)),0,VLOOKUP($E1629,'TRM BanRep'!$A:$G,7,0)))</f>
        <v>4808.1400000000003</v>
      </c>
      <c r="O1629" s="897">
        <f t="shared" ref="O1629:O1630" ca="1" si="3195">+L1629*J1629*N1629</f>
        <v>0</v>
      </c>
      <c r="P1629" s="1017">
        <f>-L1628</f>
        <v>-936.91</v>
      </c>
      <c r="Q1629" s="1362">
        <f t="shared" ref="Q1629:Q1630" si="3196">+P1629*K1629</f>
        <v>-936.91</v>
      </c>
      <c r="R1629" s="349">
        <f ca="1">+N1628</f>
        <v>4777.7299999999996</v>
      </c>
      <c r="S1629" s="349">
        <f ca="1">IF(OR(E1629="",E1629&gt;TODAY()),0,IF(ISERROR(VLOOKUP($E1629,'TRM BanRep'!$A:$G,7,0)),0,VLOOKUP($E1629,'TRM BanRep'!$A:$G,7,0)))</f>
        <v>4808.1400000000003</v>
      </c>
      <c r="T1629" s="895">
        <f t="shared" ref="T1629:T1630" ca="1" si="3197">+P1629*K1629*S1629</f>
        <v>-4504794.4473999999</v>
      </c>
      <c r="U1629" s="350">
        <f t="shared" ref="U1629:U1630" si="3198">+L1629+P1629+F1629</f>
        <v>-936.91</v>
      </c>
      <c r="V1629" s="918">
        <f t="shared" ref="V1629:V1630" ca="1" si="3199">+P1629*J1629*R1629+L1629*J1629*N1629+F1629*J1629*H1629</f>
        <v>-4476303.014299999</v>
      </c>
      <c r="W1629" s="351">
        <f t="shared" ref="W1629:W1630" ca="1" si="3200">-(IF(-P1629*J1629*R1629&lt;-P1629*K1629*S1629,(-P1629*J1629*R1629)-(-P1629*K1629*S1629),0))</f>
        <v>28491.433100000955</v>
      </c>
      <c r="X1629" s="919">
        <f t="shared" ref="X1629:X1630" ca="1" si="3201">-(IF(-P1629*J1629*R1629&gt;-P1629*K1629*S1629,(-P1629*J1629*R1629)-(-P1629*K1629*S1629),0))</f>
        <v>0</v>
      </c>
      <c r="Y1629" s="1018"/>
      <c r="Z1629" s="220"/>
      <c r="AA1629" s="15"/>
      <c r="AB1629" s="15"/>
      <c r="AC1629" s="15"/>
      <c r="AD1629" s="15"/>
      <c r="AE1629" s="15"/>
    </row>
    <row r="1630" spans="1:31" s="401" customFormat="1" outlineLevel="1">
      <c r="A1630" s="1011">
        <v>2401011000</v>
      </c>
      <c r="B1630" s="1012" t="s">
        <v>2275</v>
      </c>
      <c r="C1630" s="1013" t="s">
        <v>64</v>
      </c>
      <c r="D1630" s="1013">
        <v>5100000799</v>
      </c>
      <c r="E1630" s="1014">
        <v>44958</v>
      </c>
      <c r="F1630" s="1015"/>
      <c r="G1630" s="1293"/>
      <c r="H1630" s="346"/>
      <c r="I1630" s="1016"/>
      <c r="J1630" s="1457">
        <v>1</v>
      </c>
      <c r="K1630" s="1458">
        <v>1</v>
      </c>
      <c r="L1630" s="1036">
        <v>4578.83</v>
      </c>
      <c r="M1630" s="1325">
        <f t="shared" si="3194"/>
        <v>4578.83</v>
      </c>
      <c r="N1630" s="348">
        <f ca="1">IF(OR(E1630="",E1630&gt;TODAY()),0,IF(ISERROR(VLOOKUP($E1630,'TRM BanRep'!$A:$G,7,0)),0,VLOOKUP($E1630,'TRM BanRep'!$A:$G,7,0)))</f>
        <v>4648.7</v>
      </c>
      <c r="O1630" s="897">
        <f t="shared" ca="1" si="3195"/>
        <v>21285607.020999998</v>
      </c>
      <c r="P1630" s="1017"/>
      <c r="Q1630" s="1362">
        <f t="shared" si="3196"/>
        <v>0</v>
      </c>
      <c r="R1630" s="349"/>
      <c r="S1630" s="349"/>
      <c r="T1630" s="895">
        <f t="shared" si="3197"/>
        <v>0</v>
      </c>
      <c r="U1630" s="350">
        <f t="shared" si="3198"/>
        <v>4578.83</v>
      </c>
      <c r="V1630" s="918">
        <f t="shared" ca="1" si="3199"/>
        <v>21285607.020999998</v>
      </c>
      <c r="W1630" s="351">
        <f t="shared" si="3200"/>
        <v>0</v>
      </c>
      <c r="X1630" s="919">
        <f t="shared" si="3201"/>
        <v>0</v>
      </c>
      <c r="Y1630" s="1018"/>
      <c r="Z1630" s="220"/>
      <c r="AA1630" s="15"/>
      <c r="AB1630" s="15"/>
      <c r="AC1630" s="15"/>
      <c r="AD1630" s="15"/>
      <c r="AE1630" s="15"/>
    </row>
    <row r="1631" spans="1:31" s="401" customFormat="1" outlineLevel="1">
      <c r="A1631" s="1011">
        <v>2401011000</v>
      </c>
      <c r="B1631" s="1012" t="s">
        <v>1366</v>
      </c>
      <c r="C1631" s="1013" t="s">
        <v>64</v>
      </c>
      <c r="D1631" s="1013">
        <v>2000001773</v>
      </c>
      <c r="E1631" s="1014">
        <v>44988</v>
      </c>
      <c r="F1631" s="1015"/>
      <c r="G1631" s="1293"/>
      <c r="H1631" s="346"/>
      <c r="I1631" s="1016"/>
      <c r="J1631" s="1457">
        <v>1</v>
      </c>
      <c r="K1631" s="1458">
        <v>1</v>
      </c>
      <c r="L1631" s="1036"/>
      <c r="M1631" s="1325">
        <f t="shared" ref="M1631" si="3202">+L1631*J1631</f>
        <v>0</v>
      </c>
      <c r="N1631" s="348">
        <f ca="1">IF(OR(E1631="",E1631&gt;TODAY()),0,IF(ISERROR(VLOOKUP($E1631,'TRM BanRep'!$A:$G,7,0)),0,VLOOKUP($E1631,'TRM BanRep'!$A:$G,7,0)))</f>
        <v>4855.83</v>
      </c>
      <c r="O1631" s="897">
        <f t="shared" ref="O1631" ca="1" si="3203">+L1631*J1631*N1631</f>
        <v>0</v>
      </c>
      <c r="P1631" s="1017">
        <f>-L1630</f>
        <v>-4578.83</v>
      </c>
      <c r="Q1631" s="1362">
        <f t="shared" ref="Q1631" si="3204">+P1631*K1631</f>
        <v>-4578.83</v>
      </c>
      <c r="R1631" s="349">
        <f ca="1">+N1630</f>
        <v>4648.7</v>
      </c>
      <c r="S1631" s="349">
        <f ca="1">IF(OR(E1631="",E1631&gt;TODAY()),0,IF(ISERROR(VLOOKUP($E1631,'TRM BanRep'!$A:$G,7,0)),0,VLOOKUP($E1631,'TRM BanRep'!$A:$G,7,0)))</f>
        <v>4855.83</v>
      </c>
      <c r="T1631" s="895">
        <f t="shared" ref="T1631" ca="1" si="3205">+P1631*K1631*S1631</f>
        <v>-22234020.078899998</v>
      </c>
      <c r="U1631" s="350">
        <f t="shared" ref="U1631" si="3206">+L1631+P1631+F1631</f>
        <v>-4578.83</v>
      </c>
      <c r="V1631" s="918">
        <f t="shared" ref="V1631" ca="1" si="3207">+P1631*J1631*R1631+L1631*J1631*N1631+F1631*J1631*H1631</f>
        <v>-21285607.020999998</v>
      </c>
      <c r="W1631" s="351">
        <f t="shared" ref="W1631" ca="1" si="3208">-(IF(-P1631*J1631*R1631&lt;-P1631*K1631*S1631,(-P1631*J1631*R1631)-(-P1631*K1631*S1631),0))</f>
        <v>948413.05790000036</v>
      </c>
      <c r="X1631" s="919">
        <f t="shared" ref="X1631" ca="1" si="3209">-(IF(-P1631*J1631*R1631&gt;-P1631*K1631*S1631,(-P1631*J1631*R1631)-(-P1631*K1631*S1631),0))</f>
        <v>0</v>
      </c>
      <c r="Y1631" s="1018"/>
      <c r="Z1631" s="220"/>
      <c r="AA1631" s="15"/>
      <c r="AB1631" s="15"/>
      <c r="AC1631" s="15"/>
      <c r="AD1631" s="15"/>
      <c r="AE1631" s="15"/>
    </row>
    <row r="1632" spans="1:31" s="401" customFormat="1" outlineLevel="1">
      <c r="A1632" s="1011">
        <v>2401011000</v>
      </c>
      <c r="B1632" s="1012" t="s">
        <v>2276</v>
      </c>
      <c r="C1632" s="1013" t="s">
        <v>64</v>
      </c>
      <c r="D1632" s="1013">
        <v>5100000814</v>
      </c>
      <c r="E1632" s="1014">
        <v>44958</v>
      </c>
      <c r="F1632" s="1015"/>
      <c r="G1632" s="1293"/>
      <c r="H1632" s="346"/>
      <c r="I1632" s="1016"/>
      <c r="J1632" s="1457">
        <v>1</v>
      </c>
      <c r="K1632" s="1458">
        <v>1</v>
      </c>
      <c r="L1632" s="1036">
        <v>5933.91</v>
      </c>
      <c r="M1632" s="1325">
        <f>+L1632*J1632</f>
        <v>5933.91</v>
      </c>
      <c r="N1632" s="348">
        <f ca="1">IF(OR(E1632="",E1632&gt;TODAY()),0,IF(ISERROR(VLOOKUP($E1632,'TRM BanRep'!$A:$G,7,0)),0,VLOOKUP($E1632,'TRM BanRep'!$A:$G,7,0)))</f>
        <v>4648.7</v>
      </c>
      <c r="O1632" s="897">
        <f ca="1">+L1632*J1632*N1632</f>
        <v>27584967.416999999</v>
      </c>
      <c r="P1632" s="1017"/>
      <c r="Q1632" s="1362">
        <f>+P1632*K1632</f>
        <v>0</v>
      </c>
      <c r="R1632" s="349"/>
      <c r="S1632" s="349"/>
      <c r="T1632" s="895">
        <f>+P1632*K1632*S1632</f>
        <v>0</v>
      </c>
      <c r="U1632" s="350">
        <f>+L1632+P1632+F1632</f>
        <v>5933.91</v>
      </c>
      <c r="V1632" s="918">
        <f ca="1">+P1632*J1632*R1632+L1632*J1632*N1632+F1632*J1632*H1632</f>
        <v>27584967.416999999</v>
      </c>
      <c r="W1632" s="351">
        <f>-(IF(-P1632*J1632*R1632&lt;-P1632*K1632*S1632,(-P1632*J1632*R1632)-(-P1632*K1632*S1632),0))</f>
        <v>0</v>
      </c>
      <c r="X1632" s="919">
        <f>-(IF(-P1632*J1632*R1632&gt;-P1632*K1632*S1632,(-P1632*J1632*R1632)-(-P1632*K1632*S1632),0))</f>
        <v>0</v>
      </c>
      <c r="Y1632" s="1018"/>
      <c r="Z1632" s="220"/>
      <c r="AA1632" s="15"/>
      <c r="AB1632" s="15"/>
      <c r="AC1632" s="15"/>
      <c r="AD1632" s="15"/>
      <c r="AE1632" s="15"/>
    </row>
    <row r="1633" spans="1:31" s="401" customFormat="1" outlineLevel="1">
      <c r="A1633" s="1011">
        <v>2401011000</v>
      </c>
      <c r="B1633" s="1012" t="s">
        <v>1366</v>
      </c>
      <c r="C1633" s="1013" t="s">
        <v>64</v>
      </c>
      <c r="D1633" s="1013">
        <v>2000001915</v>
      </c>
      <c r="E1633" s="1014">
        <v>44991</v>
      </c>
      <c r="F1633" s="1015"/>
      <c r="G1633" s="1293"/>
      <c r="H1633" s="346"/>
      <c r="I1633" s="1016"/>
      <c r="J1633" s="1457">
        <v>1</v>
      </c>
      <c r="K1633" s="1458">
        <v>1</v>
      </c>
      <c r="L1633" s="1036"/>
      <c r="M1633" s="1325">
        <f t="shared" ref="M1633" si="3210">+L1633*J1633</f>
        <v>0</v>
      </c>
      <c r="N1633" s="348">
        <f ca="1">IF(OR(E1633="",E1633&gt;TODAY()),0,IF(ISERROR(VLOOKUP($E1633,'TRM BanRep'!$A:$G,7,0)),0,VLOOKUP($E1633,'TRM BanRep'!$A:$G,7,0)))</f>
        <v>4780.8900000000003</v>
      </c>
      <c r="O1633" s="897">
        <f t="shared" ref="O1633" ca="1" si="3211">+L1633*J1633*N1633</f>
        <v>0</v>
      </c>
      <c r="P1633" s="1017">
        <f>-L1632</f>
        <v>-5933.91</v>
      </c>
      <c r="Q1633" s="1362">
        <f t="shared" ref="Q1633" si="3212">+P1633*K1633</f>
        <v>-5933.91</v>
      </c>
      <c r="R1633" s="349">
        <f ca="1">+N1632</f>
        <v>4648.7</v>
      </c>
      <c r="S1633" s="349">
        <f ca="1">IF(OR(E1633="",E1633&gt;TODAY()),0,IF(ISERROR(VLOOKUP($E1633,'TRM BanRep'!$A:$G,7,0)),0,VLOOKUP($E1633,'TRM BanRep'!$A:$G,7,0)))</f>
        <v>4780.8900000000003</v>
      </c>
      <c r="T1633" s="895">
        <f t="shared" ref="T1633" ca="1" si="3213">+P1633*K1633*S1633</f>
        <v>-28369370.979900002</v>
      </c>
      <c r="U1633" s="350">
        <f t="shared" ref="U1633" si="3214">+L1633+P1633+F1633</f>
        <v>-5933.91</v>
      </c>
      <c r="V1633" s="918">
        <f t="shared" ref="V1633" ca="1" si="3215">+P1633*J1633*R1633+L1633*J1633*N1633+F1633*J1633*H1633</f>
        <v>-27584967.416999999</v>
      </c>
      <c r="W1633" s="351">
        <f t="shared" ref="W1633" ca="1" si="3216">-(IF(-P1633*J1633*R1633&lt;-P1633*K1633*S1633,(-P1633*J1633*R1633)-(-P1633*K1633*S1633),0))</f>
        <v>784403.56290000305</v>
      </c>
      <c r="X1633" s="919">
        <f t="shared" ref="X1633" ca="1" si="3217">-(IF(-P1633*J1633*R1633&gt;-P1633*K1633*S1633,(-P1633*J1633*R1633)-(-P1633*K1633*S1633),0))</f>
        <v>0</v>
      </c>
      <c r="Y1633" s="1018"/>
      <c r="Z1633" s="220"/>
      <c r="AA1633" s="15"/>
      <c r="AB1633" s="15"/>
      <c r="AC1633" s="15"/>
      <c r="AD1633" s="15"/>
      <c r="AE1633" s="15"/>
    </row>
    <row r="1634" spans="1:31" s="401" customFormat="1" outlineLevel="1">
      <c r="A1634" s="1011">
        <v>2401011000</v>
      </c>
      <c r="B1634" s="1012" t="s">
        <v>2277</v>
      </c>
      <c r="C1634" s="1013" t="s">
        <v>64</v>
      </c>
      <c r="D1634" s="1013">
        <v>5100000853</v>
      </c>
      <c r="E1634" s="1014">
        <v>44960</v>
      </c>
      <c r="F1634" s="1015"/>
      <c r="G1634" s="1293"/>
      <c r="H1634" s="346"/>
      <c r="I1634" s="1016"/>
      <c r="J1634" s="1457">
        <v>1</v>
      </c>
      <c r="K1634" s="1458">
        <v>1</v>
      </c>
      <c r="L1634" s="1036">
        <v>24894.81</v>
      </c>
      <c r="M1634" s="1325">
        <f t="shared" ref="M1634:M1635" si="3218">+L1634*J1634</f>
        <v>24894.81</v>
      </c>
      <c r="N1634" s="348">
        <f ca="1">IF(OR(E1634="",E1634&gt;TODAY()),0,IF(ISERROR(VLOOKUP($E1634,'TRM BanRep'!$A:$G,7,0)),0,VLOOKUP($E1634,'TRM BanRep'!$A:$G,7,0)))</f>
        <v>4584.4399999999996</v>
      </c>
      <c r="O1634" s="897">
        <f t="shared" ref="O1634:O1635" ca="1" si="3219">+L1634*J1634*N1634</f>
        <v>114128762.75639999</v>
      </c>
      <c r="P1634" s="1017"/>
      <c r="Q1634" s="1362">
        <f t="shared" ref="Q1634:Q1635" si="3220">+P1634*K1634</f>
        <v>0</v>
      </c>
      <c r="R1634" s="349"/>
      <c r="S1634" s="349"/>
      <c r="T1634" s="895">
        <f t="shared" ref="T1634:T1635" si="3221">+P1634*K1634*S1634</f>
        <v>0</v>
      </c>
      <c r="U1634" s="350">
        <f t="shared" ref="U1634:U1635" si="3222">+L1634+P1634+F1634</f>
        <v>24894.81</v>
      </c>
      <c r="V1634" s="918">
        <f t="shared" ref="V1634:V1635" ca="1" si="3223">+P1634*J1634*R1634+L1634*J1634*N1634+F1634*J1634*H1634</f>
        <v>114128762.75639999</v>
      </c>
      <c r="W1634" s="351">
        <f t="shared" ref="W1634:W1635" si="3224">-(IF(-P1634*J1634*R1634&lt;-P1634*K1634*S1634,(-P1634*J1634*R1634)-(-P1634*K1634*S1634),0))</f>
        <v>0</v>
      </c>
      <c r="X1634" s="919">
        <f t="shared" ref="X1634:X1635" si="3225">-(IF(-P1634*J1634*R1634&gt;-P1634*K1634*S1634,(-P1634*J1634*R1634)-(-P1634*K1634*S1634),0))</f>
        <v>0</v>
      </c>
      <c r="Y1634" s="1018"/>
      <c r="Z1634" s="220"/>
      <c r="AA1634" s="15"/>
      <c r="AB1634" s="15"/>
      <c r="AC1634" s="15"/>
      <c r="AD1634" s="15"/>
      <c r="AE1634" s="15"/>
    </row>
    <row r="1635" spans="1:31" s="401" customFormat="1" outlineLevel="1">
      <c r="A1635" s="1011">
        <v>2401011000</v>
      </c>
      <c r="B1635" s="1012" t="s">
        <v>1366</v>
      </c>
      <c r="C1635" s="1013" t="s">
        <v>64</v>
      </c>
      <c r="D1635" s="1013">
        <v>2000001893</v>
      </c>
      <c r="E1635" s="1014">
        <v>44991</v>
      </c>
      <c r="F1635" s="1015"/>
      <c r="G1635" s="1293"/>
      <c r="H1635" s="346"/>
      <c r="I1635" s="1016"/>
      <c r="J1635" s="1457">
        <v>1</v>
      </c>
      <c r="K1635" s="1458">
        <v>1</v>
      </c>
      <c r="L1635" s="1036"/>
      <c r="M1635" s="1325">
        <f t="shared" si="3218"/>
        <v>0</v>
      </c>
      <c r="N1635" s="348">
        <f ca="1">IF(OR(E1635="",E1635&gt;TODAY()),0,IF(ISERROR(VLOOKUP($E1635,'TRM BanRep'!$A:$G,7,0)),0,VLOOKUP($E1635,'TRM BanRep'!$A:$G,7,0)))</f>
        <v>4780.8900000000003</v>
      </c>
      <c r="O1635" s="897">
        <f t="shared" ca="1" si="3219"/>
        <v>0</v>
      </c>
      <c r="P1635" s="1017">
        <f>-L1634</f>
        <v>-24894.81</v>
      </c>
      <c r="Q1635" s="1362">
        <f t="shared" si="3220"/>
        <v>-24894.81</v>
      </c>
      <c r="R1635" s="349">
        <f ca="1">+N1634</f>
        <v>4584.4399999999996</v>
      </c>
      <c r="S1635" s="349">
        <f ca="1">IF(OR(E1635="",E1635&gt;TODAY()),0,IF(ISERROR(VLOOKUP($E1635,'TRM BanRep'!$A:$G,7,0)),0,VLOOKUP($E1635,'TRM BanRep'!$A:$G,7,0)))</f>
        <v>4780.8900000000003</v>
      </c>
      <c r="T1635" s="895">
        <f t="shared" ca="1" si="3221"/>
        <v>-119019348.18090001</v>
      </c>
      <c r="U1635" s="350">
        <f t="shared" si="3222"/>
        <v>-24894.81</v>
      </c>
      <c r="V1635" s="918">
        <f t="shared" ca="1" si="3223"/>
        <v>-114128762.75639999</v>
      </c>
      <c r="W1635" s="351">
        <f t="shared" ca="1" si="3224"/>
        <v>4890585.4245000184</v>
      </c>
      <c r="X1635" s="919">
        <f t="shared" ca="1" si="3225"/>
        <v>0</v>
      </c>
      <c r="Y1635" s="1018"/>
      <c r="Z1635" s="220"/>
      <c r="AA1635" s="15"/>
      <c r="AB1635" s="15"/>
      <c r="AC1635" s="15"/>
      <c r="AD1635" s="15"/>
      <c r="AE1635" s="15"/>
    </row>
    <row r="1636" spans="1:31" s="401" customFormat="1" outlineLevel="1">
      <c r="A1636" s="1011">
        <v>2401011000</v>
      </c>
      <c r="B1636" s="1012" t="s">
        <v>2278</v>
      </c>
      <c r="C1636" s="1013" t="s">
        <v>64</v>
      </c>
      <c r="D1636" s="1013">
        <v>5100000857</v>
      </c>
      <c r="E1636" s="1014">
        <v>44960</v>
      </c>
      <c r="F1636" s="1015"/>
      <c r="G1636" s="1293"/>
      <c r="H1636" s="346"/>
      <c r="I1636" s="1016"/>
      <c r="J1636" s="1457">
        <v>1</v>
      </c>
      <c r="K1636" s="1458">
        <v>1</v>
      </c>
      <c r="L1636" s="1036">
        <v>6168.75</v>
      </c>
      <c r="M1636" s="1325">
        <f>+L1636*J1636</f>
        <v>6168.75</v>
      </c>
      <c r="N1636" s="348">
        <f ca="1">IF(OR(E1636="",E1636&gt;TODAY()),0,IF(ISERROR(VLOOKUP($E1636,'TRM BanRep'!$A:$G,7,0)),0,VLOOKUP($E1636,'TRM BanRep'!$A:$G,7,0)))</f>
        <v>4584.4399999999996</v>
      </c>
      <c r="O1636" s="897">
        <f ca="1">+L1636*J1636*N1636</f>
        <v>28280264.249999996</v>
      </c>
      <c r="P1636" s="1017"/>
      <c r="Q1636" s="1362">
        <f>+P1636*K1636</f>
        <v>0</v>
      </c>
      <c r="R1636" s="349"/>
      <c r="S1636" s="349"/>
      <c r="T1636" s="895">
        <f>+P1636*K1636*S1636</f>
        <v>0</v>
      </c>
      <c r="U1636" s="350">
        <f>+L1636+P1636+F1636</f>
        <v>6168.75</v>
      </c>
      <c r="V1636" s="918">
        <f ca="1">+P1636*J1636*R1636+L1636*J1636*N1636+F1636*J1636*H1636</f>
        <v>28280264.249999996</v>
      </c>
      <c r="W1636" s="351">
        <f>-(IF(-P1636*J1636*R1636&lt;-P1636*K1636*S1636,(-P1636*J1636*R1636)-(-P1636*K1636*S1636),0))</f>
        <v>0</v>
      </c>
      <c r="X1636" s="919">
        <f>-(IF(-P1636*J1636*R1636&gt;-P1636*K1636*S1636,(-P1636*J1636*R1636)-(-P1636*K1636*S1636),0))</f>
        <v>0</v>
      </c>
      <c r="Y1636" s="1018"/>
      <c r="Z1636" s="220"/>
      <c r="AA1636" s="15"/>
      <c r="AB1636" s="15"/>
      <c r="AC1636" s="15"/>
      <c r="AD1636" s="15"/>
      <c r="AE1636" s="15"/>
    </row>
    <row r="1637" spans="1:31" s="401" customFormat="1" outlineLevel="1">
      <c r="A1637" s="1011">
        <v>2401011000</v>
      </c>
      <c r="B1637" s="1012" t="s">
        <v>1366</v>
      </c>
      <c r="C1637" s="1013" t="s">
        <v>64</v>
      </c>
      <c r="D1637" s="1013">
        <v>2000001892</v>
      </c>
      <c r="E1637" s="1014">
        <v>44991</v>
      </c>
      <c r="F1637" s="1015"/>
      <c r="G1637" s="1293"/>
      <c r="H1637" s="346"/>
      <c r="I1637" s="1016"/>
      <c r="J1637" s="1457">
        <v>1</v>
      </c>
      <c r="K1637" s="1458">
        <v>1</v>
      </c>
      <c r="L1637" s="1036"/>
      <c r="M1637" s="1325">
        <f t="shared" ref="M1637" si="3226">+L1637*J1637</f>
        <v>0</v>
      </c>
      <c r="N1637" s="348">
        <f ca="1">IF(OR(E1637="",E1637&gt;TODAY()),0,IF(ISERROR(VLOOKUP($E1637,'TRM BanRep'!$A:$G,7,0)),0,VLOOKUP($E1637,'TRM BanRep'!$A:$G,7,0)))</f>
        <v>4780.8900000000003</v>
      </c>
      <c r="O1637" s="897">
        <f t="shared" ref="O1637" ca="1" si="3227">+L1637*J1637*N1637</f>
        <v>0</v>
      </c>
      <c r="P1637" s="1017">
        <f>-L1636</f>
        <v>-6168.75</v>
      </c>
      <c r="Q1637" s="1362">
        <f t="shared" ref="Q1637" si="3228">+P1637*K1637</f>
        <v>-6168.75</v>
      </c>
      <c r="R1637" s="349">
        <f ca="1">+N1636</f>
        <v>4584.4399999999996</v>
      </c>
      <c r="S1637" s="349">
        <f ca="1">IF(OR(E1637="",E1637&gt;TODAY()),0,IF(ISERROR(VLOOKUP($E1637,'TRM BanRep'!$A:$G,7,0)),0,VLOOKUP($E1637,'TRM BanRep'!$A:$G,7,0)))</f>
        <v>4780.8900000000003</v>
      </c>
      <c r="T1637" s="895">
        <f t="shared" ref="T1637" ca="1" si="3229">+P1637*K1637*S1637</f>
        <v>-29492115.187500004</v>
      </c>
      <c r="U1637" s="350">
        <f t="shared" ref="U1637" si="3230">+L1637+P1637+F1637</f>
        <v>-6168.75</v>
      </c>
      <c r="V1637" s="918">
        <f t="shared" ref="V1637" ca="1" si="3231">+P1637*J1637*R1637+L1637*J1637*N1637+F1637*J1637*H1637</f>
        <v>-28280264.249999996</v>
      </c>
      <c r="W1637" s="351">
        <f t="shared" ref="W1637" ca="1" si="3232">-(IF(-P1637*J1637*R1637&lt;-P1637*K1637*S1637,(-P1637*J1637*R1637)-(-P1637*K1637*S1637),0))</f>
        <v>1211850.9375000075</v>
      </c>
      <c r="X1637" s="919">
        <f t="shared" ref="X1637" ca="1" si="3233">-(IF(-P1637*J1637*R1637&gt;-P1637*K1637*S1637,(-P1637*J1637*R1637)-(-P1637*K1637*S1637),0))</f>
        <v>0</v>
      </c>
      <c r="Y1637" s="1018"/>
      <c r="Z1637" s="220"/>
      <c r="AA1637" s="15"/>
      <c r="AB1637" s="15"/>
      <c r="AC1637" s="15"/>
      <c r="AD1637" s="15"/>
      <c r="AE1637" s="15"/>
    </row>
    <row r="1638" spans="1:31" s="401" customFormat="1" outlineLevel="1">
      <c r="A1638" s="1011">
        <v>2401011000</v>
      </c>
      <c r="B1638" s="1012" t="s">
        <v>2279</v>
      </c>
      <c r="C1638" s="1013" t="s">
        <v>64</v>
      </c>
      <c r="D1638" s="1013">
        <v>5100000870</v>
      </c>
      <c r="E1638" s="1014">
        <v>44963</v>
      </c>
      <c r="F1638" s="1015"/>
      <c r="G1638" s="1293"/>
      <c r="H1638" s="346"/>
      <c r="I1638" s="1016"/>
      <c r="J1638" s="1457">
        <v>1</v>
      </c>
      <c r="K1638" s="1458">
        <v>1</v>
      </c>
      <c r="L1638" s="1036">
        <v>6966.84</v>
      </c>
      <c r="M1638" s="1325">
        <f t="shared" ref="M1638:M1639" si="3234">+L1638*J1638</f>
        <v>6966.84</v>
      </c>
      <c r="N1638" s="348">
        <f ca="1">IF(OR(E1638="",E1638&gt;TODAY()),0,IF(ISERROR(VLOOKUP($E1638,'TRM BanRep'!$A:$G,7,0)),0,VLOOKUP($E1638,'TRM BanRep'!$A:$G,7,0)))</f>
        <v>4669.74</v>
      </c>
      <c r="O1638" s="897">
        <f t="shared" ref="O1638:O1639" ca="1" si="3235">+L1638*J1638*N1638</f>
        <v>32533331.421599999</v>
      </c>
      <c r="P1638" s="1017"/>
      <c r="Q1638" s="1362">
        <f t="shared" ref="Q1638:Q1639" si="3236">+P1638*K1638</f>
        <v>0</v>
      </c>
      <c r="R1638" s="349"/>
      <c r="S1638" s="349"/>
      <c r="T1638" s="895">
        <f t="shared" ref="T1638:T1639" si="3237">+P1638*K1638*S1638</f>
        <v>0</v>
      </c>
      <c r="U1638" s="350">
        <f t="shared" ref="U1638:U1639" si="3238">+L1638+P1638+F1638</f>
        <v>6966.84</v>
      </c>
      <c r="V1638" s="918">
        <f t="shared" ref="V1638:V1639" ca="1" si="3239">+P1638*J1638*R1638+L1638*J1638*N1638+F1638*J1638*H1638</f>
        <v>32533331.421599999</v>
      </c>
      <c r="W1638" s="351">
        <f t="shared" ref="W1638:W1639" si="3240">-(IF(-P1638*J1638*R1638&lt;-P1638*K1638*S1638,(-P1638*J1638*R1638)-(-P1638*K1638*S1638),0))</f>
        <v>0</v>
      </c>
      <c r="X1638" s="919">
        <f t="shared" ref="X1638:X1639" si="3241">-(IF(-P1638*J1638*R1638&gt;-P1638*K1638*S1638,(-P1638*J1638*R1638)-(-P1638*K1638*S1638),0))</f>
        <v>0</v>
      </c>
      <c r="Y1638" s="1018"/>
      <c r="Z1638" s="220"/>
      <c r="AA1638" s="15"/>
      <c r="AB1638" s="15"/>
      <c r="AC1638" s="15"/>
      <c r="AD1638" s="15"/>
      <c r="AE1638" s="15"/>
    </row>
    <row r="1639" spans="1:31" s="401" customFormat="1" outlineLevel="1">
      <c r="A1639" s="1011">
        <v>2401011000</v>
      </c>
      <c r="B1639" s="1012" t="s">
        <v>1366</v>
      </c>
      <c r="C1639" s="1013" t="s">
        <v>64</v>
      </c>
      <c r="D1639" s="1013">
        <v>2000002145</v>
      </c>
      <c r="E1639" s="1014">
        <v>44993</v>
      </c>
      <c r="F1639" s="1015"/>
      <c r="G1639" s="1293"/>
      <c r="H1639" s="346"/>
      <c r="I1639" s="1016"/>
      <c r="J1639" s="1457">
        <v>1</v>
      </c>
      <c r="K1639" s="1458">
        <v>1</v>
      </c>
      <c r="L1639" s="1036"/>
      <c r="M1639" s="1325">
        <f t="shared" si="3234"/>
        <v>0</v>
      </c>
      <c r="N1639" s="348">
        <f ca="1">IF(OR(E1639="",E1639&gt;TODAY()),0,IF(ISERROR(VLOOKUP($E1639,'TRM BanRep'!$A:$G,7,0)),0,VLOOKUP($E1639,'TRM BanRep'!$A:$G,7,0)))</f>
        <v>4744.95</v>
      </c>
      <c r="O1639" s="897">
        <f t="shared" ca="1" si="3235"/>
        <v>0</v>
      </c>
      <c r="P1639" s="1017">
        <f>-L1638</f>
        <v>-6966.84</v>
      </c>
      <c r="Q1639" s="1362">
        <f t="shared" si="3236"/>
        <v>-6966.84</v>
      </c>
      <c r="R1639" s="349">
        <f ca="1">+N1638</f>
        <v>4669.74</v>
      </c>
      <c r="S1639" s="349">
        <f ca="1">IF(OR(E1639="",E1639&gt;TODAY()),0,IF(ISERROR(VLOOKUP($E1639,'TRM BanRep'!$A:$G,7,0)),0,VLOOKUP($E1639,'TRM BanRep'!$A:$G,7,0)))</f>
        <v>4744.95</v>
      </c>
      <c r="T1639" s="895">
        <f t="shared" ca="1" si="3237"/>
        <v>-33057307.458000001</v>
      </c>
      <c r="U1639" s="350">
        <f t="shared" si="3238"/>
        <v>-6966.84</v>
      </c>
      <c r="V1639" s="918">
        <f t="shared" ca="1" si="3239"/>
        <v>-32533331.421599999</v>
      </c>
      <c r="W1639" s="351">
        <f t="shared" ca="1" si="3240"/>
        <v>523976.0364000015</v>
      </c>
      <c r="X1639" s="919">
        <f t="shared" ca="1" si="3241"/>
        <v>0</v>
      </c>
      <c r="Y1639" s="1018"/>
      <c r="Z1639" s="220"/>
      <c r="AA1639" s="15"/>
      <c r="AB1639" s="15"/>
      <c r="AC1639" s="15"/>
      <c r="AD1639" s="15"/>
      <c r="AE1639" s="15"/>
    </row>
    <row r="1640" spans="1:31" s="401" customFormat="1" outlineLevel="1">
      <c r="A1640" s="1011">
        <v>2401011000</v>
      </c>
      <c r="B1640" s="1012" t="s">
        <v>2280</v>
      </c>
      <c r="C1640" s="1013" t="s">
        <v>64</v>
      </c>
      <c r="D1640" s="1013">
        <v>5100000956</v>
      </c>
      <c r="E1640" s="1014">
        <v>44965</v>
      </c>
      <c r="F1640" s="1015"/>
      <c r="G1640" s="1293"/>
      <c r="H1640" s="346"/>
      <c r="I1640" s="1016"/>
      <c r="J1640" s="1457">
        <v>1</v>
      </c>
      <c r="K1640" s="1458">
        <v>1</v>
      </c>
      <c r="L1640" s="1036">
        <v>1590.27</v>
      </c>
      <c r="M1640" s="1325">
        <f>+L1640*J1640</f>
        <v>1590.27</v>
      </c>
      <c r="N1640" s="348">
        <f ca="1">IF(OR(E1640="",E1640&gt;TODAY()),0,IF(ISERROR(VLOOKUP($E1640,'TRM BanRep'!$A:$G,7,0)),0,VLOOKUP($E1640,'TRM BanRep'!$A:$G,7,0)))</f>
        <v>4775.99</v>
      </c>
      <c r="O1640" s="897">
        <f ca="1">+L1640*J1640*N1640</f>
        <v>7595113.6172999991</v>
      </c>
      <c r="P1640" s="1017"/>
      <c r="Q1640" s="1362">
        <f>+P1640*K1640</f>
        <v>0</v>
      </c>
      <c r="R1640" s="349"/>
      <c r="S1640" s="349"/>
      <c r="T1640" s="895">
        <f>+P1640*K1640*S1640</f>
        <v>0</v>
      </c>
      <c r="U1640" s="350">
        <f>+L1640+P1640+F1640</f>
        <v>1590.27</v>
      </c>
      <c r="V1640" s="918">
        <f ca="1">+P1640*J1640*R1640+L1640*J1640*N1640+F1640*J1640*H1640</f>
        <v>7595113.6172999991</v>
      </c>
      <c r="W1640" s="351">
        <f>-(IF(-P1640*J1640*R1640&lt;-P1640*K1640*S1640,(-P1640*J1640*R1640)-(-P1640*K1640*S1640),0))</f>
        <v>0</v>
      </c>
      <c r="X1640" s="919">
        <f>-(IF(-P1640*J1640*R1640&gt;-P1640*K1640*S1640,(-P1640*J1640*R1640)-(-P1640*K1640*S1640),0))</f>
        <v>0</v>
      </c>
      <c r="Y1640" s="1018"/>
      <c r="Z1640" s="220"/>
      <c r="AA1640" s="15"/>
      <c r="AB1640" s="15"/>
      <c r="AC1640" s="15"/>
      <c r="AD1640" s="15"/>
      <c r="AE1640" s="15"/>
    </row>
    <row r="1641" spans="1:31" s="401" customFormat="1" outlineLevel="1">
      <c r="A1641" s="1011">
        <v>2401011000</v>
      </c>
      <c r="B1641" s="1012" t="s">
        <v>1366</v>
      </c>
      <c r="C1641" s="1013" t="s">
        <v>64</v>
      </c>
      <c r="D1641" s="1013">
        <v>2000002203</v>
      </c>
      <c r="E1641" s="1014">
        <v>44995</v>
      </c>
      <c r="F1641" s="1015"/>
      <c r="G1641" s="1293"/>
      <c r="H1641" s="346"/>
      <c r="I1641" s="1016"/>
      <c r="J1641" s="1457">
        <v>1</v>
      </c>
      <c r="K1641" s="1458">
        <v>1</v>
      </c>
      <c r="L1641" s="1036"/>
      <c r="M1641" s="1325">
        <f t="shared" ref="M1641" si="3242">+L1641*J1641</f>
        <v>0</v>
      </c>
      <c r="N1641" s="348">
        <f ca="1">IF(OR(E1641="",E1641&gt;TODAY()),0,IF(ISERROR(VLOOKUP($E1641,'TRM BanRep'!$A:$G,7,0)),0,VLOOKUP($E1641,'TRM BanRep'!$A:$G,7,0)))</f>
        <v>4748.6099999999997</v>
      </c>
      <c r="O1641" s="897">
        <f t="shared" ref="O1641" ca="1" si="3243">+L1641*J1641*N1641</f>
        <v>0</v>
      </c>
      <c r="P1641" s="1017">
        <f>-L1640</f>
        <v>-1590.27</v>
      </c>
      <c r="Q1641" s="1362">
        <f t="shared" ref="Q1641" si="3244">+P1641*K1641</f>
        <v>-1590.27</v>
      </c>
      <c r="R1641" s="349">
        <f ca="1">+N1640</f>
        <v>4775.99</v>
      </c>
      <c r="S1641" s="349">
        <f ca="1">IF(OR(E1641="",E1641&gt;TODAY()),0,IF(ISERROR(VLOOKUP($E1641,'TRM BanRep'!$A:$G,7,0)),0,VLOOKUP($E1641,'TRM BanRep'!$A:$G,7,0)))</f>
        <v>4748.6099999999997</v>
      </c>
      <c r="T1641" s="895">
        <f t="shared" ref="T1641" ca="1" si="3245">+P1641*K1641*S1641</f>
        <v>-7551572.024699999</v>
      </c>
      <c r="U1641" s="350">
        <f t="shared" ref="U1641" si="3246">+L1641+P1641+F1641</f>
        <v>-1590.27</v>
      </c>
      <c r="V1641" s="918">
        <f t="shared" ref="V1641" ca="1" si="3247">+P1641*J1641*R1641+L1641*J1641*N1641+F1641*J1641*H1641</f>
        <v>-7595113.6172999991</v>
      </c>
      <c r="W1641" s="351">
        <f t="shared" ref="W1641" ca="1" si="3248">-(IF(-P1641*J1641*R1641&lt;-P1641*K1641*S1641,(-P1641*J1641*R1641)-(-P1641*K1641*S1641),0))</f>
        <v>0</v>
      </c>
      <c r="X1641" s="919">
        <f t="shared" ref="X1641" ca="1" si="3249">-(IF(-P1641*J1641*R1641&gt;-P1641*K1641*S1641,(-P1641*J1641*R1641)-(-P1641*K1641*S1641),0))</f>
        <v>-43541.592600000091</v>
      </c>
      <c r="Y1641" s="1018"/>
      <c r="Z1641" s="220"/>
      <c r="AA1641" s="15"/>
      <c r="AB1641" s="15"/>
      <c r="AC1641" s="15"/>
      <c r="AD1641" s="15"/>
      <c r="AE1641" s="15"/>
    </row>
    <row r="1642" spans="1:31" s="401" customFormat="1" outlineLevel="1">
      <c r="A1642" s="1011">
        <v>2401011000</v>
      </c>
      <c r="B1642" s="1012" t="s">
        <v>2281</v>
      </c>
      <c r="C1642" s="1013" t="s">
        <v>64</v>
      </c>
      <c r="D1642" s="1013">
        <v>5100000994</v>
      </c>
      <c r="E1642" s="1014">
        <v>44967</v>
      </c>
      <c r="F1642" s="1015"/>
      <c r="G1642" s="1293"/>
      <c r="H1642" s="346"/>
      <c r="I1642" s="1016"/>
      <c r="J1642" s="1457">
        <v>1</v>
      </c>
      <c r="K1642" s="1458">
        <v>1</v>
      </c>
      <c r="L1642" s="1036">
        <v>1433.13</v>
      </c>
      <c r="M1642" s="1325">
        <f t="shared" ref="M1642:M1643" si="3250">+L1642*J1642</f>
        <v>1433.13</v>
      </c>
      <c r="N1642" s="348">
        <f ca="1">IF(OR(E1642="",E1642&gt;TODAY()),0,IF(ISERROR(VLOOKUP($E1642,'TRM BanRep'!$A:$G,7,0)),0,VLOOKUP($E1642,'TRM BanRep'!$A:$G,7,0)))</f>
        <v>4742.05</v>
      </c>
      <c r="O1642" s="897">
        <f t="shared" ref="O1642:O1643" ca="1" si="3251">+L1642*J1642*N1642</f>
        <v>6795974.1165000005</v>
      </c>
      <c r="P1642" s="1017"/>
      <c r="Q1642" s="1362">
        <f t="shared" ref="Q1642:Q1643" si="3252">+P1642*K1642</f>
        <v>0</v>
      </c>
      <c r="R1642" s="349"/>
      <c r="S1642" s="349"/>
      <c r="T1642" s="895">
        <f t="shared" ref="T1642:T1643" si="3253">+P1642*K1642*S1642</f>
        <v>0</v>
      </c>
      <c r="U1642" s="350">
        <f t="shared" ref="U1642:U1643" si="3254">+L1642+P1642+F1642</f>
        <v>1433.13</v>
      </c>
      <c r="V1642" s="918">
        <f t="shared" ref="V1642:V1643" ca="1" si="3255">+P1642*J1642*R1642+L1642*J1642*N1642+F1642*J1642*H1642</f>
        <v>6795974.1165000005</v>
      </c>
      <c r="W1642" s="351">
        <f t="shared" ref="W1642:W1643" si="3256">-(IF(-P1642*J1642*R1642&lt;-P1642*K1642*S1642,(-P1642*J1642*R1642)-(-P1642*K1642*S1642),0))</f>
        <v>0</v>
      </c>
      <c r="X1642" s="919">
        <f t="shared" ref="X1642:X1643" si="3257">-(IF(-P1642*J1642*R1642&gt;-P1642*K1642*S1642,(-P1642*J1642*R1642)-(-P1642*K1642*S1642),0))</f>
        <v>0</v>
      </c>
      <c r="Y1642" s="1018"/>
      <c r="Z1642" s="220"/>
      <c r="AA1642" s="15"/>
      <c r="AB1642" s="15"/>
      <c r="AC1642" s="15"/>
      <c r="AD1642" s="15"/>
      <c r="AE1642" s="15"/>
    </row>
    <row r="1643" spans="1:31" s="401" customFormat="1" outlineLevel="1">
      <c r="A1643" s="1011">
        <v>2401011000</v>
      </c>
      <c r="B1643" s="1012" t="s">
        <v>1366</v>
      </c>
      <c r="C1643" s="1013" t="s">
        <v>64</v>
      </c>
      <c r="D1643" s="1013">
        <v>2000002232</v>
      </c>
      <c r="E1643" s="1014">
        <v>44998</v>
      </c>
      <c r="F1643" s="1015"/>
      <c r="G1643" s="1293"/>
      <c r="H1643" s="346"/>
      <c r="I1643" s="1016"/>
      <c r="J1643" s="1457">
        <v>1</v>
      </c>
      <c r="K1643" s="1458">
        <v>1</v>
      </c>
      <c r="L1643" s="1036"/>
      <c r="M1643" s="1325">
        <f t="shared" si="3250"/>
        <v>0</v>
      </c>
      <c r="N1643" s="348">
        <f ca="1">IF(OR(E1643="",E1643&gt;TODAY()),0,IF(ISERROR(VLOOKUP($E1643,'TRM BanRep'!$A:$G,7,0)),0,VLOOKUP($E1643,'TRM BanRep'!$A:$G,7,0)))</f>
        <v>4748.1400000000003</v>
      </c>
      <c r="O1643" s="897">
        <f t="shared" ca="1" si="3251"/>
        <v>0</v>
      </c>
      <c r="P1643" s="1017">
        <f>-L1642</f>
        <v>-1433.13</v>
      </c>
      <c r="Q1643" s="1362">
        <f t="shared" si="3252"/>
        <v>-1433.13</v>
      </c>
      <c r="R1643" s="349">
        <f ca="1">+N1642</f>
        <v>4742.05</v>
      </c>
      <c r="S1643" s="349">
        <f ca="1">IF(OR(E1643="",E1643&gt;TODAY()),0,IF(ISERROR(VLOOKUP($E1643,'TRM BanRep'!$A:$G,7,0)),0,VLOOKUP($E1643,'TRM BanRep'!$A:$G,7,0)))</f>
        <v>4748.1400000000003</v>
      </c>
      <c r="T1643" s="895">
        <f t="shared" ca="1" si="3253"/>
        <v>-6804701.8782000011</v>
      </c>
      <c r="U1643" s="350">
        <f t="shared" si="3254"/>
        <v>-1433.13</v>
      </c>
      <c r="V1643" s="918">
        <f t="shared" ca="1" si="3255"/>
        <v>-6795974.1165000005</v>
      </c>
      <c r="W1643" s="351">
        <f t="shared" ca="1" si="3256"/>
        <v>8727.7617000006139</v>
      </c>
      <c r="X1643" s="919">
        <f t="shared" ca="1" si="3257"/>
        <v>0</v>
      </c>
      <c r="Y1643" s="1018"/>
      <c r="Z1643" s="220"/>
      <c r="AA1643" s="15"/>
      <c r="AB1643" s="15"/>
      <c r="AC1643" s="15"/>
      <c r="AD1643" s="15"/>
      <c r="AE1643" s="15"/>
    </row>
    <row r="1644" spans="1:31" s="401" customFormat="1" outlineLevel="1">
      <c r="A1644" s="1011">
        <v>2401011000</v>
      </c>
      <c r="B1644" s="1012" t="s">
        <v>2282</v>
      </c>
      <c r="C1644" s="1013" t="s">
        <v>64</v>
      </c>
      <c r="D1644" s="1013">
        <v>5100001108</v>
      </c>
      <c r="E1644" s="1014">
        <v>44971</v>
      </c>
      <c r="F1644" s="1015"/>
      <c r="G1644" s="1293"/>
      <c r="H1644" s="346"/>
      <c r="I1644" s="1016"/>
      <c r="J1644" s="1457">
        <v>1</v>
      </c>
      <c r="K1644" s="1458">
        <v>1</v>
      </c>
      <c r="L1644" s="1036">
        <v>33260.71</v>
      </c>
      <c r="M1644" s="1325">
        <f>+L1644*J1644</f>
        <v>33260.71</v>
      </c>
      <c r="N1644" s="348">
        <f ca="1">IF(OR(E1644="",E1644&gt;TODAY()),0,IF(ISERROR(VLOOKUP($E1644,'TRM BanRep'!$A:$G,7,0)),0,VLOOKUP($E1644,'TRM BanRep'!$A:$G,7,0)))</f>
        <v>4818.62</v>
      </c>
      <c r="O1644" s="897">
        <f ca="1">+L1644*J1644*N1644</f>
        <v>160270722.42019999</v>
      </c>
      <c r="P1644" s="1017"/>
      <c r="Q1644" s="1362">
        <f>+P1644*K1644</f>
        <v>0</v>
      </c>
      <c r="R1644" s="349"/>
      <c r="S1644" s="349"/>
      <c r="T1644" s="895">
        <f>+P1644*K1644*S1644</f>
        <v>0</v>
      </c>
      <c r="U1644" s="350">
        <f>+L1644+P1644+F1644</f>
        <v>33260.71</v>
      </c>
      <c r="V1644" s="918">
        <f ca="1">+P1644*J1644*R1644+L1644*J1644*N1644+F1644*J1644*H1644</f>
        <v>160270722.42019999</v>
      </c>
      <c r="W1644" s="351">
        <f>-(IF(-P1644*J1644*R1644&lt;-P1644*K1644*S1644,(-P1644*J1644*R1644)-(-P1644*K1644*S1644),0))</f>
        <v>0</v>
      </c>
      <c r="X1644" s="919">
        <f>-(IF(-P1644*J1644*R1644&gt;-P1644*K1644*S1644,(-P1644*J1644*R1644)-(-P1644*K1644*S1644),0))</f>
        <v>0</v>
      </c>
      <c r="Y1644" s="1018"/>
      <c r="Z1644" s="220"/>
      <c r="AA1644" s="15"/>
      <c r="AB1644" s="15"/>
      <c r="AC1644" s="15"/>
      <c r="AD1644" s="15"/>
      <c r="AE1644" s="15"/>
    </row>
    <row r="1645" spans="1:31" s="401" customFormat="1" outlineLevel="1">
      <c r="A1645" s="1011">
        <v>2401011000</v>
      </c>
      <c r="B1645" s="1012" t="s">
        <v>1366</v>
      </c>
      <c r="C1645" s="1013" t="s">
        <v>64</v>
      </c>
      <c r="D1645" s="1013">
        <v>2000002368</v>
      </c>
      <c r="E1645" s="1014">
        <v>45001</v>
      </c>
      <c r="F1645" s="1015"/>
      <c r="G1645" s="1293"/>
      <c r="H1645" s="346"/>
      <c r="I1645" s="1016"/>
      <c r="J1645" s="1457">
        <v>1</v>
      </c>
      <c r="K1645" s="1458">
        <v>1</v>
      </c>
      <c r="L1645" s="1036"/>
      <c r="M1645" s="1325">
        <f t="shared" ref="M1645" si="3258">+L1645*J1645</f>
        <v>0</v>
      </c>
      <c r="N1645" s="348">
        <f ca="1">IF(OR(E1645="",E1645&gt;TODAY()),0,IF(ISERROR(VLOOKUP($E1645,'TRM BanRep'!$A:$G,7,0)),0,VLOOKUP($E1645,'TRM BanRep'!$A:$G,7,0)))</f>
        <v>4835.51</v>
      </c>
      <c r="O1645" s="897">
        <f t="shared" ref="O1645" ca="1" si="3259">+L1645*J1645*N1645</f>
        <v>0</v>
      </c>
      <c r="P1645" s="1017">
        <f>-L1644</f>
        <v>-33260.71</v>
      </c>
      <c r="Q1645" s="1362">
        <f t="shared" ref="Q1645" si="3260">+P1645*K1645</f>
        <v>-33260.71</v>
      </c>
      <c r="R1645" s="349">
        <f ca="1">+N1644</f>
        <v>4818.62</v>
      </c>
      <c r="S1645" s="349">
        <f ca="1">IF(OR(E1645="",E1645&gt;TODAY()),0,IF(ISERROR(VLOOKUP($E1645,'TRM BanRep'!$A:$G,7,0)),0,VLOOKUP($E1645,'TRM BanRep'!$A:$G,7,0)))</f>
        <v>4835.51</v>
      </c>
      <c r="T1645" s="895">
        <f t="shared" ref="T1645" ca="1" si="3261">+P1645*K1645*S1645</f>
        <v>-160832495.81209999</v>
      </c>
      <c r="U1645" s="350">
        <f t="shared" ref="U1645" si="3262">+L1645+P1645+F1645</f>
        <v>-33260.71</v>
      </c>
      <c r="V1645" s="918">
        <f t="shared" ref="V1645" ca="1" si="3263">+P1645*J1645*R1645+L1645*J1645*N1645+F1645*J1645*H1645</f>
        <v>-160270722.42019999</v>
      </c>
      <c r="W1645" s="351">
        <f t="shared" ref="W1645" ca="1" si="3264">-(IF(-P1645*J1645*R1645&lt;-P1645*K1645*S1645,(-P1645*J1645*R1645)-(-P1645*K1645*S1645),0))</f>
        <v>561773.39190000296</v>
      </c>
      <c r="X1645" s="919">
        <f t="shared" ref="X1645" ca="1" si="3265">-(IF(-P1645*J1645*R1645&gt;-P1645*K1645*S1645,(-P1645*J1645*R1645)-(-P1645*K1645*S1645),0))</f>
        <v>0</v>
      </c>
      <c r="Y1645" s="1018"/>
      <c r="Z1645" s="220"/>
      <c r="AA1645" s="15"/>
      <c r="AB1645" s="15"/>
      <c r="AC1645" s="15"/>
      <c r="AD1645" s="15"/>
      <c r="AE1645" s="15"/>
    </row>
    <row r="1646" spans="1:31" s="401" customFormat="1" outlineLevel="1">
      <c r="A1646" s="1011">
        <v>2401011000</v>
      </c>
      <c r="B1646" s="1012" t="s">
        <v>2283</v>
      </c>
      <c r="C1646" s="1013" t="s">
        <v>64</v>
      </c>
      <c r="D1646" s="1013">
        <v>5100001150</v>
      </c>
      <c r="E1646" s="1014">
        <v>44972</v>
      </c>
      <c r="F1646" s="1015"/>
      <c r="G1646" s="1293"/>
      <c r="H1646" s="346"/>
      <c r="I1646" s="1016"/>
      <c r="J1646" s="1457">
        <v>1</v>
      </c>
      <c r="K1646" s="1458">
        <v>1</v>
      </c>
      <c r="L1646" s="1036">
        <v>710.31</v>
      </c>
      <c r="M1646" s="1325">
        <f t="shared" ref="M1646:M1647" si="3266">+L1646*J1646</f>
        <v>710.31</v>
      </c>
      <c r="N1646" s="348">
        <f ca="1">IF(OR(E1646="",E1646&gt;TODAY()),0,IF(ISERROR(VLOOKUP($E1646,'TRM BanRep'!$A:$G,7,0)),0,VLOOKUP($E1646,'TRM BanRep'!$A:$G,7,0)))</f>
        <v>4783.24</v>
      </c>
      <c r="O1646" s="897">
        <f t="shared" ref="O1646:O1647" ca="1" si="3267">+L1646*J1646*N1646</f>
        <v>3397583.2043999997</v>
      </c>
      <c r="P1646" s="1017"/>
      <c r="Q1646" s="1362">
        <f t="shared" ref="Q1646:Q1647" si="3268">+P1646*K1646</f>
        <v>0</v>
      </c>
      <c r="R1646" s="349"/>
      <c r="S1646" s="349"/>
      <c r="T1646" s="895">
        <f t="shared" ref="T1646:T1647" si="3269">+P1646*K1646*S1646</f>
        <v>0</v>
      </c>
      <c r="U1646" s="350">
        <f t="shared" ref="U1646:U1647" si="3270">+L1646+P1646+F1646</f>
        <v>710.31</v>
      </c>
      <c r="V1646" s="918">
        <f t="shared" ref="V1646:V1647" ca="1" si="3271">+P1646*J1646*R1646+L1646*J1646*N1646+F1646*J1646*H1646</f>
        <v>3397583.2043999997</v>
      </c>
      <c r="W1646" s="351">
        <f t="shared" ref="W1646:W1647" si="3272">-(IF(-P1646*J1646*R1646&lt;-P1646*K1646*S1646,(-P1646*J1646*R1646)-(-P1646*K1646*S1646),0))</f>
        <v>0</v>
      </c>
      <c r="X1646" s="919">
        <f t="shared" ref="X1646:X1647" si="3273">-(IF(-P1646*J1646*R1646&gt;-P1646*K1646*S1646,(-P1646*J1646*R1646)-(-P1646*K1646*S1646),0))</f>
        <v>0</v>
      </c>
      <c r="Y1646" s="1018"/>
      <c r="Z1646" s="220"/>
      <c r="AA1646" s="15"/>
      <c r="AB1646" s="15"/>
      <c r="AC1646" s="15"/>
      <c r="AD1646" s="15"/>
      <c r="AE1646" s="15"/>
    </row>
    <row r="1647" spans="1:31" s="401" customFormat="1" outlineLevel="1">
      <c r="A1647" s="1011">
        <v>2401011000</v>
      </c>
      <c r="B1647" s="1012" t="s">
        <v>1366</v>
      </c>
      <c r="C1647" s="1013" t="s">
        <v>64</v>
      </c>
      <c r="D1647" s="1013">
        <v>2000001746</v>
      </c>
      <c r="E1647" s="1014">
        <v>44987</v>
      </c>
      <c r="F1647" s="1015"/>
      <c r="G1647" s="1293"/>
      <c r="H1647" s="346"/>
      <c r="I1647" s="1016"/>
      <c r="J1647" s="1457">
        <v>1</v>
      </c>
      <c r="K1647" s="1458">
        <v>1</v>
      </c>
      <c r="L1647" s="1036"/>
      <c r="M1647" s="1325">
        <f t="shared" si="3266"/>
        <v>0</v>
      </c>
      <c r="N1647" s="348">
        <f ca="1">IF(OR(E1647="",E1647&gt;TODAY()),0,IF(ISERROR(VLOOKUP($E1647,'TRM BanRep'!$A:$G,7,0)),0,VLOOKUP($E1647,'TRM BanRep'!$A:$G,7,0)))</f>
        <v>4848.78</v>
      </c>
      <c r="O1647" s="897">
        <f t="shared" ca="1" si="3267"/>
        <v>0</v>
      </c>
      <c r="P1647" s="1017">
        <f>-L1646</f>
        <v>-710.31</v>
      </c>
      <c r="Q1647" s="1362">
        <f t="shared" si="3268"/>
        <v>-710.31</v>
      </c>
      <c r="R1647" s="349">
        <f ca="1">+N1646</f>
        <v>4783.24</v>
      </c>
      <c r="S1647" s="349">
        <f ca="1">IF(OR(E1647="",E1647&gt;TODAY()),0,IF(ISERROR(VLOOKUP($E1647,'TRM BanRep'!$A:$G,7,0)),0,VLOOKUP($E1647,'TRM BanRep'!$A:$G,7,0)))</f>
        <v>4848.78</v>
      </c>
      <c r="T1647" s="895">
        <f t="shared" ca="1" si="3269"/>
        <v>-3444136.9217999997</v>
      </c>
      <c r="U1647" s="350">
        <f t="shared" si="3270"/>
        <v>-710.31</v>
      </c>
      <c r="V1647" s="918">
        <f t="shared" ca="1" si="3271"/>
        <v>-3397583.2043999997</v>
      </c>
      <c r="W1647" s="351">
        <f t="shared" ca="1" si="3272"/>
        <v>46553.717399999965</v>
      </c>
      <c r="X1647" s="919">
        <f t="shared" ca="1" si="3273"/>
        <v>0</v>
      </c>
      <c r="Y1647" s="1018"/>
      <c r="Z1647" s="220"/>
      <c r="AA1647" s="15"/>
      <c r="AB1647" s="15"/>
      <c r="AC1647" s="15"/>
      <c r="AD1647" s="15"/>
      <c r="AE1647" s="15"/>
    </row>
    <row r="1648" spans="1:31" s="401" customFormat="1" outlineLevel="1">
      <c r="A1648" s="1011">
        <v>2401011000</v>
      </c>
      <c r="B1648" s="1012" t="s">
        <v>2284</v>
      </c>
      <c r="C1648" s="1013" t="s">
        <v>64</v>
      </c>
      <c r="D1648" s="1013">
        <v>5100001241</v>
      </c>
      <c r="E1648" s="1014">
        <v>44973</v>
      </c>
      <c r="F1648" s="1015"/>
      <c r="G1648" s="1293"/>
      <c r="H1648" s="346"/>
      <c r="I1648" s="1016"/>
      <c r="J1648" s="1457">
        <v>1</v>
      </c>
      <c r="K1648" s="1458">
        <v>1</v>
      </c>
      <c r="L1648" s="1036">
        <v>1276.5999999999999</v>
      </c>
      <c r="M1648" s="1325">
        <f>+L1648*J1648</f>
        <v>1276.5999999999999</v>
      </c>
      <c r="N1648" s="348">
        <f ca="1">IF(OR(E1648="",E1648&gt;TODAY()),0,IF(ISERROR(VLOOKUP($E1648,'TRM BanRep'!$A:$G,7,0)),0,VLOOKUP($E1648,'TRM BanRep'!$A:$G,7,0)))</f>
        <v>4878.24</v>
      </c>
      <c r="O1648" s="897">
        <f ca="1">+L1648*J1648*N1648</f>
        <v>6227561.1839999994</v>
      </c>
      <c r="P1648" s="1017"/>
      <c r="Q1648" s="1362">
        <f>+P1648*K1648</f>
        <v>0</v>
      </c>
      <c r="R1648" s="349"/>
      <c r="S1648" s="349"/>
      <c r="T1648" s="895">
        <f>+P1648*K1648*S1648</f>
        <v>0</v>
      </c>
      <c r="U1648" s="350">
        <f>+L1648+P1648+F1648</f>
        <v>1276.5999999999999</v>
      </c>
      <c r="V1648" s="918">
        <f ca="1">+P1648*J1648*R1648+L1648*J1648*N1648+F1648*J1648*H1648</f>
        <v>6227561.1839999994</v>
      </c>
      <c r="W1648" s="351">
        <f>-(IF(-P1648*J1648*R1648&lt;-P1648*K1648*S1648,(-P1648*J1648*R1648)-(-P1648*K1648*S1648),0))</f>
        <v>0</v>
      </c>
      <c r="X1648" s="919">
        <f>-(IF(-P1648*J1648*R1648&gt;-P1648*K1648*S1648,(-P1648*J1648*R1648)-(-P1648*K1648*S1648),0))</f>
        <v>0</v>
      </c>
      <c r="Y1648" s="1018"/>
      <c r="Z1648" s="220"/>
      <c r="AA1648" s="15"/>
      <c r="AB1648" s="15"/>
      <c r="AC1648" s="15"/>
      <c r="AD1648" s="15"/>
      <c r="AE1648" s="15"/>
    </row>
    <row r="1649" spans="1:31" s="401" customFormat="1" outlineLevel="1">
      <c r="A1649" s="1011">
        <v>2401011000</v>
      </c>
      <c r="B1649" s="1012" t="s">
        <v>1366</v>
      </c>
      <c r="C1649" s="1013" t="s">
        <v>64</v>
      </c>
      <c r="D1649" s="1013">
        <v>2000001790</v>
      </c>
      <c r="E1649" s="1014">
        <v>44988</v>
      </c>
      <c r="F1649" s="1015"/>
      <c r="G1649" s="1293"/>
      <c r="H1649" s="346"/>
      <c r="I1649" s="1016"/>
      <c r="J1649" s="1457">
        <v>1</v>
      </c>
      <c r="K1649" s="1458">
        <v>1</v>
      </c>
      <c r="L1649" s="1036"/>
      <c r="M1649" s="1325">
        <f t="shared" ref="M1649" si="3274">+L1649*J1649</f>
        <v>0</v>
      </c>
      <c r="N1649" s="348">
        <f ca="1">IF(OR(E1649="",E1649&gt;TODAY()),0,IF(ISERROR(VLOOKUP($E1649,'TRM BanRep'!$A:$G,7,0)),0,VLOOKUP($E1649,'TRM BanRep'!$A:$G,7,0)))</f>
        <v>4855.83</v>
      </c>
      <c r="O1649" s="897">
        <f t="shared" ref="O1649" ca="1" si="3275">+L1649*J1649*N1649</f>
        <v>0</v>
      </c>
      <c r="P1649" s="1017">
        <f>-L1648</f>
        <v>-1276.5999999999999</v>
      </c>
      <c r="Q1649" s="1362">
        <f t="shared" ref="Q1649" si="3276">+P1649*K1649</f>
        <v>-1276.5999999999999</v>
      </c>
      <c r="R1649" s="349">
        <f ca="1">+N1648</f>
        <v>4878.24</v>
      </c>
      <c r="S1649" s="349">
        <f ca="1">IF(OR(E1649="",E1649&gt;TODAY()),0,IF(ISERROR(VLOOKUP($E1649,'TRM BanRep'!$A:$G,7,0)),0,VLOOKUP($E1649,'TRM BanRep'!$A:$G,7,0)))</f>
        <v>4855.83</v>
      </c>
      <c r="T1649" s="895">
        <f t="shared" ref="T1649" ca="1" si="3277">+P1649*K1649*S1649</f>
        <v>-6198952.5779999997</v>
      </c>
      <c r="U1649" s="350">
        <f t="shared" ref="U1649" si="3278">+L1649+P1649+F1649</f>
        <v>-1276.5999999999999</v>
      </c>
      <c r="V1649" s="918">
        <f t="shared" ref="V1649" ca="1" si="3279">+P1649*J1649*R1649+L1649*J1649*N1649+F1649*J1649*H1649</f>
        <v>-6227561.1839999994</v>
      </c>
      <c r="W1649" s="351">
        <f t="shared" ref="W1649" ca="1" si="3280">-(IF(-P1649*J1649*R1649&lt;-P1649*K1649*S1649,(-P1649*J1649*R1649)-(-P1649*K1649*S1649),0))</f>
        <v>0</v>
      </c>
      <c r="X1649" s="919">
        <f t="shared" ref="X1649" ca="1" si="3281">-(IF(-P1649*J1649*R1649&gt;-P1649*K1649*S1649,(-P1649*J1649*R1649)-(-P1649*K1649*S1649),0))</f>
        <v>-28608.60599999968</v>
      </c>
      <c r="Y1649" s="1018"/>
      <c r="Z1649" s="220"/>
      <c r="AA1649" s="15"/>
      <c r="AB1649" s="15"/>
      <c r="AC1649" s="15"/>
      <c r="AD1649" s="15"/>
      <c r="AE1649" s="15"/>
    </row>
    <row r="1650" spans="1:31" s="401" customFormat="1" outlineLevel="1">
      <c r="A1650" s="1011">
        <v>2401011000</v>
      </c>
      <c r="B1650" s="1012" t="s">
        <v>2285</v>
      </c>
      <c r="C1650" s="1013" t="s">
        <v>64</v>
      </c>
      <c r="D1650" s="1013">
        <v>5100001251</v>
      </c>
      <c r="E1650" s="1014">
        <v>44974</v>
      </c>
      <c r="F1650" s="1015"/>
      <c r="G1650" s="1293"/>
      <c r="H1650" s="346"/>
      <c r="I1650" s="1016"/>
      <c r="J1650" s="1457">
        <v>1</v>
      </c>
      <c r="K1650" s="1458">
        <v>1</v>
      </c>
      <c r="L1650" s="1036">
        <v>2491.21</v>
      </c>
      <c r="M1650" s="1325">
        <f t="shared" ref="M1650:M1651" si="3282">+L1650*J1650</f>
        <v>2491.21</v>
      </c>
      <c r="N1650" s="348">
        <f ca="1">IF(OR(E1650="",E1650&gt;TODAY()),0,IF(ISERROR(VLOOKUP($E1650,'TRM BanRep'!$A:$G,7,0)),0,VLOOKUP($E1650,'TRM BanRep'!$A:$G,7,0)))</f>
        <v>4966.33</v>
      </c>
      <c r="O1650" s="897">
        <f t="shared" ref="O1650:O1651" ca="1" si="3283">+L1650*J1650*N1650</f>
        <v>12372170.9593</v>
      </c>
      <c r="P1650" s="1017"/>
      <c r="Q1650" s="1362">
        <f t="shared" ref="Q1650:Q1651" si="3284">+P1650*K1650</f>
        <v>0</v>
      </c>
      <c r="R1650" s="349"/>
      <c r="S1650" s="349"/>
      <c r="T1650" s="895">
        <f t="shared" ref="T1650:T1651" si="3285">+P1650*K1650*S1650</f>
        <v>0</v>
      </c>
      <c r="U1650" s="350">
        <f t="shared" ref="U1650:U1651" si="3286">+L1650+P1650+F1650</f>
        <v>2491.21</v>
      </c>
      <c r="V1650" s="918">
        <f t="shared" ref="V1650:V1651" ca="1" si="3287">+P1650*J1650*R1650+L1650*J1650*N1650+F1650*J1650*H1650</f>
        <v>12372170.9593</v>
      </c>
      <c r="W1650" s="351">
        <f t="shared" ref="W1650:W1651" si="3288">-(IF(-P1650*J1650*R1650&lt;-P1650*K1650*S1650,(-P1650*J1650*R1650)-(-P1650*K1650*S1650),0))</f>
        <v>0</v>
      </c>
      <c r="X1650" s="919">
        <f t="shared" ref="X1650:X1651" si="3289">-(IF(-P1650*J1650*R1650&gt;-P1650*K1650*S1650,(-P1650*J1650*R1650)-(-P1650*K1650*S1650),0))</f>
        <v>0</v>
      </c>
      <c r="Y1650" s="1018"/>
      <c r="Z1650" s="220"/>
      <c r="AA1650" s="15"/>
      <c r="AB1650" s="15"/>
      <c r="AC1650" s="15"/>
      <c r="AD1650" s="15"/>
      <c r="AE1650" s="15"/>
    </row>
    <row r="1651" spans="1:31" s="401" customFormat="1" outlineLevel="1">
      <c r="A1651" s="1011">
        <v>2401011000</v>
      </c>
      <c r="B1651" s="1012" t="s">
        <v>1366</v>
      </c>
      <c r="C1651" s="1013" t="s">
        <v>64</v>
      </c>
      <c r="D1651" s="1013">
        <v>2000002433</v>
      </c>
      <c r="E1651" s="1014">
        <v>45006</v>
      </c>
      <c r="F1651" s="1015"/>
      <c r="G1651" s="1293"/>
      <c r="H1651" s="346"/>
      <c r="I1651" s="1016"/>
      <c r="J1651" s="1457">
        <v>1</v>
      </c>
      <c r="K1651" s="1458">
        <v>1</v>
      </c>
      <c r="L1651" s="1036"/>
      <c r="M1651" s="1325">
        <f t="shared" si="3282"/>
        <v>0</v>
      </c>
      <c r="N1651" s="348">
        <f ca="1">IF(OR(E1651="",E1651&gt;TODAY()),0,IF(ISERROR(VLOOKUP($E1651,'TRM BanRep'!$A:$G,7,0)),0,VLOOKUP($E1651,'TRM BanRep'!$A:$G,7,0)))</f>
        <v>4824.25</v>
      </c>
      <c r="O1651" s="897">
        <f t="shared" ca="1" si="3283"/>
        <v>0</v>
      </c>
      <c r="P1651" s="1017">
        <f>-L1650</f>
        <v>-2491.21</v>
      </c>
      <c r="Q1651" s="1362">
        <f t="shared" si="3284"/>
        <v>-2491.21</v>
      </c>
      <c r="R1651" s="349">
        <f ca="1">+N1650</f>
        <v>4966.33</v>
      </c>
      <c r="S1651" s="349">
        <f ca="1">IF(OR(E1651="",E1651&gt;TODAY()),0,IF(ISERROR(VLOOKUP($E1651,'TRM BanRep'!$A:$G,7,0)),0,VLOOKUP($E1651,'TRM BanRep'!$A:$G,7,0)))</f>
        <v>4824.25</v>
      </c>
      <c r="T1651" s="895">
        <f t="shared" ca="1" si="3285"/>
        <v>-12018219.842499999</v>
      </c>
      <c r="U1651" s="350">
        <f t="shared" si="3286"/>
        <v>-2491.21</v>
      </c>
      <c r="V1651" s="918">
        <f t="shared" ca="1" si="3287"/>
        <v>-12372170.9593</v>
      </c>
      <c r="W1651" s="351">
        <f t="shared" ca="1" si="3288"/>
        <v>0</v>
      </c>
      <c r="X1651" s="919">
        <f t="shared" ca="1" si="3289"/>
        <v>-353951.11680000089</v>
      </c>
      <c r="Y1651" s="1018"/>
      <c r="Z1651" s="220"/>
      <c r="AA1651" s="15"/>
      <c r="AB1651" s="15"/>
      <c r="AC1651" s="15"/>
      <c r="AD1651" s="15"/>
      <c r="AE1651" s="15"/>
    </row>
    <row r="1652" spans="1:31" s="401" customFormat="1" outlineLevel="1">
      <c r="A1652" s="1011">
        <v>2401011000</v>
      </c>
      <c r="B1652" s="1012" t="s">
        <v>2286</v>
      </c>
      <c r="C1652" s="1013" t="s">
        <v>64</v>
      </c>
      <c r="D1652" s="1013">
        <v>5100001254</v>
      </c>
      <c r="E1652" s="1014">
        <v>44974</v>
      </c>
      <c r="F1652" s="1015"/>
      <c r="G1652" s="1293"/>
      <c r="H1652" s="346"/>
      <c r="I1652" s="1016"/>
      <c r="J1652" s="1457">
        <v>1</v>
      </c>
      <c r="K1652" s="1458">
        <v>1</v>
      </c>
      <c r="L1652" s="1036">
        <v>519.96</v>
      </c>
      <c r="M1652" s="1325">
        <f>+L1652*J1652</f>
        <v>519.96</v>
      </c>
      <c r="N1652" s="348">
        <f ca="1">IF(OR(E1652="",E1652&gt;TODAY()),0,IF(ISERROR(VLOOKUP($E1652,'TRM BanRep'!$A:$G,7,0)),0,VLOOKUP($E1652,'TRM BanRep'!$A:$G,7,0)))</f>
        <v>4966.33</v>
      </c>
      <c r="O1652" s="897">
        <f ca="1">+L1652*J1652*N1652</f>
        <v>2582292.9468</v>
      </c>
      <c r="P1652" s="1017"/>
      <c r="Q1652" s="1362">
        <f>+P1652*K1652</f>
        <v>0</v>
      </c>
      <c r="R1652" s="349"/>
      <c r="S1652" s="349"/>
      <c r="T1652" s="895">
        <f>+P1652*K1652*S1652</f>
        <v>0</v>
      </c>
      <c r="U1652" s="350">
        <f>+L1652+P1652+F1652</f>
        <v>519.96</v>
      </c>
      <c r="V1652" s="918">
        <f ca="1">+P1652*J1652*R1652+L1652*J1652*N1652+F1652*J1652*H1652</f>
        <v>2582292.9468</v>
      </c>
      <c r="W1652" s="351">
        <f>-(IF(-P1652*J1652*R1652&lt;-P1652*K1652*S1652,(-P1652*J1652*R1652)-(-P1652*K1652*S1652),0))</f>
        <v>0</v>
      </c>
      <c r="X1652" s="919">
        <f>-(IF(-P1652*J1652*R1652&gt;-P1652*K1652*S1652,(-P1652*J1652*R1652)-(-P1652*K1652*S1652),0))</f>
        <v>0</v>
      </c>
      <c r="Y1652" s="1018"/>
      <c r="Z1652" s="220"/>
      <c r="AA1652" s="15"/>
      <c r="AB1652" s="15"/>
      <c r="AC1652" s="15"/>
      <c r="AD1652" s="15"/>
      <c r="AE1652" s="15"/>
    </row>
    <row r="1653" spans="1:31" s="401" customFormat="1" outlineLevel="1">
      <c r="A1653" s="1011">
        <v>2401011000</v>
      </c>
      <c r="B1653" s="1012" t="s">
        <v>1366</v>
      </c>
      <c r="C1653" s="1013" t="s">
        <v>64</v>
      </c>
      <c r="D1653" s="1013">
        <v>2000001923</v>
      </c>
      <c r="E1653" s="1014">
        <v>44992</v>
      </c>
      <c r="F1653" s="1015"/>
      <c r="G1653" s="1293"/>
      <c r="H1653" s="346"/>
      <c r="I1653" s="1016"/>
      <c r="J1653" s="1457">
        <v>1</v>
      </c>
      <c r="K1653" s="1458">
        <v>1</v>
      </c>
      <c r="L1653" s="1036"/>
      <c r="M1653" s="1325">
        <f t="shared" ref="M1653" si="3290">+L1653*J1653</f>
        <v>0</v>
      </c>
      <c r="N1653" s="348">
        <f ca="1">IF(OR(E1653="",E1653&gt;TODAY()),0,IF(ISERROR(VLOOKUP($E1653,'TRM BanRep'!$A:$G,7,0)),0,VLOOKUP($E1653,'TRM BanRep'!$A:$G,7,0)))</f>
        <v>4734.42</v>
      </c>
      <c r="O1653" s="897">
        <f t="shared" ref="O1653" ca="1" si="3291">+L1653*J1653*N1653</f>
        <v>0</v>
      </c>
      <c r="P1653" s="1017">
        <f>-L1652</f>
        <v>-519.96</v>
      </c>
      <c r="Q1653" s="1362">
        <f t="shared" ref="Q1653" si="3292">+P1653*K1653</f>
        <v>-519.96</v>
      </c>
      <c r="R1653" s="349">
        <f ca="1">+N1652</f>
        <v>4966.33</v>
      </c>
      <c r="S1653" s="349">
        <f ca="1">IF(OR(E1653="",E1653&gt;TODAY()),0,IF(ISERROR(VLOOKUP($E1653,'TRM BanRep'!$A:$G,7,0)),0,VLOOKUP($E1653,'TRM BanRep'!$A:$G,7,0)))</f>
        <v>4734.42</v>
      </c>
      <c r="T1653" s="895">
        <f t="shared" ref="T1653" ca="1" si="3293">+P1653*K1653*S1653</f>
        <v>-2461709.0232000002</v>
      </c>
      <c r="U1653" s="350">
        <f t="shared" ref="U1653" si="3294">+L1653+P1653+F1653</f>
        <v>-519.96</v>
      </c>
      <c r="V1653" s="918">
        <f t="shared" ref="V1653" ca="1" si="3295">+P1653*J1653*R1653+L1653*J1653*N1653+F1653*J1653*H1653</f>
        <v>-2582292.9468</v>
      </c>
      <c r="W1653" s="351">
        <f t="shared" ref="W1653" ca="1" si="3296">-(IF(-P1653*J1653*R1653&lt;-P1653*K1653*S1653,(-P1653*J1653*R1653)-(-P1653*K1653*S1653),0))</f>
        <v>0</v>
      </c>
      <c r="X1653" s="919">
        <f t="shared" ref="X1653" ca="1" si="3297">-(IF(-P1653*J1653*R1653&gt;-P1653*K1653*S1653,(-P1653*J1653*R1653)-(-P1653*K1653*S1653),0))</f>
        <v>-120583.92359999986</v>
      </c>
      <c r="Y1653" s="1018"/>
      <c r="Z1653" s="220"/>
      <c r="AA1653" s="15"/>
      <c r="AB1653" s="15"/>
      <c r="AC1653" s="15"/>
      <c r="AD1653" s="15"/>
      <c r="AE1653" s="15"/>
    </row>
    <row r="1654" spans="1:31" s="401" customFormat="1" outlineLevel="1">
      <c r="A1654" s="1011">
        <v>2401011000</v>
      </c>
      <c r="B1654" s="1012" t="s">
        <v>2287</v>
      </c>
      <c r="C1654" s="1013" t="s">
        <v>64</v>
      </c>
      <c r="D1654" s="1013">
        <v>5100001312</v>
      </c>
      <c r="E1654" s="1014">
        <v>44978</v>
      </c>
      <c r="F1654" s="1015"/>
      <c r="G1654" s="1293"/>
      <c r="H1654" s="346"/>
      <c r="I1654" s="1016"/>
      <c r="J1654" s="1457">
        <v>1</v>
      </c>
      <c r="K1654" s="1458">
        <v>1</v>
      </c>
      <c r="L1654" s="1036">
        <v>17788.96</v>
      </c>
      <c r="M1654" s="1325">
        <f t="shared" ref="M1654:M1655" si="3298">+L1654*J1654</f>
        <v>17788.96</v>
      </c>
      <c r="N1654" s="348">
        <f ca="1">IF(OR(E1654="",E1654&gt;TODAY()),0,IF(ISERROR(VLOOKUP($E1654,'TRM BanRep'!$A:$G,7,0)),0,VLOOKUP($E1654,'TRM BanRep'!$A:$G,7,0)))</f>
        <v>4918.9399999999996</v>
      </c>
      <c r="O1654" s="897">
        <f t="shared" ref="O1654:O1655" ca="1" si="3299">+L1654*J1654*N1654</f>
        <v>87502826.902399987</v>
      </c>
      <c r="P1654" s="1017"/>
      <c r="Q1654" s="1362">
        <f t="shared" ref="Q1654:Q1655" si="3300">+P1654*K1654</f>
        <v>0</v>
      </c>
      <c r="R1654" s="349"/>
      <c r="S1654" s="349"/>
      <c r="T1654" s="895">
        <f t="shared" ref="T1654:T1655" si="3301">+P1654*K1654*S1654</f>
        <v>0</v>
      </c>
      <c r="U1654" s="350">
        <f t="shared" ref="U1654:U1655" si="3302">+L1654+P1654+F1654</f>
        <v>17788.96</v>
      </c>
      <c r="V1654" s="918">
        <f t="shared" ref="V1654:V1655" ca="1" si="3303">+P1654*J1654*R1654+L1654*J1654*N1654+F1654*J1654*H1654</f>
        <v>87502826.902399987</v>
      </c>
      <c r="W1654" s="351">
        <f t="shared" ref="W1654:W1655" si="3304">-(IF(-P1654*J1654*R1654&lt;-P1654*K1654*S1654,(-P1654*J1654*R1654)-(-P1654*K1654*S1654),0))</f>
        <v>0</v>
      </c>
      <c r="X1654" s="919">
        <f t="shared" ref="X1654:X1655" si="3305">-(IF(-P1654*J1654*R1654&gt;-P1654*K1654*S1654,(-P1654*J1654*R1654)-(-P1654*K1654*S1654),0))</f>
        <v>0</v>
      </c>
      <c r="Y1654" s="1018"/>
      <c r="Z1654" s="220"/>
      <c r="AA1654" s="15"/>
      <c r="AB1654" s="15"/>
      <c r="AC1654" s="15"/>
      <c r="AD1654" s="15"/>
      <c r="AE1654" s="15"/>
    </row>
    <row r="1655" spans="1:31" s="401" customFormat="1" outlineLevel="1">
      <c r="A1655" s="1011">
        <v>2401011000</v>
      </c>
      <c r="B1655" s="1012" t="s">
        <v>1366</v>
      </c>
      <c r="C1655" s="1013" t="s">
        <v>64</v>
      </c>
      <c r="D1655" s="1013">
        <v>2000002573</v>
      </c>
      <c r="E1655" s="1014">
        <v>45009</v>
      </c>
      <c r="F1655" s="1015"/>
      <c r="G1655" s="1293"/>
      <c r="H1655" s="346"/>
      <c r="I1655" s="1016"/>
      <c r="J1655" s="1457">
        <v>1</v>
      </c>
      <c r="K1655" s="1458">
        <v>1</v>
      </c>
      <c r="L1655" s="1036"/>
      <c r="M1655" s="1325">
        <f t="shared" si="3298"/>
        <v>0</v>
      </c>
      <c r="N1655" s="348">
        <f ca="1">IF(OR(E1655="",E1655&gt;TODAY()),0,IF(ISERROR(VLOOKUP($E1655,'TRM BanRep'!$A:$G,7,0)),0,VLOOKUP($E1655,'TRM BanRep'!$A:$G,7,0)))</f>
        <v>4755.12</v>
      </c>
      <c r="O1655" s="897">
        <f t="shared" ca="1" si="3299"/>
        <v>0</v>
      </c>
      <c r="P1655" s="1017">
        <f>-L1654</f>
        <v>-17788.96</v>
      </c>
      <c r="Q1655" s="1362">
        <f t="shared" si="3300"/>
        <v>-17788.96</v>
      </c>
      <c r="R1655" s="349">
        <f ca="1">+N1654</f>
        <v>4918.9399999999996</v>
      </c>
      <c r="S1655" s="349">
        <f ca="1">IF(OR(E1655="",E1655&gt;TODAY()),0,IF(ISERROR(VLOOKUP($E1655,'TRM BanRep'!$A:$G,7,0)),0,VLOOKUP($E1655,'TRM BanRep'!$A:$G,7,0)))</f>
        <v>4755.12</v>
      </c>
      <c r="T1655" s="895">
        <f t="shared" ca="1" si="3301"/>
        <v>-84588639.475199997</v>
      </c>
      <c r="U1655" s="350">
        <f t="shared" si="3302"/>
        <v>-17788.96</v>
      </c>
      <c r="V1655" s="918">
        <f t="shared" ca="1" si="3303"/>
        <v>-87502826.902399987</v>
      </c>
      <c r="W1655" s="351">
        <f t="shared" ca="1" si="3304"/>
        <v>0</v>
      </c>
      <c r="X1655" s="919">
        <f t="shared" ca="1" si="3305"/>
        <v>-2914187.4271999896</v>
      </c>
      <c r="Y1655" s="1018"/>
      <c r="Z1655" s="220"/>
      <c r="AA1655" s="15"/>
      <c r="AB1655" s="15"/>
      <c r="AC1655" s="15"/>
      <c r="AD1655" s="15"/>
      <c r="AE1655" s="15"/>
    </row>
    <row r="1656" spans="1:31" s="401" customFormat="1" outlineLevel="1">
      <c r="A1656" s="1011">
        <v>2401011000</v>
      </c>
      <c r="B1656" s="1012" t="s">
        <v>2288</v>
      </c>
      <c r="C1656" s="1013" t="s">
        <v>64</v>
      </c>
      <c r="D1656" s="1013">
        <v>5100001349</v>
      </c>
      <c r="E1656" s="1014">
        <v>44980</v>
      </c>
      <c r="F1656" s="1015"/>
      <c r="G1656" s="1293"/>
      <c r="H1656" s="346"/>
      <c r="I1656" s="1016"/>
      <c r="J1656" s="1457">
        <v>1</v>
      </c>
      <c r="K1656" s="1458">
        <v>1</v>
      </c>
      <c r="L1656" s="1036">
        <v>15360.52</v>
      </c>
      <c r="M1656" s="1325">
        <f>+L1656*J1656</f>
        <v>15360.52</v>
      </c>
      <c r="N1656" s="348">
        <f ca="1">IF(OR(E1656="",E1656&gt;TODAY()),0,IF(ISERROR(VLOOKUP($E1656,'TRM BanRep'!$A:$G,7,0)),0,VLOOKUP($E1656,'TRM BanRep'!$A:$G,7,0)))</f>
        <v>4924.91</v>
      </c>
      <c r="O1656" s="897">
        <f ca="1">+L1656*J1656*N1656</f>
        <v>75649178.553200006</v>
      </c>
      <c r="P1656" s="1017"/>
      <c r="Q1656" s="1362">
        <f>+P1656*K1656</f>
        <v>0</v>
      </c>
      <c r="R1656" s="349"/>
      <c r="S1656" s="349"/>
      <c r="T1656" s="895">
        <f>+P1656*K1656*S1656</f>
        <v>0</v>
      </c>
      <c r="U1656" s="350">
        <f>+L1656+P1656+F1656</f>
        <v>15360.52</v>
      </c>
      <c r="V1656" s="918">
        <f ca="1">+P1656*J1656*R1656+L1656*J1656*N1656+F1656*J1656*H1656</f>
        <v>75649178.553200006</v>
      </c>
      <c r="W1656" s="351">
        <f>-(IF(-P1656*J1656*R1656&lt;-P1656*K1656*S1656,(-P1656*J1656*R1656)-(-P1656*K1656*S1656),0))</f>
        <v>0</v>
      </c>
      <c r="X1656" s="919">
        <f>-(IF(-P1656*J1656*R1656&gt;-P1656*K1656*S1656,(-P1656*J1656*R1656)-(-P1656*K1656*S1656),0))</f>
        <v>0</v>
      </c>
      <c r="Y1656" s="1018"/>
      <c r="Z1656" s="220"/>
      <c r="AA1656" s="15"/>
      <c r="AB1656" s="15"/>
      <c r="AC1656" s="15"/>
      <c r="AD1656" s="15"/>
      <c r="AE1656" s="15"/>
    </row>
    <row r="1657" spans="1:31" s="401" customFormat="1" outlineLevel="1">
      <c r="A1657" s="1011">
        <v>2401011000</v>
      </c>
      <c r="B1657" s="1012" t="s">
        <v>1366</v>
      </c>
      <c r="C1657" s="1013" t="s">
        <v>64</v>
      </c>
      <c r="D1657" s="1013">
        <v>2000002582</v>
      </c>
      <c r="E1657" s="1014">
        <v>45012</v>
      </c>
      <c r="F1657" s="1015"/>
      <c r="G1657" s="1293"/>
      <c r="H1657" s="346"/>
      <c r="I1657" s="1016"/>
      <c r="J1657" s="1457">
        <v>1</v>
      </c>
      <c r="K1657" s="1458">
        <v>1</v>
      </c>
      <c r="L1657" s="1036"/>
      <c r="M1657" s="1325">
        <f t="shared" ref="M1657" si="3306">+L1657*J1657</f>
        <v>0</v>
      </c>
      <c r="N1657" s="348">
        <f ca="1">IF(OR(E1657="",E1657&gt;TODAY()),0,IF(ISERROR(VLOOKUP($E1657,'TRM BanRep'!$A:$G,7,0)),0,VLOOKUP($E1657,'TRM BanRep'!$A:$G,7,0)))</f>
        <v>4741.76</v>
      </c>
      <c r="O1657" s="897">
        <f t="shared" ref="O1657" ca="1" si="3307">+L1657*J1657*N1657</f>
        <v>0</v>
      </c>
      <c r="P1657" s="1017">
        <f>-L1656</f>
        <v>-15360.52</v>
      </c>
      <c r="Q1657" s="1362">
        <f t="shared" ref="Q1657" si="3308">+P1657*K1657</f>
        <v>-15360.52</v>
      </c>
      <c r="R1657" s="349">
        <f ca="1">+N1656</f>
        <v>4924.91</v>
      </c>
      <c r="S1657" s="349">
        <f ca="1">IF(OR(E1657="",E1657&gt;TODAY()),0,IF(ISERROR(VLOOKUP($E1657,'TRM BanRep'!$A:$G,7,0)),0,VLOOKUP($E1657,'TRM BanRep'!$A:$G,7,0)))</f>
        <v>4741.76</v>
      </c>
      <c r="T1657" s="895">
        <f t="shared" ref="T1657" ca="1" si="3309">+P1657*K1657*S1657</f>
        <v>-72835899.315200001</v>
      </c>
      <c r="U1657" s="350">
        <f t="shared" ref="U1657" si="3310">+L1657+P1657+F1657</f>
        <v>-15360.52</v>
      </c>
      <c r="V1657" s="918">
        <f t="shared" ref="V1657" ca="1" si="3311">+P1657*J1657*R1657+L1657*J1657*N1657+F1657*J1657*H1657</f>
        <v>-75649178.553200006</v>
      </c>
      <c r="W1657" s="351">
        <f t="shared" ref="W1657" ca="1" si="3312">-(IF(-P1657*J1657*R1657&lt;-P1657*K1657*S1657,(-P1657*J1657*R1657)-(-P1657*K1657*S1657),0))</f>
        <v>0</v>
      </c>
      <c r="X1657" s="919">
        <f t="shared" ref="X1657" ca="1" si="3313">-(IF(-P1657*J1657*R1657&gt;-P1657*K1657*S1657,(-P1657*J1657*R1657)-(-P1657*K1657*S1657),0))</f>
        <v>-2813279.2380000055</v>
      </c>
      <c r="Y1657" s="1018"/>
      <c r="Z1657" s="220"/>
      <c r="AA1657" s="15"/>
      <c r="AB1657" s="15"/>
      <c r="AC1657" s="15"/>
      <c r="AD1657" s="15"/>
      <c r="AE1657" s="15"/>
    </row>
    <row r="1658" spans="1:31" s="401" customFormat="1" outlineLevel="1">
      <c r="A1658" s="1011">
        <v>2401011000</v>
      </c>
      <c r="B1658" s="1012" t="s">
        <v>2289</v>
      </c>
      <c r="C1658" s="1013" t="s">
        <v>64</v>
      </c>
      <c r="D1658" s="1013">
        <v>5100001387</v>
      </c>
      <c r="E1658" s="1014">
        <v>44980</v>
      </c>
      <c r="F1658" s="1015"/>
      <c r="G1658" s="1293"/>
      <c r="H1658" s="346"/>
      <c r="I1658" s="1016"/>
      <c r="J1658" s="1457">
        <v>1</v>
      </c>
      <c r="K1658" s="1458">
        <v>1</v>
      </c>
      <c r="L1658" s="1036">
        <v>2415.9699999999998</v>
      </c>
      <c r="M1658" s="1325">
        <f t="shared" ref="M1658:M1659" si="3314">+L1658*J1658</f>
        <v>2415.9699999999998</v>
      </c>
      <c r="N1658" s="348">
        <f ca="1">IF(OR(E1658="",E1658&gt;TODAY()),0,IF(ISERROR(VLOOKUP($E1658,'TRM BanRep'!$A:$G,7,0)),0,VLOOKUP($E1658,'TRM BanRep'!$A:$G,7,0)))</f>
        <v>4924.91</v>
      </c>
      <c r="O1658" s="897">
        <f t="shared" ref="O1658:O1659" ca="1" si="3315">+L1658*J1658*N1658</f>
        <v>11898434.812699998</v>
      </c>
      <c r="P1658" s="1017"/>
      <c r="Q1658" s="1362">
        <f t="shared" ref="Q1658:Q1659" si="3316">+P1658*K1658</f>
        <v>0</v>
      </c>
      <c r="R1658" s="349"/>
      <c r="S1658" s="349"/>
      <c r="T1658" s="895">
        <f t="shared" ref="T1658:T1659" si="3317">+P1658*K1658*S1658</f>
        <v>0</v>
      </c>
      <c r="U1658" s="350">
        <f t="shared" ref="U1658:U1659" si="3318">+L1658+P1658+F1658</f>
        <v>2415.9699999999998</v>
      </c>
      <c r="V1658" s="918">
        <f t="shared" ref="V1658:V1659" ca="1" si="3319">+P1658*J1658*R1658+L1658*J1658*N1658+F1658*J1658*H1658</f>
        <v>11898434.812699998</v>
      </c>
      <c r="W1658" s="351">
        <f t="shared" ref="W1658:W1659" si="3320">-(IF(-P1658*J1658*R1658&lt;-P1658*K1658*S1658,(-P1658*J1658*R1658)-(-P1658*K1658*S1658),0))</f>
        <v>0</v>
      </c>
      <c r="X1658" s="919">
        <f t="shared" ref="X1658:X1659" si="3321">-(IF(-P1658*J1658*R1658&gt;-P1658*K1658*S1658,(-P1658*J1658*R1658)-(-P1658*K1658*S1658),0))</f>
        <v>0</v>
      </c>
      <c r="Y1658" s="1018"/>
      <c r="Z1658" s="220"/>
      <c r="AA1658" s="15"/>
      <c r="AB1658" s="15"/>
      <c r="AC1658" s="15"/>
      <c r="AD1658" s="15"/>
      <c r="AE1658" s="15"/>
    </row>
    <row r="1659" spans="1:31" s="401" customFormat="1" outlineLevel="1">
      <c r="A1659" s="1011">
        <v>2401011000</v>
      </c>
      <c r="B1659" s="1012" t="s">
        <v>1366</v>
      </c>
      <c r="C1659" s="1013" t="s">
        <v>64</v>
      </c>
      <c r="D1659" s="1013">
        <v>2000002585</v>
      </c>
      <c r="E1659" s="1014">
        <v>45012</v>
      </c>
      <c r="F1659" s="1015"/>
      <c r="G1659" s="1293"/>
      <c r="H1659" s="346"/>
      <c r="I1659" s="1016"/>
      <c r="J1659" s="1457">
        <v>1</v>
      </c>
      <c r="K1659" s="1458">
        <v>1</v>
      </c>
      <c r="L1659" s="1036"/>
      <c r="M1659" s="1325">
        <f t="shared" si="3314"/>
        <v>0</v>
      </c>
      <c r="N1659" s="348">
        <f ca="1">IF(OR(E1659="",E1659&gt;TODAY()),0,IF(ISERROR(VLOOKUP($E1659,'TRM BanRep'!$A:$G,7,0)),0,VLOOKUP($E1659,'TRM BanRep'!$A:$G,7,0)))</f>
        <v>4741.76</v>
      </c>
      <c r="O1659" s="897">
        <f t="shared" ca="1" si="3315"/>
        <v>0</v>
      </c>
      <c r="P1659" s="1017">
        <f>-L1658</f>
        <v>-2415.9699999999998</v>
      </c>
      <c r="Q1659" s="1362">
        <f t="shared" si="3316"/>
        <v>-2415.9699999999998</v>
      </c>
      <c r="R1659" s="349">
        <f ca="1">+N1658</f>
        <v>4924.91</v>
      </c>
      <c r="S1659" s="349">
        <f ca="1">IF(OR(E1659="",E1659&gt;TODAY()),0,IF(ISERROR(VLOOKUP($E1659,'TRM BanRep'!$A:$G,7,0)),0,VLOOKUP($E1659,'TRM BanRep'!$A:$G,7,0)))</f>
        <v>4741.76</v>
      </c>
      <c r="T1659" s="895">
        <f t="shared" ca="1" si="3317"/>
        <v>-11455949.907199999</v>
      </c>
      <c r="U1659" s="350">
        <f t="shared" si="3318"/>
        <v>-2415.9699999999998</v>
      </c>
      <c r="V1659" s="918">
        <f t="shared" ca="1" si="3319"/>
        <v>-11898434.812699998</v>
      </c>
      <c r="W1659" s="351">
        <f t="shared" ca="1" si="3320"/>
        <v>0</v>
      </c>
      <c r="X1659" s="919">
        <f t="shared" ca="1" si="3321"/>
        <v>-442484.90549999848</v>
      </c>
      <c r="Y1659" s="1018"/>
      <c r="Z1659" s="220"/>
      <c r="AA1659" s="15"/>
      <c r="AB1659" s="15"/>
      <c r="AC1659" s="15"/>
      <c r="AD1659" s="15"/>
      <c r="AE1659" s="15"/>
    </row>
    <row r="1660" spans="1:31" s="401" customFormat="1" outlineLevel="1">
      <c r="A1660" s="1011">
        <v>2401011000</v>
      </c>
      <c r="B1660" s="1012" t="s">
        <v>2290</v>
      </c>
      <c r="C1660" s="1013" t="s">
        <v>64</v>
      </c>
      <c r="D1660" s="1013">
        <v>5100001405</v>
      </c>
      <c r="E1660" s="1014">
        <v>44974</v>
      </c>
      <c r="F1660" s="1015"/>
      <c r="G1660" s="1293"/>
      <c r="H1660" s="346"/>
      <c r="I1660" s="1016"/>
      <c r="J1660" s="1457">
        <v>1</v>
      </c>
      <c r="K1660" s="1458">
        <v>1</v>
      </c>
      <c r="L1660" s="1036">
        <v>1435.71</v>
      </c>
      <c r="M1660" s="1325">
        <f>+L1660*J1660</f>
        <v>1435.71</v>
      </c>
      <c r="N1660" s="348">
        <f ca="1">IF(OR(E1660="",E1660&gt;TODAY()),0,IF(ISERROR(VLOOKUP($E1660,'TRM BanRep'!$A:$G,7,0)),0,VLOOKUP($E1660,'TRM BanRep'!$A:$G,7,0)))</f>
        <v>4966.33</v>
      </c>
      <c r="O1660" s="897">
        <f ca="1">+L1660*J1660*N1660</f>
        <v>7130209.6442999998</v>
      </c>
      <c r="P1660" s="1017"/>
      <c r="Q1660" s="1362">
        <f>+P1660*K1660</f>
        <v>0</v>
      </c>
      <c r="R1660" s="349"/>
      <c r="S1660" s="349"/>
      <c r="T1660" s="895">
        <f>+P1660*K1660*S1660</f>
        <v>0</v>
      </c>
      <c r="U1660" s="350">
        <f>+L1660+P1660+F1660</f>
        <v>1435.71</v>
      </c>
      <c r="V1660" s="918">
        <f ca="1">+P1660*J1660*R1660+L1660*J1660*N1660+F1660*J1660*H1660</f>
        <v>7130209.6442999998</v>
      </c>
      <c r="W1660" s="351">
        <f>-(IF(-P1660*J1660*R1660&lt;-P1660*K1660*S1660,(-P1660*J1660*R1660)-(-P1660*K1660*S1660),0))</f>
        <v>0</v>
      </c>
      <c r="X1660" s="919">
        <f>-(IF(-P1660*J1660*R1660&gt;-P1660*K1660*S1660,(-P1660*J1660*R1660)-(-P1660*K1660*S1660),0))</f>
        <v>0</v>
      </c>
      <c r="Y1660" s="1018"/>
      <c r="Z1660" s="220"/>
      <c r="AA1660" s="15"/>
      <c r="AB1660" s="15"/>
      <c r="AC1660" s="15"/>
      <c r="AD1660" s="15"/>
      <c r="AE1660" s="15"/>
    </row>
    <row r="1661" spans="1:31" s="401" customFormat="1" outlineLevel="1">
      <c r="A1661" s="1011">
        <v>2401011000</v>
      </c>
      <c r="B1661" s="1012" t="s">
        <v>1366</v>
      </c>
      <c r="C1661" s="1013" t="s">
        <v>64</v>
      </c>
      <c r="D1661" s="1013">
        <v>2000001826</v>
      </c>
      <c r="E1661" s="1014">
        <v>44991</v>
      </c>
      <c r="F1661" s="1015"/>
      <c r="G1661" s="1293"/>
      <c r="H1661" s="346"/>
      <c r="I1661" s="1016"/>
      <c r="J1661" s="1457">
        <v>1</v>
      </c>
      <c r="K1661" s="1458">
        <v>1</v>
      </c>
      <c r="L1661" s="1036"/>
      <c r="M1661" s="1325">
        <f t="shared" ref="M1661" si="3322">+L1661*J1661</f>
        <v>0</v>
      </c>
      <c r="N1661" s="348">
        <f ca="1">IF(OR(E1661="",E1661&gt;TODAY()),0,IF(ISERROR(VLOOKUP($E1661,'TRM BanRep'!$A:$G,7,0)),0,VLOOKUP($E1661,'TRM BanRep'!$A:$G,7,0)))</f>
        <v>4780.8900000000003</v>
      </c>
      <c r="O1661" s="897">
        <f t="shared" ref="O1661" ca="1" si="3323">+L1661*J1661*N1661</f>
        <v>0</v>
      </c>
      <c r="P1661" s="1017">
        <f>-L1660</f>
        <v>-1435.71</v>
      </c>
      <c r="Q1661" s="1362">
        <f t="shared" ref="Q1661" si="3324">+P1661*K1661</f>
        <v>-1435.71</v>
      </c>
      <c r="R1661" s="349">
        <f ca="1">+N1660</f>
        <v>4966.33</v>
      </c>
      <c r="S1661" s="349">
        <f ca="1">IF(OR(E1661="",E1661&gt;TODAY()),0,IF(ISERROR(VLOOKUP($E1661,'TRM BanRep'!$A:$G,7,0)),0,VLOOKUP($E1661,'TRM BanRep'!$A:$G,7,0)))</f>
        <v>4780.8900000000003</v>
      </c>
      <c r="T1661" s="895">
        <f t="shared" ref="T1661" ca="1" si="3325">+P1661*K1661*S1661</f>
        <v>-6863971.5819000006</v>
      </c>
      <c r="U1661" s="350">
        <f t="shared" ref="U1661" si="3326">+L1661+P1661+F1661</f>
        <v>-1435.71</v>
      </c>
      <c r="V1661" s="918">
        <f t="shared" ref="V1661" ca="1" si="3327">+P1661*J1661*R1661+L1661*J1661*N1661+F1661*J1661*H1661</f>
        <v>-7130209.6442999998</v>
      </c>
      <c r="W1661" s="351">
        <f t="shared" ref="W1661" ca="1" si="3328">-(IF(-P1661*J1661*R1661&lt;-P1661*K1661*S1661,(-P1661*J1661*R1661)-(-P1661*K1661*S1661),0))</f>
        <v>0</v>
      </c>
      <c r="X1661" s="919">
        <f t="shared" ref="X1661" ca="1" si="3329">-(IF(-P1661*J1661*R1661&gt;-P1661*K1661*S1661,(-P1661*J1661*R1661)-(-P1661*K1661*S1661),0))</f>
        <v>-266238.06239999924</v>
      </c>
      <c r="Y1661" s="1018"/>
      <c r="Z1661" s="220"/>
      <c r="AA1661" s="15"/>
      <c r="AB1661" s="15"/>
      <c r="AC1661" s="15"/>
      <c r="AD1661" s="15"/>
      <c r="AE1661" s="15"/>
    </row>
    <row r="1662" spans="1:31" s="401" customFormat="1" outlineLevel="1">
      <c r="A1662" s="1011">
        <v>2401011000</v>
      </c>
      <c r="B1662" s="1012" t="s">
        <v>2291</v>
      </c>
      <c r="C1662" s="1013" t="s">
        <v>64</v>
      </c>
      <c r="D1662" s="1013">
        <v>5100001452</v>
      </c>
      <c r="E1662" s="1014">
        <v>44981</v>
      </c>
      <c r="F1662" s="1015"/>
      <c r="G1662" s="1293"/>
      <c r="H1662" s="346"/>
      <c r="I1662" s="1016"/>
      <c r="J1662" s="1457">
        <v>1</v>
      </c>
      <c r="K1662" s="1458">
        <v>1</v>
      </c>
      <c r="L1662" s="1036">
        <v>3719.94</v>
      </c>
      <c r="M1662" s="1325">
        <f t="shared" ref="M1662:M1663" si="3330">+L1662*J1662</f>
        <v>3719.94</v>
      </c>
      <c r="N1662" s="348">
        <f ca="1">IF(OR(E1662="",E1662&gt;TODAY()),0,IF(ISERROR(VLOOKUP($E1662,'TRM BanRep'!$A:$G,7,0)),0,VLOOKUP($E1662,'TRM BanRep'!$A:$G,7,0)))</f>
        <v>4853.8999999999996</v>
      </c>
      <c r="O1662" s="897">
        <f t="shared" ref="O1662:O1663" ca="1" si="3331">+L1662*J1662*N1662</f>
        <v>18056216.765999999</v>
      </c>
      <c r="P1662" s="1017"/>
      <c r="Q1662" s="1362">
        <f t="shared" ref="Q1662:Q1663" si="3332">+P1662*K1662</f>
        <v>0</v>
      </c>
      <c r="R1662" s="349"/>
      <c r="S1662" s="349"/>
      <c r="T1662" s="895">
        <f t="shared" ref="T1662:T1663" si="3333">+P1662*K1662*S1662</f>
        <v>0</v>
      </c>
      <c r="U1662" s="350">
        <f t="shared" ref="U1662:U1663" si="3334">+L1662+P1662+F1662</f>
        <v>3719.94</v>
      </c>
      <c r="V1662" s="918">
        <f t="shared" ref="V1662:V1663" ca="1" si="3335">+P1662*J1662*R1662+L1662*J1662*N1662+F1662*J1662*H1662</f>
        <v>18056216.765999999</v>
      </c>
      <c r="W1662" s="351">
        <f t="shared" ref="W1662:W1663" si="3336">-(IF(-P1662*J1662*R1662&lt;-P1662*K1662*S1662,(-P1662*J1662*R1662)-(-P1662*K1662*S1662),0))</f>
        <v>0</v>
      </c>
      <c r="X1662" s="919">
        <f t="shared" ref="X1662:X1663" si="3337">-(IF(-P1662*J1662*R1662&gt;-P1662*K1662*S1662,(-P1662*J1662*R1662)-(-P1662*K1662*S1662),0))</f>
        <v>0</v>
      </c>
      <c r="Y1662" s="1018"/>
      <c r="Z1662" s="220"/>
      <c r="AA1662" s="15"/>
      <c r="AB1662" s="15"/>
      <c r="AC1662" s="15"/>
      <c r="AD1662" s="15"/>
      <c r="AE1662" s="15"/>
    </row>
    <row r="1663" spans="1:31" s="401" customFormat="1" outlineLevel="1">
      <c r="A1663" s="1011">
        <v>2401011000</v>
      </c>
      <c r="B1663" s="1012" t="s">
        <v>1366</v>
      </c>
      <c r="C1663" s="1013" t="s">
        <v>64</v>
      </c>
      <c r="D1663" s="1013">
        <v>2000002649</v>
      </c>
      <c r="E1663" s="1014">
        <v>45012</v>
      </c>
      <c r="F1663" s="1015"/>
      <c r="G1663" s="1293"/>
      <c r="H1663" s="346"/>
      <c r="I1663" s="1016"/>
      <c r="J1663" s="1457">
        <v>1</v>
      </c>
      <c r="K1663" s="1458">
        <v>1</v>
      </c>
      <c r="L1663" s="1036"/>
      <c r="M1663" s="1325">
        <f t="shared" si="3330"/>
        <v>0</v>
      </c>
      <c r="N1663" s="348">
        <f ca="1">IF(OR(E1663="",E1663&gt;TODAY()),0,IF(ISERROR(VLOOKUP($E1663,'TRM BanRep'!$A:$G,7,0)),0,VLOOKUP($E1663,'TRM BanRep'!$A:$G,7,0)))</f>
        <v>4741.76</v>
      </c>
      <c r="O1663" s="897">
        <f t="shared" ca="1" si="3331"/>
        <v>0</v>
      </c>
      <c r="P1663" s="1017">
        <f>-L1662</f>
        <v>-3719.94</v>
      </c>
      <c r="Q1663" s="1362">
        <f t="shared" si="3332"/>
        <v>-3719.94</v>
      </c>
      <c r="R1663" s="349">
        <f ca="1">+N1662</f>
        <v>4853.8999999999996</v>
      </c>
      <c r="S1663" s="349">
        <f ca="1">IF(OR(E1663="",E1663&gt;TODAY()),0,IF(ISERROR(VLOOKUP($E1663,'TRM BanRep'!$A:$G,7,0)),0,VLOOKUP($E1663,'TRM BanRep'!$A:$G,7,0)))</f>
        <v>4741.76</v>
      </c>
      <c r="T1663" s="895">
        <f t="shared" ca="1" si="3333"/>
        <v>-17639062.694400001</v>
      </c>
      <c r="U1663" s="350">
        <f t="shared" si="3334"/>
        <v>-3719.94</v>
      </c>
      <c r="V1663" s="918">
        <f t="shared" ca="1" si="3335"/>
        <v>-18056216.765999999</v>
      </c>
      <c r="W1663" s="351">
        <f t="shared" ca="1" si="3336"/>
        <v>0</v>
      </c>
      <c r="X1663" s="919">
        <f t="shared" ca="1" si="3337"/>
        <v>-417154.07159999758</v>
      </c>
      <c r="Y1663" s="1018"/>
      <c r="Z1663" s="220"/>
      <c r="AA1663" s="15"/>
      <c r="AB1663" s="15"/>
      <c r="AC1663" s="15"/>
      <c r="AD1663" s="15"/>
      <c r="AE1663" s="15"/>
    </row>
    <row r="1664" spans="1:31" s="401" customFormat="1" outlineLevel="1">
      <c r="A1664" s="1011">
        <v>2401011000</v>
      </c>
      <c r="B1664" s="1012" t="s">
        <v>2292</v>
      </c>
      <c r="C1664" s="1013" t="s">
        <v>64</v>
      </c>
      <c r="D1664" s="1013">
        <v>5100001474</v>
      </c>
      <c r="E1664" s="1014">
        <v>44984</v>
      </c>
      <c r="F1664" s="1015"/>
      <c r="G1664" s="1293"/>
      <c r="H1664" s="346"/>
      <c r="I1664" s="1016"/>
      <c r="J1664" s="1457">
        <v>1</v>
      </c>
      <c r="K1664" s="1458">
        <v>1</v>
      </c>
      <c r="L1664" s="1036">
        <v>408.91</v>
      </c>
      <c r="M1664" s="1325">
        <f>+L1664*J1664</f>
        <v>408.91</v>
      </c>
      <c r="N1664" s="348">
        <f ca="1">IF(OR(E1664="",E1664&gt;TODAY()),0,IF(ISERROR(VLOOKUP($E1664,'TRM BanRep'!$A:$G,7,0)),0,VLOOKUP($E1664,'TRM BanRep'!$A:$G,7,0)))</f>
        <v>4849.6499999999996</v>
      </c>
      <c r="O1664" s="897">
        <f ca="1">+L1664*J1664*N1664</f>
        <v>1983070.3814999999</v>
      </c>
      <c r="P1664" s="1017"/>
      <c r="Q1664" s="1362">
        <f>+P1664*K1664</f>
        <v>0</v>
      </c>
      <c r="R1664" s="349"/>
      <c r="S1664" s="349"/>
      <c r="T1664" s="895">
        <f>+P1664*K1664*S1664</f>
        <v>0</v>
      </c>
      <c r="U1664" s="350">
        <f>+L1664+P1664+F1664</f>
        <v>408.91</v>
      </c>
      <c r="V1664" s="918">
        <f ca="1">+P1664*J1664*R1664+L1664*J1664*N1664+F1664*J1664*H1664</f>
        <v>1983070.3814999999</v>
      </c>
      <c r="W1664" s="351">
        <f>-(IF(-P1664*J1664*R1664&lt;-P1664*K1664*S1664,(-P1664*J1664*R1664)-(-P1664*K1664*S1664),0))</f>
        <v>0</v>
      </c>
      <c r="X1664" s="919">
        <f>-(IF(-P1664*J1664*R1664&gt;-P1664*K1664*S1664,(-P1664*J1664*R1664)-(-P1664*K1664*S1664),0))</f>
        <v>0</v>
      </c>
      <c r="Y1664" s="1018"/>
      <c r="Z1664" s="220"/>
      <c r="AA1664" s="15"/>
      <c r="AB1664" s="15"/>
      <c r="AC1664" s="15"/>
      <c r="AD1664" s="15"/>
      <c r="AE1664" s="15"/>
    </row>
    <row r="1665" spans="1:31" s="401" customFormat="1" outlineLevel="1">
      <c r="A1665" s="1011">
        <v>2401011000</v>
      </c>
      <c r="B1665" s="1012" t="s">
        <v>1366</v>
      </c>
      <c r="C1665" s="1013" t="s">
        <v>64</v>
      </c>
      <c r="D1665" s="1013">
        <v>2000002259</v>
      </c>
      <c r="E1665" s="1014">
        <v>44999</v>
      </c>
      <c r="F1665" s="1015"/>
      <c r="G1665" s="1293"/>
      <c r="H1665" s="346"/>
      <c r="I1665" s="1016"/>
      <c r="J1665" s="1457">
        <v>1</v>
      </c>
      <c r="K1665" s="1458">
        <v>1</v>
      </c>
      <c r="L1665" s="1036"/>
      <c r="M1665" s="1325">
        <f t="shared" ref="M1665:M1667" si="3338">+L1665*J1665</f>
        <v>0</v>
      </c>
      <c r="N1665" s="348">
        <f ca="1">IF(OR(E1665="",E1665&gt;TODAY()),0,IF(ISERROR(VLOOKUP($E1665,'TRM BanRep'!$A:$G,7,0)),0,VLOOKUP($E1665,'TRM BanRep'!$A:$G,7,0)))</f>
        <v>4769.76</v>
      </c>
      <c r="O1665" s="897">
        <f t="shared" ref="O1665:O1667" ca="1" si="3339">+L1665*J1665*N1665</f>
        <v>0</v>
      </c>
      <c r="P1665" s="1017">
        <f>-L1664</f>
        <v>-408.91</v>
      </c>
      <c r="Q1665" s="1362">
        <f t="shared" ref="Q1665:Q1667" si="3340">+P1665*K1665</f>
        <v>-408.91</v>
      </c>
      <c r="R1665" s="349">
        <f ca="1">+N1664</f>
        <v>4849.6499999999996</v>
      </c>
      <c r="S1665" s="349">
        <f ca="1">IF(OR(E1665="",E1665&gt;TODAY()),0,IF(ISERROR(VLOOKUP($E1665,'TRM BanRep'!$A:$G,7,0)),0,VLOOKUP($E1665,'TRM BanRep'!$A:$G,7,0)))</f>
        <v>4769.76</v>
      </c>
      <c r="T1665" s="895">
        <f t="shared" ref="T1665:T1667" ca="1" si="3341">+P1665*K1665*S1665</f>
        <v>-1950402.5616000001</v>
      </c>
      <c r="U1665" s="350">
        <f t="shared" ref="U1665:U1667" si="3342">+L1665+P1665+F1665</f>
        <v>-408.91</v>
      </c>
      <c r="V1665" s="918">
        <f t="shared" ref="V1665:V1667" ca="1" si="3343">+P1665*J1665*R1665+L1665*J1665*N1665+F1665*J1665*H1665</f>
        <v>-1983070.3814999999</v>
      </c>
      <c r="W1665" s="351">
        <f t="shared" ref="W1665:W1667" ca="1" si="3344">-(IF(-P1665*J1665*R1665&lt;-P1665*K1665*S1665,(-P1665*J1665*R1665)-(-P1665*K1665*S1665),0))</f>
        <v>0</v>
      </c>
      <c r="X1665" s="919">
        <f t="shared" ref="X1665:X1667" ca="1" si="3345">-(IF(-P1665*J1665*R1665&gt;-P1665*K1665*S1665,(-P1665*J1665*R1665)-(-P1665*K1665*S1665),0))</f>
        <v>-32667.819899999769</v>
      </c>
      <c r="Y1665" s="1018"/>
      <c r="Z1665" s="220"/>
      <c r="AA1665" s="15"/>
      <c r="AB1665" s="15"/>
      <c r="AC1665" s="15"/>
      <c r="AD1665" s="15"/>
      <c r="AE1665" s="15"/>
    </row>
    <row r="1666" spans="1:31" s="401" customFormat="1" outlineLevel="1">
      <c r="A1666" s="1011">
        <v>2401011000</v>
      </c>
      <c r="B1666" s="1012" t="s">
        <v>2379</v>
      </c>
      <c r="C1666" s="1013" t="s">
        <v>64</v>
      </c>
      <c r="D1666" s="1013">
        <v>5100001559</v>
      </c>
      <c r="E1666" s="1014">
        <v>44974</v>
      </c>
      <c r="F1666" s="1015"/>
      <c r="G1666" s="1293"/>
      <c r="H1666" s="346"/>
      <c r="I1666" s="1016"/>
      <c r="J1666" s="1457">
        <v>1</v>
      </c>
      <c r="K1666" s="1458">
        <v>1</v>
      </c>
      <c r="L1666" s="1036">
        <v>190.4</v>
      </c>
      <c r="M1666" s="1325">
        <f t="shared" si="3338"/>
        <v>190.4</v>
      </c>
      <c r="N1666" s="348">
        <f ca="1">IF(OR(E1666="",E1666&gt;TODAY()),0,IF(ISERROR(VLOOKUP($E1666,'TRM BanRep'!$A:$G,7,0)),0,VLOOKUP($E1666,'TRM BanRep'!$A:$G,7,0)))</f>
        <v>4966.33</v>
      </c>
      <c r="O1666" s="897">
        <f t="shared" ca="1" si="3339"/>
        <v>945589.23199999996</v>
      </c>
      <c r="P1666" s="1017"/>
      <c r="Q1666" s="1362">
        <f t="shared" si="3340"/>
        <v>0</v>
      </c>
      <c r="R1666" s="349"/>
      <c r="S1666" s="349"/>
      <c r="T1666" s="895">
        <f t="shared" si="3341"/>
        <v>0</v>
      </c>
      <c r="U1666" s="350">
        <f t="shared" si="3342"/>
        <v>190.4</v>
      </c>
      <c r="V1666" s="918">
        <f t="shared" ca="1" si="3343"/>
        <v>945589.23199999996</v>
      </c>
      <c r="W1666" s="351">
        <f t="shared" si="3344"/>
        <v>0</v>
      </c>
      <c r="X1666" s="919">
        <f t="shared" si="3345"/>
        <v>0</v>
      </c>
      <c r="Y1666" s="1018"/>
      <c r="Z1666" s="220"/>
      <c r="AA1666" s="15"/>
      <c r="AB1666" s="15"/>
      <c r="AC1666" s="15"/>
      <c r="AD1666" s="15"/>
      <c r="AE1666" s="15"/>
    </row>
    <row r="1667" spans="1:31" s="401" customFormat="1" outlineLevel="1">
      <c r="A1667" s="1011">
        <v>2401011000</v>
      </c>
      <c r="B1667" s="1012" t="s">
        <v>1366</v>
      </c>
      <c r="C1667" s="1013" t="s">
        <v>64</v>
      </c>
      <c r="D1667" s="1013">
        <v>2000001827</v>
      </c>
      <c r="E1667" s="1014">
        <v>44991</v>
      </c>
      <c r="F1667" s="1015"/>
      <c r="G1667" s="1293"/>
      <c r="H1667" s="346"/>
      <c r="I1667" s="1016"/>
      <c r="J1667" s="1457">
        <v>1</v>
      </c>
      <c r="K1667" s="1458">
        <v>1</v>
      </c>
      <c r="L1667" s="1036"/>
      <c r="M1667" s="1325">
        <f t="shared" si="3338"/>
        <v>0</v>
      </c>
      <c r="N1667" s="348">
        <f ca="1">IF(OR(E1667="",E1667&gt;TODAY()),0,IF(ISERROR(VLOOKUP($E1667,'TRM BanRep'!$A:$G,7,0)),0,VLOOKUP($E1667,'TRM BanRep'!$A:$G,7,0)))</f>
        <v>4780.8900000000003</v>
      </c>
      <c r="O1667" s="897">
        <f t="shared" ca="1" si="3339"/>
        <v>0</v>
      </c>
      <c r="P1667" s="1017">
        <f>-L1666</f>
        <v>-190.4</v>
      </c>
      <c r="Q1667" s="1362">
        <f t="shared" si="3340"/>
        <v>-190.4</v>
      </c>
      <c r="R1667" s="349">
        <f ca="1">+N1666</f>
        <v>4966.33</v>
      </c>
      <c r="S1667" s="349">
        <f ca="1">IF(OR(E1667="",E1667&gt;TODAY()),0,IF(ISERROR(VLOOKUP($E1667,'TRM BanRep'!$A:$G,7,0)),0,VLOOKUP($E1667,'TRM BanRep'!$A:$G,7,0)))</f>
        <v>4780.8900000000003</v>
      </c>
      <c r="T1667" s="895">
        <f t="shared" ca="1" si="3341"/>
        <v>-910281.45600000012</v>
      </c>
      <c r="U1667" s="350">
        <f t="shared" si="3342"/>
        <v>-190.4</v>
      </c>
      <c r="V1667" s="918">
        <f t="shared" ca="1" si="3343"/>
        <v>-945589.23199999996</v>
      </c>
      <c r="W1667" s="351">
        <f t="shared" ca="1" si="3344"/>
        <v>0</v>
      </c>
      <c r="X1667" s="919">
        <f t="shared" ca="1" si="3345"/>
        <v>-35307.775999999838</v>
      </c>
      <c r="Y1667" s="1018"/>
      <c r="Z1667" s="220"/>
      <c r="AA1667" s="15"/>
      <c r="AB1667" s="15"/>
      <c r="AC1667" s="15"/>
      <c r="AD1667" s="15"/>
      <c r="AE1667" s="15"/>
    </row>
    <row r="1668" spans="1:31" s="401" customFormat="1" outlineLevel="1">
      <c r="A1668" s="1011">
        <v>2401011000</v>
      </c>
      <c r="B1668" s="1012" t="s">
        <v>2380</v>
      </c>
      <c r="C1668" s="1013" t="s">
        <v>64</v>
      </c>
      <c r="D1668" s="1013">
        <v>5100001582</v>
      </c>
      <c r="E1668" s="1014">
        <v>44986</v>
      </c>
      <c r="F1668" s="1015"/>
      <c r="G1668" s="1293"/>
      <c r="H1668" s="346"/>
      <c r="I1668" s="1016"/>
      <c r="J1668" s="1457">
        <v>1</v>
      </c>
      <c r="K1668" s="1458">
        <v>1</v>
      </c>
      <c r="L1668" s="1036">
        <v>510.96</v>
      </c>
      <c r="M1668" s="1325">
        <f>+L1668*J1668</f>
        <v>510.96</v>
      </c>
      <c r="N1668" s="348">
        <f ca="1">IF(OR(E1668="",E1668&gt;TODAY()),0,IF(ISERROR(VLOOKUP($E1668,'TRM BanRep'!$A:$G,7,0)),0,VLOOKUP($E1668,'TRM BanRep'!$A:$G,7,0)))</f>
        <v>4814.1099999999997</v>
      </c>
      <c r="O1668" s="897">
        <f ca="1">+L1668*J1668*N1668</f>
        <v>2459817.6455999999</v>
      </c>
      <c r="P1668" s="1017"/>
      <c r="Q1668" s="1362">
        <f>+P1668*K1668</f>
        <v>0</v>
      </c>
      <c r="R1668" s="349"/>
      <c r="S1668" s="349"/>
      <c r="T1668" s="895">
        <f>+P1668*K1668*S1668</f>
        <v>0</v>
      </c>
      <c r="U1668" s="350">
        <f>+L1668+P1668+F1668</f>
        <v>510.96</v>
      </c>
      <c r="V1668" s="918">
        <f ca="1">+P1668*J1668*R1668+L1668*J1668*N1668+F1668*J1668*H1668</f>
        <v>2459817.6455999999</v>
      </c>
      <c r="W1668" s="351">
        <f>-(IF(-P1668*J1668*R1668&lt;-P1668*K1668*S1668,(-P1668*J1668*R1668)-(-P1668*K1668*S1668),0))</f>
        <v>0</v>
      </c>
      <c r="X1668" s="919">
        <f>-(IF(-P1668*J1668*R1668&gt;-P1668*K1668*S1668,(-P1668*J1668*R1668)-(-P1668*K1668*S1668),0))</f>
        <v>0</v>
      </c>
      <c r="Y1668" s="1018"/>
      <c r="Z1668" s="220"/>
      <c r="AA1668" s="15"/>
      <c r="AB1668" s="15"/>
      <c r="AC1668" s="15"/>
      <c r="AD1668" s="15"/>
      <c r="AE1668" s="15"/>
    </row>
    <row r="1669" spans="1:31" s="401" customFormat="1" outlineLevel="1">
      <c r="A1669" s="1011">
        <v>2401011000</v>
      </c>
      <c r="B1669" s="1012" t="s">
        <v>1366</v>
      </c>
      <c r="C1669" s="1013" t="s">
        <v>64</v>
      </c>
      <c r="D1669" s="1013">
        <v>2000002352</v>
      </c>
      <c r="E1669" s="1014">
        <v>45001</v>
      </c>
      <c r="F1669" s="1015"/>
      <c r="G1669" s="1293"/>
      <c r="H1669" s="346"/>
      <c r="I1669" s="1016"/>
      <c r="J1669" s="1457">
        <v>1</v>
      </c>
      <c r="K1669" s="1458">
        <v>1</v>
      </c>
      <c r="L1669" s="1036"/>
      <c r="M1669" s="1325">
        <f t="shared" ref="M1669:M1671" si="3346">+L1669*J1669</f>
        <v>0</v>
      </c>
      <c r="N1669" s="348">
        <f ca="1">IF(OR(E1669="",E1669&gt;TODAY()),0,IF(ISERROR(VLOOKUP($E1669,'TRM BanRep'!$A:$G,7,0)),0,VLOOKUP($E1669,'TRM BanRep'!$A:$G,7,0)))</f>
        <v>4835.51</v>
      </c>
      <c r="O1669" s="897">
        <f t="shared" ref="O1669:O1671" ca="1" si="3347">+L1669*J1669*N1669</f>
        <v>0</v>
      </c>
      <c r="P1669" s="1017">
        <f>-L1668</f>
        <v>-510.96</v>
      </c>
      <c r="Q1669" s="1362">
        <f t="shared" ref="Q1669:Q1671" si="3348">+P1669*K1669</f>
        <v>-510.96</v>
      </c>
      <c r="R1669" s="349">
        <f ca="1">+N1668</f>
        <v>4814.1099999999997</v>
      </c>
      <c r="S1669" s="349">
        <f ca="1">IF(OR(E1669="",E1669&gt;TODAY()),0,IF(ISERROR(VLOOKUP($E1669,'TRM BanRep'!$A:$G,7,0)),0,VLOOKUP($E1669,'TRM BanRep'!$A:$G,7,0)))</f>
        <v>4835.51</v>
      </c>
      <c r="T1669" s="895">
        <f t="shared" ref="T1669:T1671" ca="1" si="3349">+P1669*K1669*S1669</f>
        <v>-2470752.1896000002</v>
      </c>
      <c r="U1669" s="350">
        <f t="shared" ref="U1669:U1671" si="3350">+L1669+P1669+F1669</f>
        <v>-510.96</v>
      </c>
      <c r="V1669" s="918">
        <f t="shared" ref="V1669:V1671" ca="1" si="3351">+P1669*J1669*R1669+L1669*J1669*N1669+F1669*J1669*H1669</f>
        <v>-2459817.6455999999</v>
      </c>
      <c r="W1669" s="351">
        <f t="shared" ref="W1669:W1671" ca="1" si="3352">-(IF(-P1669*J1669*R1669&lt;-P1669*K1669*S1669,(-P1669*J1669*R1669)-(-P1669*K1669*S1669),0))</f>
        <v>10934.544000000227</v>
      </c>
      <c r="X1669" s="919">
        <f t="shared" ref="X1669:X1671" ca="1" si="3353">-(IF(-P1669*J1669*R1669&gt;-P1669*K1669*S1669,(-P1669*J1669*R1669)-(-P1669*K1669*S1669),0))</f>
        <v>0</v>
      </c>
      <c r="Y1669" s="1018"/>
      <c r="Z1669" s="220"/>
      <c r="AA1669" s="15"/>
      <c r="AB1669" s="15"/>
      <c r="AC1669" s="15"/>
      <c r="AD1669" s="15"/>
      <c r="AE1669" s="15"/>
    </row>
    <row r="1670" spans="1:31" s="401" customFormat="1" outlineLevel="1">
      <c r="A1670" s="1011">
        <v>2401011000</v>
      </c>
      <c r="B1670" s="1012" t="s">
        <v>2381</v>
      </c>
      <c r="C1670" s="1013" t="s">
        <v>64</v>
      </c>
      <c r="D1670" s="1013">
        <v>5100001630</v>
      </c>
      <c r="E1670" s="1014">
        <v>44986</v>
      </c>
      <c r="F1670" s="1015"/>
      <c r="G1670" s="1293"/>
      <c r="H1670" s="346"/>
      <c r="I1670" s="1016"/>
      <c r="J1670" s="1457">
        <v>1</v>
      </c>
      <c r="K1670" s="1458">
        <v>1</v>
      </c>
      <c r="L1670" s="1036">
        <v>1238.01</v>
      </c>
      <c r="M1670" s="1325">
        <f t="shared" si="3346"/>
        <v>1238.01</v>
      </c>
      <c r="N1670" s="348">
        <f ca="1">IF(OR(E1670="",E1670&gt;TODAY()),0,IF(ISERROR(VLOOKUP($E1670,'TRM BanRep'!$A:$G,7,0)),0,VLOOKUP($E1670,'TRM BanRep'!$A:$G,7,0)))</f>
        <v>4814.1099999999997</v>
      </c>
      <c r="O1670" s="897">
        <f t="shared" ca="1" si="3347"/>
        <v>5959916.3210999994</v>
      </c>
      <c r="P1670" s="1017"/>
      <c r="Q1670" s="1362">
        <f t="shared" si="3348"/>
        <v>0</v>
      </c>
      <c r="R1670" s="349"/>
      <c r="S1670" s="349"/>
      <c r="T1670" s="895">
        <f t="shared" si="3349"/>
        <v>0</v>
      </c>
      <c r="U1670" s="350">
        <f t="shared" si="3350"/>
        <v>1238.01</v>
      </c>
      <c r="V1670" s="918">
        <f t="shared" ca="1" si="3351"/>
        <v>5959916.3210999994</v>
      </c>
      <c r="W1670" s="351">
        <f t="shared" si="3352"/>
        <v>0</v>
      </c>
      <c r="X1670" s="919">
        <f t="shared" si="3353"/>
        <v>0</v>
      </c>
      <c r="Y1670" s="1018"/>
      <c r="Z1670" s="220"/>
      <c r="AA1670" s="15"/>
      <c r="AB1670" s="15"/>
      <c r="AC1670" s="15"/>
      <c r="AD1670" s="15"/>
      <c r="AE1670" s="15"/>
    </row>
    <row r="1671" spans="1:31" s="401" customFormat="1" outlineLevel="1">
      <c r="A1671" s="1011">
        <v>2401011000</v>
      </c>
      <c r="B1671" s="1012" t="s">
        <v>1366</v>
      </c>
      <c r="C1671" s="1013" t="s">
        <v>64</v>
      </c>
      <c r="D1671" s="1013">
        <v>2000002355</v>
      </c>
      <c r="E1671" s="1014">
        <v>45001</v>
      </c>
      <c r="F1671" s="1015"/>
      <c r="G1671" s="1293"/>
      <c r="H1671" s="346"/>
      <c r="I1671" s="1016"/>
      <c r="J1671" s="1457">
        <v>1</v>
      </c>
      <c r="K1671" s="1458">
        <v>1</v>
      </c>
      <c r="L1671" s="1036"/>
      <c r="M1671" s="1325">
        <f t="shared" si="3346"/>
        <v>0</v>
      </c>
      <c r="N1671" s="348">
        <f ca="1">IF(OR(E1671="",E1671&gt;TODAY()),0,IF(ISERROR(VLOOKUP($E1671,'TRM BanRep'!$A:$G,7,0)),0,VLOOKUP($E1671,'TRM BanRep'!$A:$G,7,0)))</f>
        <v>4835.51</v>
      </c>
      <c r="O1671" s="897">
        <f t="shared" ca="1" si="3347"/>
        <v>0</v>
      </c>
      <c r="P1671" s="1017">
        <f>-L1670</f>
        <v>-1238.01</v>
      </c>
      <c r="Q1671" s="1362">
        <f t="shared" si="3348"/>
        <v>-1238.01</v>
      </c>
      <c r="R1671" s="349">
        <f ca="1">+N1670</f>
        <v>4814.1099999999997</v>
      </c>
      <c r="S1671" s="349">
        <f ca="1">IF(OR(E1671="",E1671&gt;TODAY()),0,IF(ISERROR(VLOOKUP($E1671,'TRM BanRep'!$A:$G,7,0)),0,VLOOKUP($E1671,'TRM BanRep'!$A:$G,7,0)))</f>
        <v>4835.51</v>
      </c>
      <c r="T1671" s="895">
        <f t="shared" ca="1" si="3349"/>
        <v>-5986409.7351000002</v>
      </c>
      <c r="U1671" s="350">
        <f t="shared" si="3350"/>
        <v>-1238.01</v>
      </c>
      <c r="V1671" s="918">
        <f t="shared" ca="1" si="3351"/>
        <v>-5959916.3210999994</v>
      </c>
      <c r="W1671" s="351">
        <f t="shared" ca="1" si="3352"/>
        <v>26493.414000000805</v>
      </c>
      <c r="X1671" s="919">
        <f t="shared" ca="1" si="3353"/>
        <v>0</v>
      </c>
      <c r="Y1671" s="1018"/>
      <c r="Z1671" s="220"/>
      <c r="AA1671" s="15"/>
      <c r="AB1671" s="15"/>
      <c r="AC1671" s="15"/>
      <c r="AD1671" s="15"/>
      <c r="AE1671" s="15"/>
    </row>
    <row r="1672" spans="1:31" s="401" customFormat="1" outlineLevel="1">
      <c r="A1672" s="1011">
        <v>2401011000</v>
      </c>
      <c r="B1672" s="1012" t="s">
        <v>2382</v>
      </c>
      <c r="C1672" s="1013" t="s">
        <v>64</v>
      </c>
      <c r="D1672" s="1013">
        <v>5100001629</v>
      </c>
      <c r="E1672" s="1014">
        <v>44986</v>
      </c>
      <c r="F1672" s="1015"/>
      <c r="G1672" s="1293"/>
      <c r="H1672" s="346"/>
      <c r="I1672" s="1016"/>
      <c r="J1672" s="1457">
        <v>1</v>
      </c>
      <c r="K1672" s="1458">
        <v>1</v>
      </c>
      <c r="L1672" s="1036">
        <v>196.35</v>
      </c>
      <c r="M1672" s="1325">
        <f>+L1672*J1672</f>
        <v>196.35</v>
      </c>
      <c r="N1672" s="348">
        <f ca="1">IF(OR(E1672="",E1672&gt;TODAY()),0,IF(ISERROR(VLOOKUP($E1672,'TRM BanRep'!$A:$G,7,0)),0,VLOOKUP($E1672,'TRM BanRep'!$A:$G,7,0)))</f>
        <v>4814.1099999999997</v>
      </c>
      <c r="O1672" s="897">
        <f ca="1">+L1672*J1672*N1672</f>
        <v>945250.49849999987</v>
      </c>
      <c r="P1672" s="1017"/>
      <c r="Q1672" s="1362">
        <f>+P1672*K1672</f>
        <v>0</v>
      </c>
      <c r="R1672" s="349"/>
      <c r="S1672" s="349"/>
      <c r="T1672" s="895">
        <f>+P1672*K1672*S1672</f>
        <v>0</v>
      </c>
      <c r="U1672" s="350">
        <f>+L1672+P1672+F1672</f>
        <v>196.35</v>
      </c>
      <c r="V1672" s="918">
        <f ca="1">+P1672*J1672*R1672+L1672*J1672*N1672+F1672*J1672*H1672</f>
        <v>945250.49849999987</v>
      </c>
      <c r="W1672" s="351">
        <f>-(IF(-P1672*J1672*R1672&lt;-P1672*K1672*S1672,(-P1672*J1672*R1672)-(-P1672*K1672*S1672),0))</f>
        <v>0</v>
      </c>
      <c r="X1672" s="919">
        <f>-(IF(-P1672*J1672*R1672&gt;-P1672*K1672*S1672,(-P1672*J1672*R1672)-(-P1672*K1672*S1672),0))</f>
        <v>0</v>
      </c>
      <c r="Y1672" s="1018"/>
      <c r="Z1672" s="220"/>
      <c r="AA1672" s="15"/>
      <c r="AB1672" s="15"/>
      <c r="AC1672" s="15"/>
      <c r="AD1672" s="15"/>
      <c r="AE1672" s="15"/>
    </row>
    <row r="1673" spans="1:31" s="401" customFormat="1" outlineLevel="1">
      <c r="A1673" s="1011">
        <v>2401011000</v>
      </c>
      <c r="B1673" s="1012" t="s">
        <v>1366</v>
      </c>
      <c r="C1673" s="1013" t="s">
        <v>64</v>
      </c>
      <c r="D1673" s="1013">
        <v>2000002356</v>
      </c>
      <c r="E1673" s="1014">
        <v>45001</v>
      </c>
      <c r="F1673" s="1015"/>
      <c r="G1673" s="1293"/>
      <c r="H1673" s="346"/>
      <c r="I1673" s="1016"/>
      <c r="J1673" s="1457">
        <v>1</v>
      </c>
      <c r="K1673" s="1458">
        <v>1</v>
      </c>
      <c r="L1673" s="1036"/>
      <c r="M1673" s="1325">
        <f t="shared" ref="M1673:M1675" si="3354">+L1673*J1673</f>
        <v>0</v>
      </c>
      <c r="N1673" s="348">
        <f ca="1">IF(OR(E1673="",E1673&gt;TODAY()),0,IF(ISERROR(VLOOKUP($E1673,'TRM BanRep'!$A:$G,7,0)),0,VLOOKUP($E1673,'TRM BanRep'!$A:$G,7,0)))</f>
        <v>4835.51</v>
      </c>
      <c r="O1673" s="897">
        <f t="shared" ref="O1673:O1675" ca="1" si="3355">+L1673*J1673*N1673</f>
        <v>0</v>
      </c>
      <c r="P1673" s="1017">
        <f>-L1672</f>
        <v>-196.35</v>
      </c>
      <c r="Q1673" s="1362">
        <f t="shared" ref="Q1673:Q1675" si="3356">+P1673*K1673</f>
        <v>-196.35</v>
      </c>
      <c r="R1673" s="349">
        <f ca="1">+N1672</f>
        <v>4814.1099999999997</v>
      </c>
      <c r="S1673" s="349">
        <f ca="1">IF(OR(E1673="",E1673&gt;TODAY()),0,IF(ISERROR(VLOOKUP($E1673,'TRM BanRep'!$A:$G,7,0)),0,VLOOKUP($E1673,'TRM BanRep'!$A:$G,7,0)))</f>
        <v>4835.51</v>
      </c>
      <c r="T1673" s="895">
        <f t="shared" ref="T1673:T1675" ca="1" si="3357">+P1673*K1673*S1673</f>
        <v>-949452.3885</v>
      </c>
      <c r="U1673" s="350">
        <f t="shared" ref="U1673:U1675" si="3358">+L1673+P1673+F1673</f>
        <v>-196.35</v>
      </c>
      <c r="V1673" s="918">
        <f t="shared" ref="V1673:V1675" ca="1" si="3359">+P1673*J1673*R1673+L1673*J1673*N1673+F1673*J1673*H1673</f>
        <v>-945250.49849999987</v>
      </c>
      <c r="W1673" s="351">
        <f t="shared" ref="W1673:W1675" ca="1" si="3360">-(IF(-P1673*J1673*R1673&lt;-P1673*K1673*S1673,(-P1673*J1673*R1673)-(-P1673*K1673*S1673),0))</f>
        <v>4201.8900000001304</v>
      </c>
      <c r="X1673" s="919">
        <f t="shared" ref="X1673:X1675" ca="1" si="3361">-(IF(-P1673*J1673*R1673&gt;-P1673*K1673*S1673,(-P1673*J1673*R1673)-(-P1673*K1673*S1673),0))</f>
        <v>0</v>
      </c>
      <c r="Y1673" s="1018"/>
      <c r="Z1673" s="220"/>
      <c r="AA1673" s="15"/>
      <c r="AB1673" s="15"/>
      <c r="AC1673" s="15"/>
      <c r="AD1673" s="15"/>
      <c r="AE1673" s="15"/>
    </row>
    <row r="1674" spans="1:31" s="401" customFormat="1" outlineLevel="1">
      <c r="A1674" s="1011">
        <v>2401011000</v>
      </c>
      <c r="B1674" s="1012" t="s">
        <v>2383</v>
      </c>
      <c r="C1674" s="1013" t="s">
        <v>64</v>
      </c>
      <c r="D1674" s="1013">
        <v>5100001663</v>
      </c>
      <c r="E1674" s="1014">
        <v>44987</v>
      </c>
      <c r="F1674" s="1015"/>
      <c r="G1674" s="1293"/>
      <c r="H1674" s="346"/>
      <c r="I1674" s="1016"/>
      <c r="J1674" s="1457">
        <v>1</v>
      </c>
      <c r="K1674" s="1458">
        <v>1</v>
      </c>
      <c r="L1674" s="1036">
        <v>114.24</v>
      </c>
      <c r="M1674" s="1325">
        <f t="shared" si="3354"/>
        <v>114.24</v>
      </c>
      <c r="N1674" s="348">
        <f ca="1">IF(OR(E1674="",E1674&gt;TODAY()),0,IF(ISERROR(VLOOKUP($E1674,'TRM BanRep'!$A:$G,7,0)),0,VLOOKUP($E1674,'TRM BanRep'!$A:$G,7,0)))</f>
        <v>4848.78</v>
      </c>
      <c r="O1674" s="897">
        <f t="shared" ca="1" si="3355"/>
        <v>553924.62719999999</v>
      </c>
      <c r="P1674" s="1017"/>
      <c r="Q1674" s="1362">
        <f t="shared" si="3356"/>
        <v>0</v>
      </c>
      <c r="R1674" s="349"/>
      <c r="S1674" s="349"/>
      <c r="T1674" s="895">
        <f t="shared" si="3357"/>
        <v>0</v>
      </c>
      <c r="U1674" s="350">
        <f t="shared" si="3358"/>
        <v>114.24</v>
      </c>
      <c r="V1674" s="918">
        <f t="shared" ca="1" si="3359"/>
        <v>553924.62719999999</v>
      </c>
      <c r="W1674" s="351">
        <f t="shared" si="3360"/>
        <v>0</v>
      </c>
      <c r="X1674" s="919">
        <f t="shared" si="3361"/>
        <v>0</v>
      </c>
      <c r="Y1674" s="1018"/>
      <c r="Z1674" s="220"/>
      <c r="AA1674" s="15"/>
      <c r="AB1674" s="15"/>
      <c r="AC1674" s="15"/>
      <c r="AD1674" s="15"/>
      <c r="AE1674" s="15"/>
    </row>
    <row r="1675" spans="1:31" s="401" customFormat="1" outlineLevel="1">
      <c r="A1675" s="1011">
        <v>2401011000</v>
      </c>
      <c r="B1675" s="1012" t="s">
        <v>1366</v>
      </c>
      <c r="C1675" s="1013" t="s">
        <v>64</v>
      </c>
      <c r="D1675" s="1013">
        <v>2000002382</v>
      </c>
      <c r="E1675" s="1014">
        <v>45002</v>
      </c>
      <c r="F1675" s="1015"/>
      <c r="G1675" s="1293"/>
      <c r="H1675" s="346"/>
      <c r="I1675" s="1016"/>
      <c r="J1675" s="1457">
        <v>1</v>
      </c>
      <c r="K1675" s="1458">
        <v>1</v>
      </c>
      <c r="L1675" s="1036"/>
      <c r="M1675" s="1325">
        <f t="shared" si="3354"/>
        <v>0</v>
      </c>
      <c r="N1675" s="348">
        <f ca="1">IF(OR(E1675="",E1675&gt;TODAY()),0,IF(ISERROR(VLOOKUP($E1675,'TRM BanRep'!$A:$G,7,0)),0,VLOOKUP($E1675,'TRM BanRep'!$A:$G,7,0)))</f>
        <v>4866.5</v>
      </c>
      <c r="O1675" s="897">
        <f t="shared" ca="1" si="3355"/>
        <v>0</v>
      </c>
      <c r="P1675" s="1017">
        <f>-L1674</f>
        <v>-114.24</v>
      </c>
      <c r="Q1675" s="1362">
        <f t="shared" si="3356"/>
        <v>-114.24</v>
      </c>
      <c r="R1675" s="349">
        <f ca="1">+N1674</f>
        <v>4848.78</v>
      </c>
      <c r="S1675" s="349">
        <f ca="1">IF(OR(E1675="",E1675&gt;TODAY()),0,IF(ISERROR(VLOOKUP($E1675,'TRM BanRep'!$A:$G,7,0)),0,VLOOKUP($E1675,'TRM BanRep'!$A:$G,7,0)))</f>
        <v>4866.5</v>
      </c>
      <c r="T1675" s="895">
        <f t="shared" ca="1" si="3357"/>
        <v>-555948.96</v>
      </c>
      <c r="U1675" s="350">
        <f t="shared" si="3358"/>
        <v>-114.24</v>
      </c>
      <c r="V1675" s="918">
        <f t="shared" ca="1" si="3359"/>
        <v>-553924.62719999999</v>
      </c>
      <c r="W1675" s="351">
        <f t="shared" ca="1" si="3360"/>
        <v>2024.3327999999747</v>
      </c>
      <c r="X1675" s="919">
        <f t="shared" ca="1" si="3361"/>
        <v>0</v>
      </c>
      <c r="Y1675" s="1018"/>
      <c r="Z1675" s="220"/>
      <c r="AA1675" s="15"/>
      <c r="AB1675" s="15"/>
      <c r="AC1675" s="15"/>
      <c r="AD1675" s="15"/>
      <c r="AE1675" s="15"/>
    </row>
    <row r="1676" spans="1:31" s="401" customFormat="1" outlineLevel="1">
      <c r="A1676" s="1011">
        <v>2401011000</v>
      </c>
      <c r="B1676" s="1012" t="s">
        <v>2384</v>
      </c>
      <c r="C1676" s="1013" t="s">
        <v>64</v>
      </c>
      <c r="D1676" s="1013">
        <v>5100001749</v>
      </c>
      <c r="E1676" s="1014">
        <v>44991</v>
      </c>
      <c r="F1676" s="1015"/>
      <c r="G1676" s="1293"/>
      <c r="H1676" s="346"/>
      <c r="I1676" s="1016"/>
      <c r="J1676" s="1457">
        <v>1</v>
      </c>
      <c r="K1676" s="1458">
        <v>1</v>
      </c>
      <c r="L1676" s="1036">
        <v>1464.97</v>
      </c>
      <c r="M1676" s="1325">
        <f>+L1676*J1676</f>
        <v>1464.97</v>
      </c>
      <c r="N1676" s="348">
        <f ca="1">IF(OR(E1676="",E1676&gt;TODAY()),0,IF(ISERROR(VLOOKUP($E1676,'TRM BanRep'!$A:$G,7,0)),0,VLOOKUP($E1676,'TRM BanRep'!$A:$G,7,0)))</f>
        <v>4780.8900000000003</v>
      </c>
      <c r="O1676" s="897">
        <f ca="1">+L1676*J1676*N1676</f>
        <v>7003860.4233000008</v>
      </c>
      <c r="P1676" s="1017"/>
      <c r="Q1676" s="1362">
        <f>+P1676*K1676</f>
        <v>0</v>
      </c>
      <c r="R1676" s="349"/>
      <c r="S1676" s="349"/>
      <c r="T1676" s="895">
        <f>+P1676*K1676*S1676</f>
        <v>0</v>
      </c>
      <c r="U1676" s="350">
        <f>+L1676+P1676+F1676</f>
        <v>1464.97</v>
      </c>
      <c r="V1676" s="918">
        <f ca="1">+P1676*J1676*R1676+L1676*J1676*N1676+F1676*J1676*H1676</f>
        <v>7003860.4233000008</v>
      </c>
      <c r="W1676" s="351">
        <f>-(IF(-P1676*J1676*R1676&lt;-P1676*K1676*S1676,(-P1676*J1676*R1676)-(-P1676*K1676*S1676),0))</f>
        <v>0</v>
      </c>
      <c r="X1676" s="919">
        <f>-(IF(-P1676*J1676*R1676&gt;-P1676*K1676*S1676,(-P1676*J1676*R1676)-(-P1676*K1676*S1676),0))</f>
        <v>0</v>
      </c>
      <c r="Y1676" s="1018"/>
      <c r="Z1676" s="220"/>
      <c r="AA1676" s="15"/>
      <c r="AB1676" s="15"/>
      <c r="AC1676" s="15"/>
      <c r="AD1676" s="15"/>
      <c r="AE1676" s="15"/>
    </row>
    <row r="1677" spans="1:31" s="401" customFormat="1" outlineLevel="1">
      <c r="A1677" s="1011">
        <v>2401011000</v>
      </c>
      <c r="B1677" s="1012" t="s">
        <v>1366</v>
      </c>
      <c r="C1677" s="1013" t="s">
        <v>64</v>
      </c>
      <c r="D1677" s="1013">
        <v>2000002470</v>
      </c>
      <c r="E1677" s="1014">
        <v>45006</v>
      </c>
      <c r="F1677" s="1015"/>
      <c r="G1677" s="1293"/>
      <c r="H1677" s="346"/>
      <c r="I1677" s="1016"/>
      <c r="J1677" s="1457">
        <v>1</v>
      </c>
      <c r="K1677" s="1458">
        <v>1</v>
      </c>
      <c r="L1677" s="1036"/>
      <c r="M1677" s="1325">
        <f t="shared" ref="M1677:M1679" si="3362">+L1677*J1677</f>
        <v>0</v>
      </c>
      <c r="N1677" s="348">
        <f ca="1">IF(OR(E1677="",E1677&gt;TODAY()),0,IF(ISERROR(VLOOKUP($E1677,'TRM BanRep'!$A:$G,7,0)),0,VLOOKUP($E1677,'TRM BanRep'!$A:$G,7,0)))</f>
        <v>4824.25</v>
      </c>
      <c r="O1677" s="897">
        <f t="shared" ref="O1677:O1679" ca="1" si="3363">+L1677*J1677*N1677</f>
        <v>0</v>
      </c>
      <c r="P1677" s="1017">
        <f>-L1676</f>
        <v>-1464.97</v>
      </c>
      <c r="Q1677" s="1362">
        <f t="shared" ref="Q1677:Q1679" si="3364">+P1677*K1677</f>
        <v>-1464.97</v>
      </c>
      <c r="R1677" s="349">
        <f ca="1">+N1676</f>
        <v>4780.8900000000003</v>
      </c>
      <c r="S1677" s="349">
        <f ca="1">IF(OR(E1677="",E1677&gt;TODAY()),0,IF(ISERROR(VLOOKUP($E1677,'TRM BanRep'!$A:$G,7,0)),0,VLOOKUP($E1677,'TRM BanRep'!$A:$G,7,0)))</f>
        <v>4824.25</v>
      </c>
      <c r="T1677" s="895">
        <f t="shared" ref="T1677:T1679" ca="1" si="3365">+P1677*K1677*S1677</f>
        <v>-7067381.5225</v>
      </c>
      <c r="U1677" s="350">
        <f t="shared" ref="U1677:U1679" si="3366">+L1677+P1677+F1677</f>
        <v>-1464.97</v>
      </c>
      <c r="V1677" s="918">
        <f t="shared" ref="V1677:V1679" ca="1" si="3367">+P1677*J1677*R1677+L1677*J1677*N1677+F1677*J1677*H1677</f>
        <v>-7003860.4233000008</v>
      </c>
      <c r="W1677" s="351">
        <f t="shared" ref="W1677:W1679" ca="1" si="3368">-(IF(-P1677*J1677*R1677&lt;-P1677*K1677*S1677,(-P1677*J1677*R1677)-(-P1677*K1677*S1677),0))</f>
        <v>63521.099199999124</v>
      </c>
      <c r="X1677" s="919">
        <f t="shared" ref="X1677:X1679" ca="1" si="3369">-(IF(-P1677*J1677*R1677&gt;-P1677*K1677*S1677,(-P1677*J1677*R1677)-(-P1677*K1677*S1677),0))</f>
        <v>0</v>
      </c>
      <c r="Y1677" s="1018"/>
      <c r="Z1677" s="220"/>
      <c r="AA1677" s="15"/>
      <c r="AB1677" s="15"/>
      <c r="AC1677" s="15"/>
      <c r="AD1677" s="15"/>
      <c r="AE1677" s="15"/>
    </row>
    <row r="1678" spans="1:31" s="401" customFormat="1" outlineLevel="1">
      <c r="A1678" s="1011">
        <v>2401011000</v>
      </c>
      <c r="B1678" s="1012" t="s">
        <v>2385</v>
      </c>
      <c r="C1678" s="1013" t="s">
        <v>64</v>
      </c>
      <c r="D1678" s="1013">
        <v>5100001644</v>
      </c>
      <c r="E1678" s="1014">
        <v>44988</v>
      </c>
      <c r="F1678" s="1015"/>
      <c r="G1678" s="1293"/>
      <c r="H1678" s="346"/>
      <c r="I1678" s="1016"/>
      <c r="J1678" s="1457">
        <v>1</v>
      </c>
      <c r="K1678" s="1458">
        <v>1</v>
      </c>
      <c r="L1678" s="1036">
        <v>1173.54</v>
      </c>
      <c r="M1678" s="1325">
        <f t="shared" si="3362"/>
        <v>1173.54</v>
      </c>
      <c r="N1678" s="348">
        <f ca="1">IF(OR(E1678="",E1678&gt;TODAY()),0,IF(ISERROR(VLOOKUP($E1678,'TRM BanRep'!$A:$G,7,0)),0,VLOOKUP($E1678,'TRM BanRep'!$A:$G,7,0)))</f>
        <v>4855.83</v>
      </c>
      <c r="O1678" s="897">
        <f t="shared" ca="1" si="3363"/>
        <v>5698510.7381999996</v>
      </c>
      <c r="P1678" s="1017"/>
      <c r="Q1678" s="1362">
        <f t="shared" si="3364"/>
        <v>0</v>
      </c>
      <c r="R1678" s="349"/>
      <c r="S1678" s="349"/>
      <c r="T1678" s="895">
        <f t="shared" si="3365"/>
        <v>0</v>
      </c>
      <c r="U1678" s="350">
        <f t="shared" si="3366"/>
        <v>1173.54</v>
      </c>
      <c r="V1678" s="918">
        <f t="shared" ca="1" si="3367"/>
        <v>5698510.7381999996</v>
      </c>
      <c r="W1678" s="351">
        <f t="shared" si="3368"/>
        <v>0</v>
      </c>
      <c r="X1678" s="919">
        <f t="shared" si="3369"/>
        <v>0</v>
      </c>
      <c r="Y1678" s="1018"/>
      <c r="Z1678" s="220"/>
      <c r="AA1678" s="15"/>
      <c r="AB1678" s="15"/>
      <c r="AC1678" s="15"/>
      <c r="AD1678" s="15"/>
      <c r="AE1678" s="15"/>
    </row>
    <row r="1679" spans="1:31" s="401" customFormat="1" outlineLevel="1">
      <c r="A1679" s="1011">
        <v>2401011000</v>
      </c>
      <c r="B1679" s="1012" t="s">
        <v>1366</v>
      </c>
      <c r="C1679" s="1013" t="s">
        <v>64</v>
      </c>
      <c r="D1679" s="1013">
        <v>2000002471</v>
      </c>
      <c r="E1679" s="1014">
        <v>45006</v>
      </c>
      <c r="F1679" s="1015"/>
      <c r="G1679" s="1293"/>
      <c r="H1679" s="346"/>
      <c r="I1679" s="1016"/>
      <c r="J1679" s="1457">
        <v>1</v>
      </c>
      <c r="K1679" s="1458">
        <v>1</v>
      </c>
      <c r="L1679" s="1036"/>
      <c r="M1679" s="1325">
        <f t="shared" si="3362"/>
        <v>0</v>
      </c>
      <c r="N1679" s="348">
        <f ca="1">IF(OR(E1679="",E1679&gt;TODAY()),0,IF(ISERROR(VLOOKUP($E1679,'TRM BanRep'!$A:$G,7,0)),0,VLOOKUP($E1679,'TRM BanRep'!$A:$G,7,0)))</f>
        <v>4824.25</v>
      </c>
      <c r="O1679" s="897">
        <f t="shared" ca="1" si="3363"/>
        <v>0</v>
      </c>
      <c r="P1679" s="1017">
        <f>-L1678</f>
        <v>-1173.54</v>
      </c>
      <c r="Q1679" s="1362">
        <f t="shared" si="3364"/>
        <v>-1173.54</v>
      </c>
      <c r="R1679" s="349">
        <f ca="1">+N1678</f>
        <v>4855.83</v>
      </c>
      <c r="S1679" s="349">
        <f ca="1">IF(OR(E1679="",E1679&gt;TODAY()),0,IF(ISERROR(VLOOKUP($E1679,'TRM BanRep'!$A:$G,7,0)),0,VLOOKUP($E1679,'TRM BanRep'!$A:$G,7,0)))</f>
        <v>4824.25</v>
      </c>
      <c r="T1679" s="895">
        <f t="shared" ca="1" si="3365"/>
        <v>-5661450.3449999997</v>
      </c>
      <c r="U1679" s="350">
        <f t="shared" si="3366"/>
        <v>-1173.54</v>
      </c>
      <c r="V1679" s="918">
        <f t="shared" ca="1" si="3367"/>
        <v>-5698510.7381999996</v>
      </c>
      <c r="W1679" s="351">
        <f t="shared" ca="1" si="3368"/>
        <v>0</v>
      </c>
      <c r="X1679" s="919">
        <f t="shared" ca="1" si="3369"/>
        <v>-37060.393199999817</v>
      </c>
      <c r="Y1679" s="1018"/>
      <c r="Z1679" s="220"/>
      <c r="AA1679" s="15"/>
      <c r="AB1679" s="15"/>
      <c r="AC1679" s="15"/>
      <c r="AD1679" s="15"/>
      <c r="AE1679" s="15"/>
    </row>
    <row r="1680" spans="1:31" s="401" customFormat="1" outlineLevel="1">
      <c r="A1680" s="1011">
        <v>2401011000</v>
      </c>
      <c r="B1680" s="1012" t="s">
        <v>2386</v>
      </c>
      <c r="C1680" s="1013" t="s">
        <v>64</v>
      </c>
      <c r="D1680" s="1013">
        <v>5100001714</v>
      </c>
      <c r="E1680" s="1014">
        <v>44987</v>
      </c>
      <c r="F1680" s="1015"/>
      <c r="G1680" s="1293"/>
      <c r="H1680" s="346"/>
      <c r="I1680" s="1016"/>
      <c r="J1680" s="1457">
        <v>1</v>
      </c>
      <c r="K1680" s="1458">
        <v>1</v>
      </c>
      <c r="L1680" s="1036">
        <v>9.59</v>
      </c>
      <c r="M1680" s="1325">
        <f>+L1680*J1680</f>
        <v>9.59</v>
      </c>
      <c r="N1680" s="348">
        <f ca="1">IF(OR(E1680="",E1680&gt;TODAY()),0,IF(ISERROR(VLOOKUP($E1680,'TRM BanRep'!$A:$G,7,0)),0,VLOOKUP($E1680,'TRM BanRep'!$A:$G,7,0)))</f>
        <v>4848.78</v>
      </c>
      <c r="O1680" s="897">
        <f ca="1">+L1680*J1680*N1680</f>
        <v>46499.800199999998</v>
      </c>
      <c r="P1680" s="1017"/>
      <c r="Q1680" s="1362">
        <f>+P1680*K1680</f>
        <v>0</v>
      </c>
      <c r="R1680" s="349"/>
      <c r="S1680" s="349"/>
      <c r="T1680" s="895">
        <f>+P1680*K1680*S1680</f>
        <v>0</v>
      </c>
      <c r="U1680" s="350">
        <f>+L1680+P1680+F1680</f>
        <v>9.59</v>
      </c>
      <c r="V1680" s="918">
        <f ca="1">+P1680*J1680*R1680+L1680*J1680*N1680+F1680*J1680*H1680</f>
        <v>46499.800199999998</v>
      </c>
      <c r="W1680" s="351">
        <f>-(IF(-P1680*J1680*R1680&lt;-P1680*K1680*S1680,(-P1680*J1680*R1680)-(-P1680*K1680*S1680),0))</f>
        <v>0</v>
      </c>
      <c r="X1680" s="919">
        <f>-(IF(-P1680*J1680*R1680&gt;-P1680*K1680*S1680,(-P1680*J1680*R1680)-(-P1680*K1680*S1680),0))</f>
        <v>0</v>
      </c>
      <c r="Y1680" s="1018"/>
      <c r="Z1680" s="220"/>
      <c r="AA1680" s="15"/>
      <c r="AB1680" s="15"/>
      <c r="AC1680" s="15"/>
      <c r="AD1680" s="15"/>
      <c r="AE1680" s="15"/>
    </row>
    <row r="1681" spans="1:31" s="401" customFormat="1" outlineLevel="1">
      <c r="A1681" s="1011">
        <v>2401011000</v>
      </c>
      <c r="B1681" s="1012" t="s">
        <v>1366</v>
      </c>
      <c r="C1681" s="1013" t="s">
        <v>64</v>
      </c>
      <c r="D1681" s="1013">
        <v>2000002472</v>
      </c>
      <c r="E1681" s="1014">
        <v>45006</v>
      </c>
      <c r="F1681" s="1015"/>
      <c r="G1681" s="1293"/>
      <c r="H1681" s="346"/>
      <c r="I1681" s="1016"/>
      <c r="J1681" s="1457">
        <v>1</v>
      </c>
      <c r="K1681" s="1458">
        <v>1</v>
      </c>
      <c r="L1681" s="1036"/>
      <c r="M1681" s="1325">
        <f t="shared" ref="M1681:M1683" si="3370">+L1681*J1681</f>
        <v>0</v>
      </c>
      <c r="N1681" s="348">
        <f ca="1">IF(OR(E1681="",E1681&gt;TODAY()),0,IF(ISERROR(VLOOKUP($E1681,'TRM BanRep'!$A:$G,7,0)),0,VLOOKUP($E1681,'TRM BanRep'!$A:$G,7,0)))</f>
        <v>4824.25</v>
      </c>
      <c r="O1681" s="897">
        <f t="shared" ref="O1681:O1683" ca="1" si="3371">+L1681*J1681*N1681</f>
        <v>0</v>
      </c>
      <c r="P1681" s="1017">
        <f>-L1680</f>
        <v>-9.59</v>
      </c>
      <c r="Q1681" s="1362">
        <f t="shared" ref="Q1681:Q1683" si="3372">+P1681*K1681</f>
        <v>-9.59</v>
      </c>
      <c r="R1681" s="349">
        <f ca="1">+N1680</f>
        <v>4848.78</v>
      </c>
      <c r="S1681" s="349">
        <f ca="1">IF(OR(E1681="",E1681&gt;TODAY()),0,IF(ISERROR(VLOOKUP($E1681,'TRM BanRep'!$A:$G,7,0)),0,VLOOKUP($E1681,'TRM BanRep'!$A:$G,7,0)))</f>
        <v>4824.25</v>
      </c>
      <c r="T1681" s="895">
        <f t="shared" ref="T1681:T1683" ca="1" si="3373">+P1681*K1681*S1681</f>
        <v>-46264.557500000003</v>
      </c>
      <c r="U1681" s="350">
        <f t="shared" ref="U1681:U1683" si="3374">+L1681+P1681+F1681</f>
        <v>-9.59</v>
      </c>
      <c r="V1681" s="918">
        <f t="shared" ref="V1681:V1683" ca="1" si="3375">+P1681*J1681*R1681+L1681*J1681*N1681+F1681*J1681*H1681</f>
        <v>-46499.800199999998</v>
      </c>
      <c r="W1681" s="351">
        <f t="shared" ref="W1681:W1683" ca="1" si="3376">-(IF(-P1681*J1681*R1681&lt;-P1681*K1681*S1681,(-P1681*J1681*R1681)-(-P1681*K1681*S1681),0))</f>
        <v>0</v>
      </c>
      <c r="X1681" s="919">
        <f t="shared" ref="X1681:X1683" ca="1" si="3377">-(IF(-P1681*J1681*R1681&gt;-P1681*K1681*S1681,(-P1681*J1681*R1681)-(-P1681*K1681*S1681),0))</f>
        <v>-235.24269999999524</v>
      </c>
      <c r="Y1681" s="1018"/>
      <c r="Z1681" s="220"/>
      <c r="AA1681" s="15"/>
      <c r="AB1681" s="15"/>
      <c r="AC1681" s="15"/>
      <c r="AD1681" s="15"/>
      <c r="AE1681" s="15"/>
    </row>
    <row r="1682" spans="1:31" s="401" customFormat="1" outlineLevel="1">
      <c r="A1682" s="1011">
        <v>2401011000</v>
      </c>
      <c r="B1682" s="1012" t="s">
        <v>2387</v>
      </c>
      <c r="C1682" s="1013" t="s">
        <v>64</v>
      </c>
      <c r="D1682" s="1013">
        <v>5100001759</v>
      </c>
      <c r="E1682" s="1014">
        <v>44992</v>
      </c>
      <c r="F1682" s="1015"/>
      <c r="G1682" s="1293"/>
      <c r="H1682" s="346"/>
      <c r="I1682" s="1016"/>
      <c r="J1682" s="1457">
        <v>1</v>
      </c>
      <c r="K1682" s="1458">
        <v>1</v>
      </c>
      <c r="L1682" s="1036">
        <v>2019.29</v>
      </c>
      <c r="M1682" s="1325">
        <f t="shared" si="3370"/>
        <v>2019.29</v>
      </c>
      <c r="N1682" s="348">
        <f ca="1">IF(OR(E1682="",E1682&gt;TODAY()),0,IF(ISERROR(VLOOKUP($E1682,'TRM BanRep'!$A:$G,7,0)),0,VLOOKUP($E1682,'TRM BanRep'!$A:$G,7,0)))</f>
        <v>4734.42</v>
      </c>
      <c r="O1682" s="897">
        <f t="shared" ca="1" si="3371"/>
        <v>9560166.9617999997</v>
      </c>
      <c r="P1682" s="1017"/>
      <c r="Q1682" s="1362">
        <f t="shared" si="3372"/>
        <v>0</v>
      </c>
      <c r="R1682" s="349"/>
      <c r="S1682" s="349"/>
      <c r="T1682" s="895">
        <f t="shared" si="3373"/>
        <v>0</v>
      </c>
      <c r="U1682" s="350">
        <f t="shared" si="3374"/>
        <v>2019.29</v>
      </c>
      <c r="V1682" s="918">
        <f t="shared" ca="1" si="3375"/>
        <v>9560166.9617999997</v>
      </c>
      <c r="W1682" s="351">
        <f t="shared" si="3376"/>
        <v>0</v>
      </c>
      <c r="X1682" s="919">
        <f t="shared" si="3377"/>
        <v>0</v>
      </c>
      <c r="Y1682" s="1018"/>
      <c r="Z1682" s="220"/>
      <c r="AA1682" s="15"/>
      <c r="AB1682" s="15"/>
      <c r="AC1682" s="15"/>
      <c r="AD1682" s="15"/>
      <c r="AE1682" s="15"/>
    </row>
    <row r="1683" spans="1:31" s="401" customFormat="1" outlineLevel="1">
      <c r="A1683" s="1011">
        <v>2401011000</v>
      </c>
      <c r="B1683" s="1012" t="s">
        <v>1366</v>
      </c>
      <c r="C1683" s="1013" t="s">
        <v>64</v>
      </c>
      <c r="D1683" s="1013">
        <v>2000002480</v>
      </c>
      <c r="E1683" s="1014">
        <v>45007</v>
      </c>
      <c r="F1683" s="1015"/>
      <c r="G1683" s="1293"/>
      <c r="H1683" s="346"/>
      <c r="I1683" s="1016"/>
      <c r="J1683" s="1457">
        <v>1</v>
      </c>
      <c r="K1683" s="1458">
        <v>1</v>
      </c>
      <c r="L1683" s="1036"/>
      <c r="M1683" s="1325">
        <f t="shared" si="3370"/>
        <v>0</v>
      </c>
      <c r="N1683" s="348">
        <f ca="1">IF(OR(E1683="",E1683&gt;TODAY()),0,IF(ISERROR(VLOOKUP($E1683,'TRM BanRep'!$A:$G,7,0)),0,VLOOKUP($E1683,'TRM BanRep'!$A:$G,7,0)))</f>
        <v>4804.29</v>
      </c>
      <c r="O1683" s="897">
        <f t="shared" ca="1" si="3371"/>
        <v>0</v>
      </c>
      <c r="P1683" s="1017">
        <f>-L1682</f>
        <v>-2019.29</v>
      </c>
      <c r="Q1683" s="1362">
        <f t="shared" si="3372"/>
        <v>-2019.29</v>
      </c>
      <c r="R1683" s="349">
        <f ca="1">+N1682</f>
        <v>4734.42</v>
      </c>
      <c r="S1683" s="349">
        <f ca="1">IF(OR(E1683="",E1683&gt;TODAY()),0,IF(ISERROR(VLOOKUP($E1683,'TRM BanRep'!$A:$G,7,0)),0,VLOOKUP($E1683,'TRM BanRep'!$A:$G,7,0)))</f>
        <v>4804.29</v>
      </c>
      <c r="T1683" s="895">
        <f t="shared" ca="1" si="3373"/>
        <v>-9701254.7541000005</v>
      </c>
      <c r="U1683" s="350">
        <f t="shared" si="3374"/>
        <v>-2019.29</v>
      </c>
      <c r="V1683" s="918">
        <f t="shared" ca="1" si="3375"/>
        <v>-9560166.9617999997</v>
      </c>
      <c r="W1683" s="351">
        <f t="shared" ca="1" si="3376"/>
        <v>141087.79230000079</v>
      </c>
      <c r="X1683" s="919">
        <f t="shared" ca="1" si="3377"/>
        <v>0</v>
      </c>
      <c r="Y1683" s="1018"/>
      <c r="Z1683" s="220"/>
      <c r="AA1683" s="15"/>
      <c r="AB1683" s="15"/>
      <c r="AC1683" s="15"/>
      <c r="AD1683" s="15"/>
      <c r="AE1683" s="15"/>
    </row>
    <row r="1684" spans="1:31" s="401" customFormat="1" outlineLevel="1">
      <c r="A1684" s="1011">
        <v>2401011000</v>
      </c>
      <c r="B1684" s="1012" t="s">
        <v>2388</v>
      </c>
      <c r="C1684" s="1013" t="s">
        <v>64</v>
      </c>
      <c r="D1684" s="1013">
        <v>5100001793</v>
      </c>
      <c r="E1684" s="1014">
        <v>44993</v>
      </c>
      <c r="F1684" s="1015"/>
      <c r="G1684" s="1293"/>
      <c r="H1684" s="346"/>
      <c r="I1684" s="1016"/>
      <c r="J1684" s="1457">
        <v>1</v>
      </c>
      <c r="K1684" s="1458">
        <v>1</v>
      </c>
      <c r="L1684" s="1036">
        <v>1460.18</v>
      </c>
      <c r="M1684" s="1325">
        <f>+L1684*J1684</f>
        <v>1460.18</v>
      </c>
      <c r="N1684" s="348">
        <f ca="1">IF(OR(E1684="",E1684&gt;TODAY()),0,IF(ISERROR(VLOOKUP($E1684,'TRM BanRep'!$A:$G,7,0)),0,VLOOKUP($E1684,'TRM BanRep'!$A:$G,7,0)))</f>
        <v>4744.95</v>
      </c>
      <c r="O1684" s="897">
        <f ca="1">+L1684*J1684*N1684</f>
        <v>6928481.091</v>
      </c>
      <c r="P1684" s="1017"/>
      <c r="Q1684" s="1362">
        <f>+P1684*K1684</f>
        <v>0</v>
      </c>
      <c r="R1684" s="349"/>
      <c r="S1684" s="349"/>
      <c r="T1684" s="895">
        <f>+P1684*K1684*S1684</f>
        <v>0</v>
      </c>
      <c r="U1684" s="350">
        <f>+L1684+P1684+F1684</f>
        <v>1460.18</v>
      </c>
      <c r="V1684" s="918">
        <f ca="1">+P1684*J1684*R1684+L1684*J1684*N1684+F1684*J1684*H1684</f>
        <v>6928481.091</v>
      </c>
      <c r="W1684" s="351">
        <f>-(IF(-P1684*J1684*R1684&lt;-P1684*K1684*S1684,(-P1684*J1684*R1684)-(-P1684*K1684*S1684),0))</f>
        <v>0</v>
      </c>
      <c r="X1684" s="919">
        <f>-(IF(-P1684*J1684*R1684&gt;-P1684*K1684*S1684,(-P1684*J1684*R1684)-(-P1684*K1684*S1684),0))</f>
        <v>0</v>
      </c>
      <c r="Y1684" s="1018"/>
      <c r="Z1684" s="220"/>
      <c r="AA1684" s="15"/>
      <c r="AB1684" s="15"/>
      <c r="AC1684" s="15"/>
      <c r="AD1684" s="15"/>
      <c r="AE1684" s="15"/>
    </row>
    <row r="1685" spans="1:31" s="401" customFormat="1" outlineLevel="1">
      <c r="A1685" s="1011">
        <v>2401011000</v>
      </c>
      <c r="B1685" s="1012" t="s">
        <v>1366</v>
      </c>
      <c r="C1685" s="1013" t="s">
        <v>64</v>
      </c>
      <c r="D1685" s="1013">
        <v>2000002540</v>
      </c>
      <c r="E1685" s="1014">
        <v>45008</v>
      </c>
      <c r="F1685" s="1015"/>
      <c r="G1685" s="1293"/>
      <c r="H1685" s="346"/>
      <c r="I1685" s="1016"/>
      <c r="J1685" s="1457">
        <v>1</v>
      </c>
      <c r="K1685" s="1458">
        <v>1</v>
      </c>
      <c r="L1685" s="1036"/>
      <c r="M1685" s="1325">
        <f t="shared" ref="M1685:M1687" si="3378">+L1685*J1685</f>
        <v>0</v>
      </c>
      <c r="N1685" s="348">
        <f ca="1">IF(OR(E1685="",E1685&gt;TODAY()),0,IF(ISERROR(VLOOKUP($E1685,'TRM BanRep'!$A:$G,7,0)),0,VLOOKUP($E1685,'TRM BanRep'!$A:$G,7,0)))</f>
        <v>4776.09</v>
      </c>
      <c r="O1685" s="897">
        <f t="shared" ref="O1685:O1687" ca="1" si="3379">+L1685*J1685*N1685</f>
        <v>0</v>
      </c>
      <c r="P1685" s="1017">
        <f>-L1684</f>
        <v>-1460.18</v>
      </c>
      <c r="Q1685" s="1362">
        <f t="shared" ref="Q1685:Q1687" si="3380">+P1685*K1685</f>
        <v>-1460.18</v>
      </c>
      <c r="R1685" s="349">
        <f ca="1">+N1684</f>
        <v>4744.95</v>
      </c>
      <c r="S1685" s="349">
        <f ca="1">IF(OR(E1685="",E1685&gt;TODAY()),0,IF(ISERROR(VLOOKUP($E1685,'TRM BanRep'!$A:$G,7,0)),0,VLOOKUP($E1685,'TRM BanRep'!$A:$G,7,0)))</f>
        <v>4776.09</v>
      </c>
      <c r="T1685" s="895">
        <f t="shared" ref="T1685:T1687" ca="1" si="3381">+P1685*K1685*S1685</f>
        <v>-6973951.0962000005</v>
      </c>
      <c r="U1685" s="350">
        <f t="shared" ref="U1685:U1687" si="3382">+L1685+P1685+F1685</f>
        <v>-1460.18</v>
      </c>
      <c r="V1685" s="918">
        <f t="shared" ref="V1685:V1687" ca="1" si="3383">+P1685*J1685*R1685+L1685*J1685*N1685+F1685*J1685*H1685</f>
        <v>-6928481.091</v>
      </c>
      <c r="W1685" s="351">
        <f t="shared" ref="W1685:W1687" ca="1" si="3384">-(IF(-P1685*J1685*R1685&lt;-P1685*K1685*S1685,(-P1685*J1685*R1685)-(-P1685*K1685*S1685),0))</f>
        <v>45470.00520000048</v>
      </c>
      <c r="X1685" s="919">
        <f t="shared" ref="X1685:X1687" ca="1" si="3385">-(IF(-P1685*J1685*R1685&gt;-P1685*K1685*S1685,(-P1685*J1685*R1685)-(-P1685*K1685*S1685),0))</f>
        <v>0</v>
      </c>
      <c r="Y1685" s="1018"/>
      <c r="Z1685" s="220"/>
      <c r="AA1685" s="15"/>
      <c r="AB1685" s="15"/>
      <c r="AC1685" s="15"/>
      <c r="AD1685" s="15"/>
      <c r="AE1685" s="15"/>
    </row>
    <row r="1686" spans="1:31" s="401" customFormat="1" outlineLevel="1">
      <c r="A1686" s="1011">
        <v>2401011000</v>
      </c>
      <c r="B1686" s="1012" t="s">
        <v>2389</v>
      </c>
      <c r="C1686" s="1013" t="s">
        <v>64</v>
      </c>
      <c r="D1686" s="1013">
        <v>5100001851</v>
      </c>
      <c r="E1686" s="1014">
        <v>44994</v>
      </c>
      <c r="F1686" s="1015"/>
      <c r="G1686" s="1293"/>
      <c r="H1686" s="346"/>
      <c r="I1686" s="1016"/>
      <c r="J1686" s="1457">
        <v>1</v>
      </c>
      <c r="K1686" s="1458">
        <v>1</v>
      </c>
      <c r="L1686" s="1036">
        <v>818.62</v>
      </c>
      <c r="M1686" s="1325">
        <f t="shared" si="3378"/>
        <v>818.62</v>
      </c>
      <c r="N1686" s="348">
        <f ca="1">IF(OR(E1686="",E1686&gt;TODAY()),0,IF(ISERROR(VLOOKUP($E1686,'TRM BanRep'!$A:$G,7,0)),0,VLOOKUP($E1686,'TRM BanRep'!$A:$G,7,0)))</f>
        <v>4755.59</v>
      </c>
      <c r="O1686" s="897">
        <f t="shared" ca="1" si="3379"/>
        <v>3893021.0858</v>
      </c>
      <c r="P1686" s="1017"/>
      <c r="Q1686" s="1362">
        <f t="shared" si="3380"/>
        <v>0</v>
      </c>
      <c r="R1686" s="349"/>
      <c r="S1686" s="349"/>
      <c r="T1686" s="895">
        <f t="shared" si="3381"/>
        <v>0</v>
      </c>
      <c r="U1686" s="350">
        <f t="shared" si="3382"/>
        <v>818.62</v>
      </c>
      <c r="V1686" s="918">
        <f t="shared" ca="1" si="3383"/>
        <v>3893021.0858</v>
      </c>
      <c r="W1686" s="351">
        <f t="shared" si="3384"/>
        <v>0</v>
      </c>
      <c r="X1686" s="919">
        <f t="shared" si="3385"/>
        <v>0</v>
      </c>
      <c r="Y1686" s="1018"/>
      <c r="Z1686" s="220"/>
      <c r="AA1686" s="15"/>
      <c r="AB1686" s="15"/>
      <c r="AC1686" s="15"/>
      <c r="AD1686" s="15"/>
      <c r="AE1686" s="15"/>
    </row>
    <row r="1687" spans="1:31" s="401" customFormat="1" outlineLevel="1">
      <c r="A1687" s="1011">
        <v>2401011000</v>
      </c>
      <c r="B1687" s="1012"/>
      <c r="C1687" s="1013" t="s">
        <v>64</v>
      </c>
      <c r="D1687" s="1013">
        <v>2000002546</v>
      </c>
      <c r="E1687" s="1014">
        <v>45009</v>
      </c>
      <c r="F1687" s="1015"/>
      <c r="G1687" s="1293"/>
      <c r="H1687" s="346"/>
      <c r="I1687" s="1016"/>
      <c r="J1687" s="1457">
        <v>1</v>
      </c>
      <c r="K1687" s="1458">
        <v>1</v>
      </c>
      <c r="L1687" s="1036"/>
      <c r="M1687" s="1325">
        <f t="shared" si="3378"/>
        <v>0</v>
      </c>
      <c r="N1687" s="348">
        <f ca="1">IF(OR(E1687="",E1687&gt;TODAY()),0,IF(ISERROR(VLOOKUP($E1687,'TRM BanRep'!$A:$G,7,0)),0,VLOOKUP($E1687,'TRM BanRep'!$A:$G,7,0)))</f>
        <v>4755.12</v>
      </c>
      <c r="O1687" s="897">
        <f t="shared" ca="1" si="3379"/>
        <v>0</v>
      </c>
      <c r="P1687" s="1017">
        <f>-L1686</f>
        <v>-818.62</v>
      </c>
      <c r="Q1687" s="1362">
        <f t="shared" si="3380"/>
        <v>-818.62</v>
      </c>
      <c r="R1687" s="349">
        <f ca="1">+N1686</f>
        <v>4755.59</v>
      </c>
      <c r="S1687" s="349">
        <f ca="1">IF(OR(E1687="",E1687&gt;TODAY()),0,IF(ISERROR(VLOOKUP($E1687,'TRM BanRep'!$A:$G,7,0)),0,VLOOKUP($E1687,'TRM BanRep'!$A:$G,7,0)))</f>
        <v>4755.12</v>
      </c>
      <c r="T1687" s="895">
        <f t="shared" ca="1" si="3381"/>
        <v>-3892636.3344000001</v>
      </c>
      <c r="U1687" s="350">
        <f t="shared" si="3382"/>
        <v>-818.62</v>
      </c>
      <c r="V1687" s="918">
        <f t="shared" ca="1" si="3383"/>
        <v>-3893021.0858</v>
      </c>
      <c r="W1687" s="351">
        <f t="shared" ca="1" si="3384"/>
        <v>0</v>
      </c>
      <c r="X1687" s="919">
        <f t="shared" ca="1" si="3385"/>
        <v>-384.75139999995008</v>
      </c>
      <c r="Y1687" s="1018"/>
      <c r="Z1687" s="220"/>
      <c r="AA1687" s="15"/>
      <c r="AB1687" s="15"/>
      <c r="AC1687" s="15"/>
      <c r="AD1687" s="15"/>
      <c r="AE1687" s="15"/>
    </row>
    <row r="1688" spans="1:31" s="401" customFormat="1" outlineLevel="1">
      <c r="A1688" s="1011">
        <v>2401011000</v>
      </c>
      <c r="B1688" s="1012" t="s">
        <v>2390</v>
      </c>
      <c r="C1688" s="1013" t="s">
        <v>64</v>
      </c>
      <c r="D1688" s="1013">
        <v>5100001855</v>
      </c>
      <c r="E1688" s="1014">
        <v>44994</v>
      </c>
      <c r="F1688" s="1015"/>
      <c r="G1688" s="1293"/>
      <c r="H1688" s="346"/>
      <c r="I1688" s="1016"/>
      <c r="J1688" s="1457">
        <v>1</v>
      </c>
      <c r="K1688" s="1458">
        <v>1</v>
      </c>
      <c r="L1688" s="1036">
        <v>285.93</v>
      </c>
      <c r="M1688" s="1325">
        <f>+L1688*J1688</f>
        <v>285.93</v>
      </c>
      <c r="N1688" s="348">
        <f ca="1">IF(OR(E1688="",E1688&gt;TODAY()),0,IF(ISERROR(VLOOKUP($E1688,'TRM BanRep'!$A:$G,7,0)),0,VLOOKUP($E1688,'TRM BanRep'!$A:$G,7,0)))</f>
        <v>4755.59</v>
      </c>
      <c r="O1688" s="897">
        <f ca="1">+L1688*J1688*N1688</f>
        <v>1359765.8487</v>
      </c>
      <c r="P1688" s="1017"/>
      <c r="Q1688" s="1362">
        <f>+P1688*K1688</f>
        <v>0</v>
      </c>
      <c r="R1688" s="349"/>
      <c r="S1688" s="349"/>
      <c r="T1688" s="895">
        <f>+P1688*K1688*S1688</f>
        <v>0</v>
      </c>
      <c r="U1688" s="350">
        <f>+L1688+P1688+F1688</f>
        <v>285.93</v>
      </c>
      <c r="V1688" s="918">
        <f ca="1">+P1688*J1688*R1688+L1688*J1688*N1688+F1688*J1688*H1688</f>
        <v>1359765.8487</v>
      </c>
      <c r="W1688" s="351">
        <f>-(IF(-P1688*J1688*R1688&lt;-P1688*K1688*S1688,(-P1688*J1688*R1688)-(-P1688*K1688*S1688),0))</f>
        <v>0</v>
      </c>
      <c r="X1688" s="919">
        <f>-(IF(-P1688*J1688*R1688&gt;-P1688*K1688*S1688,(-P1688*J1688*R1688)-(-P1688*K1688*S1688),0))</f>
        <v>0</v>
      </c>
      <c r="Y1688" s="1018"/>
      <c r="Z1688" s="220"/>
      <c r="AA1688" s="15"/>
      <c r="AB1688" s="15"/>
      <c r="AC1688" s="15"/>
      <c r="AD1688" s="15"/>
      <c r="AE1688" s="15"/>
    </row>
    <row r="1689" spans="1:31" s="401" customFormat="1" outlineLevel="1">
      <c r="A1689" s="1011">
        <v>2401011000</v>
      </c>
      <c r="B1689" s="1012" t="s">
        <v>1366</v>
      </c>
      <c r="C1689" s="1013" t="s">
        <v>64</v>
      </c>
      <c r="D1689" s="1013">
        <v>2000002546</v>
      </c>
      <c r="E1689" s="1014">
        <v>45009</v>
      </c>
      <c r="F1689" s="1015"/>
      <c r="G1689" s="1293"/>
      <c r="H1689" s="346"/>
      <c r="I1689" s="1016"/>
      <c r="J1689" s="1457">
        <v>1</v>
      </c>
      <c r="K1689" s="1458">
        <v>1</v>
      </c>
      <c r="L1689" s="1036"/>
      <c r="M1689" s="1325">
        <f t="shared" ref="M1689" si="3386">+L1689*J1689</f>
        <v>0</v>
      </c>
      <c r="N1689" s="348">
        <f ca="1">IF(OR(E1689="",E1689&gt;TODAY()),0,IF(ISERROR(VLOOKUP($E1689,'TRM BanRep'!$A:$G,7,0)),0,VLOOKUP($E1689,'TRM BanRep'!$A:$G,7,0)))</f>
        <v>4755.12</v>
      </c>
      <c r="O1689" s="897">
        <f t="shared" ref="O1689" ca="1" si="3387">+L1689*J1689*N1689</f>
        <v>0</v>
      </c>
      <c r="P1689" s="1017">
        <f>-L1688</f>
        <v>-285.93</v>
      </c>
      <c r="Q1689" s="1362">
        <f t="shared" ref="Q1689" si="3388">+P1689*K1689</f>
        <v>-285.93</v>
      </c>
      <c r="R1689" s="349">
        <f ca="1">+N1688</f>
        <v>4755.59</v>
      </c>
      <c r="S1689" s="349">
        <f ca="1">IF(OR(E1689="",E1689&gt;TODAY()),0,IF(ISERROR(VLOOKUP($E1689,'TRM BanRep'!$A:$G,7,0)),0,VLOOKUP($E1689,'TRM BanRep'!$A:$G,7,0)))</f>
        <v>4755.12</v>
      </c>
      <c r="T1689" s="895">
        <f t="shared" ref="T1689" ca="1" si="3389">+P1689*K1689*S1689</f>
        <v>-1359631.4616</v>
      </c>
      <c r="U1689" s="350">
        <f t="shared" ref="U1689" si="3390">+L1689+P1689+F1689</f>
        <v>-285.93</v>
      </c>
      <c r="V1689" s="918">
        <f t="shared" ref="V1689" ca="1" si="3391">+P1689*J1689*R1689+L1689*J1689*N1689+F1689*J1689*H1689</f>
        <v>-1359765.8487</v>
      </c>
      <c r="W1689" s="351">
        <f t="shared" ref="W1689" ca="1" si="3392">-(IF(-P1689*J1689*R1689&lt;-P1689*K1689*S1689,(-P1689*J1689*R1689)-(-P1689*K1689*S1689),0))</f>
        <v>0</v>
      </c>
      <c r="X1689" s="919">
        <f t="shared" ref="X1689" ca="1" si="3393">-(IF(-P1689*J1689*R1689&gt;-P1689*K1689*S1689,(-P1689*J1689*R1689)-(-P1689*K1689*S1689),0))</f>
        <v>-134.38709999993443</v>
      </c>
      <c r="Y1689" s="1018"/>
      <c r="Z1689" s="220"/>
      <c r="AA1689" s="15"/>
      <c r="AB1689" s="15"/>
      <c r="AC1689" s="15"/>
      <c r="AD1689" s="15"/>
      <c r="AE1689" s="15"/>
    </row>
    <row r="1690" spans="1:31" s="401" customFormat="1" outlineLevel="1">
      <c r="A1690" s="1011">
        <v>2401011000</v>
      </c>
      <c r="B1690" s="1012" t="s">
        <v>2410</v>
      </c>
      <c r="C1690" s="1013" t="s">
        <v>64</v>
      </c>
      <c r="D1690" s="1013">
        <v>5100001560</v>
      </c>
      <c r="E1690" s="1014">
        <v>44984</v>
      </c>
      <c r="F1690" s="1015"/>
      <c r="G1690" s="1293"/>
      <c r="H1690" s="346"/>
      <c r="I1690" s="1016"/>
      <c r="J1690" s="1457">
        <v>1</v>
      </c>
      <c r="K1690" s="1458">
        <v>1</v>
      </c>
      <c r="L1690" s="1036">
        <v>4560.08</v>
      </c>
      <c r="M1690" s="1325">
        <f>+L1690*J1690</f>
        <v>4560.08</v>
      </c>
      <c r="N1690" s="348">
        <f ca="1">IF(OR(E1690="",E1690&gt;TODAY()),0,IF(ISERROR(VLOOKUP($E1690,'TRM BanRep'!$A:$G,7,0)),0,VLOOKUP($E1690,'TRM BanRep'!$A:$G,7,0)))</f>
        <v>4849.6499999999996</v>
      </c>
      <c r="O1690" s="897">
        <f ca="1">+L1690*J1690*N1690</f>
        <v>22114791.971999999</v>
      </c>
      <c r="P1690" s="1017"/>
      <c r="Q1690" s="1362">
        <f>+P1690*K1690</f>
        <v>0</v>
      </c>
      <c r="R1690" s="349"/>
      <c r="S1690" s="349"/>
      <c r="T1690" s="895">
        <f>+P1690*K1690*S1690</f>
        <v>0</v>
      </c>
      <c r="U1690" s="350">
        <f>+L1690+P1690+F1690</f>
        <v>4560.08</v>
      </c>
      <c r="V1690" s="918">
        <f ca="1">+P1690*J1690*R1690+L1690*J1690*N1690+F1690*J1690*H1690</f>
        <v>22114791.971999999</v>
      </c>
      <c r="W1690" s="351">
        <f>-(IF(-P1690*J1690*R1690&lt;-P1690*K1690*S1690,(-P1690*J1690*R1690)-(-P1690*K1690*S1690),0))</f>
        <v>0</v>
      </c>
      <c r="X1690" s="919">
        <f>-(IF(-P1690*J1690*R1690&gt;-P1690*K1690*S1690,(-P1690*J1690*R1690)-(-P1690*K1690*S1690),0))</f>
        <v>0</v>
      </c>
      <c r="Y1690" s="1018"/>
      <c r="Z1690" s="220"/>
      <c r="AA1690" s="15"/>
      <c r="AB1690" s="15"/>
      <c r="AC1690" s="15"/>
      <c r="AD1690" s="15"/>
      <c r="AE1690" s="15"/>
    </row>
    <row r="1691" spans="1:31" s="401" customFormat="1" outlineLevel="1">
      <c r="A1691" s="1011">
        <v>2401011000</v>
      </c>
      <c r="B1691" s="2382" t="s">
        <v>1497</v>
      </c>
      <c r="C1691" s="2383" t="s">
        <v>1498</v>
      </c>
      <c r="D1691" s="2383">
        <v>100012153</v>
      </c>
      <c r="E1691" s="1014">
        <v>44993</v>
      </c>
      <c r="F1691" s="1015"/>
      <c r="G1691" s="1293"/>
      <c r="H1691" s="346"/>
      <c r="I1691" s="1016"/>
      <c r="J1691" s="1457">
        <v>1</v>
      </c>
      <c r="K1691" s="1458">
        <v>1</v>
      </c>
      <c r="L1691" s="1036"/>
      <c r="M1691" s="1325">
        <f t="shared" ref="M1691:M1693" si="3394">+L1691*J1691</f>
        <v>0</v>
      </c>
      <c r="N1691" s="348">
        <f ca="1">IF(OR(E1691="",E1691&gt;TODAY()),0,IF(ISERROR(VLOOKUP($E1691,'TRM BanRep'!$A:$G,7,0)),0,VLOOKUP($E1691,'TRM BanRep'!$A:$G,7,0)))</f>
        <v>4744.95</v>
      </c>
      <c r="O1691" s="897">
        <f t="shared" ref="O1691:O1693" ca="1" si="3395">+L1691*J1691*N1691</f>
        <v>0</v>
      </c>
      <c r="P1691" s="1017">
        <f>-L1690</f>
        <v>-4560.08</v>
      </c>
      <c r="Q1691" s="1362">
        <f t="shared" ref="Q1691:Q1693" si="3396">+P1691*K1691</f>
        <v>-4560.08</v>
      </c>
      <c r="R1691" s="349">
        <f ca="1">+N1690</f>
        <v>4849.6499999999996</v>
      </c>
      <c r="S1691" s="349">
        <f ca="1">IF(OR(E1691="",E1691&gt;TODAY()),0,IF(ISERROR(VLOOKUP($E1691,'TRM BanRep'!$A:$G,7,0)),0,VLOOKUP($E1691,'TRM BanRep'!$A:$G,7,0)))</f>
        <v>4744.95</v>
      </c>
      <c r="T1691" s="895">
        <f t="shared" ref="T1691:T1693" ca="1" si="3397">+P1691*K1691*S1691</f>
        <v>-21637351.595999997</v>
      </c>
      <c r="U1691" s="350">
        <f t="shared" ref="U1691:U1693" si="3398">+L1691+P1691+F1691</f>
        <v>-4560.08</v>
      </c>
      <c r="V1691" s="918">
        <f t="shared" ref="V1691:V1693" ca="1" si="3399">+P1691*J1691*R1691+L1691*J1691*N1691+F1691*J1691*H1691</f>
        <v>-22114791.971999999</v>
      </c>
      <c r="W1691" s="351">
        <f t="shared" ref="W1691:W1693" ca="1" si="3400">-(IF(-P1691*J1691*R1691&lt;-P1691*K1691*S1691,(-P1691*J1691*R1691)-(-P1691*K1691*S1691),0))</f>
        <v>0</v>
      </c>
      <c r="X1691" s="919">
        <f t="shared" ref="X1691:X1693" ca="1" si="3401">-(IF(-P1691*J1691*R1691&gt;-P1691*K1691*S1691,(-P1691*J1691*R1691)-(-P1691*K1691*S1691),0))</f>
        <v>-477440.37600000203</v>
      </c>
      <c r="Y1691" s="1018"/>
      <c r="Z1691" s="220"/>
      <c r="AA1691" s="15"/>
      <c r="AB1691" s="15"/>
      <c r="AC1691" s="15"/>
      <c r="AD1691" s="15"/>
      <c r="AE1691" s="15"/>
    </row>
    <row r="1692" spans="1:31" s="401" customFormat="1" outlineLevel="1">
      <c r="A1692" s="1011">
        <v>2401011000</v>
      </c>
      <c r="B1692" s="1012" t="s">
        <v>2392</v>
      </c>
      <c r="C1692" s="1013" t="s">
        <v>64</v>
      </c>
      <c r="D1692" s="1013">
        <v>5100001649</v>
      </c>
      <c r="E1692" s="1014">
        <v>44988</v>
      </c>
      <c r="F1692" s="1015"/>
      <c r="G1692" s="1293"/>
      <c r="H1692" s="346"/>
      <c r="I1692" s="1016"/>
      <c r="J1692" s="1457">
        <v>1</v>
      </c>
      <c r="K1692" s="1458">
        <v>1</v>
      </c>
      <c r="L1692" s="1036">
        <v>6655.96</v>
      </c>
      <c r="M1692" s="1325">
        <f t="shared" si="3394"/>
        <v>6655.96</v>
      </c>
      <c r="N1692" s="348">
        <f ca="1">IF(OR(E1692="",E1692&gt;TODAY()),0,IF(ISERROR(VLOOKUP($E1692,'TRM BanRep'!$A:$G,7,0)),0,VLOOKUP($E1692,'TRM BanRep'!$A:$G,7,0)))</f>
        <v>4855.83</v>
      </c>
      <c r="O1692" s="897">
        <f t="shared" ca="1" si="3395"/>
        <v>32320210.246799998</v>
      </c>
      <c r="P1692" s="1017"/>
      <c r="Q1692" s="1362">
        <f t="shared" si="3396"/>
        <v>0</v>
      </c>
      <c r="R1692" s="349"/>
      <c r="S1692" s="349"/>
      <c r="T1692" s="895">
        <f t="shared" si="3397"/>
        <v>0</v>
      </c>
      <c r="U1692" s="350">
        <f t="shared" si="3398"/>
        <v>6655.96</v>
      </c>
      <c r="V1692" s="918">
        <f t="shared" ca="1" si="3399"/>
        <v>32320210.246799998</v>
      </c>
      <c r="W1692" s="351">
        <f t="shared" si="3400"/>
        <v>0</v>
      </c>
      <c r="X1692" s="919">
        <f t="shared" si="3401"/>
        <v>0</v>
      </c>
      <c r="Y1692" s="1018"/>
      <c r="Z1692" s="220"/>
      <c r="AA1692" s="15"/>
      <c r="AB1692" s="15"/>
      <c r="AC1692" s="15"/>
      <c r="AD1692" s="15"/>
      <c r="AE1692" s="15"/>
    </row>
    <row r="1693" spans="1:31" s="401" customFormat="1" outlineLevel="1">
      <c r="A1693" s="1011">
        <v>2401011000</v>
      </c>
      <c r="B1693" s="1012" t="s">
        <v>1366</v>
      </c>
      <c r="C1693" s="1013" t="s">
        <v>64</v>
      </c>
      <c r="D1693" s="1013">
        <v>2000002861</v>
      </c>
      <c r="E1693" s="1014">
        <v>45019</v>
      </c>
      <c r="F1693" s="1015"/>
      <c r="G1693" s="1293"/>
      <c r="H1693" s="346"/>
      <c r="I1693" s="1016"/>
      <c r="J1693" s="1457">
        <v>1</v>
      </c>
      <c r="K1693" s="1458">
        <v>1</v>
      </c>
      <c r="L1693" s="1036"/>
      <c r="M1693" s="1325">
        <f t="shared" si="3394"/>
        <v>0</v>
      </c>
      <c r="N1693" s="348">
        <f ca="1">IF(OR(E1693="",E1693&gt;TODAY()),0,IF(ISERROR(VLOOKUP($E1693,'TRM BanRep'!$A:$G,7,0)),0,VLOOKUP($E1693,'TRM BanRep'!$A:$G,7,0)))</f>
        <v>4646.08</v>
      </c>
      <c r="O1693" s="897">
        <f t="shared" ca="1" si="3395"/>
        <v>0</v>
      </c>
      <c r="P1693" s="1017">
        <f>-L1692</f>
        <v>-6655.96</v>
      </c>
      <c r="Q1693" s="1362">
        <f t="shared" si="3396"/>
        <v>-6655.96</v>
      </c>
      <c r="R1693" s="349">
        <f ca="1">+N1692</f>
        <v>4855.83</v>
      </c>
      <c r="S1693" s="349">
        <f ca="1">IF(OR(E1693="",E1693&gt;TODAY()),0,IF(ISERROR(VLOOKUP($E1693,'TRM BanRep'!$A:$G,7,0)),0,VLOOKUP($E1693,'TRM BanRep'!$A:$G,7,0)))</f>
        <v>4646.08</v>
      </c>
      <c r="T1693" s="895">
        <f t="shared" ca="1" si="3397"/>
        <v>-30924122.636799999</v>
      </c>
      <c r="U1693" s="350">
        <f t="shared" si="3398"/>
        <v>-6655.96</v>
      </c>
      <c r="V1693" s="918">
        <f t="shared" ca="1" si="3399"/>
        <v>-32320210.246799998</v>
      </c>
      <c r="W1693" s="351">
        <f t="shared" ca="1" si="3400"/>
        <v>0</v>
      </c>
      <c r="X1693" s="919">
        <f t="shared" ca="1" si="3401"/>
        <v>-1396087.6099999994</v>
      </c>
      <c r="Y1693" s="1018"/>
      <c r="Z1693" s="220"/>
      <c r="AA1693" s="15"/>
      <c r="AB1693" s="15"/>
      <c r="AC1693" s="15"/>
      <c r="AD1693" s="15"/>
      <c r="AE1693" s="15"/>
    </row>
    <row r="1694" spans="1:31" s="401" customFormat="1" outlineLevel="1">
      <c r="A1694" s="1011">
        <v>2401011000</v>
      </c>
      <c r="B1694" s="1012" t="s">
        <v>2393</v>
      </c>
      <c r="C1694" s="1013" t="s">
        <v>64</v>
      </c>
      <c r="D1694" s="1013">
        <v>5100001651</v>
      </c>
      <c r="E1694" s="1014">
        <v>44988</v>
      </c>
      <c r="F1694" s="1015"/>
      <c r="G1694" s="1293"/>
      <c r="H1694" s="346"/>
      <c r="I1694" s="1016"/>
      <c r="J1694" s="1457">
        <v>1</v>
      </c>
      <c r="K1694" s="1458">
        <v>1</v>
      </c>
      <c r="L1694" s="1036">
        <v>2478.7399999999998</v>
      </c>
      <c r="M1694" s="1325">
        <f>+L1694*J1694</f>
        <v>2478.7399999999998</v>
      </c>
      <c r="N1694" s="348">
        <f ca="1">IF(OR(E1694="",E1694&gt;TODAY()),0,IF(ISERROR(VLOOKUP($E1694,'TRM BanRep'!$A:$G,7,0)),0,VLOOKUP($E1694,'TRM BanRep'!$A:$G,7,0)))</f>
        <v>4855.83</v>
      </c>
      <c r="O1694" s="897">
        <f ca="1">+L1694*J1694*N1694</f>
        <v>12036340.054199999</v>
      </c>
      <c r="P1694" s="1017"/>
      <c r="Q1694" s="1362">
        <f>+P1694*K1694</f>
        <v>0</v>
      </c>
      <c r="R1694" s="349"/>
      <c r="S1694" s="349"/>
      <c r="T1694" s="895">
        <f>+P1694*K1694*S1694</f>
        <v>0</v>
      </c>
      <c r="U1694" s="350">
        <f>+L1694+P1694+F1694</f>
        <v>2478.7399999999998</v>
      </c>
      <c r="V1694" s="918">
        <f ca="1">+P1694*J1694*R1694+L1694*J1694*N1694+F1694*J1694*H1694</f>
        <v>12036340.054199999</v>
      </c>
      <c r="W1694" s="351">
        <f>-(IF(-P1694*J1694*R1694&lt;-P1694*K1694*S1694,(-P1694*J1694*R1694)-(-P1694*K1694*S1694),0))</f>
        <v>0</v>
      </c>
      <c r="X1694" s="919">
        <f>-(IF(-P1694*J1694*R1694&gt;-P1694*K1694*S1694,(-P1694*J1694*R1694)-(-P1694*K1694*S1694),0))</f>
        <v>0</v>
      </c>
      <c r="Y1694" s="1018"/>
      <c r="Z1694" s="220"/>
      <c r="AA1694" s="15"/>
      <c r="AB1694" s="15"/>
      <c r="AC1694" s="15"/>
      <c r="AD1694" s="15"/>
      <c r="AE1694" s="15"/>
    </row>
    <row r="1695" spans="1:31" s="401" customFormat="1" outlineLevel="1">
      <c r="A1695" s="1011">
        <v>2401011000</v>
      </c>
      <c r="B1695" s="1012" t="s">
        <v>1366</v>
      </c>
      <c r="C1695" s="1013" t="s">
        <v>64</v>
      </c>
      <c r="D1695" s="1013">
        <v>2000002892</v>
      </c>
      <c r="E1695" s="1014">
        <v>45019</v>
      </c>
      <c r="F1695" s="1015"/>
      <c r="G1695" s="1293"/>
      <c r="H1695" s="346"/>
      <c r="I1695" s="1016"/>
      <c r="J1695" s="1457">
        <v>1</v>
      </c>
      <c r="K1695" s="1458">
        <v>1</v>
      </c>
      <c r="L1695" s="1036"/>
      <c r="M1695" s="1325">
        <f t="shared" ref="M1695" si="3402">+L1695*J1695</f>
        <v>0</v>
      </c>
      <c r="N1695" s="348">
        <f ca="1">IF(OR(E1695="",E1695&gt;TODAY()),0,IF(ISERROR(VLOOKUP($E1695,'TRM BanRep'!$A:$G,7,0)),0,VLOOKUP($E1695,'TRM BanRep'!$A:$G,7,0)))</f>
        <v>4646.08</v>
      </c>
      <c r="O1695" s="897">
        <f t="shared" ref="O1695" ca="1" si="3403">+L1695*J1695*N1695</f>
        <v>0</v>
      </c>
      <c r="P1695" s="1017">
        <f>-L1694</f>
        <v>-2478.7399999999998</v>
      </c>
      <c r="Q1695" s="1362">
        <f t="shared" ref="Q1695" si="3404">+P1695*K1695</f>
        <v>-2478.7399999999998</v>
      </c>
      <c r="R1695" s="349">
        <f ca="1">+N1694</f>
        <v>4855.83</v>
      </c>
      <c r="S1695" s="349">
        <f ca="1">IF(OR(E1695="",E1695&gt;TODAY()),0,IF(ISERROR(VLOOKUP($E1695,'TRM BanRep'!$A:$G,7,0)),0,VLOOKUP($E1695,'TRM BanRep'!$A:$G,7,0)))</f>
        <v>4646.08</v>
      </c>
      <c r="T1695" s="895">
        <f t="shared" ref="T1695" ca="1" si="3405">+P1695*K1695*S1695</f>
        <v>-11516424.339199999</v>
      </c>
      <c r="U1695" s="350">
        <f t="shared" ref="U1695" si="3406">+L1695+P1695+F1695</f>
        <v>-2478.7399999999998</v>
      </c>
      <c r="V1695" s="918">
        <f t="shared" ref="V1695" ca="1" si="3407">+P1695*J1695*R1695+L1695*J1695*N1695+F1695*J1695*H1695</f>
        <v>-12036340.054199999</v>
      </c>
      <c r="W1695" s="351">
        <f t="shared" ref="W1695" ca="1" si="3408">-(IF(-P1695*J1695*R1695&lt;-P1695*K1695*S1695,(-P1695*J1695*R1695)-(-P1695*K1695*S1695),0))</f>
        <v>0</v>
      </c>
      <c r="X1695" s="919">
        <f t="shared" ref="X1695" ca="1" si="3409">-(IF(-P1695*J1695*R1695&gt;-P1695*K1695*S1695,(-P1695*J1695*R1695)-(-P1695*K1695*S1695),0))</f>
        <v>-519915.71499999985</v>
      </c>
      <c r="Y1695" s="1018"/>
      <c r="Z1695" s="220"/>
      <c r="AA1695" s="15"/>
      <c r="AB1695" s="15"/>
      <c r="AC1695" s="15"/>
      <c r="AD1695" s="15"/>
      <c r="AE1695" s="15"/>
    </row>
    <row r="1696" spans="1:31" s="401" customFormat="1" outlineLevel="1">
      <c r="A1696" s="1011">
        <v>2401011000</v>
      </c>
      <c r="B1696" s="1012" t="s">
        <v>2397</v>
      </c>
      <c r="C1696" s="1013" t="s">
        <v>64</v>
      </c>
      <c r="D1696" s="1013">
        <v>5100002102</v>
      </c>
      <c r="E1696" s="1014">
        <v>45002</v>
      </c>
      <c r="F1696" s="1015"/>
      <c r="G1696" s="1293"/>
      <c r="H1696" s="346"/>
      <c r="I1696" s="1016"/>
      <c r="J1696" s="1457">
        <v>1</v>
      </c>
      <c r="K1696" s="1458">
        <v>1</v>
      </c>
      <c r="L1696" s="1036">
        <v>2439.15</v>
      </c>
      <c r="M1696" s="1325">
        <f>+L1696*J1696</f>
        <v>2439.15</v>
      </c>
      <c r="N1696" s="348">
        <f ca="1">IF(OR(E1696="",E1696&gt;TODAY()),0,IF(ISERROR(VLOOKUP($E1696,'TRM BanRep'!$A:$G,7,0)),0,VLOOKUP($E1696,'TRM BanRep'!$A:$G,7,0)))</f>
        <v>4866.5</v>
      </c>
      <c r="O1696" s="897">
        <f ca="1">+L1696*J1696*N1696</f>
        <v>11870123.475</v>
      </c>
      <c r="P1696" s="1017"/>
      <c r="Q1696" s="1362">
        <f>+P1696*K1696</f>
        <v>0</v>
      </c>
      <c r="R1696" s="349"/>
      <c r="S1696" s="349"/>
      <c r="T1696" s="895">
        <f>+P1696*K1696*S1696</f>
        <v>0</v>
      </c>
      <c r="U1696" s="350">
        <f>+L1696+P1696+F1696</f>
        <v>2439.15</v>
      </c>
      <c r="V1696" s="918">
        <f ca="1">+P1696*J1696*R1696+L1696*J1696*N1696+F1696*J1696*H1696</f>
        <v>11870123.475</v>
      </c>
      <c r="W1696" s="351">
        <f>-(IF(-P1696*J1696*R1696&lt;-P1696*K1696*S1696,(-P1696*J1696*R1696)-(-P1696*K1696*S1696),0))</f>
        <v>0</v>
      </c>
      <c r="X1696" s="919">
        <f>-(IF(-P1696*J1696*R1696&gt;-P1696*K1696*S1696,(-P1696*J1696*R1696)-(-P1696*K1696*S1696),0))</f>
        <v>0</v>
      </c>
      <c r="Y1696" s="1018"/>
      <c r="Z1696" s="220"/>
      <c r="AA1696" s="15"/>
      <c r="AB1696" s="15"/>
      <c r="AC1696" s="15"/>
      <c r="AD1696" s="15"/>
      <c r="AE1696" s="15"/>
    </row>
    <row r="1697" spans="1:31" s="401" customFormat="1" outlineLevel="1">
      <c r="A1697" s="1011">
        <v>2401011000</v>
      </c>
      <c r="B1697" s="1012" t="s">
        <v>1366</v>
      </c>
      <c r="C1697" s="1013" t="s">
        <v>64</v>
      </c>
      <c r="D1697" s="1013">
        <v>2000002893</v>
      </c>
      <c r="E1697" s="1014">
        <v>45019</v>
      </c>
      <c r="F1697" s="1015"/>
      <c r="G1697" s="1293"/>
      <c r="H1697" s="346"/>
      <c r="I1697" s="1016"/>
      <c r="J1697" s="1457">
        <v>1</v>
      </c>
      <c r="K1697" s="1458">
        <v>1</v>
      </c>
      <c r="L1697" s="1036"/>
      <c r="M1697" s="1325">
        <f t="shared" ref="M1697" si="3410">+L1697*J1697</f>
        <v>0</v>
      </c>
      <c r="N1697" s="348">
        <f ca="1">IF(OR(E1697="",E1697&gt;TODAY()),0,IF(ISERROR(VLOOKUP($E1697,'TRM BanRep'!$A:$G,7,0)),0,VLOOKUP($E1697,'TRM BanRep'!$A:$G,7,0)))</f>
        <v>4646.08</v>
      </c>
      <c r="O1697" s="897">
        <f t="shared" ref="O1697" ca="1" si="3411">+L1697*J1697*N1697</f>
        <v>0</v>
      </c>
      <c r="P1697" s="1017">
        <f>-L1696</f>
        <v>-2439.15</v>
      </c>
      <c r="Q1697" s="1362">
        <f t="shared" ref="Q1697" si="3412">+P1697*K1697</f>
        <v>-2439.15</v>
      </c>
      <c r="R1697" s="349">
        <f ca="1">+N1696</f>
        <v>4866.5</v>
      </c>
      <c r="S1697" s="349">
        <f ca="1">IF(OR(E1697="",E1697&gt;TODAY()),0,IF(ISERROR(VLOOKUP($E1697,'TRM BanRep'!$A:$G,7,0)),0,VLOOKUP($E1697,'TRM BanRep'!$A:$G,7,0)))</f>
        <v>4646.08</v>
      </c>
      <c r="T1697" s="895">
        <f t="shared" ref="T1697" ca="1" si="3413">+P1697*K1697*S1697</f>
        <v>-11332486.032</v>
      </c>
      <c r="U1697" s="350">
        <f t="shared" ref="U1697" si="3414">+L1697+P1697+F1697</f>
        <v>-2439.15</v>
      </c>
      <c r="V1697" s="918">
        <f t="shared" ref="V1697" ca="1" si="3415">+P1697*J1697*R1697+L1697*J1697*N1697+F1697*J1697*H1697</f>
        <v>-11870123.475</v>
      </c>
      <c r="W1697" s="351">
        <f t="shared" ref="W1697" ca="1" si="3416">-(IF(-P1697*J1697*R1697&lt;-P1697*K1697*S1697,(-P1697*J1697*R1697)-(-P1697*K1697*S1697),0))</f>
        <v>0</v>
      </c>
      <c r="X1697" s="919">
        <f t="shared" ref="X1697" ca="1" si="3417">-(IF(-P1697*J1697*R1697&gt;-P1697*K1697*S1697,(-P1697*J1697*R1697)-(-P1697*K1697*S1697),0))</f>
        <v>-537637.44299999997</v>
      </c>
      <c r="Y1697" s="1018"/>
      <c r="Z1697" s="220"/>
      <c r="AA1697" s="15"/>
      <c r="AB1697" s="15"/>
      <c r="AC1697" s="15"/>
      <c r="AD1697" s="15"/>
      <c r="AE1697" s="15"/>
    </row>
    <row r="1698" spans="1:31" s="401" customFormat="1" outlineLevel="1">
      <c r="A1698" s="1011">
        <v>2401011000</v>
      </c>
      <c r="B1698" s="1012" t="s">
        <v>2402</v>
      </c>
      <c r="C1698" s="1013" t="s">
        <v>64</v>
      </c>
      <c r="D1698" s="1013">
        <v>5100002293</v>
      </c>
      <c r="E1698" s="1014">
        <v>44992</v>
      </c>
      <c r="F1698" s="1015"/>
      <c r="G1698" s="1293"/>
      <c r="H1698" s="346"/>
      <c r="I1698" s="1016"/>
      <c r="J1698" s="1457">
        <v>1</v>
      </c>
      <c r="K1698" s="1458">
        <v>1</v>
      </c>
      <c r="L1698" s="1036">
        <v>671.9</v>
      </c>
      <c r="M1698" s="1325">
        <f t="shared" ref="M1698:M1700" si="3418">+L1698*J1698</f>
        <v>671.9</v>
      </c>
      <c r="N1698" s="348">
        <f ca="1">IF(OR(E1698="",E1698&gt;TODAY()),0,IF(ISERROR(VLOOKUP($E1698,'TRM BanRep'!$A:$G,7,0)),0,VLOOKUP($E1698,'TRM BanRep'!$A:$G,7,0)))</f>
        <v>4734.42</v>
      </c>
      <c r="O1698" s="897">
        <f t="shared" ref="O1698:O1700" ca="1" si="3419">+L1698*J1698*N1698</f>
        <v>3181056.798</v>
      </c>
      <c r="P1698" s="1017"/>
      <c r="Q1698" s="1362">
        <f t="shared" ref="Q1698:Q1700" si="3420">+P1698*K1698</f>
        <v>0</v>
      </c>
      <c r="R1698" s="349"/>
      <c r="S1698" s="349"/>
      <c r="T1698" s="895">
        <f t="shared" ref="T1698:T1700" si="3421">+P1698*K1698*S1698</f>
        <v>0</v>
      </c>
      <c r="U1698" s="350">
        <f t="shared" ref="U1698:U1700" si="3422">+L1698+P1698+F1698</f>
        <v>671.9</v>
      </c>
      <c r="V1698" s="918">
        <f t="shared" ref="V1698:V1700" ca="1" si="3423">+P1698*J1698*R1698+L1698*J1698*N1698+F1698*J1698*H1698</f>
        <v>3181056.798</v>
      </c>
      <c r="W1698" s="351">
        <f t="shared" ref="W1698:W1700" si="3424">-(IF(-P1698*J1698*R1698&lt;-P1698*K1698*S1698,(-P1698*J1698*R1698)-(-P1698*K1698*S1698),0))</f>
        <v>0</v>
      </c>
      <c r="X1698" s="919">
        <f t="shared" ref="X1698:X1700" si="3425">-(IF(-P1698*J1698*R1698&gt;-P1698*K1698*S1698,(-P1698*J1698*R1698)-(-P1698*K1698*S1698),0))</f>
        <v>0</v>
      </c>
      <c r="Y1698" s="1018"/>
      <c r="Z1698" s="220"/>
      <c r="AA1698" s="15"/>
      <c r="AB1698" s="15"/>
      <c r="AC1698" s="15"/>
      <c r="AD1698" s="15"/>
      <c r="AE1698" s="15"/>
    </row>
    <row r="1699" spans="1:31" s="401" customFormat="1" outlineLevel="1">
      <c r="A1699" s="1011">
        <v>2401011000</v>
      </c>
      <c r="B1699" s="1012" t="s">
        <v>1366</v>
      </c>
      <c r="C1699" s="1013" t="s">
        <v>64</v>
      </c>
      <c r="D1699" s="1013">
        <v>2000002930</v>
      </c>
      <c r="E1699" s="1014">
        <v>45020</v>
      </c>
      <c r="F1699" s="1015"/>
      <c r="G1699" s="1293"/>
      <c r="H1699" s="346"/>
      <c r="I1699" s="1016"/>
      <c r="J1699" s="1457">
        <v>1</v>
      </c>
      <c r="K1699" s="1458">
        <v>1</v>
      </c>
      <c r="L1699" s="1036"/>
      <c r="M1699" s="1325">
        <f t="shared" si="3418"/>
        <v>0</v>
      </c>
      <c r="N1699" s="348">
        <f ca="1">IF(OR(E1699="",E1699&gt;TODAY()),0,IF(ISERROR(VLOOKUP($E1699,'TRM BanRep'!$A:$G,7,0)),0,VLOOKUP($E1699,'TRM BanRep'!$A:$G,7,0)))</f>
        <v>4603</v>
      </c>
      <c r="O1699" s="897">
        <f t="shared" ca="1" si="3419"/>
        <v>0</v>
      </c>
      <c r="P1699" s="1017">
        <f>-L1698</f>
        <v>-671.9</v>
      </c>
      <c r="Q1699" s="1362">
        <f t="shared" si="3420"/>
        <v>-671.9</v>
      </c>
      <c r="R1699" s="349">
        <f ca="1">+N1698</f>
        <v>4734.42</v>
      </c>
      <c r="S1699" s="349">
        <f ca="1">IF(OR(E1699="",E1699&gt;TODAY()),0,IF(ISERROR(VLOOKUP($E1699,'TRM BanRep'!$A:$G,7,0)),0,VLOOKUP($E1699,'TRM BanRep'!$A:$G,7,0)))</f>
        <v>4603</v>
      </c>
      <c r="T1699" s="895">
        <f t="shared" ca="1" si="3421"/>
        <v>-3092755.6999999997</v>
      </c>
      <c r="U1699" s="350">
        <f t="shared" si="3422"/>
        <v>-671.9</v>
      </c>
      <c r="V1699" s="918">
        <f t="shared" ca="1" si="3423"/>
        <v>-3181056.798</v>
      </c>
      <c r="W1699" s="351">
        <f t="shared" ca="1" si="3424"/>
        <v>0</v>
      </c>
      <c r="X1699" s="919">
        <f t="shared" ca="1" si="3425"/>
        <v>-88301.098000000231</v>
      </c>
      <c r="Y1699" s="1018"/>
      <c r="Z1699" s="220"/>
      <c r="AA1699" s="15"/>
      <c r="AB1699" s="15"/>
      <c r="AC1699" s="15"/>
      <c r="AD1699" s="15"/>
      <c r="AE1699" s="15"/>
    </row>
    <row r="1700" spans="1:31" s="401" customFormat="1" outlineLevel="1">
      <c r="A1700" s="1011">
        <v>2401011000</v>
      </c>
      <c r="B1700" s="1012" t="s">
        <v>2394</v>
      </c>
      <c r="C1700" s="1013" t="s">
        <v>64</v>
      </c>
      <c r="D1700" s="1013">
        <v>5100001747</v>
      </c>
      <c r="E1700" s="1014">
        <v>44991</v>
      </c>
      <c r="F1700" s="1015"/>
      <c r="G1700" s="1293"/>
      <c r="H1700" s="346"/>
      <c r="I1700" s="1016"/>
      <c r="J1700" s="1457">
        <v>1</v>
      </c>
      <c r="K1700" s="1458">
        <v>1</v>
      </c>
      <c r="L1700" s="1036">
        <v>16477.53</v>
      </c>
      <c r="M1700" s="1325">
        <f t="shared" si="3418"/>
        <v>16477.53</v>
      </c>
      <c r="N1700" s="348">
        <f ca="1">IF(OR(E1700="",E1700&gt;TODAY()),0,IF(ISERROR(VLOOKUP($E1700,'TRM BanRep'!$A:$G,7,0)),0,VLOOKUP($E1700,'TRM BanRep'!$A:$G,7,0)))</f>
        <v>4780.8900000000003</v>
      </c>
      <c r="O1700" s="897">
        <f t="shared" ca="1" si="3419"/>
        <v>78777258.401700005</v>
      </c>
      <c r="P1700" s="1017"/>
      <c r="Q1700" s="1362">
        <f t="shared" si="3420"/>
        <v>0</v>
      </c>
      <c r="R1700" s="349"/>
      <c r="S1700" s="349"/>
      <c r="T1700" s="895">
        <f t="shared" si="3421"/>
        <v>0</v>
      </c>
      <c r="U1700" s="350">
        <f t="shared" si="3422"/>
        <v>16477.53</v>
      </c>
      <c r="V1700" s="918">
        <f t="shared" ca="1" si="3423"/>
        <v>78777258.401700005</v>
      </c>
      <c r="W1700" s="351">
        <f t="shared" si="3424"/>
        <v>0</v>
      </c>
      <c r="X1700" s="919">
        <f t="shared" si="3425"/>
        <v>0</v>
      </c>
      <c r="Y1700" s="1018"/>
      <c r="Z1700" s="220"/>
      <c r="AA1700" s="15"/>
      <c r="AB1700" s="15"/>
      <c r="AC1700" s="15"/>
      <c r="AD1700" s="15"/>
      <c r="AE1700" s="15"/>
    </row>
    <row r="1701" spans="1:31" s="401" customFormat="1" outlineLevel="1">
      <c r="A1701" s="1011">
        <v>2401011000</v>
      </c>
      <c r="B1701" s="1012" t="s">
        <v>1366</v>
      </c>
      <c r="C1701" s="1013" t="s">
        <v>64</v>
      </c>
      <c r="D1701" s="1013">
        <v>2000002963</v>
      </c>
      <c r="E1701" s="1014">
        <v>45020</v>
      </c>
      <c r="F1701" s="1015"/>
      <c r="G1701" s="1293"/>
      <c r="H1701" s="346"/>
      <c r="I1701" s="1016"/>
      <c r="J1701" s="1457">
        <v>1</v>
      </c>
      <c r="K1701" s="1458">
        <v>1</v>
      </c>
      <c r="L1701" s="1036"/>
      <c r="M1701" s="1325">
        <f t="shared" ref="M1701" si="3426">+L1701*J1701</f>
        <v>0</v>
      </c>
      <c r="N1701" s="348">
        <f ca="1">IF(OR(E1701="",E1701&gt;TODAY()),0,IF(ISERROR(VLOOKUP($E1701,'TRM BanRep'!$A:$G,7,0)),0,VLOOKUP($E1701,'TRM BanRep'!$A:$G,7,0)))</f>
        <v>4603</v>
      </c>
      <c r="O1701" s="897">
        <f t="shared" ref="O1701" ca="1" si="3427">+L1701*J1701*N1701</f>
        <v>0</v>
      </c>
      <c r="P1701" s="1017">
        <f>-L1700</f>
        <v>-16477.53</v>
      </c>
      <c r="Q1701" s="1362">
        <f t="shared" ref="Q1701" si="3428">+P1701*K1701</f>
        <v>-16477.53</v>
      </c>
      <c r="R1701" s="349">
        <f ca="1">+N1700</f>
        <v>4780.8900000000003</v>
      </c>
      <c r="S1701" s="349">
        <f ca="1">IF(OR(E1701="",E1701&gt;TODAY()),0,IF(ISERROR(VLOOKUP($E1701,'TRM BanRep'!$A:$G,7,0)),0,VLOOKUP($E1701,'TRM BanRep'!$A:$G,7,0)))</f>
        <v>4603</v>
      </c>
      <c r="T1701" s="895">
        <f t="shared" ref="T1701" ca="1" si="3429">+P1701*K1701*S1701</f>
        <v>-75846070.589999989</v>
      </c>
      <c r="U1701" s="350">
        <f t="shared" ref="U1701" si="3430">+L1701+P1701+F1701</f>
        <v>-16477.53</v>
      </c>
      <c r="V1701" s="918">
        <f t="shared" ref="V1701" ca="1" si="3431">+P1701*J1701*R1701+L1701*J1701*N1701+F1701*J1701*H1701</f>
        <v>-78777258.401700005</v>
      </c>
      <c r="W1701" s="351">
        <f t="shared" ref="W1701" ca="1" si="3432">-(IF(-P1701*J1701*R1701&lt;-P1701*K1701*S1701,(-P1701*J1701*R1701)-(-P1701*K1701*S1701),0))</f>
        <v>0</v>
      </c>
      <c r="X1701" s="919">
        <f t="shared" ref="X1701" ca="1" si="3433">-(IF(-P1701*J1701*R1701&gt;-P1701*K1701*S1701,(-P1701*J1701*R1701)-(-P1701*K1701*S1701),0))</f>
        <v>-2931187.8117000163</v>
      </c>
      <c r="Y1701" s="1018"/>
      <c r="Z1701" s="220"/>
      <c r="AA1701" s="15"/>
      <c r="AB1701" s="15"/>
      <c r="AC1701" s="15"/>
      <c r="AD1701" s="15"/>
      <c r="AE1701" s="15"/>
    </row>
    <row r="1702" spans="1:31" s="401" customFormat="1" outlineLevel="1">
      <c r="A1702" s="1011">
        <v>2401011000</v>
      </c>
      <c r="B1702" s="1012" t="s">
        <v>2399</v>
      </c>
      <c r="C1702" s="1013" t="s">
        <v>64</v>
      </c>
      <c r="D1702" s="1013">
        <v>5100002141</v>
      </c>
      <c r="E1702" s="1014">
        <v>45006</v>
      </c>
      <c r="F1702" s="1015"/>
      <c r="G1702" s="1293"/>
      <c r="H1702" s="346"/>
      <c r="I1702" s="1016"/>
      <c r="J1702" s="1457">
        <v>1</v>
      </c>
      <c r="K1702" s="1458">
        <v>1</v>
      </c>
      <c r="L1702" s="1036">
        <v>1433.13</v>
      </c>
      <c r="M1702" s="1325">
        <f>+L1702*J1702</f>
        <v>1433.13</v>
      </c>
      <c r="N1702" s="348">
        <f ca="1">IF(OR(E1702="",E1702&gt;TODAY()),0,IF(ISERROR(VLOOKUP($E1702,'TRM BanRep'!$A:$G,7,0)),0,VLOOKUP($E1702,'TRM BanRep'!$A:$G,7,0)))</f>
        <v>4824.25</v>
      </c>
      <c r="O1702" s="897">
        <f ca="1">+L1702*J1702*N1702</f>
        <v>6913777.4025000008</v>
      </c>
      <c r="P1702" s="1017"/>
      <c r="Q1702" s="1362">
        <f>+P1702*K1702</f>
        <v>0</v>
      </c>
      <c r="R1702" s="349"/>
      <c r="S1702" s="349"/>
      <c r="T1702" s="895">
        <f>+P1702*K1702*S1702</f>
        <v>0</v>
      </c>
      <c r="U1702" s="350">
        <f>+L1702+P1702+F1702</f>
        <v>1433.13</v>
      </c>
      <c r="V1702" s="918">
        <f ca="1">+P1702*J1702*R1702+L1702*J1702*N1702+F1702*J1702*H1702</f>
        <v>6913777.4025000008</v>
      </c>
      <c r="W1702" s="351">
        <f>-(IF(-P1702*J1702*R1702&lt;-P1702*K1702*S1702,(-P1702*J1702*R1702)-(-P1702*K1702*S1702),0))</f>
        <v>0</v>
      </c>
      <c r="X1702" s="919">
        <f>-(IF(-P1702*J1702*R1702&gt;-P1702*K1702*S1702,(-P1702*J1702*R1702)-(-P1702*K1702*S1702),0))</f>
        <v>0</v>
      </c>
      <c r="Y1702" s="1018"/>
      <c r="Z1702" s="220"/>
      <c r="AA1702" s="15"/>
      <c r="AB1702" s="15"/>
      <c r="AC1702" s="15"/>
      <c r="AD1702" s="15"/>
      <c r="AE1702" s="15"/>
    </row>
    <row r="1703" spans="1:31" s="401" customFormat="1" outlineLevel="1">
      <c r="A1703" s="1011">
        <v>2401011000</v>
      </c>
      <c r="B1703" s="1012" t="s">
        <v>1366</v>
      </c>
      <c r="C1703" s="1013" t="s">
        <v>64</v>
      </c>
      <c r="D1703" s="1013">
        <v>2000002964</v>
      </c>
      <c r="E1703" s="1014">
        <v>45020</v>
      </c>
      <c r="F1703" s="1015"/>
      <c r="G1703" s="1293"/>
      <c r="H1703" s="346"/>
      <c r="I1703" s="1016"/>
      <c r="J1703" s="1457">
        <v>1</v>
      </c>
      <c r="K1703" s="1458">
        <v>1</v>
      </c>
      <c r="L1703" s="1036"/>
      <c r="M1703" s="1325">
        <f t="shared" ref="M1703" si="3434">+L1703*J1703</f>
        <v>0</v>
      </c>
      <c r="N1703" s="348">
        <f ca="1">IF(OR(E1703="",E1703&gt;TODAY()),0,IF(ISERROR(VLOOKUP($E1703,'TRM BanRep'!$A:$G,7,0)),0,VLOOKUP($E1703,'TRM BanRep'!$A:$G,7,0)))</f>
        <v>4603</v>
      </c>
      <c r="O1703" s="897">
        <f t="shared" ref="O1703" ca="1" si="3435">+L1703*J1703*N1703</f>
        <v>0</v>
      </c>
      <c r="P1703" s="1017">
        <f>-L1702</f>
        <v>-1433.13</v>
      </c>
      <c r="Q1703" s="1362">
        <f t="shared" ref="Q1703" si="3436">+P1703*K1703</f>
        <v>-1433.13</v>
      </c>
      <c r="R1703" s="349">
        <f ca="1">+N1702</f>
        <v>4824.25</v>
      </c>
      <c r="S1703" s="349">
        <f ca="1">IF(OR(E1703="",E1703&gt;TODAY()),0,IF(ISERROR(VLOOKUP($E1703,'TRM BanRep'!$A:$G,7,0)),0,VLOOKUP($E1703,'TRM BanRep'!$A:$G,7,0)))</f>
        <v>4603</v>
      </c>
      <c r="T1703" s="895">
        <f t="shared" ref="T1703" ca="1" si="3437">+P1703*K1703*S1703</f>
        <v>-6596697.3900000006</v>
      </c>
      <c r="U1703" s="350">
        <f t="shared" ref="U1703" si="3438">+L1703+P1703+F1703</f>
        <v>-1433.13</v>
      </c>
      <c r="V1703" s="918">
        <f t="shared" ref="V1703" ca="1" si="3439">+P1703*J1703*R1703+L1703*J1703*N1703+F1703*J1703*H1703</f>
        <v>-6913777.4025000008</v>
      </c>
      <c r="W1703" s="351">
        <f t="shared" ref="W1703" ca="1" si="3440">-(IF(-P1703*J1703*R1703&lt;-P1703*K1703*S1703,(-P1703*J1703*R1703)-(-P1703*K1703*S1703),0))</f>
        <v>0</v>
      </c>
      <c r="X1703" s="919">
        <f t="shared" ref="X1703" ca="1" si="3441">-(IF(-P1703*J1703*R1703&gt;-P1703*K1703*S1703,(-P1703*J1703*R1703)-(-P1703*K1703*S1703),0))</f>
        <v>-317080.01250000019</v>
      </c>
      <c r="Y1703" s="1018"/>
      <c r="Z1703" s="220"/>
      <c r="AA1703" s="15"/>
      <c r="AB1703" s="15"/>
      <c r="AC1703" s="15"/>
      <c r="AD1703" s="15"/>
      <c r="AE1703" s="15"/>
    </row>
    <row r="1704" spans="1:31" s="401" customFormat="1" outlineLevel="1">
      <c r="A1704" s="1011">
        <v>2401011000</v>
      </c>
      <c r="B1704" s="1012" t="s">
        <v>2404</v>
      </c>
      <c r="C1704" s="1013" t="s">
        <v>64</v>
      </c>
      <c r="D1704" s="1013">
        <v>5100002304</v>
      </c>
      <c r="E1704" s="1014">
        <v>45009</v>
      </c>
      <c r="F1704" s="1015"/>
      <c r="G1704" s="1293"/>
      <c r="H1704" s="346"/>
      <c r="I1704" s="1016"/>
      <c r="J1704" s="1457">
        <v>1</v>
      </c>
      <c r="K1704" s="1458">
        <v>1</v>
      </c>
      <c r="L1704" s="1036">
        <v>2050.73</v>
      </c>
      <c r="M1704" s="1325">
        <f t="shared" ref="M1704:M1705" si="3442">+L1704*J1704</f>
        <v>2050.73</v>
      </c>
      <c r="N1704" s="348">
        <f ca="1">IF(OR(E1704="",E1704&gt;TODAY()),0,IF(ISERROR(VLOOKUP($E1704,'TRM BanRep'!$A:$G,7,0)),0,VLOOKUP($E1704,'TRM BanRep'!$A:$G,7,0)))</f>
        <v>4755.12</v>
      </c>
      <c r="O1704" s="897">
        <f t="shared" ref="O1704:O1705" ca="1" si="3443">+L1704*J1704*N1704</f>
        <v>9751467.2376000006</v>
      </c>
      <c r="P1704" s="1017"/>
      <c r="Q1704" s="1362">
        <f t="shared" ref="Q1704:Q1705" si="3444">+P1704*K1704</f>
        <v>0</v>
      </c>
      <c r="R1704" s="349"/>
      <c r="S1704" s="349"/>
      <c r="T1704" s="895">
        <f t="shared" ref="T1704:T1705" si="3445">+P1704*K1704*S1704</f>
        <v>0</v>
      </c>
      <c r="U1704" s="350">
        <f t="shared" ref="U1704:U1705" si="3446">+L1704+P1704+F1704</f>
        <v>2050.73</v>
      </c>
      <c r="V1704" s="918">
        <f t="shared" ref="V1704:V1705" ca="1" si="3447">+P1704*J1704*R1704+L1704*J1704*N1704+F1704*J1704*H1704</f>
        <v>9751467.2376000006</v>
      </c>
      <c r="W1704" s="351">
        <f t="shared" ref="W1704:W1705" si="3448">-(IF(-P1704*J1704*R1704&lt;-P1704*K1704*S1704,(-P1704*J1704*R1704)-(-P1704*K1704*S1704),0))</f>
        <v>0</v>
      </c>
      <c r="X1704" s="919">
        <f t="shared" ref="X1704:X1705" si="3449">-(IF(-P1704*J1704*R1704&gt;-P1704*K1704*S1704,(-P1704*J1704*R1704)-(-P1704*K1704*S1704),0))</f>
        <v>0</v>
      </c>
      <c r="Y1704" s="1018"/>
      <c r="Z1704" s="220"/>
      <c r="AA1704" s="15"/>
      <c r="AB1704" s="15"/>
      <c r="AC1704" s="15"/>
      <c r="AD1704" s="15"/>
      <c r="AE1704" s="15"/>
    </row>
    <row r="1705" spans="1:31" s="401" customFormat="1" outlineLevel="1">
      <c r="A1705" s="1011">
        <v>2401011000</v>
      </c>
      <c r="B1705" s="1012" t="s">
        <v>1366</v>
      </c>
      <c r="C1705" s="1013" t="s">
        <v>64</v>
      </c>
      <c r="D1705" s="1013">
        <v>2000002977</v>
      </c>
      <c r="E1705" s="1014">
        <v>45026</v>
      </c>
      <c r="F1705" s="1015"/>
      <c r="G1705" s="1293"/>
      <c r="H1705" s="346"/>
      <c r="I1705" s="1016"/>
      <c r="J1705" s="1457">
        <v>1</v>
      </c>
      <c r="K1705" s="1458">
        <v>1</v>
      </c>
      <c r="L1705" s="1036"/>
      <c r="M1705" s="1325">
        <f t="shared" si="3442"/>
        <v>0</v>
      </c>
      <c r="N1705" s="348">
        <f ca="1">IF(OR(E1705="",E1705&gt;TODAY()),0,IF(ISERROR(VLOOKUP($E1705,'TRM BanRep'!$A:$G,7,0)),0,VLOOKUP($E1705,'TRM BanRep'!$A:$G,7,0)))</f>
        <v>4570.91</v>
      </c>
      <c r="O1705" s="897">
        <f t="shared" ca="1" si="3443"/>
        <v>0</v>
      </c>
      <c r="P1705" s="1017">
        <f>-L1704</f>
        <v>-2050.73</v>
      </c>
      <c r="Q1705" s="1362">
        <f t="shared" si="3444"/>
        <v>-2050.73</v>
      </c>
      <c r="R1705" s="349">
        <f ca="1">+N1704</f>
        <v>4755.12</v>
      </c>
      <c r="S1705" s="349">
        <f ca="1">IF(OR(E1705="",E1705&gt;TODAY()),0,IF(ISERROR(VLOOKUP($E1705,'TRM BanRep'!$A:$G,7,0)),0,VLOOKUP($E1705,'TRM BanRep'!$A:$G,7,0)))</f>
        <v>4570.91</v>
      </c>
      <c r="T1705" s="895">
        <f t="shared" ca="1" si="3445"/>
        <v>-9373702.2642999999</v>
      </c>
      <c r="U1705" s="350">
        <f t="shared" si="3446"/>
        <v>-2050.73</v>
      </c>
      <c r="V1705" s="918">
        <f t="shared" ca="1" si="3447"/>
        <v>-9751467.2376000006</v>
      </c>
      <c r="W1705" s="351">
        <f t="shared" ca="1" si="3448"/>
        <v>0</v>
      </c>
      <c r="X1705" s="919">
        <f t="shared" ca="1" si="3449"/>
        <v>-377764.97330000065</v>
      </c>
      <c r="Y1705" s="1018"/>
      <c r="Z1705" s="220"/>
      <c r="AA1705" s="15"/>
      <c r="AB1705" s="15"/>
      <c r="AC1705" s="15"/>
      <c r="AD1705" s="15"/>
      <c r="AE1705" s="15"/>
    </row>
    <row r="1706" spans="1:31" s="401" customFormat="1" outlineLevel="1">
      <c r="A1706" s="1011">
        <v>2401011000</v>
      </c>
      <c r="B1706" s="1012" t="s">
        <v>2401</v>
      </c>
      <c r="C1706" s="1013" t="s">
        <v>64</v>
      </c>
      <c r="D1706" s="1013">
        <v>5100002240</v>
      </c>
      <c r="E1706" s="1014">
        <v>45009</v>
      </c>
      <c r="F1706" s="1015"/>
      <c r="G1706" s="1293"/>
      <c r="H1706" s="346"/>
      <c r="I1706" s="1016"/>
      <c r="J1706" s="1457">
        <v>1</v>
      </c>
      <c r="K1706" s="1458">
        <v>1</v>
      </c>
      <c r="L1706" s="1036">
        <v>1092.94</v>
      </c>
      <c r="M1706" s="1325">
        <f>+L1706*J1706</f>
        <v>1092.94</v>
      </c>
      <c r="N1706" s="348">
        <f ca="1">IF(OR(E1706="",E1706&gt;TODAY()),0,IF(ISERROR(VLOOKUP($E1706,'TRM BanRep'!$A:$G,7,0)),0,VLOOKUP($E1706,'TRM BanRep'!$A:$G,7,0)))</f>
        <v>4755.12</v>
      </c>
      <c r="O1706" s="897">
        <f ca="1">+L1706*J1706*N1706</f>
        <v>5197060.8528000005</v>
      </c>
      <c r="P1706" s="1017"/>
      <c r="Q1706" s="1362">
        <f>+P1706*K1706</f>
        <v>0</v>
      </c>
      <c r="R1706" s="349"/>
      <c r="S1706" s="349"/>
      <c r="T1706" s="895">
        <f>+P1706*K1706*S1706</f>
        <v>0</v>
      </c>
      <c r="U1706" s="350">
        <f>+L1706+P1706+F1706</f>
        <v>1092.94</v>
      </c>
      <c r="V1706" s="918">
        <f ca="1">+P1706*J1706*R1706+L1706*J1706*N1706+F1706*J1706*H1706</f>
        <v>5197060.8528000005</v>
      </c>
      <c r="W1706" s="351">
        <f>-(IF(-P1706*J1706*R1706&lt;-P1706*K1706*S1706,(-P1706*J1706*R1706)-(-P1706*K1706*S1706),0))</f>
        <v>0</v>
      </c>
      <c r="X1706" s="919">
        <f>-(IF(-P1706*J1706*R1706&gt;-P1706*K1706*S1706,(-P1706*J1706*R1706)-(-P1706*K1706*S1706),0))</f>
        <v>0</v>
      </c>
      <c r="Y1706" s="1018"/>
      <c r="Z1706" s="220"/>
      <c r="AA1706" s="15"/>
      <c r="AB1706" s="15"/>
      <c r="AC1706" s="15"/>
      <c r="AD1706" s="15"/>
      <c r="AE1706" s="15"/>
    </row>
    <row r="1707" spans="1:31" s="401" customFormat="1" outlineLevel="1">
      <c r="A1707" s="1011">
        <v>2401011000</v>
      </c>
      <c r="B1707" s="1012" t="s">
        <v>1366</v>
      </c>
      <c r="C1707" s="1013" t="s">
        <v>64</v>
      </c>
      <c r="D1707" s="1013">
        <v>2000002988</v>
      </c>
      <c r="E1707" s="1014">
        <v>45026</v>
      </c>
      <c r="F1707" s="1015"/>
      <c r="G1707" s="1293"/>
      <c r="H1707" s="346"/>
      <c r="I1707" s="1016"/>
      <c r="J1707" s="1457">
        <v>1</v>
      </c>
      <c r="K1707" s="1458">
        <v>1</v>
      </c>
      <c r="L1707" s="1036"/>
      <c r="M1707" s="1325">
        <f t="shared" ref="M1707" si="3450">+L1707*J1707</f>
        <v>0</v>
      </c>
      <c r="N1707" s="348">
        <f ca="1">IF(OR(E1707="",E1707&gt;TODAY()),0,IF(ISERROR(VLOOKUP($E1707,'TRM BanRep'!$A:$G,7,0)),0,VLOOKUP($E1707,'TRM BanRep'!$A:$G,7,0)))</f>
        <v>4570.91</v>
      </c>
      <c r="O1707" s="897">
        <f t="shared" ref="O1707" ca="1" si="3451">+L1707*J1707*N1707</f>
        <v>0</v>
      </c>
      <c r="P1707" s="1017">
        <f>-L1706</f>
        <v>-1092.94</v>
      </c>
      <c r="Q1707" s="1362">
        <f t="shared" ref="Q1707" si="3452">+P1707*K1707</f>
        <v>-1092.94</v>
      </c>
      <c r="R1707" s="349">
        <f ca="1">+N1706</f>
        <v>4755.12</v>
      </c>
      <c r="S1707" s="349">
        <f ca="1">IF(OR(E1707="",E1707&gt;TODAY()),0,IF(ISERROR(VLOOKUP($E1707,'TRM BanRep'!$A:$G,7,0)),0,VLOOKUP($E1707,'TRM BanRep'!$A:$G,7,0)))</f>
        <v>4570.91</v>
      </c>
      <c r="T1707" s="895">
        <f t="shared" ref="T1707" ca="1" si="3453">+P1707*K1707*S1707</f>
        <v>-4995730.3754000003</v>
      </c>
      <c r="U1707" s="350">
        <f t="shared" ref="U1707" si="3454">+L1707+P1707+F1707</f>
        <v>-1092.94</v>
      </c>
      <c r="V1707" s="918">
        <f t="shared" ref="V1707" ca="1" si="3455">+P1707*J1707*R1707+L1707*J1707*N1707+F1707*J1707*H1707</f>
        <v>-5197060.8528000005</v>
      </c>
      <c r="W1707" s="351">
        <f t="shared" ref="W1707" ca="1" si="3456">-(IF(-P1707*J1707*R1707&lt;-P1707*K1707*S1707,(-P1707*J1707*R1707)-(-P1707*K1707*S1707),0))</f>
        <v>0</v>
      </c>
      <c r="X1707" s="919">
        <f t="shared" ref="X1707" ca="1" si="3457">-(IF(-P1707*J1707*R1707&gt;-P1707*K1707*S1707,(-P1707*J1707*R1707)-(-P1707*K1707*S1707),0))</f>
        <v>-201330.47740000021</v>
      </c>
      <c r="Y1707" s="1018"/>
      <c r="Z1707" s="220"/>
      <c r="AA1707" s="15"/>
      <c r="AB1707" s="15"/>
      <c r="AC1707" s="15"/>
      <c r="AD1707" s="15"/>
      <c r="AE1707" s="15"/>
    </row>
    <row r="1708" spans="1:31" s="401" customFormat="1" outlineLevel="1">
      <c r="A1708" s="1011">
        <v>2401011000</v>
      </c>
      <c r="B1708" s="1012" t="s">
        <v>2405</v>
      </c>
      <c r="C1708" s="1013" t="s">
        <v>64</v>
      </c>
      <c r="D1708" s="1013">
        <v>5100002330</v>
      </c>
      <c r="E1708" s="1014">
        <v>45012</v>
      </c>
      <c r="F1708" s="1015"/>
      <c r="G1708" s="1293"/>
      <c r="H1708" s="346"/>
      <c r="I1708" s="1016"/>
      <c r="J1708" s="1457">
        <v>1</v>
      </c>
      <c r="K1708" s="1458">
        <v>1</v>
      </c>
      <c r="L1708" s="1036">
        <v>1153.28</v>
      </c>
      <c r="M1708" s="1325">
        <f>+L1708*J1708</f>
        <v>1153.28</v>
      </c>
      <c r="N1708" s="348">
        <f ca="1">IF(OR(E1708="",E1708&gt;TODAY()),0,IF(ISERROR(VLOOKUP($E1708,'TRM BanRep'!$A:$G,7,0)),0,VLOOKUP($E1708,'TRM BanRep'!$A:$G,7,0)))</f>
        <v>4741.76</v>
      </c>
      <c r="O1708" s="897">
        <f ca="1">+L1708*J1708*N1708</f>
        <v>5468576.9728000006</v>
      </c>
      <c r="P1708" s="1017"/>
      <c r="Q1708" s="1362">
        <f>+P1708*K1708</f>
        <v>0</v>
      </c>
      <c r="R1708" s="349"/>
      <c r="S1708" s="349"/>
      <c r="T1708" s="895">
        <f>+P1708*K1708*S1708</f>
        <v>0</v>
      </c>
      <c r="U1708" s="350">
        <f>+L1708+P1708+F1708</f>
        <v>1153.28</v>
      </c>
      <c r="V1708" s="918">
        <f ca="1">+P1708*J1708*R1708+L1708*J1708*N1708+F1708*J1708*H1708</f>
        <v>5468576.9728000006</v>
      </c>
      <c r="W1708" s="351">
        <f>-(IF(-P1708*J1708*R1708&lt;-P1708*K1708*S1708,(-P1708*J1708*R1708)-(-P1708*K1708*S1708),0))</f>
        <v>0</v>
      </c>
      <c r="X1708" s="919">
        <f>-(IF(-P1708*J1708*R1708&gt;-P1708*K1708*S1708,(-P1708*J1708*R1708)-(-P1708*K1708*S1708),0))</f>
        <v>0</v>
      </c>
      <c r="Y1708" s="1018"/>
      <c r="Z1708" s="220"/>
      <c r="AA1708" s="15"/>
      <c r="AB1708" s="15"/>
      <c r="AC1708" s="15"/>
      <c r="AD1708" s="15"/>
      <c r="AE1708" s="15"/>
    </row>
    <row r="1709" spans="1:31" s="401" customFormat="1" outlineLevel="1">
      <c r="A1709" s="1011">
        <v>2401011000</v>
      </c>
      <c r="B1709" s="1012" t="s">
        <v>1366</v>
      </c>
      <c r="C1709" s="1013" t="s">
        <v>64</v>
      </c>
      <c r="D1709" s="1013">
        <v>2000003043</v>
      </c>
      <c r="E1709" s="1014">
        <v>45027</v>
      </c>
      <c r="F1709" s="1015"/>
      <c r="G1709" s="1293"/>
      <c r="H1709" s="346"/>
      <c r="I1709" s="1016"/>
      <c r="J1709" s="1457">
        <v>1</v>
      </c>
      <c r="K1709" s="1458">
        <v>1</v>
      </c>
      <c r="L1709" s="1036"/>
      <c r="M1709" s="1325">
        <f t="shared" ref="M1709" si="3458">+L1709*J1709</f>
        <v>0</v>
      </c>
      <c r="N1709" s="348">
        <f ca="1">IF(OR(E1709="",E1709&gt;TODAY()),0,IF(ISERROR(VLOOKUP($E1709,'TRM BanRep'!$A:$G,7,0)),0,VLOOKUP($E1709,'TRM BanRep'!$A:$G,7,0)))</f>
        <v>4564.24</v>
      </c>
      <c r="O1709" s="897">
        <f t="shared" ref="O1709" ca="1" si="3459">+L1709*J1709*N1709</f>
        <v>0</v>
      </c>
      <c r="P1709" s="1017">
        <f>-L1708</f>
        <v>-1153.28</v>
      </c>
      <c r="Q1709" s="1362">
        <f t="shared" ref="Q1709" si="3460">+P1709*K1709</f>
        <v>-1153.28</v>
      </c>
      <c r="R1709" s="349">
        <f ca="1">+N1708</f>
        <v>4741.76</v>
      </c>
      <c r="S1709" s="349">
        <f ca="1">IF(OR(E1709="",E1709&gt;TODAY()),0,IF(ISERROR(VLOOKUP($E1709,'TRM BanRep'!$A:$G,7,0)),0,VLOOKUP($E1709,'TRM BanRep'!$A:$G,7,0)))</f>
        <v>4564.24</v>
      </c>
      <c r="T1709" s="895">
        <f t="shared" ref="T1709" ca="1" si="3461">+P1709*K1709*S1709</f>
        <v>-5263846.7072000001</v>
      </c>
      <c r="U1709" s="350">
        <f t="shared" ref="U1709" si="3462">+L1709+P1709+F1709</f>
        <v>-1153.28</v>
      </c>
      <c r="V1709" s="918">
        <f t="shared" ref="V1709" ca="1" si="3463">+P1709*J1709*R1709+L1709*J1709*N1709+F1709*J1709*H1709</f>
        <v>-5468576.9728000006</v>
      </c>
      <c r="W1709" s="351">
        <f t="shared" ref="W1709" ca="1" si="3464">-(IF(-P1709*J1709*R1709&lt;-P1709*K1709*S1709,(-P1709*J1709*R1709)-(-P1709*K1709*S1709),0))</f>
        <v>0</v>
      </c>
      <c r="X1709" s="919">
        <f t="shared" ref="X1709" ca="1" si="3465">-(IF(-P1709*J1709*R1709&gt;-P1709*K1709*S1709,(-P1709*J1709*R1709)-(-P1709*K1709*S1709),0))</f>
        <v>-204730.26560000051</v>
      </c>
      <c r="Y1709" s="1018"/>
      <c r="Z1709" s="220"/>
      <c r="AA1709" s="15"/>
      <c r="AB1709" s="15"/>
      <c r="AC1709" s="15"/>
      <c r="AD1709" s="15"/>
      <c r="AE1709" s="15"/>
    </row>
    <row r="1710" spans="1:31" s="401" customFormat="1" outlineLevel="1">
      <c r="A1710" s="1011">
        <v>2401011000</v>
      </c>
      <c r="B1710" s="1012" t="s">
        <v>2395</v>
      </c>
      <c r="C1710" s="1013" t="s">
        <v>64</v>
      </c>
      <c r="D1710" s="1013">
        <v>5100001884</v>
      </c>
      <c r="E1710" s="1014">
        <v>44998</v>
      </c>
      <c r="F1710" s="1015"/>
      <c r="G1710" s="1293"/>
      <c r="H1710" s="346"/>
      <c r="I1710" s="1016"/>
      <c r="J1710" s="1457">
        <v>1</v>
      </c>
      <c r="K1710" s="1458">
        <v>1</v>
      </c>
      <c r="L1710" s="1036">
        <v>10156.76</v>
      </c>
      <c r="M1710" s="1325">
        <f>+L1710*J1710</f>
        <v>10156.76</v>
      </c>
      <c r="N1710" s="348">
        <f ca="1">IF(OR(E1710="",E1710&gt;TODAY()),0,IF(ISERROR(VLOOKUP($E1710,'TRM BanRep'!$A:$G,7,0)),0,VLOOKUP($E1710,'TRM BanRep'!$A:$G,7,0)))</f>
        <v>4748.1400000000003</v>
      </c>
      <c r="O1710" s="897">
        <f ca="1">+L1710*J1710*N1710</f>
        <v>48225718.426400006</v>
      </c>
      <c r="P1710" s="1017"/>
      <c r="Q1710" s="1362">
        <f>+P1710*K1710</f>
        <v>0</v>
      </c>
      <c r="R1710" s="349"/>
      <c r="S1710" s="349"/>
      <c r="T1710" s="895">
        <f>+P1710*K1710*S1710</f>
        <v>0</v>
      </c>
      <c r="U1710" s="350">
        <f>+L1710+P1710+F1710</f>
        <v>10156.76</v>
      </c>
      <c r="V1710" s="918">
        <f ca="1">+P1710*J1710*R1710+L1710*J1710*N1710+F1710*J1710*H1710</f>
        <v>48225718.426400006</v>
      </c>
      <c r="W1710" s="351">
        <f>-(IF(-P1710*J1710*R1710&lt;-P1710*K1710*S1710,(-P1710*J1710*R1710)-(-P1710*K1710*S1710),0))</f>
        <v>0</v>
      </c>
      <c r="X1710" s="919">
        <f>-(IF(-P1710*J1710*R1710&gt;-P1710*K1710*S1710,(-P1710*J1710*R1710)-(-P1710*K1710*S1710),0))</f>
        <v>0</v>
      </c>
      <c r="Y1710" s="1018"/>
      <c r="Z1710" s="220"/>
      <c r="AA1710" s="15"/>
      <c r="AB1710" s="15"/>
      <c r="AC1710" s="15"/>
      <c r="AD1710" s="15"/>
      <c r="AE1710" s="15"/>
    </row>
    <row r="1711" spans="1:31" s="401" customFormat="1" outlineLevel="1">
      <c r="A1711" s="1011">
        <v>2401011000</v>
      </c>
      <c r="B1711" s="1012" t="s">
        <v>1366</v>
      </c>
      <c r="C1711" s="1013" t="s">
        <v>64</v>
      </c>
      <c r="D1711" s="1013">
        <v>2000003085</v>
      </c>
      <c r="E1711" s="1014">
        <v>45028</v>
      </c>
      <c r="F1711" s="1015"/>
      <c r="G1711" s="1293"/>
      <c r="H1711" s="346"/>
      <c r="I1711" s="1016"/>
      <c r="J1711" s="1457">
        <v>1</v>
      </c>
      <c r="K1711" s="1458">
        <v>1</v>
      </c>
      <c r="L1711" s="1036"/>
      <c r="M1711" s="1325">
        <f t="shared" ref="M1711" si="3466">+L1711*J1711</f>
        <v>0</v>
      </c>
      <c r="N1711" s="348">
        <f ca="1">IF(OR(E1711="",E1711&gt;TODAY()),0,IF(ISERROR(VLOOKUP($E1711,'TRM BanRep'!$A:$G,7,0)),0,VLOOKUP($E1711,'TRM BanRep'!$A:$G,7,0)))</f>
        <v>4516.76</v>
      </c>
      <c r="O1711" s="897">
        <f t="shared" ref="O1711" ca="1" si="3467">+L1711*J1711*N1711</f>
        <v>0</v>
      </c>
      <c r="P1711" s="1017">
        <f>-L1710</f>
        <v>-10156.76</v>
      </c>
      <c r="Q1711" s="1362">
        <f t="shared" ref="Q1711" si="3468">+P1711*K1711</f>
        <v>-10156.76</v>
      </c>
      <c r="R1711" s="349">
        <f ca="1">+N1710</f>
        <v>4748.1400000000003</v>
      </c>
      <c r="S1711" s="349">
        <f ca="1">IF(OR(E1711="",E1711&gt;TODAY()),0,IF(ISERROR(VLOOKUP($E1711,'TRM BanRep'!$A:$G,7,0)),0,VLOOKUP($E1711,'TRM BanRep'!$A:$G,7,0)))</f>
        <v>4516.76</v>
      </c>
      <c r="T1711" s="895">
        <f t="shared" ref="T1711" ca="1" si="3469">+P1711*K1711*S1711</f>
        <v>-45875647.297600001</v>
      </c>
      <c r="U1711" s="350">
        <f t="shared" ref="U1711" si="3470">+L1711+P1711+F1711</f>
        <v>-10156.76</v>
      </c>
      <c r="V1711" s="918">
        <f t="shared" ref="V1711" ca="1" si="3471">+P1711*J1711*R1711+L1711*J1711*N1711+F1711*J1711*H1711</f>
        <v>-48225718.426400006</v>
      </c>
      <c r="W1711" s="351">
        <f t="shared" ref="W1711" ca="1" si="3472">-(IF(-P1711*J1711*R1711&lt;-P1711*K1711*S1711,(-P1711*J1711*R1711)-(-P1711*K1711*S1711),0))</f>
        <v>0</v>
      </c>
      <c r="X1711" s="919">
        <f t="shared" ref="X1711" ca="1" si="3473">-(IF(-P1711*J1711*R1711&gt;-P1711*K1711*S1711,(-P1711*J1711*R1711)-(-P1711*K1711*S1711),0))</f>
        <v>-2350071.1288000047</v>
      </c>
      <c r="Y1711" s="1018"/>
      <c r="Z1711" s="220"/>
      <c r="AA1711" s="15"/>
      <c r="AB1711" s="15"/>
      <c r="AC1711" s="15"/>
      <c r="AD1711" s="15"/>
      <c r="AE1711" s="15"/>
    </row>
    <row r="1712" spans="1:31" s="401" customFormat="1" outlineLevel="1">
      <c r="A1712" s="1011">
        <v>2401011000</v>
      </c>
      <c r="B1712" s="1012" t="s">
        <v>2406</v>
      </c>
      <c r="C1712" s="1013" t="s">
        <v>64</v>
      </c>
      <c r="D1712" s="1013">
        <v>5100002384</v>
      </c>
      <c r="E1712" s="1014">
        <v>45013</v>
      </c>
      <c r="F1712" s="1015"/>
      <c r="G1712" s="1293"/>
      <c r="H1712" s="346"/>
      <c r="I1712" s="1016"/>
      <c r="J1712" s="1457">
        <v>1</v>
      </c>
      <c r="K1712" s="1458">
        <v>1</v>
      </c>
      <c r="L1712" s="1036">
        <v>1053.54</v>
      </c>
      <c r="M1712" s="1325">
        <f t="shared" ref="M1712:M1714" si="3474">+L1712*J1712</f>
        <v>1053.54</v>
      </c>
      <c r="N1712" s="348">
        <f ca="1">IF(OR(E1712="",E1712&gt;TODAY()),0,IF(ISERROR(VLOOKUP($E1712,'TRM BanRep'!$A:$G,7,0)),0,VLOOKUP($E1712,'TRM BanRep'!$A:$G,7,0)))</f>
        <v>4686.83</v>
      </c>
      <c r="O1712" s="897">
        <f t="shared" ref="O1712:O1714" ca="1" si="3475">+L1712*J1712*N1712</f>
        <v>4937762.8782000002</v>
      </c>
      <c r="P1712" s="1017"/>
      <c r="Q1712" s="1362">
        <f t="shared" ref="Q1712:Q1714" si="3476">+P1712*K1712</f>
        <v>0</v>
      </c>
      <c r="R1712" s="349"/>
      <c r="S1712" s="349"/>
      <c r="T1712" s="895">
        <f t="shared" ref="T1712:T1714" si="3477">+P1712*K1712*S1712</f>
        <v>0</v>
      </c>
      <c r="U1712" s="350">
        <f t="shared" ref="U1712:U1714" si="3478">+L1712+P1712+F1712</f>
        <v>1053.54</v>
      </c>
      <c r="V1712" s="918">
        <f t="shared" ref="V1712:V1714" ca="1" si="3479">+P1712*J1712*R1712+L1712*J1712*N1712+F1712*J1712*H1712</f>
        <v>4937762.8782000002</v>
      </c>
      <c r="W1712" s="351">
        <f t="shared" ref="W1712:W1714" si="3480">-(IF(-P1712*J1712*R1712&lt;-P1712*K1712*S1712,(-P1712*J1712*R1712)-(-P1712*K1712*S1712),0))</f>
        <v>0</v>
      </c>
      <c r="X1712" s="919">
        <f t="shared" ref="X1712:X1714" si="3481">-(IF(-P1712*J1712*R1712&gt;-P1712*K1712*S1712,(-P1712*J1712*R1712)-(-P1712*K1712*S1712),0))</f>
        <v>0</v>
      </c>
      <c r="Y1712" s="1018"/>
      <c r="Z1712" s="220"/>
      <c r="AA1712" s="15"/>
      <c r="AB1712" s="15"/>
      <c r="AC1712" s="15"/>
      <c r="AD1712" s="15"/>
      <c r="AE1712" s="15"/>
    </row>
    <row r="1713" spans="1:31" s="401" customFormat="1" outlineLevel="1">
      <c r="A1713" s="1011">
        <v>2401011000</v>
      </c>
      <c r="B1713" s="1012" t="s">
        <v>1366</v>
      </c>
      <c r="C1713" s="1013" t="s">
        <v>64</v>
      </c>
      <c r="D1713" s="1013">
        <v>2000003086</v>
      </c>
      <c r="E1713" s="1014">
        <v>45028</v>
      </c>
      <c r="F1713" s="1015"/>
      <c r="G1713" s="1293"/>
      <c r="H1713" s="346"/>
      <c r="I1713" s="1016"/>
      <c r="J1713" s="1457">
        <v>1</v>
      </c>
      <c r="K1713" s="1458">
        <v>1</v>
      </c>
      <c r="L1713" s="1036"/>
      <c r="M1713" s="1325">
        <f t="shared" si="3474"/>
        <v>0</v>
      </c>
      <c r="N1713" s="348">
        <f ca="1">IF(OR(E1713="",E1713&gt;TODAY()),0,IF(ISERROR(VLOOKUP($E1713,'TRM BanRep'!$A:$G,7,0)),0,VLOOKUP($E1713,'TRM BanRep'!$A:$G,7,0)))</f>
        <v>4516.76</v>
      </c>
      <c r="O1713" s="897">
        <f t="shared" ca="1" si="3475"/>
        <v>0</v>
      </c>
      <c r="P1713" s="1017">
        <f>-L1712</f>
        <v>-1053.54</v>
      </c>
      <c r="Q1713" s="1362">
        <f t="shared" si="3476"/>
        <v>-1053.54</v>
      </c>
      <c r="R1713" s="349">
        <f ca="1">+N1712</f>
        <v>4686.83</v>
      </c>
      <c r="S1713" s="349">
        <f ca="1">IF(OR(E1713="",E1713&gt;TODAY()),0,IF(ISERROR(VLOOKUP($E1713,'TRM BanRep'!$A:$G,7,0)),0,VLOOKUP($E1713,'TRM BanRep'!$A:$G,7,0)))</f>
        <v>4516.76</v>
      </c>
      <c r="T1713" s="895">
        <f t="shared" ca="1" si="3477"/>
        <v>-4758587.3304000003</v>
      </c>
      <c r="U1713" s="350">
        <f t="shared" si="3478"/>
        <v>-1053.54</v>
      </c>
      <c r="V1713" s="918">
        <f t="shared" ca="1" si="3479"/>
        <v>-4937762.8782000002</v>
      </c>
      <c r="W1713" s="351">
        <f t="shared" ca="1" si="3480"/>
        <v>0</v>
      </c>
      <c r="X1713" s="919">
        <f t="shared" ca="1" si="3481"/>
        <v>-179175.54779999983</v>
      </c>
      <c r="Y1713" s="1018"/>
      <c r="Z1713" s="220"/>
      <c r="AA1713" s="15"/>
      <c r="AB1713" s="15"/>
      <c r="AC1713" s="15"/>
      <c r="AD1713" s="15"/>
      <c r="AE1713" s="15"/>
    </row>
    <row r="1714" spans="1:31" s="401" customFormat="1" outlineLevel="1">
      <c r="A1714" s="1011">
        <v>2401011000</v>
      </c>
      <c r="B1714" s="1012" t="s">
        <v>2396</v>
      </c>
      <c r="C1714" s="1013" t="s">
        <v>64</v>
      </c>
      <c r="D1714" s="1013">
        <v>5100001933</v>
      </c>
      <c r="E1714" s="1014">
        <v>44999</v>
      </c>
      <c r="F1714" s="1015"/>
      <c r="G1714" s="1293"/>
      <c r="H1714" s="346"/>
      <c r="I1714" s="1016"/>
      <c r="J1714" s="1457">
        <v>1</v>
      </c>
      <c r="K1714" s="1458">
        <v>1</v>
      </c>
      <c r="L1714" s="1036">
        <v>1562.14</v>
      </c>
      <c r="M1714" s="1325">
        <f t="shared" si="3474"/>
        <v>1562.14</v>
      </c>
      <c r="N1714" s="348">
        <f ca="1">IF(OR(E1714="",E1714&gt;TODAY()),0,IF(ISERROR(VLOOKUP($E1714,'TRM BanRep'!$A:$G,7,0)),0,VLOOKUP($E1714,'TRM BanRep'!$A:$G,7,0)))</f>
        <v>4769.76</v>
      </c>
      <c r="O1714" s="897">
        <f t="shared" ca="1" si="3475"/>
        <v>7451032.8864000011</v>
      </c>
      <c r="P1714" s="1017"/>
      <c r="Q1714" s="1362">
        <f t="shared" si="3476"/>
        <v>0</v>
      </c>
      <c r="R1714" s="349"/>
      <c r="S1714" s="349"/>
      <c r="T1714" s="895">
        <f t="shared" si="3477"/>
        <v>0</v>
      </c>
      <c r="U1714" s="350">
        <f t="shared" si="3478"/>
        <v>1562.14</v>
      </c>
      <c r="V1714" s="918">
        <f t="shared" ca="1" si="3479"/>
        <v>7451032.8864000011</v>
      </c>
      <c r="W1714" s="351">
        <f t="shared" si="3480"/>
        <v>0</v>
      </c>
      <c r="X1714" s="919">
        <f t="shared" si="3481"/>
        <v>0</v>
      </c>
      <c r="Y1714" s="1018"/>
      <c r="Z1714" s="220"/>
      <c r="AA1714" s="15"/>
      <c r="AB1714" s="15"/>
      <c r="AC1714" s="15"/>
      <c r="AD1714" s="15"/>
      <c r="AE1714" s="15"/>
    </row>
    <row r="1715" spans="1:31" s="401" customFormat="1" outlineLevel="1">
      <c r="A1715" s="1011">
        <v>2401011000</v>
      </c>
      <c r="B1715" s="1012" t="s">
        <v>1366</v>
      </c>
      <c r="C1715" s="1013" t="s">
        <v>64</v>
      </c>
      <c r="D1715" s="1013">
        <v>2000003314</v>
      </c>
      <c r="E1715" s="1014">
        <v>45029</v>
      </c>
      <c r="F1715" s="1015"/>
      <c r="G1715" s="1293"/>
      <c r="H1715" s="346"/>
      <c r="I1715" s="1016"/>
      <c r="J1715" s="1457">
        <v>1</v>
      </c>
      <c r="K1715" s="1458">
        <v>1</v>
      </c>
      <c r="L1715" s="1036"/>
      <c r="M1715" s="1325">
        <f t="shared" ref="M1715" si="3482">+L1715*J1715</f>
        <v>0</v>
      </c>
      <c r="N1715" s="348">
        <f ca="1">IF(OR(E1715="",E1715&gt;TODAY()),0,IF(ISERROR(VLOOKUP($E1715,'TRM BanRep'!$A:$G,7,0)),0,VLOOKUP($E1715,'TRM BanRep'!$A:$G,7,0)))</f>
        <v>4458.87</v>
      </c>
      <c r="O1715" s="897">
        <f t="shared" ref="O1715" ca="1" si="3483">+L1715*J1715*N1715</f>
        <v>0</v>
      </c>
      <c r="P1715" s="1017">
        <f>-L1714</f>
        <v>-1562.14</v>
      </c>
      <c r="Q1715" s="1362">
        <f t="shared" ref="Q1715" si="3484">+P1715*K1715</f>
        <v>-1562.14</v>
      </c>
      <c r="R1715" s="349">
        <f ca="1">+N1714</f>
        <v>4769.76</v>
      </c>
      <c r="S1715" s="349">
        <f ca="1">IF(OR(E1715="",E1715&gt;TODAY()),0,IF(ISERROR(VLOOKUP($E1715,'TRM BanRep'!$A:$G,7,0)),0,VLOOKUP($E1715,'TRM BanRep'!$A:$G,7,0)))</f>
        <v>4458.87</v>
      </c>
      <c r="T1715" s="895">
        <f t="shared" ref="T1715" ca="1" si="3485">+P1715*K1715*S1715</f>
        <v>-6965379.1818000004</v>
      </c>
      <c r="U1715" s="350">
        <f t="shared" ref="U1715" si="3486">+L1715+P1715+F1715</f>
        <v>-1562.14</v>
      </c>
      <c r="V1715" s="918">
        <f t="shared" ref="V1715" ca="1" si="3487">+P1715*J1715*R1715+L1715*J1715*N1715+F1715*J1715*H1715</f>
        <v>-7451032.8864000011</v>
      </c>
      <c r="W1715" s="351">
        <f t="shared" ref="W1715" ca="1" si="3488">-(IF(-P1715*J1715*R1715&lt;-P1715*K1715*S1715,(-P1715*J1715*R1715)-(-P1715*K1715*S1715),0))</f>
        <v>0</v>
      </c>
      <c r="X1715" s="919">
        <f t="shared" ref="X1715" ca="1" si="3489">-(IF(-P1715*J1715*R1715&gt;-P1715*K1715*S1715,(-P1715*J1715*R1715)-(-P1715*K1715*S1715),0))</f>
        <v>-485653.70460000075</v>
      </c>
      <c r="Y1715" s="1018"/>
      <c r="Z1715" s="220"/>
      <c r="AA1715" s="15"/>
      <c r="AB1715" s="15"/>
      <c r="AC1715" s="15"/>
      <c r="AD1715" s="15"/>
      <c r="AE1715" s="15"/>
    </row>
    <row r="1716" spans="1:31" s="401" customFormat="1" outlineLevel="1">
      <c r="A1716" s="1011">
        <v>2401011000</v>
      </c>
      <c r="B1716" s="1012" t="s">
        <v>2403</v>
      </c>
      <c r="C1716" s="1013" t="s">
        <v>64</v>
      </c>
      <c r="D1716" s="1013">
        <v>5100002296</v>
      </c>
      <c r="E1716" s="1014">
        <v>45001</v>
      </c>
      <c r="F1716" s="1015"/>
      <c r="G1716" s="1293"/>
      <c r="H1716" s="346"/>
      <c r="I1716" s="1016"/>
      <c r="J1716" s="1457">
        <v>1</v>
      </c>
      <c r="K1716" s="1458">
        <v>1</v>
      </c>
      <c r="L1716" s="1036">
        <v>5119.93</v>
      </c>
      <c r="M1716" s="1325">
        <f>+L1716*J1716</f>
        <v>5119.93</v>
      </c>
      <c r="N1716" s="348">
        <f ca="1">IF(OR(E1716="",E1716&gt;TODAY()),0,IF(ISERROR(VLOOKUP($E1716,'TRM BanRep'!$A:$G,7,0)),0,VLOOKUP($E1716,'TRM BanRep'!$A:$G,7,0)))</f>
        <v>4835.51</v>
      </c>
      <c r="O1716" s="897">
        <f ca="1">+L1716*J1716*N1716</f>
        <v>24757472.714300003</v>
      </c>
      <c r="P1716" s="1017"/>
      <c r="Q1716" s="1362">
        <f>+P1716*K1716</f>
        <v>0</v>
      </c>
      <c r="R1716" s="349"/>
      <c r="S1716" s="349"/>
      <c r="T1716" s="895">
        <f>+P1716*K1716*S1716</f>
        <v>0</v>
      </c>
      <c r="U1716" s="350">
        <f>+L1716+P1716+F1716</f>
        <v>5119.93</v>
      </c>
      <c r="V1716" s="918">
        <f ca="1">+P1716*J1716*R1716+L1716*J1716*N1716+F1716*J1716*H1716</f>
        <v>24757472.714300003</v>
      </c>
      <c r="W1716" s="351">
        <f>-(IF(-P1716*J1716*R1716&lt;-P1716*K1716*S1716,(-P1716*J1716*R1716)-(-P1716*K1716*S1716),0))</f>
        <v>0</v>
      </c>
      <c r="X1716" s="919">
        <f>-(IF(-P1716*J1716*R1716&gt;-P1716*K1716*S1716,(-P1716*J1716*R1716)-(-P1716*K1716*S1716),0))</f>
        <v>0</v>
      </c>
      <c r="Y1716" s="1018"/>
      <c r="Z1716" s="220"/>
      <c r="AA1716" s="15"/>
      <c r="AB1716" s="15"/>
      <c r="AC1716" s="15"/>
      <c r="AD1716" s="15"/>
      <c r="AE1716" s="15"/>
    </row>
    <row r="1717" spans="1:31" s="401" customFormat="1" outlineLevel="1">
      <c r="A1717" s="1011">
        <v>2401011000</v>
      </c>
      <c r="B1717" s="1012" t="s">
        <v>1366</v>
      </c>
      <c r="C1717" s="1013" t="s">
        <v>64</v>
      </c>
      <c r="D1717" s="1013">
        <v>2000003345</v>
      </c>
      <c r="E1717" s="1014">
        <v>45033</v>
      </c>
      <c r="F1717" s="1015"/>
      <c r="G1717" s="1293"/>
      <c r="H1717" s="346"/>
      <c r="I1717" s="1016"/>
      <c r="J1717" s="1457">
        <v>1</v>
      </c>
      <c r="K1717" s="1458">
        <v>1</v>
      </c>
      <c r="L1717" s="1036"/>
      <c r="M1717" s="1325">
        <f t="shared" ref="M1717" si="3490">+L1717*J1717</f>
        <v>0</v>
      </c>
      <c r="N1717" s="348">
        <f ca="1">IF(OR(E1717="",E1717&gt;TODAY()),0,IF(ISERROR(VLOOKUP($E1717,'TRM BanRep'!$A:$G,7,0)),0,VLOOKUP($E1717,'TRM BanRep'!$A:$G,7,0)))</f>
        <v>4425.2700000000004</v>
      </c>
      <c r="O1717" s="897">
        <f t="shared" ref="O1717" ca="1" si="3491">+L1717*J1717*N1717</f>
        <v>0</v>
      </c>
      <c r="P1717" s="1017">
        <f>-L1716</f>
        <v>-5119.93</v>
      </c>
      <c r="Q1717" s="1362">
        <f t="shared" ref="Q1717" si="3492">+P1717*K1717</f>
        <v>-5119.93</v>
      </c>
      <c r="R1717" s="349">
        <f ca="1">+N1716</f>
        <v>4835.51</v>
      </c>
      <c r="S1717" s="349">
        <f ca="1">IF(OR(E1717="",E1717&gt;TODAY()),0,IF(ISERROR(VLOOKUP($E1717,'TRM BanRep'!$A:$G,7,0)),0,VLOOKUP($E1717,'TRM BanRep'!$A:$G,7,0)))</f>
        <v>4425.2700000000004</v>
      </c>
      <c r="T1717" s="895">
        <f t="shared" ref="T1717" ca="1" si="3493">+P1717*K1717*S1717</f>
        <v>-22657072.631100003</v>
      </c>
      <c r="U1717" s="350">
        <f t="shared" ref="U1717" si="3494">+L1717+P1717+F1717</f>
        <v>-5119.93</v>
      </c>
      <c r="V1717" s="918">
        <f t="shared" ref="V1717" ca="1" si="3495">+P1717*J1717*R1717+L1717*J1717*N1717+F1717*J1717*H1717</f>
        <v>-24757472.714300003</v>
      </c>
      <c r="W1717" s="351">
        <f t="shared" ref="W1717" ca="1" si="3496">-(IF(-P1717*J1717*R1717&lt;-P1717*K1717*S1717,(-P1717*J1717*R1717)-(-P1717*K1717*S1717),0))</f>
        <v>0</v>
      </c>
      <c r="X1717" s="919">
        <f t="shared" ref="X1717" ca="1" si="3497">-(IF(-P1717*J1717*R1717&gt;-P1717*K1717*S1717,(-P1717*J1717*R1717)-(-P1717*K1717*S1717),0))</f>
        <v>-2100400.0832000002</v>
      </c>
      <c r="Y1717" s="1018"/>
      <c r="Z1717" s="220"/>
      <c r="AA1717" s="15"/>
      <c r="AB1717" s="15"/>
      <c r="AC1717" s="15"/>
      <c r="AD1717" s="15"/>
      <c r="AE1717" s="15"/>
    </row>
    <row r="1718" spans="1:31" s="401" customFormat="1" outlineLevel="1">
      <c r="A1718" s="1011">
        <v>2401011000</v>
      </c>
      <c r="B1718" s="1012" t="s">
        <v>2409</v>
      </c>
      <c r="C1718" s="1013" t="s">
        <v>64</v>
      </c>
      <c r="D1718" s="1013">
        <v>5100002408</v>
      </c>
      <c r="E1718" s="1014">
        <v>45002</v>
      </c>
      <c r="F1718" s="1015"/>
      <c r="G1718" s="1293"/>
      <c r="H1718" s="346"/>
      <c r="I1718" s="1016"/>
      <c r="J1718" s="1457">
        <v>1</v>
      </c>
      <c r="K1718" s="1458">
        <v>1</v>
      </c>
      <c r="L1718" s="1036">
        <v>4413.7</v>
      </c>
      <c r="M1718" s="1325">
        <f>+L1718*J1718</f>
        <v>4413.7</v>
      </c>
      <c r="N1718" s="348">
        <f ca="1">IF(OR(E1718="",E1718&gt;TODAY()),0,IF(ISERROR(VLOOKUP($E1718,'TRM BanRep'!$A:$G,7,0)),0,VLOOKUP($E1718,'TRM BanRep'!$A:$G,7,0)))</f>
        <v>4866.5</v>
      </c>
      <c r="O1718" s="897">
        <f ca="1">+L1718*J1718*N1718</f>
        <v>21479271.050000001</v>
      </c>
      <c r="P1718" s="1017"/>
      <c r="Q1718" s="1362">
        <f>+P1718*K1718</f>
        <v>0</v>
      </c>
      <c r="R1718" s="349"/>
      <c r="S1718" s="349"/>
      <c r="T1718" s="895">
        <f>+P1718*K1718*S1718</f>
        <v>0</v>
      </c>
      <c r="U1718" s="350">
        <f>+L1718+P1718+F1718</f>
        <v>4413.7</v>
      </c>
      <c r="V1718" s="918">
        <f ca="1">+P1718*J1718*R1718+L1718*J1718*N1718+F1718*J1718*H1718</f>
        <v>21479271.050000001</v>
      </c>
      <c r="W1718" s="351">
        <f>-(IF(-P1718*J1718*R1718&lt;-P1718*K1718*S1718,(-P1718*J1718*R1718)-(-P1718*K1718*S1718),0))</f>
        <v>0</v>
      </c>
      <c r="X1718" s="919">
        <f>-(IF(-P1718*J1718*R1718&gt;-P1718*K1718*S1718,(-P1718*J1718*R1718)-(-P1718*K1718*S1718),0))</f>
        <v>0</v>
      </c>
      <c r="Y1718" s="1018"/>
      <c r="Z1718" s="220"/>
      <c r="AA1718" s="15"/>
      <c r="AB1718" s="15"/>
      <c r="AC1718" s="15"/>
      <c r="AD1718" s="15"/>
      <c r="AE1718" s="15"/>
    </row>
    <row r="1719" spans="1:31" s="401" customFormat="1" outlineLevel="1">
      <c r="A1719" s="1011">
        <v>2401011000</v>
      </c>
      <c r="B1719" s="1012" t="s">
        <v>1366</v>
      </c>
      <c r="C1719" s="1013" t="s">
        <v>64</v>
      </c>
      <c r="D1719" s="1013">
        <v>2000003380</v>
      </c>
      <c r="E1719" s="1014">
        <v>45033</v>
      </c>
      <c r="F1719" s="1015"/>
      <c r="G1719" s="1293"/>
      <c r="H1719" s="346"/>
      <c r="I1719" s="1016"/>
      <c r="J1719" s="1457">
        <v>1</v>
      </c>
      <c r="K1719" s="1458">
        <v>1</v>
      </c>
      <c r="L1719" s="1036"/>
      <c r="M1719" s="1325">
        <f t="shared" ref="M1719" si="3498">+L1719*J1719</f>
        <v>0</v>
      </c>
      <c r="N1719" s="348">
        <f ca="1">IF(OR(E1719="",E1719&gt;TODAY()),0,IF(ISERROR(VLOOKUP($E1719,'TRM BanRep'!$A:$G,7,0)),0,VLOOKUP($E1719,'TRM BanRep'!$A:$G,7,0)))</f>
        <v>4425.2700000000004</v>
      </c>
      <c r="O1719" s="897">
        <f t="shared" ref="O1719" ca="1" si="3499">+L1719*J1719*N1719</f>
        <v>0</v>
      </c>
      <c r="P1719" s="1017">
        <f>-L1718</f>
        <v>-4413.7</v>
      </c>
      <c r="Q1719" s="1362">
        <f t="shared" ref="Q1719" si="3500">+P1719*K1719</f>
        <v>-4413.7</v>
      </c>
      <c r="R1719" s="349">
        <f ca="1">+N1718</f>
        <v>4866.5</v>
      </c>
      <c r="S1719" s="349">
        <f ca="1">IF(OR(E1719="",E1719&gt;TODAY()),0,IF(ISERROR(VLOOKUP($E1719,'TRM BanRep'!$A:$G,7,0)),0,VLOOKUP($E1719,'TRM BanRep'!$A:$G,7,0)))</f>
        <v>4425.2700000000004</v>
      </c>
      <c r="T1719" s="895">
        <f t="shared" ref="T1719" ca="1" si="3501">+P1719*K1719*S1719</f>
        <v>-19531814.199000001</v>
      </c>
      <c r="U1719" s="350">
        <f t="shared" ref="U1719" si="3502">+L1719+P1719+F1719</f>
        <v>-4413.7</v>
      </c>
      <c r="V1719" s="918">
        <f t="shared" ref="V1719" ca="1" si="3503">+P1719*J1719*R1719+L1719*J1719*N1719+F1719*J1719*H1719</f>
        <v>-21479271.050000001</v>
      </c>
      <c r="W1719" s="351">
        <f t="shared" ref="W1719" ca="1" si="3504">-(IF(-P1719*J1719*R1719&lt;-P1719*K1719*S1719,(-P1719*J1719*R1719)-(-P1719*K1719*S1719),0))</f>
        <v>0</v>
      </c>
      <c r="X1719" s="919">
        <f t="shared" ref="X1719" ca="1" si="3505">-(IF(-P1719*J1719*R1719&gt;-P1719*K1719*S1719,(-P1719*J1719*R1719)-(-P1719*K1719*S1719),0))</f>
        <v>-1947456.8509999998</v>
      </c>
      <c r="Y1719" s="1018"/>
      <c r="Z1719" s="220"/>
      <c r="AA1719" s="15"/>
      <c r="AB1719" s="15"/>
      <c r="AC1719" s="15"/>
      <c r="AD1719" s="15"/>
      <c r="AE1719" s="15"/>
    </row>
    <row r="1720" spans="1:31" s="401" customFormat="1" outlineLevel="1">
      <c r="A1720" s="1011">
        <v>2401011000</v>
      </c>
      <c r="B1720" s="1012" t="s">
        <v>2407</v>
      </c>
      <c r="C1720" s="1013" t="s">
        <v>64</v>
      </c>
      <c r="D1720" s="1013">
        <v>5100002390</v>
      </c>
      <c r="E1720" s="1014">
        <v>45013</v>
      </c>
      <c r="F1720" s="1015"/>
      <c r="G1720" s="1293"/>
      <c r="H1720" s="346"/>
      <c r="I1720" s="1016"/>
      <c r="J1720" s="1457">
        <v>1</v>
      </c>
      <c r="K1720" s="1458">
        <v>1</v>
      </c>
      <c r="L1720" s="1036">
        <v>4591.96</v>
      </c>
      <c r="M1720" s="1325">
        <f>+L1720*J1720</f>
        <v>4591.96</v>
      </c>
      <c r="N1720" s="348">
        <f ca="1">IF(OR(E1720="",E1720&gt;TODAY()),0,IF(ISERROR(VLOOKUP($E1720,'TRM BanRep'!$A:$G,7,0)),0,VLOOKUP($E1720,'TRM BanRep'!$A:$G,7,0)))</f>
        <v>4686.83</v>
      </c>
      <c r="O1720" s="897">
        <f ca="1">+L1720*J1720*N1720</f>
        <v>21521735.886799999</v>
      </c>
      <c r="P1720" s="1017"/>
      <c r="Q1720" s="1362">
        <f>+P1720*K1720</f>
        <v>0</v>
      </c>
      <c r="R1720" s="349"/>
      <c r="S1720" s="349"/>
      <c r="T1720" s="895">
        <f>+P1720*K1720*S1720</f>
        <v>0</v>
      </c>
      <c r="U1720" s="350">
        <f>+L1720+P1720+F1720</f>
        <v>4591.96</v>
      </c>
      <c r="V1720" s="918">
        <f ca="1">+P1720*J1720*R1720+L1720*J1720*N1720+F1720*J1720*H1720</f>
        <v>21521735.886799999</v>
      </c>
      <c r="W1720" s="351">
        <f>-(IF(-P1720*J1720*R1720&lt;-P1720*K1720*S1720,(-P1720*J1720*R1720)-(-P1720*K1720*S1720),0))</f>
        <v>0</v>
      </c>
      <c r="X1720" s="919">
        <f>-(IF(-P1720*J1720*R1720&gt;-P1720*K1720*S1720,(-P1720*J1720*R1720)-(-P1720*K1720*S1720),0))</f>
        <v>0</v>
      </c>
      <c r="Y1720" s="1018"/>
      <c r="Z1720" s="220"/>
      <c r="AA1720" s="15"/>
      <c r="AB1720" s="15"/>
      <c r="AC1720" s="15"/>
      <c r="AD1720" s="15"/>
      <c r="AE1720" s="15"/>
    </row>
    <row r="1721" spans="1:31" s="401" customFormat="1" outlineLevel="1">
      <c r="A1721" s="1011">
        <v>2401011000</v>
      </c>
      <c r="B1721" s="1012" t="s">
        <v>1366</v>
      </c>
      <c r="C1721" s="1013" t="s">
        <v>64</v>
      </c>
      <c r="D1721" s="1013">
        <v>2000003672</v>
      </c>
      <c r="E1721" s="1014">
        <v>45043</v>
      </c>
      <c r="F1721" s="1015"/>
      <c r="G1721" s="1293"/>
      <c r="H1721" s="346"/>
      <c r="I1721" s="1016"/>
      <c r="J1721" s="1457">
        <v>1</v>
      </c>
      <c r="K1721" s="1458">
        <v>1</v>
      </c>
      <c r="L1721" s="1036"/>
      <c r="M1721" s="1325">
        <f t="shared" ref="M1721" si="3506">+L1721*J1721</f>
        <v>0</v>
      </c>
      <c r="N1721" s="348">
        <f ca="1">IF(OR(E1721="",E1721&gt;TODAY()),0,IF(ISERROR(VLOOKUP($E1721,'TRM BanRep'!$A:$G,7,0)),0,VLOOKUP($E1721,'TRM BanRep'!$A:$G,7,0)))</f>
        <v>4552.59</v>
      </c>
      <c r="O1721" s="897">
        <f t="shared" ref="O1721" ca="1" si="3507">+L1721*J1721*N1721</f>
        <v>0</v>
      </c>
      <c r="P1721" s="1017">
        <f>-L1720</f>
        <v>-4591.96</v>
      </c>
      <c r="Q1721" s="1362">
        <f t="shared" ref="Q1721" si="3508">+P1721*K1721</f>
        <v>-4591.96</v>
      </c>
      <c r="R1721" s="349">
        <f ca="1">+N1720</f>
        <v>4686.83</v>
      </c>
      <c r="S1721" s="349">
        <f ca="1">IF(OR(E1721="",E1721&gt;TODAY()),0,IF(ISERROR(VLOOKUP($E1721,'TRM BanRep'!$A:$G,7,0)),0,VLOOKUP($E1721,'TRM BanRep'!$A:$G,7,0)))</f>
        <v>4552.59</v>
      </c>
      <c r="T1721" s="895">
        <f t="shared" ref="T1721" ca="1" si="3509">+P1721*K1721*S1721</f>
        <v>-20905311.176400002</v>
      </c>
      <c r="U1721" s="350">
        <f t="shared" ref="U1721" si="3510">+L1721+P1721+F1721</f>
        <v>-4591.96</v>
      </c>
      <c r="V1721" s="918">
        <f t="shared" ref="V1721" ca="1" si="3511">+P1721*J1721*R1721+L1721*J1721*N1721+F1721*J1721*H1721</f>
        <v>-21521735.886799999</v>
      </c>
      <c r="W1721" s="351">
        <f t="shared" ref="W1721" ca="1" si="3512">-(IF(-P1721*J1721*R1721&lt;-P1721*K1721*S1721,(-P1721*J1721*R1721)-(-P1721*K1721*S1721),0))</f>
        <v>0</v>
      </c>
      <c r="X1721" s="919">
        <f t="shared" ref="X1721" ca="1" si="3513">-(IF(-P1721*J1721*R1721&gt;-P1721*K1721*S1721,(-P1721*J1721*R1721)-(-P1721*K1721*S1721),0))</f>
        <v>-616424.71039999649</v>
      </c>
      <c r="Y1721" s="1018"/>
      <c r="Z1721" s="220"/>
      <c r="AA1721" s="15"/>
      <c r="AB1721" s="15"/>
      <c r="AC1721" s="15"/>
      <c r="AD1721" s="15"/>
      <c r="AE1721" s="15"/>
    </row>
    <row r="1722" spans="1:31" s="401" customFormat="1" outlineLevel="1">
      <c r="A1722" s="1011">
        <v>2401011000</v>
      </c>
      <c r="B1722" s="1012" t="s">
        <v>2408</v>
      </c>
      <c r="C1722" s="1013" t="s">
        <v>64</v>
      </c>
      <c r="D1722" s="1013">
        <v>5100002395</v>
      </c>
      <c r="E1722" s="1014">
        <v>45013</v>
      </c>
      <c r="F1722" s="1015"/>
      <c r="G1722" s="1293"/>
      <c r="H1722" s="346"/>
      <c r="I1722" s="1016"/>
      <c r="J1722" s="1457">
        <v>1</v>
      </c>
      <c r="K1722" s="1458">
        <v>1</v>
      </c>
      <c r="L1722" s="1036">
        <v>3975.94</v>
      </c>
      <c r="M1722" s="1325">
        <f t="shared" ref="M1722:M1725" si="3514">+L1722*J1722</f>
        <v>3975.94</v>
      </c>
      <c r="N1722" s="348">
        <f ca="1">IF(OR(E1722="",E1722&gt;TODAY()),0,IF(ISERROR(VLOOKUP($E1722,'TRM BanRep'!$A:$G,7,0)),0,VLOOKUP($E1722,'TRM BanRep'!$A:$G,7,0)))</f>
        <v>4686.83</v>
      </c>
      <c r="O1722" s="897">
        <f t="shared" ref="O1722:O1725" ca="1" si="3515">+L1722*J1722*N1722</f>
        <v>18634554.870200001</v>
      </c>
      <c r="P1722" s="1017"/>
      <c r="Q1722" s="1362">
        <f t="shared" ref="Q1722:Q1725" si="3516">+P1722*K1722</f>
        <v>0</v>
      </c>
      <c r="R1722" s="349"/>
      <c r="S1722" s="349"/>
      <c r="T1722" s="895">
        <f t="shared" ref="T1722:T1725" si="3517">+P1722*K1722*S1722</f>
        <v>0</v>
      </c>
      <c r="U1722" s="350">
        <f t="shared" ref="U1722:U1725" si="3518">+L1722+P1722+F1722</f>
        <v>3975.94</v>
      </c>
      <c r="V1722" s="918">
        <f t="shared" ref="V1722:V1725" ca="1" si="3519">+P1722*J1722*R1722+L1722*J1722*N1722+F1722*J1722*H1722</f>
        <v>18634554.870200001</v>
      </c>
      <c r="W1722" s="351">
        <f t="shared" ref="W1722:W1725" si="3520">-(IF(-P1722*J1722*R1722&lt;-P1722*K1722*S1722,(-P1722*J1722*R1722)-(-P1722*K1722*S1722),0))</f>
        <v>0</v>
      </c>
      <c r="X1722" s="919">
        <f t="shared" ref="X1722:X1725" si="3521">-(IF(-P1722*J1722*R1722&gt;-P1722*K1722*S1722,(-P1722*J1722*R1722)-(-P1722*K1722*S1722),0))</f>
        <v>0</v>
      </c>
      <c r="Y1722" s="1018"/>
      <c r="Z1722" s="220"/>
      <c r="AA1722" s="15"/>
      <c r="AB1722" s="15"/>
      <c r="AC1722" s="15"/>
      <c r="AD1722" s="15"/>
      <c r="AE1722" s="15"/>
    </row>
    <row r="1723" spans="1:31" s="401" customFormat="1" outlineLevel="1">
      <c r="A1723" s="1011">
        <v>2401011000</v>
      </c>
      <c r="B1723" s="1012" t="s">
        <v>1366</v>
      </c>
      <c r="C1723" s="1013" t="s">
        <v>64</v>
      </c>
      <c r="D1723" s="1013">
        <v>2000003732</v>
      </c>
      <c r="E1723" s="1014">
        <v>45044</v>
      </c>
      <c r="F1723" s="1015"/>
      <c r="G1723" s="1293"/>
      <c r="H1723" s="346"/>
      <c r="I1723" s="1016"/>
      <c r="J1723" s="1457">
        <v>1</v>
      </c>
      <c r="K1723" s="1458">
        <v>1</v>
      </c>
      <c r="L1723" s="1036"/>
      <c r="M1723" s="1325">
        <f t="shared" si="3514"/>
        <v>0</v>
      </c>
      <c r="N1723" s="348">
        <f ca="1">IF(OR(E1723="",E1723&gt;TODAY()),0,IF(ISERROR(VLOOKUP($E1723,'TRM BanRep'!$A:$G,7,0)),0,VLOOKUP($E1723,'TRM BanRep'!$A:$G,7,0)))</f>
        <v>4654.1400000000003</v>
      </c>
      <c r="O1723" s="897">
        <f t="shared" ca="1" si="3515"/>
        <v>0</v>
      </c>
      <c r="P1723" s="1017">
        <f>-L1722</f>
        <v>-3975.94</v>
      </c>
      <c r="Q1723" s="1362">
        <f t="shared" si="3516"/>
        <v>-3975.94</v>
      </c>
      <c r="R1723" s="349">
        <f ca="1">+N1722</f>
        <v>4686.83</v>
      </c>
      <c r="S1723" s="349">
        <f ca="1">IF(OR(E1723="",E1723&gt;TODAY()),0,IF(ISERROR(VLOOKUP($E1723,'TRM BanRep'!$A:$G,7,0)),0,VLOOKUP($E1723,'TRM BanRep'!$A:$G,7,0)))</f>
        <v>4654.1400000000003</v>
      </c>
      <c r="T1723" s="895">
        <f t="shared" ca="1" si="3517"/>
        <v>-18504581.391600002</v>
      </c>
      <c r="U1723" s="350">
        <f t="shared" si="3518"/>
        <v>-3975.94</v>
      </c>
      <c r="V1723" s="918">
        <f t="shared" ca="1" si="3519"/>
        <v>-18634554.870200001</v>
      </c>
      <c r="W1723" s="351">
        <f t="shared" ca="1" si="3520"/>
        <v>0</v>
      </c>
      <c r="X1723" s="919">
        <f t="shared" ca="1" si="3521"/>
        <v>-129973.4785999991</v>
      </c>
      <c r="Y1723" s="1018"/>
      <c r="Z1723" s="220"/>
      <c r="AA1723" s="15"/>
      <c r="AB1723" s="15"/>
      <c r="AC1723" s="15"/>
      <c r="AD1723" s="15"/>
      <c r="AE1723" s="15"/>
    </row>
    <row r="1724" spans="1:31" s="401" customFormat="1" outlineLevel="1">
      <c r="A1724" s="1011">
        <v>2401011000</v>
      </c>
      <c r="B1724" s="1012" t="s">
        <v>2400</v>
      </c>
      <c r="C1724" s="1013" t="s">
        <v>64</v>
      </c>
      <c r="D1724" s="1013">
        <v>5100002230</v>
      </c>
      <c r="E1724" s="1014">
        <v>45008</v>
      </c>
      <c r="F1724" s="1015"/>
      <c r="G1724" s="1293"/>
      <c r="H1724" s="346"/>
      <c r="I1724" s="1016"/>
      <c r="J1724" s="1457">
        <v>1</v>
      </c>
      <c r="K1724" s="1458">
        <v>1</v>
      </c>
      <c r="L1724" s="1036">
        <v>9605.68</v>
      </c>
      <c r="M1724" s="1325">
        <f t="shared" si="3514"/>
        <v>9605.68</v>
      </c>
      <c r="N1724" s="348">
        <f ca="1">IF(OR(E1724="",E1724&gt;TODAY()),0,IF(ISERROR(VLOOKUP($E1724,'TRM BanRep'!$A:$G,7,0)),0,VLOOKUP($E1724,'TRM BanRep'!$A:$G,7,0)))</f>
        <v>4776.09</v>
      </c>
      <c r="O1724" s="897">
        <f t="shared" ca="1" si="3515"/>
        <v>45877592.191200003</v>
      </c>
      <c r="P1724" s="1017"/>
      <c r="Q1724" s="1362">
        <f t="shared" si="3516"/>
        <v>0</v>
      </c>
      <c r="R1724" s="349"/>
      <c r="S1724" s="349"/>
      <c r="T1724" s="895">
        <f t="shared" si="3517"/>
        <v>0</v>
      </c>
      <c r="U1724" s="350">
        <f t="shared" si="3518"/>
        <v>9605.68</v>
      </c>
      <c r="V1724" s="918">
        <f t="shared" ca="1" si="3519"/>
        <v>45877592.191200003</v>
      </c>
      <c r="W1724" s="351">
        <f t="shared" si="3520"/>
        <v>0</v>
      </c>
      <c r="X1724" s="919">
        <f t="shared" si="3521"/>
        <v>0</v>
      </c>
      <c r="Y1724" s="1018"/>
      <c r="Z1724" s="220"/>
      <c r="AA1724" s="15"/>
      <c r="AB1724" s="15"/>
      <c r="AC1724" s="15"/>
      <c r="AD1724" s="15"/>
      <c r="AE1724" s="15"/>
    </row>
    <row r="1725" spans="1:31" s="401" customFormat="1" outlineLevel="1">
      <c r="A1725" s="1011">
        <v>2401011000</v>
      </c>
      <c r="B1725" s="1012" t="s">
        <v>1366</v>
      </c>
      <c r="C1725" s="1013" t="s">
        <v>64</v>
      </c>
      <c r="D1725" s="1013">
        <v>2000003577</v>
      </c>
      <c r="E1725" s="1014">
        <v>45040</v>
      </c>
      <c r="F1725" s="1015"/>
      <c r="G1725" s="1293"/>
      <c r="H1725" s="346"/>
      <c r="I1725" s="1016"/>
      <c r="J1725" s="1457">
        <v>1</v>
      </c>
      <c r="K1725" s="1458">
        <v>1</v>
      </c>
      <c r="L1725" s="1036"/>
      <c r="M1725" s="1325">
        <f t="shared" si="3514"/>
        <v>0</v>
      </c>
      <c r="N1725" s="348">
        <f ca="1">IF(OR(E1725="",E1725&gt;TODAY()),0,IF(ISERROR(VLOOKUP($E1725,'TRM BanRep'!$A:$G,7,0)),0,VLOOKUP($E1725,'TRM BanRep'!$A:$G,7,0)))</f>
        <v>4523.6400000000003</v>
      </c>
      <c r="O1725" s="897">
        <f t="shared" ca="1" si="3515"/>
        <v>0</v>
      </c>
      <c r="P1725" s="1017">
        <f>-L1724</f>
        <v>-9605.68</v>
      </c>
      <c r="Q1725" s="1362">
        <f t="shared" si="3516"/>
        <v>-9605.68</v>
      </c>
      <c r="R1725" s="349">
        <f ca="1">+N1724</f>
        <v>4776.09</v>
      </c>
      <c r="S1725" s="349">
        <f ca="1">IF(OR(E1725="",E1725&gt;TODAY()),0,IF(ISERROR(VLOOKUP($E1725,'TRM BanRep'!$A:$G,7,0)),0,VLOOKUP($E1725,'TRM BanRep'!$A:$G,7,0)))</f>
        <v>4523.6400000000003</v>
      </c>
      <c r="T1725" s="895">
        <f t="shared" ca="1" si="3517"/>
        <v>-43452638.275200002</v>
      </c>
      <c r="U1725" s="350">
        <f t="shared" si="3518"/>
        <v>-9605.68</v>
      </c>
      <c r="V1725" s="918">
        <f t="shared" ca="1" si="3519"/>
        <v>-45877592.191200003</v>
      </c>
      <c r="W1725" s="351">
        <f t="shared" ca="1" si="3520"/>
        <v>0</v>
      </c>
      <c r="X1725" s="919">
        <f t="shared" ca="1" si="3521"/>
        <v>-2424953.9160000011</v>
      </c>
      <c r="Y1725" s="1018"/>
      <c r="Z1725" s="220"/>
      <c r="AA1725" s="15"/>
      <c r="AB1725" s="15"/>
      <c r="AC1725" s="15"/>
      <c r="AD1725" s="15"/>
      <c r="AE1725" s="15"/>
    </row>
    <row r="1726" spans="1:31" s="401" customFormat="1" outlineLevel="1">
      <c r="A1726" s="1011">
        <v>2401011000</v>
      </c>
      <c r="B1726" s="1012" t="s">
        <v>2581</v>
      </c>
      <c r="C1726" s="1013" t="s">
        <v>64</v>
      </c>
      <c r="D1726" s="1013">
        <v>5100002641</v>
      </c>
      <c r="E1726" s="1014">
        <v>45020</v>
      </c>
      <c r="F1726" s="1015"/>
      <c r="G1726" s="1293"/>
      <c r="H1726" s="346"/>
      <c r="I1726" s="1016"/>
      <c r="J1726" s="1457">
        <v>1</v>
      </c>
      <c r="K1726" s="1458">
        <v>1</v>
      </c>
      <c r="L1726" s="1036">
        <v>166.6</v>
      </c>
      <c r="M1726" s="1325">
        <f>+L1726*J1726</f>
        <v>166.6</v>
      </c>
      <c r="N1726" s="348">
        <f ca="1">IF(OR(E1726="",E1726&gt;TODAY()),0,IF(ISERROR(VLOOKUP($E1726,'TRM BanRep'!$A:$G,7,0)),0,VLOOKUP($E1726,'TRM BanRep'!$A:$G,7,0)))</f>
        <v>4603</v>
      </c>
      <c r="O1726" s="897">
        <f ca="1">+L1726*J1726*N1726</f>
        <v>766859.79999999993</v>
      </c>
      <c r="P1726" s="1017"/>
      <c r="Q1726" s="1362">
        <f>+P1726*K1726</f>
        <v>0</v>
      </c>
      <c r="R1726" s="349"/>
      <c r="S1726" s="349"/>
      <c r="T1726" s="895">
        <f>+P1726*K1726*S1726</f>
        <v>0</v>
      </c>
      <c r="U1726" s="350">
        <f>+L1726+P1726+F1726</f>
        <v>166.6</v>
      </c>
      <c r="V1726" s="918">
        <f ca="1">+P1726*J1726*R1726+L1726*J1726*N1726+F1726*J1726*H1726</f>
        <v>766859.79999999993</v>
      </c>
      <c r="W1726" s="351">
        <f>-(IF(-P1726*J1726*R1726&lt;-P1726*K1726*S1726,(-P1726*J1726*R1726)-(-P1726*K1726*S1726),0))</f>
        <v>0</v>
      </c>
      <c r="X1726" s="919">
        <f>-(IF(-P1726*J1726*R1726&gt;-P1726*K1726*S1726,(-P1726*J1726*R1726)-(-P1726*K1726*S1726),0))</f>
        <v>0</v>
      </c>
      <c r="Y1726" s="1018"/>
      <c r="Z1726" s="220"/>
      <c r="AA1726" s="15"/>
      <c r="AB1726" s="15"/>
      <c r="AC1726" s="15"/>
      <c r="AD1726" s="15"/>
      <c r="AE1726" s="15"/>
    </row>
    <row r="1727" spans="1:31" s="401" customFormat="1" outlineLevel="1">
      <c r="A1727" s="1011">
        <v>2401011000</v>
      </c>
      <c r="B1727" s="1012" t="s">
        <v>2566</v>
      </c>
      <c r="C1727" s="1013" t="s">
        <v>64</v>
      </c>
      <c r="D1727" s="1013">
        <v>2000003504</v>
      </c>
      <c r="E1727" s="1014">
        <v>45036</v>
      </c>
      <c r="F1727" s="1015"/>
      <c r="G1727" s="1293"/>
      <c r="H1727" s="346"/>
      <c r="I1727" s="1016"/>
      <c r="J1727" s="1457">
        <v>1</v>
      </c>
      <c r="K1727" s="1458">
        <v>1</v>
      </c>
      <c r="L1727" s="1036"/>
      <c r="M1727" s="1325">
        <f t="shared" ref="M1727" si="3522">+L1727*J1727</f>
        <v>0</v>
      </c>
      <c r="N1727" s="348">
        <f ca="1">IF(OR(E1727="",E1727&gt;TODAY()),0,IF(ISERROR(VLOOKUP($E1727,'TRM BanRep'!$A:$G,7,0)),0,VLOOKUP($E1727,'TRM BanRep'!$A:$G,7,0)))</f>
        <v>4532.43</v>
      </c>
      <c r="O1727" s="897">
        <f t="shared" ref="O1727" ca="1" si="3523">+L1727*J1727*N1727</f>
        <v>0</v>
      </c>
      <c r="P1727" s="1017">
        <f>-L1726</f>
        <v>-166.6</v>
      </c>
      <c r="Q1727" s="1362">
        <f t="shared" ref="Q1727" si="3524">+P1727*K1727</f>
        <v>-166.6</v>
      </c>
      <c r="R1727" s="349">
        <f ca="1">+N1726</f>
        <v>4603</v>
      </c>
      <c r="S1727" s="349">
        <f ca="1">IF(OR(E1727="",E1727&gt;TODAY()),0,IF(ISERROR(VLOOKUP($E1727,'TRM BanRep'!$A:$G,7,0)),0,VLOOKUP($E1727,'TRM BanRep'!$A:$G,7,0)))</f>
        <v>4532.43</v>
      </c>
      <c r="T1727" s="895">
        <f t="shared" ref="T1727" ca="1" si="3525">+P1727*K1727*S1727</f>
        <v>-755102.83799999999</v>
      </c>
      <c r="U1727" s="350">
        <f t="shared" ref="U1727" si="3526">+L1727+P1727+F1727</f>
        <v>-166.6</v>
      </c>
      <c r="V1727" s="918">
        <f t="shared" ref="V1727" ca="1" si="3527">+P1727*J1727*R1727+L1727*J1727*N1727+F1727*J1727*H1727</f>
        <v>-766859.79999999993</v>
      </c>
      <c r="W1727" s="351">
        <f t="shared" ref="W1727" ca="1" si="3528">-(IF(-P1727*J1727*R1727&lt;-P1727*K1727*S1727,(-P1727*J1727*R1727)-(-P1727*K1727*S1727),0))</f>
        <v>0</v>
      </c>
      <c r="X1727" s="919">
        <f t="shared" ref="X1727" ca="1" si="3529">-(IF(-P1727*J1727*R1727&gt;-P1727*K1727*S1727,(-P1727*J1727*R1727)-(-P1727*K1727*S1727),0))</f>
        <v>-11756.961999999941</v>
      </c>
      <c r="Y1727" s="1018"/>
      <c r="Z1727" s="220"/>
      <c r="AA1727" s="15"/>
      <c r="AB1727" s="15"/>
      <c r="AC1727" s="15"/>
      <c r="AD1727" s="15"/>
      <c r="AE1727" s="15"/>
    </row>
    <row r="1728" spans="1:31" s="401" customFormat="1" outlineLevel="1">
      <c r="A1728" s="1011">
        <v>2401011000</v>
      </c>
      <c r="B1728" s="1012" t="s">
        <v>2582</v>
      </c>
      <c r="C1728" s="1013" t="s">
        <v>64</v>
      </c>
      <c r="D1728" s="1013">
        <v>5100002776</v>
      </c>
      <c r="E1728" s="1014">
        <v>45027</v>
      </c>
      <c r="F1728" s="1015"/>
      <c r="G1728" s="1293"/>
      <c r="H1728" s="346"/>
      <c r="I1728" s="1016"/>
      <c r="J1728" s="1457">
        <v>1</v>
      </c>
      <c r="K1728" s="1458">
        <v>1</v>
      </c>
      <c r="L1728" s="1036">
        <v>35.700000000000003</v>
      </c>
      <c r="M1728" s="1325">
        <f>+L1728*J1728</f>
        <v>35.700000000000003</v>
      </c>
      <c r="N1728" s="348">
        <f ca="1">IF(OR(E1728="",E1728&gt;TODAY()),0,IF(ISERROR(VLOOKUP($E1728,'TRM BanRep'!$A:$G,7,0)),0,VLOOKUP($E1728,'TRM BanRep'!$A:$G,7,0)))</f>
        <v>4564.24</v>
      </c>
      <c r="O1728" s="897">
        <f ca="1">+L1728*J1728*N1728</f>
        <v>162943.36800000002</v>
      </c>
      <c r="P1728" s="1017"/>
      <c r="Q1728" s="1362">
        <f>+P1728*K1728</f>
        <v>0</v>
      </c>
      <c r="R1728" s="349"/>
      <c r="S1728" s="349"/>
      <c r="T1728" s="895">
        <f>+P1728*K1728*S1728</f>
        <v>0</v>
      </c>
      <c r="U1728" s="350">
        <f>+L1728+P1728+F1728</f>
        <v>35.700000000000003</v>
      </c>
      <c r="V1728" s="918">
        <f ca="1">+P1728*J1728*R1728+L1728*J1728*N1728+F1728*J1728*H1728</f>
        <v>162943.36800000002</v>
      </c>
      <c r="W1728" s="351">
        <f>-(IF(-P1728*J1728*R1728&lt;-P1728*K1728*S1728,(-P1728*J1728*R1728)-(-P1728*K1728*S1728),0))</f>
        <v>0</v>
      </c>
      <c r="X1728" s="919">
        <f>-(IF(-P1728*J1728*R1728&gt;-P1728*K1728*S1728,(-P1728*J1728*R1728)-(-P1728*K1728*S1728),0))</f>
        <v>0</v>
      </c>
      <c r="Y1728" s="1018"/>
      <c r="Z1728" s="220"/>
      <c r="AA1728" s="15"/>
      <c r="AB1728" s="15"/>
      <c r="AC1728" s="15"/>
      <c r="AD1728" s="15"/>
      <c r="AE1728" s="15"/>
    </row>
    <row r="1729" spans="1:31" s="401" customFormat="1" outlineLevel="1">
      <c r="A1729" s="1011">
        <v>2401011000</v>
      </c>
      <c r="B1729" s="1012" t="s">
        <v>2566</v>
      </c>
      <c r="C1729" s="1013" t="s">
        <v>64</v>
      </c>
      <c r="D1729" s="1013">
        <v>2000003616</v>
      </c>
      <c r="E1729" s="1014">
        <v>45042</v>
      </c>
      <c r="F1729" s="1015"/>
      <c r="G1729" s="1293"/>
      <c r="H1729" s="346"/>
      <c r="I1729" s="1016"/>
      <c r="J1729" s="1457">
        <v>1</v>
      </c>
      <c r="K1729" s="1458">
        <v>1</v>
      </c>
      <c r="L1729" s="1036"/>
      <c r="M1729" s="1325">
        <f t="shared" ref="M1729:M1731" si="3530">+L1729*J1729</f>
        <v>0</v>
      </c>
      <c r="N1729" s="348">
        <f ca="1">IF(OR(E1729="",E1729&gt;TODAY()),0,IF(ISERROR(VLOOKUP($E1729,'TRM BanRep'!$A:$G,7,0)),0,VLOOKUP($E1729,'TRM BanRep'!$A:$G,7,0)))</f>
        <v>4486.6000000000004</v>
      </c>
      <c r="O1729" s="897">
        <f t="shared" ref="O1729:O1731" ca="1" si="3531">+L1729*J1729*N1729</f>
        <v>0</v>
      </c>
      <c r="P1729" s="1017">
        <f>-L1728</f>
        <v>-35.700000000000003</v>
      </c>
      <c r="Q1729" s="1362">
        <f t="shared" ref="Q1729:Q1731" si="3532">+P1729*K1729</f>
        <v>-35.700000000000003</v>
      </c>
      <c r="R1729" s="349">
        <f ca="1">+N1728</f>
        <v>4564.24</v>
      </c>
      <c r="S1729" s="349">
        <f ca="1">IF(OR(E1729="",E1729&gt;TODAY()),0,IF(ISERROR(VLOOKUP($E1729,'TRM BanRep'!$A:$G,7,0)),0,VLOOKUP($E1729,'TRM BanRep'!$A:$G,7,0)))</f>
        <v>4486.6000000000004</v>
      </c>
      <c r="T1729" s="895">
        <f t="shared" ref="T1729:T1731" ca="1" si="3533">+P1729*K1729*S1729</f>
        <v>-160171.62000000002</v>
      </c>
      <c r="U1729" s="350">
        <f t="shared" ref="U1729:U1731" si="3534">+L1729+P1729+F1729</f>
        <v>-35.700000000000003</v>
      </c>
      <c r="V1729" s="918">
        <f t="shared" ref="V1729:V1731" ca="1" si="3535">+P1729*J1729*R1729+L1729*J1729*N1729+F1729*J1729*H1729</f>
        <v>-162943.36800000002</v>
      </c>
      <c r="W1729" s="351">
        <f t="shared" ref="W1729:W1731" ca="1" si="3536">-(IF(-P1729*J1729*R1729&lt;-P1729*K1729*S1729,(-P1729*J1729*R1729)-(-P1729*K1729*S1729),0))</f>
        <v>0</v>
      </c>
      <c r="X1729" s="919">
        <f t="shared" ref="X1729:X1731" ca="1" si="3537">-(IF(-P1729*J1729*R1729&gt;-P1729*K1729*S1729,(-P1729*J1729*R1729)-(-P1729*K1729*S1729),0))</f>
        <v>-2771.7479999999923</v>
      </c>
      <c r="Y1729" s="1018"/>
      <c r="Z1729" s="220"/>
      <c r="AA1729" s="15"/>
      <c r="AB1729" s="15"/>
      <c r="AC1729" s="15"/>
      <c r="AD1729" s="15"/>
      <c r="AE1729" s="15"/>
    </row>
    <row r="1730" spans="1:31" s="401" customFormat="1" outlineLevel="1">
      <c r="A1730" s="1011">
        <v>2401011000</v>
      </c>
      <c r="B1730" s="1012" t="s">
        <v>2583</v>
      </c>
      <c r="C1730" s="1013" t="s">
        <v>64</v>
      </c>
      <c r="D1730" s="1013">
        <v>5100003145</v>
      </c>
      <c r="E1730" s="1014">
        <v>45027</v>
      </c>
      <c r="F1730" s="1015"/>
      <c r="G1730" s="1293"/>
      <c r="H1730" s="346"/>
      <c r="I1730" s="1016"/>
      <c r="J1730" s="1457">
        <v>1</v>
      </c>
      <c r="K1730" s="1458">
        <v>1</v>
      </c>
      <c r="L1730" s="1036">
        <v>251.09</v>
      </c>
      <c r="M1730" s="1325">
        <f t="shared" si="3530"/>
        <v>251.09</v>
      </c>
      <c r="N1730" s="348">
        <f ca="1">IF(OR(E1730="",E1730&gt;TODAY()),0,IF(ISERROR(VLOOKUP($E1730,'TRM BanRep'!$A:$G,7,0)),0,VLOOKUP($E1730,'TRM BanRep'!$A:$G,7,0)))</f>
        <v>4564.24</v>
      </c>
      <c r="O1730" s="897">
        <f t="shared" ca="1" si="3531"/>
        <v>1146035.0215999999</v>
      </c>
      <c r="P1730" s="1017"/>
      <c r="Q1730" s="1362">
        <f t="shared" si="3532"/>
        <v>0</v>
      </c>
      <c r="R1730" s="349"/>
      <c r="S1730" s="349"/>
      <c r="T1730" s="895">
        <f t="shared" si="3533"/>
        <v>0</v>
      </c>
      <c r="U1730" s="350">
        <f t="shared" si="3534"/>
        <v>251.09</v>
      </c>
      <c r="V1730" s="918">
        <f t="shared" ca="1" si="3535"/>
        <v>1146035.0215999999</v>
      </c>
      <c r="W1730" s="351">
        <f t="shared" si="3536"/>
        <v>0</v>
      </c>
      <c r="X1730" s="919">
        <f t="shared" si="3537"/>
        <v>0</v>
      </c>
      <c r="Y1730" s="1018"/>
      <c r="Z1730" s="220"/>
      <c r="AA1730" s="15"/>
      <c r="AB1730" s="15"/>
      <c r="AC1730" s="15"/>
      <c r="AD1730" s="15"/>
      <c r="AE1730" s="15"/>
    </row>
    <row r="1731" spans="1:31" s="401" customFormat="1" outlineLevel="1">
      <c r="A1731" s="1011">
        <v>2401011000</v>
      </c>
      <c r="B1731" s="1012" t="s">
        <v>2566</v>
      </c>
      <c r="C1731" s="1013" t="s">
        <v>64</v>
      </c>
      <c r="D1731" s="1013">
        <v>2000003623</v>
      </c>
      <c r="E1731" s="1014">
        <v>45042</v>
      </c>
      <c r="F1731" s="1015"/>
      <c r="G1731" s="1293"/>
      <c r="H1731" s="346"/>
      <c r="I1731" s="1016"/>
      <c r="J1731" s="1457">
        <v>1</v>
      </c>
      <c r="K1731" s="1458">
        <v>1</v>
      </c>
      <c r="L1731" s="1036"/>
      <c r="M1731" s="1325">
        <f t="shared" si="3530"/>
        <v>0</v>
      </c>
      <c r="N1731" s="348">
        <f ca="1">IF(OR(E1731="",E1731&gt;TODAY()),0,IF(ISERROR(VLOOKUP($E1731,'TRM BanRep'!$A:$G,7,0)),0,VLOOKUP($E1731,'TRM BanRep'!$A:$G,7,0)))</f>
        <v>4486.6000000000004</v>
      </c>
      <c r="O1731" s="897">
        <f t="shared" ca="1" si="3531"/>
        <v>0</v>
      </c>
      <c r="P1731" s="1017">
        <f>-L1730</f>
        <v>-251.09</v>
      </c>
      <c r="Q1731" s="1362">
        <f t="shared" si="3532"/>
        <v>-251.09</v>
      </c>
      <c r="R1731" s="349">
        <f ca="1">+N1730</f>
        <v>4564.24</v>
      </c>
      <c r="S1731" s="349">
        <f ca="1">IF(OR(E1731="",E1731&gt;TODAY()),0,IF(ISERROR(VLOOKUP($E1731,'TRM BanRep'!$A:$G,7,0)),0,VLOOKUP($E1731,'TRM BanRep'!$A:$G,7,0)))</f>
        <v>4486.6000000000004</v>
      </c>
      <c r="T1731" s="895">
        <f t="shared" ca="1" si="3533"/>
        <v>-1126540.3940000001</v>
      </c>
      <c r="U1731" s="350">
        <f t="shared" si="3534"/>
        <v>-251.09</v>
      </c>
      <c r="V1731" s="918">
        <f t="shared" ca="1" si="3535"/>
        <v>-1146035.0215999999</v>
      </c>
      <c r="W1731" s="351">
        <f t="shared" ca="1" si="3536"/>
        <v>0</v>
      </c>
      <c r="X1731" s="919">
        <f t="shared" ca="1" si="3537"/>
        <v>-19494.627599999774</v>
      </c>
      <c r="Y1731" s="1018"/>
      <c r="Z1731" s="220"/>
      <c r="AA1731" s="15"/>
      <c r="AB1731" s="15"/>
      <c r="AC1731" s="15"/>
      <c r="AD1731" s="15"/>
      <c r="AE1731" s="15"/>
    </row>
    <row r="1732" spans="1:31" s="401" customFormat="1" outlineLevel="1">
      <c r="A1732" s="1011">
        <v>2401011000</v>
      </c>
      <c r="B1732" s="1012"/>
      <c r="C1732" s="1013" t="s">
        <v>64</v>
      </c>
      <c r="D1732" s="1013"/>
      <c r="E1732" s="1014"/>
      <c r="F1732" s="1015"/>
      <c r="G1732" s="1293"/>
      <c r="H1732" s="346"/>
      <c r="I1732" s="1016"/>
      <c r="J1732" s="1457">
        <v>1</v>
      </c>
      <c r="K1732" s="1458">
        <v>1</v>
      </c>
      <c r="L1732" s="1036"/>
      <c r="M1732" s="1325">
        <f t="shared" ref="M1732" si="3538">+L1732*J1732</f>
        <v>0</v>
      </c>
      <c r="N1732" s="348"/>
      <c r="O1732" s="897">
        <f t="shared" ref="O1732" si="3539">+L1732*J1732*N1732</f>
        <v>0</v>
      </c>
      <c r="P1732" s="1017"/>
      <c r="Q1732" s="1362">
        <f t="shared" ref="Q1732" si="3540">+P1732*K1732</f>
        <v>0</v>
      </c>
      <c r="R1732" s="349"/>
      <c r="S1732" s="349"/>
      <c r="T1732" s="895">
        <f t="shared" ref="T1732" si="3541">+P1732*K1732*S1732</f>
        <v>0</v>
      </c>
      <c r="U1732" s="350">
        <f t="shared" ref="U1732" si="3542">+L1732+P1732+F1732</f>
        <v>0</v>
      </c>
      <c r="V1732" s="918">
        <f t="shared" ref="V1732" si="3543">+P1732*J1732*R1732+L1732*J1732*N1732+F1732*J1732*H1732</f>
        <v>0</v>
      </c>
      <c r="W1732" s="351">
        <f t="shared" ref="W1732" si="3544">-(IF(-P1732*J1732*R1732&lt;-P1732*K1732*S1732,(-P1732*J1732*R1732)-(-P1732*K1732*S1732),0))</f>
        <v>0</v>
      </c>
      <c r="X1732" s="919">
        <f t="shared" ref="X1732" si="3545">-(IF(-P1732*J1732*R1732&gt;-P1732*K1732*S1732,(-P1732*J1732*R1732)-(-P1732*K1732*S1732),0))</f>
        <v>0</v>
      </c>
      <c r="Y1732" s="1018"/>
      <c r="Z1732" s="220"/>
      <c r="AA1732" s="15"/>
      <c r="AB1732" s="15"/>
      <c r="AC1732" s="15"/>
      <c r="AD1732" s="15"/>
      <c r="AE1732" s="15"/>
    </row>
    <row r="1733" spans="1:31" s="401" customFormat="1">
      <c r="A1733" s="1011"/>
      <c r="B1733" s="1012"/>
      <c r="C1733" s="1013"/>
      <c r="D1733" s="1013"/>
      <c r="E1733" s="1014"/>
      <c r="F1733" s="1015"/>
      <c r="G1733" s="1293"/>
      <c r="H1733" s="346"/>
      <c r="I1733" s="1016"/>
      <c r="J1733" s="1501"/>
      <c r="K1733" s="1502"/>
      <c r="L1733" s="347"/>
      <c r="M1733" s="1329"/>
      <c r="N1733" s="348"/>
      <c r="O1733" s="897"/>
      <c r="P1733" s="1017"/>
      <c r="Q1733" s="1362"/>
      <c r="R1733" s="349"/>
      <c r="S1733" s="349"/>
      <c r="T1733" s="895"/>
      <c r="U1733" s="350"/>
      <c r="V1733" s="918"/>
      <c r="W1733" s="351"/>
      <c r="X1733" s="919"/>
      <c r="Y1733" s="1018"/>
      <c r="Z1733" s="220"/>
      <c r="AA1733" s="15"/>
      <c r="AB1733" s="15"/>
      <c r="AC1733" s="15"/>
      <c r="AD1733" s="15"/>
      <c r="AE1733" s="15"/>
    </row>
    <row r="1734" spans="1:31" ht="15.75">
      <c r="A1734" s="961">
        <v>2401011000</v>
      </c>
      <c r="B1734" s="962" t="s">
        <v>1451</v>
      </c>
      <c r="C1734" s="963" t="s">
        <v>146</v>
      </c>
      <c r="D1734" s="963">
        <v>5100010850</v>
      </c>
      <c r="E1734" s="969">
        <v>44917</v>
      </c>
      <c r="F1734" s="964">
        <v>2776.19</v>
      </c>
      <c r="G1734" s="1250">
        <f t="shared" ref="G1734" si="3546">ROUND(F1734*J1734,2)</f>
        <v>2942.9</v>
      </c>
      <c r="H1734" s="47">
        <v>4761.6400000000003</v>
      </c>
      <c r="I1734" s="965">
        <f t="shared" ref="I1734" si="3547">+F1734*J1734*H1734</f>
        <v>14013031.353563581</v>
      </c>
      <c r="J1734" s="1413">
        <f>VLOOKUP($E1734,'TRM BanRep'!$A:$K,11,0)</f>
        <v>1.0600499999999999</v>
      </c>
      <c r="K1734" s="965"/>
      <c r="L1734" s="218"/>
      <c r="M1734" s="1309">
        <f t="shared" si="2966"/>
        <v>0</v>
      </c>
      <c r="N1734" s="47"/>
      <c r="O1734" s="965">
        <f t="shared" si="2967"/>
        <v>0</v>
      </c>
      <c r="P1734" s="964"/>
      <c r="Q1734" s="1250">
        <f t="shared" si="2968"/>
        <v>0</v>
      </c>
      <c r="R1734" s="47"/>
      <c r="S1734" s="47"/>
      <c r="T1734" s="965">
        <f t="shared" si="2969"/>
        <v>0</v>
      </c>
      <c r="U1734" s="354">
        <f t="shared" si="2970"/>
        <v>2776.19</v>
      </c>
      <c r="V1734" s="965">
        <f t="shared" si="2971"/>
        <v>14013031.353563581</v>
      </c>
      <c r="W1734" s="968">
        <f t="shared" si="2962"/>
        <v>0</v>
      </c>
      <c r="X1734" s="966">
        <f t="shared" si="2963"/>
        <v>0</v>
      </c>
      <c r="Y1734" s="967"/>
      <c r="Z1734" s="220"/>
      <c r="AA1734" s="355"/>
      <c r="AB1734" s="355"/>
      <c r="AC1734" s="355"/>
      <c r="AD1734" s="355"/>
      <c r="AE1734" s="355"/>
    </row>
    <row r="1735" spans="1:31" ht="15.75" hidden="1" outlineLevel="1">
      <c r="A1735" s="961">
        <v>2401011000</v>
      </c>
      <c r="B1735" s="962" t="s">
        <v>2318</v>
      </c>
      <c r="C1735" s="963" t="s">
        <v>146</v>
      </c>
      <c r="D1735" s="963">
        <v>5100011010</v>
      </c>
      <c r="E1735" s="969">
        <v>44922</v>
      </c>
      <c r="F1735" s="964">
        <v>205.04</v>
      </c>
      <c r="G1735" s="1250">
        <f t="shared" ref="G1735" si="3548">ROUND(F1735*J1735,2)</f>
        <v>218.36</v>
      </c>
      <c r="H1735" s="47">
        <v>4745.04</v>
      </c>
      <c r="I1735" s="965">
        <f t="shared" ref="I1735" si="3549">+F1735*J1735*H1735</f>
        <v>1036114.35055392</v>
      </c>
      <c r="J1735" s="1413">
        <f>VLOOKUP($E1735,'TRM BanRep'!$A:$K,11,0)</f>
        <v>1.0649500000000001</v>
      </c>
      <c r="K1735" s="965"/>
      <c r="L1735" s="218"/>
      <c r="M1735" s="1309">
        <f t="shared" ref="M1735" si="3550">+L1735*J1735</f>
        <v>0</v>
      </c>
      <c r="N1735" s="47"/>
      <c r="O1735" s="965">
        <f t="shared" ref="O1735" si="3551">+L1735*J1735*N1735</f>
        <v>0</v>
      </c>
      <c r="P1735" s="964"/>
      <c r="Q1735" s="1250">
        <f t="shared" ref="Q1735" si="3552">+P1735*K1735</f>
        <v>0</v>
      </c>
      <c r="R1735" s="47"/>
      <c r="S1735" s="47"/>
      <c r="T1735" s="965">
        <f t="shared" ref="T1735" si="3553">+P1735*K1735*S1735</f>
        <v>0</v>
      </c>
      <c r="U1735" s="354">
        <f t="shared" ref="U1735" si="3554">+L1735+P1735+F1735</f>
        <v>205.04</v>
      </c>
      <c r="V1735" s="965">
        <f t="shared" ref="V1735" si="3555">+P1735*J1735*R1735+L1735*J1735*N1735+F1735*J1735*H1735</f>
        <v>1036114.35055392</v>
      </c>
      <c r="W1735" s="968">
        <f t="shared" ref="W1735" si="3556">-(IF(-P1735*J1735*R1735&lt;-P1735*K1735*S1735,(-P1735*J1735*R1735)-(-P1735*K1735*S1735),0))</f>
        <v>0</v>
      </c>
      <c r="X1735" s="966">
        <f t="shared" ref="X1735" si="3557">-(IF(-P1735*J1735*R1735&gt;-P1735*K1735*S1735,(-P1735*J1735*R1735)-(-P1735*K1735*S1735),0))</f>
        <v>0</v>
      </c>
      <c r="Y1735" s="967"/>
      <c r="Z1735" s="220"/>
      <c r="AA1735" s="355"/>
      <c r="AB1735" s="355"/>
      <c r="AC1735" s="355"/>
      <c r="AD1735" s="355"/>
      <c r="AE1735" s="355"/>
    </row>
    <row r="1736" spans="1:31" s="401" customFormat="1" hidden="1" outlineLevel="1">
      <c r="A1736" s="984">
        <v>2401011000</v>
      </c>
      <c r="B1736" s="985"/>
      <c r="C1736" s="986" t="s">
        <v>146</v>
      </c>
      <c r="D1736" s="986">
        <v>2000000396</v>
      </c>
      <c r="E1736" s="987">
        <v>44937</v>
      </c>
      <c r="F1736" s="988"/>
      <c r="G1736" s="1287"/>
      <c r="H1736" s="335"/>
      <c r="I1736" s="989"/>
      <c r="J1736" s="1415">
        <f>+J1734</f>
        <v>1.0600499999999999</v>
      </c>
      <c r="K1736" s="1416">
        <f>VLOOKUP($E1736,'TRM BanRep'!$A:$K,11,0)</f>
        <v>1.07535</v>
      </c>
      <c r="L1736" s="336"/>
      <c r="M1736" s="1322">
        <f t="shared" ref="M1736" si="3558">+L1736*J1736</f>
        <v>0</v>
      </c>
      <c r="N1736" s="337"/>
      <c r="O1736" s="990">
        <f t="shared" ref="O1736" si="3559">+L1736*J1736*N1736</f>
        <v>0</v>
      </c>
      <c r="P1736" s="991">
        <f>-F1734</f>
        <v>-2776.19</v>
      </c>
      <c r="Q1736" s="1330">
        <f t="shared" ref="Q1736" si="3560">+P1736*K1736</f>
        <v>-2985.3759165000001</v>
      </c>
      <c r="R1736" s="337">
        <f>+H1734</f>
        <v>4761.6400000000003</v>
      </c>
      <c r="S1736" s="337">
        <f ca="1">IF(OR($E1736="",$E1736&gt;TODAY()),0,VLOOKUP($E1736,'TRM BanRep'!$A:$G,7,0))</f>
        <v>4807.8500000000004</v>
      </c>
      <c r="T1736" s="990">
        <f t="shared" ref="T1736" ca="1" si="3561">+P1736*K1736*S1736</f>
        <v>-14353239.600144526</v>
      </c>
      <c r="U1736" s="992">
        <f t="shared" ref="U1736" si="3562">+L1736+P1736+F1736</f>
        <v>-2776.19</v>
      </c>
      <c r="V1736" s="990">
        <f t="shared" ref="V1736" si="3563">+P1736*J1736*R1736+L1736*J1736*N1736+F1736*J1736*H1736</f>
        <v>-14013031.353563581</v>
      </c>
      <c r="W1736" s="993">
        <f t="shared" ca="1" si="2962"/>
        <v>340208.24658094533</v>
      </c>
      <c r="X1736" s="994">
        <f t="shared" ca="1" si="2963"/>
        <v>0</v>
      </c>
      <c r="Y1736" s="995"/>
      <c r="Z1736" s="220"/>
      <c r="AA1736" s="15"/>
      <c r="AB1736" s="15"/>
      <c r="AC1736" s="15"/>
      <c r="AD1736" s="15"/>
      <c r="AE1736" s="15"/>
    </row>
    <row r="1737" spans="1:31" s="401" customFormat="1" hidden="1" outlineLevel="1">
      <c r="A1737" s="984">
        <v>2401011000</v>
      </c>
      <c r="B1737" s="985"/>
      <c r="C1737" s="986" t="s">
        <v>146</v>
      </c>
      <c r="D1737" s="986">
        <v>2000000630</v>
      </c>
      <c r="E1737" s="987">
        <v>44949</v>
      </c>
      <c r="F1737" s="988"/>
      <c r="G1737" s="1287"/>
      <c r="H1737" s="335"/>
      <c r="I1737" s="989"/>
      <c r="J1737" s="1415">
        <f>+J1735</f>
        <v>1.0649500000000001</v>
      </c>
      <c r="K1737" s="1416">
        <f>VLOOKUP($E1737,'TRM BanRep'!$A:$K,11,0)</f>
        <v>1.0865</v>
      </c>
      <c r="L1737" s="336"/>
      <c r="M1737" s="1322">
        <f t="shared" ref="M1737" si="3564">+L1737*J1737</f>
        <v>0</v>
      </c>
      <c r="N1737" s="337"/>
      <c r="O1737" s="990">
        <f t="shared" ref="O1737" si="3565">+L1737*J1737*N1737</f>
        <v>0</v>
      </c>
      <c r="P1737" s="991">
        <f>-F1735</f>
        <v>-205.04</v>
      </c>
      <c r="Q1737" s="1330">
        <f t="shared" ref="Q1737" si="3566">+P1737*K1737</f>
        <v>-222.77596</v>
      </c>
      <c r="R1737" s="337">
        <f>+H1735</f>
        <v>4745.04</v>
      </c>
      <c r="S1737" s="337">
        <f ca="1">IF(OR($E1737="",$E1737&gt;TODAY()),0,VLOOKUP($E1737,'TRM BanRep'!$A:$G,7,0))</f>
        <v>4631.6400000000003</v>
      </c>
      <c r="T1737" s="990">
        <f t="shared" ref="T1737" ca="1" si="3567">+P1737*K1737*S1737</f>
        <v>-1031818.0473744001</v>
      </c>
      <c r="U1737" s="992">
        <f t="shared" ref="U1737" si="3568">+L1737+P1737+F1737</f>
        <v>-205.04</v>
      </c>
      <c r="V1737" s="990">
        <f t="shared" ref="V1737" si="3569">+P1737*J1737*R1737+L1737*J1737*N1737+F1737*J1737*H1737</f>
        <v>-1036114.35055392</v>
      </c>
      <c r="W1737" s="993">
        <f t="shared" ref="W1737" ca="1" si="3570">-(IF(-P1737*J1737*R1737&lt;-P1737*K1737*S1737,(-P1737*J1737*R1737)-(-P1737*K1737*S1737),0))</f>
        <v>0</v>
      </c>
      <c r="X1737" s="994">
        <f t="shared" ref="X1737" ca="1" si="3571">-(IF(-P1737*J1737*R1737&gt;-P1737*K1737*S1737,(-P1737*J1737*R1737)-(-P1737*K1737*S1737),0))</f>
        <v>-4296.3031795199495</v>
      </c>
      <c r="Y1737" s="995"/>
      <c r="Z1737" s="220"/>
      <c r="AA1737" s="15"/>
      <c r="AB1737" s="15"/>
      <c r="AC1737" s="15"/>
      <c r="AD1737" s="15"/>
      <c r="AE1737" s="15"/>
    </row>
    <row r="1738" spans="1:31" s="401" customFormat="1" collapsed="1">
      <c r="A1738" s="984"/>
      <c r="B1738" s="2451"/>
      <c r="C1738" s="2452"/>
      <c r="D1738" s="2452"/>
      <c r="E1738" s="987"/>
      <c r="F1738" s="988"/>
      <c r="G1738" s="1287"/>
      <c r="H1738" s="2453"/>
      <c r="I1738" s="989"/>
      <c r="J1738" s="2454"/>
      <c r="K1738" s="2455"/>
      <c r="L1738" s="336"/>
      <c r="M1738" s="1322"/>
      <c r="N1738" s="2456"/>
      <c r="O1738" s="1507"/>
      <c r="P1738" s="991"/>
      <c r="Q1738" s="1330"/>
      <c r="R1738" s="2456"/>
      <c r="S1738" s="2456"/>
      <c r="T1738" s="1507"/>
      <c r="U1738" s="2347"/>
      <c r="V1738" s="1507"/>
      <c r="W1738" s="1506"/>
      <c r="X1738" s="2457"/>
      <c r="Y1738" s="995"/>
      <c r="Z1738" s="220"/>
      <c r="AA1738" s="15"/>
      <c r="AB1738" s="15"/>
      <c r="AC1738" s="15"/>
      <c r="AD1738" s="15"/>
      <c r="AE1738" s="15"/>
    </row>
    <row r="1739" spans="1:31" s="401" customFormat="1">
      <c r="A1739" s="1019">
        <v>2401011000</v>
      </c>
      <c r="B1739" s="1020" t="s">
        <v>2561</v>
      </c>
      <c r="C1739" s="1021" t="s">
        <v>146</v>
      </c>
      <c r="D1739" s="1021">
        <v>5100002778</v>
      </c>
      <c r="E1739" s="1022">
        <v>45027</v>
      </c>
      <c r="F1739" s="1023"/>
      <c r="G1739" s="1290"/>
      <c r="H1739" s="352"/>
      <c r="I1739" s="1024"/>
      <c r="J1739" s="1588">
        <f>VLOOKUP($E1739,'TRM BanRep'!$A:$K,11,0)</f>
        <v>1.0912500000000001</v>
      </c>
      <c r="K1739" s="357"/>
      <c r="L1739" s="1026">
        <v>1474.04</v>
      </c>
      <c r="M1739" s="1324">
        <f t="shared" si="2966"/>
        <v>1608.5461500000001</v>
      </c>
      <c r="N1739" s="353">
        <f ca="1">IF(OR(E1739="",E1739&gt;TODAY()),0,IF(ISERROR(VLOOKUP($E1739,'TRM BanRep'!$A:$G,7,0)),0,VLOOKUP($E1739,'TRM BanRep'!$A:$G,7,0)))</f>
        <v>4564.24</v>
      </c>
      <c r="O1739" s="357">
        <f t="shared" ref="O1739" ca="1" si="3572">+L1739*J1739*N1739</f>
        <v>7341790.679676</v>
      </c>
      <c r="P1739" s="1026"/>
      <c r="Q1739" s="1324">
        <f t="shared" si="2968"/>
        <v>0</v>
      </c>
      <c r="R1739" s="353"/>
      <c r="S1739" s="353"/>
      <c r="T1739" s="357">
        <f t="shared" si="2969"/>
        <v>0</v>
      </c>
      <c r="U1739" s="1026">
        <f t="shared" si="2970"/>
        <v>1474.04</v>
      </c>
      <c r="V1739" s="357">
        <f t="shared" ca="1" si="2971"/>
        <v>7341790.679676</v>
      </c>
      <c r="W1739" s="358">
        <f t="shared" ref="W1739:W1764" si="3573">-(IF(-P1739*J1739*R1739&lt;-P1739*K1739*S1739,(-P1739*J1739*R1739)-(-P1739*K1739*S1739),0))</f>
        <v>0</v>
      </c>
      <c r="X1739" s="359">
        <f t="shared" ref="X1739:X1764" si="3574">-(IF(-P1739*J1739*R1739&gt;-P1739*K1739*S1739,(-P1739*J1739*R1739)-(-P1739*K1739*S1739),0))</f>
        <v>0</v>
      </c>
      <c r="Y1739" s="1030"/>
      <c r="Z1739" s="220"/>
      <c r="AA1739" s="15"/>
      <c r="AB1739" s="15"/>
      <c r="AC1739" s="15"/>
      <c r="AD1739" s="333"/>
      <c r="AE1739" s="333"/>
    </row>
    <row r="1740" spans="1:31" s="401" customFormat="1">
      <c r="A1740" s="1019">
        <v>2401011000</v>
      </c>
      <c r="B1740" s="1020"/>
      <c r="C1740" s="1021" t="s">
        <v>146</v>
      </c>
      <c r="D1740" s="1021"/>
      <c r="E1740" s="1022">
        <v>45027</v>
      </c>
      <c r="F1740" s="1023"/>
      <c r="G1740" s="1290"/>
      <c r="H1740" s="352"/>
      <c r="I1740" s="1024"/>
      <c r="J1740" s="1588">
        <f>VLOOKUP($E1740,'TRM BanRep'!$A:$K,11,0)</f>
        <v>1.0912500000000001</v>
      </c>
      <c r="K1740" s="357"/>
      <c r="L1740" s="1026"/>
      <c r="M1740" s="1324">
        <f t="shared" ref="M1740" si="3575">+L1740*J1740</f>
        <v>0</v>
      </c>
      <c r="N1740" s="353">
        <f ca="1">IF(OR(E1740="",E1740&gt;TODAY()),0,IF(ISERROR(VLOOKUP($E1740,'TRM BanRep'!$A:$G,7,0)),0,VLOOKUP($E1740,'TRM BanRep'!$A:$G,7,0)))</f>
        <v>4564.24</v>
      </c>
      <c r="O1740" s="357">
        <f t="shared" ref="O1740" ca="1" si="3576">+L1740*J1740*N1740</f>
        <v>0</v>
      </c>
      <c r="P1740" s="1026"/>
      <c r="Q1740" s="1324">
        <f t="shared" ref="Q1740" si="3577">+P1740*K1740</f>
        <v>0</v>
      </c>
      <c r="R1740" s="353"/>
      <c r="S1740" s="353"/>
      <c r="T1740" s="357">
        <f t="shared" ref="T1740" si="3578">+P1740*K1740*S1740</f>
        <v>0</v>
      </c>
      <c r="U1740" s="1026">
        <f t="shared" ref="U1740" si="3579">+L1740+P1740+F1740</f>
        <v>0</v>
      </c>
      <c r="V1740" s="357">
        <f t="shared" ref="V1740" ca="1" si="3580">+P1740*J1740*R1740+L1740*J1740*N1740+F1740*J1740*H1740</f>
        <v>0</v>
      </c>
      <c r="W1740" s="358">
        <f t="shared" ref="W1740" si="3581">-(IF(-P1740*J1740*R1740&lt;-P1740*K1740*S1740,(-P1740*J1740*R1740)-(-P1740*K1740*S1740),0))</f>
        <v>0</v>
      </c>
      <c r="X1740" s="359">
        <f t="shared" ref="X1740" si="3582">-(IF(-P1740*J1740*R1740&gt;-P1740*K1740*S1740,(-P1740*J1740*R1740)-(-P1740*K1740*S1740),0))</f>
        <v>0</v>
      </c>
      <c r="Y1740" s="1030"/>
      <c r="Z1740" s="220"/>
      <c r="AA1740" s="15"/>
      <c r="AB1740" s="15"/>
      <c r="AC1740" s="15"/>
      <c r="AD1740" s="333"/>
      <c r="AE1740" s="333"/>
    </row>
    <row r="1741" spans="1:31" s="401" customFormat="1">
      <c r="A1741" s="1019">
        <v>2401011000</v>
      </c>
      <c r="B1741" s="1020"/>
      <c r="C1741" s="1021" t="s">
        <v>146</v>
      </c>
      <c r="D1741" s="1021"/>
      <c r="E1741" s="1022"/>
      <c r="F1741" s="1023"/>
      <c r="G1741" s="1290"/>
      <c r="H1741" s="352"/>
      <c r="I1741" s="1024"/>
      <c r="J1741" s="1588"/>
      <c r="K1741" s="357"/>
      <c r="L1741" s="1026"/>
      <c r="M1741" s="1324">
        <f t="shared" ref="M1741" si="3583">+L1741*J1741</f>
        <v>0</v>
      </c>
      <c r="N1741" s="353"/>
      <c r="O1741" s="357">
        <f t="shared" ref="O1741" si="3584">+L1741*J1741*N1741</f>
        <v>0</v>
      </c>
      <c r="P1741" s="1026"/>
      <c r="Q1741" s="1324">
        <f t="shared" ref="Q1741" si="3585">+P1741*K1741</f>
        <v>0</v>
      </c>
      <c r="R1741" s="353"/>
      <c r="S1741" s="353"/>
      <c r="T1741" s="357">
        <f t="shared" ref="T1741" si="3586">+P1741*K1741*S1741</f>
        <v>0</v>
      </c>
      <c r="U1741" s="1026">
        <f t="shared" ref="U1741" si="3587">+L1741+P1741+F1741</f>
        <v>0</v>
      </c>
      <c r="V1741" s="357">
        <f t="shared" ref="V1741" si="3588">+P1741*J1741*R1741+L1741*J1741*N1741+F1741*J1741*H1741</f>
        <v>0</v>
      </c>
      <c r="W1741" s="358">
        <f t="shared" ref="W1741" si="3589">-(IF(-P1741*J1741*R1741&lt;-P1741*K1741*S1741,(-P1741*J1741*R1741)-(-P1741*K1741*S1741),0))</f>
        <v>0</v>
      </c>
      <c r="X1741" s="359">
        <f t="shared" ref="X1741" si="3590">-(IF(-P1741*J1741*R1741&gt;-P1741*K1741*S1741,(-P1741*J1741*R1741)-(-P1741*K1741*S1741),0))</f>
        <v>0</v>
      </c>
      <c r="Y1741" s="1030"/>
      <c r="Z1741" s="220"/>
      <c r="AA1741" s="15"/>
      <c r="AB1741" s="15"/>
      <c r="AC1741" s="15"/>
      <c r="AD1741" s="333"/>
      <c r="AE1741" s="333"/>
    </row>
    <row r="1742" spans="1:31" s="401" customFormat="1">
      <c r="A1742" s="1011"/>
      <c r="B1742" s="1012"/>
      <c r="C1742" s="1013"/>
      <c r="D1742" s="1013"/>
      <c r="E1742" s="1014"/>
      <c r="F1742" s="1015"/>
      <c r="G1742" s="1293"/>
      <c r="H1742" s="346"/>
      <c r="I1742" s="1016"/>
      <c r="J1742" s="1501"/>
      <c r="K1742" s="1502"/>
      <c r="L1742" s="347"/>
      <c r="M1742" s="1329">
        <f t="shared" si="2966"/>
        <v>0</v>
      </c>
      <c r="N1742" s="348"/>
      <c r="O1742" s="897">
        <f t="shared" si="2967"/>
        <v>0</v>
      </c>
      <c r="P1742" s="1017"/>
      <c r="Q1742" s="1362">
        <f t="shared" si="2968"/>
        <v>0</v>
      </c>
      <c r="R1742" s="349"/>
      <c r="S1742" s="349"/>
      <c r="T1742" s="895">
        <f t="shared" si="2969"/>
        <v>0</v>
      </c>
      <c r="U1742" s="350">
        <f t="shared" si="2970"/>
        <v>0</v>
      </c>
      <c r="V1742" s="918">
        <f t="shared" si="2971"/>
        <v>0</v>
      </c>
      <c r="W1742" s="351">
        <f t="shared" si="3573"/>
        <v>0</v>
      </c>
      <c r="X1742" s="919">
        <f t="shared" si="3574"/>
        <v>0</v>
      </c>
      <c r="Y1742" s="1018"/>
      <c r="Z1742" s="220"/>
      <c r="AA1742" s="15"/>
      <c r="AB1742" s="15"/>
      <c r="AC1742" s="15"/>
      <c r="AD1742" s="15"/>
      <c r="AE1742" s="15"/>
    </row>
    <row r="1743" spans="1:31" s="401" customFormat="1">
      <c r="A1743" s="1011">
        <v>2401011000</v>
      </c>
      <c r="B1743" s="1012" t="s">
        <v>2321</v>
      </c>
      <c r="C1743" s="1013" t="s">
        <v>146</v>
      </c>
      <c r="D1743" s="1013">
        <v>5100000065</v>
      </c>
      <c r="E1743" s="1014">
        <v>44931</v>
      </c>
      <c r="F1743" s="1015"/>
      <c r="G1743" s="1293"/>
      <c r="H1743" s="346"/>
      <c r="I1743" s="1016"/>
      <c r="J1743" s="1503">
        <f>VLOOKUP($E1743,'TRM BanRep'!$A:$K,11,0)</f>
        <v>1.0519499999999999</v>
      </c>
      <c r="K1743" s="1504"/>
      <c r="L1743" s="1036">
        <v>8710.93</v>
      </c>
      <c r="M1743" s="1325">
        <f t="shared" si="2966"/>
        <v>9163.4628135000003</v>
      </c>
      <c r="N1743" s="348">
        <f ca="1">IF(OR(E1743="",E1743&gt;TODAY()),0,IF(ISERROR(VLOOKUP($E1743,'TRM BanRep'!$A:$G,7,0)),0,VLOOKUP($E1743,'TRM BanRep'!$A:$G,7,0)))</f>
        <v>4924</v>
      </c>
      <c r="O1743" s="897">
        <f t="shared" ca="1" si="2967"/>
        <v>45120890.893674001</v>
      </c>
      <c r="P1743" s="1017"/>
      <c r="Q1743" s="1362">
        <f t="shared" si="2968"/>
        <v>0</v>
      </c>
      <c r="R1743" s="349"/>
      <c r="S1743" s="349"/>
      <c r="T1743" s="895">
        <f t="shared" si="2969"/>
        <v>0</v>
      </c>
      <c r="U1743" s="350">
        <f t="shared" si="2970"/>
        <v>8710.93</v>
      </c>
      <c r="V1743" s="918">
        <f t="shared" ca="1" si="2971"/>
        <v>45120890.893674001</v>
      </c>
      <c r="W1743" s="351">
        <f t="shared" si="3573"/>
        <v>0</v>
      </c>
      <c r="X1743" s="919">
        <f t="shared" si="3574"/>
        <v>0</v>
      </c>
      <c r="Y1743" s="1018"/>
      <c r="Z1743" s="220"/>
      <c r="AA1743" s="15"/>
      <c r="AB1743" s="15"/>
      <c r="AC1743" s="15"/>
      <c r="AD1743" s="15"/>
      <c r="AE1743" s="15"/>
    </row>
    <row r="1744" spans="1:31" s="401" customFormat="1" outlineLevel="1">
      <c r="A1744" s="1011">
        <v>2401011000</v>
      </c>
      <c r="B1744" s="1012" t="s">
        <v>1366</v>
      </c>
      <c r="C1744" s="1013" t="s">
        <v>146</v>
      </c>
      <c r="D1744" s="1013">
        <v>2000000421</v>
      </c>
      <c r="E1744" s="1014">
        <v>44939</v>
      </c>
      <c r="F1744" s="1015"/>
      <c r="G1744" s="1293"/>
      <c r="H1744" s="346"/>
      <c r="I1744" s="1016"/>
      <c r="J1744" s="1503">
        <f>+J1743</f>
        <v>1.0519499999999999</v>
      </c>
      <c r="K1744" s="1504">
        <f>VLOOKUP($E1744,'TRM BanRep'!$A:$K,11,0)</f>
        <v>1.0829500000000001</v>
      </c>
      <c r="L1744" s="1036"/>
      <c r="M1744" s="1325">
        <f t="shared" si="2966"/>
        <v>0</v>
      </c>
      <c r="N1744" s="348">
        <f ca="1">IF(OR(E1744="",E1744&gt;TODAY()),0,IF(ISERROR(VLOOKUP($E1744,'TRM BanRep'!$A:$G,7,0)),0,VLOOKUP($E1744,'TRM BanRep'!$A:$G,7,0)))</f>
        <v>4692.04</v>
      </c>
      <c r="O1744" s="897">
        <f t="shared" ca="1" si="2967"/>
        <v>0</v>
      </c>
      <c r="P1744" s="1017">
        <f>-L1743</f>
        <v>-8710.93</v>
      </c>
      <c r="Q1744" s="1362">
        <f t="shared" si="2968"/>
        <v>-9433.5016435000016</v>
      </c>
      <c r="R1744" s="349">
        <f ca="1">+N1743</f>
        <v>4924</v>
      </c>
      <c r="S1744" s="349">
        <f ca="1">IF(OR(E1744="",E1744&gt;TODAY()),0,IF(ISERROR(VLOOKUP($E1744,'TRM BanRep'!$A:$G,7,0)),0,VLOOKUP($E1744,'TRM BanRep'!$A:$G,7,0)))</f>
        <v>4692.04</v>
      </c>
      <c r="T1744" s="895">
        <f t="shared" ca="1" si="2969"/>
        <v>-44262367.051367745</v>
      </c>
      <c r="U1744" s="350">
        <f t="shared" si="2970"/>
        <v>-8710.93</v>
      </c>
      <c r="V1744" s="918">
        <f t="shared" ca="1" si="2971"/>
        <v>-45120890.893674001</v>
      </c>
      <c r="W1744" s="351">
        <f t="shared" ca="1" si="3573"/>
        <v>0</v>
      </c>
      <c r="X1744" s="919">
        <f t="shared" ca="1" si="3574"/>
        <v>-858523.84230625629</v>
      </c>
      <c r="Y1744" s="1018"/>
      <c r="Z1744" s="220"/>
      <c r="AA1744" s="15"/>
      <c r="AB1744" s="15"/>
      <c r="AC1744" s="15"/>
      <c r="AD1744" s="15"/>
      <c r="AE1744" s="15"/>
    </row>
    <row r="1745" spans="1:31" s="401" customFormat="1" outlineLevel="1">
      <c r="A1745" s="1011">
        <v>2401011000</v>
      </c>
      <c r="B1745" s="1012" t="s">
        <v>2322</v>
      </c>
      <c r="C1745" s="1013" t="s">
        <v>146</v>
      </c>
      <c r="D1745" s="1013">
        <v>5100000483</v>
      </c>
      <c r="E1745" s="1014">
        <v>44949</v>
      </c>
      <c r="F1745" s="1015"/>
      <c r="G1745" s="1293"/>
      <c r="H1745" s="346"/>
      <c r="I1745" s="1016"/>
      <c r="J1745" s="1503">
        <f>VLOOKUP($E1745,'TRM BanRep'!$A:$K,11,0)</f>
        <v>1.0865</v>
      </c>
      <c r="K1745" s="1504"/>
      <c r="L1745" s="1036">
        <v>799.08</v>
      </c>
      <c r="M1745" s="1325">
        <f t="shared" ref="M1745:M1751" si="3591">+L1745*J1745</f>
        <v>868.20042000000001</v>
      </c>
      <c r="N1745" s="348">
        <f ca="1">IF(OR(E1745="",E1745&gt;TODAY()),0,IF(ISERROR(VLOOKUP($E1745,'TRM BanRep'!$A:$G,7,0)),0,VLOOKUP($E1745,'TRM BanRep'!$A:$G,7,0)))</f>
        <v>4631.6400000000003</v>
      </c>
      <c r="O1745" s="897">
        <f t="shared" ca="1" si="2967"/>
        <v>4021191.7932888004</v>
      </c>
      <c r="P1745" s="1017"/>
      <c r="Q1745" s="1362">
        <f t="shared" ref="Q1745:Q1751" si="3592">+P1745*K1745</f>
        <v>0</v>
      </c>
      <c r="R1745" s="349"/>
      <c r="S1745" s="349">
        <f ca="1">IF(OR(E1745="",E1745&gt;TODAY()),0,IF(ISERROR(VLOOKUP($E1745,'TRM BanRep'!$A:$G,7,0)),0,VLOOKUP($E1745,'TRM BanRep'!$A:$G,7,0)))</f>
        <v>4631.6400000000003</v>
      </c>
      <c r="T1745" s="895">
        <f t="shared" ref="T1745:T1751" ca="1" si="3593">+P1745*K1745*S1745</f>
        <v>0</v>
      </c>
      <c r="U1745" s="350">
        <f t="shared" ref="U1745:U1751" si="3594">+L1745+P1745+F1745</f>
        <v>799.08</v>
      </c>
      <c r="V1745" s="918">
        <f t="shared" ref="V1745:V1751" ca="1" si="3595">+P1745*J1745*R1745+L1745*J1745*N1745+F1745*J1745*H1745</f>
        <v>4021191.7932888004</v>
      </c>
      <c r="W1745" s="351">
        <f t="shared" ref="W1745:W1751" ca="1" si="3596">-(IF(-P1745*J1745*R1745&lt;-P1745*K1745*S1745,(-P1745*J1745*R1745)-(-P1745*K1745*S1745),0))</f>
        <v>0</v>
      </c>
      <c r="X1745" s="919">
        <f t="shared" ref="X1745:X1751" ca="1" si="3597">-(IF(-P1745*J1745*R1745&gt;-P1745*K1745*S1745,(-P1745*J1745*R1745)-(-P1745*K1745*S1745),0))</f>
        <v>0</v>
      </c>
      <c r="Y1745" s="1018"/>
      <c r="Z1745" s="220"/>
      <c r="AA1745" s="15"/>
      <c r="AB1745" s="15"/>
      <c r="AC1745" s="15"/>
      <c r="AD1745" s="15"/>
      <c r="AE1745" s="15"/>
    </row>
    <row r="1746" spans="1:31" s="401" customFormat="1" outlineLevel="1">
      <c r="A1746" s="1011">
        <v>2401011000</v>
      </c>
      <c r="B1746" s="1012" t="s">
        <v>1366</v>
      </c>
      <c r="C1746" s="1013" t="s">
        <v>146</v>
      </c>
      <c r="D1746" s="1013">
        <v>2000000973</v>
      </c>
      <c r="E1746" s="1014">
        <v>44964</v>
      </c>
      <c r="F1746" s="1015"/>
      <c r="G1746" s="1293"/>
      <c r="H1746" s="346"/>
      <c r="I1746" s="1016"/>
      <c r="J1746" s="1503">
        <f>+J1745</f>
        <v>1.0865</v>
      </c>
      <c r="K1746" s="1504">
        <f>VLOOKUP($E1746,'TRM BanRep'!$A:$K,11,0)</f>
        <v>1.06925</v>
      </c>
      <c r="L1746" s="1036"/>
      <c r="M1746" s="1325">
        <f t="shared" si="3591"/>
        <v>0</v>
      </c>
      <c r="N1746" s="348">
        <f ca="1">IF(OR(E1746="",E1746&gt;TODAY()),0,IF(ISERROR(VLOOKUP($E1746,'TRM BanRep'!$A:$G,7,0)),0,VLOOKUP($E1746,'TRM BanRep'!$A:$G,7,0)))</f>
        <v>4776.25</v>
      </c>
      <c r="O1746" s="897">
        <f t="shared" ref="O1746" ca="1" si="3598">+L1746*J1746*N1746</f>
        <v>0</v>
      </c>
      <c r="P1746" s="1017">
        <f>-L1745</f>
        <v>-799.08</v>
      </c>
      <c r="Q1746" s="1362">
        <f t="shared" si="3592"/>
        <v>-854.41629000000012</v>
      </c>
      <c r="R1746" s="349">
        <f ca="1">+N1745</f>
        <v>4631.6400000000003</v>
      </c>
      <c r="S1746" s="349">
        <f ca="1">IF(OR(E1746="",E1746&gt;TODAY()),0,IF(ISERROR(VLOOKUP($E1746,'TRM BanRep'!$A:$G,7,0)),0,VLOOKUP($E1746,'TRM BanRep'!$A:$G,7,0)))</f>
        <v>4776.25</v>
      </c>
      <c r="T1746" s="895">
        <f t="shared" ca="1" si="3593"/>
        <v>-4080905.8051125007</v>
      </c>
      <c r="U1746" s="350">
        <f t="shared" si="3594"/>
        <v>-799.08</v>
      </c>
      <c r="V1746" s="918">
        <f t="shared" ca="1" si="3595"/>
        <v>-4021191.7932888004</v>
      </c>
      <c r="W1746" s="351">
        <f t="shared" ca="1" si="3596"/>
        <v>59714.011823700275</v>
      </c>
      <c r="X1746" s="919">
        <f t="shared" ca="1" si="3597"/>
        <v>0</v>
      </c>
      <c r="Y1746" s="1018"/>
      <c r="Z1746" s="220"/>
      <c r="AA1746" s="15"/>
      <c r="AB1746" s="15"/>
      <c r="AC1746" s="15"/>
      <c r="AD1746" s="15"/>
      <c r="AE1746" s="15"/>
    </row>
    <row r="1747" spans="1:31" s="401" customFormat="1" outlineLevel="1">
      <c r="A1747" s="1011">
        <v>2401011000</v>
      </c>
      <c r="B1747" s="1012" t="s">
        <v>2323</v>
      </c>
      <c r="C1747" s="1013" t="s">
        <v>146</v>
      </c>
      <c r="D1747" s="1013">
        <v>5100000488</v>
      </c>
      <c r="E1747" s="1014">
        <v>44949</v>
      </c>
      <c r="F1747" s="1015"/>
      <c r="G1747" s="1293"/>
      <c r="H1747" s="346"/>
      <c r="I1747" s="1016"/>
      <c r="J1747" s="1503">
        <f>VLOOKUP($E1747,'TRM BanRep'!$A:$K,11,0)</f>
        <v>1.0865</v>
      </c>
      <c r="K1747" s="1504"/>
      <c r="L1747" s="1036">
        <v>3056.23</v>
      </c>
      <c r="M1747" s="1325">
        <f t="shared" si="3591"/>
        <v>3320.593895</v>
      </c>
      <c r="N1747" s="348">
        <f ca="1">IF(OR(E1747="",E1747&gt;TODAY()),0,IF(ISERROR(VLOOKUP($E1747,'TRM BanRep'!$A:$G,7,0)),0,VLOOKUP($E1747,'TRM BanRep'!$A:$G,7,0)))</f>
        <v>4631.6400000000003</v>
      </c>
      <c r="O1747" s="897">
        <f t="shared" ca="1" si="2967"/>
        <v>15379795.5078378</v>
      </c>
      <c r="P1747" s="1017"/>
      <c r="Q1747" s="1362">
        <f t="shared" si="3592"/>
        <v>0</v>
      </c>
      <c r="R1747" s="349"/>
      <c r="S1747" s="349">
        <f ca="1">IF(OR(E1747="",E1747&gt;TODAY()),0,IF(ISERROR(VLOOKUP($E1747,'TRM BanRep'!$A:$G,7,0)),0,VLOOKUP($E1747,'TRM BanRep'!$A:$G,7,0)))</f>
        <v>4631.6400000000003</v>
      </c>
      <c r="T1747" s="895">
        <f t="shared" ca="1" si="3593"/>
        <v>0</v>
      </c>
      <c r="U1747" s="350">
        <f t="shared" si="3594"/>
        <v>3056.23</v>
      </c>
      <c r="V1747" s="918">
        <f t="shared" ca="1" si="3595"/>
        <v>15379795.5078378</v>
      </c>
      <c r="W1747" s="351">
        <f t="shared" ca="1" si="3596"/>
        <v>0</v>
      </c>
      <c r="X1747" s="919">
        <f t="shared" ca="1" si="3597"/>
        <v>0</v>
      </c>
      <c r="Y1747" s="1018"/>
      <c r="Z1747" s="220"/>
      <c r="AA1747" s="15"/>
      <c r="AB1747" s="15"/>
      <c r="AC1747" s="15"/>
      <c r="AD1747" s="15"/>
      <c r="AE1747" s="15"/>
    </row>
    <row r="1748" spans="1:31" s="401" customFormat="1" outlineLevel="1">
      <c r="A1748" s="1011">
        <v>2401011000</v>
      </c>
      <c r="B1748" s="1012" t="s">
        <v>1366</v>
      </c>
      <c r="C1748" s="1013" t="s">
        <v>146</v>
      </c>
      <c r="D1748" s="1013">
        <v>2000001590</v>
      </c>
      <c r="E1748" s="1014">
        <v>44979</v>
      </c>
      <c r="F1748" s="1015"/>
      <c r="G1748" s="1293"/>
      <c r="H1748" s="346"/>
      <c r="I1748" s="1016"/>
      <c r="J1748" s="1503">
        <f>+J1747</f>
        <v>1.0865</v>
      </c>
      <c r="K1748" s="1504">
        <f>VLOOKUP($E1748,'TRM BanRep'!$A:$K,11,0)</f>
        <v>1.0628</v>
      </c>
      <c r="L1748" s="1036"/>
      <c r="M1748" s="1325">
        <f t="shared" ref="M1748" si="3599">+L1748*J1748</f>
        <v>0</v>
      </c>
      <c r="N1748" s="348">
        <f ca="1">IF(OR(E1748="",E1748&gt;TODAY()),0,IF(ISERROR(VLOOKUP($E1748,'TRM BanRep'!$A:$G,7,0)),0,VLOOKUP($E1748,'TRM BanRep'!$A:$G,7,0)))</f>
        <v>4950.33</v>
      </c>
      <c r="O1748" s="897">
        <f t="shared" ca="1" si="2967"/>
        <v>0</v>
      </c>
      <c r="P1748" s="1017">
        <f>-L1747</f>
        <v>-3056.23</v>
      </c>
      <c r="Q1748" s="1362">
        <f t="shared" ref="Q1748" si="3600">+P1748*K1748</f>
        <v>-3248.1612439999999</v>
      </c>
      <c r="R1748" s="349">
        <f ca="1">+N1747</f>
        <v>4631.6400000000003</v>
      </c>
      <c r="S1748" s="349">
        <f ca="1">IF(OR(E1748="",E1748&gt;TODAY()),0,IF(ISERROR(VLOOKUP($E1748,'TRM BanRep'!$A:$G,7,0)),0,VLOOKUP($E1748,'TRM BanRep'!$A:$G,7,0)))</f>
        <v>4950.33</v>
      </c>
      <c r="T1748" s="895">
        <f t="shared" ref="T1748" ca="1" si="3601">+P1748*K1748*S1748</f>
        <v>-16079470.051010519</v>
      </c>
      <c r="U1748" s="350">
        <f t="shared" ref="U1748" si="3602">+L1748+P1748+F1748</f>
        <v>-3056.23</v>
      </c>
      <c r="V1748" s="918">
        <f t="shared" ref="V1748" ca="1" si="3603">+P1748*J1748*R1748+L1748*J1748*N1748+F1748*J1748*H1748</f>
        <v>-15379795.5078378</v>
      </c>
      <c r="W1748" s="351">
        <f t="shared" ref="W1748" ca="1" si="3604">-(IF(-P1748*J1748*R1748&lt;-P1748*K1748*S1748,(-P1748*J1748*R1748)-(-P1748*K1748*S1748),0))</f>
        <v>699674.54317271896</v>
      </c>
      <c r="X1748" s="919">
        <f t="shared" ref="X1748" ca="1" si="3605">-(IF(-P1748*J1748*R1748&gt;-P1748*K1748*S1748,(-P1748*J1748*R1748)-(-P1748*K1748*S1748),0))</f>
        <v>0</v>
      </c>
      <c r="Y1748" s="1018"/>
      <c r="Z1748" s="220"/>
      <c r="AA1748" s="15"/>
      <c r="AB1748" s="15"/>
      <c r="AC1748" s="15"/>
      <c r="AD1748" s="15"/>
      <c r="AE1748" s="15"/>
    </row>
    <row r="1749" spans="1:31" s="401" customFormat="1" outlineLevel="1">
      <c r="A1749" s="1011">
        <v>2401011000</v>
      </c>
      <c r="B1749" s="1012" t="s">
        <v>2324</v>
      </c>
      <c r="C1749" s="1013" t="s">
        <v>146</v>
      </c>
      <c r="D1749" s="1013">
        <v>5100000504</v>
      </c>
      <c r="E1749" s="1014">
        <v>44949</v>
      </c>
      <c r="F1749" s="1015"/>
      <c r="G1749" s="1293"/>
      <c r="H1749" s="346"/>
      <c r="I1749" s="1016"/>
      <c r="J1749" s="1503">
        <f>VLOOKUP($E1749,'TRM BanRep'!$A:$K,11,0)</f>
        <v>1.0865</v>
      </c>
      <c r="K1749" s="1504"/>
      <c r="L1749" s="1036">
        <v>532.17999999999995</v>
      </c>
      <c r="M1749" s="1325">
        <f t="shared" si="3591"/>
        <v>578.21357</v>
      </c>
      <c r="N1749" s="348">
        <f ca="1">IF(OR(E1749="",E1749&gt;TODAY()),0,IF(ISERROR(VLOOKUP($E1749,'TRM BanRep'!$A:$G,7,0)),0,VLOOKUP($E1749,'TRM BanRep'!$A:$G,7,0)))</f>
        <v>4631.6400000000003</v>
      </c>
      <c r="O1749" s="897">
        <f t="shared" ca="1" si="2967"/>
        <v>2678077.0993548003</v>
      </c>
      <c r="P1749" s="1017"/>
      <c r="Q1749" s="1362">
        <f t="shared" si="3592"/>
        <v>0</v>
      </c>
      <c r="R1749" s="349"/>
      <c r="S1749" s="349">
        <f ca="1">IF(OR(E1749="",E1749&gt;TODAY()),0,IF(ISERROR(VLOOKUP($E1749,'TRM BanRep'!$A:$G,7,0)),0,VLOOKUP($E1749,'TRM BanRep'!$A:$G,7,0)))</f>
        <v>4631.6400000000003</v>
      </c>
      <c r="T1749" s="895">
        <f t="shared" ca="1" si="3593"/>
        <v>0</v>
      </c>
      <c r="U1749" s="350">
        <f t="shared" si="3594"/>
        <v>532.17999999999995</v>
      </c>
      <c r="V1749" s="918">
        <f t="shared" ca="1" si="3595"/>
        <v>2678077.0993548003</v>
      </c>
      <c r="W1749" s="351">
        <f t="shared" ca="1" si="3596"/>
        <v>0</v>
      </c>
      <c r="X1749" s="919">
        <f t="shared" ca="1" si="3597"/>
        <v>0</v>
      </c>
      <c r="Y1749" s="1018"/>
      <c r="Z1749" s="220"/>
      <c r="AA1749" s="15"/>
      <c r="AB1749" s="15"/>
      <c r="AC1749" s="15"/>
      <c r="AD1749" s="15"/>
      <c r="AE1749" s="15"/>
    </row>
    <row r="1750" spans="1:31" s="401" customFormat="1" outlineLevel="1">
      <c r="A1750" s="1011">
        <v>2401011000</v>
      </c>
      <c r="B1750" s="1012" t="s">
        <v>1366</v>
      </c>
      <c r="C1750" s="1013" t="s">
        <v>146</v>
      </c>
      <c r="D1750" s="1013">
        <v>2000000973</v>
      </c>
      <c r="E1750" s="1014">
        <v>44964</v>
      </c>
      <c r="F1750" s="1015"/>
      <c r="G1750" s="1293"/>
      <c r="H1750" s="346"/>
      <c r="I1750" s="1016"/>
      <c r="J1750" s="1503">
        <f>+J1749</f>
        <v>1.0865</v>
      </c>
      <c r="K1750" s="1504">
        <f>VLOOKUP($E1750,'TRM BanRep'!$A:$K,11,0)</f>
        <v>1.06925</v>
      </c>
      <c r="L1750" s="1036"/>
      <c r="M1750" s="1325">
        <f t="shared" si="3591"/>
        <v>0</v>
      </c>
      <c r="N1750" s="348">
        <f ca="1">IF(OR(E1750="",E1750&gt;TODAY()),0,IF(ISERROR(VLOOKUP($E1750,'TRM BanRep'!$A:$G,7,0)),0,VLOOKUP($E1750,'TRM BanRep'!$A:$G,7,0)))</f>
        <v>4776.25</v>
      </c>
      <c r="O1750" s="897">
        <f t="shared" ref="O1750" ca="1" si="3606">+L1750*J1750*N1750</f>
        <v>0</v>
      </c>
      <c r="P1750" s="1017">
        <f>-L1749</f>
        <v>-532.17999999999995</v>
      </c>
      <c r="Q1750" s="1362">
        <f t="shared" si="3592"/>
        <v>-569.03346499999998</v>
      </c>
      <c r="R1750" s="349">
        <f ca="1">+N1749</f>
        <v>4631.6400000000003</v>
      </c>
      <c r="S1750" s="349">
        <f ca="1">IF(OR(E1750="",E1750&gt;TODAY()),0,IF(ISERROR(VLOOKUP($E1750,'TRM BanRep'!$A:$G,7,0)),0,VLOOKUP($E1750,'TRM BanRep'!$A:$G,7,0)))</f>
        <v>4776.25</v>
      </c>
      <c r="T1750" s="895">
        <f t="shared" ca="1" si="3593"/>
        <v>-2717846.0872062501</v>
      </c>
      <c r="U1750" s="350">
        <f t="shared" si="3594"/>
        <v>-532.17999999999995</v>
      </c>
      <c r="V1750" s="918">
        <f t="shared" ca="1" si="3595"/>
        <v>-2678077.0993548003</v>
      </c>
      <c r="W1750" s="351">
        <f t="shared" ca="1" si="3596"/>
        <v>39768.987851449754</v>
      </c>
      <c r="X1750" s="919">
        <f t="shared" ca="1" si="3597"/>
        <v>0</v>
      </c>
      <c r="Y1750" s="1018"/>
      <c r="Z1750" s="220"/>
      <c r="AA1750" s="15"/>
      <c r="AB1750" s="15"/>
      <c r="AC1750" s="15"/>
      <c r="AD1750" s="15"/>
      <c r="AE1750" s="15"/>
    </row>
    <row r="1751" spans="1:31" s="401" customFormat="1" outlineLevel="1">
      <c r="A1751" s="1011">
        <v>2401011000</v>
      </c>
      <c r="B1751" s="1012" t="s">
        <v>2325</v>
      </c>
      <c r="C1751" s="1013" t="s">
        <v>146</v>
      </c>
      <c r="D1751" s="1013">
        <v>5100000514</v>
      </c>
      <c r="E1751" s="1014">
        <v>44949</v>
      </c>
      <c r="F1751" s="1015"/>
      <c r="G1751" s="1293"/>
      <c r="H1751" s="346"/>
      <c r="I1751" s="1016"/>
      <c r="J1751" s="1503">
        <f>VLOOKUP($E1751,'TRM BanRep'!$A:$K,11,0)</f>
        <v>1.0865</v>
      </c>
      <c r="K1751" s="1504"/>
      <c r="L1751" s="1036">
        <v>2128.73</v>
      </c>
      <c r="M1751" s="1325">
        <f t="shared" si="3591"/>
        <v>2312.8651450000002</v>
      </c>
      <c r="N1751" s="348">
        <f ca="1">IF(OR(E1751="",E1751&gt;TODAY()),0,IF(ISERROR(VLOOKUP($E1751,'TRM BanRep'!$A:$G,7,0)),0,VLOOKUP($E1751,'TRM BanRep'!$A:$G,7,0)))</f>
        <v>4631.6400000000003</v>
      </c>
      <c r="O1751" s="897">
        <f t="shared" ca="1" si="2967"/>
        <v>10712358.720187802</v>
      </c>
      <c r="P1751" s="1017"/>
      <c r="Q1751" s="1362">
        <f t="shared" si="3592"/>
        <v>0</v>
      </c>
      <c r="R1751" s="349"/>
      <c r="S1751" s="349">
        <f ca="1">IF(OR(E1751="",E1751&gt;TODAY()),0,IF(ISERROR(VLOOKUP($E1751,'TRM BanRep'!$A:$G,7,0)),0,VLOOKUP($E1751,'TRM BanRep'!$A:$G,7,0)))</f>
        <v>4631.6400000000003</v>
      </c>
      <c r="T1751" s="895">
        <f t="shared" ca="1" si="3593"/>
        <v>0</v>
      </c>
      <c r="U1751" s="350">
        <f t="shared" si="3594"/>
        <v>2128.73</v>
      </c>
      <c r="V1751" s="918">
        <f t="shared" ca="1" si="3595"/>
        <v>10712358.720187802</v>
      </c>
      <c r="W1751" s="351">
        <f t="shared" ca="1" si="3596"/>
        <v>0</v>
      </c>
      <c r="X1751" s="919">
        <f t="shared" ca="1" si="3597"/>
        <v>0</v>
      </c>
      <c r="Y1751" s="1018"/>
      <c r="Z1751" s="220"/>
      <c r="AA1751" s="15"/>
      <c r="AB1751" s="15"/>
      <c r="AC1751" s="15"/>
      <c r="AD1751" s="15"/>
      <c r="AE1751" s="15"/>
    </row>
    <row r="1752" spans="1:31" s="401" customFormat="1" outlineLevel="1">
      <c r="A1752" s="1011">
        <v>2401011000</v>
      </c>
      <c r="B1752" s="1012" t="s">
        <v>1366</v>
      </c>
      <c r="C1752" s="1013" t="s">
        <v>146</v>
      </c>
      <c r="D1752" s="1013">
        <v>2000000973</v>
      </c>
      <c r="E1752" s="1014">
        <v>44964</v>
      </c>
      <c r="F1752" s="1015"/>
      <c r="G1752" s="1293"/>
      <c r="H1752" s="346"/>
      <c r="I1752" s="1016"/>
      <c r="J1752" s="1503">
        <f>+J1751</f>
        <v>1.0865</v>
      </c>
      <c r="K1752" s="1504">
        <f>VLOOKUP($E1752,'TRM BanRep'!$A:$K,11,0)</f>
        <v>1.06925</v>
      </c>
      <c r="L1752" s="1036"/>
      <c r="M1752" s="1325">
        <f t="shared" ref="M1752:M1756" si="3607">+L1752*J1752</f>
        <v>0</v>
      </c>
      <c r="N1752" s="348">
        <f ca="1">IF(OR(E1752="",E1752&gt;TODAY()),0,IF(ISERROR(VLOOKUP($E1752,'TRM BanRep'!$A:$G,7,0)),0,VLOOKUP($E1752,'TRM BanRep'!$A:$G,7,0)))</f>
        <v>4776.25</v>
      </c>
      <c r="O1752" s="897">
        <f t="shared" ca="1" si="2967"/>
        <v>0</v>
      </c>
      <c r="P1752" s="1017">
        <f>-L1751</f>
        <v>-2128.73</v>
      </c>
      <c r="Q1752" s="1362">
        <f t="shared" ref="Q1752:Q1756" si="3608">+P1752*K1752</f>
        <v>-2276.1445524999999</v>
      </c>
      <c r="R1752" s="349">
        <f ca="1">+N1751</f>
        <v>4631.6400000000003</v>
      </c>
      <c r="S1752" s="349">
        <f ca="1">IF(OR(E1752="",E1752&gt;TODAY()),0,IF(ISERROR(VLOOKUP($E1752,'TRM BanRep'!$A:$G,7,0)),0,VLOOKUP($E1752,'TRM BanRep'!$A:$G,7,0)))</f>
        <v>4776.25</v>
      </c>
      <c r="T1752" s="895">
        <f t="shared" ref="T1752:T1756" ca="1" si="3609">+P1752*K1752*S1752</f>
        <v>-10871435.418878125</v>
      </c>
      <c r="U1752" s="350">
        <f t="shared" ref="U1752:U1756" si="3610">+L1752+P1752+F1752</f>
        <v>-2128.73</v>
      </c>
      <c r="V1752" s="918">
        <f t="shared" ref="V1752:V1756" ca="1" si="3611">+P1752*J1752*R1752+L1752*J1752*N1752+F1752*J1752*H1752</f>
        <v>-10712358.720187802</v>
      </c>
      <c r="W1752" s="351">
        <f t="shared" ref="W1752:W1756" ca="1" si="3612">-(IF(-P1752*J1752*R1752&lt;-P1752*K1752*S1752,(-P1752*J1752*R1752)-(-P1752*K1752*S1752),0))</f>
        <v>159076.69869032316</v>
      </c>
      <c r="X1752" s="919">
        <f t="shared" ref="X1752:X1756" ca="1" si="3613">-(IF(-P1752*J1752*R1752&gt;-P1752*K1752*S1752,(-P1752*J1752*R1752)-(-P1752*K1752*S1752),0))</f>
        <v>0</v>
      </c>
      <c r="Y1752" s="1018"/>
      <c r="Z1752" s="220"/>
      <c r="AA1752" s="15"/>
      <c r="AB1752" s="15"/>
      <c r="AC1752" s="15"/>
      <c r="AD1752" s="15"/>
      <c r="AE1752" s="15"/>
    </row>
    <row r="1753" spans="1:31" s="401" customFormat="1" outlineLevel="1">
      <c r="A1753" s="1011">
        <v>2401011000</v>
      </c>
      <c r="B1753" s="1012" t="s">
        <v>2319</v>
      </c>
      <c r="C1753" s="1013" t="s">
        <v>146</v>
      </c>
      <c r="D1753" s="1013">
        <v>5100000953</v>
      </c>
      <c r="E1753" s="1014">
        <v>44965</v>
      </c>
      <c r="F1753" s="1015"/>
      <c r="G1753" s="1293"/>
      <c r="H1753" s="346"/>
      <c r="I1753" s="1016"/>
      <c r="J1753" s="1503">
        <f>VLOOKUP($E1753,'TRM BanRep'!$A:$K,11,0)</f>
        <v>1.0724499999999999</v>
      </c>
      <c r="K1753" s="1504"/>
      <c r="L1753" s="1036">
        <v>820.12</v>
      </c>
      <c r="M1753" s="1325">
        <f t="shared" si="3607"/>
        <v>879.53769399999987</v>
      </c>
      <c r="N1753" s="348">
        <f ca="1">IF(OR(E1753="",E1753&gt;TODAY()),0,IF(ISERROR(VLOOKUP($E1753,'TRM BanRep'!$A:$G,7,0)),0,VLOOKUP($E1753,'TRM BanRep'!$A:$G,7,0)))</f>
        <v>4775.99</v>
      </c>
      <c r="O1753" s="897">
        <f t="shared" ca="1" si="2967"/>
        <v>4200663.2311670594</v>
      </c>
      <c r="P1753" s="1017"/>
      <c r="Q1753" s="1362">
        <f t="shared" si="3608"/>
        <v>0</v>
      </c>
      <c r="R1753" s="349"/>
      <c r="S1753" s="349"/>
      <c r="T1753" s="895">
        <f t="shared" si="3609"/>
        <v>0</v>
      </c>
      <c r="U1753" s="350">
        <f t="shared" si="3610"/>
        <v>820.12</v>
      </c>
      <c r="V1753" s="918">
        <f t="shared" ca="1" si="3611"/>
        <v>4200663.2311670594</v>
      </c>
      <c r="W1753" s="351">
        <f t="shared" si="3612"/>
        <v>0</v>
      </c>
      <c r="X1753" s="919">
        <f t="shared" si="3613"/>
        <v>0</v>
      </c>
      <c r="Y1753" s="1018"/>
      <c r="Z1753" s="220"/>
      <c r="AA1753" s="15"/>
      <c r="AB1753" s="15"/>
      <c r="AC1753" s="15"/>
      <c r="AD1753" s="15"/>
      <c r="AE1753" s="15"/>
    </row>
    <row r="1754" spans="1:31" s="401" customFormat="1" outlineLevel="1">
      <c r="A1754" s="1011">
        <v>2401011000</v>
      </c>
      <c r="B1754" s="1012" t="s">
        <v>1366</v>
      </c>
      <c r="C1754" s="1013" t="s">
        <v>146</v>
      </c>
      <c r="D1754" s="1013">
        <v>2000002217</v>
      </c>
      <c r="E1754" s="1014">
        <v>44995</v>
      </c>
      <c r="F1754" s="1015"/>
      <c r="G1754" s="1293"/>
      <c r="H1754" s="346"/>
      <c r="I1754" s="1016"/>
      <c r="J1754" s="1503">
        <f>+J1753</f>
        <v>1.0724499999999999</v>
      </c>
      <c r="K1754" s="1504">
        <f>VLOOKUP($E1754,'TRM BanRep'!$A:$K,11,0)</f>
        <v>1.0687500000000001</v>
      </c>
      <c r="L1754" s="1036"/>
      <c r="M1754" s="1325">
        <f t="shared" ref="M1754" si="3614">+L1754*J1754</f>
        <v>0</v>
      </c>
      <c r="N1754" s="348">
        <f ca="1">IF(OR(E1754="",E1754&gt;TODAY()),0,IF(ISERROR(VLOOKUP($E1754,'TRM BanRep'!$A:$G,7,0)),0,VLOOKUP($E1754,'TRM BanRep'!$A:$G,7,0)))</f>
        <v>4748.6099999999997</v>
      </c>
      <c r="O1754" s="897">
        <f t="shared" ref="O1754" ca="1" si="3615">+L1754*J1754*N1754</f>
        <v>0</v>
      </c>
      <c r="P1754" s="1017">
        <f>-L1753</f>
        <v>-820.12</v>
      </c>
      <c r="Q1754" s="1362">
        <f t="shared" ref="Q1754" si="3616">+P1754*K1754</f>
        <v>-876.50325000000009</v>
      </c>
      <c r="R1754" s="349">
        <f ca="1">+N1753</f>
        <v>4775.99</v>
      </c>
      <c r="S1754" s="349">
        <f ca="1">IF(OR(E1754="",E1754&gt;TODAY()),0,IF(ISERROR(VLOOKUP($E1754,'TRM BanRep'!$A:$G,7,0)),0,VLOOKUP($E1754,'TRM BanRep'!$A:$G,7,0)))</f>
        <v>4748.6099999999997</v>
      </c>
      <c r="T1754" s="895">
        <f t="shared" ref="T1754" ca="1" si="3617">+P1754*K1754*S1754</f>
        <v>-4162172.0979825002</v>
      </c>
      <c r="U1754" s="350">
        <f t="shared" ref="U1754" si="3618">+L1754+P1754+F1754</f>
        <v>-820.12</v>
      </c>
      <c r="V1754" s="918">
        <f t="shared" ref="V1754" ca="1" si="3619">+P1754*J1754*R1754+L1754*J1754*N1754+F1754*J1754*H1754</f>
        <v>-4200663.2311670594</v>
      </c>
      <c r="W1754" s="351">
        <f t="shared" ref="W1754" ca="1" si="3620">-(IF(-P1754*J1754*R1754&lt;-P1754*K1754*S1754,(-P1754*J1754*R1754)-(-P1754*K1754*S1754),0))</f>
        <v>0</v>
      </c>
      <c r="X1754" s="919">
        <f t="shared" ref="X1754" ca="1" si="3621">-(IF(-P1754*J1754*R1754&gt;-P1754*K1754*S1754,(-P1754*J1754*R1754)-(-P1754*K1754*S1754),0))</f>
        <v>-38491.133184559178</v>
      </c>
      <c r="Y1754" s="1018"/>
      <c r="Z1754" s="220"/>
      <c r="AA1754" s="15"/>
      <c r="AB1754" s="15"/>
      <c r="AC1754" s="15"/>
      <c r="AD1754" s="15"/>
      <c r="AE1754" s="15"/>
    </row>
    <row r="1755" spans="1:31" s="401" customFormat="1" outlineLevel="1">
      <c r="A1755" s="1011">
        <v>2401011000</v>
      </c>
      <c r="B1755" s="1012" t="s">
        <v>2320</v>
      </c>
      <c r="C1755" s="1013" t="s">
        <v>146</v>
      </c>
      <c r="D1755" s="1013">
        <v>5100001167</v>
      </c>
      <c r="E1755" s="1014">
        <v>44972</v>
      </c>
      <c r="F1755" s="1015"/>
      <c r="G1755" s="1293"/>
      <c r="H1755" s="346"/>
      <c r="I1755" s="1016"/>
      <c r="J1755" s="1503">
        <f>VLOOKUP($E1755,'TRM BanRep'!$A:$K,11,0)</f>
        <v>1.0676000000000001</v>
      </c>
      <c r="K1755" s="1504"/>
      <c r="L1755" s="1036">
        <v>10835.93</v>
      </c>
      <c r="M1755" s="1325">
        <f t="shared" si="3607"/>
        <v>11568.438868000001</v>
      </c>
      <c r="N1755" s="348">
        <f ca="1">IF(OR(E1755="",E1755&gt;TODAY()),0,IF(ISERROR(VLOOKUP($E1755,'TRM BanRep'!$A:$G,7,0)),0,VLOOKUP($E1755,'TRM BanRep'!$A:$G,7,0)))</f>
        <v>4783.24</v>
      </c>
      <c r="O1755" s="897">
        <f t="shared" ca="1" si="2967"/>
        <v>55334619.530972324</v>
      </c>
      <c r="P1755" s="1017"/>
      <c r="Q1755" s="1362">
        <f t="shared" si="3608"/>
        <v>0</v>
      </c>
      <c r="R1755" s="349"/>
      <c r="S1755" s="349"/>
      <c r="T1755" s="895">
        <f t="shared" si="3609"/>
        <v>0</v>
      </c>
      <c r="U1755" s="350">
        <f t="shared" si="3610"/>
        <v>10835.93</v>
      </c>
      <c r="V1755" s="918">
        <f t="shared" ca="1" si="3611"/>
        <v>55334619.530972324</v>
      </c>
      <c r="W1755" s="351">
        <f t="shared" si="3612"/>
        <v>0</v>
      </c>
      <c r="X1755" s="919">
        <f t="shared" si="3613"/>
        <v>0</v>
      </c>
      <c r="Y1755" s="1018"/>
      <c r="Z1755" s="220"/>
      <c r="AA1755" s="15"/>
      <c r="AB1755" s="15"/>
      <c r="AC1755" s="15"/>
      <c r="AD1755" s="15"/>
      <c r="AE1755" s="15"/>
    </row>
    <row r="1756" spans="1:31" s="401" customFormat="1" outlineLevel="1">
      <c r="A1756" s="1011">
        <v>2401011000</v>
      </c>
      <c r="B1756" s="1012" t="s">
        <v>1366</v>
      </c>
      <c r="C1756" s="1013" t="s">
        <v>146</v>
      </c>
      <c r="D1756" s="1013">
        <v>2000002384</v>
      </c>
      <c r="E1756" s="1014">
        <v>45002</v>
      </c>
      <c r="F1756" s="1015"/>
      <c r="G1756" s="1293"/>
      <c r="H1756" s="346"/>
      <c r="I1756" s="1016"/>
      <c r="J1756" s="1503">
        <f>+J1755</f>
        <v>1.0676000000000001</v>
      </c>
      <c r="K1756" s="1504">
        <f>VLOOKUP($E1756,'TRM BanRep'!$A:$K,11,0)</f>
        <v>1.0645500000000001</v>
      </c>
      <c r="L1756" s="1036"/>
      <c r="M1756" s="1325">
        <f t="shared" si="3607"/>
        <v>0</v>
      </c>
      <c r="N1756" s="348">
        <f ca="1">IF(OR(E1756="",E1756&gt;TODAY()),0,IF(ISERROR(VLOOKUP($E1756,'TRM BanRep'!$A:$G,7,0)),0,VLOOKUP($E1756,'TRM BanRep'!$A:$G,7,0)))</f>
        <v>4866.5</v>
      </c>
      <c r="O1756" s="897">
        <f t="shared" ca="1" si="2967"/>
        <v>0</v>
      </c>
      <c r="P1756" s="1017">
        <f>-L1755</f>
        <v>-10835.93</v>
      </c>
      <c r="Q1756" s="1362">
        <f t="shared" si="3608"/>
        <v>-11535.389281500002</v>
      </c>
      <c r="R1756" s="349">
        <f ca="1">+N1755</f>
        <v>4783.24</v>
      </c>
      <c r="S1756" s="349">
        <f ca="1">IF(OR(E1756="",E1756&gt;TODAY()),0,IF(ISERROR(VLOOKUP($E1756,'TRM BanRep'!$A:$G,7,0)),0,VLOOKUP($E1756,'TRM BanRep'!$A:$G,7,0)))</f>
        <v>4866.5</v>
      </c>
      <c r="T1756" s="895">
        <f t="shared" ca="1" si="3609"/>
        <v>-56136971.938419759</v>
      </c>
      <c r="U1756" s="350">
        <f t="shared" si="3610"/>
        <v>-10835.93</v>
      </c>
      <c r="V1756" s="918">
        <f t="shared" ca="1" si="3611"/>
        <v>-55334619.530972324</v>
      </c>
      <c r="W1756" s="351">
        <f t="shared" ca="1" si="3612"/>
        <v>802352.40744743496</v>
      </c>
      <c r="X1756" s="919">
        <f t="shared" ca="1" si="3613"/>
        <v>0</v>
      </c>
      <c r="Y1756" s="1018"/>
      <c r="Z1756" s="220"/>
      <c r="AA1756" s="15"/>
      <c r="AB1756" s="15"/>
      <c r="AC1756" s="15"/>
      <c r="AD1756" s="15"/>
      <c r="AE1756" s="15"/>
    </row>
    <row r="1757" spans="1:31" s="401" customFormat="1" outlineLevel="1">
      <c r="A1757" s="1011">
        <v>2401011000</v>
      </c>
      <c r="B1757" s="1012" t="s">
        <v>2370</v>
      </c>
      <c r="C1757" s="1013" t="s">
        <v>146</v>
      </c>
      <c r="D1757" s="1013">
        <v>5100001858</v>
      </c>
      <c r="E1757" s="1014">
        <v>44994</v>
      </c>
      <c r="F1757" s="1015"/>
      <c r="G1757" s="1293"/>
      <c r="H1757" s="346"/>
      <c r="I1757" s="1016"/>
      <c r="J1757" s="1503">
        <f>VLOOKUP($E1757,'TRM BanRep'!$A:$K,11,0)</f>
        <v>1.0569</v>
      </c>
      <c r="K1757" s="1504"/>
      <c r="L1757" s="1036">
        <v>142.22</v>
      </c>
      <c r="M1757" s="1325">
        <f t="shared" ref="M1757:M1760" si="3622">+L1757*J1757</f>
        <v>150.312318</v>
      </c>
      <c r="N1757" s="348">
        <f ca="1">IF(OR(E1757="",E1757&gt;TODAY()),0,IF(ISERROR(VLOOKUP($E1757,'TRM BanRep'!$A:$G,7,0)),0,VLOOKUP($E1757,'TRM BanRep'!$A:$G,7,0)))</f>
        <v>4755.59</v>
      </c>
      <c r="O1757" s="897">
        <f t="shared" ref="O1757:O1760" ca="1" si="3623">+L1757*J1757*N1757</f>
        <v>714823.75635762</v>
      </c>
      <c r="P1757" s="1017"/>
      <c r="Q1757" s="1362">
        <f t="shared" ref="Q1757:Q1760" si="3624">+P1757*K1757</f>
        <v>0</v>
      </c>
      <c r="R1757" s="349"/>
      <c r="S1757" s="349"/>
      <c r="T1757" s="895">
        <f t="shared" ref="T1757:T1760" si="3625">+P1757*K1757*S1757</f>
        <v>0</v>
      </c>
      <c r="U1757" s="350">
        <f t="shared" ref="U1757:U1760" si="3626">+L1757+P1757+F1757</f>
        <v>142.22</v>
      </c>
      <c r="V1757" s="918">
        <f t="shared" ref="V1757:V1760" ca="1" si="3627">+P1757*J1757*R1757+L1757*J1757*N1757+F1757*J1757*H1757</f>
        <v>714823.75635762</v>
      </c>
      <c r="W1757" s="351">
        <f t="shared" ref="W1757:W1760" si="3628">-(IF(-P1757*J1757*R1757&lt;-P1757*K1757*S1757,(-P1757*J1757*R1757)-(-P1757*K1757*S1757),0))</f>
        <v>0</v>
      </c>
      <c r="X1757" s="919">
        <f t="shared" ref="X1757:X1760" si="3629">-(IF(-P1757*J1757*R1757&gt;-P1757*K1757*S1757,(-P1757*J1757*R1757)-(-P1757*K1757*S1757),0))</f>
        <v>0</v>
      </c>
      <c r="Y1757" s="1018"/>
      <c r="Z1757" s="220"/>
      <c r="AA1757" s="15"/>
      <c r="AB1757" s="15"/>
      <c r="AC1757" s="15"/>
      <c r="AD1757" s="15"/>
      <c r="AE1757" s="15"/>
    </row>
    <row r="1758" spans="1:31" s="401" customFormat="1" outlineLevel="1">
      <c r="A1758" s="1011">
        <v>2401011000</v>
      </c>
      <c r="B1758" s="1012" t="s">
        <v>1366</v>
      </c>
      <c r="C1758" s="1013" t="s">
        <v>146</v>
      </c>
      <c r="D1758" s="1013">
        <v>2000002574</v>
      </c>
      <c r="E1758" s="1014">
        <v>45009</v>
      </c>
      <c r="F1758" s="1015"/>
      <c r="G1758" s="1293"/>
      <c r="H1758" s="346"/>
      <c r="I1758" s="1016"/>
      <c r="J1758" s="1503">
        <f>+J1757</f>
        <v>1.0569</v>
      </c>
      <c r="K1758" s="1504">
        <f>VLOOKUP($E1758,'TRM BanRep'!$A:$K,11,0)</f>
        <v>1.0762499999999999</v>
      </c>
      <c r="L1758" s="1036"/>
      <c r="M1758" s="1325">
        <f t="shared" si="3622"/>
        <v>0</v>
      </c>
      <c r="N1758" s="348">
        <f ca="1">IF(OR(E1758="",E1758&gt;TODAY()),0,IF(ISERROR(VLOOKUP($E1758,'TRM BanRep'!$A:$G,7,0)),0,VLOOKUP($E1758,'TRM BanRep'!$A:$G,7,0)))</f>
        <v>4755.12</v>
      </c>
      <c r="O1758" s="897">
        <f t="shared" ca="1" si="3623"/>
        <v>0</v>
      </c>
      <c r="P1758" s="1017">
        <f>-L1757</f>
        <v>-142.22</v>
      </c>
      <c r="Q1758" s="1362">
        <f t="shared" si="3624"/>
        <v>-153.06427499999998</v>
      </c>
      <c r="R1758" s="349">
        <f ca="1">+N1757</f>
        <v>4755.59</v>
      </c>
      <c r="S1758" s="349">
        <f ca="1">IF(OR(E1758="",E1758&gt;TODAY()),0,IF(ISERROR(VLOOKUP($E1758,'TRM BanRep'!$A:$G,7,0)),0,VLOOKUP($E1758,'TRM BanRep'!$A:$G,7,0)))</f>
        <v>4755.12</v>
      </c>
      <c r="T1758" s="895">
        <f t="shared" ca="1" si="3625"/>
        <v>-727838.99533799989</v>
      </c>
      <c r="U1758" s="350">
        <f t="shared" si="3626"/>
        <v>-142.22</v>
      </c>
      <c r="V1758" s="918">
        <f t="shared" ca="1" si="3627"/>
        <v>-714823.75635762</v>
      </c>
      <c r="W1758" s="351">
        <f t="shared" ca="1" si="3628"/>
        <v>13015.238980379887</v>
      </c>
      <c r="X1758" s="919">
        <f t="shared" ca="1" si="3629"/>
        <v>0</v>
      </c>
      <c r="Y1758" s="1018"/>
      <c r="Z1758" s="220"/>
      <c r="AA1758" s="15"/>
      <c r="AB1758" s="15"/>
      <c r="AC1758" s="15"/>
      <c r="AD1758" s="15"/>
      <c r="AE1758" s="15"/>
    </row>
    <row r="1759" spans="1:31" s="401" customFormat="1" outlineLevel="1">
      <c r="A1759" s="1011">
        <v>2401011000</v>
      </c>
      <c r="B1759" s="1012" t="s">
        <v>2565</v>
      </c>
      <c r="C1759" s="1013" t="s">
        <v>146</v>
      </c>
      <c r="D1759" s="1013">
        <v>5100002734</v>
      </c>
      <c r="E1759" s="1014">
        <v>45026</v>
      </c>
      <c r="F1759" s="1015"/>
      <c r="G1759" s="1293"/>
      <c r="H1759" s="346"/>
      <c r="I1759" s="1016"/>
      <c r="J1759" s="1503">
        <f>VLOOKUP($E1759,'TRM BanRep'!$A:$K,11,0)</f>
        <v>1.08395</v>
      </c>
      <c r="K1759" s="1504"/>
      <c r="L1759" s="1036">
        <v>66.64</v>
      </c>
      <c r="M1759" s="1325">
        <f t="shared" si="3622"/>
        <v>72.234427999999994</v>
      </c>
      <c r="N1759" s="348">
        <f ca="1">IF(OR(E1759="",E1759&gt;TODAY()),0,IF(ISERROR(VLOOKUP($E1759,'TRM BanRep'!$A:$G,7,0)),0,VLOOKUP($E1759,'TRM BanRep'!$A:$G,7,0)))</f>
        <v>4570.91</v>
      </c>
      <c r="O1759" s="897">
        <f t="shared" ca="1" si="3623"/>
        <v>330177.06928947999</v>
      </c>
      <c r="P1759" s="1017"/>
      <c r="Q1759" s="1362">
        <f t="shared" si="3624"/>
        <v>0</v>
      </c>
      <c r="R1759" s="349"/>
      <c r="S1759" s="349"/>
      <c r="T1759" s="895">
        <f t="shared" si="3625"/>
        <v>0</v>
      </c>
      <c r="U1759" s="350">
        <f t="shared" si="3626"/>
        <v>66.64</v>
      </c>
      <c r="V1759" s="918">
        <f t="shared" ca="1" si="3627"/>
        <v>330177.06928947999</v>
      </c>
      <c r="W1759" s="351">
        <f t="shared" si="3628"/>
        <v>0</v>
      </c>
      <c r="X1759" s="919">
        <f t="shared" si="3629"/>
        <v>0</v>
      </c>
      <c r="Y1759" s="1018"/>
      <c r="Z1759" s="220"/>
      <c r="AA1759" s="15"/>
      <c r="AB1759" s="15"/>
      <c r="AC1759" s="15"/>
      <c r="AD1759" s="15"/>
      <c r="AE1759" s="15"/>
    </row>
    <row r="1760" spans="1:31" s="401" customFormat="1" outlineLevel="1">
      <c r="A1760" s="1011">
        <v>2401011000</v>
      </c>
      <c r="B1760" s="1012" t="s">
        <v>2566</v>
      </c>
      <c r="C1760" s="1013" t="s">
        <v>146</v>
      </c>
      <c r="D1760" s="1013">
        <v>2000003589</v>
      </c>
      <c r="E1760" s="1014">
        <v>45041</v>
      </c>
      <c r="F1760" s="1015"/>
      <c r="G1760" s="1293"/>
      <c r="H1760" s="346"/>
      <c r="I1760" s="1016"/>
      <c r="J1760" s="1503">
        <f>+J1759</f>
        <v>1.08395</v>
      </c>
      <c r="K1760" s="1504">
        <f>VLOOKUP($E1760,'TRM BanRep'!$A:$K,11,0)</f>
        <v>1.09775</v>
      </c>
      <c r="L1760" s="1036"/>
      <c r="M1760" s="1325">
        <f t="shared" si="3622"/>
        <v>0</v>
      </c>
      <c r="N1760" s="348">
        <f ca="1">IF(OR(E1760="",E1760&gt;TODAY()),0,IF(ISERROR(VLOOKUP($E1760,'TRM BanRep'!$A:$G,7,0)),0,VLOOKUP($E1760,'TRM BanRep'!$A:$G,7,0)))</f>
        <v>4482.45</v>
      </c>
      <c r="O1760" s="897">
        <f t="shared" ca="1" si="3623"/>
        <v>0</v>
      </c>
      <c r="P1760" s="1017">
        <f>-L1759</f>
        <v>-66.64</v>
      </c>
      <c r="Q1760" s="1362">
        <f t="shared" si="3624"/>
        <v>-73.154060000000001</v>
      </c>
      <c r="R1760" s="349">
        <f ca="1">+N1759</f>
        <v>4570.91</v>
      </c>
      <c r="S1760" s="349">
        <f ca="1">IF(OR(E1760="",E1760&gt;TODAY()),0,IF(ISERROR(VLOOKUP($E1760,'TRM BanRep'!$A:$G,7,0)),0,VLOOKUP($E1760,'TRM BanRep'!$A:$G,7,0)))</f>
        <v>4482.45</v>
      </c>
      <c r="T1760" s="895">
        <f t="shared" ca="1" si="3625"/>
        <v>-327909.41624699999</v>
      </c>
      <c r="U1760" s="350">
        <f t="shared" si="3626"/>
        <v>-66.64</v>
      </c>
      <c r="V1760" s="918">
        <f t="shared" ca="1" si="3627"/>
        <v>-330177.06928947999</v>
      </c>
      <c r="W1760" s="351">
        <f t="shared" ca="1" si="3628"/>
        <v>0</v>
      </c>
      <c r="X1760" s="919">
        <f t="shared" ca="1" si="3629"/>
        <v>-2267.6530424800003</v>
      </c>
      <c r="Y1760" s="1018"/>
      <c r="Z1760" s="220"/>
      <c r="AA1760" s="15"/>
      <c r="AB1760" s="15"/>
      <c r="AC1760" s="15"/>
      <c r="AD1760" s="15"/>
      <c r="AE1760" s="15"/>
    </row>
    <row r="1761" spans="1:31" s="401" customFormat="1" outlineLevel="1">
      <c r="A1761" s="1011">
        <v>2401011000</v>
      </c>
      <c r="B1761" s="1012" t="s">
        <v>2567</v>
      </c>
      <c r="C1761" s="1013" t="s">
        <v>146</v>
      </c>
      <c r="D1761" s="1013">
        <v>5100002781</v>
      </c>
      <c r="E1761" s="1014">
        <v>45027</v>
      </c>
      <c r="F1761" s="1015"/>
      <c r="G1761" s="1293"/>
      <c r="H1761" s="346"/>
      <c r="I1761" s="1016"/>
      <c r="J1761" s="1503">
        <f>VLOOKUP($E1761,'TRM BanRep'!$A:$K,11,0)</f>
        <v>1.0912500000000001</v>
      </c>
      <c r="K1761" s="1504"/>
      <c r="L1761" s="1036">
        <v>563.16</v>
      </c>
      <c r="M1761" s="1325">
        <f t="shared" ref="M1761:M1762" si="3630">+L1761*J1761</f>
        <v>614.54835000000003</v>
      </c>
      <c r="N1761" s="348">
        <f ca="1">IF(OR(E1761="",E1761&gt;TODAY()),0,IF(ISERROR(VLOOKUP($E1761,'TRM BanRep'!$A:$G,7,0)),0,VLOOKUP($E1761,'TRM BanRep'!$A:$G,7,0)))</f>
        <v>4564.24</v>
      </c>
      <c r="O1761" s="897">
        <f t="shared" ref="O1761:O1762" ca="1" si="3631">+L1761*J1761*N1761</f>
        <v>2804946.1610039999</v>
      </c>
      <c r="P1761" s="1017"/>
      <c r="Q1761" s="1362">
        <f t="shared" ref="Q1761:Q1762" si="3632">+P1761*K1761</f>
        <v>0</v>
      </c>
      <c r="R1761" s="349"/>
      <c r="S1761" s="349"/>
      <c r="T1761" s="895">
        <f t="shared" ref="T1761:T1762" si="3633">+P1761*K1761*S1761</f>
        <v>0</v>
      </c>
      <c r="U1761" s="350">
        <f t="shared" ref="U1761:U1762" si="3634">+L1761+P1761+F1761</f>
        <v>563.16</v>
      </c>
      <c r="V1761" s="918">
        <f t="shared" ref="V1761:V1762" ca="1" si="3635">+P1761*J1761*R1761+L1761*J1761*N1761+F1761*J1761*H1761</f>
        <v>2804946.1610039999</v>
      </c>
      <c r="W1761" s="351">
        <f t="shared" ref="W1761:W1762" si="3636">-(IF(-P1761*J1761*R1761&lt;-P1761*K1761*S1761,(-P1761*J1761*R1761)-(-P1761*K1761*S1761),0))</f>
        <v>0</v>
      </c>
      <c r="X1761" s="919">
        <f t="shared" ref="X1761:X1762" si="3637">-(IF(-P1761*J1761*R1761&gt;-P1761*K1761*S1761,(-P1761*J1761*R1761)-(-P1761*K1761*S1761),0))</f>
        <v>0</v>
      </c>
      <c r="Y1761" s="1018"/>
      <c r="Z1761" s="220"/>
      <c r="AA1761" s="15"/>
      <c r="AB1761" s="15"/>
      <c r="AC1761" s="15"/>
      <c r="AD1761" s="15"/>
      <c r="AE1761" s="15"/>
    </row>
    <row r="1762" spans="1:31" s="401" customFormat="1" outlineLevel="1">
      <c r="A1762" s="1011">
        <v>2401011000</v>
      </c>
      <c r="B1762" s="1012" t="s">
        <v>2566</v>
      </c>
      <c r="C1762" s="1013" t="s">
        <v>146</v>
      </c>
      <c r="D1762" s="1013">
        <v>2000003648</v>
      </c>
      <c r="E1762" s="1014">
        <v>45042</v>
      </c>
      <c r="F1762" s="1015"/>
      <c r="G1762" s="1293"/>
      <c r="H1762" s="346"/>
      <c r="I1762" s="1016"/>
      <c r="J1762" s="1503">
        <f>+J1761</f>
        <v>1.0912500000000001</v>
      </c>
      <c r="K1762" s="1504">
        <f>VLOOKUP($E1762,'TRM BanRep'!$A:$K,11,0)</f>
        <v>1.1043499999999999</v>
      </c>
      <c r="L1762" s="1036"/>
      <c r="M1762" s="1325">
        <f t="shared" si="3630"/>
        <v>0</v>
      </c>
      <c r="N1762" s="348">
        <f ca="1">IF(OR(E1762="",E1762&gt;TODAY()),0,IF(ISERROR(VLOOKUP($E1762,'TRM BanRep'!$A:$G,7,0)),0,VLOOKUP($E1762,'TRM BanRep'!$A:$G,7,0)))</f>
        <v>4486.6000000000004</v>
      </c>
      <c r="O1762" s="897">
        <f t="shared" ca="1" si="3631"/>
        <v>0</v>
      </c>
      <c r="P1762" s="1017">
        <f>-L1761</f>
        <v>-563.16</v>
      </c>
      <c r="Q1762" s="1362">
        <f t="shared" si="3632"/>
        <v>-621.92574599999989</v>
      </c>
      <c r="R1762" s="349">
        <f ca="1">+N1761</f>
        <v>4564.24</v>
      </c>
      <c r="S1762" s="349">
        <f ca="1">IF(OR(E1762="",E1762&gt;TODAY()),0,IF(ISERROR(VLOOKUP($E1762,'TRM BanRep'!$A:$G,7,0)),0,VLOOKUP($E1762,'TRM BanRep'!$A:$G,7,0)))</f>
        <v>4486.6000000000004</v>
      </c>
      <c r="T1762" s="895">
        <f t="shared" ca="1" si="3633"/>
        <v>-2790332.0520035997</v>
      </c>
      <c r="U1762" s="350">
        <f t="shared" si="3634"/>
        <v>-563.16</v>
      </c>
      <c r="V1762" s="918">
        <f t="shared" ca="1" si="3635"/>
        <v>-2804946.1610039999</v>
      </c>
      <c r="W1762" s="351">
        <f t="shared" ca="1" si="3636"/>
        <v>0</v>
      </c>
      <c r="X1762" s="919">
        <f t="shared" ca="1" si="3637"/>
        <v>-14614.109000400174</v>
      </c>
      <c r="Y1762" s="1018"/>
      <c r="Z1762" s="220"/>
      <c r="AA1762" s="15"/>
      <c r="AB1762" s="15"/>
      <c r="AC1762" s="15"/>
      <c r="AD1762" s="15"/>
      <c r="AE1762" s="15"/>
    </row>
    <row r="1763" spans="1:31" s="401" customFormat="1">
      <c r="A1763" s="1011">
        <v>2401011000</v>
      </c>
      <c r="B1763" s="1012"/>
      <c r="C1763" s="1013" t="s">
        <v>146</v>
      </c>
      <c r="D1763" s="1013"/>
      <c r="E1763" s="1014"/>
      <c r="F1763" s="1015"/>
      <c r="G1763" s="1293"/>
      <c r="H1763" s="346"/>
      <c r="I1763" s="1016"/>
      <c r="J1763" s="1501"/>
      <c r="K1763" s="1502"/>
      <c r="L1763" s="1036"/>
      <c r="M1763" s="1325">
        <f t="shared" si="2966"/>
        <v>0</v>
      </c>
      <c r="N1763" s="348"/>
      <c r="O1763" s="897">
        <f t="shared" si="2967"/>
        <v>0</v>
      </c>
      <c r="P1763" s="1017"/>
      <c r="Q1763" s="1362">
        <f t="shared" si="2968"/>
        <v>0</v>
      </c>
      <c r="R1763" s="349"/>
      <c r="S1763" s="349">
        <f ca="1">IF(OR(E1763="",E1763&gt;TODAY()),0,IF(ISERROR(VLOOKUP($E1763,'TRM BanRep'!$A:$G,7,0)),0,VLOOKUP($E1763,'TRM BanRep'!$A:$G,7,0)))</f>
        <v>0</v>
      </c>
      <c r="T1763" s="895">
        <f t="shared" ca="1" si="2969"/>
        <v>0</v>
      </c>
      <c r="U1763" s="350">
        <f t="shared" si="2970"/>
        <v>0</v>
      </c>
      <c r="V1763" s="918">
        <f t="shared" si="2971"/>
        <v>0</v>
      </c>
      <c r="W1763" s="351">
        <f t="shared" ca="1" si="3573"/>
        <v>0</v>
      </c>
      <c r="X1763" s="919">
        <f t="shared" ca="1" si="3574"/>
        <v>0</v>
      </c>
      <c r="Y1763" s="1018"/>
      <c r="Z1763" s="220"/>
      <c r="AA1763" s="15"/>
      <c r="AB1763" s="15"/>
      <c r="AC1763" s="15"/>
      <c r="AD1763" s="15"/>
      <c r="AE1763" s="15"/>
    </row>
    <row r="1764" spans="1:31" s="401" customFormat="1">
      <c r="A1764" s="1011"/>
      <c r="B1764" s="1012"/>
      <c r="C1764" s="1013"/>
      <c r="D1764" s="1013"/>
      <c r="E1764" s="1014"/>
      <c r="F1764" s="1015"/>
      <c r="G1764" s="1293"/>
      <c r="H1764" s="346"/>
      <c r="I1764" s="1016"/>
      <c r="J1764" s="1501"/>
      <c r="K1764" s="1502"/>
      <c r="L1764" s="347"/>
      <c r="M1764" s="1329"/>
      <c r="N1764" s="348"/>
      <c r="O1764" s="996">
        <f>+L1764*N1764</f>
        <v>0</v>
      </c>
      <c r="P1764" s="1017"/>
      <c r="Q1764" s="1362"/>
      <c r="R1764" s="349"/>
      <c r="S1764" s="349"/>
      <c r="T1764" s="1031">
        <f>+P1764*S1764</f>
        <v>0</v>
      </c>
      <c r="U1764" s="360"/>
      <c r="V1764" s="361"/>
      <c r="W1764" s="362">
        <f t="shared" si="3573"/>
        <v>0</v>
      </c>
      <c r="X1764" s="363">
        <f t="shared" si="3574"/>
        <v>0</v>
      </c>
      <c r="Y1764" s="1018"/>
      <c r="Z1764" s="220"/>
      <c r="AA1764" s="15"/>
      <c r="AB1764" s="15"/>
      <c r="AC1764" s="15"/>
      <c r="AD1764" s="15"/>
      <c r="AE1764" s="15"/>
    </row>
    <row r="1765" spans="1:31" s="344" customFormat="1" ht="15.75">
      <c r="A1765" s="997">
        <v>2401011000</v>
      </c>
      <c r="B1765" s="998" t="s">
        <v>77</v>
      </c>
      <c r="C1765" s="999" t="s">
        <v>106</v>
      </c>
      <c r="D1765" s="999" t="s">
        <v>128</v>
      </c>
      <c r="E1765" s="1000"/>
      <c r="F1765" s="1001"/>
      <c r="G1765" s="1291"/>
      <c r="H1765" s="343"/>
      <c r="I1765" s="1002">
        <v>974155377</v>
      </c>
      <c r="J1765" s="1032"/>
      <c r="K1765" s="1002"/>
      <c r="L1765" s="1003"/>
      <c r="M1765" s="1326"/>
      <c r="N1765" s="343"/>
      <c r="O1765" s="1002"/>
      <c r="P1765" s="1001"/>
      <c r="Q1765" s="1291"/>
      <c r="R1765" s="343"/>
      <c r="S1765" s="343"/>
      <c r="T1765" s="1002"/>
      <c r="U1765" s="1001">
        <f t="shared" ref="U1765:U1773" si="3638">+L1765+P1765+F1765</f>
        <v>0</v>
      </c>
      <c r="V1765" s="1002">
        <f>+I1765+T1765+O1765</f>
        <v>974155377</v>
      </c>
      <c r="W1765" s="1032"/>
      <c r="X1765" s="1033"/>
      <c r="Y1765" s="1034"/>
      <c r="Z1765" s="220"/>
      <c r="AA1765" s="364"/>
      <c r="AB1765" s="364"/>
      <c r="AC1765" s="364"/>
      <c r="AD1765" s="364"/>
      <c r="AE1765" s="364"/>
    </row>
    <row r="1766" spans="1:31" s="302" customFormat="1" ht="15.75" outlineLevel="1">
      <c r="A1766" s="979">
        <v>2401011000</v>
      </c>
      <c r="B1766" s="980" t="s">
        <v>129</v>
      </c>
      <c r="C1766" s="981" t="s">
        <v>106</v>
      </c>
      <c r="D1766" s="981" t="s">
        <v>128</v>
      </c>
      <c r="E1766" s="1004"/>
      <c r="F1766" s="982"/>
      <c r="G1766" s="1286"/>
      <c r="H1766" s="857"/>
      <c r="I1766" s="1005">
        <f t="shared" ref="I1766:I1773" si="3639">+F1766*H1766</f>
        <v>0</v>
      </c>
      <c r="J1766" s="1419"/>
      <c r="K1766" s="1420"/>
      <c r="L1766" s="1006"/>
      <c r="M1766" s="1327"/>
      <c r="N1766" s="898"/>
      <c r="O1766" s="1007"/>
      <c r="P1766" s="1008"/>
      <c r="Q1766" s="1360"/>
      <c r="R1766" s="899"/>
      <c r="S1766" s="899"/>
      <c r="T1766" s="1009"/>
      <c r="U1766" s="1010">
        <f t="shared" si="3638"/>
        <v>0</v>
      </c>
      <c r="V1766" s="983">
        <v>-325231592</v>
      </c>
      <c r="W1766" s="1032"/>
      <c r="X1766" s="1033"/>
      <c r="Y1766" s="1034"/>
      <c r="Z1766" s="220"/>
      <c r="AA1766" s="15"/>
      <c r="AB1766" s="15"/>
      <c r="AC1766" s="15"/>
      <c r="AD1766" s="15"/>
      <c r="AE1766" s="15"/>
    </row>
    <row r="1767" spans="1:31" s="302" customFormat="1" ht="15.75" outlineLevel="1">
      <c r="A1767" s="979">
        <v>2401011000</v>
      </c>
      <c r="B1767" s="980" t="s">
        <v>130</v>
      </c>
      <c r="C1767" s="981" t="s">
        <v>106</v>
      </c>
      <c r="D1767" s="981" t="s">
        <v>128</v>
      </c>
      <c r="E1767" s="1004"/>
      <c r="F1767" s="982"/>
      <c r="G1767" s="1286"/>
      <c r="H1767" s="857"/>
      <c r="I1767" s="1005">
        <f t="shared" si="3639"/>
        <v>0</v>
      </c>
      <c r="J1767" s="1419"/>
      <c r="K1767" s="1420"/>
      <c r="L1767" s="1006"/>
      <c r="M1767" s="1327"/>
      <c r="N1767" s="898"/>
      <c r="O1767" s="1007"/>
      <c r="P1767" s="1008"/>
      <c r="Q1767" s="1360"/>
      <c r="R1767" s="899"/>
      <c r="S1767" s="899"/>
      <c r="T1767" s="1009"/>
      <c r="U1767" s="1010">
        <f t="shared" si="3638"/>
        <v>0</v>
      </c>
      <c r="V1767" s="983">
        <v>-309315195</v>
      </c>
      <c r="W1767" s="1032"/>
      <c r="X1767" s="1033"/>
      <c r="Y1767" s="1034"/>
      <c r="Z1767" s="220"/>
      <c r="AA1767" s="15"/>
      <c r="AB1767" s="15"/>
      <c r="AC1767" s="15"/>
      <c r="AD1767" s="15"/>
      <c r="AE1767" s="15"/>
    </row>
    <row r="1768" spans="1:31" s="302" customFormat="1" ht="15.75" outlineLevel="1">
      <c r="A1768" s="979">
        <v>2401011000</v>
      </c>
      <c r="B1768" s="980" t="s">
        <v>131</v>
      </c>
      <c r="C1768" s="981" t="s">
        <v>106</v>
      </c>
      <c r="D1768" s="981" t="s">
        <v>128</v>
      </c>
      <c r="E1768" s="1004"/>
      <c r="F1768" s="982"/>
      <c r="G1768" s="1286"/>
      <c r="H1768" s="857"/>
      <c r="I1768" s="1005">
        <f t="shared" si="3639"/>
        <v>0</v>
      </c>
      <c r="J1768" s="1419"/>
      <c r="K1768" s="1420"/>
      <c r="L1768" s="1006"/>
      <c r="M1768" s="1327"/>
      <c r="N1768" s="898"/>
      <c r="O1768" s="1007"/>
      <c r="P1768" s="1008"/>
      <c r="Q1768" s="1360"/>
      <c r="R1768" s="899"/>
      <c r="S1768" s="899"/>
      <c r="T1768" s="1009"/>
      <c r="U1768" s="1010">
        <f t="shared" si="3638"/>
        <v>0</v>
      </c>
      <c r="V1768" s="983">
        <v>224335448</v>
      </c>
      <c r="W1768" s="1032"/>
      <c r="X1768" s="1033"/>
      <c r="Y1768" s="1034"/>
      <c r="Z1768" s="220"/>
      <c r="AA1768" s="15"/>
      <c r="AB1768" s="15"/>
      <c r="AC1768" s="15"/>
      <c r="AD1768" s="15"/>
      <c r="AE1768" s="15"/>
    </row>
    <row r="1769" spans="1:31" s="302" customFormat="1" ht="15.75" outlineLevel="1">
      <c r="A1769" s="979">
        <v>2401011000</v>
      </c>
      <c r="B1769" s="980" t="s">
        <v>132</v>
      </c>
      <c r="C1769" s="981" t="s">
        <v>106</v>
      </c>
      <c r="D1769" s="981" t="s">
        <v>128</v>
      </c>
      <c r="E1769" s="1004"/>
      <c r="F1769" s="982"/>
      <c r="G1769" s="1286"/>
      <c r="H1769" s="857"/>
      <c r="I1769" s="1005">
        <f t="shared" si="3639"/>
        <v>0</v>
      </c>
      <c r="J1769" s="1419"/>
      <c r="K1769" s="1420"/>
      <c r="L1769" s="1006"/>
      <c r="M1769" s="1327"/>
      <c r="N1769" s="898"/>
      <c r="O1769" s="1007"/>
      <c r="P1769" s="1008"/>
      <c r="Q1769" s="1360"/>
      <c r="R1769" s="899"/>
      <c r="S1769" s="899"/>
      <c r="T1769" s="1009"/>
      <c r="U1769" s="1010">
        <f t="shared" si="3638"/>
        <v>0</v>
      </c>
      <c r="V1769" s="983">
        <v>116612269</v>
      </c>
      <c r="W1769" s="1032"/>
      <c r="X1769" s="1033"/>
      <c r="Y1769" s="1034"/>
      <c r="Z1769" s="220"/>
      <c r="AA1769" s="15"/>
      <c r="AB1769" s="15"/>
      <c r="AC1769" s="15"/>
      <c r="AD1769" s="15"/>
      <c r="AE1769" s="15"/>
    </row>
    <row r="1770" spans="1:31" s="302" customFormat="1" ht="15.75" outlineLevel="1">
      <c r="A1770" s="979">
        <v>2401011000</v>
      </c>
      <c r="B1770" s="980" t="s">
        <v>133</v>
      </c>
      <c r="C1770" s="981" t="s">
        <v>106</v>
      </c>
      <c r="D1770" s="981" t="s">
        <v>128</v>
      </c>
      <c r="E1770" s="1004"/>
      <c r="F1770" s="982"/>
      <c r="G1770" s="1286"/>
      <c r="H1770" s="857"/>
      <c r="I1770" s="1005">
        <f t="shared" si="3639"/>
        <v>0</v>
      </c>
      <c r="J1770" s="1419"/>
      <c r="K1770" s="1420"/>
      <c r="L1770" s="1006"/>
      <c r="M1770" s="1327"/>
      <c r="N1770" s="898"/>
      <c r="O1770" s="1007"/>
      <c r="P1770" s="1008"/>
      <c r="Q1770" s="1360"/>
      <c r="R1770" s="899"/>
      <c r="S1770" s="899"/>
      <c r="T1770" s="1009"/>
      <c r="U1770" s="1010">
        <f t="shared" si="3638"/>
        <v>0</v>
      </c>
      <c r="V1770" s="983">
        <v>0</v>
      </c>
      <c r="W1770" s="1032"/>
      <c r="X1770" s="1033"/>
      <c r="Y1770" s="1034"/>
      <c r="Z1770" s="14"/>
      <c r="AA1770" s="15"/>
      <c r="AB1770" s="15"/>
      <c r="AC1770" s="15"/>
      <c r="AD1770" s="15"/>
      <c r="AE1770" s="15"/>
    </row>
    <row r="1771" spans="1:31" s="302" customFormat="1" ht="15.75" outlineLevel="1">
      <c r="A1771" s="979">
        <v>2401011000</v>
      </c>
      <c r="B1771" s="980" t="s">
        <v>134</v>
      </c>
      <c r="C1771" s="981" t="s">
        <v>106</v>
      </c>
      <c r="D1771" s="981" t="s">
        <v>128</v>
      </c>
      <c r="E1771" s="1004"/>
      <c r="F1771" s="982"/>
      <c r="G1771" s="1286"/>
      <c r="H1771" s="857"/>
      <c r="I1771" s="1005">
        <f t="shared" si="3639"/>
        <v>0</v>
      </c>
      <c r="J1771" s="1419"/>
      <c r="K1771" s="1420"/>
      <c r="L1771" s="1006"/>
      <c r="M1771" s="1327"/>
      <c r="N1771" s="898"/>
      <c r="O1771" s="1007">
        <f>+L1771*N1771</f>
        <v>0</v>
      </c>
      <c r="P1771" s="1008"/>
      <c r="Q1771" s="1360"/>
      <c r="R1771" s="899"/>
      <c r="S1771" s="899"/>
      <c r="T1771" s="1009">
        <f>+P1771*R1771</f>
        <v>0</v>
      </c>
      <c r="U1771" s="1010">
        <f t="shared" si="3638"/>
        <v>0</v>
      </c>
      <c r="V1771" s="983">
        <v>0</v>
      </c>
      <c r="W1771" s="1032"/>
      <c r="X1771" s="1033"/>
      <c r="Y1771" s="1034"/>
      <c r="Z1771" s="14"/>
      <c r="AA1771" s="15"/>
      <c r="AB1771" s="15"/>
      <c r="AC1771" s="15"/>
      <c r="AD1771" s="15"/>
      <c r="AE1771" s="15"/>
    </row>
    <row r="1772" spans="1:31" s="302" customFormat="1" ht="15.75" outlineLevel="1">
      <c r="A1772" s="979">
        <v>2401011000</v>
      </c>
      <c r="B1772" s="980" t="s">
        <v>135</v>
      </c>
      <c r="C1772" s="981" t="s">
        <v>106</v>
      </c>
      <c r="D1772" s="981" t="s">
        <v>128</v>
      </c>
      <c r="E1772" s="1004"/>
      <c r="F1772" s="982"/>
      <c r="G1772" s="1286"/>
      <c r="H1772" s="857"/>
      <c r="I1772" s="1005">
        <f t="shared" si="3639"/>
        <v>0</v>
      </c>
      <c r="J1772" s="1419"/>
      <c r="K1772" s="1420"/>
      <c r="L1772" s="1006"/>
      <c r="M1772" s="1327"/>
      <c r="N1772" s="898"/>
      <c r="O1772" s="1007">
        <f>+L1772*N1772</f>
        <v>0</v>
      </c>
      <c r="P1772" s="1008"/>
      <c r="Q1772" s="1360"/>
      <c r="R1772" s="899"/>
      <c r="S1772" s="899"/>
      <c r="T1772" s="1009">
        <f>+P1772*R1772</f>
        <v>0</v>
      </c>
      <c r="U1772" s="1010">
        <f t="shared" si="3638"/>
        <v>0</v>
      </c>
      <c r="V1772" s="983">
        <v>0</v>
      </c>
      <c r="W1772" s="1032"/>
      <c r="X1772" s="1033"/>
      <c r="Y1772" s="1034"/>
      <c r="Z1772" s="14"/>
      <c r="AA1772" s="15"/>
      <c r="AB1772" s="15"/>
      <c r="AC1772" s="15"/>
      <c r="AD1772" s="15"/>
      <c r="AE1772" s="15"/>
    </row>
    <row r="1773" spans="1:31" s="302" customFormat="1" ht="15.75" outlineLevel="1">
      <c r="A1773" s="979">
        <v>2401011000</v>
      </c>
      <c r="B1773" s="980" t="s">
        <v>136</v>
      </c>
      <c r="C1773" s="981" t="s">
        <v>106</v>
      </c>
      <c r="D1773" s="981" t="s">
        <v>128</v>
      </c>
      <c r="E1773" s="1004"/>
      <c r="F1773" s="982"/>
      <c r="G1773" s="1286"/>
      <c r="H1773" s="857"/>
      <c r="I1773" s="1005">
        <f t="shared" si="3639"/>
        <v>0</v>
      </c>
      <c r="J1773" s="1419"/>
      <c r="K1773" s="1420"/>
      <c r="L1773" s="1006"/>
      <c r="M1773" s="1327"/>
      <c r="N1773" s="898"/>
      <c r="O1773" s="1007">
        <f>+L1773*N1773</f>
        <v>0</v>
      </c>
      <c r="P1773" s="1008"/>
      <c r="Q1773" s="1360"/>
      <c r="R1773" s="899"/>
      <c r="S1773" s="899"/>
      <c r="T1773" s="1009">
        <f>+P1773*R1773</f>
        <v>0</v>
      </c>
      <c r="U1773" s="1010">
        <f t="shared" si="3638"/>
        <v>0</v>
      </c>
      <c r="V1773" s="983">
        <v>0</v>
      </c>
      <c r="W1773" s="1032"/>
      <c r="X1773" s="1033"/>
      <c r="Y1773" s="1034"/>
      <c r="Z1773" s="14"/>
      <c r="AA1773" s="15"/>
      <c r="AB1773" s="15"/>
      <c r="AC1773" s="15"/>
      <c r="AD1773" s="15"/>
      <c r="AE1773" s="15"/>
    </row>
    <row r="1774" spans="1:31" s="302" customFormat="1" ht="15.75" outlineLevel="1">
      <c r="A1774" s="979">
        <v>2401011000</v>
      </c>
      <c r="B1774" s="980" t="s">
        <v>143</v>
      </c>
      <c r="C1774" s="981" t="s">
        <v>106</v>
      </c>
      <c r="D1774" s="981" t="s">
        <v>128</v>
      </c>
      <c r="E1774" s="1004"/>
      <c r="F1774" s="982"/>
      <c r="G1774" s="1286"/>
      <c r="H1774" s="857"/>
      <c r="I1774" s="1005"/>
      <c r="J1774" s="1419"/>
      <c r="K1774" s="1420"/>
      <c r="L1774" s="1006"/>
      <c r="M1774" s="1327"/>
      <c r="N1774" s="898"/>
      <c r="O1774" s="1007"/>
      <c r="P1774" s="1008"/>
      <c r="Q1774" s="1360"/>
      <c r="R1774" s="899"/>
      <c r="S1774" s="899"/>
      <c r="T1774" s="1009"/>
      <c r="U1774" s="1010"/>
      <c r="V1774" s="983">
        <v>0</v>
      </c>
      <c r="W1774" s="1032"/>
      <c r="X1774" s="1033"/>
      <c r="Y1774" s="1034"/>
      <c r="Z1774" s="14"/>
      <c r="AA1774" s="15"/>
      <c r="AB1774" s="15"/>
      <c r="AC1774" s="15"/>
      <c r="AD1774" s="15"/>
      <c r="AE1774" s="15"/>
    </row>
    <row r="1775" spans="1:31" s="302" customFormat="1" ht="15.75" outlineLevel="1">
      <c r="A1775" s="979">
        <v>2401011000</v>
      </c>
      <c r="B1775" s="980" t="s">
        <v>138</v>
      </c>
      <c r="C1775" s="981" t="s">
        <v>106</v>
      </c>
      <c r="D1775" s="981" t="s">
        <v>128</v>
      </c>
      <c r="E1775" s="1004"/>
      <c r="F1775" s="982"/>
      <c r="G1775" s="1286"/>
      <c r="H1775" s="857"/>
      <c r="I1775" s="1005"/>
      <c r="J1775" s="1419"/>
      <c r="K1775" s="1420"/>
      <c r="L1775" s="1006"/>
      <c r="M1775" s="1327"/>
      <c r="N1775" s="898"/>
      <c r="O1775" s="1007"/>
      <c r="P1775" s="1008"/>
      <c r="Q1775" s="1360"/>
      <c r="R1775" s="899"/>
      <c r="S1775" s="899"/>
      <c r="T1775" s="1009"/>
      <c r="U1775" s="1010"/>
      <c r="V1775" s="983">
        <v>0</v>
      </c>
      <c r="W1775" s="1032"/>
      <c r="X1775" s="1033"/>
      <c r="Y1775" s="1034"/>
      <c r="Z1775" s="14"/>
      <c r="AA1775" s="15"/>
      <c r="AB1775" s="15"/>
      <c r="AC1775" s="15"/>
      <c r="AD1775" s="15"/>
      <c r="AE1775" s="15"/>
    </row>
    <row r="1776" spans="1:31" s="302" customFormat="1" ht="15.75" outlineLevel="1">
      <c r="A1776" s="979">
        <v>2401011000</v>
      </c>
      <c r="B1776" s="980" t="s">
        <v>139</v>
      </c>
      <c r="C1776" s="981" t="s">
        <v>106</v>
      </c>
      <c r="D1776" s="981" t="s">
        <v>128</v>
      </c>
      <c r="E1776" s="1004"/>
      <c r="F1776" s="982"/>
      <c r="G1776" s="1286"/>
      <c r="H1776" s="857"/>
      <c r="I1776" s="1005"/>
      <c r="J1776" s="1419"/>
      <c r="K1776" s="1420"/>
      <c r="L1776" s="1006"/>
      <c r="M1776" s="1327"/>
      <c r="N1776" s="898"/>
      <c r="O1776" s="1007"/>
      <c r="P1776" s="1008"/>
      <c r="Q1776" s="1360"/>
      <c r="R1776" s="899"/>
      <c r="S1776" s="899"/>
      <c r="T1776" s="1009"/>
      <c r="U1776" s="1010"/>
      <c r="V1776" s="983">
        <v>0</v>
      </c>
      <c r="W1776" s="1032"/>
      <c r="X1776" s="1033"/>
      <c r="Y1776" s="1034"/>
      <c r="Z1776" s="14"/>
      <c r="AA1776" s="15"/>
      <c r="AB1776" s="15"/>
      <c r="AC1776" s="15"/>
      <c r="AD1776" s="15"/>
      <c r="AE1776" s="15"/>
    </row>
    <row r="1777" spans="1:31" s="302" customFormat="1" ht="15.75" outlineLevel="1">
      <c r="A1777" s="979">
        <v>2401011000</v>
      </c>
      <c r="B1777" s="980" t="s">
        <v>140</v>
      </c>
      <c r="C1777" s="981" t="s">
        <v>106</v>
      </c>
      <c r="D1777" s="981" t="s">
        <v>128</v>
      </c>
      <c r="E1777" s="1004"/>
      <c r="F1777" s="982"/>
      <c r="G1777" s="1286"/>
      <c r="H1777" s="857"/>
      <c r="I1777" s="1005"/>
      <c r="J1777" s="1419"/>
      <c r="K1777" s="1420"/>
      <c r="L1777" s="1006"/>
      <c r="M1777" s="1327"/>
      <c r="N1777" s="898"/>
      <c r="O1777" s="1007"/>
      <c r="P1777" s="1008"/>
      <c r="Q1777" s="1360"/>
      <c r="R1777" s="899"/>
      <c r="S1777" s="899"/>
      <c r="T1777" s="1009"/>
      <c r="U1777" s="1010"/>
      <c r="V1777" s="983">
        <v>0</v>
      </c>
      <c r="W1777" s="1032"/>
      <c r="X1777" s="1033"/>
      <c r="Y1777" s="1034"/>
      <c r="Z1777" s="14"/>
      <c r="AA1777" s="15"/>
      <c r="AB1777" s="15"/>
      <c r="AC1777" s="15"/>
      <c r="AD1777" s="15"/>
      <c r="AE1777" s="15"/>
    </row>
    <row r="1778" spans="1:31" ht="15.75" thickBot="1">
      <c r="A1778" s="55"/>
      <c r="B1778" s="509"/>
      <c r="C1778" s="510"/>
      <c r="D1778" s="510"/>
      <c r="E1778" s="245"/>
      <c r="F1778" s="455"/>
      <c r="G1778" s="1280"/>
      <c r="H1778" s="456"/>
      <c r="I1778" s="457">
        <f>+F1778*H1778</f>
        <v>0</v>
      </c>
      <c r="J1778" s="1421"/>
      <c r="K1778" s="1422"/>
      <c r="L1778" s="458"/>
      <c r="M1778" s="1316"/>
      <c r="N1778" s="459"/>
      <c r="O1778" s="460">
        <f>+L1778*N1778</f>
        <v>0</v>
      </c>
      <c r="P1778" s="461"/>
      <c r="Q1778" s="1351"/>
      <c r="R1778" s="462"/>
      <c r="S1778" s="462"/>
      <c r="T1778" s="463">
        <f>+P1778*R1778</f>
        <v>0</v>
      </c>
      <c r="U1778" s="464">
        <f>+L1778+P1778+F1778</f>
        <v>0</v>
      </c>
      <c r="V1778" s="465"/>
      <c r="W1778" s="852"/>
      <c r="X1778" s="853"/>
      <c r="Y1778" s="854"/>
    </row>
    <row r="1779" spans="1:31" s="252" customFormat="1" ht="19.5" thickBot="1">
      <c r="A1779" s="900" t="s">
        <v>144</v>
      </c>
      <c r="B1779" s="901"/>
      <c r="C1779" s="902"/>
      <c r="D1779" s="902"/>
      <c r="E1779" s="903"/>
      <c r="F1779" s="904">
        <f>SUM(F1538:F1778)</f>
        <v>92817.3</v>
      </c>
      <c r="G1779" s="1292"/>
      <c r="H1779" s="905"/>
      <c r="I1779" s="906">
        <f>SUM(I1538:I1778)</f>
        <v>1420746697.2262175</v>
      </c>
      <c r="J1779" s="1505"/>
      <c r="K1779" s="906"/>
      <c r="L1779" s="907">
        <f>SUM(L1538:L1778)</f>
        <v>391439.96999999991</v>
      </c>
      <c r="M1779" s="1328"/>
      <c r="N1779" s="908"/>
      <c r="O1779" s="909">
        <f ca="1">SUM(O1538:O1778)</f>
        <v>1870573402.8263097</v>
      </c>
      <c r="P1779" s="910">
        <f>SUM(P1538:P1778)</f>
        <v>-443229.52</v>
      </c>
      <c r="Q1779" s="1361"/>
      <c r="R1779" s="911"/>
      <c r="S1779" s="911"/>
      <c r="T1779" s="912">
        <f ca="1">SUM(T1538:T1778)</f>
        <v>-2119758333.8047855</v>
      </c>
      <c r="U1779" s="913">
        <f>SUM(U1538:U1778)</f>
        <v>41027.749999999978</v>
      </c>
      <c r="V1779" s="914">
        <f ca="1">SUM(V1538:V1778)</f>
        <v>869614402.83067608</v>
      </c>
      <c r="W1779" s="915">
        <f ca="1">SUM(W1538:W1778)</f>
        <v>29283827.315546986</v>
      </c>
      <c r="X1779" s="916">
        <f ca="1">SUM(X1538:X1778)</f>
        <v>-37632120.732613184</v>
      </c>
      <c r="Y1779" s="917"/>
      <c r="Z1779" s="1074"/>
      <c r="AA1779" s="364"/>
      <c r="AB1779" s="365"/>
      <c r="AC1779" s="365"/>
      <c r="AD1779" s="365"/>
      <c r="AE1779" s="365"/>
    </row>
    <row r="1780" spans="1:31">
      <c r="W1780" s="11">
        <v>0</v>
      </c>
      <c r="X1780" s="9"/>
      <c r="Y1780" s="345"/>
    </row>
    <row r="1781" spans="1:31" ht="15.75" thickBot="1">
      <c r="F1781" s="444"/>
      <c r="G1781" s="444"/>
      <c r="H1781" s="442"/>
      <c r="I1781" s="443"/>
      <c r="L1781" s="441"/>
      <c r="M1781" s="441"/>
      <c r="N1781" s="442"/>
      <c r="O1781" s="443"/>
      <c r="P1781" s="444"/>
      <c r="Q1781" s="444"/>
      <c r="R1781" s="442"/>
      <c r="S1781" s="442"/>
      <c r="T1781" s="443"/>
      <c r="U1781" s="150"/>
      <c r="V1781" s="152"/>
      <c r="W1781" s="152"/>
      <c r="X1781" s="152"/>
      <c r="Y1781" s="345"/>
    </row>
    <row r="1782" spans="1:31" s="27" customFormat="1" ht="21">
      <c r="A1782" s="827" t="s">
        <v>145</v>
      </c>
      <c r="B1782" s="828"/>
      <c r="C1782" s="2558" t="s">
        <v>57</v>
      </c>
      <c r="D1782" s="2560" t="s">
        <v>59</v>
      </c>
      <c r="E1782" s="2562" t="s">
        <v>58</v>
      </c>
      <c r="F1782" s="2564" t="str">
        <f>+F6</f>
        <v>SALDO FISCAL 31/12/2022</v>
      </c>
      <c r="G1782" s="2565"/>
      <c r="H1782" s="2565"/>
      <c r="I1782" s="2566"/>
      <c r="J1782" s="2580" t="str">
        <f>J6</f>
        <v>Tasa Mon Extranj</v>
      </c>
      <c r="K1782" s="2568"/>
      <c r="L1782" s="2569" t="str">
        <f>+L6</f>
        <v>ENTRADAS</v>
      </c>
      <c r="M1782" s="2570"/>
      <c r="N1782" s="2570"/>
      <c r="O1782" s="2571"/>
      <c r="P1782" s="2572" t="str">
        <f>+P6</f>
        <v>SALIDAS</v>
      </c>
      <c r="Q1782" s="2573"/>
      <c r="R1782" s="2573"/>
      <c r="S1782" s="2573"/>
      <c r="T1782" s="2574"/>
      <c r="U1782" s="2575" t="s">
        <v>62</v>
      </c>
      <c r="V1782" s="2576"/>
      <c r="W1782" s="2577" t="s">
        <v>63</v>
      </c>
      <c r="X1782" s="2578"/>
      <c r="Y1782" s="2579"/>
      <c r="Z1782" s="44"/>
      <c r="AA1782" s="364"/>
      <c r="AB1782" s="364"/>
      <c r="AC1782" s="364"/>
      <c r="AD1782" s="364"/>
      <c r="AE1782" s="364"/>
    </row>
    <row r="1783" spans="1:31" s="216" customFormat="1" ht="15.75" thickBot="1">
      <c r="A1783" s="253" t="s">
        <v>87</v>
      </c>
      <c r="B1783" s="254" t="s">
        <v>88</v>
      </c>
      <c r="C1783" s="2559"/>
      <c r="D1783" s="2561"/>
      <c r="E1783" s="2563"/>
      <c r="F1783" s="30" t="str">
        <f>F7</f>
        <v>MON/EX</v>
      </c>
      <c r="G1783" s="1249" t="str">
        <f>G7</f>
        <v>USD</v>
      </c>
      <c r="H1783" s="31" t="str">
        <f>H7</f>
        <v>TRM CIERRE</v>
      </c>
      <c r="I1783" s="32" t="str">
        <f>I7</f>
        <v>SALDO PESOS</v>
      </c>
      <c r="J1783" s="1423" t="str">
        <f>J7</f>
        <v>Inicial</v>
      </c>
      <c r="K1783" s="1338" t="str">
        <f t="shared" ref="K1783:X1783" si="3640">K7</f>
        <v>Pago</v>
      </c>
      <c r="L1783" s="33" t="str">
        <f t="shared" si="3640"/>
        <v>ENTRADAS MON/EX</v>
      </c>
      <c r="M1783" s="1297" t="str">
        <f t="shared" si="3640"/>
        <v>USD</v>
      </c>
      <c r="N1783" s="34" t="str">
        <f t="shared" si="3640"/>
        <v>TRM INICIAL</v>
      </c>
      <c r="O1783" s="35" t="str">
        <f t="shared" si="3640"/>
        <v>ENTRADAS PESOS</v>
      </c>
      <c r="P1783" s="36" t="str">
        <f t="shared" si="3640"/>
        <v>PAGOS MON/EX</v>
      </c>
      <c r="Q1783" s="1338" t="str">
        <f t="shared" si="3640"/>
        <v>USD</v>
      </c>
      <c r="R1783" s="37" t="str">
        <f t="shared" si="3640"/>
        <v>TRM INICIAL</v>
      </c>
      <c r="S1783" s="37" t="str">
        <f t="shared" si="3640"/>
        <v>TRM PAGO</v>
      </c>
      <c r="T1783" s="38" t="str">
        <f t="shared" si="3640"/>
        <v>PAGO EN PESOS</v>
      </c>
      <c r="U1783" s="39" t="str">
        <f t="shared" si="3640"/>
        <v xml:space="preserve"> SALDO MON/EX</v>
      </c>
      <c r="V1783" s="40" t="str">
        <f t="shared" si="3640"/>
        <v>SALDO  PESOS</v>
      </c>
      <c r="W1783" s="41" t="str">
        <f t="shared" si="3640"/>
        <v>GASTO</v>
      </c>
      <c r="X1783" s="42" t="str">
        <f t="shared" si="3640"/>
        <v>INGRESO</v>
      </c>
      <c r="Y1783" s="43"/>
      <c r="Z1783" s="214"/>
      <c r="AA1783" s="366"/>
      <c r="AB1783" s="366"/>
      <c r="AC1783" s="366"/>
      <c r="AD1783" s="366"/>
      <c r="AE1783" s="366"/>
    </row>
    <row r="1784" spans="1:31" ht="15.75" hidden="1" outlineLevel="1">
      <c r="A1784" s="961">
        <v>2401012000</v>
      </c>
      <c r="B1784" s="962" t="s">
        <v>1454</v>
      </c>
      <c r="C1784" s="963" t="s">
        <v>64</v>
      </c>
      <c r="D1784" s="963">
        <v>5100010122</v>
      </c>
      <c r="E1784" s="969">
        <v>44901</v>
      </c>
      <c r="F1784" s="964">
        <v>39723.74</v>
      </c>
      <c r="G1784" s="1250">
        <f t="shared" ref="G1784:G1786" si="3641">ROUND(F1784*J1784,2)</f>
        <v>39723.74</v>
      </c>
      <c r="H1784" s="47">
        <v>4812.37</v>
      </c>
      <c r="I1784" s="965">
        <f t="shared" ref="I1784:I1786" si="3642">+F1784*J1784*H1784</f>
        <v>191165334.66379997</v>
      </c>
      <c r="J1784" s="773">
        <v>1</v>
      </c>
      <c r="K1784" s="1377">
        <v>1</v>
      </c>
      <c r="L1784" s="218"/>
      <c r="M1784" s="1309">
        <f t="shared" ref="M1784" si="3643">+L1784*J1784</f>
        <v>0</v>
      </c>
      <c r="N1784" s="47"/>
      <c r="O1784" s="965">
        <f t="shared" ref="O1784" si="3644">+L1784*J1784*N1784</f>
        <v>0</v>
      </c>
      <c r="P1784" s="964"/>
      <c r="Q1784" s="1250">
        <f t="shared" ref="Q1784" si="3645">+P1784*K1784</f>
        <v>0</v>
      </c>
      <c r="R1784" s="47"/>
      <c r="S1784" s="47"/>
      <c r="T1784" s="965">
        <f t="shared" ref="T1784" si="3646">+P1784*K1784*S1784</f>
        <v>0</v>
      </c>
      <c r="U1784" s="959">
        <f t="shared" ref="U1784" si="3647">+L1784+P1784+F1784</f>
        <v>39723.74</v>
      </c>
      <c r="V1784" s="960">
        <f t="shared" ref="V1784" si="3648">+P1784*J1784*R1784+L1784*J1784*N1784+F1784*J1784*H1784</f>
        <v>191165334.66379997</v>
      </c>
      <c r="W1784" s="968">
        <f t="shared" ref="W1784:W1900" si="3649">-(IF(-P1784*J1784*R1784&lt;-P1784*K1784*S1784,(-P1784*J1784*R1784)-(-P1784*K1784*S1784),0))</f>
        <v>0</v>
      </c>
      <c r="X1784" s="966">
        <f t="shared" ref="X1784:X1900" si="3650">-(IF(-P1784*J1784*R1784&gt;-P1784*K1784*S1784,(-P1784*J1784*R1784)-(-P1784*K1784*S1784),0))</f>
        <v>0</v>
      </c>
      <c r="Y1784" s="967"/>
      <c r="Z1784" s="220"/>
      <c r="AA1784" s="325"/>
      <c r="AB1784" s="325"/>
      <c r="AC1784" s="325"/>
      <c r="AD1784" s="333"/>
      <c r="AE1784" s="333"/>
    </row>
    <row r="1785" spans="1:31" ht="15.75" hidden="1" outlineLevel="1">
      <c r="A1785" s="961">
        <v>2401012000</v>
      </c>
      <c r="B1785" s="962" t="s">
        <v>2326</v>
      </c>
      <c r="C1785" s="963" t="s">
        <v>64</v>
      </c>
      <c r="D1785" s="963">
        <v>5100010198</v>
      </c>
      <c r="E1785" s="969">
        <v>44902</v>
      </c>
      <c r="F1785" s="964">
        <v>21689.85</v>
      </c>
      <c r="G1785" s="1250">
        <f t="shared" si="3641"/>
        <v>21689.85</v>
      </c>
      <c r="H1785" s="47">
        <v>4818.32</v>
      </c>
      <c r="I1785" s="965">
        <f t="shared" si="3642"/>
        <v>104508638.05199999</v>
      </c>
      <c r="J1785" s="964">
        <v>1</v>
      </c>
      <c r="K1785" s="1454">
        <v>1</v>
      </c>
      <c r="L1785" s="218"/>
      <c r="M1785" s="1309">
        <f t="shared" ref="M1785:M1786" si="3651">+L1785*J1785</f>
        <v>0</v>
      </c>
      <c r="N1785" s="47"/>
      <c r="O1785" s="965">
        <f t="shared" ref="O1785:O1786" si="3652">+L1785*J1785*N1785</f>
        <v>0</v>
      </c>
      <c r="P1785" s="964"/>
      <c r="Q1785" s="1250">
        <f t="shared" ref="Q1785:Q1786" si="3653">+P1785*K1785</f>
        <v>0</v>
      </c>
      <c r="R1785" s="47"/>
      <c r="S1785" s="47"/>
      <c r="T1785" s="965">
        <f t="shared" ref="T1785:T1786" si="3654">+P1785*K1785*S1785</f>
        <v>0</v>
      </c>
      <c r="U1785" s="959">
        <f t="shared" ref="U1785:U1786" si="3655">+L1785+P1785+F1785</f>
        <v>21689.85</v>
      </c>
      <c r="V1785" s="960">
        <f t="shared" ref="V1785:V1786" si="3656">+P1785*J1785*R1785+L1785*J1785*N1785+F1785*J1785*H1785</f>
        <v>104508638.05199999</v>
      </c>
      <c r="W1785" s="968">
        <f t="shared" si="3649"/>
        <v>0</v>
      </c>
      <c r="X1785" s="966">
        <f t="shared" si="3650"/>
        <v>0</v>
      </c>
      <c r="Y1785" s="967"/>
      <c r="Z1785" s="220"/>
      <c r="AA1785" s="325"/>
      <c r="AB1785" s="325"/>
      <c r="AC1785" s="325"/>
      <c r="AD1785" s="333"/>
      <c r="AE1785" s="333"/>
    </row>
    <row r="1786" spans="1:31" ht="15.75" hidden="1" outlineLevel="1">
      <c r="A1786" s="961">
        <v>2401012000</v>
      </c>
      <c r="B1786" s="962" t="s">
        <v>2327</v>
      </c>
      <c r="C1786" s="963" t="s">
        <v>64</v>
      </c>
      <c r="D1786" s="963">
        <v>5100010368</v>
      </c>
      <c r="E1786" s="969">
        <v>44907</v>
      </c>
      <c r="F1786" s="964">
        <v>60.16</v>
      </c>
      <c r="G1786" s="1250">
        <f t="shared" si="3641"/>
        <v>60.16</v>
      </c>
      <c r="H1786" s="47">
        <v>4815.99</v>
      </c>
      <c r="I1786" s="965">
        <f t="shared" si="3642"/>
        <v>289729.95839999994</v>
      </c>
      <c r="J1786" s="964">
        <v>1</v>
      </c>
      <c r="K1786" s="1454">
        <v>1</v>
      </c>
      <c r="L1786" s="218"/>
      <c r="M1786" s="1309">
        <f t="shared" si="3651"/>
        <v>0</v>
      </c>
      <c r="N1786" s="47"/>
      <c r="O1786" s="965">
        <f t="shared" si="3652"/>
        <v>0</v>
      </c>
      <c r="P1786" s="964"/>
      <c r="Q1786" s="1250">
        <f t="shared" si="3653"/>
        <v>0</v>
      </c>
      <c r="R1786" s="47"/>
      <c r="S1786" s="47"/>
      <c r="T1786" s="965">
        <f t="shared" si="3654"/>
        <v>0</v>
      </c>
      <c r="U1786" s="959">
        <f t="shared" si="3655"/>
        <v>60.16</v>
      </c>
      <c r="V1786" s="960">
        <f t="shared" si="3656"/>
        <v>289729.95839999994</v>
      </c>
      <c r="W1786" s="968">
        <f t="shared" si="3649"/>
        <v>0</v>
      </c>
      <c r="X1786" s="966">
        <f t="shared" si="3650"/>
        <v>0</v>
      </c>
      <c r="Y1786" s="967"/>
      <c r="Z1786" s="220"/>
      <c r="AA1786" s="325"/>
      <c r="AB1786" s="325"/>
      <c r="AC1786" s="325"/>
      <c r="AD1786" s="333"/>
      <c r="AE1786" s="333"/>
    </row>
    <row r="1787" spans="1:31" ht="15.75" hidden="1" outlineLevel="1">
      <c r="A1787" s="961">
        <v>2401012000</v>
      </c>
      <c r="B1787" s="962" t="s">
        <v>2328</v>
      </c>
      <c r="C1787" s="963" t="s">
        <v>64</v>
      </c>
      <c r="D1787" s="963">
        <v>5100010545</v>
      </c>
      <c r="E1787" s="969">
        <v>44910</v>
      </c>
      <c r="F1787" s="964">
        <v>1694991.44</v>
      </c>
      <c r="G1787" s="1250">
        <f t="shared" ref="G1787:G1790" si="3657">ROUND(F1787*J1787,2)</f>
        <v>1694991.44</v>
      </c>
      <c r="H1787" s="47">
        <v>4778.28</v>
      </c>
      <c r="I1787" s="965">
        <f t="shared" ref="I1787:I1790" si="3658">+F1787*J1787*H1787</f>
        <v>8099143697.9231997</v>
      </c>
      <c r="J1787" s="964">
        <v>1</v>
      </c>
      <c r="K1787" s="1454">
        <v>1</v>
      </c>
      <c r="L1787" s="218"/>
      <c r="M1787" s="1309">
        <f t="shared" ref="M1787:M1790" si="3659">+L1787*J1787</f>
        <v>0</v>
      </c>
      <c r="N1787" s="47"/>
      <c r="O1787" s="965">
        <f t="shared" ref="O1787:O1790" si="3660">+L1787*J1787*N1787</f>
        <v>0</v>
      </c>
      <c r="P1787" s="964"/>
      <c r="Q1787" s="1250">
        <f t="shared" ref="Q1787:Q1790" si="3661">+P1787*K1787</f>
        <v>0</v>
      </c>
      <c r="R1787" s="47"/>
      <c r="S1787" s="47"/>
      <c r="T1787" s="965">
        <f t="shared" ref="T1787:T1790" si="3662">+P1787*K1787*S1787</f>
        <v>0</v>
      </c>
      <c r="U1787" s="959">
        <f t="shared" ref="U1787:U1790" si="3663">+L1787+P1787+F1787</f>
        <v>1694991.44</v>
      </c>
      <c r="V1787" s="960">
        <f t="shared" ref="V1787:V1790" si="3664">+P1787*J1787*R1787+L1787*J1787*N1787+F1787*J1787*H1787</f>
        <v>8099143697.9231997</v>
      </c>
      <c r="W1787" s="968">
        <f t="shared" ref="W1787:W1790" si="3665">-(IF(-P1787*J1787*R1787&lt;-P1787*K1787*S1787,(-P1787*J1787*R1787)-(-P1787*K1787*S1787),0))</f>
        <v>0</v>
      </c>
      <c r="X1787" s="966">
        <f t="shared" ref="X1787:X1790" si="3666">-(IF(-P1787*J1787*R1787&gt;-P1787*K1787*S1787,(-P1787*J1787*R1787)-(-P1787*K1787*S1787),0))</f>
        <v>0</v>
      </c>
      <c r="Y1787" s="967"/>
      <c r="Z1787" s="220"/>
      <c r="AA1787" s="325"/>
      <c r="AB1787" s="325"/>
      <c r="AC1787" s="325"/>
      <c r="AD1787" s="333"/>
      <c r="AE1787" s="333"/>
    </row>
    <row r="1788" spans="1:31" ht="15.75" hidden="1" outlineLevel="1">
      <c r="A1788" s="961">
        <v>2401012000</v>
      </c>
      <c r="B1788" s="962" t="s">
        <v>1445</v>
      </c>
      <c r="C1788" s="963" t="s">
        <v>64</v>
      </c>
      <c r="D1788" s="963">
        <v>2200000159</v>
      </c>
      <c r="E1788" s="969">
        <v>44913</v>
      </c>
      <c r="F1788" s="964">
        <v>-345917</v>
      </c>
      <c r="G1788" s="1250">
        <f t="shared" si="3657"/>
        <v>-345917</v>
      </c>
      <c r="H1788" s="47">
        <v>4802.4799999999996</v>
      </c>
      <c r="I1788" s="965">
        <f t="shared" si="3658"/>
        <v>-1661259474.1599998</v>
      </c>
      <c r="J1788" s="964">
        <v>1</v>
      </c>
      <c r="K1788" s="1454">
        <v>1</v>
      </c>
      <c r="L1788" s="218"/>
      <c r="M1788" s="1309">
        <f t="shared" si="3659"/>
        <v>0</v>
      </c>
      <c r="N1788" s="47"/>
      <c r="O1788" s="965">
        <f t="shared" si="3660"/>
        <v>0</v>
      </c>
      <c r="P1788" s="964"/>
      <c r="Q1788" s="1250">
        <f t="shared" si="3661"/>
        <v>0</v>
      </c>
      <c r="R1788" s="47"/>
      <c r="S1788" s="47"/>
      <c r="T1788" s="965">
        <f t="shared" si="3662"/>
        <v>0</v>
      </c>
      <c r="U1788" s="959">
        <f t="shared" si="3663"/>
        <v>-345917</v>
      </c>
      <c r="V1788" s="960">
        <f t="shared" si="3664"/>
        <v>-1661259474.1599998</v>
      </c>
      <c r="W1788" s="968">
        <f t="shared" si="3665"/>
        <v>0</v>
      </c>
      <c r="X1788" s="966">
        <f t="shared" si="3666"/>
        <v>0</v>
      </c>
      <c r="Y1788" s="967"/>
      <c r="Z1788" s="220"/>
      <c r="AA1788" s="325"/>
      <c r="AB1788" s="325"/>
      <c r="AC1788" s="325"/>
      <c r="AD1788" s="333"/>
      <c r="AE1788" s="333"/>
    </row>
    <row r="1789" spans="1:31" ht="15.75" hidden="1" outlineLevel="1">
      <c r="A1789" s="961">
        <v>2401012000</v>
      </c>
      <c r="B1789" s="962" t="s">
        <v>1455</v>
      </c>
      <c r="C1789" s="963" t="s">
        <v>64</v>
      </c>
      <c r="D1789" s="963">
        <v>5100010555</v>
      </c>
      <c r="E1789" s="969">
        <v>44911</v>
      </c>
      <c r="F1789" s="964">
        <v>376664.76</v>
      </c>
      <c r="G1789" s="1250">
        <f t="shared" si="3657"/>
        <v>376664.76</v>
      </c>
      <c r="H1789" s="47">
        <v>4797.0200000000004</v>
      </c>
      <c r="I1789" s="965">
        <f t="shared" si="3658"/>
        <v>1806868387.0152001</v>
      </c>
      <c r="J1789" s="964">
        <v>1</v>
      </c>
      <c r="K1789" s="1454">
        <v>1</v>
      </c>
      <c r="L1789" s="218"/>
      <c r="M1789" s="1309">
        <f t="shared" si="3659"/>
        <v>0</v>
      </c>
      <c r="N1789" s="47"/>
      <c r="O1789" s="965">
        <f t="shared" si="3660"/>
        <v>0</v>
      </c>
      <c r="P1789" s="964"/>
      <c r="Q1789" s="1250">
        <f t="shared" si="3661"/>
        <v>0</v>
      </c>
      <c r="R1789" s="47"/>
      <c r="S1789" s="47"/>
      <c r="T1789" s="965">
        <f t="shared" si="3662"/>
        <v>0</v>
      </c>
      <c r="U1789" s="959">
        <f t="shared" si="3663"/>
        <v>376664.76</v>
      </c>
      <c r="V1789" s="960">
        <f t="shared" si="3664"/>
        <v>1806868387.0152001</v>
      </c>
      <c r="W1789" s="968">
        <f t="shared" si="3665"/>
        <v>0</v>
      </c>
      <c r="X1789" s="966">
        <f t="shared" si="3666"/>
        <v>0</v>
      </c>
      <c r="Y1789" s="967"/>
      <c r="Z1789" s="220"/>
      <c r="AA1789" s="325"/>
      <c r="AB1789" s="325"/>
      <c r="AC1789" s="325"/>
      <c r="AD1789" s="333"/>
      <c r="AE1789" s="333"/>
    </row>
    <row r="1790" spans="1:31" ht="15.75" hidden="1" outlineLevel="1">
      <c r="A1790" s="961">
        <v>2401012000</v>
      </c>
      <c r="B1790" s="962" t="s">
        <v>1446</v>
      </c>
      <c r="C1790" s="963" t="s">
        <v>64</v>
      </c>
      <c r="D1790" s="963">
        <v>2200000161</v>
      </c>
      <c r="E1790" s="969">
        <v>44913</v>
      </c>
      <c r="F1790" s="964">
        <v>-76871</v>
      </c>
      <c r="G1790" s="1250">
        <f t="shared" si="3657"/>
        <v>-76871</v>
      </c>
      <c r="H1790" s="47">
        <v>4802.4799999999996</v>
      </c>
      <c r="I1790" s="965">
        <f t="shared" si="3658"/>
        <v>-369171440.07999998</v>
      </c>
      <c r="J1790" s="964">
        <v>1</v>
      </c>
      <c r="K1790" s="1454">
        <v>1</v>
      </c>
      <c r="L1790" s="218"/>
      <c r="M1790" s="1309">
        <f t="shared" si="3659"/>
        <v>0</v>
      </c>
      <c r="N1790" s="47"/>
      <c r="O1790" s="965">
        <f t="shared" si="3660"/>
        <v>0</v>
      </c>
      <c r="P1790" s="964"/>
      <c r="Q1790" s="1250">
        <f t="shared" si="3661"/>
        <v>0</v>
      </c>
      <c r="R1790" s="47"/>
      <c r="S1790" s="47"/>
      <c r="T1790" s="965">
        <f t="shared" si="3662"/>
        <v>0</v>
      </c>
      <c r="U1790" s="959">
        <f t="shared" si="3663"/>
        <v>-76871</v>
      </c>
      <c r="V1790" s="960">
        <f t="shared" si="3664"/>
        <v>-369171440.07999998</v>
      </c>
      <c r="W1790" s="968">
        <f t="shared" si="3665"/>
        <v>0</v>
      </c>
      <c r="X1790" s="966">
        <f t="shared" si="3666"/>
        <v>0</v>
      </c>
      <c r="Y1790" s="967"/>
      <c r="Z1790" s="220"/>
      <c r="AA1790" s="325"/>
      <c r="AB1790" s="325"/>
      <c r="AC1790" s="325"/>
      <c r="AD1790" s="333"/>
      <c r="AE1790" s="333"/>
    </row>
    <row r="1791" spans="1:31" ht="15.75" hidden="1" outlineLevel="1">
      <c r="A1791" s="961">
        <v>2401012000</v>
      </c>
      <c r="B1791" s="962" t="s">
        <v>2329</v>
      </c>
      <c r="C1791" s="963" t="s">
        <v>64</v>
      </c>
      <c r="D1791" s="963">
        <v>5100010688</v>
      </c>
      <c r="E1791" s="969">
        <v>44908</v>
      </c>
      <c r="F1791" s="964">
        <v>9932.56</v>
      </c>
      <c r="G1791" s="1250">
        <f t="shared" ref="G1791" si="3667">ROUND(F1791*J1791,2)</f>
        <v>9932.56</v>
      </c>
      <c r="H1791" s="47">
        <v>4836.24</v>
      </c>
      <c r="I1791" s="965">
        <f t="shared" ref="I1791" si="3668">+F1791*J1791*H1791</f>
        <v>48036243.974399999</v>
      </c>
      <c r="J1791" s="964">
        <v>1</v>
      </c>
      <c r="K1791" s="1454">
        <v>1</v>
      </c>
      <c r="L1791" s="218"/>
      <c r="M1791" s="1309">
        <f t="shared" ref="M1791" si="3669">+L1791*J1791</f>
        <v>0</v>
      </c>
      <c r="N1791" s="47"/>
      <c r="O1791" s="965">
        <f t="shared" ref="O1791" si="3670">+L1791*J1791*N1791</f>
        <v>0</v>
      </c>
      <c r="P1791" s="964"/>
      <c r="Q1791" s="1250">
        <f t="shared" ref="Q1791" si="3671">+P1791*K1791</f>
        <v>0</v>
      </c>
      <c r="R1791" s="47"/>
      <c r="S1791" s="47"/>
      <c r="T1791" s="965">
        <f t="shared" ref="T1791" si="3672">+P1791*K1791*S1791</f>
        <v>0</v>
      </c>
      <c r="U1791" s="959">
        <f t="shared" ref="U1791" si="3673">+L1791+P1791+F1791</f>
        <v>9932.56</v>
      </c>
      <c r="V1791" s="960">
        <f t="shared" ref="V1791" si="3674">+P1791*J1791*R1791+L1791*J1791*N1791+F1791*J1791*H1791</f>
        <v>48036243.974399999</v>
      </c>
      <c r="W1791" s="968">
        <f t="shared" ref="W1791" si="3675">-(IF(-P1791*J1791*R1791&lt;-P1791*K1791*S1791,(-P1791*J1791*R1791)-(-P1791*K1791*S1791),0))</f>
        <v>0</v>
      </c>
      <c r="X1791" s="966">
        <f t="shared" ref="X1791" si="3676">-(IF(-P1791*J1791*R1791&gt;-P1791*K1791*S1791,(-P1791*J1791*R1791)-(-P1791*K1791*S1791),0))</f>
        <v>0</v>
      </c>
      <c r="Y1791" s="967"/>
      <c r="Z1791" s="220"/>
      <c r="AA1791" s="325"/>
      <c r="AB1791" s="325"/>
      <c r="AC1791" s="325"/>
      <c r="AD1791" s="333"/>
      <c r="AE1791" s="333"/>
    </row>
    <row r="1792" spans="1:31" ht="15.75" hidden="1" outlineLevel="1">
      <c r="A1792" s="961">
        <v>2401012000</v>
      </c>
      <c r="B1792" s="962" t="s">
        <v>2330</v>
      </c>
      <c r="C1792" s="963" t="s">
        <v>64</v>
      </c>
      <c r="D1792" s="963">
        <v>5100010771</v>
      </c>
      <c r="E1792" s="969">
        <v>44916</v>
      </c>
      <c r="F1792" s="964">
        <v>2401.5700000000002</v>
      </c>
      <c r="G1792" s="1250">
        <f t="shared" ref="G1792:G1793" si="3677">ROUND(F1792*J1792,2)</f>
        <v>2401.5700000000002</v>
      </c>
      <c r="H1792" s="47">
        <v>4769.29</v>
      </c>
      <c r="I1792" s="965">
        <f t="shared" ref="I1792:I1793" si="3678">+F1792*J1792*H1792</f>
        <v>11453783.785300002</v>
      </c>
      <c r="J1792" s="964">
        <v>1</v>
      </c>
      <c r="K1792" s="1454">
        <v>1</v>
      </c>
      <c r="L1792" s="218"/>
      <c r="M1792" s="1309">
        <f t="shared" ref="M1792:M1793" si="3679">+L1792*J1792</f>
        <v>0</v>
      </c>
      <c r="N1792" s="47"/>
      <c r="O1792" s="965">
        <f t="shared" ref="O1792:O1793" si="3680">+L1792*J1792*N1792</f>
        <v>0</v>
      </c>
      <c r="P1792" s="964"/>
      <c r="Q1792" s="1250">
        <f t="shared" ref="Q1792:Q1793" si="3681">+P1792*K1792</f>
        <v>0</v>
      </c>
      <c r="R1792" s="47"/>
      <c r="S1792" s="47"/>
      <c r="T1792" s="965">
        <f t="shared" ref="T1792:T1793" si="3682">+P1792*K1792*S1792</f>
        <v>0</v>
      </c>
      <c r="U1792" s="959">
        <f t="shared" ref="U1792:U1793" si="3683">+L1792+P1792+F1792</f>
        <v>2401.5700000000002</v>
      </c>
      <c r="V1792" s="960">
        <f t="shared" ref="V1792:V1793" si="3684">+P1792*J1792*R1792+L1792*J1792*N1792+F1792*J1792*H1792</f>
        <v>11453783.785300002</v>
      </c>
      <c r="W1792" s="968">
        <f t="shared" ref="W1792:W1793" si="3685">-(IF(-P1792*J1792*R1792&lt;-P1792*K1792*S1792,(-P1792*J1792*R1792)-(-P1792*K1792*S1792),0))</f>
        <v>0</v>
      </c>
      <c r="X1792" s="966">
        <f t="shared" ref="X1792:X1793" si="3686">-(IF(-P1792*J1792*R1792&gt;-P1792*K1792*S1792,(-P1792*J1792*R1792)-(-P1792*K1792*S1792),0))</f>
        <v>0</v>
      </c>
      <c r="Y1792" s="967"/>
      <c r="Z1792" s="220"/>
      <c r="AA1792" s="325"/>
      <c r="AB1792" s="325"/>
      <c r="AC1792" s="325"/>
      <c r="AD1792" s="333"/>
      <c r="AE1792" s="333"/>
    </row>
    <row r="1793" spans="1:31" ht="15.75" hidden="1" outlineLevel="1">
      <c r="A1793" s="961">
        <v>2401012000</v>
      </c>
      <c r="B1793" s="962" t="s">
        <v>2331</v>
      </c>
      <c r="C1793" s="963" t="s">
        <v>64</v>
      </c>
      <c r="D1793" s="963">
        <v>5100011004</v>
      </c>
      <c r="E1793" s="969">
        <v>44922</v>
      </c>
      <c r="F1793" s="964">
        <v>5236.8500000000004</v>
      </c>
      <c r="G1793" s="1250">
        <f t="shared" si="3677"/>
        <v>5236.8500000000004</v>
      </c>
      <c r="H1793" s="47">
        <v>4745.04</v>
      </c>
      <c r="I1793" s="965">
        <f t="shared" si="3678"/>
        <v>24849062.724000003</v>
      </c>
      <c r="J1793" s="964">
        <v>1</v>
      </c>
      <c r="K1793" s="1454">
        <v>1</v>
      </c>
      <c r="L1793" s="218"/>
      <c r="M1793" s="1309">
        <f t="shared" si="3679"/>
        <v>0</v>
      </c>
      <c r="N1793" s="47"/>
      <c r="O1793" s="965">
        <f t="shared" si="3680"/>
        <v>0</v>
      </c>
      <c r="P1793" s="964"/>
      <c r="Q1793" s="1250">
        <f t="shared" si="3681"/>
        <v>0</v>
      </c>
      <c r="R1793" s="47"/>
      <c r="S1793" s="47"/>
      <c r="T1793" s="965">
        <f t="shared" si="3682"/>
        <v>0</v>
      </c>
      <c r="U1793" s="959">
        <f t="shared" si="3683"/>
        <v>5236.8500000000004</v>
      </c>
      <c r="V1793" s="960">
        <f t="shared" si="3684"/>
        <v>24849062.724000003</v>
      </c>
      <c r="W1793" s="968">
        <f t="shared" si="3685"/>
        <v>0</v>
      </c>
      <c r="X1793" s="966">
        <f t="shared" si="3686"/>
        <v>0</v>
      </c>
      <c r="Y1793" s="967"/>
      <c r="Z1793" s="220"/>
      <c r="AA1793" s="325"/>
      <c r="AB1793" s="325"/>
      <c r="AC1793" s="325"/>
      <c r="AD1793" s="333"/>
      <c r="AE1793" s="333"/>
    </row>
    <row r="1794" spans="1:31" ht="15.75" hidden="1" outlineLevel="1">
      <c r="A1794" s="961">
        <v>2401012000</v>
      </c>
      <c r="B1794" s="962" t="s">
        <v>2332</v>
      </c>
      <c r="C1794" s="963" t="s">
        <v>64</v>
      </c>
      <c r="D1794" s="963">
        <v>5100010618</v>
      </c>
      <c r="E1794" s="969">
        <v>44914</v>
      </c>
      <c r="F1794" s="964">
        <v>3763.5</v>
      </c>
      <c r="G1794" s="1250">
        <f>ROUND(F1794*J1794,2)</f>
        <v>3763.5</v>
      </c>
      <c r="H1794" s="47">
        <v>4802.4799999999996</v>
      </c>
      <c r="I1794" s="965">
        <f>+F1794*J1794*H1794</f>
        <v>18074133.479999997</v>
      </c>
      <c r="J1794" s="964">
        <v>1</v>
      </c>
      <c r="K1794" s="1454">
        <v>1</v>
      </c>
      <c r="L1794" s="218"/>
      <c r="M1794" s="1309">
        <f>+L1794*J1794</f>
        <v>0</v>
      </c>
      <c r="N1794" s="47"/>
      <c r="O1794" s="965">
        <f>+L1794*J1794*N1794</f>
        <v>0</v>
      </c>
      <c r="P1794" s="964"/>
      <c r="Q1794" s="1250">
        <f>+P1794*K1794</f>
        <v>0</v>
      </c>
      <c r="R1794" s="47"/>
      <c r="S1794" s="47"/>
      <c r="T1794" s="965">
        <f>+P1794*K1794*S1794</f>
        <v>0</v>
      </c>
      <c r="U1794" s="959">
        <f>+L1794+P1794+F1794</f>
        <v>3763.5</v>
      </c>
      <c r="V1794" s="960">
        <f>+P1794*J1794*R1794+L1794*J1794*N1794+F1794*J1794*H1794</f>
        <v>18074133.479999997</v>
      </c>
      <c r="W1794" s="968">
        <f>-(IF(-P1794*J1794*R1794&lt;-P1794*K1794*S1794,(-P1794*J1794*R1794)-(-P1794*K1794*S1794),0))</f>
        <v>0</v>
      </c>
      <c r="X1794" s="966">
        <f>-(IF(-P1794*J1794*R1794&gt;-P1794*K1794*S1794,(-P1794*J1794*R1794)-(-P1794*K1794*S1794),0))</f>
        <v>0</v>
      </c>
      <c r="Y1794" s="967"/>
      <c r="Z1794" s="220"/>
      <c r="AA1794" s="325"/>
      <c r="AB1794" s="325"/>
      <c r="AC1794" s="325"/>
      <c r="AD1794" s="333"/>
      <c r="AE1794" s="333"/>
    </row>
    <row r="1795" spans="1:31" s="401" customFormat="1" hidden="1" outlineLevel="1">
      <c r="A1795" s="984">
        <v>2401012000</v>
      </c>
      <c r="B1795" s="985"/>
      <c r="C1795" s="986" t="s">
        <v>64</v>
      </c>
      <c r="D1795" s="986">
        <v>2000000089</v>
      </c>
      <c r="E1795" s="987">
        <v>44931</v>
      </c>
      <c r="F1795" s="988"/>
      <c r="G1795" s="1287"/>
      <c r="H1795" s="335"/>
      <c r="I1795" s="989"/>
      <c r="J1795" s="991">
        <v>1</v>
      </c>
      <c r="K1795" s="1460">
        <v>1</v>
      </c>
      <c r="L1795" s="336"/>
      <c r="M1795" s="1322">
        <f t="shared" ref="M1795:M1899" si="3687">+L1795*J1795</f>
        <v>0</v>
      </c>
      <c r="N1795" s="337"/>
      <c r="O1795" s="990">
        <f t="shared" ref="O1795:O1899" si="3688">+L1795*J1795*N1795</f>
        <v>0</v>
      </c>
      <c r="P1795" s="991">
        <f t="shared" ref="P1795:P1804" si="3689">-F1784</f>
        <v>-39723.74</v>
      </c>
      <c r="Q1795" s="1330">
        <f t="shared" ref="Q1795:Q1899" si="3690">+P1795*K1795</f>
        <v>-39723.74</v>
      </c>
      <c r="R1795" s="337">
        <f t="shared" ref="R1795:R1804" si="3691">H1784</f>
        <v>4812.37</v>
      </c>
      <c r="S1795" s="337">
        <f ca="1">IF(OR($E1795="",$E1795&gt;TODAY()),0,VLOOKUP($E1795,'TRM BanRep'!$A:$G,7,0))</f>
        <v>4924</v>
      </c>
      <c r="T1795" s="990">
        <f t="shared" ref="T1795:T1899" ca="1" si="3692">+P1795*K1795*S1795</f>
        <v>-195599695.75999999</v>
      </c>
      <c r="U1795" s="992">
        <f t="shared" ref="U1795:U1899" si="3693">+L1795+P1795+F1795</f>
        <v>-39723.74</v>
      </c>
      <c r="V1795" s="990">
        <f t="shared" ref="V1795:V1899" si="3694">+P1795*J1795*R1795+L1795*J1795*N1795+F1795*J1795*H1795</f>
        <v>-191165334.66379997</v>
      </c>
      <c r="W1795" s="993">
        <f t="shared" ca="1" si="3649"/>
        <v>4434361.0962000191</v>
      </c>
      <c r="X1795" s="994">
        <f t="shared" ca="1" si="3650"/>
        <v>0</v>
      </c>
      <c r="Y1795" s="995"/>
      <c r="Z1795" s="220"/>
      <c r="AA1795" s="15"/>
      <c r="AB1795" s="15"/>
      <c r="AC1795" s="15"/>
      <c r="AD1795" s="333"/>
      <c r="AE1795" s="333"/>
    </row>
    <row r="1796" spans="1:31" s="401" customFormat="1" hidden="1" outlineLevel="1">
      <c r="A1796" s="984">
        <v>2401012000</v>
      </c>
      <c r="B1796" s="985"/>
      <c r="C1796" s="986" t="s">
        <v>64</v>
      </c>
      <c r="D1796" s="986">
        <v>2000000354</v>
      </c>
      <c r="E1796" s="987">
        <v>44936</v>
      </c>
      <c r="F1796" s="988"/>
      <c r="G1796" s="1287"/>
      <c r="H1796" s="335"/>
      <c r="I1796" s="989"/>
      <c r="J1796" s="991">
        <v>1</v>
      </c>
      <c r="K1796" s="1460">
        <v>1</v>
      </c>
      <c r="L1796" s="336"/>
      <c r="M1796" s="1322">
        <f t="shared" si="3687"/>
        <v>0</v>
      </c>
      <c r="N1796" s="337"/>
      <c r="O1796" s="990">
        <f t="shared" si="3688"/>
        <v>0</v>
      </c>
      <c r="P1796" s="991">
        <f t="shared" si="3689"/>
        <v>-21689.85</v>
      </c>
      <c r="Q1796" s="1330">
        <f t="shared" ref="Q1796" si="3695">+P1796*K1796</f>
        <v>-21689.85</v>
      </c>
      <c r="R1796" s="337">
        <f t="shared" si="3691"/>
        <v>4818.32</v>
      </c>
      <c r="S1796" s="337">
        <f ca="1">IF(OR($E1796="",$E1796&gt;TODAY()),0,VLOOKUP($E1796,'TRM BanRep'!$A:$G,7,0))</f>
        <v>4885.66</v>
      </c>
      <c r="T1796" s="990">
        <f t="shared" ca="1" si="3692"/>
        <v>-105969232.55099998</v>
      </c>
      <c r="U1796" s="992">
        <f t="shared" si="3693"/>
        <v>-21689.85</v>
      </c>
      <c r="V1796" s="990">
        <f t="shared" si="3694"/>
        <v>-104508638.05199999</v>
      </c>
      <c r="W1796" s="993">
        <f t="shared" ca="1" si="3649"/>
        <v>1460594.498999998</v>
      </c>
      <c r="X1796" s="994">
        <f t="shared" ca="1" si="3650"/>
        <v>0</v>
      </c>
      <c r="Y1796" s="995"/>
      <c r="Z1796" s="220"/>
      <c r="AA1796" s="15"/>
      <c r="AB1796" s="15"/>
      <c r="AC1796" s="15"/>
      <c r="AD1796" s="333"/>
      <c r="AE1796" s="333"/>
    </row>
    <row r="1797" spans="1:31" s="401" customFormat="1" hidden="1" outlineLevel="1">
      <c r="A1797" s="984">
        <v>2401012000</v>
      </c>
      <c r="B1797" s="985"/>
      <c r="C1797" s="986" t="s">
        <v>64</v>
      </c>
      <c r="D1797" s="986">
        <v>2000000397</v>
      </c>
      <c r="E1797" s="987">
        <v>44937</v>
      </c>
      <c r="F1797" s="988"/>
      <c r="G1797" s="1287"/>
      <c r="H1797" s="335"/>
      <c r="I1797" s="989"/>
      <c r="J1797" s="991">
        <v>1</v>
      </c>
      <c r="K1797" s="1460">
        <v>1</v>
      </c>
      <c r="L1797" s="336"/>
      <c r="M1797" s="1322">
        <f t="shared" ref="M1797" si="3696">+L1797*J1797</f>
        <v>0</v>
      </c>
      <c r="N1797" s="337"/>
      <c r="O1797" s="990">
        <f t="shared" ref="O1797" si="3697">+L1797*J1797*N1797</f>
        <v>0</v>
      </c>
      <c r="P1797" s="991">
        <f t="shared" si="3689"/>
        <v>-60.16</v>
      </c>
      <c r="Q1797" s="1330">
        <f t="shared" ref="Q1797" si="3698">+P1797*K1797</f>
        <v>-60.16</v>
      </c>
      <c r="R1797" s="337">
        <f t="shared" si="3691"/>
        <v>4815.99</v>
      </c>
      <c r="S1797" s="337">
        <f ca="1">IF(OR($E1797="",$E1797&gt;TODAY()),0,VLOOKUP($E1797,'TRM BanRep'!$A:$G,7,0))</f>
        <v>4807.8500000000004</v>
      </c>
      <c r="T1797" s="990">
        <f t="shared" ref="T1797" ca="1" si="3699">+P1797*K1797*S1797</f>
        <v>-289240.25599999999</v>
      </c>
      <c r="U1797" s="992">
        <f t="shared" ref="U1797" si="3700">+L1797+P1797+F1797</f>
        <v>-60.16</v>
      </c>
      <c r="V1797" s="990">
        <f t="shared" ref="V1797" si="3701">+P1797*J1797*R1797+L1797*J1797*N1797+F1797*J1797*H1797</f>
        <v>-289729.95839999994</v>
      </c>
      <c r="W1797" s="993">
        <f t="shared" ref="W1797" ca="1" si="3702">-(IF(-P1797*J1797*R1797&lt;-P1797*K1797*S1797,(-P1797*J1797*R1797)-(-P1797*K1797*S1797),0))</f>
        <v>0</v>
      </c>
      <c r="X1797" s="994">
        <f t="shared" ref="X1797" ca="1" si="3703">-(IF(-P1797*J1797*R1797&gt;-P1797*K1797*S1797,(-P1797*J1797*R1797)-(-P1797*K1797*S1797),0))</f>
        <v>-489.70239999995101</v>
      </c>
      <c r="Y1797" s="995"/>
      <c r="Z1797" s="220"/>
      <c r="AA1797" s="15"/>
      <c r="AB1797" s="15"/>
      <c r="AC1797" s="15"/>
      <c r="AD1797" s="333"/>
      <c r="AE1797" s="333"/>
    </row>
    <row r="1798" spans="1:31" s="401" customFormat="1" hidden="1" outlineLevel="1">
      <c r="A1798" s="984">
        <v>2401012000</v>
      </c>
      <c r="B1798" s="985"/>
      <c r="C1798" s="986" t="s">
        <v>64</v>
      </c>
      <c r="D1798" s="986">
        <v>2000000469</v>
      </c>
      <c r="E1798" s="987">
        <v>44942</v>
      </c>
      <c r="F1798" s="988"/>
      <c r="G1798" s="1287"/>
      <c r="H1798" s="335"/>
      <c r="I1798" s="989"/>
      <c r="J1798" s="991">
        <v>1</v>
      </c>
      <c r="K1798" s="1460">
        <v>1</v>
      </c>
      <c r="L1798" s="336"/>
      <c r="M1798" s="1322">
        <f t="shared" ref="M1798" si="3704">+L1798*J1798</f>
        <v>0</v>
      </c>
      <c r="N1798" s="337"/>
      <c r="O1798" s="990">
        <f t="shared" ref="O1798" si="3705">+L1798*J1798*N1798</f>
        <v>0</v>
      </c>
      <c r="P1798" s="991">
        <f t="shared" si="3689"/>
        <v>-1694991.44</v>
      </c>
      <c r="Q1798" s="1330">
        <f t="shared" ref="Q1798" si="3706">+P1798*K1798</f>
        <v>-1694991.44</v>
      </c>
      <c r="R1798" s="337">
        <f t="shared" si="3691"/>
        <v>4778.28</v>
      </c>
      <c r="S1798" s="337">
        <f ca="1">IF(OR($E1798="",$E1798&gt;TODAY()),0,VLOOKUP($E1798,'TRM BanRep'!$A:$G,7,0))</f>
        <v>4693.99</v>
      </c>
      <c r="T1798" s="990">
        <f t="shared" ref="T1798" ca="1" si="3707">+P1798*K1798*S1798</f>
        <v>-7956272869.4455996</v>
      </c>
      <c r="U1798" s="992">
        <f t="shared" ref="U1798" si="3708">+L1798+P1798+F1798</f>
        <v>-1694991.44</v>
      </c>
      <c r="V1798" s="990">
        <f t="shared" ref="V1798" si="3709">+P1798*J1798*R1798+L1798*J1798*N1798+F1798*J1798*H1798</f>
        <v>-8099143697.9231997</v>
      </c>
      <c r="W1798" s="993">
        <f t="shared" ref="W1798" ca="1" si="3710">-(IF(-P1798*J1798*R1798&lt;-P1798*K1798*S1798,(-P1798*J1798*R1798)-(-P1798*K1798*S1798),0))</f>
        <v>0</v>
      </c>
      <c r="X1798" s="994">
        <f t="shared" ref="X1798" ca="1" si="3711">-(IF(-P1798*J1798*R1798&gt;-P1798*K1798*S1798,(-P1798*J1798*R1798)-(-P1798*K1798*S1798),0))</f>
        <v>-142870828.4776001</v>
      </c>
      <c r="Y1798" s="995"/>
      <c r="Z1798" s="220"/>
      <c r="AA1798" s="15"/>
      <c r="AB1798" s="15"/>
      <c r="AC1798" s="15"/>
      <c r="AD1798" s="333"/>
      <c r="AE1798" s="333"/>
    </row>
    <row r="1799" spans="1:31" s="401" customFormat="1" hidden="1" outlineLevel="1">
      <c r="A1799" s="984">
        <v>2401012000</v>
      </c>
      <c r="B1799" s="985"/>
      <c r="C1799" s="986" t="s">
        <v>64</v>
      </c>
      <c r="D1799" s="986">
        <v>2000000469</v>
      </c>
      <c r="E1799" s="987">
        <v>44942</v>
      </c>
      <c r="F1799" s="988"/>
      <c r="G1799" s="1287"/>
      <c r="H1799" s="335"/>
      <c r="I1799" s="989"/>
      <c r="J1799" s="991">
        <v>1</v>
      </c>
      <c r="K1799" s="1460">
        <v>1</v>
      </c>
      <c r="L1799" s="336"/>
      <c r="M1799" s="1322">
        <f t="shared" ref="M1799:M1802" si="3712">+L1799*J1799</f>
        <v>0</v>
      </c>
      <c r="N1799" s="337"/>
      <c r="O1799" s="990">
        <f t="shared" ref="O1799:O1802" si="3713">+L1799*J1799*N1799</f>
        <v>0</v>
      </c>
      <c r="P1799" s="991">
        <f t="shared" si="3689"/>
        <v>345917</v>
      </c>
      <c r="Q1799" s="1330">
        <f t="shared" ref="Q1799:Q1802" si="3714">+P1799*K1799</f>
        <v>345917</v>
      </c>
      <c r="R1799" s="337">
        <f t="shared" si="3691"/>
        <v>4802.4799999999996</v>
      </c>
      <c r="S1799" s="337">
        <f ca="1">IF(OR($E1799="",$E1799&gt;TODAY()),0,VLOOKUP($E1799,'TRM BanRep'!$A:$G,7,0))</f>
        <v>4693.99</v>
      </c>
      <c r="T1799" s="990">
        <f t="shared" ref="T1799:T1802" ca="1" si="3715">+P1799*K1799*S1799</f>
        <v>1623730938.8299999</v>
      </c>
      <c r="U1799" s="992">
        <f t="shared" ref="U1799:U1802" si="3716">+L1799+P1799+F1799</f>
        <v>345917</v>
      </c>
      <c r="V1799" s="990">
        <f t="shared" ref="V1799:V1802" si="3717">+P1799*J1799*R1799+L1799*J1799*N1799+F1799*J1799*H1799</f>
        <v>1661259474.1599998</v>
      </c>
      <c r="W1799" s="993">
        <f t="shared" ref="W1799:W1802" ca="1" si="3718">-(IF(-P1799*J1799*R1799&lt;-P1799*K1799*S1799,(-P1799*J1799*R1799)-(-P1799*K1799*S1799),0))</f>
        <v>37528535.329999924</v>
      </c>
      <c r="X1799" s="994">
        <f t="shared" ref="X1799:X1802" ca="1" si="3719">-(IF(-P1799*J1799*R1799&gt;-P1799*K1799*S1799,(-P1799*J1799*R1799)-(-P1799*K1799*S1799),0))</f>
        <v>0</v>
      </c>
      <c r="Y1799" s="995"/>
      <c r="Z1799" s="220"/>
      <c r="AA1799" s="15"/>
      <c r="AB1799" s="15"/>
      <c r="AC1799" s="15"/>
      <c r="AD1799" s="333"/>
      <c r="AE1799" s="333"/>
    </row>
    <row r="1800" spans="1:31" s="401" customFormat="1" hidden="1" outlineLevel="1">
      <c r="A1800" s="984">
        <v>2401012000</v>
      </c>
      <c r="B1800" s="985"/>
      <c r="C1800" s="986" t="s">
        <v>64</v>
      </c>
      <c r="D1800" s="986">
        <v>2000000489</v>
      </c>
      <c r="E1800" s="987">
        <v>44942</v>
      </c>
      <c r="F1800" s="988"/>
      <c r="G1800" s="1287"/>
      <c r="H1800" s="335"/>
      <c r="I1800" s="989"/>
      <c r="J1800" s="991">
        <v>1</v>
      </c>
      <c r="K1800" s="1460">
        <v>1</v>
      </c>
      <c r="L1800" s="336"/>
      <c r="M1800" s="1322">
        <f t="shared" si="3712"/>
        <v>0</v>
      </c>
      <c r="N1800" s="337"/>
      <c r="O1800" s="990">
        <f t="shared" si="3713"/>
        <v>0</v>
      </c>
      <c r="P1800" s="991">
        <f t="shared" si="3689"/>
        <v>-376664.76</v>
      </c>
      <c r="Q1800" s="1330">
        <f t="shared" si="3714"/>
        <v>-376664.76</v>
      </c>
      <c r="R1800" s="337">
        <f t="shared" si="3691"/>
        <v>4797.0200000000004</v>
      </c>
      <c r="S1800" s="337">
        <f ca="1">IF(OR($E1800="",$E1800&gt;TODAY()),0,VLOOKUP($E1800,'TRM BanRep'!$A:$G,7,0))</f>
        <v>4693.99</v>
      </c>
      <c r="T1800" s="990">
        <f t="shared" ca="1" si="3715"/>
        <v>-1768060616.7923999</v>
      </c>
      <c r="U1800" s="992">
        <f t="shared" si="3716"/>
        <v>-376664.76</v>
      </c>
      <c r="V1800" s="990">
        <f t="shared" si="3717"/>
        <v>-1806868387.0152001</v>
      </c>
      <c r="W1800" s="993">
        <f t="shared" ca="1" si="3718"/>
        <v>0</v>
      </c>
      <c r="X1800" s="994">
        <f t="shared" ca="1" si="3719"/>
        <v>-38807770.222800255</v>
      </c>
      <c r="Y1800" s="995"/>
      <c r="Z1800" s="220"/>
      <c r="AA1800" s="15"/>
      <c r="AB1800" s="15"/>
      <c r="AC1800" s="15"/>
      <c r="AD1800" s="333"/>
      <c r="AE1800" s="333"/>
    </row>
    <row r="1801" spans="1:31" s="401" customFormat="1" hidden="1" outlineLevel="1">
      <c r="A1801" s="984">
        <v>2401012000</v>
      </c>
      <c r="B1801" s="985"/>
      <c r="C1801" s="986" t="s">
        <v>64</v>
      </c>
      <c r="D1801" s="986">
        <v>2000000489</v>
      </c>
      <c r="E1801" s="987">
        <v>44942</v>
      </c>
      <c r="F1801" s="988"/>
      <c r="G1801" s="1287"/>
      <c r="H1801" s="335"/>
      <c r="I1801" s="989"/>
      <c r="J1801" s="991">
        <v>1</v>
      </c>
      <c r="K1801" s="1460">
        <v>1</v>
      </c>
      <c r="L1801" s="336"/>
      <c r="M1801" s="1322">
        <f t="shared" si="3712"/>
        <v>0</v>
      </c>
      <c r="N1801" s="337"/>
      <c r="O1801" s="990">
        <f t="shared" si="3713"/>
        <v>0</v>
      </c>
      <c r="P1801" s="991">
        <f t="shared" si="3689"/>
        <v>76871</v>
      </c>
      <c r="Q1801" s="1330">
        <f t="shared" si="3714"/>
        <v>76871</v>
      </c>
      <c r="R1801" s="337">
        <f t="shared" si="3691"/>
        <v>4802.4799999999996</v>
      </c>
      <c r="S1801" s="337">
        <f ca="1">IF(OR($E1801="",$E1801&gt;TODAY()),0,VLOOKUP($E1801,'TRM BanRep'!$A:$G,7,0))</f>
        <v>4693.99</v>
      </c>
      <c r="T1801" s="990">
        <f t="shared" ca="1" si="3715"/>
        <v>360831705.28999996</v>
      </c>
      <c r="U1801" s="992">
        <f t="shared" si="3716"/>
        <v>76871</v>
      </c>
      <c r="V1801" s="990">
        <f t="shared" si="3717"/>
        <v>369171440.07999998</v>
      </c>
      <c r="W1801" s="993">
        <f t="shared" ca="1" si="3718"/>
        <v>8339734.7900000215</v>
      </c>
      <c r="X1801" s="994">
        <f t="shared" ca="1" si="3719"/>
        <v>0</v>
      </c>
      <c r="Y1801" s="995"/>
      <c r="Z1801" s="220"/>
      <c r="AA1801" s="15"/>
      <c r="AB1801" s="15"/>
      <c r="AC1801" s="15"/>
      <c r="AD1801" s="333"/>
      <c r="AE1801" s="333"/>
    </row>
    <row r="1802" spans="1:31" s="401" customFormat="1" hidden="1" outlineLevel="1">
      <c r="A1802" s="984">
        <v>2401012000</v>
      </c>
      <c r="B1802" s="985"/>
      <c r="C1802" s="986" t="s">
        <v>64</v>
      </c>
      <c r="D1802" s="986">
        <v>2000000415</v>
      </c>
      <c r="E1802" s="987">
        <v>44938</v>
      </c>
      <c r="F1802" s="988"/>
      <c r="G1802" s="1287"/>
      <c r="H1802" s="335"/>
      <c r="I1802" s="989"/>
      <c r="J1802" s="991">
        <v>1</v>
      </c>
      <c r="K1802" s="1460">
        <v>1</v>
      </c>
      <c r="L1802" s="336"/>
      <c r="M1802" s="1322">
        <f t="shared" si="3712"/>
        <v>0</v>
      </c>
      <c r="N1802" s="337"/>
      <c r="O1802" s="990">
        <f t="shared" si="3713"/>
        <v>0</v>
      </c>
      <c r="P1802" s="991">
        <f t="shared" si="3689"/>
        <v>-9932.56</v>
      </c>
      <c r="Q1802" s="1330">
        <f t="shared" si="3714"/>
        <v>-9932.56</v>
      </c>
      <c r="R1802" s="337">
        <f t="shared" si="3691"/>
        <v>4836.24</v>
      </c>
      <c r="S1802" s="337">
        <f ca="1">IF(OR($E1802="",$E1802&gt;TODAY()),0,VLOOKUP($E1802,'TRM BanRep'!$A:$G,7,0))</f>
        <v>4748.54</v>
      </c>
      <c r="T1802" s="990">
        <f t="shared" ca="1" si="3715"/>
        <v>-47165158.462399997</v>
      </c>
      <c r="U1802" s="992">
        <f t="shared" si="3716"/>
        <v>-9932.56</v>
      </c>
      <c r="V1802" s="990">
        <f t="shared" si="3717"/>
        <v>-48036243.974399999</v>
      </c>
      <c r="W1802" s="993">
        <f t="shared" ca="1" si="3718"/>
        <v>0</v>
      </c>
      <c r="X1802" s="994">
        <f t="shared" ca="1" si="3719"/>
        <v>-871085.51200000197</v>
      </c>
      <c r="Y1802" s="995"/>
      <c r="Z1802" s="220"/>
      <c r="AA1802" s="15"/>
      <c r="AB1802" s="15"/>
      <c r="AC1802" s="15"/>
      <c r="AD1802" s="333"/>
      <c r="AE1802" s="333"/>
    </row>
    <row r="1803" spans="1:31" s="401" customFormat="1" hidden="1" outlineLevel="1">
      <c r="A1803" s="984">
        <v>2401012000</v>
      </c>
      <c r="B1803" s="985"/>
      <c r="C1803" s="986" t="s">
        <v>64</v>
      </c>
      <c r="D1803" s="986">
        <v>2000000597</v>
      </c>
      <c r="E1803" s="987">
        <v>44946</v>
      </c>
      <c r="F1803" s="988"/>
      <c r="G1803" s="1287"/>
      <c r="H1803" s="335"/>
      <c r="I1803" s="989"/>
      <c r="J1803" s="991">
        <v>1</v>
      </c>
      <c r="K1803" s="1460">
        <v>1</v>
      </c>
      <c r="L1803" s="336"/>
      <c r="M1803" s="1322">
        <f t="shared" ref="M1803" si="3720">+L1803*J1803</f>
        <v>0</v>
      </c>
      <c r="N1803" s="337"/>
      <c r="O1803" s="990">
        <f t="shared" ref="O1803" si="3721">+L1803*J1803*N1803</f>
        <v>0</v>
      </c>
      <c r="P1803" s="991">
        <f t="shared" si="3689"/>
        <v>-2401.5700000000002</v>
      </c>
      <c r="Q1803" s="1330">
        <f t="shared" ref="Q1803" si="3722">+P1803*K1803</f>
        <v>-2401.5700000000002</v>
      </c>
      <c r="R1803" s="337">
        <f t="shared" si="3691"/>
        <v>4769.29</v>
      </c>
      <c r="S1803" s="337">
        <f ca="1">IF(OR($E1803="",$E1803&gt;TODAY()),0,VLOOKUP($E1803,'TRM BanRep'!$A:$G,7,0))</f>
        <v>4683.8500000000004</v>
      </c>
      <c r="T1803" s="990">
        <f t="shared" ref="T1803" ca="1" si="3723">+P1803*K1803*S1803</f>
        <v>-11248593.644500002</v>
      </c>
      <c r="U1803" s="992">
        <f t="shared" ref="U1803" si="3724">+L1803+P1803+F1803</f>
        <v>-2401.5700000000002</v>
      </c>
      <c r="V1803" s="990">
        <f t="shared" ref="V1803" si="3725">+P1803*J1803*R1803+L1803*J1803*N1803+F1803*J1803*H1803</f>
        <v>-11453783.785300002</v>
      </c>
      <c r="W1803" s="993">
        <f t="shared" ref="W1803" ca="1" si="3726">-(IF(-P1803*J1803*R1803&lt;-P1803*K1803*S1803,(-P1803*J1803*R1803)-(-P1803*K1803*S1803),0))</f>
        <v>0</v>
      </c>
      <c r="X1803" s="994">
        <f t="shared" ref="X1803" ca="1" si="3727">-(IF(-P1803*J1803*R1803&gt;-P1803*K1803*S1803,(-P1803*J1803*R1803)-(-P1803*K1803*S1803),0))</f>
        <v>-205190.14079999924</v>
      </c>
      <c r="Y1803" s="995"/>
      <c r="Z1803" s="220"/>
      <c r="AA1803" s="15"/>
      <c r="AB1803" s="15"/>
      <c r="AC1803" s="15"/>
      <c r="AD1803" s="333"/>
      <c r="AE1803" s="333"/>
    </row>
    <row r="1804" spans="1:31" s="401" customFormat="1" hidden="1" outlineLevel="1">
      <c r="A1804" s="984">
        <v>2401012000</v>
      </c>
      <c r="B1804" s="985"/>
      <c r="C1804" s="986" t="s">
        <v>64</v>
      </c>
      <c r="D1804" s="986">
        <v>2000000722</v>
      </c>
      <c r="E1804" s="987">
        <v>44952</v>
      </c>
      <c r="F1804" s="988"/>
      <c r="G1804" s="1287"/>
      <c r="H1804" s="335"/>
      <c r="I1804" s="989"/>
      <c r="J1804" s="991">
        <v>1</v>
      </c>
      <c r="K1804" s="1460">
        <v>1</v>
      </c>
      <c r="L1804" s="336"/>
      <c r="M1804" s="1322">
        <f t="shared" ref="M1804" si="3728">+L1804*J1804</f>
        <v>0</v>
      </c>
      <c r="N1804" s="337"/>
      <c r="O1804" s="990">
        <f t="shared" ref="O1804" si="3729">+L1804*J1804*N1804</f>
        <v>0</v>
      </c>
      <c r="P1804" s="991">
        <f t="shared" si="3689"/>
        <v>-5236.8500000000004</v>
      </c>
      <c r="Q1804" s="1330">
        <f t="shared" ref="Q1804" si="3730">+P1804*K1804</f>
        <v>-5236.8500000000004</v>
      </c>
      <c r="R1804" s="337">
        <f t="shared" si="3691"/>
        <v>4745.04</v>
      </c>
      <c r="S1804" s="337">
        <f ca="1">IF(OR($E1804="",$E1804&gt;TODAY()),0,VLOOKUP($E1804,'TRM BanRep'!$A:$G,7,0))</f>
        <v>4538.91</v>
      </c>
      <c r="T1804" s="990">
        <f t="shared" ref="T1804" ca="1" si="3731">+P1804*K1804*S1804</f>
        <v>-23769590.833500002</v>
      </c>
      <c r="U1804" s="992">
        <f t="shared" ref="U1804" si="3732">+L1804+P1804+F1804</f>
        <v>-5236.8500000000004</v>
      </c>
      <c r="V1804" s="990">
        <f t="shared" ref="V1804" si="3733">+P1804*J1804*R1804+L1804*J1804*N1804+F1804*J1804*H1804</f>
        <v>-24849062.724000003</v>
      </c>
      <c r="W1804" s="993">
        <f t="shared" ref="W1804" ca="1" si="3734">-(IF(-P1804*J1804*R1804&lt;-P1804*K1804*S1804,(-P1804*J1804*R1804)-(-P1804*K1804*S1804),0))</f>
        <v>0</v>
      </c>
      <c r="X1804" s="994">
        <f t="shared" ref="X1804" ca="1" si="3735">-(IF(-P1804*J1804*R1804&gt;-P1804*K1804*S1804,(-P1804*J1804*R1804)-(-P1804*K1804*S1804),0))</f>
        <v>-1079471.8905000016</v>
      </c>
      <c r="Y1804" s="995"/>
      <c r="Z1804" s="220"/>
      <c r="AA1804" s="15"/>
      <c r="AB1804" s="15"/>
      <c r="AC1804" s="15"/>
      <c r="AD1804" s="333"/>
      <c r="AE1804" s="333"/>
    </row>
    <row r="1805" spans="1:31" s="401" customFormat="1" hidden="1" outlineLevel="1">
      <c r="A1805" s="984">
        <v>2401012000</v>
      </c>
      <c r="B1805" s="985"/>
      <c r="C1805" s="986" t="s">
        <v>64</v>
      </c>
      <c r="D1805" s="986">
        <v>2000001601</v>
      </c>
      <c r="E1805" s="987">
        <v>44980</v>
      </c>
      <c r="F1805" s="988"/>
      <c r="G1805" s="1287"/>
      <c r="H1805" s="335"/>
      <c r="I1805" s="989"/>
      <c r="J1805" s="991">
        <v>1</v>
      </c>
      <c r="K1805" s="1460">
        <v>1</v>
      </c>
      <c r="L1805" s="336"/>
      <c r="M1805" s="1322">
        <f t="shared" ref="M1805" si="3736">+L1805*J1805</f>
        <v>0</v>
      </c>
      <c r="N1805" s="337"/>
      <c r="O1805" s="990">
        <f t="shared" ref="O1805" si="3737">+L1805*J1805*N1805</f>
        <v>0</v>
      </c>
      <c r="P1805" s="991">
        <f t="shared" ref="P1805" si="3738">-F1794</f>
        <v>-3763.5</v>
      </c>
      <c r="Q1805" s="1330">
        <f t="shared" ref="Q1805" si="3739">+P1805*K1805</f>
        <v>-3763.5</v>
      </c>
      <c r="R1805" s="337">
        <f t="shared" ref="R1805" si="3740">H1794</f>
        <v>4802.4799999999996</v>
      </c>
      <c r="S1805" s="337">
        <f ca="1">IF(OR($E1805="",$E1805&gt;TODAY()),0,VLOOKUP($E1805,'TRM BanRep'!$A:$G,7,0))</f>
        <v>4924.91</v>
      </c>
      <c r="T1805" s="990">
        <f t="shared" ref="T1805" ca="1" si="3741">+P1805*K1805*S1805</f>
        <v>-18534898.785</v>
      </c>
      <c r="U1805" s="992">
        <f t="shared" ref="U1805" si="3742">+L1805+P1805+F1805</f>
        <v>-3763.5</v>
      </c>
      <c r="V1805" s="990">
        <f t="shared" ref="V1805" si="3743">+P1805*J1805*R1805+L1805*J1805*N1805+F1805*J1805*H1805</f>
        <v>-18074133.479999997</v>
      </c>
      <c r="W1805" s="993">
        <f t="shared" ref="W1805" ca="1" si="3744">-(IF(-P1805*J1805*R1805&lt;-P1805*K1805*S1805,(-P1805*J1805*R1805)-(-P1805*K1805*S1805),0))</f>
        <v>460765.30500000343</v>
      </c>
      <c r="X1805" s="994">
        <f t="shared" ref="X1805" ca="1" si="3745">-(IF(-P1805*J1805*R1805&gt;-P1805*K1805*S1805,(-P1805*J1805*R1805)-(-P1805*K1805*S1805),0))</f>
        <v>0</v>
      </c>
      <c r="Y1805" s="995"/>
      <c r="Z1805" s="220"/>
      <c r="AA1805" s="15"/>
      <c r="AB1805" s="15"/>
      <c r="AC1805" s="15"/>
      <c r="AD1805" s="333"/>
      <c r="AE1805" s="333"/>
    </row>
    <row r="1806" spans="1:31" s="401" customFormat="1" collapsed="1">
      <c r="A1806" s="1011"/>
      <c r="B1806" s="1012"/>
      <c r="C1806" s="1013"/>
      <c r="D1806" s="1013"/>
      <c r="E1806" s="1014"/>
      <c r="F1806" s="1015"/>
      <c r="G1806" s="1293"/>
      <c r="H1806" s="346"/>
      <c r="I1806" s="1016"/>
      <c r="J1806" s="1402"/>
      <c r="K1806" s="1402"/>
      <c r="L1806" s="347"/>
      <c r="M1806" s="1329">
        <f t="shared" si="3687"/>
        <v>0</v>
      </c>
      <c r="N1806" s="348"/>
      <c r="O1806" s="897">
        <f t="shared" si="3688"/>
        <v>0</v>
      </c>
      <c r="P1806" s="342"/>
      <c r="Q1806" s="1359">
        <f t="shared" si="3690"/>
        <v>0</v>
      </c>
      <c r="R1806" s="894"/>
      <c r="S1806" s="894"/>
      <c r="T1806" s="895">
        <f t="shared" si="3692"/>
        <v>0</v>
      </c>
      <c r="U1806" s="350">
        <f t="shared" si="3693"/>
        <v>0</v>
      </c>
      <c r="V1806" s="918">
        <f t="shared" si="3694"/>
        <v>0</v>
      </c>
      <c r="W1806" s="351">
        <f t="shared" si="3649"/>
        <v>0</v>
      </c>
      <c r="X1806" s="919">
        <f t="shared" si="3650"/>
        <v>0</v>
      </c>
      <c r="Y1806" s="896"/>
      <c r="Z1806" s="220"/>
      <c r="AA1806" s="15"/>
      <c r="AB1806" s="15"/>
      <c r="AC1806" s="15"/>
      <c r="AD1806" s="15"/>
      <c r="AE1806" s="15"/>
    </row>
    <row r="1807" spans="1:31" s="401" customFormat="1" outlineLevel="1">
      <c r="A1807" s="1019">
        <v>2401012000</v>
      </c>
      <c r="B1807" s="1020" t="s">
        <v>2586</v>
      </c>
      <c r="C1807" s="1021" t="s">
        <v>64</v>
      </c>
      <c r="D1807" s="1021">
        <v>5100002593</v>
      </c>
      <c r="E1807" s="1022">
        <v>45019</v>
      </c>
      <c r="F1807" s="1023"/>
      <c r="G1807" s="1290"/>
      <c r="H1807" s="352"/>
      <c r="I1807" s="1024"/>
      <c r="J1807" s="1027">
        <v>1</v>
      </c>
      <c r="K1807" s="1459">
        <v>1</v>
      </c>
      <c r="L1807" s="1026">
        <v>5661.9</v>
      </c>
      <c r="M1807" s="1324">
        <f t="shared" ref="M1807:M1812" si="3746">+L1807*J1807</f>
        <v>5661.9</v>
      </c>
      <c r="N1807" s="353">
        <f ca="1">IF(OR(E1807="",E1807&gt;TODAY()),0,IF(ISERROR(VLOOKUP($E1807,'TRM BanRep'!$A:$G,7,0)),0,VLOOKUP($E1807,'TRM BanRep'!$A:$G,7,0)))</f>
        <v>4646.08</v>
      </c>
      <c r="O1807" s="1025">
        <f t="shared" ref="O1807:O1812" ca="1" si="3747">+L1807*J1807*N1807</f>
        <v>26305640.351999998</v>
      </c>
      <c r="P1807" s="1026"/>
      <c r="Q1807" s="1324">
        <f t="shared" ref="Q1807:Q1812" si="3748">+P1807*K1807</f>
        <v>0</v>
      </c>
      <c r="R1807" s="353"/>
      <c r="S1807" s="353"/>
      <c r="T1807" s="1025">
        <f t="shared" ref="T1807:T1812" si="3749">+P1807*K1807*S1807</f>
        <v>0</v>
      </c>
      <c r="U1807" s="1027">
        <f t="shared" ref="U1807:U1812" si="3750">+L1807+P1807+F1807</f>
        <v>5661.9</v>
      </c>
      <c r="V1807" s="1025">
        <f t="shared" ref="V1807:V1812" ca="1" si="3751">+P1807*J1807*R1807+L1807*J1807*N1807+F1807*J1807*H1807</f>
        <v>26305640.351999998</v>
      </c>
      <c r="W1807" s="1028">
        <f t="shared" ref="W1807:W1812" si="3752">-(IF(-P1807*J1807*R1807&lt;-P1807*K1807*S1807,(-P1807*J1807*R1807)-(-P1807*K1807*S1807),0))</f>
        <v>0</v>
      </c>
      <c r="X1807" s="1029">
        <f t="shared" ref="X1807:X1812" si="3753">-(IF(-P1807*J1807*R1807&gt;-P1807*K1807*S1807,(-P1807*J1807*R1807)-(-P1807*K1807*S1807),0))</f>
        <v>0</v>
      </c>
      <c r="Y1807" s="1030"/>
      <c r="Z1807" s="220"/>
      <c r="AA1807" s="15"/>
      <c r="AB1807" s="15"/>
      <c r="AC1807" s="15"/>
      <c r="AD1807" s="333"/>
      <c r="AE1807" s="333"/>
    </row>
    <row r="1808" spans="1:31" s="401" customFormat="1" outlineLevel="1">
      <c r="A1808" s="1019">
        <v>2401012000</v>
      </c>
      <c r="B1808" s="1020" t="s">
        <v>2587</v>
      </c>
      <c r="C1808" s="1021" t="s">
        <v>64</v>
      </c>
      <c r="D1808" s="1021">
        <v>5100002808</v>
      </c>
      <c r="E1808" s="1022">
        <v>45019</v>
      </c>
      <c r="F1808" s="1023"/>
      <c r="G1808" s="1290"/>
      <c r="H1808" s="352"/>
      <c r="I1808" s="1024"/>
      <c r="J1808" s="1027">
        <v>1</v>
      </c>
      <c r="K1808" s="1459">
        <v>1</v>
      </c>
      <c r="L1808" s="1026">
        <v>22125.41</v>
      </c>
      <c r="M1808" s="1324">
        <f t="shared" si="3746"/>
        <v>22125.41</v>
      </c>
      <c r="N1808" s="353">
        <f ca="1">IF(OR(E1808="",E1808&gt;TODAY()),0,IF(ISERROR(VLOOKUP($E1808,'TRM BanRep'!$A:$G,7,0)),0,VLOOKUP($E1808,'TRM BanRep'!$A:$G,7,0)))</f>
        <v>4646.08</v>
      </c>
      <c r="O1808" s="1025">
        <f t="shared" ca="1" si="3747"/>
        <v>102796424.8928</v>
      </c>
      <c r="P1808" s="1026"/>
      <c r="Q1808" s="1324">
        <f t="shared" si="3748"/>
        <v>0</v>
      </c>
      <c r="R1808" s="353"/>
      <c r="S1808" s="353"/>
      <c r="T1808" s="1025">
        <f t="shared" si="3749"/>
        <v>0</v>
      </c>
      <c r="U1808" s="1027">
        <f t="shared" si="3750"/>
        <v>22125.41</v>
      </c>
      <c r="V1808" s="1025">
        <f t="shared" ca="1" si="3751"/>
        <v>102796424.8928</v>
      </c>
      <c r="W1808" s="1028">
        <f t="shared" si="3752"/>
        <v>0</v>
      </c>
      <c r="X1808" s="1029">
        <f t="shared" si="3753"/>
        <v>0</v>
      </c>
      <c r="Y1808" s="1030"/>
      <c r="Z1808" s="220"/>
      <c r="AA1808" s="15"/>
      <c r="AB1808" s="15"/>
      <c r="AC1808" s="15"/>
      <c r="AD1808" s="333"/>
      <c r="AE1808" s="333"/>
    </row>
    <row r="1809" spans="1:31" s="401" customFormat="1" outlineLevel="1">
      <c r="A1809" s="1019">
        <v>2401012000</v>
      </c>
      <c r="B1809" s="1020" t="s">
        <v>2588</v>
      </c>
      <c r="C1809" s="1021" t="s">
        <v>64</v>
      </c>
      <c r="D1809" s="1021">
        <v>5100003121</v>
      </c>
      <c r="E1809" s="1022">
        <v>45038</v>
      </c>
      <c r="F1809" s="1023"/>
      <c r="G1809" s="1290"/>
      <c r="H1809" s="352"/>
      <c r="I1809" s="1024"/>
      <c r="J1809" s="1027">
        <v>1</v>
      </c>
      <c r="K1809" s="1459">
        <v>1</v>
      </c>
      <c r="L1809" s="1026">
        <v>2401.5700000000002</v>
      </c>
      <c r="M1809" s="1324">
        <f t="shared" si="3746"/>
        <v>2401.5700000000002</v>
      </c>
      <c r="N1809" s="353">
        <f ca="1">IF(OR(E1809="",E1809&gt;TODAY()),0,IF(ISERROR(VLOOKUP($E1809,'TRM BanRep'!$A:$G,7,0)),0,VLOOKUP($E1809,'TRM BanRep'!$A:$G,7,0)))</f>
        <v>4523.6400000000003</v>
      </c>
      <c r="O1809" s="1025">
        <f t="shared" ca="1" si="3747"/>
        <v>10863838.114800002</v>
      </c>
      <c r="P1809" s="1026"/>
      <c r="Q1809" s="1324">
        <f t="shared" si="3748"/>
        <v>0</v>
      </c>
      <c r="R1809" s="353"/>
      <c r="S1809" s="353"/>
      <c r="T1809" s="1025">
        <f t="shared" si="3749"/>
        <v>0</v>
      </c>
      <c r="U1809" s="1027">
        <f t="shared" si="3750"/>
        <v>2401.5700000000002</v>
      </c>
      <c r="V1809" s="1025">
        <f t="shared" ca="1" si="3751"/>
        <v>10863838.114800002</v>
      </c>
      <c r="W1809" s="1028">
        <f t="shared" si="3752"/>
        <v>0</v>
      </c>
      <c r="X1809" s="1029">
        <f t="shared" si="3753"/>
        <v>0</v>
      </c>
      <c r="Y1809" s="1030"/>
      <c r="Z1809" s="220"/>
      <c r="AA1809" s="15"/>
      <c r="AB1809" s="15"/>
      <c r="AC1809" s="15"/>
      <c r="AD1809" s="333"/>
      <c r="AE1809" s="333"/>
    </row>
    <row r="1810" spans="1:31" s="401" customFormat="1" outlineLevel="1">
      <c r="A1810" s="1019">
        <v>2401012000</v>
      </c>
      <c r="B1810" s="1020" t="s">
        <v>2589</v>
      </c>
      <c r="C1810" s="1021" t="s">
        <v>64</v>
      </c>
      <c r="D1810" s="1021">
        <v>5100003166</v>
      </c>
      <c r="E1810" s="1022">
        <v>45040</v>
      </c>
      <c r="F1810" s="1023"/>
      <c r="G1810" s="1290"/>
      <c r="H1810" s="352"/>
      <c r="I1810" s="1024"/>
      <c r="J1810" s="1027">
        <v>1</v>
      </c>
      <c r="K1810" s="1459">
        <v>1</v>
      </c>
      <c r="L1810" s="1026">
        <v>21689.85</v>
      </c>
      <c r="M1810" s="1324">
        <f t="shared" si="3746"/>
        <v>21689.85</v>
      </c>
      <c r="N1810" s="353">
        <f ca="1">IF(OR(E1810="",E1810&gt;TODAY()),0,IF(ISERROR(VLOOKUP($E1810,'TRM BanRep'!$A:$G,7,0)),0,VLOOKUP($E1810,'TRM BanRep'!$A:$G,7,0)))</f>
        <v>4523.6400000000003</v>
      </c>
      <c r="O1810" s="1025">
        <f t="shared" ca="1" si="3747"/>
        <v>98117073.054000005</v>
      </c>
      <c r="P1810" s="1026"/>
      <c r="Q1810" s="1324">
        <f t="shared" si="3748"/>
        <v>0</v>
      </c>
      <c r="R1810" s="353"/>
      <c r="S1810" s="353"/>
      <c r="T1810" s="1025">
        <f t="shared" si="3749"/>
        <v>0</v>
      </c>
      <c r="U1810" s="1027">
        <f t="shared" si="3750"/>
        <v>21689.85</v>
      </c>
      <c r="V1810" s="1025">
        <f t="shared" ca="1" si="3751"/>
        <v>98117073.054000005</v>
      </c>
      <c r="W1810" s="1028">
        <f t="shared" si="3752"/>
        <v>0</v>
      </c>
      <c r="X1810" s="1029">
        <f t="shared" si="3753"/>
        <v>0</v>
      </c>
      <c r="Y1810" s="1030"/>
      <c r="Z1810" s="220"/>
      <c r="AA1810" s="15"/>
      <c r="AB1810" s="15"/>
      <c r="AC1810" s="15"/>
      <c r="AD1810" s="333"/>
      <c r="AE1810" s="333"/>
    </row>
    <row r="1811" spans="1:31" s="401" customFormat="1" outlineLevel="1">
      <c r="A1811" s="1019">
        <v>2401012000</v>
      </c>
      <c r="B1811" s="1020" t="s">
        <v>2591</v>
      </c>
      <c r="C1811" s="1021" t="s">
        <v>64</v>
      </c>
      <c r="D1811" s="1021">
        <v>5100003302</v>
      </c>
      <c r="E1811" s="1022">
        <v>45034</v>
      </c>
      <c r="F1811" s="1023"/>
      <c r="G1811" s="1290"/>
      <c r="H1811" s="352"/>
      <c r="I1811" s="1024"/>
      <c r="J1811" s="1027">
        <v>1</v>
      </c>
      <c r="K1811" s="1459">
        <v>1</v>
      </c>
      <c r="L1811" s="1026">
        <v>31200</v>
      </c>
      <c r="M1811" s="1324">
        <f t="shared" si="3746"/>
        <v>31200</v>
      </c>
      <c r="N1811" s="353">
        <f ca="1">IF(OR(E1811="",E1811&gt;TODAY()),0,IF(ISERROR(VLOOKUP($E1811,'TRM BanRep'!$A:$G,7,0)),0,VLOOKUP($E1811,'TRM BanRep'!$A:$G,7,0)))</f>
        <v>4431.45</v>
      </c>
      <c r="O1811" s="1025">
        <f t="shared" ca="1" si="3747"/>
        <v>138261240</v>
      </c>
      <c r="P1811" s="1026"/>
      <c r="Q1811" s="1324">
        <f t="shared" si="3748"/>
        <v>0</v>
      </c>
      <c r="R1811" s="353"/>
      <c r="S1811" s="353"/>
      <c r="T1811" s="1025">
        <f t="shared" si="3749"/>
        <v>0</v>
      </c>
      <c r="U1811" s="1027">
        <f t="shared" si="3750"/>
        <v>31200</v>
      </c>
      <c r="V1811" s="1025">
        <f t="shared" ca="1" si="3751"/>
        <v>138261240</v>
      </c>
      <c r="W1811" s="1028">
        <f t="shared" si="3752"/>
        <v>0</v>
      </c>
      <c r="X1811" s="1029">
        <f t="shared" si="3753"/>
        <v>0</v>
      </c>
      <c r="Y1811" s="1030"/>
      <c r="Z1811" s="220"/>
      <c r="AA1811" s="15"/>
      <c r="AB1811" s="15"/>
      <c r="AC1811" s="15"/>
      <c r="AD1811" s="333"/>
      <c r="AE1811" s="333"/>
    </row>
    <row r="1812" spans="1:31" s="401" customFormat="1" outlineLevel="1">
      <c r="A1812" s="1019">
        <v>2401012000</v>
      </c>
      <c r="B1812" s="1020" t="s">
        <v>2592</v>
      </c>
      <c r="C1812" s="1021" t="s">
        <v>64</v>
      </c>
      <c r="D1812" s="1021">
        <v>5100003305</v>
      </c>
      <c r="E1812" s="1022">
        <v>45040</v>
      </c>
      <c r="F1812" s="1023"/>
      <c r="G1812" s="1290"/>
      <c r="H1812" s="352"/>
      <c r="I1812" s="1024"/>
      <c r="J1812" s="1027">
        <v>1</v>
      </c>
      <c r="K1812" s="1459">
        <v>1</v>
      </c>
      <c r="L1812" s="1026">
        <v>49873.43</v>
      </c>
      <c r="M1812" s="1324">
        <f t="shared" si="3746"/>
        <v>49873.43</v>
      </c>
      <c r="N1812" s="353">
        <f ca="1">IF(OR(E1812="",E1812&gt;TODAY()),0,IF(ISERROR(VLOOKUP($E1812,'TRM BanRep'!$A:$G,7,0)),0,VLOOKUP($E1812,'TRM BanRep'!$A:$G,7,0)))</f>
        <v>4523.6400000000003</v>
      </c>
      <c r="O1812" s="1025">
        <f t="shared" ca="1" si="3747"/>
        <v>225609442.88520002</v>
      </c>
      <c r="P1812" s="1026"/>
      <c r="Q1812" s="1324">
        <f t="shared" si="3748"/>
        <v>0</v>
      </c>
      <c r="R1812" s="353"/>
      <c r="S1812" s="353"/>
      <c r="T1812" s="1025">
        <f t="shared" si="3749"/>
        <v>0</v>
      </c>
      <c r="U1812" s="1027">
        <f t="shared" si="3750"/>
        <v>49873.43</v>
      </c>
      <c r="V1812" s="1025">
        <f t="shared" ca="1" si="3751"/>
        <v>225609442.88520002</v>
      </c>
      <c r="W1812" s="1028">
        <f t="shared" si="3752"/>
        <v>0</v>
      </c>
      <c r="X1812" s="1029">
        <f t="shared" si="3753"/>
        <v>0</v>
      </c>
      <c r="Y1812" s="1030"/>
      <c r="Z1812" s="220"/>
      <c r="AA1812" s="15"/>
      <c r="AB1812" s="15"/>
      <c r="AC1812" s="15"/>
      <c r="AD1812" s="333"/>
      <c r="AE1812" s="333"/>
    </row>
    <row r="1813" spans="1:31" s="401" customFormat="1" outlineLevel="1">
      <c r="A1813" s="1019">
        <v>2401012000</v>
      </c>
      <c r="B1813" s="1020" t="s">
        <v>2593</v>
      </c>
      <c r="C1813" s="1021" t="s">
        <v>64</v>
      </c>
      <c r="D1813" s="1021">
        <v>5100003308</v>
      </c>
      <c r="E1813" s="1022">
        <v>45040</v>
      </c>
      <c r="F1813" s="1023"/>
      <c r="G1813" s="1290"/>
      <c r="H1813" s="352"/>
      <c r="I1813" s="1024"/>
      <c r="J1813" s="1027">
        <v>1</v>
      </c>
      <c r="K1813" s="1459">
        <v>1</v>
      </c>
      <c r="L1813" s="1026">
        <v>49873.43</v>
      </c>
      <c r="M1813" s="1324">
        <f t="shared" ref="M1813:M1818" si="3754">+L1813*J1813</f>
        <v>49873.43</v>
      </c>
      <c r="N1813" s="353">
        <f ca="1">IF(OR(E1813="",E1813&gt;TODAY()),0,IF(ISERROR(VLOOKUP($E1813,'TRM BanRep'!$A:$G,7,0)),0,VLOOKUP($E1813,'TRM BanRep'!$A:$G,7,0)))</f>
        <v>4523.6400000000003</v>
      </c>
      <c r="O1813" s="1025">
        <f t="shared" ref="O1813:O1818" ca="1" si="3755">+L1813*J1813*N1813</f>
        <v>225609442.88520002</v>
      </c>
      <c r="P1813" s="1026"/>
      <c r="Q1813" s="1324">
        <f t="shared" ref="Q1813:Q1818" si="3756">+P1813*K1813</f>
        <v>0</v>
      </c>
      <c r="R1813" s="353"/>
      <c r="S1813" s="353"/>
      <c r="T1813" s="1025">
        <f t="shared" ref="T1813:T1818" si="3757">+P1813*K1813*S1813</f>
        <v>0</v>
      </c>
      <c r="U1813" s="1027">
        <f t="shared" ref="U1813:U1818" si="3758">+L1813+P1813+F1813</f>
        <v>49873.43</v>
      </c>
      <c r="V1813" s="1025">
        <f t="shared" ref="V1813:V1818" ca="1" si="3759">+P1813*J1813*R1813+L1813*J1813*N1813+F1813*J1813*H1813</f>
        <v>225609442.88520002</v>
      </c>
      <c r="W1813" s="1028">
        <f t="shared" ref="W1813:W1818" si="3760">-(IF(-P1813*J1813*R1813&lt;-P1813*K1813*S1813,(-P1813*J1813*R1813)-(-P1813*K1813*S1813),0))</f>
        <v>0</v>
      </c>
      <c r="X1813" s="1029">
        <f t="shared" ref="X1813:X1818" si="3761">-(IF(-P1813*J1813*R1813&gt;-P1813*K1813*S1813,(-P1813*J1813*R1813)-(-P1813*K1813*S1813),0))</f>
        <v>0</v>
      </c>
      <c r="Y1813" s="1030"/>
      <c r="Z1813" s="220"/>
      <c r="AA1813" s="15"/>
      <c r="AB1813" s="15"/>
      <c r="AC1813" s="15"/>
      <c r="AD1813" s="333"/>
      <c r="AE1813" s="333"/>
    </row>
    <row r="1814" spans="1:31" s="401" customFormat="1" outlineLevel="1">
      <c r="A1814" s="1019">
        <v>2401012000</v>
      </c>
      <c r="B1814" s="1020" t="s">
        <v>2593</v>
      </c>
      <c r="C1814" s="1021" t="s">
        <v>64</v>
      </c>
      <c r="D1814" s="1021">
        <v>5100003309</v>
      </c>
      <c r="E1814" s="1022">
        <v>45040</v>
      </c>
      <c r="F1814" s="1023"/>
      <c r="G1814" s="1290"/>
      <c r="H1814" s="352"/>
      <c r="I1814" s="1024"/>
      <c r="J1814" s="1027">
        <v>1</v>
      </c>
      <c r="K1814" s="1459">
        <v>1</v>
      </c>
      <c r="L1814" s="1026">
        <v>3039.75</v>
      </c>
      <c r="M1814" s="1324">
        <f t="shared" si="3754"/>
        <v>3039.75</v>
      </c>
      <c r="N1814" s="353">
        <f ca="1">IF(OR(E1814="",E1814&gt;TODAY()),0,IF(ISERROR(VLOOKUP($E1814,'TRM BanRep'!$A:$G,7,0)),0,VLOOKUP($E1814,'TRM BanRep'!$A:$G,7,0)))</f>
        <v>4523.6400000000003</v>
      </c>
      <c r="O1814" s="1025">
        <f t="shared" ca="1" si="3755"/>
        <v>13750734.690000001</v>
      </c>
      <c r="P1814" s="1026"/>
      <c r="Q1814" s="1324">
        <f t="shared" si="3756"/>
        <v>0</v>
      </c>
      <c r="R1814" s="353"/>
      <c r="S1814" s="353"/>
      <c r="T1814" s="1025">
        <f t="shared" si="3757"/>
        <v>0</v>
      </c>
      <c r="U1814" s="1027">
        <f t="shared" si="3758"/>
        <v>3039.75</v>
      </c>
      <c r="V1814" s="1025">
        <f t="shared" ca="1" si="3759"/>
        <v>13750734.690000001</v>
      </c>
      <c r="W1814" s="1028">
        <f t="shared" si="3760"/>
        <v>0</v>
      </c>
      <c r="X1814" s="1029">
        <f t="shared" si="3761"/>
        <v>0</v>
      </c>
      <c r="Y1814" s="1030"/>
      <c r="Z1814" s="220"/>
      <c r="AA1814" s="15"/>
      <c r="AB1814" s="15"/>
      <c r="AC1814" s="15"/>
      <c r="AD1814" s="333"/>
      <c r="AE1814" s="333"/>
    </row>
    <row r="1815" spans="1:31" s="401" customFormat="1" outlineLevel="1">
      <c r="A1815" s="1019">
        <v>2401012000</v>
      </c>
      <c r="B1815" s="1020" t="s">
        <v>2593</v>
      </c>
      <c r="C1815" s="1021" t="s">
        <v>64</v>
      </c>
      <c r="D1815" s="1021">
        <v>5100003310</v>
      </c>
      <c r="E1815" s="1022">
        <v>45040</v>
      </c>
      <c r="F1815" s="1023"/>
      <c r="G1815" s="1290"/>
      <c r="H1815" s="352"/>
      <c r="I1815" s="1024"/>
      <c r="J1815" s="1027">
        <v>1</v>
      </c>
      <c r="K1815" s="1459">
        <v>1</v>
      </c>
      <c r="L1815" s="1026">
        <v>3039.75</v>
      </c>
      <c r="M1815" s="1324">
        <f t="shared" si="3754"/>
        <v>3039.75</v>
      </c>
      <c r="N1815" s="353">
        <f ca="1">IF(OR(E1815="",E1815&gt;TODAY()),0,IF(ISERROR(VLOOKUP($E1815,'TRM BanRep'!$A:$G,7,0)),0,VLOOKUP($E1815,'TRM BanRep'!$A:$G,7,0)))</f>
        <v>4523.6400000000003</v>
      </c>
      <c r="O1815" s="1025">
        <f t="shared" ca="1" si="3755"/>
        <v>13750734.690000001</v>
      </c>
      <c r="P1815" s="1026"/>
      <c r="Q1815" s="1324">
        <f t="shared" si="3756"/>
        <v>0</v>
      </c>
      <c r="R1815" s="353"/>
      <c r="S1815" s="353"/>
      <c r="T1815" s="1025">
        <f t="shared" si="3757"/>
        <v>0</v>
      </c>
      <c r="U1815" s="1027">
        <f t="shared" si="3758"/>
        <v>3039.75</v>
      </c>
      <c r="V1815" s="1025">
        <f t="shared" ca="1" si="3759"/>
        <v>13750734.690000001</v>
      </c>
      <c r="W1815" s="1028">
        <f t="shared" si="3760"/>
        <v>0</v>
      </c>
      <c r="X1815" s="1029">
        <f t="shared" si="3761"/>
        <v>0</v>
      </c>
      <c r="Y1815" s="1030"/>
      <c r="Z1815" s="220"/>
      <c r="AA1815" s="15"/>
      <c r="AB1815" s="15"/>
      <c r="AC1815" s="15"/>
      <c r="AD1815" s="333"/>
      <c r="AE1815" s="333"/>
    </row>
    <row r="1816" spans="1:31" s="401" customFormat="1" outlineLevel="1">
      <c r="A1816" s="1019">
        <v>2401012000</v>
      </c>
      <c r="B1816" s="1020" t="s">
        <v>2594</v>
      </c>
      <c r="C1816" s="1021" t="s">
        <v>64</v>
      </c>
      <c r="D1816" s="1021">
        <v>5100003321</v>
      </c>
      <c r="E1816" s="1022">
        <v>45028</v>
      </c>
      <c r="F1816" s="1023"/>
      <c r="G1816" s="1290"/>
      <c r="H1816" s="352"/>
      <c r="I1816" s="1024"/>
      <c r="J1816" s="1027">
        <v>1</v>
      </c>
      <c r="K1816" s="1459">
        <v>1</v>
      </c>
      <c r="L1816" s="1026">
        <v>42879.27</v>
      </c>
      <c r="M1816" s="1324">
        <f t="shared" si="3754"/>
        <v>42879.27</v>
      </c>
      <c r="N1816" s="353">
        <f ca="1">IF(OR(E1816="",E1816&gt;TODAY()),0,IF(ISERROR(VLOOKUP($E1816,'TRM BanRep'!$A:$G,7,0)),0,VLOOKUP($E1816,'TRM BanRep'!$A:$G,7,0)))</f>
        <v>4516.76</v>
      </c>
      <c r="O1816" s="1025">
        <f t="shared" ca="1" si="3755"/>
        <v>193675371.5652</v>
      </c>
      <c r="P1816" s="1026"/>
      <c r="Q1816" s="1324">
        <f t="shared" si="3756"/>
        <v>0</v>
      </c>
      <c r="R1816" s="353"/>
      <c r="S1816" s="353"/>
      <c r="T1816" s="1025">
        <f t="shared" si="3757"/>
        <v>0</v>
      </c>
      <c r="U1816" s="1027">
        <f t="shared" si="3758"/>
        <v>42879.27</v>
      </c>
      <c r="V1816" s="1025">
        <f t="shared" ca="1" si="3759"/>
        <v>193675371.5652</v>
      </c>
      <c r="W1816" s="1028">
        <f t="shared" si="3760"/>
        <v>0</v>
      </c>
      <c r="X1816" s="1029">
        <f t="shared" si="3761"/>
        <v>0</v>
      </c>
      <c r="Y1816" s="1030"/>
      <c r="Z1816" s="220"/>
      <c r="AA1816" s="15"/>
      <c r="AB1816" s="15"/>
      <c r="AC1816" s="15"/>
      <c r="AD1816" s="333"/>
      <c r="AE1816" s="333"/>
    </row>
    <row r="1817" spans="1:31" s="401" customFormat="1" outlineLevel="1">
      <c r="A1817" s="1019">
        <v>2401012000</v>
      </c>
      <c r="B1817" s="1020" t="s">
        <v>2595</v>
      </c>
      <c r="C1817" s="1021" t="s">
        <v>64</v>
      </c>
      <c r="D1817" s="1021">
        <v>5100003323</v>
      </c>
      <c r="E1817" s="1022">
        <v>45028</v>
      </c>
      <c r="F1817" s="1023"/>
      <c r="G1817" s="1290"/>
      <c r="H1817" s="352"/>
      <c r="I1817" s="1024"/>
      <c r="J1817" s="1027">
        <v>1</v>
      </c>
      <c r="K1817" s="1459">
        <v>1</v>
      </c>
      <c r="L1817" s="1026">
        <v>18572.36</v>
      </c>
      <c r="M1817" s="1324">
        <f t="shared" si="3754"/>
        <v>18572.36</v>
      </c>
      <c r="N1817" s="353">
        <f ca="1">IF(OR(E1817="",E1817&gt;TODAY()),0,IF(ISERROR(VLOOKUP($E1817,'TRM BanRep'!$A:$G,7,0)),0,VLOOKUP($E1817,'TRM BanRep'!$A:$G,7,0)))</f>
        <v>4516.76</v>
      </c>
      <c r="O1817" s="1025">
        <f t="shared" ca="1" si="3755"/>
        <v>83886892.753600001</v>
      </c>
      <c r="P1817" s="1026"/>
      <c r="Q1817" s="1324">
        <f t="shared" si="3756"/>
        <v>0</v>
      </c>
      <c r="R1817" s="353"/>
      <c r="S1817" s="353"/>
      <c r="T1817" s="1025">
        <f t="shared" si="3757"/>
        <v>0</v>
      </c>
      <c r="U1817" s="1027">
        <f t="shared" si="3758"/>
        <v>18572.36</v>
      </c>
      <c r="V1817" s="1025">
        <f t="shared" ca="1" si="3759"/>
        <v>83886892.753600001</v>
      </c>
      <c r="W1817" s="1028">
        <f t="shared" si="3760"/>
        <v>0</v>
      </c>
      <c r="X1817" s="1029">
        <f t="shared" si="3761"/>
        <v>0</v>
      </c>
      <c r="Y1817" s="1030"/>
      <c r="Z1817" s="220"/>
      <c r="AA1817" s="15"/>
      <c r="AB1817" s="15"/>
      <c r="AC1817" s="15"/>
      <c r="AD1817" s="333"/>
      <c r="AE1817" s="333"/>
    </row>
    <row r="1818" spans="1:31" s="401" customFormat="1" outlineLevel="1">
      <c r="A1818" s="1019">
        <v>2401012000</v>
      </c>
      <c r="B1818" s="1020" t="s">
        <v>2596</v>
      </c>
      <c r="C1818" s="1021" t="s">
        <v>64</v>
      </c>
      <c r="D1818" s="1021">
        <v>5100003335</v>
      </c>
      <c r="E1818" s="1022">
        <v>45042</v>
      </c>
      <c r="F1818" s="1023"/>
      <c r="G1818" s="1290"/>
      <c r="H1818" s="352"/>
      <c r="I1818" s="1024"/>
      <c r="J1818" s="1027">
        <v>1</v>
      </c>
      <c r="K1818" s="1459">
        <v>1</v>
      </c>
      <c r="L1818" s="1026">
        <v>1617.22</v>
      </c>
      <c r="M1818" s="1324">
        <f t="shared" si="3754"/>
        <v>1617.22</v>
      </c>
      <c r="N1818" s="353">
        <f ca="1">IF(OR(E1818="",E1818&gt;TODAY()),0,IF(ISERROR(VLOOKUP($E1818,'TRM BanRep'!$A:$G,7,0)),0,VLOOKUP($E1818,'TRM BanRep'!$A:$G,7,0)))</f>
        <v>4486.6000000000004</v>
      </c>
      <c r="O1818" s="1025">
        <f t="shared" ca="1" si="3755"/>
        <v>7255819.2520000003</v>
      </c>
      <c r="P1818" s="1026"/>
      <c r="Q1818" s="1324">
        <f t="shared" si="3756"/>
        <v>0</v>
      </c>
      <c r="R1818" s="353"/>
      <c r="S1818" s="353"/>
      <c r="T1818" s="1025">
        <f t="shared" si="3757"/>
        <v>0</v>
      </c>
      <c r="U1818" s="1027">
        <f t="shared" si="3758"/>
        <v>1617.22</v>
      </c>
      <c r="V1818" s="1025">
        <f t="shared" ca="1" si="3759"/>
        <v>7255819.2520000003</v>
      </c>
      <c r="W1818" s="1028">
        <f t="shared" si="3760"/>
        <v>0</v>
      </c>
      <c r="X1818" s="1029">
        <f t="shared" si="3761"/>
        <v>0</v>
      </c>
      <c r="Y1818" s="1030"/>
      <c r="Z1818" s="220"/>
      <c r="AA1818" s="15"/>
      <c r="AB1818" s="15"/>
      <c r="AC1818" s="15"/>
      <c r="AD1818" s="333"/>
      <c r="AE1818" s="333"/>
    </row>
    <row r="1819" spans="1:31" s="401" customFormat="1" outlineLevel="1">
      <c r="A1819" s="1019">
        <v>2401012000</v>
      </c>
      <c r="B1819" s="2382" t="s">
        <v>2590</v>
      </c>
      <c r="C1819" s="1021" t="s">
        <v>64</v>
      </c>
      <c r="D1819" s="2383">
        <v>5100003265</v>
      </c>
      <c r="E1819" s="1022">
        <v>45042</v>
      </c>
      <c r="F1819" s="1023"/>
      <c r="G1819" s="1290"/>
      <c r="H1819" s="352"/>
      <c r="I1819" s="1024"/>
      <c r="J1819" s="1027">
        <v>1</v>
      </c>
      <c r="K1819" s="1459">
        <v>1</v>
      </c>
      <c r="L1819" s="1026">
        <v>61644.47</v>
      </c>
      <c r="M1819" s="1324">
        <f>+L1819*J1819</f>
        <v>61644.47</v>
      </c>
      <c r="N1819" s="353">
        <f ca="1">IF(OR(E1819="",E1819&gt;TODAY()),0,IF(ISERROR(VLOOKUP($E1819,'TRM BanRep'!$A:$G,7,0)),0,VLOOKUP($E1819,'TRM BanRep'!$A:$G,7,0)))</f>
        <v>4486.6000000000004</v>
      </c>
      <c r="O1819" s="1025">
        <f ca="1">+L1819*J1819*N1819</f>
        <v>276574079.102</v>
      </c>
      <c r="P1819" s="1026"/>
      <c r="Q1819" s="1324">
        <f>+P1819*K1819</f>
        <v>0</v>
      </c>
      <c r="R1819" s="353"/>
      <c r="S1819" s="353"/>
      <c r="T1819" s="1025">
        <f>+P1819*K1819*S1819</f>
        <v>0</v>
      </c>
      <c r="U1819" s="1027">
        <f>+L1819+P1819+F1819</f>
        <v>61644.47</v>
      </c>
      <c r="V1819" s="1025">
        <f ca="1">+P1819*J1819*R1819+L1819*J1819*N1819+F1819*J1819*H1819</f>
        <v>276574079.102</v>
      </c>
      <c r="W1819" s="1028">
        <f>-(IF(-P1819*J1819*R1819&lt;-P1819*K1819*S1819,(-P1819*J1819*R1819)-(-P1819*K1819*S1819),0))</f>
        <v>0</v>
      </c>
      <c r="X1819" s="1029">
        <f>-(IF(-P1819*J1819*R1819&gt;-P1819*K1819*S1819,(-P1819*J1819*R1819)-(-P1819*K1819*S1819),0))</f>
        <v>0</v>
      </c>
      <c r="Y1819" s="1030"/>
      <c r="Z1819" s="220"/>
      <c r="AA1819" s="15"/>
      <c r="AB1819" s="15"/>
      <c r="AC1819" s="15"/>
      <c r="AD1819" s="333"/>
      <c r="AE1819" s="333"/>
    </row>
    <row r="1820" spans="1:31" s="401" customFormat="1" outlineLevel="1">
      <c r="A1820" s="1019">
        <v>2401012000</v>
      </c>
      <c r="B1820" s="2382" t="s">
        <v>2552</v>
      </c>
      <c r="C1820" s="1021" t="s">
        <v>64</v>
      </c>
      <c r="D1820" s="2383">
        <v>2200000065</v>
      </c>
      <c r="E1820" s="1022">
        <v>45042</v>
      </c>
      <c r="F1820" s="1023"/>
      <c r="G1820" s="1290"/>
      <c r="H1820" s="352"/>
      <c r="I1820" s="1024"/>
      <c r="J1820" s="1027">
        <v>1</v>
      </c>
      <c r="K1820" s="1459">
        <v>1</v>
      </c>
      <c r="L1820" s="1026">
        <v>-11281.52</v>
      </c>
      <c r="M1820" s="1324">
        <f>+L1820*J1820</f>
        <v>-11281.52</v>
      </c>
      <c r="N1820" s="353">
        <f ca="1">IF(OR(E1820="",E1820&gt;TODAY()),0,IF(ISERROR(VLOOKUP($E1820,'TRM BanRep'!$A:$G,7,0)),0,VLOOKUP($E1820,'TRM BanRep'!$A:$G,7,0)))</f>
        <v>4486.6000000000004</v>
      </c>
      <c r="O1820" s="1025">
        <f ca="1">+L1820*J1820*N1820</f>
        <v>-50615667.632000007</v>
      </c>
      <c r="P1820" s="1026"/>
      <c r="Q1820" s="1324">
        <f>+P1820*K1820</f>
        <v>0</v>
      </c>
      <c r="R1820" s="353"/>
      <c r="S1820" s="353"/>
      <c r="T1820" s="1025">
        <f>+P1820*K1820*S1820</f>
        <v>0</v>
      </c>
      <c r="U1820" s="1027">
        <f>+L1820+P1820+F1820</f>
        <v>-11281.52</v>
      </c>
      <c r="V1820" s="1025">
        <f ca="1">+P1820*J1820*R1820+L1820*J1820*N1820+F1820*J1820*H1820</f>
        <v>-50615667.632000007</v>
      </c>
      <c r="W1820" s="1028">
        <f>-(IF(-P1820*J1820*R1820&lt;-P1820*K1820*S1820,(-P1820*J1820*R1820)-(-P1820*K1820*S1820),0))</f>
        <v>0</v>
      </c>
      <c r="X1820" s="1029">
        <f>-(IF(-P1820*J1820*R1820&gt;-P1820*K1820*S1820,(-P1820*J1820*R1820)-(-P1820*K1820*S1820),0))</f>
        <v>0</v>
      </c>
      <c r="Y1820" s="1030"/>
      <c r="Z1820" s="220"/>
      <c r="AA1820" s="15"/>
      <c r="AB1820" s="15"/>
      <c r="AC1820" s="15"/>
      <c r="AD1820" s="333"/>
      <c r="AE1820" s="333"/>
    </row>
    <row r="1821" spans="1:31" s="401" customFormat="1">
      <c r="A1821" s="1019">
        <v>2401012000</v>
      </c>
      <c r="B1821" s="1020"/>
      <c r="C1821" s="1021"/>
      <c r="D1821" s="1021"/>
      <c r="E1821" s="1022"/>
      <c r="F1821" s="1023"/>
      <c r="G1821" s="1290"/>
      <c r="H1821" s="352"/>
      <c r="I1821" s="1024"/>
      <c r="J1821" s="1461"/>
      <c r="K1821" s="1459"/>
      <c r="L1821" s="1026"/>
      <c r="M1821" s="1324">
        <f t="shared" ref="M1821" si="3762">+L1821*J1821</f>
        <v>0</v>
      </c>
      <c r="N1821" s="353"/>
      <c r="O1821" s="1025">
        <f t="shared" ref="O1821" si="3763">+L1821*J1821*N1821</f>
        <v>0</v>
      </c>
      <c r="P1821" s="1026"/>
      <c r="Q1821" s="1324">
        <f t="shared" ref="Q1821" si="3764">+P1821*K1821</f>
        <v>0</v>
      </c>
      <c r="R1821" s="353"/>
      <c r="S1821" s="353"/>
      <c r="T1821" s="1025">
        <f t="shared" ref="T1821" si="3765">+P1821*K1821*S1821</f>
        <v>0</v>
      </c>
      <c r="U1821" s="1027">
        <f t="shared" ref="U1821" si="3766">+L1821+P1821+F1821</f>
        <v>0</v>
      </c>
      <c r="V1821" s="1025">
        <f t="shared" ref="V1821" si="3767">+P1821*J1821*R1821+L1821*J1821*N1821+F1821*J1821*H1821</f>
        <v>0</v>
      </c>
      <c r="W1821" s="1028">
        <f t="shared" ref="W1821" si="3768">-(IF(-P1821*J1821*R1821&lt;-P1821*K1821*S1821,(-P1821*J1821*R1821)-(-P1821*K1821*S1821),0))</f>
        <v>0</v>
      </c>
      <c r="X1821" s="1029">
        <f t="shared" ref="X1821" si="3769">-(IF(-P1821*J1821*R1821&gt;-P1821*K1821*S1821,(-P1821*J1821*R1821)-(-P1821*K1821*S1821),0))</f>
        <v>0</v>
      </c>
      <c r="Y1821" s="1030"/>
      <c r="Z1821" s="220"/>
      <c r="AA1821" s="15"/>
      <c r="AB1821" s="15"/>
      <c r="AC1821" s="15"/>
      <c r="AD1821" s="15"/>
      <c r="AE1821" s="15"/>
    </row>
    <row r="1822" spans="1:31" s="401" customFormat="1">
      <c r="A1822" s="1643">
        <v>2401012000</v>
      </c>
      <c r="B1822" s="1644"/>
      <c r="C1822" s="1645"/>
      <c r="D1822" s="1645"/>
      <c r="E1822" s="1646"/>
      <c r="F1822" s="1647"/>
      <c r="G1822" s="1648"/>
      <c r="H1822" s="1649"/>
      <c r="I1822" s="1650"/>
      <c r="J1822" s="1660"/>
      <c r="K1822" s="1651"/>
      <c r="L1822" s="1652"/>
      <c r="M1822" s="1653">
        <f t="shared" si="3687"/>
        <v>0</v>
      </c>
      <c r="N1822" s="1654"/>
      <c r="O1822" s="1655">
        <f t="shared" si="3688"/>
        <v>0</v>
      </c>
      <c r="P1822" s="1652"/>
      <c r="Q1822" s="1653">
        <f t="shared" si="3690"/>
        <v>0</v>
      </c>
      <c r="R1822" s="1654"/>
      <c r="S1822" s="1654"/>
      <c r="T1822" s="1655">
        <f t="shared" si="3692"/>
        <v>0</v>
      </c>
      <c r="U1822" s="1656">
        <f t="shared" si="3693"/>
        <v>0</v>
      </c>
      <c r="V1822" s="1655">
        <f t="shared" si="3694"/>
        <v>0</v>
      </c>
      <c r="W1822" s="1657">
        <f t="shared" si="3649"/>
        <v>0</v>
      </c>
      <c r="X1822" s="1658">
        <f t="shared" si="3650"/>
        <v>0</v>
      </c>
      <c r="Y1822" s="1659"/>
      <c r="Z1822" s="220"/>
      <c r="AA1822" s="15"/>
      <c r="AB1822" s="15"/>
      <c r="AC1822" s="15"/>
      <c r="AD1822" s="15"/>
      <c r="AE1822" s="15"/>
    </row>
    <row r="1823" spans="1:31" s="401" customFormat="1">
      <c r="A1823" s="1011"/>
      <c r="B1823" s="1012"/>
      <c r="C1823" s="1013"/>
      <c r="D1823" s="1013"/>
      <c r="E1823" s="1014"/>
      <c r="F1823" s="1015"/>
      <c r="G1823" s="1293"/>
      <c r="H1823" s="346"/>
      <c r="I1823" s="1016"/>
      <c r="J1823" s="1402"/>
      <c r="K1823" s="1402"/>
      <c r="L1823" s="1036"/>
      <c r="M1823" s="1325">
        <f t="shared" si="3687"/>
        <v>0</v>
      </c>
      <c r="N1823" s="348"/>
      <c r="O1823" s="897">
        <f t="shared" si="3688"/>
        <v>0</v>
      </c>
      <c r="P1823" s="342"/>
      <c r="Q1823" s="1359">
        <f t="shared" si="3690"/>
        <v>0</v>
      </c>
      <c r="R1823" s="894"/>
      <c r="S1823" s="894"/>
      <c r="T1823" s="895">
        <f t="shared" si="3692"/>
        <v>0</v>
      </c>
      <c r="U1823" s="350">
        <f t="shared" si="3693"/>
        <v>0</v>
      </c>
      <c r="V1823" s="918">
        <f t="shared" si="3694"/>
        <v>0</v>
      </c>
      <c r="W1823" s="351">
        <f t="shared" si="3649"/>
        <v>0</v>
      </c>
      <c r="X1823" s="919">
        <f t="shared" si="3650"/>
        <v>0</v>
      </c>
      <c r="Y1823" s="896"/>
      <c r="Z1823" s="220"/>
      <c r="AA1823" s="15"/>
      <c r="AB1823" s="15"/>
      <c r="AC1823" s="15"/>
      <c r="AD1823" s="15"/>
      <c r="AE1823" s="15"/>
    </row>
    <row r="1824" spans="1:31" s="401" customFormat="1">
      <c r="A1824" s="1019">
        <v>2401012000</v>
      </c>
      <c r="B1824" s="1020"/>
      <c r="C1824" s="1021" t="s">
        <v>206</v>
      </c>
      <c r="D1824" s="1021"/>
      <c r="E1824" s="1022"/>
      <c r="F1824" s="1023"/>
      <c r="G1824" s="1290"/>
      <c r="H1824" s="352"/>
      <c r="I1824" s="1024"/>
      <c r="J1824" s="1461"/>
      <c r="K1824" s="1459"/>
      <c r="L1824" s="1026"/>
      <c r="M1824" s="1324">
        <f t="shared" ref="M1824:M1825" si="3770">+L1824*J1824</f>
        <v>0</v>
      </c>
      <c r="N1824" s="353"/>
      <c r="O1824" s="1025">
        <f t="shared" ref="O1824:O1825" si="3771">+L1824*J1824*N1824</f>
        <v>0</v>
      </c>
      <c r="P1824" s="1026"/>
      <c r="Q1824" s="1324">
        <f t="shared" ref="Q1824:Q1825" si="3772">+P1824*K1824</f>
        <v>0</v>
      </c>
      <c r="R1824" s="353"/>
      <c r="S1824" s="353"/>
      <c r="T1824" s="1025">
        <f t="shared" ref="T1824:T1825" si="3773">+P1824*K1824*S1824</f>
        <v>0</v>
      </c>
      <c r="U1824" s="1027">
        <f t="shared" ref="U1824:U1825" si="3774">+L1824+P1824+F1824</f>
        <v>0</v>
      </c>
      <c r="V1824" s="1025">
        <f t="shared" ref="V1824:V1825" si="3775">+P1824*J1824*R1824+L1824*J1824*N1824+F1824*J1824*H1824</f>
        <v>0</v>
      </c>
      <c r="W1824" s="1028">
        <f t="shared" ref="W1824:W1825" si="3776">-(IF(-P1824*J1824*R1824&lt;-P1824*K1824*S1824,(-P1824*J1824*R1824)-(-P1824*K1824*S1824),0))</f>
        <v>0</v>
      </c>
      <c r="X1824" s="1029">
        <f t="shared" ref="X1824:X1825" si="3777">-(IF(-P1824*J1824*R1824&gt;-P1824*K1824*S1824,(-P1824*J1824*R1824)-(-P1824*K1824*S1824),0))</f>
        <v>0</v>
      </c>
      <c r="Y1824" s="1030"/>
      <c r="Z1824" s="220"/>
      <c r="AA1824" s="15"/>
      <c r="AB1824" s="15"/>
      <c r="AC1824" s="15"/>
      <c r="AD1824" s="15"/>
      <c r="AE1824" s="15"/>
    </row>
    <row r="1825" spans="1:31" s="401" customFormat="1">
      <c r="A1825" s="1019">
        <v>2401012000</v>
      </c>
      <c r="B1825" s="1020"/>
      <c r="C1825" s="1021"/>
      <c r="D1825" s="1021"/>
      <c r="E1825" s="1022"/>
      <c r="F1825" s="1023"/>
      <c r="G1825" s="1290"/>
      <c r="H1825" s="352"/>
      <c r="I1825" s="1024"/>
      <c r="J1825" s="1461"/>
      <c r="K1825" s="1459"/>
      <c r="L1825" s="1026"/>
      <c r="M1825" s="1324">
        <f t="shared" si="3770"/>
        <v>0</v>
      </c>
      <c r="N1825" s="353"/>
      <c r="O1825" s="1025">
        <f t="shared" si="3771"/>
        <v>0</v>
      </c>
      <c r="P1825" s="1026"/>
      <c r="Q1825" s="1324">
        <f t="shared" si="3772"/>
        <v>0</v>
      </c>
      <c r="R1825" s="353"/>
      <c r="S1825" s="353"/>
      <c r="T1825" s="1025">
        <f t="shared" si="3773"/>
        <v>0</v>
      </c>
      <c r="U1825" s="1027">
        <f t="shared" si="3774"/>
        <v>0</v>
      </c>
      <c r="V1825" s="1025">
        <f t="shared" si="3775"/>
        <v>0</v>
      </c>
      <c r="W1825" s="1028">
        <f t="shared" si="3776"/>
        <v>0</v>
      </c>
      <c r="X1825" s="1029">
        <f t="shared" si="3777"/>
        <v>0</v>
      </c>
      <c r="Y1825" s="1030"/>
      <c r="Z1825" s="220"/>
      <c r="AA1825" s="15"/>
      <c r="AB1825" s="15"/>
      <c r="AC1825" s="15"/>
      <c r="AD1825" s="15"/>
      <c r="AE1825" s="15"/>
    </row>
    <row r="1826" spans="1:31" s="401" customFormat="1">
      <c r="A1826" s="1011">
        <v>2401012000</v>
      </c>
      <c r="B1826" s="1012"/>
      <c r="C1826" s="1013" t="s">
        <v>206</v>
      </c>
      <c r="D1826" s="1013"/>
      <c r="E1826" s="1014"/>
      <c r="F1826" s="1015"/>
      <c r="G1826" s="1293"/>
      <c r="H1826" s="346"/>
      <c r="I1826" s="1016"/>
      <c r="J1826" s="1581"/>
      <c r="K1826" s="1583"/>
      <c r="L1826" s="1036"/>
      <c r="M1826" s="1325">
        <f t="shared" si="3687"/>
        <v>0</v>
      </c>
      <c r="N1826" s="348"/>
      <c r="O1826" s="897">
        <f t="shared" si="3688"/>
        <v>0</v>
      </c>
      <c r="P1826" s="1017"/>
      <c r="Q1826" s="1362">
        <f t="shared" si="3690"/>
        <v>0</v>
      </c>
      <c r="R1826" s="349"/>
      <c r="S1826" s="349"/>
      <c r="T1826" s="895">
        <f t="shared" si="3692"/>
        <v>0</v>
      </c>
      <c r="U1826" s="350">
        <f t="shared" si="3693"/>
        <v>0</v>
      </c>
      <c r="V1826" s="918">
        <f t="shared" si="3694"/>
        <v>0</v>
      </c>
      <c r="W1826" s="351">
        <f t="shared" si="3649"/>
        <v>0</v>
      </c>
      <c r="X1826" s="919">
        <f t="shared" si="3650"/>
        <v>0</v>
      </c>
      <c r="Y1826" s="1018"/>
      <c r="Z1826" s="220"/>
      <c r="AA1826" s="15"/>
      <c r="AB1826" s="15"/>
      <c r="AC1826" s="15"/>
      <c r="AD1826" s="15"/>
      <c r="AE1826" s="15"/>
    </row>
    <row r="1827" spans="1:31" s="401" customFormat="1">
      <c r="A1827" s="1011">
        <v>2401012000</v>
      </c>
      <c r="B1827" s="1012"/>
      <c r="C1827" s="1013" t="s">
        <v>206</v>
      </c>
      <c r="D1827" s="1013"/>
      <c r="E1827" s="1014"/>
      <c r="F1827" s="1015"/>
      <c r="G1827" s="1293"/>
      <c r="H1827" s="346"/>
      <c r="I1827" s="1016"/>
      <c r="J1827" s="1581">
        <f>+J1826</f>
        <v>0</v>
      </c>
      <c r="K1827" s="1583"/>
      <c r="L1827" s="1036"/>
      <c r="M1827" s="1325">
        <f t="shared" si="3687"/>
        <v>0</v>
      </c>
      <c r="N1827" s="348"/>
      <c r="O1827" s="897">
        <f t="shared" si="3688"/>
        <v>0</v>
      </c>
      <c r="P1827" s="1017">
        <f>-L1826</f>
        <v>0</v>
      </c>
      <c r="Q1827" s="1362">
        <f t="shared" si="3690"/>
        <v>0</v>
      </c>
      <c r="R1827" s="349">
        <f>+N1826</f>
        <v>0</v>
      </c>
      <c r="S1827" s="349"/>
      <c r="T1827" s="895">
        <f t="shared" si="3692"/>
        <v>0</v>
      </c>
      <c r="U1827" s="350">
        <f t="shared" si="3693"/>
        <v>0</v>
      </c>
      <c r="V1827" s="918">
        <f t="shared" si="3694"/>
        <v>0</v>
      </c>
      <c r="W1827" s="351">
        <f t="shared" si="3649"/>
        <v>0</v>
      </c>
      <c r="X1827" s="919">
        <f t="shared" si="3650"/>
        <v>0</v>
      </c>
      <c r="Y1827" s="1018"/>
      <c r="Z1827" s="220"/>
      <c r="AA1827" s="15"/>
      <c r="AB1827" s="15"/>
      <c r="AC1827" s="15"/>
      <c r="AD1827" s="15"/>
      <c r="AE1827" s="15"/>
    </row>
    <row r="1828" spans="1:31" s="401" customFormat="1">
      <c r="A1828" s="1011"/>
      <c r="B1828" s="1012"/>
      <c r="C1828" s="1013"/>
      <c r="D1828" s="1013"/>
      <c r="E1828" s="1014"/>
      <c r="F1828" s="1015"/>
      <c r="G1828" s="1293"/>
      <c r="H1828" s="346"/>
      <c r="I1828" s="1016"/>
      <c r="J1828" s="1402"/>
      <c r="K1828" s="1402"/>
      <c r="L1828" s="1036"/>
      <c r="M1828" s="1325">
        <f t="shared" si="3687"/>
        <v>0</v>
      </c>
      <c r="N1828" s="348"/>
      <c r="O1828" s="897">
        <f t="shared" si="3688"/>
        <v>0</v>
      </c>
      <c r="P1828" s="342"/>
      <c r="Q1828" s="1359">
        <f t="shared" si="3690"/>
        <v>0</v>
      </c>
      <c r="R1828" s="894"/>
      <c r="S1828" s="894"/>
      <c r="T1828" s="895">
        <f t="shared" si="3692"/>
        <v>0</v>
      </c>
      <c r="U1828" s="350">
        <f t="shared" si="3693"/>
        <v>0</v>
      </c>
      <c r="V1828" s="918">
        <f t="shared" si="3694"/>
        <v>0</v>
      </c>
      <c r="W1828" s="351">
        <f t="shared" si="3649"/>
        <v>0</v>
      </c>
      <c r="X1828" s="919">
        <f t="shared" si="3650"/>
        <v>0</v>
      </c>
      <c r="Y1828" s="896"/>
      <c r="Z1828" s="220"/>
      <c r="AA1828" s="15"/>
      <c r="AB1828" s="15"/>
      <c r="AC1828" s="15"/>
      <c r="AD1828" s="15"/>
      <c r="AE1828" s="15"/>
    </row>
    <row r="1829" spans="1:31" s="401" customFormat="1" outlineLevel="1">
      <c r="A1829" s="1011">
        <v>2401012000</v>
      </c>
      <c r="B1829" s="1012" t="s">
        <v>2338</v>
      </c>
      <c r="C1829" s="1013" t="s">
        <v>64</v>
      </c>
      <c r="D1829" s="1013">
        <v>5100000219</v>
      </c>
      <c r="E1829" s="1014">
        <v>44938</v>
      </c>
      <c r="F1829" s="1015"/>
      <c r="G1829" s="1293"/>
      <c r="H1829" s="346"/>
      <c r="I1829" s="1016"/>
      <c r="J1829" s="1457">
        <v>1</v>
      </c>
      <c r="K1829" s="1458">
        <v>1</v>
      </c>
      <c r="L1829" s="1036">
        <v>3763.5</v>
      </c>
      <c r="M1829" s="1325">
        <f t="shared" ref="M1829" si="3778">+L1829*J1829</f>
        <v>3763.5</v>
      </c>
      <c r="N1829" s="348">
        <f ca="1">IF(OR(E1829="",E1829&gt;TODAY()),0,IF(ISERROR(VLOOKUP($E1829,'TRM BanRep'!$A:$G,7,0)),0,VLOOKUP($E1829,'TRM BanRep'!$A:$G,7,0)))</f>
        <v>4748.54</v>
      </c>
      <c r="O1829" s="897">
        <f t="shared" ref="O1829" ca="1" si="3779">+L1829*J1829*N1829</f>
        <v>17871130.289999999</v>
      </c>
      <c r="P1829" s="1017"/>
      <c r="Q1829" s="1362">
        <f t="shared" ref="Q1829" si="3780">+P1829*K1829</f>
        <v>0</v>
      </c>
      <c r="R1829" s="349"/>
      <c r="S1829" s="349"/>
      <c r="T1829" s="895">
        <f t="shared" ref="T1829" si="3781">+P1829*K1829*S1829</f>
        <v>0</v>
      </c>
      <c r="U1829" s="350">
        <f t="shared" ref="U1829" si="3782">+L1829+P1829+F1829</f>
        <v>3763.5</v>
      </c>
      <c r="V1829" s="918">
        <f t="shared" ref="V1829" ca="1" si="3783">+P1829*J1829*R1829+L1829*J1829*N1829+F1829*J1829*H1829</f>
        <v>17871130.289999999</v>
      </c>
      <c r="W1829" s="351">
        <f t="shared" ref="W1829" si="3784">-(IF(-P1829*J1829*R1829&lt;-P1829*K1829*S1829,(-P1829*J1829*R1829)-(-P1829*K1829*S1829),0))</f>
        <v>0</v>
      </c>
      <c r="X1829" s="919">
        <f t="shared" ref="X1829" si="3785">-(IF(-P1829*J1829*R1829&gt;-P1829*K1829*S1829,(-P1829*J1829*R1829)-(-P1829*K1829*S1829),0))</f>
        <v>0</v>
      </c>
      <c r="Y1829" s="1018"/>
      <c r="Z1829" s="220"/>
      <c r="AA1829" s="15"/>
      <c r="AB1829" s="15"/>
      <c r="AC1829" s="15"/>
      <c r="AD1829" s="15"/>
      <c r="AE1829" s="15"/>
    </row>
    <row r="1830" spans="1:31" s="401" customFormat="1" outlineLevel="1">
      <c r="A1830" s="1011">
        <v>2401012000</v>
      </c>
      <c r="B1830" s="2382" t="s">
        <v>1500</v>
      </c>
      <c r="C1830" s="2383" t="s">
        <v>64</v>
      </c>
      <c r="D1830" s="2383">
        <v>100003334</v>
      </c>
      <c r="E1830" s="2384">
        <v>44945</v>
      </c>
      <c r="F1830" s="1015"/>
      <c r="G1830" s="1293"/>
      <c r="H1830" s="346"/>
      <c r="I1830" s="1016"/>
      <c r="J1830" s="1457">
        <v>1</v>
      </c>
      <c r="K1830" s="1458">
        <v>1</v>
      </c>
      <c r="L1830" s="1036"/>
      <c r="M1830" s="1325">
        <f t="shared" ref="M1830:M1843" si="3786">+L1830*J1830</f>
        <v>0</v>
      </c>
      <c r="N1830" s="348">
        <f ca="1">IF(OR(E1830="",E1830&gt;TODAY()),0,IF(ISERROR(VLOOKUP($E1830,'TRM BanRep'!$A:$G,7,0)),0,VLOOKUP($E1830,'TRM BanRep'!$A:$G,7,0)))</f>
        <v>4702.67</v>
      </c>
      <c r="O1830" s="897">
        <f t="shared" ref="O1830:O1843" ca="1" si="3787">+L1830*J1830*N1830</f>
        <v>0</v>
      </c>
      <c r="P1830" s="1017">
        <f>-L1829</f>
        <v>-3763.5</v>
      </c>
      <c r="Q1830" s="1362">
        <f t="shared" ref="Q1830:Q1843" si="3788">+P1830*K1830</f>
        <v>-3763.5</v>
      </c>
      <c r="R1830" s="349">
        <f ca="1">+N1829</f>
        <v>4748.54</v>
      </c>
      <c r="S1830" s="349">
        <f ca="1">IF(OR(E1830="",E1830&gt;TODAY()),0,IF(ISERROR(VLOOKUP($E1830,'TRM BanRep'!$A:$G,7,0)),0,VLOOKUP($E1830,'TRM BanRep'!$A:$G,7,0)))</f>
        <v>4702.67</v>
      </c>
      <c r="T1830" s="895">
        <f t="shared" ref="T1830:T1843" ca="1" si="3789">+P1830*K1830*S1830</f>
        <v>-17698498.545000002</v>
      </c>
      <c r="U1830" s="350">
        <f t="shared" ref="U1830:U1843" si="3790">+L1830+P1830+F1830</f>
        <v>-3763.5</v>
      </c>
      <c r="V1830" s="918">
        <f t="shared" ref="V1830:V1843" ca="1" si="3791">+P1830*J1830*R1830+L1830*J1830*N1830+F1830*J1830*H1830</f>
        <v>-17871130.289999999</v>
      </c>
      <c r="W1830" s="351">
        <f t="shared" ref="W1830:W1843" ca="1" si="3792">-(IF(-P1830*J1830*R1830&lt;-P1830*K1830*S1830,(-P1830*J1830*R1830)-(-P1830*K1830*S1830),0))</f>
        <v>0</v>
      </c>
      <c r="X1830" s="919">
        <f t="shared" ref="X1830:X1843" ca="1" si="3793">-(IF(-P1830*J1830*R1830&gt;-P1830*K1830*S1830,(-P1830*J1830*R1830)-(-P1830*K1830*S1830),0))</f>
        <v>-172631.74499999732</v>
      </c>
      <c r="Y1830" s="1018"/>
      <c r="Z1830" s="220"/>
      <c r="AA1830" s="15"/>
      <c r="AB1830" s="15"/>
      <c r="AC1830" s="15"/>
      <c r="AD1830" s="15"/>
      <c r="AE1830" s="15"/>
    </row>
    <row r="1831" spans="1:31" s="401" customFormat="1" outlineLevel="1">
      <c r="A1831" s="1011">
        <v>2401012000</v>
      </c>
      <c r="B1831" s="1012" t="s">
        <v>2339</v>
      </c>
      <c r="C1831" s="1013" t="s">
        <v>64</v>
      </c>
      <c r="D1831" s="1013">
        <v>5100000054</v>
      </c>
      <c r="E1831" s="1014">
        <v>44930</v>
      </c>
      <c r="F1831" s="1015"/>
      <c r="G1831" s="1293"/>
      <c r="H1831" s="346"/>
      <c r="I1831" s="1016"/>
      <c r="J1831" s="1457">
        <v>1</v>
      </c>
      <c r="K1831" s="1458">
        <v>1</v>
      </c>
      <c r="L1831" s="1036">
        <v>21689.85</v>
      </c>
      <c r="M1831" s="1325">
        <f t="shared" si="3786"/>
        <v>21689.85</v>
      </c>
      <c r="N1831" s="348">
        <f ca="1">IF(OR(E1831="",E1831&gt;TODAY()),0,IF(ISERROR(VLOOKUP($E1831,'TRM BanRep'!$A:$G,7,0)),0,VLOOKUP($E1831,'TRM BanRep'!$A:$G,7,0)))</f>
        <v>4842.26</v>
      </c>
      <c r="O1831" s="897">
        <f t="shared" ca="1" si="3787"/>
        <v>105027893.061</v>
      </c>
      <c r="P1831" s="1017"/>
      <c r="Q1831" s="1362">
        <f t="shared" si="3788"/>
        <v>0</v>
      </c>
      <c r="R1831" s="349"/>
      <c r="S1831" s="349">
        <f ca="1">IF(OR(E1831="",E1831&gt;TODAY()),0,IF(ISERROR(VLOOKUP($E1831,'TRM BanRep'!$A:$G,7,0)),0,VLOOKUP($E1831,'TRM BanRep'!$A:$G,7,0)))</f>
        <v>4842.26</v>
      </c>
      <c r="T1831" s="895">
        <f t="shared" ca="1" si="3789"/>
        <v>0</v>
      </c>
      <c r="U1831" s="350">
        <f t="shared" si="3790"/>
        <v>21689.85</v>
      </c>
      <c r="V1831" s="918">
        <f t="shared" ca="1" si="3791"/>
        <v>105027893.061</v>
      </c>
      <c r="W1831" s="351">
        <f t="shared" ca="1" si="3792"/>
        <v>0</v>
      </c>
      <c r="X1831" s="919">
        <f t="shared" ca="1" si="3793"/>
        <v>0</v>
      </c>
      <c r="Y1831" s="1018"/>
      <c r="Z1831" s="220"/>
      <c r="AA1831" s="15"/>
      <c r="AB1831" s="15"/>
      <c r="AC1831" s="15"/>
      <c r="AD1831" s="15"/>
      <c r="AE1831" s="15"/>
    </row>
    <row r="1832" spans="1:31" s="401" customFormat="1" outlineLevel="1">
      <c r="A1832" s="1011">
        <v>2401012000</v>
      </c>
      <c r="B1832" s="1012"/>
      <c r="C1832" s="1013" t="s">
        <v>64</v>
      </c>
      <c r="D1832" s="1013">
        <v>2000000921</v>
      </c>
      <c r="E1832" s="1014">
        <v>44960</v>
      </c>
      <c r="F1832" s="1015"/>
      <c r="G1832" s="1293"/>
      <c r="H1832" s="346"/>
      <c r="I1832" s="1016"/>
      <c r="J1832" s="1457">
        <v>1</v>
      </c>
      <c r="K1832" s="1458">
        <v>1</v>
      </c>
      <c r="L1832" s="1036"/>
      <c r="M1832" s="1325">
        <f t="shared" ref="M1832" si="3794">+L1832*J1832</f>
        <v>0</v>
      </c>
      <c r="N1832" s="348">
        <f ca="1">IF(OR(E1832="",E1832&gt;TODAY()),0,IF(ISERROR(VLOOKUP($E1832,'TRM BanRep'!$A:$G,7,0)),0,VLOOKUP($E1832,'TRM BanRep'!$A:$G,7,0)))</f>
        <v>4584.4399999999996</v>
      </c>
      <c r="O1832" s="897">
        <f t="shared" ref="O1832" ca="1" si="3795">+L1832*J1832*N1832</f>
        <v>0</v>
      </c>
      <c r="P1832" s="1017">
        <f>-L1831</f>
        <v>-21689.85</v>
      </c>
      <c r="Q1832" s="1362">
        <f t="shared" ref="Q1832" si="3796">+P1832*K1832</f>
        <v>-21689.85</v>
      </c>
      <c r="R1832" s="349">
        <f ca="1">+N1831</f>
        <v>4842.26</v>
      </c>
      <c r="S1832" s="349">
        <f ca="1">IF(OR(E1832="",E1832&gt;TODAY()),0,IF(ISERROR(VLOOKUP($E1832,'TRM BanRep'!$A:$G,7,0)),0,VLOOKUP($E1832,'TRM BanRep'!$A:$G,7,0)))</f>
        <v>4584.4399999999996</v>
      </c>
      <c r="T1832" s="895">
        <f t="shared" ref="T1832" ca="1" si="3797">+P1832*K1832*S1832</f>
        <v>-99435815.933999985</v>
      </c>
      <c r="U1832" s="350">
        <f t="shared" ref="U1832" si="3798">+L1832+P1832+F1832</f>
        <v>-21689.85</v>
      </c>
      <c r="V1832" s="918">
        <f t="shared" ref="V1832" ca="1" si="3799">+P1832*J1832*R1832+L1832*J1832*N1832+F1832*J1832*H1832</f>
        <v>-105027893.061</v>
      </c>
      <c r="W1832" s="351">
        <f t="shared" ref="W1832" ca="1" si="3800">-(IF(-P1832*J1832*R1832&lt;-P1832*K1832*S1832,(-P1832*J1832*R1832)-(-P1832*K1832*S1832),0))</f>
        <v>0</v>
      </c>
      <c r="X1832" s="919">
        <f t="shared" ref="X1832" ca="1" si="3801">-(IF(-P1832*J1832*R1832&gt;-P1832*K1832*S1832,(-P1832*J1832*R1832)-(-P1832*K1832*S1832),0))</f>
        <v>-5592077.127000019</v>
      </c>
      <c r="Y1832" s="1018"/>
      <c r="Z1832" s="220"/>
      <c r="AA1832" s="15"/>
      <c r="AB1832" s="15"/>
      <c r="AC1832" s="15"/>
      <c r="AD1832" s="15"/>
      <c r="AE1832" s="15"/>
    </row>
    <row r="1833" spans="1:31" s="401" customFormat="1" outlineLevel="1">
      <c r="A1833" s="1011">
        <v>2401012000</v>
      </c>
      <c r="B1833" s="1012" t="s">
        <v>1454</v>
      </c>
      <c r="C1833" s="1013" t="s">
        <v>64</v>
      </c>
      <c r="D1833" s="1013">
        <v>5100000179</v>
      </c>
      <c r="E1833" s="1014">
        <v>44938</v>
      </c>
      <c r="F1833" s="1015"/>
      <c r="G1833" s="1293"/>
      <c r="H1833" s="346"/>
      <c r="I1833" s="1016"/>
      <c r="J1833" s="1457">
        <v>1</v>
      </c>
      <c r="K1833" s="1458">
        <v>1</v>
      </c>
      <c r="L1833" s="1036">
        <v>39723.74</v>
      </c>
      <c r="M1833" s="1325">
        <f t="shared" si="3786"/>
        <v>39723.74</v>
      </c>
      <c r="N1833" s="348">
        <f ca="1">IF(OR(E1833="",E1833&gt;TODAY()),0,IF(ISERROR(VLOOKUP($E1833,'TRM BanRep'!$A:$G,7,0)),0,VLOOKUP($E1833,'TRM BanRep'!$A:$G,7,0)))</f>
        <v>4748.54</v>
      </c>
      <c r="O1833" s="897">
        <f t="shared" ca="1" si="3787"/>
        <v>188629768.3396</v>
      </c>
      <c r="P1833" s="1017"/>
      <c r="Q1833" s="1362">
        <f t="shared" si="3788"/>
        <v>0</v>
      </c>
      <c r="R1833" s="349"/>
      <c r="S1833" s="349">
        <f ca="1">IF(OR(E1833="",E1833&gt;TODAY()),0,IF(ISERROR(VLOOKUP($E1833,'TRM BanRep'!$A:$G,7,0)),0,VLOOKUP($E1833,'TRM BanRep'!$A:$G,7,0)))</f>
        <v>4748.54</v>
      </c>
      <c r="T1833" s="895">
        <f t="shared" ca="1" si="3789"/>
        <v>0</v>
      </c>
      <c r="U1833" s="350">
        <f t="shared" si="3790"/>
        <v>39723.74</v>
      </c>
      <c r="V1833" s="918">
        <f t="shared" ca="1" si="3791"/>
        <v>188629768.3396</v>
      </c>
      <c r="W1833" s="351">
        <f t="shared" ca="1" si="3792"/>
        <v>0</v>
      </c>
      <c r="X1833" s="919">
        <f t="shared" ca="1" si="3793"/>
        <v>0</v>
      </c>
      <c r="Y1833" s="1018"/>
      <c r="Z1833" s="220"/>
      <c r="AA1833" s="15"/>
      <c r="AB1833" s="15"/>
      <c r="AC1833" s="15"/>
      <c r="AD1833" s="15"/>
      <c r="AE1833" s="15"/>
    </row>
    <row r="1834" spans="1:31" s="401" customFormat="1" outlineLevel="1">
      <c r="A1834" s="1011">
        <v>2401012000</v>
      </c>
      <c r="B1834" s="1012"/>
      <c r="C1834" s="1013" t="s">
        <v>64</v>
      </c>
      <c r="D1834" s="1013">
        <v>2000001455</v>
      </c>
      <c r="E1834" s="1014">
        <v>44972</v>
      </c>
      <c r="F1834" s="1015"/>
      <c r="G1834" s="1293"/>
      <c r="H1834" s="346"/>
      <c r="I1834" s="1016"/>
      <c r="J1834" s="1457">
        <v>1</v>
      </c>
      <c r="K1834" s="1458">
        <v>1</v>
      </c>
      <c r="L1834" s="1036"/>
      <c r="M1834" s="1325">
        <f t="shared" si="3786"/>
        <v>0</v>
      </c>
      <c r="N1834" s="348">
        <f ca="1">IF(OR(E1834="",E1834&gt;TODAY()),0,IF(ISERROR(VLOOKUP($E1834,'TRM BanRep'!$A:$G,7,0)),0,VLOOKUP($E1834,'TRM BanRep'!$A:$G,7,0)))</f>
        <v>4783.24</v>
      </c>
      <c r="O1834" s="897">
        <f t="shared" ca="1" si="3787"/>
        <v>0</v>
      </c>
      <c r="P1834" s="1017">
        <f>-L1833</f>
        <v>-39723.74</v>
      </c>
      <c r="Q1834" s="1362">
        <f t="shared" si="3788"/>
        <v>-39723.74</v>
      </c>
      <c r="R1834" s="349">
        <f ca="1">+N1833</f>
        <v>4748.54</v>
      </c>
      <c r="S1834" s="349">
        <f ca="1">IF(OR(E1834="",E1834&gt;TODAY()),0,IF(ISERROR(VLOOKUP($E1834,'TRM BanRep'!$A:$G,7,0)),0,VLOOKUP($E1834,'TRM BanRep'!$A:$G,7,0)))</f>
        <v>4783.24</v>
      </c>
      <c r="T1834" s="895">
        <f t="shared" ca="1" si="3789"/>
        <v>-190008182.11759999</v>
      </c>
      <c r="U1834" s="350">
        <f t="shared" si="3790"/>
        <v>-39723.74</v>
      </c>
      <c r="V1834" s="918">
        <f t="shared" ca="1" si="3791"/>
        <v>-188629768.3396</v>
      </c>
      <c r="W1834" s="351">
        <f t="shared" ca="1" si="3792"/>
        <v>1378413.7779999971</v>
      </c>
      <c r="X1834" s="919">
        <f t="shared" ca="1" si="3793"/>
        <v>0</v>
      </c>
      <c r="Y1834" s="1018"/>
      <c r="Z1834" s="220"/>
      <c r="AA1834" s="15"/>
      <c r="AB1834" s="15"/>
      <c r="AC1834" s="15"/>
      <c r="AD1834" s="15"/>
      <c r="AE1834" s="15"/>
    </row>
    <row r="1835" spans="1:31" s="401" customFormat="1" outlineLevel="1">
      <c r="A1835" s="1011">
        <v>2401012000</v>
      </c>
      <c r="B1835" s="1012" t="s">
        <v>1499</v>
      </c>
      <c r="C1835" s="1013" t="s">
        <v>64</v>
      </c>
      <c r="D1835" s="1013">
        <v>5100000181</v>
      </c>
      <c r="E1835" s="1014">
        <v>44938</v>
      </c>
      <c r="F1835" s="1015"/>
      <c r="G1835" s="1293"/>
      <c r="H1835" s="346"/>
      <c r="I1835" s="1016"/>
      <c r="J1835" s="1457">
        <v>1</v>
      </c>
      <c r="K1835" s="1458">
        <v>1</v>
      </c>
      <c r="L1835" s="1036">
        <v>34835.53</v>
      </c>
      <c r="M1835" s="1325">
        <f t="shared" si="3786"/>
        <v>34835.53</v>
      </c>
      <c r="N1835" s="348">
        <f ca="1">IF(OR(E1835="",E1835&gt;TODAY()),0,IF(ISERROR(VLOOKUP($E1835,'TRM BanRep'!$A:$G,7,0)),0,VLOOKUP($E1835,'TRM BanRep'!$A:$G,7,0)))</f>
        <v>4748.54</v>
      </c>
      <c r="O1835" s="897">
        <f t="shared" ca="1" si="3787"/>
        <v>165417907.62619999</v>
      </c>
      <c r="P1835" s="1017"/>
      <c r="Q1835" s="1362">
        <f t="shared" si="3788"/>
        <v>0</v>
      </c>
      <c r="R1835" s="349"/>
      <c r="S1835" s="349">
        <f ca="1">IF(OR(E1835="",E1835&gt;TODAY()),0,IF(ISERROR(VLOOKUP($E1835,'TRM BanRep'!$A:$G,7,0)),0,VLOOKUP($E1835,'TRM BanRep'!$A:$G,7,0)))</f>
        <v>4748.54</v>
      </c>
      <c r="T1835" s="895">
        <f t="shared" ca="1" si="3789"/>
        <v>0</v>
      </c>
      <c r="U1835" s="350">
        <f t="shared" si="3790"/>
        <v>34835.53</v>
      </c>
      <c r="V1835" s="918">
        <f t="shared" ca="1" si="3791"/>
        <v>165417907.62619999</v>
      </c>
      <c r="W1835" s="351">
        <f t="shared" ca="1" si="3792"/>
        <v>0</v>
      </c>
      <c r="X1835" s="919">
        <f t="shared" ca="1" si="3793"/>
        <v>0</v>
      </c>
      <c r="Y1835" s="1018"/>
      <c r="Z1835" s="220"/>
      <c r="AA1835" s="15"/>
      <c r="AB1835" s="15"/>
      <c r="AC1835" s="15"/>
      <c r="AD1835" s="15"/>
      <c r="AE1835" s="15"/>
    </row>
    <row r="1836" spans="1:31" s="401" customFormat="1" outlineLevel="1">
      <c r="A1836" s="1011">
        <v>2401012000</v>
      </c>
      <c r="B1836" s="1012"/>
      <c r="C1836" s="1013" t="s">
        <v>64</v>
      </c>
      <c r="D1836" s="1013">
        <v>2000001455</v>
      </c>
      <c r="E1836" s="1014">
        <v>44972</v>
      </c>
      <c r="F1836" s="1015"/>
      <c r="G1836" s="1293"/>
      <c r="H1836" s="346"/>
      <c r="I1836" s="1016"/>
      <c r="J1836" s="1457">
        <v>1</v>
      </c>
      <c r="K1836" s="1458">
        <v>1</v>
      </c>
      <c r="L1836" s="1036"/>
      <c r="M1836" s="1325">
        <f t="shared" ref="M1836" si="3802">+L1836*J1836</f>
        <v>0</v>
      </c>
      <c r="N1836" s="348">
        <f ca="1">IF(OR(E1836="",E1836&gt;TODAY()),0,IF(ISERROR(VLOOKUP($E1836,'TRM BanRep'!$A:$G,7,0)),0,VLOOKUP($E1836,'TRM BanRep'!$A:$G,7,0)))</f>
        <v>4783.24</v>
      </c>
      <c r="O1836" s="897">
        <f t="shared" ref="O1836" ca="1" si="3803">+L1836*J1836*N1836</f>
        <v>0</v>
      </c>
      <c r="P1836" s="1017">
        <f>-L1835</f>
        <v>-34835.53</v>
      </c>
      <c r="Q1836" s="1362">
        <f t="shared" ref="Q1836" si="3804">+P1836*K1836</f>
        <v>-34835.53</v>
      </c>
      <c r="R1836" s="349">
        <f ca="1">+N1835</f>
        <v>4748.54</v>
      </c>
      <c r="S1836" s="349">
        <f ca="1">IF(OR(E1836="",E1836&gt;TODAY()),0,IF(ISERROR(VLOOKUP($E1836,'TRM BanRep'!$A:$G,7,0)),0,VLOOKUP($E1836,'TRM BanRep'!$A:$G,7,0)))</f>
        <v>4783.24</v>
      </c>
      <c r="T1836" s="895">
        <f t="shared" ref="T1836" ca="1" si="3805">+P1836*K1836*S1836</f>
        <v>-166626700.51719999</v>
      </c>
      <c r="U1836" s="350">
        <f t="shared" ref="U1836" si="3806">+L1836+P1836+F1836</f>
        <v>-34835.53</v>
      </c>
      <c r="V1836" s="918">
        <f t="shared" ref="V1836" ca="1" si="3807">+P1836*J1836*R1836+L1836*J1836*N1836+F1836*J1836*H1836</f>
        <v>-165417907.62619999</v>
      </c>
      <c r="W1836" s="351">
        <f t="shared" ref="W1836" ca="1" si="3808">-(IF(-P1836*J1836*R1836&lt;-P1836*K1836*S1836,(-P1836*J1836*R1836)-(-P1836*K1836*S1836),0))</f>
        <v>1208792.8910000026</v>
      </c>
      <c r="X1836" s="919">
        <f t="shared" ref="X1836" ca="1" si="3809">-(IF(-P1836*J1836*R1836&gt;-P1836*K1836*S1836,(-P1836*J1836*R1836)-(-P1836*K1836*S1836),0))</f>
        <v>0</v>
      </c>
      <c r="Y1836" s="1018"/>
      <c r="Z1836" s="220"/>
      <c r="AA1836" s="15"/>
      <c r="AB1836" s="15"/>
      <c r="AC1836" s="15"/>
      <c r="AD1836" s="15"/>
      <c r="AE1836" s="15"/>
    </row>
    <row r="1837" spans="1:31" s="401" customFormat="1" outlineLevel="1">
      <c r="A1837" s="1011">
        <v>2401012000</v>
      </c>
      <c r="B1837" s="1012" t="s">
        <v>2340</v>
      </c>
      <c r="C1837" s="1013" t="s">
        <v>64</v>
      </c>
      <c r="D1837" s="1013">
        <v>5100000355</v>
      </c>
      <c r="E1837" s="1014">
        <v>44944</v>
      </c>
      <c r="F1837" s="1015"/>
      <c r="G1837" s="1293"/>
      <c r="H1837" s="346"/>
      <c r="I1837" s="1016"/>
      <c r="J1837" s="1457">
        <v>1</v>
      </c>
      <c r="K1837" s="1458">
        <v>1</v>
      </c>
      <c r="L1837" s="1036">
        <v>2401.5700000000002</v>
      </c>
      <c r="M1837" s="1325">
        <f t="shared" si="3786"/>
        <v>2401.5700000000002</v>
      </c>
      <c r="N1837" s="348">
        <f ca="1">IF(OR(E1837="",E1837&gt;TODAY()),0,IF(ISERROR(VLOOKUP($E1837,'TRM BanRep'!$A:$G,7,0)),0,VLOOKUP($E1837,'TRM BanRep'!$A:$G,7,0)))</f>
        <v>4691.09</v>
      </c>
      <c r="O1837" s="897">
        <f t="shared" ca="1" si="3787"/>
        <v>11265981.011300001</v>
      </c>
      <c r="P1837" s="1017"/>
      <c r="Q1837" s="1362">
        <f t="shared" si="3788"/>
        <v>0</v>
      </c>
      <c r="R1837" s="349"/>
      <c r="S1837" s="349">
        <f ca="1">IF(OR(E1837="",E1837&gt;TODAY()),0,IF(ISERROR(VLOOKUP($E1837,'TRM BanRep'!$A:$G,7,0)),0,VLOOKUP($E1837,'TRM BanRep'!$A:$G,7,0)))</f>
        <v>4691.09</v>
      </c>
      <c r="T1837" s="895">
        <f t="shared" ca="1" si="3789"/>
        <v>0</v>
      </c>
      <c r="U1837" s="350">
        <f t="shared" si="3790"/>
        <v>2401.5700000000002</v>
      </c>
      <c r="V1837" s="918">
        <f t="shared" ca="1" si="3791"/>
        <v>11265981.011300001</v>
      </c>
      <c r="W1837" s="351">
        <f t="shared" ca="1" si="3792"/>
        <v>0</v>
      </c>
      <c r="X1837" s="919">
        <f t="shared" ca="1" si="3793"/>
        <v>0</v>
      </c>
      <c r="Y1837" s="1018"/>
      <c r="Z1837" s="220"/>
      <c r="AA1837" s="15"/>
      <c r="AB1837" s="15"/>
      <c r="AC1837" s="15"/>
      <c r="AD1837" s="15"/>
      <c r="AE1837" s="15"/>
    </row>
    <row r="1838" spans="1:31" s="401" customFormat="1" outlineLevel="1">
      <c r="A1838" s="1011">
        <v>2401012000</v>
      </c>
      <c r="B1838" s="1012"/>
      <c r="C1838" s="1013" t="s">
        <v>64</v>
      </c>
      <c r="D1838" s="1013">
        <v>2000001514</v>
      </c>
      <c r="E1838" s="1014">
        <v>44974</v>
      </c>
      <c r="F1838" s="1015"/>
      <c r="G1838" s="1293"/>
      <c r="H1838" s="346"/>
      <c r="I1838" s="1016"/>
      <c r="J1838" s="1457">
        <v>1</v>
      </c>
      <c r="K1838" s="1458">
        <v>1</v>
      </c>
      <c r="L1838" s="1036"/>
      <c r="M1838" s="1325">
        <f t="shared" si="3786"/>
        <v>0</v>
      </c>
      <c r="N1838" s="348">
        <f ca="1">IF(OR(E1838="",E1838&gt;TODAY()),0,IF(ISERROR(VLOOKUP($E1838,'TRM BanRep'!$A:$G,7,0)),0,VLOOKUP($E1838,'TRM BanRep'!$A:$G,7,0)))</f>
        <v>4966.33</v>
      </c>
      <c r="O1838" s="897">
        <f t="shared" ca="1" si="3787"/>
        <v>0</v>
      </c>
      <c r="P1838" s="1017">
        <f>-L1837</f>
        <v>-2401.5700000000002</v>
      </c>
      <c r="Q1838" s="1362">
        <f t="shared" si="3788"/>
        <v>-2401.5700000000002</v>
      </c>
      <c r="R1838" s="349">
        <f ca="1">+N1837</f>
        <v>4691.09</v>
      </c>
      <c r="S1838" s="349">
        <f ca="1">IF(OR(E1838="",E1838&gt;TODAY()),0,IF(ISERROR(VLOOKUP($E1838,'TRM BanRep'!$A:$G,7,0)),0,VLOOKUP($E1838,'TRM BanRep'!$A:$G,7,0)))</f>
        <v>4966.33</v>
      </c>
      <c r="T1838" s="895">
        <f t="shared" ca="1" si="3789"/>
        <v>-11926989.1381</v>
      </c>
      <c r="U1838" s="350">
        <f t="shared" si="3790"/>
        <v>-2401.5700000000002</v>
      </c>
      <c r="V1838" s="918">
        <f t="shared" ca="1" si="3791"/>
        <v>-11265981.011300001</v>
      </c>
      <c r="W1838" s="351">
        <f t="shared" ca="1" si="3792"/>
        <v>661008.1267999988</v>
      </c>
      <c r="X1838" s="919">
        <f t="shared" ca="1" si="3793"/>
        <v>0</v>
      </c>
      <c r="Y1838" s="1018"/>
      <c r="Z1838" s="220"/>
      <c r="AA1838" s="15"/>
      <c r="AB1838" s="15"/>
      <c r="AC1838" s="15"/>
      <c r="AD1838" s="15"/>
      <c r="AE1838" s="15"/>
    </row>
    <row r="1839" spans="1:31" s="401" customFormat="1" outlineLevel="1">
      <c r="A1839" s="1011">
        <v>2401012000</v>
      </c>
      <c r="B1839" s="1012" t="s">
        <v>2341</v>
      </c>
      <c r="C1839" s="1013" t="s">
        <v>64</v>
      </c>
      <c r="D1839" s="1013">
        <v>5100000477</v>
      </c>
      <c r="E1839" s="1014">
        <v>44945</v>
      </c>
      <c r="F1839" s="1015"/>
      <c r="G1839" s="1293"/>
      <c r="H1839" s="346"/>
      <c r="I1839" s="1016"/>
      <c r="J1839" s="1457">
        <v>1</v>
      </c>
      <c r="K1839" s="1458">
        <v>1</v>
      </c>
      <c r="L1839" s="1036">
        <v>17598.91</v>
      </c>
      <c r="M1839" s="1325">
        <f t="shared" si="3786"/>
        <v>17598.91</v>
      </c>
      <c r="N1839" s="348">
        <f ca="1">IF(OR(E1839="",E1839&gt;TODAY()),0,IF(ISERROR(VLOOKUP($E1839,'TRM BanRep'!$A:$G,7,0)),0,VLOOKUP($E1839,'TRM BanRep'!$A:$G,7,0)))</f>
        <v>4702.67</v>
      </c>
      <c r="O1839" s="897">
        <f t="shared" ca="1" si="3787"/>
        <v>82761866.089699998</v>
      </c>
      <c r="P1839" s="1017"/>
      <c r="Q1839" s="1362">
        <f t="shared" si="3788"/>
        <v>0</v>
      </c>
      <c r="R1839" s="349"/>
      <c r="S1839" s="349">
        <f ca="1">IF(OR(E1839="",E1839&gt;TODAY()),0,IF(ISERROR(VLOOKUP($E1839,'TRM BanRep'!$A:$G,7,0)),0,VLOOKUP($E1839,'TRM BanRep'!$A:$G,7,0)))</f>
        <v>4702.67</v>
      </c>
      <c r="T1839" s="895">
        <f t="shared" ca="1" si="3789"/>
        <v>0</v>
      </c>
      <c r="U1839" s="350">
        <f t="shared" si="3790"/>
        <v>17598.91</v>
      </c>
      <c r="V1839" s="918">
        <f t="shared" ca="1" si="3791"/>
        <v>82761866.089699998</v>
      </c>
      <c r="W1839" s="351">
        <f t="shared" ca="1" si="3792"/>
        <v>0</v>
      </c>
      <c r="X1839" s="919">
        <f t="shared" ca="1" si="3793"/>
        <v>0</v>
      </c>
      <c r="Y1839" s="1018"/>
      <c r="Z1839" s="220"/>
      <c r="AA1839" s="15"/>
      <c r="AB1839" s="15"/>
      <c r="AC1839" s="15"/>
      <c r="AD1839" s="15"/>
      <c r="AE1839" s="15"/>
    </row>
    <row r="1840" spans="1:31" s="401" customFormat="1" outlineLevel="1">
      <c r="A1840" s="1011">
        <v>2401012000</v>
      </c>
      <c r="B1840" s="1012"/>
      <c r="C1840" s="1013" t="s">
        <v>64</v>
      </c>
      <c r="D1840" s="1013">
        <v>2000001553</v>
      </c>
      <c r="E1840" s="1014">
        <v>44977</v>
      </c>
      <c r="F1840" s="1015"/>
      <c r="G1840" s="1293"/>
      <c r="H1840" s="346"/>
      <c r="I1840" s="1016"/>
      <c r="J1840" s="1457">
        <v>1</v>
      </c>
      <c r="K1840" s="1458">
        <v>1</v>
      </c>
      <c r="L1840" s="1036"/>
      <c r="M1840" s="1325">
        <f t="shared" ref="M1840" si="3810">+L1840*J1840</f>
        <v>0</v>
      </c>
      <c r="N1840" s="348">
        <f ca="1">IF(OR(E1840="",E1840&gt;TODAY()),0,IF(ISERROR(VLOOKUP($E1840,'TRM BanRep'!$A:$G,7,0)),0,VLOOKUP($E1840,'TRM BanRep'!$A:$G,7,0)))</f>
        <v>4918.9399999999996</v>
      </c>
      <c r="O1840" s="897">
        <f t="shared" ref="O1840" ca="1" si="3811">+L1840*J1840*N1840</f>
        <v>0</v>
      </c>
      <c r="P1840" s="1017">
        <f>-L1839</f>
        <v>-17598.91</v>
      </c>
      <c r="Q1840" s="1362">
        <f t="shared" ref="Q1840" si="3812">+P1840*K1840</f>
        <v>-17598.91</v>
      </c>
      <c r="R1840" s="349">
        <f ca="1">+N1839</f>
        <v>4702.67</v>
      </c>
      <c r="S1840" s="349">
        <f ca="1">IF(OR(E1840="",E1840&gt;TODAY()),0,IF(ISERROR(VLOOKUP($E1840,'TRM BanRep'!$A:$G,7,0)),0,VLOOKUP($E1840,'TRM BanRep'!$A:$G,7,0)))</f>
        <v>4918.9399999999996</v>
      </c>
      <c r="T1840" s="895">
        <f t="shared" ref="T1840" ca="1" si="3813">+P1840*K1840*S1840</f>
        <v>-86567982.355399996</v>
      </c>
      <c r="U1840" s="350">
        <f t="shared" ref="U1840" si="3814">+L1840+P1840+F1840</f>
        <v>-17598.91</v>
      </c>
      <c r="V1840" s="918">
        <f t="shared" ref="V1840" ca="1" si="3815">+P1840*J1840*R1840+L1840*J1840*N1840+F1840*J1840*H1840</f>
        <v>-82761866.089699998</v>
      </c>
      <c r="W1840" s="351">
        <f t="shared" ref="W1840" ca="1" si="3816">-(IF(-P1840*J1840*R1840&lt;-P1840*K1840*S1840,(-P1840*J1840*R1840)-(-P1840*K1840*S1840),0))</f>
        <v>3806116.2656999975</v>
      </c>
      <c r="X1840" s="919">
        <f t="shared" ref="X1840" ca="1" si="3817">-(IF(-P1840*J1840*R1840&gt;-P1840*K1840*S1840,(-P1840*J1840*R1840)-(-P1840*K1840*S1840),0))</f>
        <v>0</v>
      </c>
      <c r="Y1840" s="1018"/>
      <c r="Z1840" s="220"/>
      <c r="AA1840" s="15"/>
      <c r="AB1840" s="15"/>
      <c r="AC1840" s="15"/>
      <c r="AD1840" s="15"/>
      <c r="AE1840" s="15"/>
    </row>
    <row r="1841" spans="1:31" s="401" customFormat="1" outlineLevel="1">
      <c r="A1841" s="1011">
        <v>2401012000</v>
      </c>
      <c r="B1841" s="1012" t="s">
        <v>2342</v>
      </c>
      <c r="C1841" s="1013" t="s">
        <v>64</v>
      </c>
      <c r="D1841" s="1013">
        <v>5100000555</v>
      </c>
      <c r="E1841" s="1014">
        <v>44942</v>
      </c>
      <c r="F1841" s="1015"/>
      <c r="G1841" s="1293"/>
      <c r="H1841" s="346"/>
      <c r="I1841" s="1016"/>
      <c r="J1841" s="1457">
        <v>1</v>
      </c>
      <c r="K1841" s="1458">
        <v>1</v>
      </c>
      <c r="L1841" s="1036">
        <v>23053.81</v>
      </c>
      <c r="M1841" s="1325">
        <f t="shared" si="3786"/>
        <v>23053.81</v>
      </c>
      <c r="N1841" s="348">
        <f ca="1">IF(OR(E1841="",E1841&gt;TODAY()),0,IF(ISERROR(VLOOKUP($E1841,'TRM BanRep'!$A:$G,7,0)),0,VLOOKUP($E1841,'TRM BanRep'!$A:$G,7,0)))</f>
        <v>4693.99</v>
      </c>
      <c r="O1841" s="897">
        <f t="shared" ca="1" si="3787"/>
        <v>108214353.6019</v>
      </c>
      <c r="P1841" s="1017"/>
      <c r="Q1841" s="1362">
        <f t="shared" si="3788"/>
        <v>0</v>
      </c>
      <c r="R1841" s="349"/>
      <c r="S1841" s="349">
        <f ca="1">IF(OR(E1841="",E1841&gt;TODAY()),0,IF(ISERROR(VLOOKUP($E1841,'TRM BanRep'!$A:$G,7,0)),0,VLOOKUP($E1841,'TRM BanRep'!$A:$G,7,0)))</f>
        <v>4693.99</v>
      </c>
      <c r="T1841" s="895">
        <f t="shared" ca="1" si="3789"/>
        <v>0</v>
      </c>
      <c r="U1841" s="350">
        <f t="shared" si="3790"/>
        <v>23053.81</v>
      </c>
      <c r="V1841" s="918">
        <f t="shared" ca="1" si="3791"/>
        <v>108214353.6019</v>
      </c>
      <c r="W1841" s="351">
        <f t="shared" ca="1" si="3792"/>
        <v>0</v>
      </c>
      <c r="X1841" s="919">
        <f t="shared" ca="1" si="3793"/>
        <v>0</v>
      </c>
      <c r="Y1841" s="1018"/>
      <c r="Z1841" s="220"/>
      <c r="AA1841" s="15"/>
      <c r="AB1841" s="15"/>
      <c r="AC1841" s="15"/>
      <c r="AD1841" s="15"/>
      <c r="AE1841" s="15"/>
    </row>
    <row r="1842" spans="1:31" s="401" customFormat="1" outlineLevel="1">
      <c r="A1842" s="1011">
        <v>2401012000</v>
      </c>
      <c r="B1842" s="1012"/>
      <c r="C1842" s="1013" t="s">
        <v>64</v>
      </c>
      <c r="D1842" s="1013">
        <v>2000001468</v>
      </c>
      <c r="E1842" s="1014">
        <v>44972</v>
      </c>
      <c r="F1842" s="1015"/>
      <c r="G1842" s="1293"/>
      <c r="H1842" s="346"/>
      <c r="I1842" s="1016"/>
      <c r="J1842" s="1457">
        <v>1</v>
      </c>
      <c r="K1842" s="1458">
        <v>1</v>
      </c>
      <c r="L1842" s="1036"/>
      <c r="M1842" s="1325">
        <f t="shared" si="3786"/>
        <v>0</v>
      </c>
      <c r="N1842" s="348">
        <f ca="1">IF(OR(E1842="",E1842&gt;TODAY()),0,IF(ISERROR(VLOOKUP($E1842,'TRM BanRep'!$A:$G,7,0)),0,VLOOKUP($E1842,'TRM BanRep'!$A:$G,7,0)))</f>
        <v>4783.24</v>
      </c>
      <c r="O1842" s="897">
        <f t="shared" ca="1" si="3787"/>
        <v>0</v>
      </c>
      <c r="P1842" s="1017">
        <f>-L1841</f>
        <v>-23053.81</v>
      </c>
      <c r="Q1842" s="1362">
        <f t="shared" si="3788"/>
        <v>-23053.81</v>
      </c>
      <c r="R1842" s="349">
        <f ca="1">+N1841</f>
        <v>4693.99</v>
      </c>
      <c r="S1842" s="349">
        <f ca="1">IF(OR(E1842="",E1842&gt;TODAY()),0,IF(ISERROR(VLOOKUP($E1842,'TRM BanRep'!$A:$G,7,0)),0,VLOOKUP($E1842,'TRM BanRep'!$A:$G,7,0)))</f>
        <v>4783.24</v>
      </c>
      <c r="T1842" s="895">
        <f t="shared" ca="1" si="3789"/>
        <v>-110271906.1444</v>
      </c>
      <c r="U1842" s="350">
        <f t="shared" si="3790"/>
        <v>-23053.81</v>
      </c>
      <c r="V1842" s="918">
        <f t="shared" ca="1" si="3791"/>
        <v>-108214353.6019</v>
      </c>
      <c r="W1842" s="351">
        <f t="shared" ca="1" si="3792"/>
        <v>2057552.5425000042</v>
      </c>
      <c r="X1842" s="919">
        <f t="shared" ca="1" si="3793"/>
        <v>0</v>
      </c>
      <c r="Y1842" s="1018"/>
      <c r="Z1842" s="220"/>
      <c r="AA1842" s="15"/>
      <c r="AB1842" s="15"/>
      <c r="AC1842" s="15"/>
      <c r="AD1842" s="15"/>
      <c r="AE1842" s="15"/>
    </row>
    <row r="1843" spans="1:31" s="401" customFormat="1" outlineLevel="1">
      <c r="A1843" s="1011">
        <v>2401012000</v>
      </c>
      <c r="B1843" s="1012" t="s">
        <v>2343</v>
      </c>
      <c r="C1843" s="1013" t="s">
        <v>64</v>
      </c>
      <c r="D1843" s="1013">
        <v>5100000683</v>
      </c>
      <c r="E1843" s="1014">
        <v>44953</v>
      </c>
      <c r="F1843" s="1015"/>
      <c r="G1843" s="1293"/>
      <c r="H1843" s="346"/>
      <c r="I1843" s="1016"/>
      <c r="J1843" s="1457">
        <v>1</v>
      </c>
      <c r="K1843" s="1458">
        <v>1</v>
      </c>
      <c r="L1843" s="1036">
        <v>6102.72</v>
      </c>
      <c r="M1843" s="1325">
        <f t="shared" si="3786"/>
        <v>6102.72</v>
      </c>
      <c r="N1843" s="348">
        <f ca="1">IF(OR(E1843="",E1843&gt;TODAY()),0,IF(ISERROR(VLOOKUP($E1843,'TRM BanRep'!$A:$G,7,0)),0,VLOOKUP($E1843,'TRM BanRep'!$A:$G,7,0)))</f>
        <v>4531.75</v>
      </c>
      <c r="O1843" s="897">
        <f t="shared" ca="1" si="3787"/>
        <v>27656001.359999999</v>
      </c>
      <c r="P1843" s="1017"/>
      <c r="Q1843" s="1362">
        <f t="shared" si="3788"/>
        <v>0</v>
      </c>
      <c r="R1843" s="349"/>
      <c r="S1843" s="349">
        <f ca="1">IF(OR(E1843="",E1843&gt;TODAY()),0,IF(ISERROR(VLOOKUP($E1843,'TRM BanRep'!$A:$G,7,0)),0,VLOOKUP($E1843,'TRM BanRep'!$A:$G,7,0)))</f>
        <v>4531.75</v>
      </c>
      <c r="T1843" s="895">
        <f t="shared" ca="1" si="3789"/>
        <v>0</v>
      </c>
      <c r="U1843" s="350">
        <f t="shared" si="3790"/>
        <v>6102.72</v>
      </c>
      <c r="V1843" s="918">
        <f t="shared" ca="1" si="3791"/>
        <v>27656001.359999999</v>
      </c>
      <c r="W1843" s="351">
        <f t="shared" ca="1" si="3792"/>
        <v>0</v>
      </c>
      <c r="X1843" s="919">
        <f t="shared" ca="1" si="3793"/>
        <v>0</v>
      </c>
      <c r="Y1843" s="1018"/>
      <c r="Z1843" s="220"/>
      <c r="AA1843" s="15"/>
      <c r="AB1843" s="15"/>
      <c r="AC1843" s="15"/>
      <c r="AD1843" s="15"/>
      <c r="AE1843" s="15"/>
    </row>
    <row r="1844" spans="1:31" s="401" customFormat="1" outlineLevel="1">
      <c r="A1844" s="1011">
        <v>2401012000</v>
      </c>
      <c r="B1844" s="2382" t="s">
        <v>1497</v>
      </c>
      <c r="C1844" s="2383" t="s">
        <v>64</v>
      </c>
      <c r="D1844" s="2383">
        <v>100008504</v>
      </c>
      <c r="E1844" s="2384">
        <v>44973</v>
      </c>
      <c r="F1844" s="1015"/>
      <c r="G1844" s="1293"/>
      <c r="H1844" s="346"/>
      <c r="I1844" s="1016"/>
      <c r="J1844" s="1457">
        <v>1</v>
      </c>
      <c r="K1844" s="1458">
        <v>1</v>
      </c>
      <c r="L1844" s="1036"/>
      <c r="M1844" s="1325">
        <f t="shared" ref="M1844:M1845" si="3818">+L1844*J1844</f>
        <v>0</v>
      </c>
      <c r="N1844" s="348">
        <f ca="1">IF(OR(E1844="",E1844&gt;TODAY()),0,IF(ISERROR(VLOOKUP($E1844,'TRM BanRep'!$A:$G,7,0)),0,VLOOKUP($E1844,'TRM BanRep'!$A:$G,7,0)))</f>
        <v>4878.24</v>
      </c>
      <c r="O1844" s="897">
        <f t="shared" ref="O1844:O1845" ca="1" si="3819">+L1844*J1844*N1844</f>
        <v>0</v>
      </c>
      <c r="P1844" s="1017">
        <f>-L1843</f>
        <v>-6102.72</v>
      </c>
      <c r="Q1844" s="1362">
        <f t="shared" ref="Q1844:Q1845" si="3820">+P1844*K1844</f>
        <v>-6102.72</v>
      </c>
      <c r="R1844" s="349">
        <f ca="1">+N1843</f>
        <v>4531.75</v>
      </c>
      <c r="S1844" s="349">
        <f ca="1">IF(OR(E1844="",E1844&gt;TODAY()),0,IF(ISERROR(VLOOKUP($E1844,'TRM BanRep'!$A:$G,7,0)),0,VLOOKUP($E1844,'TRM BanRep'!$A:$G,7,0)))</f>
        <v>4878.24</v>
      </c>
      <c r="T1844" s="895">
        <f t="shared" ref="T1844:T1845" ca="1" si="3821">+P1844*K1844*S1844</f>
        <v>-29770532.812800001</v>
      </c>
      <c r="U1844" s="350">
        <f t="shared" ref="U1844:U1845" si="3822">+L1844+P1844+F1844</f>
        <v>-6102.72</v>
      </c>
      <c r="V1844" s="918">
        <f t="shared" ref="V1844:V1845" ca="1" si="3823">+P1844*J1844*R1844+L1844*J1844*N1844+F1844*J1844*H1844</f>
        <v>-27656001.359999999</v>
      </c>
      <c r="W1844" s="351">
        <f t="shared" ref="W1844:W1845" ca="1" si="3824">-(IF(-P1844*J1844*R1844&lt;-P1844*K1844*S1844,(-P1844*J1844*R1844)-(-P1844*K1844*S1844),0))</f>
        <v>2114531.4528000019</v>
      </c>
      <c r="X1844" s="919">
        <f t="shared" ref="X1844:X1845" ca="1" si="3825">-(IF(-P1844*J1844*R1844&gt;-P1844*K1844*S1844,(-P1844*J1844*R1844)-(-P1844*K1844*S1844),0))</f>
        <v>0</v>
      </c>
      <c r="Y1844" s="1018"/>
      <c r="Z1844" s="220"/>
      <c r="AA1844" s="15"/>
      <c r="AB1844" s="15"/>
      <c r="AC1844" s="15"/>
      <c r="AD1844" s="15"/>
      <c r="AE1844" s="15"/>
    </row>
    <row r="1845" spans="1:31" s="401" customFormat="1" outlineLevel="1">
      <c r="A1845" s="1011">
        <v>2401012000</v>
      </c>
      <c r="B1845" s="1012" t="s">
        <v>2344</v>
      </c>
      <c r="C1845" s="1013" t="s">
        <v>64</v>
      </c>
      <c r="D1845" s="1013">
        <v>5100000972</v>
      </c>
      <c r="E1845" s="1014">
        <v>44967</v>
      </c>
      <c r="F1845" s="1015"/>
      <c r="G1845" s="1293"/>
      <c r="H1845" s="346"/>
      <c r="I1845" s="1016"/>
      <c r="J1845" s="1457">
        <v>1</v>
      </c>
      <c r="K1845" s="1458">
        <v>1</v>
      </c>
      <c r="L1845" s="1036">
        <v>6102.72</v>
      </c>
      <c r="M1845" s="1325">
        <f t="shared" si="3818"/>
        <v>6102.72</v>
      </c>
      <c r="N1845" s="348">
        <f ca="1">IF(OR(E1845="",E1845&gt;TODAY()),0,IF(ISERROR(VLOOKUP($E1845,'TRM BanRep'!$A:$G,7,0)),0,VLOOKUP($E1845,'TRM BanRep'!$A:$G,7,0)))</f>
        <v>4742.05</v>
      </c>
      <c r="O1845" s="897">
        <f t="shared" ca="1" si="3819"/>
        <v>28939403.376000002</v>
      </c>
      <c r="P1845" s="1017"/>
      <c r="Q1845" s="1362">
        <f t="shared" si="3820"/>
        <v>0</v>
      </c>
      <c r="R1845" s="349"/>
      <c r="S1845" s="349">
        <f ca="1">IF(OR(E1845="",E1845&gt;TODAY()),0,IF(ISERROR(VLOOKUP($E1845,'TRM BanRep'!$A:$G,7,0)),0,VLOOKUP($E1845,'TRM BanRep'!$A:$G,7,0)))</f>
        <v>4742.05</v>
      </c>
      <c r="T1845" s="895">
        <f t="shared" ca="1" si="3821"/>
        <v>0</v>
      </c>
      <c r="U1845" s="350">
        <f t="shared" si="3822"/>
        <v>6102.72</v>
      </c>
      <c r="V1845" s="918">
        <f t="shared" ca="1" si="3823"/>
        <v>28939403.376000002</v>
      </c>
      <c r="W1845" s="351">
        <f t="shared" ca="1" si="3824"/>
        <v>0</v>
      </c>
      <c r="X1845" s="919">
        <f t="shared" ca="1" si="3825"/>
        <v>0</v>
      </c>
      <c r="Y1845" s="1018"/>
      <c r="Z1845" s="220"/>
      <c r="AA1845" s="15"/>
      <c r="AB1845" s="15"/>
      <c r="AC1845" s="15"/>
      <c r="AD1845" s="15"/>
      <c r="AE1845" s="15"/>
    </row>
    <row r="1846" spans="1:31" s="401" customFormat="1" outlineLevel="1">
      <c r="A1846" s="1011">
        <v>2401012000</v>
      </c>
      <c r="B1846" s="2382" t="s">
        <v>1497</v>
      </c>
      <c r="C1846" s="2383" t="s">
        <v>64</v>
      </c>
      <c r="D1846" s="2383">
        <v>100008286</v>
      </c>
      <c r="E1846" s="2384">
        <v>44973</v>
      </c>
      <c r="F1846" s="1015"/>
      <c r="G1846" s="1293"/>
      <c r="H1846" s="346"/>
      <c r="I1846" s="1016"/>
      <c r="J1846" s="1457">
        <v>1</v>
      </c>
      <c r="K1846" s="1458">
        <v>1</v>
      </c>
      <c r="L1846" s="1036"/>
      <c r="M1846" s="1325">
        <f t="shared" ref="M1846:M1847" si="3826">+L1846*J1846</f>
        <v>0</v>
      </c>
      <c r="N1846" s="348">
        <f ca="1">IF(OR(E1846="",E1846&gt;TODAY()),0,IF(ISERROR(VLOOKUP($E1846,'TRM BanRep'!$A:$G,7,0)),0,VLOOKUP($E1846,'TRM BanRep'!$A:$G,7,0)))</f>
        <v>4878.24</v>
      </c>
      <c r="O1846" s="897">
        <f t="shared" ref="O1846:O1847" ca="1" si="3827">+L1846*J1846*N1846</f>
        <v>0</v>
      </c>
      <c r="P1846" s="1017">
        <f>-L1845</f>
        <v>-6102.72</v>
      </c>
      <c r="Q1846" s="1362">
        <f t="shared" ref="Q1846:Q1847" si="3828">+P1846*K1846</f>
        <v>-6102.72</v>
      </c>
      <c r="R1846" s="349">
        <f ca="1">+N1845</f>
        <v>4742.05</v>
      </c>
      <c r="S1846" s="349">
        <f ca="1">IF(OR(E1846="",E1846&gt;TODAY()),0,IF(ISERROR(VLOOKUP($E1846,'TRM BanRep'!$A:$G,7,0)),0,VLOOKUP($E1846,'TRM BanRep'!$A:$G,7,0)))</f>
        <v>4878.24</v>
      </c>
      <c r="T1846" s="895">
        <f t="shared" ref="T1846:T1847" ca="1" si="3829">+P1846*K1846*S1846</f>
        <v>-29770532.812800001</v>
      </c>
      <c r="U1846" s="350">
        <f t="shared" ref="U1846:U1847" si="3830">+L1846+P1846+F1846</f>
        <v>-6102.72</v>
      </c>
      <c r="V1846" s="918">
        <f t="shared" ref="V1846:V1847" ca="1" si="3831">+P1846*J1846*R1846+L1846*J1846*N1846+F1846*J1846*H1846</f>
        <v>-28939403.376000002</v>
      </c>
      <c r="W1846" s="351">
        <f t="shared" ref="W1846:W1847" ca="1" si="3832">-(IF(-P1846*J1846*R1846&lt;-P1846*K1846*S1846,(-P1846*J1846*R1846)-(-P1846*K1846*S1846),0))</f>
        <v>831129.43679999933</v>
      </c>
      <c r="X1846" s="919">
        <f t="shared" ref="X1846:X1847" ca="1" si="3833">-(IF(-P1846*J1846*R1846&gt;-P1846*K1846*S1846,(-P1846*J1846*R1846)-(-P1846*K1846*S1846),0))</f>
        <v>0</v>
      </c>
      <c r="Y1846" s="1018"/>
      <c r="Z1846" s="220"/>
      <c r="AA1846" s="15"/>
      <c r="AB1846" s="15"/>
      <c r="AC1846" s="15"/>
      <c r="AD1846" s="15"/>
      <c r="AE1846" s="15"/>
    </row>
    <row r="1847" spans="1:31" s="401" customFormat="1" outlineLevel="1">
      <c r="A1847" s="1011">
        <v>2401012000</v>
      </c>
      <c r="B1847" s="1012" t="s">
        <v>2345</v>
      </c>
      <c r="C1847" s="1013" t="s">
        <v>64</v>
      </c>
      <c r="D1847" s="1013">
        <v>5100000970</v>
      </c>
      <c r="E1847" s="1014">
        <v>44966</v>
      </c>
      <c r="F1847" s="1015"/>
      <c r="G1847" s="1293"/>
      <c r="H1847" s="346"/>
      <c r="I1847" s="1016"/>
      <c r="J1847" s="1457">
        <v>1</v>
      </c>
      <c r="K1847" s="1458">
        <v>1</v>
      </c>
      <c r="L1847" s="1036">
        <v>3763.5</v>
      </c>
      <c r="M1847" s="1325">
        <f t="shared" si="3826"/>
        <v>3763.5</v>
      </c>
      <c r="N1847" s="348">
        <f ca="1">IF(OR(E1847="",E1847&gt;TODAY()),0,IF(ISERROR(VLOOKUP($E1847,'TRM BanRep'!$A:$G,7,0)),0,VLOOKUP($E1847,'TRM BanRep'!$A:$G,7,0)))</f>
        <v>4769.8500000000004</v>
      </c>
      <c r="O1847" s="897">
        <f t="shared" ca="1" si="3827"/>
        <v>17951330.475000001</v>
      </c>
      <c r="P1847" s="1017"/>
      <c r="Q1847" s="1362">
        <f t="shared" si="3828"/>
        <v>0</v>
      </c>
      <c r="R1847" s="349"/>
      <c r="S1847" s="349">
        <f ca="1">IF(OR(E1847="",E1847&gt;TODAY()),0,IF(ISERROR(VLOOKUP($E1847,'TRM BanRep'!$A:$G,7,0)),0,VLOOKUP($E1847,'TRM BanRep'!$A:$G,7,0)))</f>
        <v>4769.8500000000004</v>
      </c>
      <c r="T1847" s="895">
        <f t="shared" ca="1" si="3829"/>
        <v>0</v>
      </c>
      <c r="U1847" s="350">
        <f t="shared" si="3830"/>
        <v>3763.5</v>
      </c>
      <c r="V1847" s="918">
        <f t="shared" ca="1" si="3831"/>
        <v>17951330.475000001</v>
      </c>
      <c r="W1847" s="351">
        <f t="shared" ca="1" si="3832"/>
        <v>0</v>
      </c>
      <c r="X1847" s="919">
        <f t="shared" ca="1" si="3833"/>
        <v>0</v>
      </c>
      <c r="Y1847" s="1018"/>
      <c r="Z1847" s="220"/>
      <c r="AA1847" s="15"/>
      <c r="AB1847" s="15"/>
      <c r="AC1847" s="15"/>
      <c r="AD1847" s="15"/>
      <c r="AE1847" s="15"/>
    </row>
    <row r="1848" spans="1:31" s="401" customFormat="1" outlineLevel="1">
      <c r="A1848" s="1011">
        <v>2401012000</v>
      </c>
      <c r="B1848" s="2382" t="s">
        <v>1497</v>
      </c>
      <c r="C1848" s="2383" t="s">
        <v>64</v>
      </c>
      <c r="D1848" s="2383">
        <v>100008288</v>
      </c>
      <c r="E1848" s="2384">
        <v>44973</v>
      </c>
      <c r="F1848" s="1015"/>
      <c r="G1848" s="1293"/>
      <c r="H1848" s="346"/>
      <c r="I1848" s="1016"/>
      <c r="J1848" s="1457">
        <v>1</v>
      </c>
      <c r="K1848" s="1458">
        <v>1</v>
      </c>
      <c r="L1848" s="1036"/>
      <c r="M1848" s="1325">
        <f t="shared" ref="M1848:M1865" si="3834">+L1848*J1848</f>
        <v>0</v>
      </c>
      <c r="N1848" s="348">
        <f ca="1">IF(OR(E1848="",E1848&gt;TODAY()),0,IF(ISERROR(VLOOKUP($E1848,'TRM BanRep'!$A:$G,7,0)),0,VLOOKUP($E1848,'TRM BanRep'!$A:$G,7,0)))</f>
        <v>4878.24</v>
      </c>
      <c r="O1848" s="897">
        <f t="shared" ref="O1848:O1865" ca="1" si="3835">+L1848*J1848*N1848</f>
        <v>0</v>
      </c>
      <c r="P1848" s="1017">
        <f>-L1847</f>
        <v>-3763.5</v>
      </c>
      <c r="Q1848" s="1362">
        <f t="shared" ref="Q1848:Q1865" si="3836">+P1848*K1848</f>
        <v>-3763.5</v>
      </c>
      <c r="R1848" s="349">
        <f ca="1">+N1847</f>
        <v>4769.8500000000004</v>
      </c>
      <c r="S1848" s="349">
        <f ca="1">IF(OR(E1848="",E1848&gt;TODAY()),0,IF(ISERROR(VLOOKUP($E1848,'TRM BanRep'!$A:$G,7,0)),0,VLOOKUP($E1848,'TRM BanRep'!$A:$G,7,0)))</f>
        <v>4878.24</v>
      </c>
      <c r="T1848" s="895">
        <f t="shared" ref="T1848:T1865" ca="1" si="3837">+P1848*K1848*S1848</f>
        <v>-18359256.239999998</v>
      </c>
      <c r="U1848" s="350">
        <f t="shared" ref="U1848:U1865" si="3838">+L1848+P1848+F1848</f>
        <v>-3763.5</v>
      </c>
      <c r="V1848" s="918">
        <f t="shared" ref="V1848:V1865" ca="1" si="3839">+P1848*J1848*R1848+L1848*J1848*N1848+F1848*J1848*H1848</f>
        <v>-17951330.475000001</v>
      </c>
      <c r="W1848" s="351">
        <f t="shared" ref="W1848:W1865" ca="1" si="3840">-(IF(-P1848*J1848*R1848&lt;-P1848*K1848*S1848,(-P1848*J1848*R1848)-(-P1848*K1848*S1848),0))</f>
        <v>407925.76499999687</v>
      </c>
      <c r="X1848" s="919">
        <f t="shared" ref="X1848:X1865" ca="1" si="3841">-(IF(-P1848*J1848*R1848&gt;-P1848*K1848*S1848,(-P1848*J1848*R1848)-(-P1848*K1848*S1848),0))</f>
        <v>0</v>
      </c>
      <c r="Y1848" s="1018"/>
      <c r="Z1848" s="220"/>
      <c r="AA1848" s="15"/>
      <c r="AB1848" s="15"/>
      <c r="AC1848" s="15"/>
      <c r="AD1848" s="15"/>
      <c r="AE1848" s="15"/>
    </row>
    <row r="1849" spans="1:31" s="401" customFormat="1" outlineLevel="1">
      <c r="A1849" s="1011">
        <v>2401012000</v>
      </c>
      <c r="B1849" s="1012" t="s">
        <v>2333</v>
      </c>
      <c r="C1849" s="1013" t="s">
        <v>64</v>
      </c>
      <c r="D1849" s="1013">
        <v>5100001147</v>
      </c>
      <c r="E1849" s="1014">
        <v>44972</v>
      </c>
      <c r="F1849" s="1015"/>
      <c r="G1849" s="1293"/>
      <c r="H1849" s="346"/>
      <c r="I1849" s="1016"/>
      <c r="J1849" s="1457">
        <v>1</v>
      </c>
      <c r="K1849" s="1458">
        <v>1</v>
      </c>
      <c r="L1849" s="1036">
        <v>42691.21</v>
      </c>
      <c r="M1849" s="1325">
        <f t="shared" si="3834"/>
        <v>42691.21</v>
      </c>
      <c r="N1849" s="348">
        <f ca="1">IF(OR(E1849="",E1849&gt;TODAY()),0,IF(ISERROR(VLOOKUP($E1849,'TRM BanRep'!$A:$G,7,0)),0,VLOOKUP($E1849,'TRM BanRep'!$A:$G,7,0)))</f>
        <v>4783.24</v>
      </c>
      <c r="O1849" s="897">
        <f t="shared" ca="1" si="3835"/>
        <v>204202303.3204</v>
      </c>
      <c r="P1849" s="1017"/>
      <c r="Q1849" s="1362">
        <f t="shared" si="3836"/>
        <v>0</v>
      </c>
      <c r="R1849" s="349"/>
      <c r="S1849" s="349"/>
      <c r="T1849" s="895">
        <f t="shared" si="3837"/>
        <v>0</v>
      </c>
      <c r="U1849" s="350">
        <f t="shared" si="3838"/>
        <v>42691.21</v>
      </c>
      <c r="V1849" s="918">
        <f t="shared" ca="1" si="3839"/>
        <v>204202303.3204</v>
      </c>
      <c r="W1849" s="351">
        <f t="shared" si="3840"/>
        <v>0</v>
      </c>
      <c r="X1849" s="919">
        <f t="shared" si="3841"/>
        <v>0</v>
      </c>
      <c r="Y1849" s="1018"/>
      <c r="Z1849" s="220"/>
      <c r="AA1849" s="15"/>
      <c r="AB1849" s="15"/>
      <c r="AC1849" s="15"/>
      <c r="AD1849" s="15"/>
      <c r="AE1849" s="15"/>
    </row>
    <row r="1850" spans="1:31" s="401" customFormat="1" outlineLevel="1">
      <c r="A1850" s="1011">
        <v>2401012000</v>
      </c>
      <c r="B1850" s="1012"/>
      <c r="C1850" s="1013" t="s">
        <v>64</v>
      </c>
      <c r="D1850" s="1013">
        <v>2000002383</v>
      </c>
      <c r="E1850" s="1014">
        <v>45002</v>
      </c>
      <c r="F1850" s="1015"/>
      <c r="G1850" s="1293"/>
      <c r="H1850" s="346"/>
      <c r="I1850" s="1016"/>
      <c r="J1850" s="1457">
        <v>1</v>
      </c>
      <c r="K1850" s="1458">
        <v>1</v>
      </c>
      <c r="L1850" s="1036"/>
      <c r="M1850" s="1325">
        <f t="shared" si="3834"/>
        <v>0</v>
      </c>
      <c r="N1850" s="348">
        <f ca="1">IF(OR(E1850="",E1850&gt;TODAY()),0,IF(ISERROR(VLOOKUP($E1850,'TRM BanRep'!$A:$G,7,0)),0,VLOOKUP($E1850,'TRM BanRep'!$A:$G,7,0)))</f>
        <v>4866.5</v>
      </c>
      <c r="O1850" s="897">
        <f t="shared" ca="1" si="3835"/>
        <v>0</v>
      </c>
      <c r="P1850" s="1017">
        <f>-L1849</f>
        <v>-42691.21</v>
      </c>
      <c r="Q1850" s="1362">
        <f t="shared" si="3836"/>
        <v>-42691.21</v>
      </c>
      <c r="R1850" s="349">
        <f ca="1">+N1849</f>
        <v>4783.24</v>
      </c>
      <c r="S1850" s="349">
        <f ca="1">IF(OR(E1850="",E1850&gt;TODAY()),0,IF(ISERROR(VLOOKUP($E1850,'TRM BanRep'!$A:$G,7,0)),0,VLOOKUP($E1850,'TRM BanRep'!$A:$G,7,0)))</f>
        <v>4866.5</v>
      </c>
      <c r="T1850" s="895">
        <f t="shared" ca="1" si="3837"/>
        <v>-207756773.465</v>
      </c>
      <c r="U1850" s="350">
        <f t="shared" si="3838"/>
        <v>-42691.21</v>
      </c>
      <c r="V1850" s="918">
        <f t="shared" ca="1" si="3839"/>
        <v>-204202303.3204</v>
      </c>
      <c r="W1850" s="351">
        <f t="shared" ca="1" si="3840"/>
        <v>3554470.144600004</v>
      </c>
      <c r="X1850" s="919">
        <f t="shared" ca="1" si="3841"/>
        <v>0</v>
      </c>
      <c r="Y1850" s="1018"/>
      <c r="Z1850" s="220"/>
      <c r="AA1850" s="15"/>
      <c r="AB1850" s="15"/>
      <c r="AC1850" s="15"/>
      <c r="AD1850" s="15"/>
      <c r="AE1850" s="15"/>
    </row>
    <row r="1851" spans="1:31" s="401" customFormat="1" outlineLevel="1">
      <c r="A1851" s="1011">
        <v>2401012000</v>
      </c>
      <c r="B1851" s="1012" t="s">
        <v>1454</v>
      </c>
      <c r="C1851" s="1013" t="s">
        <v>64</v>
      </c>
      <c r="D1851" s="1013">
        <v>5100001156</v>
      </c>
      <c r="E1851" s="1014">
        <v>44972</v>
      </c>
      <c r="F1851" s="1015"/>
      <c r="G1851" s="1293"/>
      <c r="H1851" s="346"/>
      <c r="I1851" s="1016"/>
      <c r="J1851" s="1457">
        <v>1</v>
      </c>
      <c r="K1851" s="1458">
        <v>1</v>
      </c>
      <c r="L1851" s="1036">
        <v>46034.79</v>
      </c>
      <c r="M1851" s="1325">
        <f t="shared" si="3834"/>
        <v>46034.79</v>
      </c>
      <c r="N1851" s="348">
        <f ca="1">IF(OR(E1851="",E1851&gt;TODAY()),0,IF(ISERROR(VLOOKUP($E1851,'TRM BanRep'!$A:$G,7,0)),0,VLOOKUP($E1851,'TRM BanRep'!$A:$G,7,0)))</f>
        <v>4783.24</v>
      </c>
      <c r="O1851" s="897">
        <f t="shared" ca="1" si="3835"/>
        <v>220195448.91959998</v>
      </c>
      <c r="P1851" s="1017"/>
      <c r="Q1851" s="1362">
        <f t="shared" si="3836"/>
        <v>0</v>
      </c>
      <c r="R1851" s="349"/>
      <c r="S1851" s="349"/>
      <c r="T1851" s="895">
        <f t="shared" si="3837"/>
        <v>0</v>
      </c>
      <c r="U1851" s="350">
        <f t="shared" si="3838"/>
        <v>46034.79</v>
      </c>
      <c r="V1851" s="918">
        <f t="shared" ca="1" si="3839"/>
        <v>220195448.91959998</v>
      </c>
      <c r="W1851" s="351">
        <f t="shared" si="3840"/>
        <v>0</v>
      </c>
      <c r="X1851" s="919">
        <f t="shared" si="3841"/>
        <v>0</v>
      </c>
      <c r="Y1851" s="1018"/>
      <c r="Z1851" s="220"/>
      <c r="AA1851" s="15"/>
      <c r="AB1851" s="15"/>
      <c r="AC1851" s="15"/>
      <c r="AD1851" s="15"/>
      <c r="AE1851" s="15"/>
    </row>
    <row r="1852" spans="1:31" s="401" customFormat="1" outlineLevel="1">
      <c r="A1852" s="1011">
        <v>2401012000</v>
      </c>
      <c r="B1852" s="1012"/>
      <c r="C1852" s="1013" t="s">
        <v>64</v>
      </c>
      <c r="D1852" s="1013">
        <v>2000002400</v>
      </c>
      <c r="E1852" s="1014">
        <v>45002</v>
      </c>
      <c r="F1852" s="1015"/>
      <c r="G1852" s="1293"/>
      <c r="H1852" s="346"/>
      <c r="I1852" s="1016"/>
      <c r="J1852" s="1457">
        <v>1</v>
      </c>
      <c r="K1852" s="1458">
        <v>1</v>
      </c>
      <c r="L1852" s="1036"/>
      <c r="M1852" s="1325">
        <f t="shared" ref="M1852" si="3842">+L1852*J1852</f>
        <v>0</v>
      </c>
      <c r="N1852" s="348">
        <f ca="1">IF(OR(E1852="",E1852&gt;TODAY()),0,IF(ISERROR(VLOOKUP($E1852,'TRM BanRep'!$A:$G,7,0)),0,VLOOKUP($E1852,'TRM BanRep'!$A:$G,7,0)))</f>
        <v>4866.5</v>
      </c>
      <c r="O1852" s="897">
        <f t="shared" ref="O1852" ca="1" si="3843">+L1852*J1852*N1852</f>
        <v>0</v>
      </c>
      <c r="P1852" s="1017">
        <f>-L1851</f>
        <v>-46034.79</v>
      </c>
      <c r="Q1852" s="1362">
        <f t="shared" ref="Q1852" si="3844">+P1852*K1852</f>
        <v>-46034.79</v>
      </c>
      <c r="R1852" s="349">
        <f ca="1">+N1851</f>
        <v>4783.24</v>
      </c>
      <c r="S1852" s="349">
        <f ca="1">IF(OR(E1852="",E1852&gt;TODAY()),0,IF(ISERROR(VLOOKUP($E1852,'TRM BanRep'!$A:$G,7,0)),0,VLOOKUP($E1852,'TRM BanRep'!$A:$G,7,0)))</f>
        <v>4866.5</v>
      </c>
      <c r="T1852" s="895">
        <f t="shared" ref="T1852" ca="1" si="3845">+P1852*K1852*S1852</f>
        <v>-224028305.535</v>
      </c>
      <c r="U1852" s="350">
        <f t="shared" ref="U1852" si="3846">+L1852+P1852+F1852</f>
        <v>-46034.79</v>
      </c>
      <c r="V1852" s="918">
        <f t="shared" ref="V1852" ca="1" si="3847">+P1852*J1852*R1852+L1852*J1852*N1852+F1852*J1852*H1852</f>
        <v>-220195448.91959998</v>
      </c>
      <c r="W1852" s="351">
        <f t="shared" ref="W1852" ca="1" si="3848">-(IF(-P1852*J1852*R1852&lt;-P1852*K1852*S1852,(-P1852*J1852*R1852)-(-P1852*K1852*S1852),0))</f>
        <v>3832856.6154000163</v>
      </c>
      <c r="X1852" s="919">
        <f t="shared" ref="X1852" ca="1" si="3849">-(IF(-P1852*J1852*R1852&gt;-P1852*K1852*S1852,(-P1852*J1852*R1852)-(-P1852*K1852*S1852),0))</f>
        <v>0</v>
      </c>
      <c r="Y1852" s="1018"/>
      <c r="Z1852" s="220"/>
      <c r="AA1852" s="15"/>
      <c r="AB1852" s="15"/>
      <c r="AC1852" s="15"/>
      <c r="AD1852" s="15"/>
      <c r="AE1852" s="15"/>
    </row>
    <row r="1853" spans="1:31" s="401" customFormat="1" outlineLevel="1">
      <c r="A1853" s="1011">
        <v>2401012000</v>
      </c>
      <c r="B1853" s="1012" t="s">
        <v>2334</v>
      </c>
      <c r="C1853" s="1013" t="s">
        <v>64</v>
      </c>
      <c r="D1853" s="1013">
        <v>5100001235</v>
      </c>
      <c r="E1853" s="1014">
        <v>44974</v>
      </c>
      <c r="F1853" s="1015"/>
      <c r="G1853" s="1293"/>
      <c r="H1853" s="346"/>
      <c r="I1853" s="1016"/>
      <c r="J1853" s="1457">
        <v>1</v>
      </c>
      <c r="K1853" s="1458">
        <v>1</v>
      </c>
      <c r="L1853" s="1036">
        <v>21689.85</v>
      </c>
      <c r="M1853" s="1325">
        <f t="shared" si="3834"/>
        <v>21689.85</v>
      </c>
      <c r="N1853" s="348">
        <f ca="1">IF(OR(E1853="",E1853&gt;TODAY()),0,IF(ISERROR(VLOOKUP($E1853,'TRM BanRep'!$A:$G,7,0)),0,VLOOKUP($E1853,'TRM BanRep'!$A:$G,7,0)))</f>
        <v>4966.33</v>
      </c>
      <c r="O1853" s="897">
        <f t="shared" ca="1" si="3835"/>
        <v>107718952.75049999</v>
      </c>
      <c r="P1853" s="1017"/>
      <c r="Q1853" s="1362">
        <f t="shared" si="3836"/>
        <v>0</v>
      </c>
      <c r="R1853" s="349"/>
      <c r="S1853" s="349"/>
      <c r="T1853" s="895">
        <f t="shared" si="3837"/>
        <v>0</v>
      </c>
      <c r="U1853" s="350">
        <f t="shared" si="3838"/>
        <v>21689.85</v>
      </c>
      <c r="V1853" s="918">
        <f t="shared" ca="1" si="3839"/>
        <v>107718952.75049999</v>
      </c>
      <c r="W1853" s="351">
        <f t="shared" si="3840"/>
        <v>0</v>
      </c>
      <c r="X1853" s="919">
        <f t="shared" si="3841"/>
        <v>0</v>
      </c>
      <c r="Y1853" s="1018"/>
      <c r="Z1853" s="220"/>
      <c r="AA1853" s="15"/>
      <c r="AB1853" s="15"/>
      <c r="AC1853" s="15"/>
      <c r="AD1853" s="15"/>
      <c r="AE1853" s="15"/>
    </row>
    <row r="1854" spans="1:31" s="401" customFormat="1" outlineLevel="1">
      <c r="A1854" s="1011">
        <v>2401012000</v>
      </c>
      <c r="B1854" s="1012"/>
      <c r="C1854" s="1013" t="s">
        <v>64</v>
      </c>
      <c r="D1854" s="1013">
        <v>2000002503</v>
      </c>
      <c r="E1854" s="1014">
        <v>45007</v>
      </c>
      <c r="F1854" s="1015"/>
      <c r="G1854" s="1293"/>
      <c r="H1854" s="346"/>
      <c r="I1854" s="1016"/>
      <c r="J1854" s="1457">
        <v>1</v>
      </c>
      <c r="K1854" s="1458">
        <v>1</v>
      </c>
      <c r="L1854" s="1036"/>
      <c r="M1854" s="1325">
        <f t="shared" si="3834"/>
        <v>0</v>
      </c>
      <c r="N1854" s="348">
        <f ca="1">IF(OR(E1854="",E1854&gt;TODAY()),0,IF(ISERROR(VLOOKUP($E1854,'TRM BanRep'!$A:$G,7,0)),0,VLOOKUP($E1854,'TRM BanRep'!$A:$G,7,0)))</f>
        <v>4804.29</v>
      </c>
      <c r="O1854" s="897">
        <f t="shared" ca="1" si="3835"/>
        <v>0</v>
      </c>
      <c r="P1854" s="1017">
        <f>-L1853</f>
        <v>-21689.85</v>
      </c>
      <c r="Q1854" s="1362">
        <f t="shared" si="3836"/>
        <v>-21689.85</v>
      </c>
      <c r="R1854" s="349">
        <f ca="1">+N1853</f>
        <v>4966.33</v>
      </c>
      <c r="S1854" s="349">
        <f ca="1">IF(OR(E1854="",E1854&gt;TODAY()),0,IF(ISERROR(VLOOKUP($E1854,'TRM BanRep'!$A:$G,7,0)),0,VLOOKUP($E1854,'TRM BanRep'!$A:$G,7,0)))</f>
        <v>4804.29</v>
      </c>
      <c r="T1854" s="895">
        <f t="shared" ca="1" si="3837"/>
        <v>-104204329.45649999</v>
      </c>
      <c r="U1854" s="350">
        <f t="shared" si="3838"/>
        <v>-21689.85</v>
      </c>
      <c r="V1854" s="918">
        <f t="shared" ca="1" si="3839"/>
        <v>-107718952.75049999</v>
      </c>
      <c r="W1854" s="351">
        <f t="shared" ca="1" si="3840"/>
        <v>0</v>
      </c>
      <c r="X1854" s="919">
        <f t="shared" ca="1" si="3841"/>
        <v>-3514623.2939999998</v>
      </c>
      <c r="Y1854" s="1018"/>
      <c r="Z1854" s="220"/>
      <c r="AA1854" s="15"/>
      <c r="AB1854" s="15"/>
      <c r="AC1854" s="15"/>
      <c r="AD1854" s="15"/>
      <c r="AE1854" s="15"/>
    </row>
    <row r="1855" spans="1:31" s="401" customFormat="1" outlineLevel="1">
      <c r="A1855" s="1011">
        <v>2401012000</v>
      </c>
      <c r="B1855" s="1012" t="s">
        <v>2335</v>
      </c>
      <c r="C1855" s="1013" t="s">
        <v>64</v>
      </c>
      <c r="D1855" s="1013">
        <v>5100001271</v>
      </c>
      <c r="E1855" s="1014">
        <v>44977</v>
      </c>
      <c r="F1855" s="1015"/>
      <c r="G1855" s="1293"/>
      <c r="H1855" s="346"/>
      <c r="I1855" s="1016"/>
      <c r="J1855" s="1457">
        <v>1</v>
      </c>
      <c r="K1855" s="1458">
        <v>1</v>
      </c>
      <c r="L1855" s="1036">
        <v>2397.25</v>
      </c>
      <c r="M1855" s="1325">
        <f t="shared" si="3834"/>
        <v>2397.25</v>
      </c>
      <c r="N1855" s="348">
        <f ca="1">IF(OR(E1855="",E1855&gt;TODAY()),0,IF(ISERROR(VLOOKUP($E1855,'TRM BanRep'!$A:$G,7,0)),0,VLOOKUP($E1855,'TRM BanRep'!$A:$G,7,0)))</f>
        <v>4918.9399999999996</v>
      </c>
      <c r="O1855" s="897">
        <f t="shared" ca="1" si="3835"/>
        <v>11791928.914999999</v>
      </c>
      <c r="P1855" s="1017"/>
      <c r="Q1855" s="1362">
        <f t="shared" si="3836"/>
        <v>0</v>
      </c>
      <c r="R1855" s="349"/>
      <c r="S1855" s="349"/>
      <c r="T1855" s="895">
        <f t="shared" si="3837"/>
        <v>0</v>
      </c>
      <c r="U1855" s="350">
        <f t="shared" si="3838"/>
        <v>2397.25</v>
      </c>
      <c r="V1855" s="918">
        <f t="shared" ca="1" si="3839"/>
        <v>11791928.914999999</v>
      </c>
      <c r="W1855" s="351">
        <f t="shared" si="3840"/>
        <v>0</v>
      </c>
      <c r="X1855" s="919">
        <f t="shared" si="3841"/>
        <v>0</v>
      </c>
      <c r="Y1855" s="1018"/>
      <c r="Z1855" s="220"/>
      <c r="AA1855" s="15"/>
      <c r="AB1855" s="15"/>
      <c r="AC1855" s="15"/>
      <c r="AD1855" s="15"/>
      <c r="AE1855" s="15"/>
    </row>
    <row r="1856" spans="1:31" s="401" customFormat="1" outlineLevel="1">
      <c r="A1856" s="1011">
        <v>2401012000</v>
      </c>
      <c r="B1856" s="1012"/>
      <c r="C1856" s="1013" t="s">
        <v>64</v>
      </c>
      <c r="D1856" s="1013">
        <v>2000002532</v>
      </c>
      <c r="E1856" s="1014">
        <v>45008</v>
      </c>
      <c r="F1856" s="1015"/>
      <c r="G1856" s="1293"/>
      <c r="H1856" s="346"/>
      <c r="I1856" s="1016"/>
      <c r="J1856" s="1457">
        <v>1</v>
      </c>
      <c r="K1856" s="1458">
        <v>1</v>
      </c>
      <c r="L1856" s="1036"/>
      <c r="M1856" s="1325">
        <f t="shared" ref="M1856" si="3850">+L1856*J1856</f>
        <v>0</v>
      </c>
      <c r="N1856" s="348">
        <f ca="1">IF(OR(E1856="",E1856&gt;TODAY()),0,IF(ISERROR(VLOOKUP($E1856,'TRM BanRep'!$A:$G,7,0)),0,VLOOKUP($E1856,'TRM BanRep'!$A:$G,7,0)))</f>
        <v>4776.09</v>
      </c>
      <c r="O1856" s="897">
        <f t="shared" ref="O1856" ca="1" si="3851">+L1856*J1856*N1856</f>
        <v>0</v>
      </c>
      <c r="P1856" s="1017">
        <f>-L1855</f>
        <v>-2397.25</v>
      </c>
      <c r="Q1856" s="1362">
        <f t="shared" ref="Q1856" si="3852">+P1856*K1856</f>
        <v>-2397.25</v>
      </c>
      <c r="R1856" s="349">
        <f ca="1">+N1855</f>
        <v>4918.9399999999996</v>
      </c>
      <c r="S1856" s="349">
        <f ca="1">IF(OR(E1856="",E1856&gt;TODAY()),0,IF(ISERROR(VLOOKUP($E1856,'TRM BanRep'!$A:$G,7,0)),0,VLOOKUP($E1856,'TRM BanRep'!$A:$G,7,0)))</f>
        <v>4776.09</v>
      </c>
      <c r="T1856" s="895">
        <f t="shared" ref="T1856" ca="1" si="3853">+P1856*K1856*S1856</f>
        <v>-11449481.752499999</v>
      </c>
      <c r="U1856" s="350">
        <f t="shared" ref="U1856" si="3854">+L1856+P1856+F1856</f>
        <v>-2397.25</v>
      </c>
      <c r="V1856" s="918">
        <f t="shared" ref="V1856" ca="1" si="3855">+P1856*J1856*R1856+L1856*J1856*N1856+F1856*J1856*H1856</f>
        <v>-11791928.914999999</v>
      </c>
      <c r="W1856" s="351">
        <f t="shared" ref="W1856" ca="1" si="3856">-(IF(-P1856*J1856*R1856&lt;-P1856*K1856*S1856,(-P1856*J1856*R1856)-(-P1856*K1856*S1856),0))</f>
        <v>0</v>
      </c>
      <c r="X1856" s="919">
        <f t="shared" ref="X1856" ca="1" si="3857">-(IF(-P1856*J1856*R1856&gt;-P1856*K1856*S1856,(-P1856*J1856*R1856)-(-P1856*K1856*S1856),0))</f>
        <v>-342447.16249999963</v>
      </c>
      <c r="Y1856" s="1018"/>
      <c r="Z1856" s="220"/>
      <c r="AA1856" s="15"/>
      <c r="AB1856" s="15"/>
      <c r="AC1856" s="15"/>
      <c r="AD1856" s="15"/>
      <c r="AE1856" s="15"/>
    </row>
    <row r="1857" spans="1:31" s="401" customFormat="1" outlineLevel="1">
      <c r="A1857" s="1011">
        <v>2401012000</v>
      </c>
      <c r="B1857" s="1012" t="s">
        <v>2336</v>
      </c>
      <c r="C1857" s="1013" t="s">
        <v>64</v>
      </c>
      <c r="D1857" s="1013">
        <v>5100001467</v>
      </c>
      <c r="E1857" s="1014">
        <v>44981</v>
      </c>
      <c r="F1857" s="1015"/>
      <c r="G1857" s="1293"/>
      <c r="H1857" s="346"/>
      <c r="I1857" s="1016"/>
      <c r="J1857" s="1457">
        <v>1</v>
      </c>
      <c r="K1857" s="1458">
        <v>1</v>
      </c>
      <c r="L1857" s="1036">
        <v>6315.89</v>
      </c>
      <c r="M1857" s="1325">
        <f t="shared" si="3834"/>
        <v>6315.89</v>
      </c>
      <c r="N1857" s="348">
        <f ca="1">IF(OR(E1857="",E1857&gt;TODAY()),0,IF(ISERROR(VLOOKUP($E1857,'TRM BanRep'!$A:$G,7,0)),0,VLOOKUP($E1857,'TRM BanRep'!$A:$G,7,0)))</f>
        <v>4853.8999999999996</v>
      </c>
      <c r="O1857" s="897">
        <f t="shared" ca="1" si="3835"/>
        <v>30656698.471000001</v>
      </c>
      <c r="P1857" s="1017"/>
      <c r="Q1857" s="1362">
        <f t="shared" si="3836"/>
        <v>0</v>
      </c>
      <c r="R1857" s="349"/>
      <c r="S1857" s="349"/>
      <c r="T1857" s="895">
        <f t="shared" si="3837"/>
        <v>0</v>
      </c>
      <c r="U1857" s="350">
        <f t="shared" si="3838"/>
        <v>6315.89</v>
      </c>
      <c r="V1857" s="918">
        <f t="shared" ca="1" si="3839"/>
        <v>30656698.471000001</v>
      </c>
      <c r="W1857" s="351">
        <f t="shared" si="3840"/>
        <v>0</v>
      </c>
      <c r="X1857" s="919">
        <f t="shared" si="3841"/>
        <v>0</v>
      </c>
      <c r="Y1857" s="1018"/>
      <c r="Z1857" s="220"/>
      <c r="AA1857" s="15"/>
      <c r="AB1857" s="15"/>
      <c r="AC1857" s="15"/>
      <c r="AD1857" s="15"/>
      <c r="AE1857" s="15"/>
    </row>
    <row r="1858" spans="1:31" s="401" customFormat="1" outlineLevel="1">
      <c r="A1858" s="1011">
        <v>2401012000</v>
      </c>
      <c r="B1858" s="1012"/>
      <c r="C1858" s="1013" t="s">
        <v>64</v>
      </c>
      <c r="D1858" s="1013">
        <v>2000002714</v>
      </c>
      <c r="E1858" s="1014">
        <v>45014</v>
      </c>
      <c r="F1858" s="1015"/>
      <c r="G1858" s="1293"/>
      <c r="H1858" s="346"/>
      <c r="I1858" s="1016"/>
      <c r="J1858" s="1457">
        <v>1</v>
      </c>
      <c r="K1858" s="1458">
        <v>1</v>
      </c>
      <c r="L1858" s="1036"/>
      <c r="M1858" s="1325">
        <f t="shared" si="3834"/>
        <v>0</v>
      </c>
      <c r="N1858" s="348">
        <f ca="1">IF(OR(E1858="",E1858&gt;TODAY()),0,IF(ISERROR(VLOOKUP($E1858,'TRM BanRep'!$A:$G,7,0)),0,VLOOKUP($E1858,'TRM BanRep'!$A:$G,7,0)))</f>
        <v>4658.79</v>
      </c>
      <c r="O1858" s="897">
        <f t="shared" ca="1" si="3835"/>
        <v>0</v>
      </c>
      <c r="P1858" s="1017">
        <f>-L1857</f>
        <v>-6315.89</v>
      </c>
      <c r="Q1858" s="1362">
        <f t="shared" si="3836"/>
        <v>-6315.89</v>
      </c>
      <c r="R1858" s="349">
        <f ca="1">+N1857</f>
        <v>4853.8999999999996</v>
      </c>
      <c r="S1858" s="349">
        <f ca="1">IF(OR(E1858="",E1858&gt;TODAY()),0,IF(ISERROR(VLOOKUP($E1858,'TRM BanRep'!$A:$G,7,0)),0,VLOOKUP($E1858,'TRM BanRep'!$A:$G,7,0)))</f>
        <v>4658.79</v>
      </c>
      <c r="T1858" s="895">
        <f t="shared" ca="1" si="3837"/>
        <v>-29424405.173100002</v>
      </c>
      <c r="U1858" s="350">
        <f t="shared" si="3838"/>
        <v>-6315.89</v>
      </c>
      <c r="V1858" s="918">
        <f t="shared" ca="1" si="3839"/>
        <v>-30656698.471000001</v>
      </c>
      <c r="W1858" s="351">
        <f t="shared" ca="1" si="3840"/>
        <v>0</v>
      </c>
      <c r="X1858" s="919">
        <f t="shared" ca="1" si="3841"/>
        <v>-1232293.2978999987</v>
      </c>
      <c r="Y1858" s="1018"/>
      <c r="Z1858" s="220"/>
      <c r="AA1858" s="15"/>
      <c r="AB1858" s="15"/>
      <c r="AC1858" s="15"/>
      <c r="AD1858" s="15"/>
      <c r="AE1858" s="15"/>
    </row>
    <row r="1859" spans="1:31" s="401" customFormat="1" outlineLevel="1">
      <c r="A1859" s="1011">
        <v>2401012000</v>
      </c>
      <c r="B1859" s="2458" t="s">
        <v>2337</v>
      </c>
      <c r="C1859" s="1013" t="s">
        <v>64</v>
      </c>
      <c r="D1859" s="2459">
        <v>5100001487</v>
      </c>
      <c r="E1859" s="1014">
        <v>44984</v>
      </c>
      <c r="F1859" s="1023"/>
      <c r="G1859" s="1290"/>
      <c r="H1859" s="352"/>
      <c r="I1859" s="1024"/>
      <c r="J1859" s="1457">
        <v>1</v>
      </c>
      <c r="K1859" s="1458">
        <v>1</v>
      </c>
      <c r="L1859" s="1992">
        <v>26470.77</v>
      </c>
      <c r="M1859" s="1325">
        <f t="shared" si="3834"/>
        <v>26470.77</v>
      </c>
      <c r="N1859" s="348">
        <f ca="1">IF(OR(E1859="",E1859&gt;TODAY()),0,IF(ISERROR(VLOOKUP($E1859,'TRM BanRep'!$A:$G,7,0)),0,VLOOKUP($E1859,'TRM BanRep'!$A:$G,7,0)))</f>
        <v>4849.6499999999996</v>
      </c>
      <c r="O1859" s="897">
        <f t="shared" ca="1" si="3835"/>
        <v>128373969.7305</v>
      </c>
      <c r="P1859" s="1017"/>
      <c r="Q1859" s="1362">
        <f t="shared" si="3836"/>
        <v>0</v>
      </c>
      <c r="R1859" s="349"/>
      <c r="S1859" s="349"/>
      <c r="T1859" s="895">
        <f t="shared" si="3837"/>
        <v>0</v>
      </c>
      <c r="U1859" s="350">
        <f t="shared" si="3838"/>
        <v>26470.77</v>
      </c>
      <c r="V1859" s="918">
        <f t="shared" ca="1" si="3839"/>
        <v>128373969.7305</v>
      </c>
      <c r="W1859" s="351">
        <f t="shared" si="3840"/>
        <v>0</v>
      </c>
      <c r="X1859" s="919">
        <f t="shared" si="3841"/>
        <v>0</v>
      </c>
      <c r="Y1859" s="1018"/>
      <c r="Z1859" s="220"/>
      <c r="AA1859" s="15"/>
      <c r="AB1859" s="15"/>
      <c r="AC1859" s="15"/>
      <c r="AD1859" s="333"/>
      <c r="AE1859" s="333"/>
    </row>
    <row r="1860" spans="1:31" s="401" customFormat="1" outlineLevel="1">
      <c r="A1860" s="1011">
        <v>2401012000</v>
      </c>
      <c r="B1860" s="1012"/>
      <c r="C1860" s="1013" t="s">
        <v>64</v>
      </c>
      <c r="D1860" s="1013">
        <v>2000002704</v>
      </c>
      <c r="E1860" s="1014">
        <v>45014</v>
      </c>
      <c r="F1860" s="1015"/>
      <c r="G1860" s="1293"/>
      <c r="H1860" s="346"/>
      <c r="I1860" s="1016"/>
      <c r="J1860" s="1457">
        <v>1</v>
      </c>
      <c r="K1860" s="1458">
        <v>1</v>
      </c>
      <c r="L1860" s="1036"/>
      <c r="M1860" s="1325">
        <f t="shared" ref="M1860" si="3858">+L1860*J1860</f>
        <v>0</v>
      </c>
      <c r="N1860" s="348">
        <f ca="1">IF(OR(E1860="",E1860&gt;TODAY()),0,IF(ISERROR(VLOOKUP($E1860,'TRM BanRep'!$A:$G,7,0)),0,VLOOKUP($E1860,'TRM BanRep'!$A:$G,7,0)))</f>
        <v>4658.79</v>
      </c>
      <c r="O1860" s="897">
        <f t="shared" ref="O1860" ca="1" si="3859">+L1860*J1860*N1860</f>
        <v>0</v>
      </c>
      <c r="P1860" s="1017">
        <f>-L1859</f>
        <v>-26470.77</v>
      </c>
      <c r="Q1860" s="1362">
        <f t="shared" ref="Q1860" si="3860">+P1860*K1860</f>
        <v>-26470.77</v>
      </c>
      <c r="R1860" s="349">
        <f ca="1">+N1859</f>
        <v>4849.6499999999996</v>
      </c>
      <c r="S1860" s="349">
        <f ca="1">IF(OR(E1860="",E1860&gt;TODAY()),0,IF(ISERROR(VLOOKUP($E1860,'TRM BanRep'!$A:$G,7,0)),0,VLOOKUP($E1860,'TRM BanRep'!$A:$G,7,0)))</f>
        <v>4658.79</v>
      </c>
      <c r="T1860" s="895">
        <f t="shared" ref="T1860" ca="1" si="3861">+P1860*K1860*S1860</f>
        <v>-123321758.56829999</v>
      </c>
      <c r="U1860" s="350">
        <f t="shared" ref="U1860" si="3862">+L1860+P1860+F1860</f>
        <v>-26470.77</v>
      </c>
      <c r="V1860" s="918">
        <f t="shared" ref="V1860" ca="1" si="3863">+P1860*J1860*R1860+L1860*J1860*N1860+F1860*J1860*H1860</f>
        <v>-128373969.7305</v>
      </c>
      <c r="W1860" s="351">
        <f t="shared" ref="W1860" ca="1" si="3864">-(IF(-P1860*J1860*R1860&lt;-P1860*K1860*S1860,(-P1860*J1860*R1860)-(-P1860*K1860*S1860),0))</f>
        <v>0</v>
      </c>
      <c r="X1860" s="919">
        <f t="shared" ref="X1860" ca="1" si="3865">-(IF(-P1860*J1860*R1860&gt;-P1860*K1860*S1860,(-P1860*J1860*R1860)-(-P1860*K1860*S1860),0))</f>
        <v>-5052211.1622000039</v>
      </c>
      <c r="Y1860" s="1018"/>
      <c r="Z1860" s="220"/>
      <c r="AA1860" s="15"/>
      <c r="AB1860" s="15"/>
      <c r="AC1860" s="15"/>
      <c r="AD1860" s="15"/>
      <c r="AE1860" s="15"/>
    </row>
    <row r="1861" spans="1:31" s="401" customFormat="1" outlineLevel="1">
      <c r="A1861" s="1011">
        <v>2401012000</v>
      </c>
      <c r="B1861" s="2458" t="s">
        <v>2250</v>
      </c>
      <c r="C1861" s="1013" t="s">
        <v>64</v>
      </c>
      <c r="D1861" s="2459">
        <v>2200000035</v>
      </c>
      <c r="E1861" s="1014">
        <v>44984</v>
      </c>
      <c r="F1861" s="1023"/>
      <c r="G1861" s="1290"/>
      <c r="H1861" s="352"/>
      <c r="I1861" s="1024"/>
      <c r="J1861" s="1457">
        <v>1</v>
      </c>
      <c r="K1861" s="1458">
        <v>1</v>
      </c>
      <c r="L1861" s="1992">
        <v>-4844.3999999999996</v>
      </c>
      <c r="M1861" s="1325">
        <f t="shared" si="3834"/>
        <v>-4844.3999999999996</v>
      </c>
      <c r="N1861" s="348">
        <f ca="1">IF(OR(E1861="",E1861&gt;TODAY()),0,IF(ISERROR(VLOOKUP($E1861,'TRM BanRep'!$A:$G,7,0)),0,VLOOKUP($E1861,'TRM BanRep'!$A:$G,7,0)))</f>
        <v>4849.6499999999996</v>
      </c>
      <c r="O1861" s="897">
        <f t="shared" ca="1" si="3835"/>
        <v>-23493644.459999997</v>
      </c>
      <c r="P1861" s="1017"/>
      <c r="Q1861" s="1362">
        <f t="shared" si="3836"/>
        <v>0</v>
      </c>
      <c r="R1861" s="349"/>
      <c r="S1861" s="349"/>
      <c r="T1861" s="895">
        <f t="shared" si="3837"/>
        <v>0</v>
      </c>
      <c r="U1861" s="350">
        <f t="shared" si="3838"/>
        <v>-4844.3999999999996</v>
      </c>
      <c r="V1861" s="918">
        <f t="shared" ca="1" si="3839"/>
        <v>-23493644.459999997</v>
      </c>
      <c r="W1861" s="351">
        <f t="shared" si="3840"/>
        <v>0</v>
      </c>
      <c r="X1861" s="919">
        <f t="shared" si="3841"/>
        <v>0</v>
      </c>
      <c r="Y1861" s="1018"/>
      <c r="Z1861" s="220"/>
      <c r="AA1861" s="15"/>
      <c r="AB1861" s="15"/>
      <c r="AC1861" s="15"/>
      <c r="AD1861" s="333"/>
      <c r="AE1861" s="333"/>
    </row>
    <row r="1862" spans="1:31" s="401" customFormat="1" outlineLevel="1">
      <c r="A1862" s="1011">
        <v>2401012000</v>
      </c>
      <c r="B1862" s="1012"/>
      <c r="C1862" s="1013" t="s">
        <v>64</v>
      </c>
      <c r="D1862" s="1013">
        <v>2000002704</v>
      </c>
      <c r="E1862" s="1014">
        <v>45014</v>
      </c>
      <c r="F1862" s="1015"/>
      <c r="G1862" s="1293"/>
      <c r="H1862" s="346"/>
      <c r="I1862" s="1016"/>
      <c r="J1862" s="1457">
        <v>1</v>
      </c>
      <c r="K1862" s="1458">
        <v>1</v>
      </c>
      <c r="L1862" s="1036"/>
      <c r="M1862" s="1325">
        <f t="shared" si="3834"/>
        <v>0</v>
      </c>
      <c r="N1862" s="348">
        <f ca="1">IF(OR(E1862="",E1862&gt;TODAY()),0,IF(ISERROR(VLOOKUP($E1862,'TRM BanRep'!$A:$G,7,0)),0,VLOOKUP($E1862,'TRM BanRep'!$A:$G,7,0)))</f>
        <v>4658.79</v>
      </c>
      <c r="O1862" s="897">
        <f t="shared" ca="1" si="3835"/>
        <v>0</v>
      </c>
      <c r="P1862" s="1017">
        <f>-L1861</f>
        <v>4844.3999999999996</v>
      </c>
      <c r="Q1862" s="1362">
        <f t="shared" si="3836"/>
        <v>4844.3999999999996</v>
      </c>
      <c r="R1862" s="349">
        <f ca="1">+N1861</f>
        <v>4849.6499999999996</v>
      </c>
      <c r="S1862" s="349">
        <f ca="1">IF(OR(E1862="",E1862&gt;TODAY()),0,IF(ISERROR(VLOOKUP($E1862,'TRM BanRep'!$A:$G,7,0)),0,VLOOKUP($E1862,'TRM BanRep'!$A:$G,7,0)))</f>
        <v>4658.79</v>
      </c>
      <c r="T1862" s="895">
        <f t="shared" ca="1" si="3837"/>
        <v>22569042.275999997</v>
      </c>
      <c r="U1862" s="350">
        <f t="shared" si="3838"/>
        <v>4844.3999999999996</v>
      </c>
      <c r="V1862" s="918">
        <f t="shared" ca="1" si="3839"/>
        <v>23493644.459999997</v>
      </c>
      <c r="W1862" s="351">
        <f t="shared" ca="1" si="3840"/>
        <v>924602.18400000036</v>
      </c>
      <c r="X1862" s="919">
        <f t="shared" ca="1" si="3841"/>
        <v>0</v>
      </c>
      <c r="Y1862" s="1018"/>
      <c r="Z1862" s="220"/>
      <c r="AA1862" s="15"/>
      <c r="AB1862" s="15"/>
      <c r="AC1862" s="15"/>
      <c r="AD1862" s="15"/>
      <c r="AE1862" s="15"/>
    </row>
    <row r="1863" spans="1:31" s="401" customFormat="1" outlineLevel="1">
      <c r="A1863" s="1011">
        <v>2401012000</v>
      </c>
      <c r="B1863" s="1012" t="s">
        <v>2413</v>
      </c>
      <c r="C1863" s="1013" t="s">
        <v>64</v>
      </c>
      <c r="D1863" s="1013">
        <v>5100001685</v>
      </c>
      <c r="E1863" s="1014">
        <v>44991</v>
      </c>
      <c r="F1863" s="1015"/>
      <c r="G1863" s="1293"/>
      <c r="H1863" s="346"/>
      <c r="I1863" s="1016"/>
      <c r="J1863" s="1457">
        <v>1</v>
      </c>
      <c r="K1863" s="1458">
        <v>1</v>
      </c>
      <c r="L1863" s="1036">
        <v>91123.88</v>
      </c>
      <c r="M1863" s="1325">
        <f t="shared" si="3834"/>
        <v>91123.88</v>
      </c>
      <c r="N1863" s="348">
        <f ca="1">IF(OR(E1863="",E1863&gt;TODAY()),0,IF(ISERROR(VLOOKUP($E1863,'TRM BanRep'!$A:$G,7,0)),0,VLOOKUP($E1863,'TRM BanRep'!$A:$G,7,0)))</f>
        <v>4780.8900000000003</v>
      </c>
      <c r="O1863" s="897">
        <f t="shared" ca="1" si="3835"/>
        <v>435653246.65320003</v>
      </c>
      <c r="P1863" s="1017"/>
      <c r="Q1863" s="1362">
        <f t="shared" si="3836"/>
        <v>0</v>
      </c>
      <c r="R1863" s="349"/>
      <c r="S1863" s="349">
        <f ca="1">IF(OR(E1863="",E1863&gt;TODAY()),0,IF(ISERROR(VLOOKUP($E1863,'TRM BanRep'!$A:$G,7,0)),0,VLOOKUP($E1863,'TRM BanRep'!$A:$G,7,0)))</f>
        <v>4780.8900000000003</v>
      </c>
      <c r="T1863" s="895">
        <f t="shared" ca="1" si="3837"/>
        <v>0</v>
      </c>
      <c r="U1863" s="350">
        <f t="shared" si="3838"/>
        <v>91123.88</v>
      </c>
      <c r="V1863" s="918">
        <f t="shared" ca="1" si="3839"/>
        <v>435653246.65320003</v>
      </c>
      <c r="W1863" s="351">
        <f t="shared" ca="1" si="3840"/>
        <v>0</v>
      </c>
      <c r="X1863" s="919">
        <f t="shared" ca="1" si="3841"/>
        <v>0</v>
      </c>
      <c r="Y1863" s="1018"/>
      <c r="Z1863" s="220"/>
      <c r="AA1863" s="15"/>
      <c r="AB1863" s="15"/>
      <c r="AC1863" s="15"/>
      <c r="AD1863" s="15"/>
      <c r="AE1863" s="15"/>
    </row>
    <row r="1864" spans="1:31" s="401" customFormat="1" outlineLevel="1">
      <c r="A1864" s="1011">
        <v>2401012000</v>
      </c>
      <c r="B1864" s="2382" t="s">
        <v>1497</v>
      </c>
      <c r="C1864" s="2383" t="s">
        <v>64</v>
      </c>
      <c r="D1864" s="2383">
        <v>100014055</v>
      </c>
      <c r="E1864" s="2384">
        <v>45006</v>
      </c>
      <c r="F1864" s="1015"/>
      <c r="G1864" s="1293"/>
      <c r="H1864" s="346"/>
      <c r="I1864" s="1016"/>
      <c r="J1864" s="1457">
        <v>1</v>
      </c>
      <c r="K1864" s="1458">
        <v>1</v>
      </c>
      <c r="L1864" s="1036"/>
      <c r="M1864" s="1325">
        <f t="shared" si="3834"/>
        <v>0</v>
      </c>
      <c r="N1864" s="348">
        <f ca="1">IF(OR(E1864="",E1864&gt;TODAY()),0,IF(ISERROR(VLOOKUP($E1864,'TRM BanRep'!$A:$G,7,0)),0,VLOOKUP($E1864,'TRM BanRep'!$A:$G,7,0)))</f>
        <v>4824.25</v>
      </c>
      <c r="O1864" s="897">
        <f t="shared" ca="1" si="3835"/>
        <v>0</v>
      </c>
      <c r="P1864" s="1017">
        <f>-L1863</f>
        <v>-91123.88</v>
      </c>
      <c r="Q1864" s="1362">
        <f t="shared" si="3836"/>
        <v>-91123.88</v>
      </c>
      <c r="R1864" s="349">
        <f ca="1">+N1863</f>
        <v>4780.8900000000003</v>
      </c>
      <c r="S1864" s="349">
        <f ca="1">IF(OR(E1864="",E1864&gt;TODAY()),0,IF(ISERROR(VLOOKUP($E1864,'TRM BanRep'!$A:$G,7,0)),0,VLOOKUP($E1864,'TRM BanRep'!$A:$G,7,0)))</f>
        <v>4824.25</v>
      </c>
      <c r="T1864" s="895">
        <f t="shared" ca="1" si="3837"/>
        <v>-439604378.09000003</v>
      </c>
      <c r="U1864" s="350">
        <f t="shared" si="3838"/>
        <v>-91123.88</v>
      </c>
      <c r="V1864" s="918">
        <f t="shared" ca="1" si="3839"/>
        <v>-435653246.65320003</v>
      </c>
      <c r="W1864" s="351">
        <f t="shared" ca="1" si="3840"/>
        <v>3951131.4368000031</v>
      </c>
      <c r="X1864" s="919">
        <f t="shared" ca="1" si="3841"/>
        <v>0</v>
      </c>
      <c r="Y1864" s="1018"/>
      <c r="Z1864" s="220"/>
      <c r="AA1864" s="15"/>
      <c r="AB1864" s="15"/>
      <c r="AC1864" s="15"/>
      <c r="AD1864" s="15"/>
      <c r="AE1864" s="15"/>
    </row>
    <row r="1865" spans="1:31" s="401" customFormat="1" outlineLevel="1">
      <c r="A1865" s="1011">
        <v>2401012000</v>
      </c>
      <c r="B1865" s="1012" t="s">
        <v>2414</v>
      </c>
      <c r="C1865" s="1013" t="s">
        <v>64</v>
      </c>
      <c r="D1865" s="1013">
        <v>5100001988</v>
      </c>
      <c r="E1865" s="1014">
        <v>45001</v>
      </c>
      <c r="F1865" s="1015"/>
      <c r="G1865" s="1293"/>
      <c r="H1865" s="346"/>
      <c r="I1865" s="1016"/>
      <c r="J1865" s="1457">
        <v>1</v>
      </c>
      <c r="K1865" s="1458">
        <v>1</v>
      </c>
      <c r="L1865" s="1036">
        <v>6102.72</v>
      </c>
      <c r="M1865" s="1325">
        <f t="shared" si="3834"/>
        <v>6102.72</v>
      </c>
      <c r="N1865" s="348">
        <f ca="1">IF(OR(E1865="",E1865&gt;TODAY()),0,IF(ISERROR(VLOOKUP($E1865,'TRM BanRep'!$A:$G,7,0)),0,VLOOKUP($E1865,'TRM BanRep'!$A:$G,7,0)))</f>
        <v>4835.51</v>
      </c>
      <c r="O1865" s="897">
        <f t="shared" ca="1" si="3835"/>
        <v>29509763.587200001</v>
      </c>
      <c r="P1865" s="1017"/>
      <c r="Q1865" s="1362">
        <f t="shared" si="3836"/>
        <v>0</v>
      </c>
      <c r="R1865" s="349"/>
      <c r="S1865" s="349">
        <f ca="1">IF(OR(E1865="",E1865&gt;TODAY()),0,IF(ISERROR(VLOOKUP($E1865,'TRM BanRep'!$A:$G,7,0)),0,VLOOKUP($E1865,'TRM BanRep'!$A:$G,7,0)))</f>
        <v>4835.51</v>
      </c>
      <c r="T1865" s="895">
        <f t="shared" ca="1" si="3837"/>
        <v>0</v>
      </c>
      <c r="U1865" s="350">
        <f t="shared" si="3838"/>
        <v>6102.72</v>
      </c>
      <c r="V1865" s="918">
        <f t="shared" ca="1" si="3839"/>
        <v>29509763.587200001</v>
      </c>
      <c r="W1865" s="351">
        <f t="shared" ca="1" si="3840"/>
        <v>0</v>
      </c>
      <c r="X1865" s="919">
        <f t="shared" ca="1" si="3841"/>
        <v>0</v>
      </c>
      <c r="Y1865" s="1018"/>
      <c r="Z1865" s="220"/>
      <c r="AA1865" s="15"/>
      <c r="AB1865" s="15"/>
      <c r="AC1865" s="15"/>
      <c r="AD1865" s="15"/>
      <c r="AE1865" s="15"/>
    </row>
    <row r="1866" spans="1:31" s="401" customFormat="1" outlineLevel="1">
      <c r="A1866" s="1011">
        <v>2401012000</v>
      </c>
      <c r="B1866" s="2382" t="s">
        <v>1497</v>
      </c>
      <c r="C1866" s="2383" t="s">
        <v>64</v>
      </c>
      <c r="D1866" s="2383">
        <v>100017224</v>
      </c>
      <c r="E1866" s="2384">
        <v>45015</v>
      </c>
      <c r="F1866" s="1015"/>
      <c r="G1866" s="1293"/>
      <c r="H1866" s="346"/>
      <c r="I1866" s="1016"/>
      <c r="J1866" s="1457">
        <v>1</v>
      </c>
      <c r="K1866" s="1458">
        <v>1</v>
      </c>
      <c r="L1866" s="1036"/>
      <c r="M1866" s="1325">
        <f t="shared" ref="M1866:M1881" si="3866">+L1866*J1866</f>
        <v>0</v>
      </c>
      <c r="N1866" s="348">
        <f ca="1">IF(OR(E1866="",E1866&gt;TODAY()),0,IF(ISERROR(VLOOKUP($E1866,'TRM BanRep'!$A:$G,7,0)),0,VLOOKUP($E1866,'TRM BanRep'!$A:$G,7,0)))</f>
        <v>4627.63</v>
      </c>
      <c r="O1866" s="897">
        <f t="shared" ref="O1866:O1881" ca="1" si="3867">+L1866*J1866*N1866</f>
        <v>0</v>
      </c>
      <c r="P1866" s="1017">
        <f>-L1865</f>
        <v>-6102.72</v>
      </c>
      <c r="Q1866" s="1362">
        <f t="shared" ref="Q1866:Q1881" si="3868">+P1866*K1866</f>
        <v>-6102.72</v>
      </c>
      <c r="R1866" s="349">
        <f ca="1">+N1865</f>
        <v>4835.51</v>
      </c>
      <c r="S1866" s="349">
        <f ca="1">IF(OR(E1866="",E1866&gt;TODAY()),0,IF(ISERROR(VLOOKUP($E1866,'TRM BanRep'!$A:$G,7,0)),0,VLOOKUP($E1866,'TRM BanRep'!$A:$G,7,0)))</f>
        <v>4627.63</v>
      </c>
      <c r="T1866" s="895">
        <f t="shared" ref="T1866:T1881" ca="1" si="3869">+P1866*K1866*S1866</f>
        <v>-28241130.153600004</v>
      </c>
      <c r="U1866" s="350">
        <f t="shared" ref="U1866:U1881" si="3870">+L1866+P1866+F1866</f>
        <v>-6102.72</v>
      </c>
      <c r="V1866" s="918">
        <f t="shared" ref="V1866:V1881" ca="1" si="3871">+P1866*J1866*R1866+L1866*J1866*N1866+F1866*J1866*H1866</f>
        <v>-29509763.587200001</v>
      </c>
      <c r="W1866" s="351">
        <f t="shared" ref="W1866:W1881" ca="1" si="3872">-(IF(-P1866*J1866*R1866&lt;-P1866*K1866*S1866,(-P1866*J1866*R1866)-(-P1866*K1866*S1866),0))</f>
        <v>0</v>
      </c>
      <c r="X1866" s="919">
        <f t="shared" ref="X1866:X1881" ca="1" si="3873">-(IF(-P1866*J1866*R1866&gt;-P1866*K1866*S1866,(-P1866*J1866*R1866)-(-P1866*K1866*S1866),0))</f>
        <v>-1268633.4335999973</v>
      </c>
      <c r="Y1866" s="1018"/>
      <c r="Z1866" s="220"/>
      <c r="AA1866" s="15"/>
      <c r="AB1866" s="15"/>
      <c r="AC1866" s="15"/>
      <c r="AD1866" s="15"/>
      <c r="AE1866" s="15"/>
    </row>
    <row r="1867" spans="1:31" s="401" customFormat="1" outlineLevel="1">
      <c r="A1867" s="1011">
        <v>2401012000</v>
      </c>
      <c r="B1867" s="1012" t="s">
        <v>2416</v>
      </c>
      <c r="C1867" s="1013" t="s">
        <v>64</v>
      </c>
      <c r="D1867" s="1013">
        <v>5100001773</v>
      </c>
      <c r="E1867" s="1014">
        <v>44994</v>
      </c>
      <c r="F1867" s="1015"/>
      <c r="G1867" s="1293"/>
      <c r="H1867" s="346"/>
      <c r="I1867" s="1016"/>
      <c r="J1867" s="1457">
        <v>1</v>
      </c>
      <c r="K1867" s="1458">
        <v>1</v>
      </c>
      <c r="L1867" s="1036">
        <v>3763.5</v>
      </c>
      <c r="M1867" s="1325">
        <f t="shared" si="3866"/>
        <v>3763.5</v>
      </c>
      <c r="N1867" s="348">
        <f ca="1">IF(OR(E1867="",E1867&gt;TODAY()),0,IF(ISERROR(VLOOKUP($E1867,'TRM BanRep'!$A:$G,7,0)),0,VLOOKUP($E1867,'TRM BanRep'!$A:$G,7,0)))</f>
        <v>4755.59</v>
      </c>
      <c r="O1867" s="897">
        <f t="shared" ca="1" si="3867"/>
        <v>17897662.965</v>
      </c>
      <c r="P1867" s="1017"/>
      <c r="Q1867" s="1362">
        <f t="shared" si="3868"/>
        <v>0</v>
      </c>
      <c r="R1867" s="349"/>
      <c r="S1867" s="349"/>
      <c r="T1867" s="895">
        <f t="shared" si="3869"/>
        <v>0</v>
      </c>
      <c r="U1867" s="350">
        <f t="shared" si="3870"/>
        <v>3763.5</v>
      </c>
      <c r="V1867" s="918">
        <f t="shared" ca="1" si="3871"/>
        <v>17897662.965</v>
      </c>
      <c r="W1867" s="351">
        <f t="shared" si="3872"/>
        <v>0</v>
      </c>
      <c r="X1867" s="919">
        <f t="shared" si="3873"/>
        <v>0</v>
      </c>
      <c r="Y1867" s="1018"/>
      <c r="Z1867" s="220"/>
      <c r="AA1867" s="15"/>
      <c r="AB1867" s="15"/>
      <c r="AC1867" s="15"/>
      <c r="AD1867" s="15"/>
      <c r="AE1867" s="15"/>
    </row>
    <row r="1868" spans="1:31" s="401" customFormat="1" outlineLevel="1">
      <c r="A1868" s="1011">
        <v>2401012000</v>
      </c>
      <c r="B1868" s="1012"/>
      <c r="C1868" s="1013" t="s">
        <v>64</v>
      </c>
      <c r="D1868" s="1013">
        <v>2000003022</v>
      </c>
      <c r="E1868" s="1014">
        <v>45026</v>
      </c>
      <c r="F1868" s="1015"/>
      <c r="G1868" s="1293"/>
      <c r="H1868" s="346"/>
      <c r="I1868" s="1016"/>
      <c r="J1868" s="1457">
        <v>1</v>
      </c>
      <c r="K1868" s="1458">
        <v>1</v>
      </c>
      <c r="L1868" s="1036"/>
      <c r="M1868" s="1325">
        <f t="shared" si="3866"/>
        <v>0</v>
      </c>
      <c r="N1868" s="348">
        <f ca="1">IF(OR(E1868="",E1868&gt;TODAY()),0,IF(ISERROR(VLOOKUP($E1868,'TRM BanRep'!$A:$G,7,0)),0,VLOOKUP($E1868,'TRM BanRep'!$A:$G,7,0)))</f>
        <v>4570.91</v>
      </c>
      <c r="O1868" s="897">
        <f t="shared" ca="1" si="3867"/>
        <v>0</v>
      </c>
      <c r="P1868" s="1017">
        <f>-L1867</f>
        <v>-3763.5</v>
      </c>
      <c r="Q1868" s="1362">
        <f t="shared" si="3868"/>
        <v>-3763.5</v>
      </c>
      <c r="R1868" s="349">
        <f ca="1">+N1867</f>
        <v>4755.59</v>
      </c>
      <c r="S1868" s="349">
        <f ca="1">IF(OR(E1868="",E1868&gt;TODAY()),0,IF(ISERROR(VLOOKUP($E1868,'TRM BanRep'!$A:$G,7,0)),0,VLOOKUP($E1868,'TRM BanRep'!$A:$G,7,0)))</f>
        <v>4570.91</v>
      </c>
      <c r="T1868" s="895">
        <f t="shared" ca="1" si="3869"/>
        <v>-17202619.785</v>
      </c>
      <c r="U1868" s="350">
        <f t="shared" si="3870"/>
        <v>-3763.5</v>
      </c>
      <c r="V1868" s="918">
        <f t="shared" ca="1" si="3871"/>
        <v>-17897662.965</v>
      </c>
      <c r="W1868" s="351">
        <f t="shared" ca="1" si="3872"/>
        <v>0</v>
      </c>
      <c r="X1868" s="919">
        <f t="shared" ca="1" si="3873"/>
        <v>-695043.1799999997</v>
      </c>
      <c r="Y1868" s="1018"/>
      <c r="Z1868" s="220"/>
      <c r="AA1868" s="15"/>
      <c r="AB1868" s="15"/>
      <c r="AC1868" s="15"/>
      <c r="AD1868" s="15"/>
      <c r="AE1868" s="15"/>
    </row>
    <row r="1869" spans="1:31" s="401" customFormat="1" outlineLevel="1">
      <c r="A1869" s="1011">
        <v>2401012000</v>
      </c>
      <c r="B1869" s="1012" t="s">
        <v>2417</v>
      </c>
      <c r="C1869" s="1013" t="s">
        <v>64</v>
      </c>
      <c r="D1869" s="1013">
        <v>5100001940</v>
      </c>
      <c r="E1869" s="1014">
        <v>44999</v>
      </c>
      <c r="F1869" s="1015"/>
      <c r="G1869" s="1293"/>
      <c r="H1869" s="346"/>
      <c r="I1869" s="1016"/>
      <c r="J1869" s="1457">
        <v>1</v>
      </c>
      <c r="K1869" s="1458">
        <v>1</v>
      </c>
      <c r="L1869" s="1036">
        <v>21689.85</v>
      </c>
      <c r="M1869" s="1325">
        <f t="shared" si="3866"/>
        <v>21689.85</v>
      </c>
      <c r="N1869" s="348">
        <f ca="1">IF(OR(E1869="",E1869&gt;TODAY()),0,IF(ISERROR(VLOOKUP($E1869,'TRM BanRep'!$A:$G,7,0)),0,VLOOKUP($E1869,'TRM BanRep'!$A:$G,7,0)))</f>
        <v>4769.76</v>
      </c>
      <c r="O1869" s="897">
        <f t="shared" ca="1" si="3867"/>
        <v>103455378.936</v>
      </c>
      <c r="P1869" s="1017"/>
      <c r="Q1869" s="1362">
        <f t="shared" si="3868"/>
        <v>0</v>
      </c>
      <c r="R1869" s="349"/>
      <c r="S1869" s="349"/>
      <c r="T1869" s="895">
        <f t="shared" si="3869"/>
        <v>0</v>
      </c>
      <c r="U1869" s="350">
        <f t="shared" si="3870"/>
        <v>21689.85</v>
      </c>
      <c r="V1869" s="918">
        <f t="shared" ca="1" si="3871"/>
        <v>103455378.936</v>
      </c>
      <c r="W1869" s="351">
        <f t="shared" si="3872"/>
        <v>0</v>
      </c>
      <c r="X1869" s="919">
        <f t="shared" si="3873"/>
        <v>0</v>
      </c>
      <c r="Y1869" s="1018"/>
      <c r="Z1869" s="220"/>
      <c r="AA1869" s="15"/>
      <c r="AB1869" s="15"/>
      <c r="AC1869" s="15"/>
      <c r="AD1869" s="15"/>
      <c r="AE1869" s="15"/>
    </row>
    <row r="1870" spans="1:31" s="401" customFormat="1" outlineLevel="1">
      <c r="A1870" s="1011">
        <v>2401012000</v>
      </c>
      <c r="B1870" s="1012"/>
      <c r="C1870" s="1013" t="s">
        <v>64</v>
      </c>
      <c r="D1870" s="1013">
        <v>2000003315</v>
      </c>
      <c r="E1870" s="1014">
        <v>45029</v>
      </c>
      <c r="F1870" s="1015"/>
      <c r="G1870" s="1293"/>
      <c r="H1870" s="346"/>
      <c r="I1870" s="1016"/>
      <c r="J1870" s="1457">
        <v>1</v>
      </c>
      <c r="K1870" s="1458">
        <v>1</v>
      </c>
      <c r="L1870" s="1036"/>
      <c r="M1870" s="1325">
        <f t="shared" ref="M1870" si="3874">+L1870*J1870</f>
        <v>0</v>
      </c>
      <c r="N1870" s="348">
        <f ca="1">IF(OR(E1870="",E1870&gt;TODAY()),0,IF(ISERROR(VLOOKUP($E1870,'TRM BanRep'!$A:$G,7,0)),0,VLOOKUP($E1870,'TRM BanRep'!$A:$G,7,0)))</f>
        <v>4458.87</v>
      </c>
      <c r="O1870" s="897">
        <f t="shared" ref="O1870" ca="1" si="3875">+L1870*J1870*N1870</f>
        <v>0</v>
      </c>
      <c r="P1870" s="1017">
        <f>-L1869</f>
        <v>-21689.85</v>
      </c>
      <c r="Q1870" s="1362">
        <f t="shared" ref="Q1870" si="3876">+P1870*K1870</f>
        <v>-21689.85</v>
      </c>
      <c r="R1870" s="349">
        <f ca="1">+N1869</f>
        <v>4769.76</v>
      </c>
      <c r="S1870" s="349">
        <f ca="1">IF(OR(E1870="",E1870&gt;TODAY()),0,IF(ISERROR(VLOOKUP($E1870,'TRM BanRep'!$A:$G,7,0)),0,VLOOKUP($E1870,'TRM BanRep'!$A:$G,7,0)))</f>
        <v>4458.87</v>
      </c>
      <c r="T1870" s="895">
        <f t="shared" ref="T1870" ca="1" si="3877">+P1870*K1870*S1870</f>
        <v>-96712221.46949999</v>
      </c>
      <c r="U1870" s="350">
        <f t="shared" ref="U1870" si="3878">+L1870+P1870+F1870</f>
        <v>-21689.85</v>
      </c>
      <c r="V1870" s="918">
        <f t="shared" ref="V1870" ca="1" si="3879">+P1870*J1870*R1870+L1870*J1870*N1870+F1870*J1870*H1870</f>
        <v>-103455378.936</v>
      </c>
      <c r="W1870" s="351">
        <f t="shared" ref="W1870" ca="1" si="3880">-(IF(-P1870*J1870*R1870&lt;-P1870*K1870*S1870,(-P1870*J1870*R1870)-(-P1870*K1870*S1870),0))</f>
        <v>0</v>
      </c>
      <c r="X1870" s="919">
        <f t="shared" ref="X1870" ca="1" si="3881">-(IF(-P1870*J1870*R1870&gt;-P1870*K1870*S1870,(-P1870*J1870*R1870)-(-P1870*K1870*S1870),0))</f>
        <v>-6743157.4665000141</v>
      </c>
      <c r="Y1870" s="1018"/>
      <c r="Z1870" s="220"/>
      <c r="AA1870" s="15"/>
      <c r="AB1870" s="15"/>
      <c r="AC1870" s="15"/>
      <c r="AD1870" s="15"/>
      <c r="AE1870" s="15"/>
    </row>
    <row r="1871" spans="1:31" s="401" customFormat="1" outlineLevel="1">
      <c r="A1871" s="1011">
        <v>2401012000</v>
      </c>
      <c r="B1871" s="1012" t="s">
        <v>2418</v>
      </c>
      <c r="C1871" s="1013" t="s">
        <v>64</v>
      </c>
      <c r="D1871" s="1013">
        <v>5100002097</v>
      </c>
      <c r="E1871" s="1014">
        <v>45006</v>
      </c>
      <c r="F1871" s="1015"/>
      <c r="G1871" s="1293"/>
      <c r="H1871" s="346"/>
      <c r="I1871" s="1016"/>
      <c r="J1871" s="1457">
        <v>1</v>
      </c>
      <c r="K1871" s="1458">
        <v>1</v>
      </c>
      <c r="L1871" s="1036">
        <v>2401.5700000000002</v>
      </c>
      <c r="M1871" s="1325">
        <f t="shared" si="3866"/>
        <v>2401.5700000000002</v>
      </c>
      <c r="N1871" s="348">
        <f ca="1">IF(OR(E1871="",E1871&gt;TODAY()),0,IF(ISERROR(VLOOKUP($E1871,'TRM BanRep'!$A:$G,7,0)),0,VLOOKUP($E1871,'TRM BanRep'!$A:$G,7,0)))</f>
        <v>4824.25</v>
      </c>
      <c r="O1871" s="897">
        <f t="shared" ca="1" si="3867"/>
        <v>11585774.072500002</v>
      </c>
      <c r="P1871" s="1017"/>
      <c r="Q1871" s="1362">
        <f t="shared" si="3868"/>
        <v>0</v>
      </c>
      <c r="R1871" s="349"/>
      <c r="S1871" s="349"/>
      <c r="T1871" s="895">
        <f t="shared" si="3869"/>
        <v>0</v>
      </c>
      <c r="U1871" s="350">
        <f t="shared" si="3870"/>
        <v>2401.5700000000002</v>
      </c>
      <c r="V1871" s="918">
        <f t="shared" ca="1" si="3871"/>
        <v>11585774.072500002</v>
      </c>
      <c r="W1871" s="351">
        <f t="shared" si="3872"/>
        <v>0</v>
      </c>
      <c r="X1871" s="919">
        <f t="shared" si="3873"/>
        <v>0</v>
      </c>
      <c r="Y1871" s="1018"/>
      <c r="Z1871" s="220"/>
      <c r="AA1871" s="15"/>
      <c r="AB1871" s="15"/>
      <c r="AC1871" s="15"/>
      <c r="AD1871" s="15"/>
      <c r="AE1871" s="15"/>
    </row>
    <row r="1872" spans="1:31" s="401" customFormat="1" outlineLevel="1">
      <c r="A1872" s="1011">
        <v>2401012000</v>
      </c>
      <c r="B1872" s="1012"/>
      <c r="C1872" s="1013" t="s">
        <v>64</v>
      </c>
      <c r="D1872" s="1013">
        <v>2000003488</v>
      </c>
      <c r="E1872" s="1014">
        <v>45036</v>
      </c>
      <c r="F1872" s="1015"/>
      <c r="G1872" s="1293"/>
      <c r="H1872" s="346"/>
      <c r="I1872" s="1016"/>
      <c r="J1872" s="1457">
        <v>1</v>
      </c>
      <c r="K1872" s="1458">
        <v>1</v>
      </c>
      <c r="L1872" s="1036"/>
      <c r="M1872" s="1325">
        <f t="shared" si="3866"/>
        <v>0</v>
      </c>
      <c r="N1872" s="348">
        <f ca="1">IF(OR(E1872="",E1872&gt;TODAY()),0,IF(ISERROR(VLOOKUP($E1872,'TRM BanRep'!$A:$G,7,0)),0,VLOOKUP($E1872,'TRM BanRep'!$A:$G,7,0)))</f>
        <v>4532.43</v>
      </c>
      <c r="O1872" s="897">
        <f t="shared" ca="1" si="3867"/>
        <v>0</v>
      </c>
      <c r="P1872" s="1017">
        <f>-L1871</f>
        <v>-2401.5700000000002</v>
      </c>
      <c r="Q1872" s="1362">
        <f t="shared" si="3868"/>
        <v>-2401.5700000000002</v>
      </c>
      <c r="R1872" s="349">
        <f ca="1">+N1871</f>
        <v>4824.25</v>
      </c>
      <c r="S1872" s="349">
        <f ca="1">IF(OR(E1872="",E1872&gt;TODAY()),0,IF(ISERROR(VLOOKUP($E1872,'TRM BanRep'!$A:$G,7,0)),0,VLOOKUP($E1872,'TRM BanRep'!$A:$G,7,0)))</f>
        <v>4532.43</v>
      </c>
      <c r="T1872" s="895">
        <f t="shared" ca="1" si="3869"/>
        <v>-10884947.915100001</v>
      </c>
      <c r="U1872" s="350">
        <f t="shared" si="3870"/>
        <v>-2401.5700000000002</v>
      </c>
      <c r="V1872" s="918">
        <f t="shared" ca="1" si="3871"/>
        <v>-11585774.072500002</v>
      </c>
      <c r="W1872" s="351">
        <f t="shared" ca="1" si="3872"/>
        <v>0</v>
      </c>
      <c r="X1872" s="919">
        <f t="shared" ca="1" si="3873"/>
        <v>-700826.15740000084</v>
      </c>
      <c r="Y1872" s="1018"/>
      <c r="Z1872" s="220"/>
      <c r="AA1872" s="15"/>
      <c r="AB1872" s="15"/>
      <c r="AC1872" s="15"/>
      <c r="AD1872" s="15"/>
      <c r="AE1872" s="15"/>
    </row>
    <row r="1873" spans="1:31" s="401" customFormat="1" outlineLevel="1">
      <c r="A1873" s="1011">
        <v>2401012000</v>
      </c>
      <c r="B1873" s="1012" t="s">
        <v>2419</v>
      </c>
      <c r="C1873" s="1013" t="s">
        <v>64</v>
      </c>
      <c r="D1873" s="1013">
        <v>5100002120</v>
      </c>
      <c r="E1873" s="1014">
        <v>44999</v>
      </c>
      <c r="F1873" s="1015"/>
      <c r="G1873" s="1293"/>
      <c r="H1873" s="346"/>
      <c r="I1873" s="1016"/>
      <c r="J1873" s="1457">
        <v>1</v>
      </c>
      <c r="K1873" s="1458">
        <v>1</v>
      </c>
      <c r="L1873" s="1036">
        <v>282834.90999999997</v>
      </c>
      <c r="M1873" s="1325">
        <f t="shared" si="3866"/>
        <v>282834.90999999997</v>
      </c>
      <c r="N1873" s="348">
        <f ca="1">IF(OR(E1873="",E1873&gt;TODAY()),0,IF(ISERROR(VLOOKUP($E1873,'TRM BanRep'!$A:$G,7,0)),0,VLOOKUP($E1873,'TRM BanRep'!$A:$G,7,0)))</f>
        <v>4769.76</v>
      </c>
      <c r="O1873" s="897">
        <f t="shared" ca="1" si="3867"/>
        <v>1349054640.3216</v>
      </c>
      <c r="P1873" s="1017"/>
      <c r="Q1873" s="1362">
        <f t="shared" si="3868"/>
        <v>0</v>
      </c>
      <c r="R1873" s="349"/>
      <c r="S1873" s="349"/>
      <c r="T1873" s="895">
        <f t="shared" si="3869"/>
        <v>0</v>
      </c>
      <c r="U1873" s="350">
        <f t="shared" si="3870"/>
        <v>282834.90999999997</v>
      </c>
      <c r="V1873" s="918">
        <f t="shared" ca="1" si="3871"/>
        <v>1349054640.3216</v>
      </c>
      <c r="W1873" s="351">
        <f t="shared" si="3872"/>
        <v>0</v>
      </c>
      <c r="X1873" s="919">
        <f t="shared" si="3873"/>
        <v>0</v>
      </c>
      <c r="Y1873" s="1018"/>
      <c r="Z1873" s="220"/>
      <c r="AA1873" s="15"/>
      <c r="AB1873" s="15"/>
      <c r="AC1873" s="15"/>
      <c r="AD1873" s="15"/>
      <c r="AE1873" s="15"/>
    </row>
    <row r="1874" spans="1:31" s="401" customFormat="1" outlineLevel="1">
      <c r="A1874" s="1011">
        <v>2401012000</v>
      </c>
      <c r="B1874" s="1012"/>
      <c r="C1874" s="1013" t="s">
        <v>64</v>
      </c>
      <c r="D1874" s="1013">
        <v>2000003308</v>
      </c>
      <c r="E1874" s="1014">
        <v>45029</v>
      </c>
      <c r="F1874" s="1015"/>
      <c r="G1874" s="1293"/>
      <c r="H1874" s="346"/>
      <c r="I1874" s="1016"/>
      <c r="J1874" s="1457">
        <v>1</v>
      </c>
      <c r="K1874" s="1458">
        <v>1</v>
      </c>
      <c r="L1874" s="1036"/>
      <c r="M1874" s="1325">
        <f t="shared" ref="M1874" si="3882">+L1874*J1874</f>
        <v>0</v>
      </c>
      <c r="N1874" s="348">
        <f ca="1">IF(OR(E1874="",E1874&gt;TODAY()),0,IF(ISERROR(VLOOKUP($E1874,'TRM BanRep'!$A:$G,7,0)),0,VLOOKUP($E1874,'TRM BanRep'!$A:$G,7,0)))</f>
        <v>4458.87</v>
      </c>
      <c r="O1874" s="897">
        <f t="shared" ref="O1874" ca="1" si="3883">+L1874*J1874*N1874</f>
        <v>0</v>
      </c>
      <c r="P1874" s="1017">
        <f>-L1873</f>
        <v>-282834.90999999997</v>
      </c>
      <c r="Q1874" s="1362">
        <f t="shared" ref="Q1874" si="3884">+P1874*K1874</f>
        <v>-282834.90999999997</v>
      </c>
      <c r="R1874" s="349">
        <f ca="1">+N1873</f>
        <v>4769.76</v>
      </c>
      <c r="S1874" s="349">
        <f ca="1">IF(OR(E1874="",E1874&gt;TODAY()),0,IF(ISERROR(VLOOKUP($E1874,'TRM BanRep'!$A:$G,7,0)),0,VLOOKUP($E1874,'TRM BanRep'!$A:$G,7,0)))</f>
        <v>4458.87</v>
      </c>
      <c r="T1874" s="895">
        <f t="shared" ref="T1874" ca="1" si="3885">+P1874*K1874*S1874</f>
        <v>-1261124095.1516998</v>
      </c>
      <c r="U1874" s="350">
        <f t="shared" ref="U1874" si="3886">+L1874+P1874+F1874</f>
        <v>-282834.90999999997</v>
      </c>
      <c r="V1874" s="918">
        <f t="shared" ref="V1874" ca="1" si="3887">+P1874*J1874*R1874+L1874*J1874*N1874+F1874*J1874*H1874</f>
        <v>-1349054640.3216</v>
      </c>
      <c r="W1874" s="351">
        <f t="shared" ref="W1874" ca="1" si="3888">-(IF(-P1874*J1874*R1874&lt;-P1874*K1874*S1874,(-P1874*J1874*R1874)-(-P1874*K1874*S1874),0))</f>
        <v>0</v>
      </c>
      <c r="X1874" s="919">
        <f t="shared" ref="X1874" ca="1" si="3889">-(IF(-P1874*J1874*R1874&gt;-P1874*K1874*S1874,(-P1874*J1874*R1874)-(-P1874*K1874*S1874),0))</f>
        <v>-87930545.169900179</v>
      </c>
      <c r="Y1874" s="1018"/>
      <c r="Z1874" s="220"/>
      <c r="AA1874" s="15"/>
      <c r="AB1874" s="15"/>
      <c r="AC1874" s="15"/>
      <c r="AD1874" s="15"/>
      <c r="AE1874" s="15"/>
    </row>
    <row r="1875" spans="1:31" s="401" customFormat="1" outlineLevel="1">
      <c r="A1875" s="1011">
        <v>2401012000</v>
      </c>
      <c r="B1875" s="1012" t="s">
        <v>2420</v>
      </c>
      <c r="C1875" s="1013" t="s">
        <v>64</v>
      </c>
      <c r="D1875" s="1013">
        <v>5100002276</v>
      </c>
      <c r="E1875" s="1014">
        <v>45009</v>
      </c>
      <c r="F1875" s="1015"/>
      <c r="G1875" s="1293"/>
      <c r="H1875" s="346"/>
      <c r="I1875" s="1016"/>
      <c r="J1875" s="1457">
        <v>1</v>
      </c>
      <c r="K1875" s="1458">
        <v>1</v>
      </c>
      <c r="L1875" s="1036">
        <v>808.61</v>
      </c>
      <c r="M1875" s="1325">
        <f t="shared" si="3866"/>
        <v>808.61</v>
      </c>
      <c r="N1875" s="348">
        <f ca="1">IF(OR(E1875="",E1875&gt;TODAY()),0,IF(ISERROR(VLOOKUP($E1875,'TRM BanRep'!$A:$G,7,0)),0,VLOOKUP($E1875,'TRM BanRep'!$A:$G,7,0)))</f>
        <v>4755.12</v>
      </c>
      <c r="O1875" s="897">
        <f t="shared" ca="1" si="3867"/>
        <v>3845037.5831999998</v>
      </c>
      <c r="P1875" s="1017"/>
      <c r="Q1875" s="1362">
        <f t="shared" si="3868"/>
        <v>0</v>
      </c>
      <c r="R1875" s="349"/>
      <c r="S1875" s="349"/>
      <c r="T1875" s="895">
        <f t="shared" si="3869"/>
        <v>0</v>
      </c>
      <c r="U1875" s="350">
        <f t="shared" si="3870"/>
        <v>808.61</v>
      </c>
      <c r="V1875" s="918">
        <f t="shared" ca="1" si="3871"/>
        <v>3845037.5831999998</v>
      </c>
      <c r="W1875" s="351">
        <f t="shared" si="3872"/>
        <v>0</v>
      </c>
      <c r="X1875" s="919">
        <f t="shared" si="3873"/>
        <v>0</v>
      </c>
      <c r="Y1875" s="1018"/>
      <c r="Z1875" s="220"/>
      <c r="AA1875" s="15"/>
      <c r="AB1875" s="15"/>
      <c r="AC1875" s="15"/>
      <c r="AD1875" s="15"/>
      <c r="AE1875" s="15"/>
    </row>
    <row r="1876" spans="1:31" s="401" customFormat="1" outlineLevel="1">
      <c r="A1876" s="1011">
        <v>2401012000</v>
      </c>
      <c r="B1876" s="1012"/>
      <c r="C1876" s="1013" t="s">
        <v>64</v>
      </c>
      <c r="D1876" s="1013">
        <v>2000003569</v>
      </c>
      <c r="E1876" s="1014">
        <v>45040</v>
      </c>
      <c r="F1876" s="1015"/>
      <c r="G1876" s="1293"/>
      <c r="H1876" s="346"/>
      <c r="I1876" s="1016"/>
      <c r="J1876" s="1457">
        <v>1</v>
      </c>
      <c r="K1876" s="1458">
        <v>1</v>
      </c>
      <c r="L1876" s="1036"/>
      <c r="M1876" s="1325">
        <f t="shared" si="3866"/>
        <v>0</v>
      </c>
      <c r="N1876" s="348">
        <f ca="1">IF(OR(E1876="",E1876&gt;TODAY()),0,IF(ISERROR(VLOOKUP($E1876,'TRM BanRep'!$A:$G,7,0)),0,VLOOKUP($E1876,'TRM BanRep'!$A:$G,7,0)))</f>
        <v>4523.6400000000003</v>
      </c>
      <c r="O1876" s="897">
        <f t="shared" ca="1" si="3867"/>
        <v>0</v>
      </c>
      <c r="P1876" s="1017">
        <f>-L1875</f>
        <v>-808.61</v>
      </c>
      <c r="Q1876" s="1362">
        <f t="shared" si="3868"/>
        <v>-808.61</v>
      </c>
      <c r="R1876" s="349">
        <f ca="1">+N1875</f>
        <v>4755.12</v>
      </c>
      <c r="S1876" s="349">
        <f ca="1">IF(OR(E1876="",E1876&gt;TODAY()),0,IF(ISERROR(VLOOKUP($E1876,'TRM BanRep'!$A:$G,7,0)),0,VLOOKUP($E1876,'TRM BanRep'!$A:$G,7,0)))</f>
        <v>4523.6400000000003</v>
      </c>
      <c r="T1876" s="895">
        <f t="shared" ca="1" si="3869"/>
        <v>-3657860.5404000003</v>
      </c>
      <c r="U1876" s="350">
        <f t="shared" si="3870"/>
        <v>-808.61</v>
      </c>
      <c r="V1876" s="918">
        <f t="shared" ca="1" si="3871"/>
        <v>-3845037.5831999998</v>
      </c>
      <c r="W1876" s="351">
        <f t="shared" ca="1" si="3872"/>
        <v>0</v>
      </c>
      <c r="X1876" s="919">
        <f t="shared" ca="1" si="3873"/>
        <v>-187177.04279999947</v>
      </c>
      <c r="Y1876" s="1018"/>
      <c r="Z1876" s="220"/>
      <c r="AA1876" s="15"/>
      <c r="AB1876" s="15"/>
      <c r="AC1876" s="15"/>
      <c r="AD1876" s="15"/>
      <c r="AE1876" s="15"/>
    </row>
    <row r="1877" spans="1:31" s="401" customFormat="1" outlineLevel="1">
      <c r="A1877" s="1011">
        <v>2401012000</v>
      </c>
      <c r="B1877" s="1012" t="s">
        <v>1499</v>
      </c>
      <c r="C1877" s="1013" t="s">
        <v>64</v>
      </c>
      <c r="D1877" s="1013">
        <v>5100002297</v>
      </c>
      <c r="E1877" s="1014">
        <v>44995</v>
      </c>
      <c r="F1877" s="1015"/>
      <c r="G1877" s="1293"/>
      <c r="H1877" s="346"/>
      <c r="I1877" s="1016"/>
      <c r="J1877" s="1457">
        <v>1</v>
      </c>
      <c r="K1877" s="1458">
        <v>1</v>
      </c>
      <c r="L1877" s="1036">
        <v>20130.57</v>
      </c>
      <c r="M1877" s="1325">
        <f t="shared" si="3866"/>
        <v>20130.57</v>
      </c>
      <c r="N1877" s="348">
        <f ca="1">IF(OR(E1877="",E1877&gt;TODAY()),0,IF(ISERROR(VLOOKUP($E1877,'TRM BanRep'!$A:$G,7,0)),0,VLOOKUP($E1877,'TRM BanRep'!$A:$G,7,0)))</f>
        <v>4748.6099999999997</v>
      </c>
      <c r="O1877" s="897">
        <f t="shared" ca="1" si="3867"/>
        <v>95592226.007699996</v>
      </c>
      <c r="P1877" s="1017"/>
      <c r="Q1877" s="1362">
        <f t="shared" si="3868"/>
        <v>0</v>
      </c>
      <c r="R1877" s="349"/>
      <c r="S1877" s="349"/>
      <c r="T1877" s="895">
        <f t="shared" si="3869"/>
        <v>0</v>
      </c>
      <c r="U1877" s="350">
        <f t="shared" si="3870"/>
        <v>20130.57</v>
      </c>
      <c r="V1877" s="918">
        <f t="shared" ca="1" si="3871"/>
        <v>95592226.007699996</v>
      </c>
      <c r="W1877" s="351">
        <f t="shared" si="3872"/>
        <v>0</v>
      </c>
      <c r="X1877" s="919">
        <f t="shared" si="3873"/>
        <v>0</v>
      </c>
      <c r="Y1877" s="1018"/>
      <c r="Z1877" s="220"/>
      <c r="AA1877" s="15"/>
      <c r="AB1877" s="15"/>
      <c r="AC1877" s="15"/>
      <c r="AD1877" s="15"/>
      <c r="AE1877" s="15"/>
    </row>
    <row r="1878" spans="1:31" s="401" customFormat="1" outlineLevel="1">
      <c r="A1878" s="1011">
        <v>2401012000</v>
      </c>
      <c r="B1878" s="1012"/>
      <c r="C1878" s="1013" t="s">
        <v>64</v>
      </c>
      <c r="D1878" s="1013">
        <v>2000003078</v>
      </c>
      <c r="E1878" s="1014">
        <v>45028</v>
      </c>
      <c r="F1878" s="1015"/>
      <c r="G1878" s="1293"/>
      <c r="H1878" s="346"/>
      <c r="I1878" s="1016"/>
      <c r="J1878" s="1457">
        <v>1</v>
      </c>
      <c r="K1878" s="1458">
        <v>1</v>
      </c>
      <c r="L1878" s="1036"/>
      <c r="M1878" s="1325">
        <f t="shared" ref="M1878" si="3890">+L1878*J1878</f>
        <v>0</v>
      </c>
      <c r="N1878" s="348">
        <f ca="1">IF(OR(E1878="",E1878&gt;TODAY()),0,IF(ISERROR(VLOOKUP($E1878,'TRM BanRep'!$A:$G,7,0)),0,VLOOKUP($E1878,'TRM BanRep'!$A:$G,7,0)))</f>
        <v>4516.76</v>
      </c>
      <c r="O1878" s="897">
        <f t="shared" ref="O1878" ca="1" si="3891">+L1878*J1878*N1878</f>
        <v>0</v>
      </c>
      <c r="P1878" s="1017">
        <f>-L1877</f>
        <v>-20130.57</v>
      </c>
      <c r="Q1878" s="1362">
        <f t="shared" ref="Q1878" si="3892">+P1878*K1878</f>
        <v>-20130.57</v>
      </c>
      <c r="R1878" s="349">
        <f ca="1">+N1877</f>
        <v>4748.6099999999997</v>
      </c>
      <c r="S1878" s="349">
        <f ca="1">IF(OR(E1878="",E1878&gt;TODAY()),0,IF(ISERROR(VLOOKUP($E1878,'TRM BanRep'!$A:$G,7,0)),0,VLOOKUP($E1878,'TRM BanRep'!$A:$G,7,0)))</f>
        <v>4516.76</v>
      </c>
      <c r="T1878" s="895">
        <f t="shared" ref="T1878" ca="1" si="3893">+P1878*K1878*S1878</f>
        <v>-90924953.353200004</v>
      </c>
      <c r="U1878" s="350">
        <f t="shared" ref="U1878" si="3894">+L1878+P1878+F1878</f>
        <v>-20130.57</v>
      </c>
      <c r="V1878" s="918">
        <f t="shared" ref="V1878" ca="1" si="3895">+P1878*J1878*R1878+L1878*J1878*N1878+F1878*J1878*H1878</f>
        <v>-95592226.007699996</v>
      </c>
      <c r="W1878" s="351">
        <f t="shared" ref="W1878" ca="1" si="3896">-(IF(-P1878*J1878*R1878&lt;-P1878*K1878*S1878,(-P1878*J1878*R1878)-(-P1878*K1878*S1878),0))</f>
        <v>0</v>
      </c>
      <c r="X1878" s="919">
        <f t="shared" ref="X1878" ca="1" si="3897">-(IF(-P1878*J1878*R1878&gt;-P1878*K1878*S1878,(-P1878*J1878*R1878)-(-P1878*K1878*S1878),0))</f>
        <v>-4667272.6544999927</v>
      </c>
      <c r="Y1878" s="1018"/>
      <c r="Z1878" s="220"/>
      <c r="AA1878" s="15"/>
      <c r="AB1878" s="15"/>
      <c r="AC1878" s="15"/>
      <c r="AD1878" s="15"/>
      <c r="AE1878" s="15"/>
    </row>
    <row r="1879" spans="1:31" s="401" customFormat="1" outlineLevel="1">
      <c r="A1879" s="1011">
        <v>2401012000</v>
      </c>
      <c r="B1879" s="1012" t="s">
        <v>1499</v>
      </c>
      <c r="C1879" s="1013" t="s">
        <v>64</v>
      </c>
      <c r="D1879" s="1013">
        <v>5100002299</v>
      </c>
      <c r="E1879" s="1014">
        <v>44998</v>
      </c>
      <c r="F1879" s="1015"/>
      <c r="G1879" s="1293"/>
      <c r="H1879" s="346"/>
      <c r="I1879" s="1016"/>
      <c r="J1879" s="1457">
        <v>1</v>
      </c>
      <c r="K1879" s="1458">
        <v>1</v>
      </c>
      <c r="L1879" s="1036">
        <v>18750.68</v>
      </c>
      <c r="M1879" s="1325">
        <f t="shared" si="3866"/>
        <v>18750.68</v>
      </c>
      <c r="N1879" s="348">
        <f ca="1">IF(OR(E1879="",E1879&gt;TODAY()),0,IF(ISERROR(VLOOKUP($E1879,'TRM BanRep'!$A:$G,7,0)),0,VLOOKUP($E1879,'TRM BanRep'!$A:$G,7,0)))</f>
        <v>4748.1400000000003</v>
      </c>
      <c r="O1879" s="897">
        <f t="shared" ca="1" si="3867"/>
        <v>89030853.735200003</v>
      </c>
      <c r="P1879" s="1017"/>
      <c r="Q1879" s="1362">
        <f t="shared" si="3868"/>
        <v>0</v>
      </c>
      <c r="R1879" s="349"/>
      <c r="S1879" s="349"/>
      <c r="T1879" s="895">
        <f t="shared" si="3869"/>
        <v>0</v>
      </c>
      <c r="U1879" s="350">
        <f t="shared" si="3870"/>
        <v>18750.68</v>
      </c>
      <c r="V1879" s="918">
        <f t="shared" ca="1" si="3871"/>
        <v>89030853.735200003</v>
      </c>
      <c r="W1879" s="351">
        <f t="shared" si="3872"/>
        <v>0</v>
      </c>
      <c r="X1879" s="919">
        <f t="shared" si="3873"/>
        <v>0</v>
      </c>
      <c r="Y1879" s="1018"/>
      <c r="Z1879" s="220"/>
      <c r="AA1879" s="15"/>
      <c r="AB1879" s="15"/>
      <c r="AC1879" s="15"/>
      <c r="AD1879" s="15"/>
      <c r="AE1879" s="15"/>
    </row>
    <row r="1880" spans="1:31" s="401" customFormat="1" outlineLevel="1">
      <c r="A1880" s="1011">
        <v>2401012000</v>
      </c>
      <c r="B1880" s="1012"/>
      <c r="C1880" s="1013" t="s">
        <v>64</v>
      </c>
      <c r="D1880" s="1013">
        <v>2000003078</v>
      </c>
      <c r="E1880" s="1014">
        <v>45028</v>
      </c>
      <c r="F1880" s="1015"/>
      <c r="G1880" s="1293"/>
      <c r="H1880" s="346"/>
      <c r="I1880" s="1016"/>
      <c r="J1880" s="1457">
        <v>1</v>
      </c>
      <c r="K1880" s="1458">
        <v>1</v>
      </c>
      <c r="L1880" s="1036"/>
      <c r="M1880" s="1325">
        <f t="shared" si="3866"/>
        <v>0</v>
      </c>
      <c r="N1880" s="348">
        <f ca="1">IF(OR(E1880="",E1880&gt;TODAY()),0,IF(ISERROR(VLOOKUP($E1880,'TRM BanRep'!$A:$G,7,0)),0,VLOOKUP($E1880,'TRM BanRep'!$A:$G,7,0)))</f>
        <v>4516.76</v>
      </c>
      <c r="O1880" s="897">
        <f t="shared" ca="1" si="3867"/>
        <v>0</v>
      </c>
      <c r="P1880" s="1017">
        <f>-L1879</f>
        <v>-18750.68</v>
      </c>
      <c r="Q1880" s="1362">
        <f t="shared" si="3868"/>
        <v>-18750.68</v>
      </c>
      <c r="R1880" s="349">
        <f ca="1">+N1879</f>
        <v>4748.1400000000003</v>
      </c>
      <c r="S1880" s="349">
        <f ca="1">IF(OR(E1880="",E1880&gt;TODAY()),0,IF(ISERROR(VLOOKUP($E1880,'TRM BanRep'!$A:$G,7,0)),0,VLOOKUP($E1880,'TRM BanRep'!$A:$G,7,0)))</f>
        <v>4516.76</v>
      </c>
      <c r="T1880" s="895">
        <f t="shared" ca="1" si="3869"/>
        <v>-84692321.396800011</v>
      </c>
      <c r="U1880" s="350">
        <f t="shared" si="3870"/>
        <v>-18750.68</v>
      </c>
      <c r="V1880" s="918">
        <f t="shared" ca="1" si="3871"/>
        <v>-89030853.735200003</v>
      </c>
      <c r="W1880" s="351">
        <f t="shared" ca="1" si="3872"/>
        <v>0</v>
      </c>
      <c r="X1880" s="919">
        <f t="shared" ca="1" si="3873"/>
        <v>-4338532.3383999914</v>
      </c>
      <c r="Y1880" s="1018"/>
      <c r="Z1880" s="220"/>
      <c r="AA1880" s="15"/>
      <c r="AB1880" s="15"/>
      <c r="AC1880" s="15"/>
      <c r="AD1880" s="15"/>
      <c r="AE1880" s="15"/>
    </row>
    <row r="1881" spans="1:31" s="401" customFormat="1" outlineLevel="1">
      <c r="A1881" s="1011">
        <v>2401012000</v>
      </c>
      <c r="B1881" s="1012" t="s">
        <v>2421</v>
      </c>
      <c r="C1881" s="1013" t="s">
        <v>64</v>
      </c>
      <c r="D1881" s="1013">
        <v>5100002303</v>
      </c>
      <c r="E1881" s="1014">
        <v>44998</v>
      </c>
      <c r="F1881" s="1015"/>
      <c r="G1881" s="1293"/>
      <c r="H1881" s="346"/>
      <c r="I1881" s="1016"/>
      <c r="J1881" s="1457">
        <v>1</v>
      </c>
      <c r="K1881" s="1458">
        <v>1</v>
      </c>
      <c r="L1881" s="1036">
        <v>43290.98</v>
      </c>
      <c r="M1881" s="1325">
        <f t="shared" si="3866"/>
        <v>43290.98</v>
      </c>
      <c r="N1881" s="348">
        <f ca="1">IF(OR(E1881="",E1881&gt;TODAY()),0,IF(ISERROR(VLOOKUP($E1881,'TRM BanRep'!$A:$G,7,0)),0,VLOOKUP($E1881,'TRM BanRep'!$A:$G,7,0)))</f>
        <v>4748.1400000000003</v>
      </c>
      <c r="O1881" s="897">
        <f t="shared" ca="1" si="3867"/>
        <v>205551633.77720004</v>
      </c>
      <c r="P1881" s="1017"/>
      <c r="Q1881" s="1362">
        <f t="shared" si="3868"/>
        <v>0</v>
      </c>
      <c r="R1881" s="349"/>
      <c r="S1881" s="349"/>
      <c r="T1881" s="895">
        <f t="shared" si="3869"/>
        <v>0</v>
      </c>
      <c r="U1881" s="350">
        <f t="shared" si="3870"/>
        <v>43290.98</v>
      </c>
      <c r="V1881" s="918">
        <f t="shared" ca="1" si="3871"/>
        <v>205551633.77720004</v>
      </c>
      <c r="W1881" s="351">
        <f t="shared" si="3872"/>
        <v>0</v>
      </c>
      <c r="X1881" s="919">
        <f t="shared" si="3873"/>
        <v>0</v>
      </c>
      <c r="Y1881" s="1018"/>
      <c r="Z1881" s="220"/>
      <c r="AA1881" s="15"/>
      <c r="AB1881" s="15"/>
      <c r="AC1881" s="15"/>
      <c r="AD1881" s="15"/>
      <c r="AE1881" s="15"/>
    </row>
    <row r="1882" spans="1:31" s="401" customFormat="1" outlineLevel="1">
      <c r="A1882" s="1011">
        <v>2401012000</v>
      </c>
      <c r="B1882" s="1012"/>
      <c r="C1882" s="1013" t="s">
        <v>64</v>
      </c>
      <c r="D1882" s="1013">
        <v>2000003078</v>
      </c>
      <c r="E1882" s="1014">
        <v>45028</v>
      </c>
      <c r="F1882" s="1015"/>
      <c r="G1882" s="1293"/>
      <c r="H1882" s="346"/>
      <c r="I1882" s="1016"/>
      <c r="J1882" s="1457">
        <v>1</v>
      </c>
      <c r="K1882" s="1458">
        <v>1</v>
      </c>
      <c r="L1882" s="1036"/>
      <c r="M1882" s="1325">
        <f t="shared" ref="M1882:M1885" si="3898">+L1882*J1882</f>
        <v>0</v>
      </c>
      <c r="N1882" s="348">
        <f ca="1">IF(OR(E1882="",E1882&gt;TODAY()),0,IF(ISERROR(VLOOKUP($E1882,'TRM BanRep'!$A:$G,7,0)),0,VLOOKUP($E1882,'TRM BanRep'!$A:$G,7,0)))</f>
        <v>4516.76</v>
      </c>
      <c r="O1882" s="897">
        <f t="shared" ref="O1882:O1885" ca="1" si="3899">+L1882*J1882*N1882</f>
        <v>0</v>
      </c>
      <c r="P1882" s="1017">
        <f>-L1881</f>
        <v>-43290.98</v>
      </c>
      <c r="Q1882" s="1362">
        <f t="shared" ref="Q1882:Q1885" si="3900">+P1882*K1882</f>
        <v>-43290.98</v>
      </c>
      <c r="R1882" s="349">
        <f ca="1">+N1881</f>
        <v>4748.1400000000003</v>
      </c>
      <c r="S1882" s="349">
        <f ca="1">IF(OR(E1882="",E1882&gt;TODAY()),0,IF(ISERROR(VLOOKUP($E1882,'TRM BanRep'!$A:$G,7,0)),0,VLOOKUP($E1882,'TRM BanRep'!$A:$G,7,0)))</f>
        <v>4516.76</v>
      </c>
      <c r="T1882" s="895">
        <f t="shared" ref="T1882:T1885" ca="1" si="3901">+P1882*K1882*S1882</f>
        <v>-195534966.82480001</v>
      </c>
      <c r="U1882" s="350">
        <f t="shared" ref="U1882:U1885" si="3902">+L1882+P1882+F1882</f>
        <v>-43290.98</v>
      </c>
      <c r="V1882" s="918">
        <f t="shared" ref="V1882:V1885" ca="1" si="3903">+P1882*J1882*R1882+L1882*J1882*N1882+F1882*J1882*H1882</f>
        <v>-205551633.77720004</v>
      </c>
      <c r="W1882" s="351">
        <f t="shared" ref="W1882:W1885" ca="1" si="3904">-(IF(-P1882*J1882*R1882&lt;-P1882*K1882*S1882,(-P1882*J1882*R1882)-(-P1882*K1882*S1882),0))</f>
        <v>0</v>
      </c>
      <c r="X1882" s="919">
        <f t="shared" ref="X1882:X1885" ca="1" si="3905">-(IF(-P1882*J1882*R1882&gt;-P1882*K1882*S1882,(-P1882*J1882*R1882)-(-P1882*K1882*S1882),0))</f>
        <v>-10016666.952400029</v>
      </c>
      <c r="Y1882" s="1018"/>
      <c r="Z1882" s="220"/>
      <c r="AA1882" s="15"/>
      <c r="AB1882" s="15"/>
      <c r="AC1882" s="15"/>
      <c r="AD1882" s="15"/>
      <c r="AE1882" s="15"/>
    </row>
    <row r="1883" spans="1:31" s="401" customFormat="1" outlineLevel="1">
      <c r="A1883" s="1011">
        <v>2401012000</v>
      </c>
      <c r="B1883" s="1012" t="s">
        <v>2584</v>
      </c>
      <c r="C1883" s="1013" t="s">
        <v>64</v>
      </c>
      <c r="D1883" s="1013">
        <v>5100002913</v>
      </c>
      <c r="E1883" s="1014">
        <v>45028</v>
      </c>
      <c r="F1883" s="1015"/>
      <c r="G1883" s="1293"/>
      <c r="H1883" s="346"/>
      <c r="I1883" s="1016"/>
      <c r="J1883" s="1457">
        <v>1</v>
      </c>
      <c r="K1883" s="1458">
        <v>1</v>
      </c>
      <c r="L1883" s="1036">
        <v>468.24</v>
      </c>
      <c r="M1883" s="1325">
        <f t="shared" si="3898"/>
        <v>468.24</v>
      </c>
      <c r="N1883" s="348">
        <f ca="1">IF(OR(E1883="",E1883&gt;TODAY()),0,IF(ISERROR(VLOOKUP($E1883,'TRM BanRep'!$A:$G,7,0)),0,VLOOKUP($E1883,'TRM BanRep'!$A:$G,7,0)))</f>
        <v>4516.76</v>
      </c>
      <c r="O1883" s="897">
        <f t="shared" ca="1" si="3899"/>
        <v>2114927.7024000003</v>
      </c>
      <c r="P1883" s="1017"/>
      <c r="Q1883" s="1362">
        <f t="shared" si="3900"/>
        <v>0</v>
      </c>
      <c r="R1883" s="349"/>
      <c r="S1883" s="349"/>
      <c r="T1883" s="895">
        <f t="shared" si="3901"/>
        <v>0</v>
      </c>
      <c r="U1883" s="350">
        <f t="shared" si="3902"/>
        <v>468.24</v>
      </c>
      <c r="V1883" s="918">
        <f t="shared" ca="1" si="3903"/>
        <v>2114927.7024000003</v>
      </c>
      <c r="W1883" s="351">
        <f t="shared" si="3904"/>
        <v>0</v>
      </c>
      <c r="X1883" s="919">
        <f t="shared" si="3905"/>
        <v>0</v>
      </c>
      <c r="Y1883" s="1018"/>
      <c r="Z1883" s="220"/>
      <c r="AA1883" s="15"/>
      <c r="AB1883" s="15"/>
      <c r="AC1883" s="15"/>
      <c r="AD1883" s="15"/>
      <c r="AE1883" s="15"/>
    </row>
    <row r="1884" spans="1:31" s="401" customFormat="1" outlineLevel="1">
      <c r="A1884" s="1011">
        <v>2401012000</v>
      </c>
      <c r="B1884" s="1012" t="s">
        <v>2566</v>
      </c>
      <c r="C1884" s="1013" t="s">
        <v>64</v>
      </c>
      <c r="D1884" s="1013">
        <v>2000003503</v>
      </c>
      <c r="E1884" s="1014">
        <v>45036</v>
      </c>
      <c r="F1884" s="1015"/>
      <c r="G1884" s="1293"/>
      <c r="H1884" s="346"/>
      <c r="I1884" s="1016"/>
      <c r="J1884" s="1457">
        <v>1</v>
      </c>
      <c r="K1884" s="1458">
        <v>1</v>
      </c>
      <c r="L1884" s="1036"/>
      <c r="M1884" s="1325">
        <f t="shared" si="3898"/>
        <v>0</v>
      </c>
      <c r="N1884" s="348">
        <f ca="1">IF(OR(E1884="",E1884&gt;TODAY()),0,IF(ISERROR(VLOOKUP($E1884,'TRM BanRep'!$A:$G,7,0)),0,VLOOKUP($E1884,'TRM BanRep'!$A:$G,7,0)))</f>
        <v>4532.43</v>
      </c>
      <c r="O1884" s="897">
        <f t="shared" ca="1" si="3899"/>
        <v>0</v>
      </c>
      <c r="P1884" s="1017">
        <f>-L1883</f>
        <v>-468.24</v>
      </c>
      <c r="Q1884" s="1362">
        <f t="shared" si="3900"/>
        <v>-468.24</v>
      </c>
      <c r="R1884" s="349">
        <f ca="1">+N1883</f>
        <v>4516.76</v>
      </c>
      <c r="S1884" s="349">
        <f ca="1">IF(OR(E1884="",E1884&gt;TODAY()),0,IF(ISERROR(VLOOKUP($E1884,'TRM BanRep'!$A:$G,7,0)),0,VLOOKUP($E1884,'TRM BanRep'!$A:$G,7,0)))</f>
        <v>4532.43</v>
      </c>
      <c r="T1884" s="895">
        <f t="shared" ca="1" si="3901"/>
        <v>-2122265.0232000002</v>
      </c>
      <c r="U1884" s="350">
        <f t="shared" si="3902"/>
        <v>-468.24</v>
      </c>
      <c r="V1884" s="918">
        <f t="shared" ca="1" si="3903"/>
        <v>-2114927.7024000003</v>
      </c>
      <c r="W1884" s="351">
        <f t="shared" ca="1" si="3904"/>
        <v>7337.3207999998704</v>
      </c>
      <c r="X1884" s="919">
        <f t="shared" ca="1" si="3905"/>
        <v>0</v>
      </c>
      <c r="Y1884" s="1018"/>
      <c r="Z1884" s="220"/>
      <c r="AA1884" s="15"/>
      <c r="AB1884" s="15"/>
      <c r="AC1884" s="15"/>
      <c r="AD1884" s="15"/>
      <c r="AE1884" s="15"/>
    </row>
    <row r="1885" spans="1:31" s="401" customFormat="1" outlineLevel="1">
      <c r="A1885" s="1011">
        <v>2401012000</v>
      </c>
      <c r="B1885" s="1012" t="s">
        <v>2585</v>
      </c>
      <c r="C1885" s="1013" t="s">
        <v>64</v>
      </c>
      <c r="D1885" s="1013">
        <v>5100002498</v>
      </c>
      <c r="E1885" s="1014">
        <v>45013</v>
      </c>
      <c r="F1885" s="1015"/>
      <c r="G1885" s="1293"/>
      <c r="H1885" s="346"/>
      <c r="I1885" s="1016"/>
      <c r="J1885" s="1457">
        <v>1</v>
      </c>
      <c r="K1885" s="1458">
        <v>1</v>
      </c>
      <c r="L1885" s="1036">
        <v>45387.47</v>
      </c>
      <c r="M1885" s="1325">
        <f t="shared" si="3898"/>
        <v>45387.47</v>
      </c>
      <c r="N1885" s="348">
        <f ca="1">IF(OR(E1885="",E1885&gt;TODAY()),0,IF(ISERROR(VLOOKUP($E1885,'TRM BanRep'!$A:$G,7,0)),0,VLOOKUP($E1885,'TRM BanRep'!$A:$G,7,0)))</f>
        <v>4686.83</v>
      </c>
      <c r="O1885" s="897">
        <f t="shared" ca="1" si="3899"/>
        <v>212723356.0201</v>
      </c>
      <c r="P1885" s="1017"/>
      <c r="Q1885" s="1362">
        <f t="shared" si="3900"/>
        <v>0</v>
      </c>
      <c r="R1885" s="349"/>
      <c r="S1885" s="349"/>
      <c r="T1885" s="895">
        <f t="shared" si="3901"/>
        <v>0</v>
      </c>
      <c r="U1885" s="350">
        <f t="shared" si="3902"/>
        <v>45387.47</v>
      </c>
      <c r="V1885" s="918">
        <f t="shared" ca="1" si="3903"/>
        <v>212723356.0201</v>
      </c>
      <c r="W1885" s="351">
        <f t="shared" si="3904"/>
        <v>0</v>
      </c>
      <c r="X1885" s="919">
        <f t="shared" si="3905"/>
        <v>0</v>
      </c>
      <c r="Y1885" s="1018"/>
      <c r="Z1885" s="220"/>
      <c r="AA1885" s="15"/>
      <c r="AB1885" s="15"/>
      <c r="AC1885" s="15"/>
      <c r="AD1885" s="15"/>
      <c r="AE1885" s="15"/>
    </row>
    <row r="1886" spans="1:31" s="401" customFormat="1" outlineLevel="1">
      <c r="A1886" s="1011">
        <v>2401012000</v>
      </c>
      <c r="B1886" s="1012" t="s">
        <v>2566</v>
      </c>
      <c r="C1886" s="1013" t="s">
        <v>64</v>
      </c>
      <c r="D1886" s="1013">
        <v>2000003687</v>
      </c>
      <c r="E1886" s="1014">
        <v>45043</v>
      </c>
      <c r="F1886" s="1015"/>
      <c r="G1886" s="1293"/>
      <c r="H1886" s="346"/>
      <c r="I1886" s="1016"/>
      <c r="J1886" s="1457">
        <v>1</v>
      </c>
      <c r="K1886" s="1458">
        <v>1</v>
      </c>
      <c r="L1886" s="1036"/>
      <c r="M1886" s="1325">
        <f t="shared" ref="M1886:M1889" si="3906">+L1886*J1886</f>
        <v>0</v>
      </c>
      <c r="N1886" s="348">
        <f ca="1">IF(OR(E1886="",E1886&gt;TODAY()),0,IF(ISERROR(VLOOKUP($E1886,'TRM BanRep'!$A:$G,7,0)),0,VLOOKUP($E1886,'TRM BanRep'!$A:$G,7,0)))</f>
        <v>4552.59</v>
      </c>
      <c r="O1886" s="897">
        <f t="shared" ref="O1886:O1889" ca="1" si="3907">+L1886*J1886*N1886</f>
        <v>0</v>
      </c>
      <c r="P1886" s="1017">
        <f>-L1885</f>
        <v>-45387.47</v>
      </c>
      <c r="Q1886" s="1362">
        <f t="shared" ref="Q1886:Q1889" si="3908">+P1886*K1886</f>
        <v>-45387.47</v>
      </c>
      <c r="R1886" s="349">
        <f ca="1">+N1885</f>
        <v>4686.83</v>
      </c>
      <c r="S1886" s="349">
        <f ca="1">IF(OR(E1886="",E1886&gt;TODAY()),0,IF(ISERROR(VLOOKUP($E1886,'TRM BanRep'!$A:$G,7,0)),0,VLOOKUP($E1886,'TRM BanRep'!$A:$G,7,0)))</f>
        <v>4552.59</v>
      </c>
      <c r="T1886" s="895">
        <f t="shared" ref="T1886:T1889" ca="1" si="3909">+P1886*K1886*S1886</f>
        <v>-206630542.04730001</v>
      </c>
      <c r="U1886" s="350">
        <f t="shared" ref="U1886:U1889" si="3910">+L1886+P1886+F1886</f>
        <v>-45387.47</v>
      </c>
      <c r="V1886" s="918">
        <f t="shared" ref="V1886:V1889" ca="1" si="3911">+P1886*J1886*R1886+L1886*J1886*N1886+F1886*J1886*H1886</f>
        <v>-212723356.0201</v>
      </c>
      <c r="W1886" s="351">
        <f t="shared" ref="W1886:W1889" ca="1" si="3912">-(IF(-P1886*J1886*R1886&lt;-P1886*K1886*S1886,(-P1886*J1886*R1886)-(-P1886*K1886*S1886),0))</f>
        <v>0</v>
      </c>
      <c r="X1886" s="919">
        <f t="shared" ref="X1886:X1889" ca="1" si="3913">-(IF(-P1886*J1886*R1886&gt;-P1886*K1886*S1886,(-P1886*J1886*R1886)-(-P1886*K1886*S1886),0))</f>
        <v>-6092813.9727999866</v>
      </c>
      <c r="Y1886" s="1018"/>
      <c r="Z1886" s="220"/>
      <c r="AA1886" s="15"/>
      <c r="AB1886" s="15"/>
      <c r="AC1886" s="15"/>
      <c r="AD1886" s="15"/>
      <c r="AE1886" s="15"/>
    </row>
    <row r="1887" spans="1:31" s="401" customFormat="1" outlineLevel="1">
      <c r="A1887" s="1011">
        <v>2401012000</v>
      </c>
      <c r="B1887" s="1012" t="s">
        <v>2597</v>
      </c>
      <c r="C1887" s="1013" t="s">
        <v>64</v>
      </c>
      <c r="D1887" s="1013">
        <v>5100003078</v>
      </c>
      <c r="E1887" s="1014">
        <v>45035</v>
      </c>
      <c r="F1887" s="1015"/>
      <c r="G1887" s="1293"/>
      <c r="H1887" s="346"/>
      <c r="I1887" s="1016"/>
      <c r="J1887" s="1457">
        <v>1</v>
      </c>
      <c r="K1887" s="1458">
        <v>1</v>
      </c>
      <c r="L1887" s="1036">
        <v>468.24</v>
      </c>
      <c r="M1887" s="1325">
        <f t="shared" si="3906"/>
        <v>468.24</v>
      </c>
      <c r="N1887" s="348">
        <f ca="1">IF(OR(E1887="",E1887&gt;TODAY()),0,IF(ISERROR(VLOOKUP($E1887,'TRM BanRep'!$A:$G,7,0)),0,VLOOKUP($E1887,'TRM BanRep'!$A:$G,7,0)))</f>
        <v>4473.07</v>
      </c>
      <c r="O1887" s="897">
        <f t="shared" ca="1" si="3907"/>
        <v>2094470.2967999999</v>
      </c>
      <c r="P1887" s="1017"/>
      <c r="Q1887" s="1362">
        <f t="shared" si="3908"/>
        <v>0</v>
      </c>
      <c r="R1887" s="349"/>
      <c r="S1887" s="349"/>
      <c r="T1887" s="895">
        <f t="shared" si="3909"/>
        <v>0</v>
      </c>
      <c r="U1887" s="350">
        <f t="shared" si="3910"/>
        <v>468.24</v>
      </c>
      <c r="V1887" s="918">
        <f t="shared" ca="1" si="3911"/>
        <v>2094470.2967999999</v>
      </c>
      <c r="W1887" s="351">
        <f t="shared" si="3912"/>
        <v>0</v>
      </c>
      <c r="X1887" s="919">
        <f t="shared" si="3913"/>
        <v>0</v>
      </c>
      <c r="Y1887" s="1018"/>
      <c r="Z1887" s="220"/>
      <c r="AA1887" s="15"/>
      <c r="AB1887" s="15"/>
      <c r="AC1887" s="15"/>
      <c r="AD1887" s="15"/>
      <c r="AE1887" s="15"/>
    </row>
    <row r="1888" spans="1:31" s="401" customFormat="1" outlineLevel="1">
      <c r="A1888" s="1011">
        <v>2401012000</v>
      </c>
      <c r="B1888" s="2382" t="s">
        <v>2599</v>
      </c>
      <c r="C1888" s="2383" t="s">
        <v>64</v>
      </c>
      <c r="D1888" s="2383">
        <v>100023799</v>
      </c>
      <c r="E1888" s="2384">
        <v>45041</v>
      </c>
      <c r="F1888" s="1015"/>
      <c r="G1888" s="1293"/>
      <c r="H1888" s="346"/>
      <c r="I1888" s="1016"/>
      <c r="J1888" s="1457">
        <v>1</v>
      </c>
      <c r="K1888" s="1458">
        <v>1</v>
      </c>
      <c r="L1888" s="1036"/>
      <c r="M1888" s="1325">
        <f t="shared" si="3906"/>
        <v>0</v>
      </c>
      <c r="N1888" s="348">
        <f ca="1">IF(OR(E1888="",E1888&gt;TODAY()),0,IF(ISERROR(VLOOKUP($E1888,'TRM BanRep'!$A:$G,7,0)),0,VLOOKUP($E1888,'TRM BanRep'!$A:$G,7,0)))</f>
        <v>4482.45</v>
      </c>
      <c r="O1888" s="897">
        <f t="shared" ca="1" si="3907"/>
        <v>0</v>
      </c>
      <c r="P1888" s="1017">
        <f>-L1887</f>
        <v>-468.24</v>
      </c>
      <c r="Q1888" s="1362">
        <f t="shared" si="3908"/>
        <v>-468.24</v>
      </c>
      <c r="R1888" s="349">
        <f ca="1">+N1887</f>
        <v>4473.07</v>
      </c>
      <c r="S1888" s="349">
        <f ca="1">IF(OR(E1888="",E1888&gt;TODAY()),0,IF(ISERROR(VLOOKUP($E1888,'TRM BanRep'!$A:$G,7,0)),0,VLOOKUP($E1888,'TRM BanRep'!$A:$G,7,0)))</f>
        <v>4482.45</v>
      </c>
      <c r="T1888" s="895">
        <f t="shared" ca="1" si="3909"/>
        <v>-2098862.3879999998</v>
      </c>
      <c r="U1888" s="350">
        <f t="shared" si="3910"/>
        <v>-468.24</v>
      </c>
      <c r="V1888" s="918">
        <f t="shared" ca="1" si="3911"/>
        <v>-2094470.2967999999</v>
      </c>
      <c r="W1888" s="351">
        <f t="shared" ca="1" si="3912"/>
        <v>4392.091199999908</v>
      </c>
      <c r="X1888" s="919">
        <f t="shared" ca="1" si="3913"/>
        <v>0</v>
      </c>
      <c r="Y1888" s="1018"/>
      <c r="Z1888" s="220"/>
      <c r="AA1888" s="15"/>
      <c r="AB1888" s="15"/>
      <c r="AC1888" s="15"/>
      <c r="AD1888" s="15"/>
      <c r="AE1888" s="15"/>
    </row>
    <row r="1889" spans="1:31" s="401" customFormat="1" outlineLevel="1">
      <c r="A1889" s="1011">
        <v>2401012000</v>
      </c>
      <c r="B1889" s="1012" t="s">
        <v>2598</v>
      </c>
      <c r="C1889" s="1013" t="s">
        <v>64</v>
      </c>
      <c r="D1889" s="1013">
        <v>5100002677</v>
      </c>
      <c r="E1889" s="1014">
        <v>45027</v>
      </c>
      <c r="F1889" s="1015"/>
      <c r="G1889" s="1293"/>
      <c r="H1889" s="346"/>
      <c r="I1889" s="1016"/>
      <c r="J1889" s="1457">
        <v>1</v>
      </c>
      <c r="K1889" s="1458">
        <v>1</v>
      </c>
      <c r="L1889" s="1036">
        <v>45387.47</v>
      </c>
      <c r="M1889" s="1325">
        <f t="shared" si="3906"/>
        <v>45387.47</v>
      </c>
      <c r="N1889" s="348">
        <f ca="1">IF(OR(E1889="",E1889&gt;TODAY()),0,IF(ISERROR(VLOOKUP($E1889,'TRM BanRep'!$A:$G,7,0)),0,VLOOKUP($E1889,'TRM BanRep'!$A:$G,7,0)))</f>
        <v>4564.24</v>
      </c>
      <c r="O1889" s="897">
        <f t="shared" ca="1" si="3907"/>
        <v>207159306.07279998</v>
      </c>
      <c r="P1889" s="1017"/>
      <c r="Q1889" s="1362">
        <f t="shared" si="3908"/>
        <v>0</v>
      </c>
      <c r="R1889" s="349"/>
      <c r="S1889" s="349"/>
      <c r="T1889" s="895">
        <f t="shared" si="3909"/>
        <v>0</v>
      </c>
      <c r="U1889" s="350">
        <f t="shared" si="3910"/>
        <v>45387.47</v>
      </c>
      <c r="V1889" s="918">
        <f t="shared" ca="1" si="3911"/>
        <v>207159306.07279998</v>
      </c>
      <c r="W1889" s="351">
        <f t="shared" si="3912"/>
        <v>0</v>
      </c>
      <c r="X1889" s="919">
        <f t="shared" si="3913"/>
        <v>0</v>
      </c>
      <c r="Y1889" s="1018"/>
      <c r="Z1889" s="220"/>
      <c r="AA1889" s="15"/>
      <c r="AB1889" s="15"/>
      <c r="AC1889" s="15"/>
      <c r="AD1889" s="15"/>
      <c r="AE1889" s="15"/>
    </row>
    <row r="1890" spans="1:31" s="401" customFormat="1" outlineLevel="1">
      <c r="A1890" s="1011">
        <v>2401012000</v>
      </c>
      <c r="B1890" s="2382" t="s">
        <v>2599</v>
      </c>
      <c r="C1890" s="2383" t="s">
        <v>64</v>
      </c>
      <c r="D1890" s="2383">
        <v>100023970</v>
      </c>
      <c r="E1890" s="2384">
        <v>45043</v>
      </c>
      <c r="F1890" s="1015"/>
      <c r="G1890" s="1293"/>
      <c r="H1890" s="346"/>
      <c r="I1890" s="1016"/>
      <c r="J1890" s="1457">
        <v>1</v>
      </c>
      <c r="K1890" s="1458">
        <v>1</v>
      </c>
      <c r="L1890" s="1036"/>
      <c r="M1890" s="1325">
        <f t="shared" ref="M1890" si="3914">+L1890*J1890</f>
        <v>0</v>
      </c>
      <c r="N1890" s="348">
        <f ca="1">IF(OR(E1890="",E1890&gt;TODAY()),0,IF(ISERROR(VLOOKUP($E1890,'TRM BanRep'!$A:$G,7,0)),0,VLOOKUP($E1890,'TRM BanRep'!$A:$G,7,0)))</f>
        <v>4552.59</v>
      </c>
      <c r="O1890" s="897">
        <f t="shared" ref="O1890" ca="1" si="3915">+L1890*J1890*N1890</f>
        <v>0</v>
      </c>
      <c r="P1890" s="1017">
        <f>-L1889</f>
        <v>-45387.47</v>
      </c>
      <c r="Q1890" s="1362">
        <f t="shared" ref="Q1890" si="3916">+P1890*K1890</f>
        <v>-45387.47</v>
      </c>
      <c r="R1890" s="349">
        <f ca="1">+N1889</f>
        <v>4564.24</v>
      </c>
      <c r="S1890" s="349">
        <f ca="1">IF(OR(E1890="",E1890&gt;TODAY()),0,IF(ISERROR(VLOOKUP($E1890,'TRM BanRep'!$A:$G,7,0)),0,VLOOKUP($E1890,'TRM BanRep'!$A:$G,7,0)))</f>
        <v>4552.59</v>
      </c>
      <c r="T1890" s="895">
        <f t="shared" ref="T1890" ca="1" si="3917">+P1890*K1890*S1890</f>
        <v>-206630542.04730001</v>
      </c>
      <c r="U1890" s="350">
        <f t="shared" ref="U1890" si="3918">+L1890+P1890+F1890</f>
        <v>-45387.47</v>
      </c>
      <c r="V1890" s="918">
        <f t="shared" ref="V1890" ca="1" si="3919">+P1890*J1890*R1890+L1890*J1890*N1890+F1890*J1890*H1890</f>
        <v>-207159306.07279998</v>
      </c>
      <c r="W1890" s="351">
        <f t="shared" ref="W1890" ca="1" si="3920">-(IF(-P1890*J1890*R1890&lt;-P1890*K1890*S1890,(-P1890*J1890*R1890)-(-P1890*K1890*S1890),0))</f>
        <v>0</v>
      </c>
      <c r="X1890" s="919">
        <f t="shared" ref="X1890" ca="1" si="3921">-(IF(-P1890*J1890*R1890&gt;-P1890*K1890*S1890,(-P1890*J1890*R1890)-(-P1890*K1890*S1890),0))</f>
        <v>-528764.02549996972</v>
      </c>
      <c r="Y1890" s="1018"/>
      <c r="Z1890" s="220"/>
      <c r="AA1890" s="15"/>
      <c r="AB1890" s="15"/>
      <c r="AC1890" s="15"/>
      <c r="AD1890" s="15"/>
      <c r="AE1890" s="15"/>
    </row>
    <row r="1891" spans="1:31" s="401" customFormat="1" outlineLevel="1">
      <c r="A1891" s="1011">
        <v>2401012000</v>
      </c>
      <c r="B1891" s="1012"/>
      <c r="C1891" s="1013" t="s">
        <v>64</v>
      </c>
      <c r="D1891" s="1013"/>
      <c r="E1891" s="1014"/>
      <c r="F1891" s="1015"/>
      <c r="G1891" s="1293"/>
      <c r="H1891" s="346"/>
      <c r="I1891" s="1016"/>
      <c r="J1891" s="1457"/>
      <c r="K1891" s="1458"/>
      <c r="L1891" s="1036"/>
      <c r="M1891" s="1325">
        <f t="shared" si="3687"/>
        <v>0</v>
      </c>
      <c r="N1891" s="348"/>
      <c r="O1891" s="897">
        <f t="shared" si="3688"/>
        <v>0</v>
      </c>
      <c r="P1891" s="1017"/>
      <c r="Q1891" s="1362">
        <f t="shared" si="3690"/>
        <v>0</v>
      </c>
      <c r="R1891" s="349"/>
      <c r="S1891" s="349"/>
      <c r="T1891" s="895">
        <f t="shared" si="3692"/>
        <v>0</v>
      </c>
      <c r="U1891" s="350">
        <f t="shared" si="3693"/>
        <v>0</v>
      </c>
      <c r="V1891" s="918">
        <f t="shared" si="3694"/>
        <v>0</v>
      </c>
      <c r="W1891" s="351">
        <f t="shared" si="3649"/>
        <v>0</v>
      </c>
      <c r="X1891" s="919">
        <f t="shared" si="3650"/>
        <v>0</v>
      </c>
      <c r="Y1891" s="1018"/>
      <c r="Z1891" s="220"/>
      <c r="AA1891" s="15"/>
      <c r="AB1891" s="15"/>
      <c r="AC1891" s="15"/>
      <c r="AD1891" s="15"/>
      <c r="AE1891" s="15"/>
    </row>
    <row r="1892" spans="1:31" s="401" customFormat="1">
      <c r="A1892" s="1011"/>
      <c r="B1892" s="1012"/>
      <c r="C1892" s="1013"/>
      <c r="D1892" s="1013"/>
      <c r="E1892" s="1014"/>
      <c r="F1892" s="1015"/>
      <c r="G1892" s="1293"/>
      <c r="H1892" s="346"/>
      <c r="I1892" s="1016"/>
      <c r="J1892" s="1402"/>
      <c r="K1892" s="1402"/>
      <c r="L1892" s="1036"/>
      <c r="M1892" s="1325">
        <f t="shared" si="3687"/>
        <v>0</v>
      </c>
      <c r="N1892" s="348"/>
      <c r="O1892" s="897">
        <f t="shared" si="3688"/>
        <v>0</v>
      </c>
      <c r="P1892" s="342"/>
      <c r="Q1892" s="1359">
        <f t="shared" si="3690"/>
        <v>0</v>
      </c>
      <c r="R1892" s="894"/>
      <c r="S1892" s="894"/>
      <c r="T1892" s="895">
        <f t="shared" si="3692"/>
        <v>0</v>
      </c>
      <c r="U1892" s="350">
        <f t="shared" si="3693"/>
        <v>0</v>
      </c>
      <c r="V1892" s="918">
        <f t="shared" si="3694"/>
        <v>0</v>
      </c>
      <c r="W1892" s="351">
        <f t="shared" si="3649"/>
        <v>0</v>
      </c>
      <c r="X1892" s="919">
        <f t="shared" si="3650"/>
        <v>0</v>
      </c>
      <c r="Y1892" s="896"/>
      <c r="Z1892" s="220"/>
      <c r="AA1892" s="15"/>
      <c r="AB1892" s="15"/>
      <c r="AC1892" s="15"/>
      <c r="AD1892" s="15"/>
      <c r="AE1892" s="15"/>
    </row>
    <row r="1893" spans="1:31" ht="15.75">
      <c r="A1893" s="961">
        <v>2401012000</v>
      </c>
      <c r="B1893" s="962" t="s">
        <v>77</v>
      </c>
      <c r="C1893" s="963" t="s">
        <v>146</v>
      </c>
      <c r="D1893" s="963"/>
      <c r="E1893" s="969"/>
      <c r="F1893" s="964"/>
      <c r="G1893" s="1250"/>
      <c r="H1893" s="47"/>
      <c r="I1893" s="965">
        <f>+F1893*H1893</f>
        <v>0</v>
      </c>
      <c r="J1893" s="1366"/>
      <c r="K1893" s="1366"/>
      <c r="L1893" s="218"/>
      <c r="M1893" s="1309">
        <f t="shared" si="3687"/>
        <v>0</v>
      </c>
      <c r="N1893" s="47"/>
      <c r="O1893" s="965">
        <f t="shared" si="3688"/>
        <v>0</v>
      </c>
      <c r="P1893" s="964"/>
      <c r="Q1893" s="1250">
        <f t="shared" si="3690"/>
        <v>0</v>
      </c>
      <c r="R1893" s="47"/>
      <c r="S1893" s="47"/>
      <c r="T1893" s="965">
        <f t="shared" si="3692"/>
        <v>0</v>
      </c>
      <c r="U1893" s="354">
        <f t="shared" si="3693"/>
        <v>0</v>
      </c>
      <c r="V1893" s="965">
        <f t="shared" si="3694"/>
        <v>0</v>
      </c>
      <c r="W1893" s="968">
        <f t="shared" si="3649"/>
        <v>0</v>
      </c>
      <c r="X1893" s="966">
        <f t="shared" si="3650"/>
        <v>0</v>
      </c>
      <c r="Y1893" s="967"/>
      <c r="Z1893" s="220"/>
      <c r="AA1893" s="325"/>
      <c r="AB1893" s="325"/>
      <c r="AC1893" s="325"/>
      <c r="AD1893" s="325"/>
      <c r="AE1893" s="325"/>
    </row>
    <row r="1894" spans="1:31" s="401" customFormat="1" outlineLevel="1">
      <c r="A1894" s="984">
        <v>2401012000</v>
      </c>
      <c r="B1894" s="985"/>
      <c r="C1894" s="986" t="s">
        <v>146</v>
      </c>
      <c r="D1894" s="986"/>
      <c r="E1894" s="987"/>
      <c r="F1894" s="988"/>
      <c r="G1894" s="1287"/>
      <c r="H1894" s="335"/>
      <c r="I1894" s="989">
        <f>+F1894*H1894</f>
        <v>0</v>
      </c>
      <c r="J1894" s="1399"/>
      <c r="K1894" s="1399"/>
      <c r="L1894" s="336"/>
      <c r="M1894" s="1322">
        <f t="shared" si="3687"/>
        <v>0</v>
      </c>
      <c r="N1894" s="337"/>
      <c r="O1894" s="990">
        <f t="shared" si="3688"/>
        <v>0</v>
      </c>
      <c r="P1894" s="991"/>
      <c r="Q1894" s="1330">
        <f t="shared" si="3690"/>
        <v>0</v>
      </c>
      <c r="R1894" s="337"/>
      <c r="S1894" s="337"/>
      <c r="T1894" s="990">
        <f t="shared" si="3692"/>
        <v>0</v>
      </c>
      <c r="U1894" s="992">
        <f t="shared" si="3693"/>
        <v>0</v>
      </c>
      <c r="V1894" s="990">
        <f t="shared" si="3694"/>
        <v>0</v>
      </c>
      <c r="W1894" s="993">
        <f t="shared" si="3649"/>
        <v>0</v>
      </c>
      <c r="X1894" s="994">
        <f t="shared" si="3650"/>
        <v>0</v>
      </c>
      <c r="Y1894" s="995"/>
      <c r="Z1894" s="220"/>
      <c r="AA1894" s="15"/>
      <c r="AB1894" s="15"/>
      <c r="AC1894" s="15"/>
      <c r="AD1894" s="15"/>
      <c r="AE1894" s="15"/>
    </row>
    <row r="1895" spans="1:31" s="373" customFormat="1" outlineLevel="1">
      <c r="A1895" s="1019">
        <v>2406010200</v>
      </c>
      <c r="B1895" s="374"/>
      <c r="C1895" s="1021" t="s">
        <v>146</v>
      </c>
      <c r="D1895" s="1021"/>
      <c r="E1895" s="1022">
        <v>44995</v>
      </c>
      <c r="F1895" s="1023"/>
      <c r="G1895" s="1290"/>
      <c r="H1895" s="352"/>
      <c r="I1895" s="1024"/>
      <c r="J1895" s="1588">
        <f>VLOOKUP($E1895,'TRM BanRep'!$A:$K,11,0)</f>
        <v>1.0687500000000001</v>
      </c>
      <c r="K1895" s="357"/>
      <c r="L1895" s="1026"/>
      <c r="M1895" s="1324">
        <f t="shared" si="3687"/>
        <v>0</v>
      </c>
      <c r="N1895" s="353">
        <f ca="1">IF(OR($E1895="",$E1895&gt;TODAY()),0,VLOOKUP($E1895,'TRM BanRep'!$A:$G,7,0))</f>
        <v>4748.6099999999997</v>
      </c>
      <c r="O1895" s="1025">
        <f t="shared" ca="1" si="3688"/>
        <v>0</v>
      </c>
      <c r="P1895" s="1026"/>
      <c r="Q1895" s="1324">
        <f t="shared" si="3690"/>
        <v>0</v>
      </c>
      <c r="R1895" s="353"/>
      <c r="S1895" s="353"/>
      <c r="T1895" s="1025">
        <f t="shared" si="3692"/>
        <v>0</v>
      </c>
      <c r="U1895" s="476">
        <f t="shared" si="3693"/>
        <v>0</v>
      </c>
      <c r="V1895" s="922">
        <f t="shared" ca="1" si="3694"/>
        <v>0</v>
      </c>
      <c r="W1895" s="477">
        <f t="shared" si="3649"/>
        <v>0</v>
      </c>
      <c r="X1895" s="923">
        <f t="shared" si="3650"/>
        <v>0</v>
      </c>
      <c r="Y1895" s="924"/>
      <c r="Z1895" s="1076"/>
      <c r="AA1895" s="15"/>
      <c r="AB1895" s="15"/>
      <c r="AC1895" s="15"/>
      <c r="AD1895" s="15"/>
      <c r="AE1895" s="15"/>
    </row>
    <row r="1896" spans="1:31" s="401" customFormat="1" outlineLevel="1">
      <c r="A1896" s="1011">
        <v>2406010200</v>
      </c>
      <c r="B1896" s="1012"/>
      <c r="C1896" s="1013" t="s">
        <v>146</v>
      </c>
      <c r="D1896" s="1013"/>
      <c r="E1896" s="1014"/>
      <c r="F1896" s="1015"/>
      <c r="G1896" s="1293"/>
      <c r="H1896" s="346"/>
      <c r="I1896" s="1016"/>
      <c r="J1896" s="1402"/>
      <c r="K1896" s="1402"/>
      <c r="L1896" s="1036"/>
      <c r="M1896" s="1325">
        <f t="shared" si="3687"/>
        <v>0</v>
      </c>
      <c r="N1896" s="348"/>
      <c r="O1896" s="897">
        <f t="shared" si="3688"/>
        <v>0</v>
      </c>
      <c r="P1896" s="342"/>
      <c r="Q1896" s="1359">
        <f t="shared" si="3690"/>
        <v>0</v>
      </c>
      <c r="R1896" s="894"/>
      <c r="S1896" s="349"/>
      <c r="T1896" s="895">
        <f t="shared" si="3692"/>
        <v>0</v>
      </c>
      <c r="U1896" s="350">
        <f t="shared" si="3693"/>
        <v>0</v>
      </c>
      <c r="V1896" s="918">
        <f t="shared" si="3694"/>
        <v>0</v>
      </c>
      <c r="W1896" s="351">
        <f t="shared" si="3649"/>
        <v>0</v>
      </c>
      <c r="X1896" s="919">
        <f t="shared" si="3650"/>
        <v>0</v>
      </c>
      <c r="Y1896" s="896"/>
      <c r="Z1896" s="220"/>
      <c r="AA1896" s="15"/>
      <c r="AB1896" s="15"/>
      <c r="AC1896" s="15"/>
      <c r="AD1896" s="15"/>
      <c r="AE1896" s="15"/>
    </row>
    <row r="1897" spans="1:31" s="401" customFormat="1" outlineLevel="1">
      <c r="A1897" s="1011">
        <v>2406010200</v>
      </c>
      <c r="B1897" s="1012" t="s">
        <v>2411</v>
      </c>
      <c r="C1897" s="1013" t="s">
        <v>146</v>
      </c>
      <c r="D1897" s="1013">
        <v>5100001802</v>
      </c>
      <c r="E1897" s="1014">
        <v>44995</v>
      </c>
      <c r="F1897" s="1015"/>
      <c r="G1897" s="1293"/>
      <c r="H1897" s="346"/>
      <c r="I1897" s="1016"/>
      <c r="J1897" s="1503">
        <f>VLOOKUP($E1897,'TRM BanRep'!$A:$K,11,0)</f>
        <v>1.0687500000000001</v>
      </c>
      <c r="K1897" s="1504"/>
      <c r="L1897" s="1036">
        <v>970.79</v>
      </c>
      <c r="M1897" s="1325">
        <f t="shared" ref="M1897:M1898" si="3922">+L1897*J1897</f>
        <v>1037.5318125000001</v>
      </c>
      <c r="N1897" s="348">
        <f ca="1">IF(OR($E1897="",$E1897&gt;TODAY()),0,VLOOKUP($E1897,'TRM BanRep'!$A:$G,7,0))</f>
        <v>4748.6099999999997</v>
      </c>
      <c r="O1897" s="897">
        <f t="shared" ref="O1897:O1898" ca="1" si="3923">+L1897*J1897*N1897</f>
        <v>4926833.9401556253</v>
      </c>
      <c r="P1897" s="1017"/>
      <c r="Q1897" s="1362">
        <f t="shared" ref="Q1897:Q1898" si="3924">+P1897*K1897</f>
        <v>0</v>
      </c>
      <c r="R1897" s="349"/>
      <c r="S1897" s="349">
        <f ca="1">IF(OR($E1897="",$E1897&gt;TODAY()),0,VLOOKUP($E1897,'TRM BanRep'!$A:$G,7,0))</f>
        <v>4748.6099999999997</v>
      </c>
      <c r="T1897" s="895">
        <f t="shared" ref="T1897:T1898" ca="1" si="3925">+P1897*K1897*S1897</f>
        <v>0</v>
      </c>
      <c r="U1897" s="350">
        <f t="shared" ref="U1897:U1898" si="3926">+L1897+P1897+F1897</f>
        <v>970.79</v>
      </c>
      <c r="V1897" s="918">
        <f t="shared" ref="V1897:V1898" ca="1" si="3927">+P1897*J1897*R1897+L1897*J1897*N1897+F1897*J1897*H1897</f>
        <v>4926833.9401556253</v>
      </c>
      <c r="W1897" s="351">
        <f t="shared" ref="W1897:W1898" ca="1" si="3928">-(IF(-P1897*J1897*R1897&lt;-P1897*K1897*S1897,(-P1897*J1897*R1897)-(-P1897*K1897*S1897),0))</f>
        <v>0</v>
      </c>
      <c r="X1897" s="919">
        <f t="shared" ref="X1897:X1898" ca="1" si="3929">-(IF(-P1897*J1897*R1897&gt;-P1897*K1897*S1897,(-P1897*J1897*R1897)-(-P1897*K1897*S1897),0))</f>
        <v>0</v>
      </c>
      <c r="Y1897" s="1018"/>
      <c r="Z1897" s="220"/>
      <c r="AA1897" s="15"/>
      <c r="AB1897" s="15"/>
      <c r="AC1897" s="15"/>
      <c r="AD1897" s="15"/>
      <c r="AE1897" s="15"/>
    </row>
    <row r="1898" spans="1:31" s="401" customFormat="1" outlineLevel="1">
      <c r="A1898" s="1011">
        <v>2406010200</v>
      </c>
      <c r="B1898" s="1012" t="s">
        <v>1366</v>
      </c>
      <c r="C1898" s="1013" t="s">
        <v>146</v>
      </c>
      <c r="D1898" s="1013">
        <v>2000003023</v>
      </c>
      <c r="E1898" s="1014">
        <v>45026</v>
      </c>
      <c r="F1898" s="1015"/>
      <c r="G1898" s="1293"/>
      <c r="H1898" s="346"/>
      <c r="I1898" s="1016"/>
      <c r="J1898" s="1503">
        <f>+J1897</f>
        <v>1.0687500000000001</v>
      </c>
      <c r="K1898" s="1504">
        <f>VLOOKUP($E1898,'TRM BanRep'!$A:$K,11,0)</f>
        <v>1.08395</v>
      </c>
      <c r="L1898" s="1036"/>
      <c r="M1898" s="1325">
        <f t="shared" si="3922"/>
        <v>0</v>
      </c>
      <c r="N1898" s="348">
        <f ca="1">IF(OR($E1898="",$E1898&gt;TODAY()),0,VLOOKUP($E1898,'TRM BanRep'!$A:$G,7,0))</f>
        <v>4570.91</v>
      </c>
      <c r="O1898" s="897">
        <f t="shared" ca="1" si="3923"/>
        <v>0</v>
      </c>
      <c r="P1898" s="1017">
        <f>-L1897</f>
        <v>-970.79</v>
      </c>
      <c r="Q1898" s="1362">
        <f t="shared" si="3924"/>
        <v>-1052.2878205</v>
      </c>
      <c r="R1898" s="349">
        <f ca="1">+N1897</f>
        <v>4748.6099999999997</v>
      </c>
      <c r="S1898" s="349">
        <f ca="1">IF(OR($E1898="",$E1898&gt;TODAY()),0,VLOOKUP($E1898,'TRM BanRep'!$A:$G,7,0))</f>
        <v>4570.91</v>
      </c>
      <c r="T1898" s="895">
        <f t="shared" ca="1" si="3925"/>
        <v>-4809912.921601655</v>
      </c>
      <c r="U1898" s="350">
        <f t="shared" si="3926"/>
        <v>-970.79</v>
      </c>
      <c r="V1898" s="918">
        <f t="shared" ca="1" si="3927"/>
        <v>-4926833.9401556253</v>
      </c>
      <c r="W1898" s="351">
        <f t="shared" ca="1" si="3928"/>
        <v>0</v>
      </c>
      <c r="X1898" s="919">
        <f t="shared" ca="1" si="3929"/>
        <v>-116921.01855397038</v>
      </c>
      <c r="Y1898" s="1018"/>
      <c r="Z1898" s="220"/>
      <c r="AA1898" s="15"/>
      <c r="AB1898" s="15"/>
      <c r="AC1898" s="15"/>
      <c r="AD1898" s="15"/>
      <c r="AE1898" s="15"/>
    </row>
    <row r="1899" spans="1:31" s="401" customFormat="1" outlineLevel="1">
      <c r="A1899" s="1011">
        <v>2401012000</v>
      </c>
      <c r="B1899" s="1012"/>
      <c r="C1899" s="1013" t="s">
        <v>146</v>
      </c>
      <c r="D1899" s="1013"/>
      <c r="E1899" s="1014"/>
      <c r="F1899" s="1015"/>
      <c r="G1899" s="1293"/>
      <c r="H1899" s="346"/>
      <c r="I1899" s="1016">
        <f>+F1899*H1899</f>
        <v>0</v>
      </c>
      <c r="J1899" s="1402"/>
      <c r="K1899" s="1402"/>
      <c r="L1899" s="347"/>
      <c r="M1899" s="1329">
        <f t="shared" si="3687"/>
        <v>0</v>
      </c>
      <c r="N1899" s="348"/>
      <c r="O1899" s="996">
        <f t="shared" si="3688"/>
        <v>0</v>
      </c>
      <c r="P1899" s="1017"/>
      <c r="Q1899" s="1362">
        <f t="shared" si="3690"/>
        <v>0</v>
      </c>
      <c r="R1899" s="349"/>
      <c r="S1899" s="349"/>
      <c r="T1899" s="1031">
        <f t="shared" si="3692"/>
        <v>0</v>
      </c>
      <c r="U1899" s="360">
        <f t="shared" si="3693"/>
        <v>0</v>
      </c>
      <c r="V1899" s="361">
        <f t="shared" si="3694"/>
        <v>0</v>
      </c>
      <c r="W1899" s="362">
        <f t="shared" si="3649"/>
        <v>0</v>
      </c>
      <c r="X1899" s="363">
        <f t="shared" si="3650"/>
        <v>0</v>
      </c>
      <c r="Y1899" s="1018"/>
      <c r="Z1899" s="220"/>
      <c r="AA1899" s="15"/>
      <c r="AB1899" s="15"/>
      <c r="AC1899" s="15"/>
      <c r="AD1899" s="15"/>
      <c r="AE1899" s="15"/>
    </row>
    <row r="1900" spans="1:31" s="401" customFormat="1">
      <c r="A1900" s="1011"/>
      <c r="B1900" s="1012"/>
      <c r="C1900" s="1013"/>
      <c r="D1900" s="1013"/>
      <c r="E1900" s="1014"/>
      <c r="F1900" s="1015"/>
      <c r="G1900" s="1293"/>
      <c r="H1900" s="346"/>
      <c r="I1900" s="1016"/>
      <c r="J1900" s="1402"/>
      <c r="K1900" s="1402"/>
      <c r="L1900" s="347"/>
      <c r="M1900" s="1329"/>
      <c r="N1900" s="348"/>
      <c r="O1900" s="996"/>
      <c r="P1900" s="1017"/>
      <c r="Q1900" s="1362"/>
      <c r="R1900" s="349"/>
      <c r="S1900" s="349"/>
      <c r="T1900" s="1031"/>
      <c r="U1900" s="360"/>
      <c r="V1900" s="361"/>
      <c r="W1900" s="362">
        <f t="shared" si="3649"/>
        <v>0</v>
      </c>
      <c r="X1900" s="363">
        <f t="shared" si="3650"/>
        <v>0</v>
      </c>
      <c r="Y1900" s="1018"/>
      <c r="Z1900" s="220"/>
      <c r="AA1900" s="15"/>
      <c r="AB1900" s="15"/>
      <c r="AC1900" s="15"/>
      <c r="AD1900" s="15"/>
      <c r="AE1900" s="15"/>
    </row>
    <row r="1901" spans="1:31" s="344" customFormat="1" ht="15.75">
      <c r="A1901" s="997">
        <v>2401012000</v>
      </c>
      <c r="B1901" s="998" t="s">
        <v>77</v>
      </c>
      <c r="C1901" s="999" t="s">
        <v>106</v>
      </c>
      <c r="D1901" s="999" t="s">
        <v>128</v>
      </c>
      <c r="E1901" s="1000"/>
      <c r="F1901" s="1001"/>
      <c r="G1901" s="1291"/>
      <c r="H1901" s="343"/>
      <c r="I1901" s="1002">
        <v>21344944543</v>
      </c>
      <c r="J1901" s="1372"/>
      <c r="K1901" s="1372"/>
      <c r="L1901" s="1003"/>
      <c r="M1901" s="1326"/>
      <c r="N1901" s="343"/>
      <c r="O1901" s="1002">
        <f>+L1901*N1901</f>
        <v>0</v>
      </c>
      <c r="P1901" s="1001"/>
      <c r="Q1901" s="1291"/>
      <c r="R1901" s="343"/>
      <c r="S1901" s="343"/>
      <c r="T1901" s="1002">
        <f>+P1901*R1901</f>
        <v>0</v>
      </c>
      <c r="U1901" s="1001">
        <f t="shared" ref="U1901:U1910" si="3930">+L1901+P1901+F1901</f>
        <v>0</v>
      </c>
      <c r="V1901" s="1002">
        <f>+I1901+T1901+O1901</f>
        <v>21344944543</v>
      </c>
      <c r="W1901" s="1032"/>
      <c r="X1901" s="1033"/>
      <c r="Y1901" s="1034"/>
      <c r="Z1901" s="220"/>
      <c r="AA1901" s="364"/>
      <c r="AB1901" s="364"/>
      <c r="AC1901" s="364"/>
      <c r="AD1901" s="364"/>
      <c r="AE1901" s="364"/>
    </row>
    <row r="1902" spans="1:31" s="302" customFormat="1" ht="15.75" outlineLevel="1">
      <c r="A1902" s="979">
        <v>2401012000</v>
      </c>
      <c r="B1902" s="980" t="s">
        <v>129</v>
      </c>
      <c r="C1902" s="981" t="s">
        <v>106</v>
      </c>
      <c r="D1902" s="981" t="s">
        <v>128</v>
      </c>
      <c r="E1902" s="1004"/>
      <c r="F1902" s="982"/>
      <c r="G1902" s="1286"/>
      <c r="H1902" s="857"/>
      <c r="I1902" s="1005">
        <f t="shared" ref="I1902:I1910" si="3931">+F1902*H1902</f>
        <v>0</v>
      </c>
      <c r="J1902" s="1398"/>
      <c r="K1902" s="1398"/>
      <c r="L1902" s="1006"/>
      <c r="M1902" s="1327"/>
      <c r="N1902" s="898"/>
      <c r="O1902" s="1007"/>
      <c r="P1902" s="1008"/>
      <c r="Q1902" s="1360"/>
      <c r="R1902" s="899"/>
      <c r="S1902" s="899"/>
      <c r="T1902" s="1009"/>
      <c r="U1902" s="1010">
        <f t="shared" si="3930"/>
        <v>0</v>
      </c>
      <c r="V1902" s="983">
        <v>-12736442171</v>
      </c>
      <c r="W1902" s="1032"/>
      <c r="X1902" s="1033"/>
      <c r="Y1902" s="1034"/>
      <c r="Z1902" s="220"/>
      <c r="AA1902" s="15"/>
      <c r="AB1902" s="15"/>
      <c r="AC1902" s="15"/>
      <c r="AD1902" s="15"/>
      <c r="AE1902" s="15"/>
    </row>
    <row r="1903" spans="1:31" s="302" customFormat="1" ht="15.75" outlineLevel="1">
      <c r="A1903" s="979">
        <v>2401012000</v>
      </c>
      <c r="B1903" s="980" t="s">
        <v>130</v>
      </c>
      <c r="C1903" s="981" t="s">
        <v>106</v>
      </c>
      <c r="D1903" s="981" t="s">
        <v>128</v>
      </c>
      <c r="E1903" s="1004"/>
      <c r="F1903" s="982"/>
      <c r="G1903" s="1286"/>
      <c r="H1903" s="857"/>
      <c r="I1903" s="1005">
        <f t="shared" si="3931"/>
        <v>0</v>
      </c>
      <c r="J1903" s="1398"/>
      <c r="K1903" s="1398"/>
      <c r="L1903" s="1006"/>
      <c r="M1903" s="1327"/>
      <c r="N1903" s="898"/>
      <c r="O1903" s="1007"/>
      <c r="P1903" s="1008"/>
      <c r="Q1903" s="1360"/>
      <c r="R1903" s="899"/>
      <c r="S1903" s="899"/>
      <c r="T1903" s="1009"/>
      <c r="U1903" s="1010">
        <f t="shared" si="3930"/>
        <v>0</v>
      </c>
      <c r="V1903" s="983">
        <f>1555437878-18074133</f>
        <v>1537363745</v>
      </c>
      <c r="W1903" s="1032"/>
      <c r="X1903" s="1033"/>
      <c r="Y1903" s="1034"/>
      <c r="Z1903" s="220"/>
      <c r="AA1903" s="15"/>
      <c r="AB1903" s="15"/>
      <c r="AC1903" s="15"/>
      <c r="AD1903" s="15"/>
      <c r="AE1903" s="15"/>
    </row>
    <row r="1904" spans="1:31" s="302" customFormat="1" ht="15.75" outlineLevel="1">
      <c r="A1904" s="979">
        <v>2401012000</v>
      </c>
      <c r="B1904" s="980" t="s">
        <v>131</v>
      </c>
      <c r="C1904" s="981" t="s">
        <v>106</v>
      </c>
      <c r="D1904" s="981" t="s">
        <v>128</v>
      </c>
      <c r="E1904" s="1004"/>
      <c r="F1904" s="982"/>
      <c r="G1904" s="1286"/>
      <c r="H1904" s="857"/>
      <c r="I1904" s="1005">
        <f t="shared" si="3931"/>
        <v>0</v>
      </c>
      <c r="J1904" s="1398"/>
      <c r="K1904" s="1398"/>
      <c r="L1904" s="1006"/>
      <c r="M1904" s="1327"/>
      <c r="N1904" s="898"/>
      <c r="O1904" s="1007"/>
      <c r="P1904" s="1008"/>
      <c r="Q1904" s="1360"/>
      <c r="R1904" s="899"/>
      <c r="S1904" s="899"/>
      <c r="T1904" s="1009"/>
      <c r="U1904" s="1010">
        <f t="shared" si="3930"/>
        <v>0</v>
      </c>
      <c r="V1904" s="983">
        <v>4255265054</v>
      </c>
      <c r="W1904" s="1032"/>
      <c r="X1904" s="1033"/>
      <c r="Y1904" s="1034"/>
      <c r="Z1904" s="220"/>
      <c r="AA1904" s="15"/>
      <c r="AB1904" s="15"/>
      <c r="AC1904" s="15"/>
      <c r="AD1904" s="15"/>
      <c r="AE1904" s="15"/>
    </row>
    <row r="1905" spans="1:31" s="302" customFormat="1" ht="15.75" outlineLevel="1">
      <c r="A1905" s="979">
        <v>2401012000</v>
      </c>
      <c r="B1905" s="980" t="s">
        <v>132</v>
      </c>
      <c r="C1905" s="981" t="s">
        <v>106</v>
      </c>
      <c r="D1905" s="981" t="s">
        <v>128</v>
      </c>
      <c r="E1905" s="1004"/>
      <c r="F1905" s="982"/>
      <c r="G1905" s="1286"/>
      <c r="H1905" s="857"/>
      <c r="I1905" s="1005">
        <f t="shared" si="3931"/>
        <v>0</v>
      </c>
      <c r="J1905" s="1398"/>
      <c r="K1905" s="1398"/>
      <c r="L1905" s="1006"/>
      <c r="M1905" s="1327"/>
      <c r="N1905" s="898"/>
      <c r="O1905" s="1007"/>
      <c r="P1905" s="1008"/>
      <c r="Q1905" s="1360"/>
      <c r="R1905" s="899"/>
      <c r="S1905" s="899"/>
      <c r="T1905" s="1009"/>
      <c r="U1905" s="1010">
        <f t="shared" si="3930"/>
        <v>0</v>
      </c>
      <c r="V1905" s="983">
        <v>15177708419</v>
      </c>
      <c r="W1905" s="1032"/>
      <c r="X1905" s="1033"/>
      <c r="Y1905" s="1034"/>
      <c r="Z1905" s="220"/>
      <c r="AA1905" s="15"/>
      <c r="AB1905" s="15"/>
      <c r="AC1905" s="15"/>
      <c r="AD1905" s="15"/>
      <c r="AE1905" s="15"/>
    </row>
    <row r="1906" spans="1:31" s="302" customFormat="1" ht="15.75" outlineLevel="1">
      <c r="A1906" s="979">
        <v>2401012000</v>
      </c>
      <c r="B1906" s="980" t="s">
        <v>133</v>
      </c>
      <c r="C1906" s="981" t="s">
        <v>106</v>
      </c>
      <c r="D1906" s="981" t="s">
        <v>128</v>
      </c>
      <c r="E1906" s="1004"/>
      <c r="F1906" s="982"/>
      <c r="G1906" s="1286"/>
      <c r="H1906" s="857"/>
      <c r="I1906" s="1005">
        <f t="shared" si="3931"/>
        <v>0</v>
      </c>
      <c r="J1906" s="1398"/>
      <c r="K1906" s="1398"/>
      <c r="L1906" s="1006"/>
      <c r="M1906" s="1327"/>
      <c r="N1906" s="898"/>
      <c r="O1906" s="1007"/>
      <c r="P1906" s="1008"/>
      <c r="Q1906" s="1360"/>
      <c r="R1906" s="899"/>
      <c r="S1906" s="899"/>
      <c r="T1906" s="1009"/>
      <c r="U1906" s="1010">
        <f t="shared" si="3930"/>
        <v>0</v>
      </c>
      <c r="V1906" s="983">
        <v>0</v>
      </c>
      <c r="W1906" s="1032"/>
      <c r="X1906" s="1033"/>
      <c r="Y1906" s="1034"/>
      <c r="Z1906" s="220"/>
      <c r="AA1906" s="15"/>
      <c r="AB1906" s="15"/>
      <c r="AC1906" s="15"/>
      <c r="AD1906" s="15"/>
      <c r="AE1906" s="15"/>
    </row>
    <row r="1907" spans="1:31" s="302" customFormat="1" ht="15.75" outlineLevel="1">
      <c r="A1907" s="979">
        <v>2401012000</v>
      </c>
      <c r="B1907" s="980" t="s">
        <v>134</v>
      </c>
      <c r="C1907" s="981" t="s">
        <v>106</v>
      </c>
      <c r="D1907" s="981" t="s">
        <v>128</v>
      </c>
      <c r="E1907" s="1004"/>
      <c r="F1907" s="982"/>
      <c r="G1907" s="1286"/>
      <c r="H1907" s="857"/>
      <c r="I1907" s="1005">
        <f t="shared" si="3931"/>
        <v>0</v>
      </c>
      <c r="J1907" s="1398"/>
      <c r="K1907" s="1398"/>
      <c r="L1907" s="1006"/>
      <c r="M1907" s="1327"/>
      <c r="N1907" s="898"/>
      <c r="O1907" s="1007">
        <f>+L1907*N1907</f>
        <v>0</v>
      </c>
      <c r="P1907" s="1008"/>
      <c r="Q1907" s="1360"/>
      <c r="R1907" s="899"/>
      <c r="S1907" s="899"/>
      <c r="T1907" s="1009">
        <f>+P1907*R1907</f>
        <v>0</v>
      </c>
      <c r="U1907" s="1010">
        <f t="shared" si="3930"/>
        <v>0</v>
      </c>
      <c r="V1907" s="983">
        <v>0</v>
      </c>
      <c r="W1907" s="1032"/>
      <c r="X1907" s="1033"/>
      <c r="Y1907" s="1034"/>
      <c r="Z1907" s="220"/>
      <c r="AA1907" s="15"/>
      <c r="AB1907" s="15"/>
      <c r="AC1907" s="15"/>
      <c r="AD1907" s="15"/>
      <c r="AE1907" s="15"/>
    </row>
    <row r="1908" spans="1:31" s="302" customFormat="1" ht="15.75" outlineLevel="1">
      <c r="A1908" s="979">
        <v>2401012000</v>
      </c>
      <c r="B1908" s="980" t="s">
        <v>135</v>
      </c>
      <c r="C1908" s="981" t="s">
        <v>106</v>
      </c>
      <c r="D1908" s="981" t="s">
        <v>128</v>
      </c>
      <c r="E1908" s="1004"/>
      <c r="F1908" s="982"/>
      <c r="G1908" s="1286"/>
      <c r="H1908" s="857"/>
      <c r="I1908" s="1005">
        <f t="shared" si="3931"/>
        <v>0</v>
      </c>
      <c r="J1908" s="1398"/>
      <c r="K1908" s="1398"/>
      <c r="L1908" s="1006"/>
      <c r="M1908" s="1327"/>
      <c r="N1908" s="898"/>
      <c r="O1908" s="1007">
        <f>+L1908*N1908</f>
        <v>0</v>
      </c>
      <c r="P1908" s="1008"/>
      <c r="Q1908" s="1360"/>
      <c r="R1908" s="899"/>
      <c r="S1908" s="899"/>
      <c r="T1908" s="1009">
        <f>+P1908*R1908</f>
        <v>0</v>
      </c>
      <c r="U1908" s="1010">
        <f t="shared" si="3930"/>
        <v>0</v>
      </c>
      <c r="V1908" s="983">
        <v>0</v>
      </c>
      <c r="W1908" s="1032"/>
      <c r="X1908" s="1033"/>
      <c r="Y1908" s="1034"/>
      <c r="Z1908" s="220"/>
      <c r="AA1908" s="15"/>
      <c r="AB1908" s="15"/>
      <c r="AC1908" s="15"/>
      <c r="AD1908" s="15"/>
      <c r="AE1908" s="15"/>
    </row>
    <row r="1909" spans="1:31" s="302" customFormat="1" ht="15.75" outlineLevel="1">
      <c r="A1909" s="979">
        <v>2401012000</v>
      </c>
      <c r="B1909" s="980" t="s">
        <v>136</v>
      </c>
      <c r="C1909" s="981" t="s">
        <v>106</v>
      </c>
      <c r="D1909" s="981" t="s">
        <v>128</v>
      </c>
      <c r="E1909" s="1004"/>
      <c r="F1909" s="982"/>
      <c r="G1909" s="1286"/>
      <c r="H1909" s="857"/>
      <c r="I1909" s="1005">
        <f t="shared" si="3931"/>
        <v>0</v>
      </c>
      <c r="J1909" s="1398"/>
      <c r="K1909" s="1398"/>
      <c r="L1909" s="1006"/>
      <c r="M1909" s="1327"/>
      <c r="N1909" s="898"/>
      <c r="O1909" s="1007">
        <f>+L1909*N1909</f>
        <v>0</v>
      </c>
      <c r="P1909" s="1008"/>
      <c r="Q1909" s="1360"/>
      <c r="R1909" s="899"/>
      <c r="S1909" s="899"/>
      <c r="T1909" s="1009">
        <f>+P1909*R1909</f>
        <v>0</v>
      </c>
      <c r="U1909" s="1010">
        <f t="shared" si="3930"/>
        <v>0</v>
      </c>
      <c r="V1909" s="983">
        <v>0</v>
      </c>
      <c r="W1909" s="1032"/>
      <c r="X1909" s="1033"/>
      <c r="Y1909" s="1034"/>
      <c r="Z1909" s="220"/>
      <c r="AA1909" s="15"/>
      <c r="AB1909" s="15"/>
      <c r="AC1909" s="15"/>
      <c r="AD1909" s="15"/>
      <c r="AE1909" s="15"/>
    </row>
    <row r="1910" spans="1:31" s="302" customFormat="1" ht="15.75" outlineLevel="1">
      <c r="A1910" s="979">
        <v>2401012000</v>
      </c>
      <c r="B1910" s="980" t="s">
        <v>143</v>
      </c>
      <c r="C1910" s="981" t="s">
        <v>106</v>
      </c>
      <c r="D1910" s="981" t="s">
        <v>128</v>
      </c>
      <c r="E1910" s="1004"/>
      <c r="F1910" s="982"/>
      <c r="G1910" s="1286"/>
      <c r="H1910" s="857"/>
      <c r="I1910" s="1005">
        <f t="shared" si="3931"/>
        <v>0</v>
      </c>
      <c r="J1910" s="1398"/>
      <c r="K1910" s="1398"/>
      <c r="L1910" s="1006"/>
      <c r="M1910" s="1327"/>
      <c r="N1910" s="898"/>
      <c r="O1910" s="1007">
        <f>+L1910*N1910</f>
        <v>0</v>
      </c>
      <c r="P1910" s="1008"/>
      <c r="Q1910" s="1360"/>
      <c r="R1910" s="899"/>
      <c r="S1910" s="899"/>
      <c r="T1910" s="1009">
        <f>+P1910*R1910</f>
        <v>0</v>
      </c>
      <c r="U1910" s="1010">
        <f t="shared" si="3930"/>
        <v>0</v>
      </c>
      <c r="V1910" s="983">
        <v>0</v>
      </c>
      <c r="W1910" s="1032"/>
      <c r="X1910" s="1033"/>
      <c r="Y1910" s="1034"/>
      <c r="Z1910" s="220"/>
      <c r="AA1910" s="15"/>
      <c r="AB1910" s="15"/>
      <c r="AC1910" s="15"/>
      <c r="AD1910" s="15"/>
      <c r="AE1910" s="15"/>
    </row>
    <row r="1911" spans="1:31" s="302" customFormat="1" ht="15.75" outlineLevel="1">
      <c r="A1911" s="979">
        <v>2401012000</v>
      </c>
      <c r="B1911" s="980" t="s">
        <v>138</v>
      </c>
      <c r="C1911" s="981" t="s">
        <v>106</v>
      </c>
      <c r="D1911" s="981" t="s">
        <v>128</v>
      </c>
      <c r="E1911" s="1004"/>
      <c r="F1911" s="982"/>
      <c r="G1911" s="1286"/>
      <c r="H1911" s="857"/>
      <c r="I1911" s="1005"/>
      <c r="J1911" s="1398"/>
      <c r="K1911" s="1398"/>
      <c r="L1911" s="1006"/>
      <c r="M1911" s="1327"/>
      <c r="N1911" s="898"/>
      <c r="O1911" s="1007"/>
      <c r="P1911" s="1008"/>
      <c r="Q1911" s="1360"/>
      <c r="R1911" s="899"/>
      <c r="S1911" s="899"/>
      <c r="T1911" s="1009"/>
      <c r="U1911" s="1010"/>
      <c r="V1911" s="983">
        <v>0</v>
      </c>
      <c r="W1911" s="1032"/>
      <c r="X1911" s="1033"/>
      <c r="Y1911" s="1034"/>
      <c r="Z1911" s="220"/>
      <c r="AA1911" s="15"/>
      <c r="AB1911" s="15"/>
      <c r="AC1911" s="15"/>
      <c r="AD1911" s="15"/>
      <c r="AE1911" s="15"/>
    </row>
    <row r="1912" spans="1:31" s="302" customFormat="1" ht="15.75" outlineLevel="1">
      <c r="A1912" s="979">
        <v>2401012000</v>
      </c>
      <c r="B1912" s="980" t="s">
        <v>139</v>
      </c>
      <c r="C1912" s="981" t="s">
        <v>106</v>
      </c>
      <c r="D1912" s="981" t="s">
        <v>128</v>
      </c>
      <c r="E1912" s="1004"/>
      <c r="F1912" s="982"/>
      <c r="G1912" s="1286"/>
      <c r="H1912" s="857"/>
      <c r="I1912" s="1005"/>
      <c r="J1912" s="1398"/>
      <c r="K1912" s="1398"/>
      <c r="L1912" s="1006"/>
      <c r="M1912" s="1327"/>
      <c r="N1912" s="898"/>
      <c r="O1912" s="1007"/>
      <c r="P1912" s="1008"/>
      <c r="Q1912" s="1360"/>
      <c r="R1912" s="899"/>
      <c r="S1912" s="899"/>
      <c r="T1912" s="1009"/>
      <c r="U1912" s="1010"/>
      <c r="V1912" s="983">
        <v>0</v>
      </c>
      <c r="W1912" s="367"/>
      <c r="X1912" s="368"/>
      <c r="Y1912" s="369"/>
      <c r="Z1912" s="220"/>
      <c r="AA1912" s="15"/>
      <c r="AB1912" s="15"/>
      <c r="AC1912" s="15"/>
      <c r="AD1912" s="15"/>
      <c r="AE1912" s="15"/>
    </row>
    <row r="1913" spans="1:31" s="302" customFormat="1" ht="15.75" outlineLevel="1">
      <c r="A1913" s="979">
        <v>2401012000</v>
      </c>
      <c r="B1913" s="980" t="s">
        <v>140</v>
      </c>
      <c r="C1913" s="981" t="s">
        <v>106</v>
      </c>
      <c r="D1913" s="981" t="s">
        <v>128</v>
      </c>
      <c r="E1913" s="1004"/>
      <c r="F1913" s="982"/>
      <c r="G1913" s="1286"/>
      <c r="H1913" s="857"/>
      <c r="I1913" s="1005"/>
      <c r="J1913" s="1398"/>
      <c r="K1913" s="1398"/>
      <c r="L1913" s="1006"/>
      <c r="M1913" s="1327"/>
      <c r="N1913" s="898"/>
      <c r="O1913" s="1007"/>
      <c r="P1913" s="1008"/>
      <c r="Q1913" s="1360"/>
      <c r="R1913" s="899"/>
      <c r="S1913" s="899"/>
      <c r="T1913" s="1009"/>
      <c r="U1913" s="1010"/>
      <c r="V1913" s="983">
        <v>0</v>
      </c>
      <c r="W1913" s="367"/>
      <c r="X1913" s="368"/>
      <c r="Y1913" s="369"/>
      <c r="Z1913" s="220"/>
      <c r="AA1913" s="15"/>
      <c r="AB1913" s="15"/>
      <c r="AC1913" s="15"/>
      <c r="AD1913" s="15"/>
      <c r="AE1913" s="15"/>
    </row>
    <row r="1914" spans="1:31" ht="15.75" thickBot="1">
      <c r="A1914" s="55"/>
      <c r="B1914" s="509"/>
      <c r="C1914" s="510"/>
      <c r="D1914" s="510"/>
      <c r="E1914" s="245"/>
      <c r="F1914" s="455"/>
      <c r="G1914" s="1280"/>
      <c r="H1914" s="456"/>
      <c r="I1914" s="457">
        <f>+F1914*H1914</f>
        <v>0</v>
      </c>
      <c r="J1914" s="1395"/>
      <c r="K1914" s="1395"/>
      <c r="L1914" s="458"/>
      <c r="M1914" s="1316"/>
      <c r="N1914" s="459"/>
      <c r="O1914" s="460">
        <f>+L1914*N1914</f>
        <v>0</v>
      </c>
      <c r="P1914" s="461"/>
      <c r="Q1914" s="1351"/>
      <c r="R1914" s="462"/>
      <c r="S1914" s="462"/>
      <c r="T1914" s="463">
        <f>+P1914*R1914</f>
        <v>0</v>
      </c>
      <c r="U1914" s="464">
        <f>+L1914+P1914+F1914</f>
        <v>0</v>
      </c>
      <c r="V1914" s="465"/>
      <c r="W1914" s="852"/>
      <c r="X1914" s="853"/>
      <c r="Y1914" s="854"/>
      <c r="Z1914" s="220"/>
    </row>
    <row r="1915" spans="1:31" s="252" customFormat="1" ht="19.5" thickBot="1">
      <c r="A1915" s="900" t="s">
        <v>147</v>
      </c>
      <c r="B1915" s="901"/>
      <c r="C1915" s="902"/>
      <c r="D1915" s="902"/>
      <c r="E1915" s="903"/>
      <c r="F1915" s="904">
        <f>SUM(F1784:F1914)</f>
        <v>1731676.4300000002</v>
      </c>
      <c r="G1915" s="1292"/>
      <c r="H1915" s="905"/>
      <c r="I1915" s="906">
        <f>SUM(I1784:I1914)</f>
        <v>29618902640.3363</v>
      </c>
      <c r="J1915" s="1373"/>
      <c r="K1915" s="1373"/>
      <c r="L1915" s="907">
        <f>SUM(L1784:L1914)</f>
        <v>1185707.5799999996</v>
      </c>
      <c r="M1915" s="1328"/>
      <c r="N1915" s="908"/>
      <c r="O1915" s="909">
        <f ca="1">SUM(O1784:O1914)</f>
        <v>5569217471.1535568</v>
      </c>
      <c r="P1915" s="910">
        <f>SUM(P1784:P1914)</f>
        <v>-2615047.1200000015</v>
      </c>
      <c r="Q1915" s="1361"/>
      <c r="R1915" s="911"/>
      <c r="S1915" s="911"/>
      <c r="T1915" s="912">
        <f ca="1">SUM(T1784:T1914)</f>
        <v>-12231271279.809601</v>
      </c>
      <c r="U1915" s="913">
        <f>SUM(U1784:U1914)</f>
        <v>302336.89000000013</v>
      </c>
      <c r="V1915" s="914">
        <f ca="1">SUM(V1784:V1914)</f>
        <v>30944680656.604801</v>
      </c>
      <c r="W1915" s="915">
        <f ca="1">SUM(W1784:W1914)</f>
        <v>76964251.071600005</v>
      </c>
      <c r="X1915" s="916">
        <f ca="1">SUM(X1784:X1914)</f>
        <v>-323027473.14705455</v>
      </c>
      <c r="Y1915" s="917"/>
      <c r="Z1915" s="1073"/>
      <c r="AA1915" s="364"/>
      <c r="AB1915" s="365"/>
      <c r="AC1915" s="365"/>
      <c r="AD1915" s="365"/>
      <c r="AE1915" s="365"/>
    </row>
    <row r="1916" spans="1:31">
      <c r="F1916" s="444"/>
      <c r="G1916" s="444"/>
      <c r="H1916" s="442"/>
      <c r="I1916" s="443"/>
      <c r="L1916" s="441"/>
      <c r="M1916" s="441"/>
      <c r="N1916" s="442"/>
      <c r="O1916" s="443"/>
      <c r="P1916" s="444"/>
      <c r="Q1916" s="444"/>
      <c r="R1916" s="442"/>
      <c r="S1916" s="442"/>
      <c r="T1916" s="443"/>
      <c r="U1916" s="150"/>
      <c r="V1916" s="152"/>
      <c r="W1916" s="443"/>
      <c r="X1916" s="152"/>
      <c r="Y1916" s="345"/>
    </row>
    <row r="1917" spans="1:31" ht="15.75" thickBot="1">
      <c r="F1917" s="444"/>
      <c r="G1917" s="444"/>
      <c r="H1917" s="442"/>
      <c r="I1917" s="443"/>
      <c r="L1917" s="441"/>
      <c r="M1917" s="441"/>
      <c r="N1917" s="442"/>
      <c r="O1917" s="443"/>
      <c r="P1917" s="444"/>
      <c r="Q1917" s="444"/>
      <c r="R1917" s="442"/>
      <c r="S1917" s="442"/>
      <c r="T1917" s="443"/>
      <c r="U1917" s="150"/>
      <c r="V1917" s="152"/>
      <c r="W1917" s="152"/>
      <c r="X1917" s="152"/>
      <c r="Y1917" s="345"/>
    </row>
    <row r="1918" spans="1:31" s="27" customFormat="1" ht="21">
      <c r="A1918" s="827" t="s">
        <v>1262</v>
      </c>
      <c r="B1918" s="828"/>
      <c r="C1918" s="2558" t="s">
        <v>57</v>
      </c>
      <c r="D1918" s="2560" t="s">
        <v>59</v>
      </c>
      <c r="E1918" s="2562" t="s">
        <v>58</v>
      </c>
      <c r="F1918" s="2564">
        <f>+F93</f>
        <v>0</v>
      </c>
      <c r="G1918" s="2565"/>
      <c r="H1918" s="2565"/>
      <c r="I1918" s="2566"/>
      <c r="J1918" s="2580" t="str">
        <f>J6</f>
        <v>Tasa Mon Extranj</v>
      </c>
      <c r="K1918" s="2568"/>
      <c r="L1918" s="2569" t="str">
        <f>L6</f>
        <v>ENTRADAS</v>
      </c>
      <c r="M1918" s="2570"/>
      <c r="N1918" s="2570"/>
      <c r="O1918" s="2571"/>
      <c r="P1918" s="2572" t="str">
        <f>P6</f>
        <v>SALIDAS</v>
      </c>
      <c r="Q1918" s="2573"/>
      <c r="R1918" s="2573"/>
      <c r="S1918" s="2573"/>
      <c r="T1918" s="2574"/>
      <c r="U1918" s="2575" t="s">
        <v>62</v>
      </c>
      <c r="V1918" s="2576"/>
      <c r="W1918" s="2577" t="s">
        <v>63</v>
      </c>
      <c r="X1918" s="2578"/>
      <c r="Y1918" s="2579"/>
      <c r="Z1918" s="44"/>
      <c r="AA1918" s="364"/>
      <c r="AB1918" s="364"/>
      <c r="AC1918" s="364"/>
      <c r="AD1918" s="364"/>
      <c r="AE1918" s="364"/>
    </row>
    <row r="1919" spans="1:31" s="216" customFormat="1" ht="15.75" thickBot="1">
      <c r="A1919" s="253" t="s">
        <v>87</v>
      </c>
      <c r="B1919" s="254" t="s">
        <v>88</v>
      </c>
      <c r="C1919" s="2559"/>
      <c r="D1919" s="2561"/>
      <c r="E1919" s="2563"/>
      <c r="F1919" s="30">
        <f>F110</f>
        <v>0</v>
      </c>
      <c r="G1919" s="1249">
        <f>G110</f>
        <v>0</v>
      </c>
      <c r="H1919" s="31">
        <f>H110</f>
        <v>0</v>
      </c>
      <c r="I1919" s="32">
        <f>I110</f>
        <v>0</v>
      </c>
      <c r="J1919" s="1423" t="str">
        <f>J7</f>
        <v>Inicial</v>
      </c>
      <c r="K1919" s="1338" t="str">
        <f>K7</f>
        <v>Pago</v>
      </c>
      <c r="L1919" s="33" t="str">
        <f>L7</f>
        <v>ENTRADAS MON/EX</v>
      </c>
      <c r="M1919" s="1297" t="str">
        <f>M7</f>
        <v>USD</v>
      </c>
      <c r="N1919" s="34" t="str">
        <f>N7</f>
        <v>TRM INICIAL</v>
      </c>
      <c r="O1919" s="35" t="str">
        <f>O7</f>
        <v>ENTRADAS PESOS</v>
      </c>
      <c r="P1919" s="36" t="str">
        <f>P7</f>
        <v>PAGOS MON/EX</v>
      </c>
      <c r="Q1919" s="1338" t="str">
        <f t="shared" ref="Q1919:X1919" si="3932">Q7</f>
        <v>USD</v>
      </c>
      <c r="R1919" s="37" t="str">
        <f t="shared" si="3932"/>
        <v>TRM INICIAL</v>
      </c>
      <c r="S1919" s="37" t="str">
        <f t="shared" si="3932"/>
        <v>TRM PAGO</v>
      </c>
      <c r="T1919" s="38" t="str">
        <f t="shared" si="3932"/>
        <v>PAGO EN PESOS</v>
      </c>
      <c r="U1919" s="39" t="str">
        <f t="shared" si="3932"/>
        <v xml:space="preserve"> SALDO MON/EX</v>
      </c>
      <c r="V1919" s="40" t="str">
        <f t="shared" si="3932"/>
        <v>SALDO  PESOS</v>
      </c>
      <c r="W1919" s="41" t="str">
        <f t="shared" si="3932"/>
        <v>GASTO</v>
      </c>
      <c r="X1919" s="42" t="str">
        <f t="shared" si="3932"/>
        <v>INGRESO</v>
      </c>
      <c r="Y1919" s="43"/>
      <c r="Z1919" s="214"/>
      <c r="AA1919" s="366"/>
      <c r="AB1919" s="366"/>
      <c r="AC1919" s="366"/>
      <c r="AD1919" s="366"/>
      <c r="AE1919" s="366"/>
    </row>
    <row r="1920" spans="1:31" ht="15.75" hidden="1" outlineLevel="1">
      <c r="A1920" s="961" t="s">
        <v>1262</v>
      </c>
      <c r="B1920" s="962"/>
      <c r="C1920" s="963" t="s">
        <v>64</v>
      </c>
      <c r="D1920" s="963"/>
      <c r="E1920" s="969"/>
      <c r="F1920" s="964">
        <v>0</v>
      </c>
      <c r="G1920" s="1250">
        <f t="shared" ref="G1920:G1924" si="3933">ROUND(F1920*J1920,2)</f>
        <v>0</v>
      </c>
      <c r="H1920" s="47"/>
      <c r="I1920" s="965">
        <f t="shared" ref="I1920:I1924" si="3934">+F1920*J1920*H1920</f>
        <v>0</v>
      </c>
      <c r="J1920" s="773">
        <v>1</v>
      </c>
      <c r="K1920" s="1377">
        <v>1</v>
      </c>
      <c r="L1920" s="218"/>
      <c r="M1920" s="1309">
        <f t="shared" ref="M1920:M1932" si="3935">+L1920*J1920</f>
        <v>0</v>
      </c>
      <c r="N1920" s="47"/>
      <c r="O1920" s="965">
        <f t="shared" ref="O1920:O1932" si="3936">+L1920*J1920*N1920</f>
        <v>0</v>
      </c>
      <c r="P1920" s="964"/>
      <c r="Q1920" s="1250">
        <f t="shared" ref="Q1920:Q1932" si="3937">+P1920*K1920</f>
        <v>0</v>
      </c>
      <c r="R1920" s="47"/>
      <c r="S1920" s="47"/>
      <c r="T1920" s="965">
        <f t="shared" ref="T1920:T1932" si="3938">+P1920*K1920*S1920</f>
        <v>0</v>
      </c>
      <c r="U1920" s="959">
        <f t="shared" ref="U1920:U1932" si="3939">+L1920+P1920+F1920</f>
        <v>0</v>
      </c>
      <c r="V1920" s="960">
        <f t="shared" ref="V1920:V1932" si="3940">+P1920*J1920*R1920+L1920*J1920*N1920+F1920*J1920*H1920</f>
        <v>0</v>
      </c>
      <c r="W1920" s="968">
        <f t="shared" ref="W1920:W1932" si="3941">-(IF(-P1920*J1920*R1920&lt;-P1920*K1920*S1920,(-P1920*J1920*R1920)-(-P1920*K1920*S1920),0))</f>
        <v>0</v>
      </c>
      <c r="X1920" s="966">
        <f t="shared" ref="X1920:X1932" si="3942">-(IF(-P1920*J1920*R1920&gt;-P1920*K1920*S1920,(-P1920*J1920*R1920)-(-P1920*K1920*S1920),0))</f>
        <v>0</v>
      </c>
      <c r="Y1920" s="967"/>
      <c r="Z1920" s="220"/>
      <c r="AA1920" s="325"/>
      <c r="AB1920" s="325"/>
      <c r="AC1920" s="325"/>
      <c r="AD1920" s="333"/>
      <c r="AE1920" s="333"/>
    </row>
    <row r="1921" spans="1:31" ht="15.75" hidden="1" outlineLevel="1">
      <c r="A1921" s="961" t="s">
        <v>1262</v>
      </c>
      <c r="B1921" s="962"/>
      <c r="C1921" s="963" t="s">
        <v>64</v>
      </c>
      <c r="D1921" s="963"/>
      <c r="E1921" s="969"/>
      <c r="F1921" s="964">
        <v>0</v>
      </c>
      <c r="G1921" s="1250">
        <f t="shared" si="3933"/>
        <v>0</v>
      </c>
      <c r="H1921" s="47"/>
      <c r="I1921" s="965">
        <f t="shared" si="3934"/>
        <v>0</v>
      </c>
      <c r="J1921" s="964">
        <v>1</v>
      </c>
      <c r="K1921" s="1454">
        <v>1</v>
      </c>
      <c r="L1921" s="218"/>
      <c r="M1921" s="1309">
        <f t="shared" si="3935"/>
        <v>0</v>
      </c>
      <c r="N1921" s="47"/>
      <c r="O1921" s="965">
        <f t="shared" si="3936"/>
        <v>0</v>
      </c>
      <c r="P1921" s="964"/>
      <c r="Q1921" s="1250">
        <f t="shared" si="3937"/>
        <v>0</v>
      </c>
      <c r="R1921" s="47"/>
      <c r="S1921" s="47"/>
      <c r="T1921" s="965">
        <f t="shared" si="3938"/>
        <v>0</v>
      </c>
      <c r="U1921" s="959">
        <f t="shared" si="3939"/>
        <v>0</v>
      </c>
      <c r="V1921" s="960">
        <f t="shared" si="3940"/>
        <v>0</v>
      </c>
      <c r="W1921" s="968">
        <f t="shared" si="3941"/>
        <v>0</v>
      </c>
      <c r="X1921" s="966">
        <f t="shared" si="3942"/>
        <v>0</v>
      </c>
      <c r="Y1921" s="967"/>
      <c r="Z1921" s="220"/>
      <c r="AA1921" s="325"/>
      <c r="AB1921" s="325"/>
      <c r="AC1921" s="325"/>
      <c r="AD1921" s="333"/>
      <c r="AE1921" s="333"/>
    </row>
    <row r="1922" spans="1:31" ht="15.75" hidden="1" outlineLevel="1">
      <c r="A1922" s="961" t="s">
        <v>1262</v>
      </c>
      <c r="B1922" s="962"/>
      <c r="C1922" s="963" t="s">
        <v>64</v>
      </c>
      <c r="D1922" s="963"/>
      <c r="E1922" s="969"/>
      <c r="F1922" s="964">
        <v>0</v>
      </c>
      <c r="G1922" s="1250">
        <f t="shared" si="3933"/>
        <v>0</v>
      </c>
      <c r="H1922" s="47"/>
      <c r="I1922" s="965">
        <f t="shared" si="3934"/>
        <v>0</v>
      </c>
      <c r="J1922" s="964">
        <v>1</v>
      </c>
      <c r="K1922" s="1454">
        <v>1</v>
      </c>
      <c r="L1922" s="218"/>
      <c r="M1922" s="1309">
        <f t="shared" si="3935"/>
        <v>0</v>
      </c>
      <c r="N1922" s="47"/>
      <c r="O1922" s="965">
        <f t="shared" si="3936"/>
        <v>0</v>
      </c>
      <c r="P1922" s="964"/>
      <c r="Q1922" s="1250">
        <f t="shared" si="3937"/>
        <v>0</v>
      </c>
      <c r="R1922" s="47"/>
      <c r="S1922" s="47"/>
      <c r="T1922" s="965">
        <f t="shared" si="3938"/>
        <v>0</v>
      </c>
      <c r="U1922" s="959">
        <f t="shared" si="3939"/>
        <v>0</v>
      </c>
      <c r="V1922" s="960">
        <f t="shared" si="3940"/>
        <v>0</v>
      </c>
      <c r="W1922" s="968">
        <f t="shared" si="3941"/>
        <v>0</v>
      </c>
      <c r="X1922" s="966">
        <f t="shared" si="3942"/>
        <v>0</v>
      </c>
      <c r="Y1922" s="967"/>
      <c r="Z1922" s="220"/>
      <c r="AA1922" s="325"/>
      <c r="AB1922" s="325"/>
      <c r="AC1922" s="325"/>
      <c r="AD1922" s="333"/>
      <c r="AE1922" s="333"/>
    </row>
    <row r="1923" spans="1:31" ht="15.75" hidden="1" outlineLevel="1">
      <c r="A1923" s="961" t="s">
        <v>1262</v>
      </c>
      <c r="B1923" s="962"/>
      <c r="C1923" s="963" t="s">
        <v>64</v>
      </c>
      <c r="D1923" s="963"/>
      <c r="E1923" s="969"/>
      <c r="F1923" s="964">
        <v>0</v>
      </c>
      <c r="G1923" s="1250">
        <f t="shared" si="3933"/>
        <v>0</v>
      </c>
      <c r="H1923" s="47"/>
      <c r="I1923" s="965">
        <f t="shared" si="3934"/>
        <v>0</v>
      </c>
      <c r="J1923" s="964">
        <v>1</v>
      </c>
      <c r="K1923" s="1454">
        <v>1</v>
      </c>
      <c r="L1923" s="218"/>
      <c r="M1923" s="1309">
        <f t="shared" si="3935"/>
        <v>0</v>
      </c>
      <c r="N1923" s="47"/>
      <c r="O1923" s="965">
        <f t="shared" si="3936"/>
        <v>0</v>
      </c>
      <c r="P1923" s="964"/>
      <c r="Q1923" s="1250">
        <f t="shared" si="3937"/>
        <v>0</v>
      </c>
      <c r="R1923" s="47"/>
      <c r="S1923" s="47"/>
      <c r="T1923" s="965">
        <f t="shared" si="3938"/>
        <v>0</v>
      </c>
      <c r="U1923" s="959">
        <f t="shared" si="3939"/>
        <v>0</v>
      </c>
      <c r="V1923" s="960">
        <f t="shared" si="3940"/>
        <v>0</v>
      </c>
      <c r="W1923" s="968">
        <f t="shared" si="3941"/>
        <v>0</v>
      </c>
      <c r="X1923" s="966">
        <f t="shared" si="3942"/>
        <v>0</v>
      </c>
      <c r="Y1923" s="967"/>
      <c r="Z1923" s="220"/>
      <c r="AA1923" s="325"/>
      <c r="AB1923" s="325"/>
      <c r="AC1923" s="325"/>
      <c r="AD1923" s="333"/>
      <c r="AE1923" s="333"/>
    </row>
    <row r="1924" spans="1:31" ht="15.75" hidden="1" outlineLevel="1">
      <c r="A1924" s="961" t="s">
        <v>1262</v>
      </c>
      <c r="B1924" s="962"/>
      <c r="C1924" s="963" t="s">
        <v>64</v>
      </c>
      <c r="D1924" s="963"/>
      <c r="E1924" s="969"/>
      <c r="F1924" s="964">
        <v>0</v>
      </c>
      <c r="G1924" s="1250">
        <f t="shared" si="3933"/>
        <v>0</v>
      </c>
      <c r="H1924" s="47"/>
      <c r="I1924" s="965">
        <f t="shared" si="3934"/>
        <v>0</v>
      </c>
      <c r="J1924" s="964">
        <v>1</v>
      </c>
      <c r="K1924" s="1454">
        <v>1</v>
      </c>
      <c r="L1924" s="218"/>
      <c r="M1924" s="1309">
        <f t="shared" si="3935"/>
        <v>0</v>
      </c>
      <c r="N1924" s="47"/>
      <c r="O1924" s="965">
        <f t="shared" si="3936"/>
        <v>0</v>
      </c>
      <c r="P1924" s="964"/>
      <c r="Q1924" s="1250">
        <f t="shared" si="3937"/>
        <v>0</v>
      </c>
      <c r="R1924" s="47"/>
      <c r="S1924" s="47"/>
      <c r="T1924" s="965">
        <f t="shared" si="3938"/>
        <v>0</v>
      </c>
      <c r="U1924" s="959">
        <f t="shared" si="3939"/>
        <v>0</v>
      </c>
      <c r="V1924" s="960">
        <f t="shared" si="3940"/>
        <v>0</v>
      </c>
      <c r="W1924" s="968">
        <f t="shared" si="3941"/>
        <v>0</v>
      </c>
      <c r="X1924" s="966">
        <f t="shared" si="3942"/>
        <v>0</v>
      </c>
      <c r="Y1924" s="967"/>
      <c r="Z1924" s="220"/>
      <c r="AA1924" s="325"/>
      <c r="AB1924" s="325"/>
      <c r="AC1924" s="325"/>
      <c r="AD1924" s="333"/>
      <c r="AE1924" s="333"/>
    </row>
    <row r="1925" spans="1:31" s="401" customFormat="1" hidden="1" outlineLevel="1">
      <c r="A1925" s="984" t="s">
        <v>1262</v>
      </c>
      <c r="B1925" s="985"/>
      <c r="C1925" s="986" t="s">
        <v>64</v>
      </c>
      <c r="D1925" s="986"/>
      <c r="E1925" s="987"/>
      <c r="F1925" s="988"/>
      <c r="G1925" s="1287"/>
      <c r="H1925" s="335"/>
      <c r="I1925" s="989"/>
      <c r="J1925" s="991">
        <v>1</v>
      </c>
      <c r="K1925" s="1460">
        <v>1</v>
      </c>
      <c r="L1925" s="336"/>
      <c r="M1925" s="1322">
        <f t="shared" si="3935"/>
        <v>0</v>
      </c>
      <c r="N1925" s="337"/>
      <c r="O1925" s="990">
        <f t="shared" si="3936"/>
        <v>0</v>
      </c>
      <c r="P1925" s="991">
        <f>-F1923</f>
        <v>0</v>
      </c>
      <c r="Q1925" s="1330">
        <f t="shared" si="3937"/>
        <v>0</v>
      </c>
      <c r="R1925" s="337">
        <f>+H1923</f>
        <v>0</v>
      </c>
      <c r="S1925" s="337"/>
      <c r="T1925" s="990">
        <f t="shared" si="3938"/>
        <v>0</v>
      </c>
      <c r="U1925" s="992">
        <f t="shared" si="3939"/>
        <v>0</v>
      </c>
      <c r="V1925" s="990">
        <f t="shared" si="3940"/>
        <v>0</v>
      </c>
      <c r="W1925" s="993">
        <f t="shared" si="3941"/>
        <v>0</v>
      </c>
      <c r="X1925" s="994">
        <f t="shared" si="3942"/>
        <v>0</v>
      </c>
      <c r="Y1925" s="995"/>
      <c r="Z1925" s="220"/>
      <c r="AA1925" s="15"/>
      <c r="AB1925" s="15"/>
      <c r="AC1925" s="15"/>
      <c r="AD1925" s="333"/>
      <c r="AE1925" s="333"/>
    </row>
    <row r="1926" spans="1:31" s="401" customFormat="1" hidden="1" outlineLevel="1">
      <c r="A1926" s="984" t="s">
        <v>1262</v>
      </c>
      <c r="B1926" s="985"/>
      <c r="C1926" s="986" t="s">
        <v>64</v>
      </c>
      <c r="D1926" s="986"/>
      <c r="E1926" s="987"/>
      <c r="F1926" s="988"/>
      <c r="G1926" s="1287"/>
      <c r="H1926" s="335"/>
      <c r="I1926" s="989"/>
      <c r="J1926" s="991">
        <v>1</v>
      </c>
      <c r="K1926" s="1460">
        <v>1</v>
      </c>
      <c r="L1926" s="336"/>
      <c r="M1926" s="1322">
        <f t="shared" si="3935"/>
        <v>0</v>
      </c>
      <c r="N1926" s="337"/>
      <c r="O1926" s="990">
        <f t="shared" si="3936"/>
        <v>0</v>
      </c>
      <c r="P1926" s="991">
        <f>-F1924</f>
        <v>0</v>
      </c>
      <c r="Q1926" s="1330">
        <f t="shared" si="3937"/>
        <v>0</v>
      </c>
      <c r="R1926" s="337">
        <f>+H1924</f>
        <v>0</v>
      </c>
      <c r="S1926" s="337"/>
      <c r="T1926" s="990">
        <f t="shared" si="3938"/>
        <v>0</v>
      </c>
      <c r="U1926" s="992">
        <f t="shared" si="3939"/>
        <v>0</v>
      </c>
      <c r="V1926" s="990">
        <f t="shared" si="3940"/>
        <v>0</v>
      </c>
      <c r="W1926" s="993">
        <f t="shared" si="3941"/>
        <v>0</v>
      </c>
      <c r="X1926" s="994">
        <f t="shared" si="3942"/>
        <v>0</v>
      </c>
      <c r="Y1926" s="995"/>
      <c r="Z1926" s="220"/>
      <c r="AA1926" s="15"/>
      <c r="AB1926" s="15"/>
      <c r="AC1926" s="15"/>
      <c r="AD1926" s="333"/>
      <c r="AE1926" s="333"/>
    </row>
    <row r="1927" spans="1:31" s="401" customFormat="1" hidden="1" outlineLevel="1">
      <c r="A1927" s="984" t="s">
        <v>1262</v>
      </c>
      <c r="B1927" s="985"/>
      <c r="C1927" s="986" t="s">
        <v>64</v>
      </c>
      <c r="D1927" s="986"/>
      <c r="E1927" s="987"/>
      <c r="F1927" s="988"/>
      <c r="G1927" s="1287"/>
      <c r="H1927" s="335"/>
      <c r="I1927" s="989"/>
      <c r="J1927" s="991">
        <v>1</v>
      </c>
      <c r="K1927" s="1460">
        <v>1</v>
      </c>
      <c r="L1927" s="336"/>
      <c r="M1927" s="1322">
        <f t="shared" si="3935"/>
        <v>0</v>
      </c>
      <c r="N1927" s="337"/>
      <c r="O1927" s="990">
        <f t="shared" si="3936"/>
        <v>0</v>
      </c>
      <c r="P1927" s="991">
        <f>-F1920</f>
        <v>0</v>
      </c>
      <c r="Q1927" s="1330">
        <f t="shared" si="3937"/>
        <v>0</v>
      </c>
      <c r="R1927" s="337">
        <f>+H1920</f>
        <v>0</v>
      </c>
      <c r="S1927" s="337"/>
      <c r="T1927" s="990">
        <f t="shared" si="3938"/>
        <v>0</v>
      </c>
      <c r="U1927" s="992">
        <f t="shared" si="3939"/>
        <v>0</v>
      </c>
      <c r="V1927" s="990">
        <f t="shared" si="3940"/>
        <v>0</v>
      </c>
      <c r="W1927" s="993">
        <f t="shared" si="3941"/>
        <v>0</v>
      </c>
      <c r="X1927" s="994">
        <f t="shared" si="3942"/>
        <v>0</v>
      </c>
      <c r="Y1927" s="995"/>
      <c r="Z1927" s="220"/>
      <c r="AA1927" s="15"/>
      <c r="AB1927" s="15"/>
      <c r="AC1927" s="15"/>
      <c r="AD1927" s="333"/>
      <c r="AE1927" s="333"/>
    </row>
    <row r="1928" spans="1:31" s="401" customFormat="1" hidden="1" outlineLevel="1">
      <c r="A1928" s="984" t="s">
        <v>1262</v>
      </c>
      <c r="B1928" s="985"/>
      <c r="C1928" s="986" t="s">
        <v>64</v>
      </c>
      <c r="D1928" s="986"/>
      <c r="E1928" s="987"/>
      <c r="F1928" s="988"/>
      <c r="G1928" s="1287"/>
      <c r="H1928" s="335"/>
      <c r="I1928" s="989"/>
      <c r="J1928" s="991">
        <v>1</v>
      </c>
      <c r="K1928" s="1460">
        <v>1</v>
      </c>
      <c r="L1928" s="336"/>
      <c r="M1928" s="1322">
        <f t="shared" si="3935"/>
        <v>0</v>
      </c>
      <c r="N1928" s="337"/>
      <c r="O1928" s="990">
        <f t="shared" si="3936"/>
        <v>0</v>
      </c>
      <c r="P1928" s="991">
        <f t="shared" ref="P1928:P1929" si="3943">-F1921</f>
        <v>0</v>
      </c>
      <c r="Q1928" s="1330">
        <f t="shared" si="3937"/>
        <v>0</v>
      </c>
      <c r="R1928" s="337">
        <f t="shared" ref="R1928:R1929" si="3944">+H1921</f>
        <v>0</v>
      </c>
      <c r="S1928" s="337"/>
      <c r="T1928" s="990">
        <f t="shared" si="3938"/>
        <v>0</v>
      </c>
      <c r="U1928" s="992">
        <f t="shared" si="3939"/>
        <v>0</v>
      </c>
      <c r="V1928" s="990">
        <f t="shared" si="3940"/>
        <v>0</v>
      </c>
      <c r="W1928" s="993">
        <f t="shared" si="3941"/>
        <v>0</v>
      </c>
      <c r="X1928" s="994">
        <f t="shared" si="3942"/>
        <v>0</v>
      </c>
      <c r="Y1928" s="995"/>
      <c r="Z1928" s="220"/>
      <c r="AA1928" s="15"/>
      <c r="AB1928" s="15"/>
      <c r="AC1928" s="15"/>
      <c r="AD1928" s="333"/>
      <c r="AE1928" s="333"/>
    </row>
    <row r="1929" spans="1:31" s="401" customFormat="1" hidden="1" outlineLevel="1">
      <c r="A1929" s="984" t="s">
        <v>1262</v>
      </c>
      <c r="B1929" s="985"/>
      <c r="C1929" s="986" t="s">
        <v>64</v>
      </c>
      <c r="D1929" s="986"/>
      <c r="E1929" s="987"/>
      <c r="F1929" s="988"/>
      <c r="G1929" s="1287"/>
      <c r="H1929" s="335"/>
      <c r="I1929" s="989"/>
      <c r="J1929" s="991">
        <v>1</v>
      </c>
      <c r="K1929" s="1460">
        <v>1</v>
      </c>
      <c r="L1929" s="336"/>
      <c r="M1929" s="1322">
        <f t="shared" si="3935"/>
        <v>0</v>
      </c>
      <c r="N1929" s="337"/>
      <c r="O1929" s="990">
        <f t="shared" si="3936"/>
        <v>0</v>
      </c>
      <c r="P1929" s="991">
        <f t="shared" si="3943"/>
        <v>0</v>
      </c>
      <c r="Q1929" s="1330">
        <f t="shared" si="3937"/>
        <v>0</v>
      </c>
      <c r="R1929" s="337">
        <f t="shared" si="3944"/>
        <v>0</v>
      </c>
      <c r="S1929" s="337"/>
      <c r="T1929" s="990">
        <f t="shared" si="3938"/>
        <v>0</v>
      </c>
      <c r="U1929" s="992">
        <f t="shared" si="3939"/>
        <v>0</v>
      </c>
      <c r="V1929" s="990">
        <f t="shared" si="3940"/>
        <v>0</v>
      </c>
      <c r="W1929" s="993">
        <f t="shared" si="3941"/>
        <v>0</v>
      </c>
      <c r="X1929" s="994">
        <f t="shared" si="3942"/>
        <v>0</v>
      </c>
      <c r="Y1929" s="995"/>
      <c r="Z1929" s="220"/>
      <c r="AA1929" s="15"/>
      <c r="AB1929" s="15"/>
      <c r="AC1929" s="15"/>
      <c r="AD1929" s="333"/>
      <c r="AE1929" s="333"/>
    </row>
    <row r="1930" spans="1:31" s="401" customFormat="1" collapsed="1">
      <c r="A1930" s="1011"/>
      <c r="B1930" s="1012"/>
      <c r="C1930" s="1013"/>
      <c r="D1930" s="1013"/>
      <c r="E1930" s="1014"/>
      <c r="F1930" s="1015"/>
      <c r="G1930" s="1293"/>
      <c r="H1930" s="346"/>
      <c r="I1930" s="1016"/>
      <c r="J1930" s="1402"/>
      <c r="K1930" s="1402"/>
      <c r="L1930" s="347"/>
      <c r="M1930" s="1329">
        <f t="shared" si="3935"/>
        <v>0</v>
      </c>
      <c r="N1930" s="348"/>
      <c r="O1930" s="897">
        <f t="shared" si="3936"/>
        <v>0</v>
      </c>
      <c r="P1930" s="342"/>
      <c r="Q1930" s="1359">
        <f t="shared" si="3937"/>
        <v>0</v>
      </c>
      <c r="R1930" s="894"/>
      <c r="S1930" s="894"/>
      <c r="T1930" s="895">
        <f t="shared" si="3938"/>
        <v>0</v>
      </c>
      <c r="U1930" s="350">
        <f t="shared" si="3939"/>
        <v>0</v>
      </c>
      <c r="V1930" s="918">
        <f t="shared" si="3940"/>
        <v>0</v>
      </c>
      <c r="W1930" s="351">
        <f t="shared" si="3941"/>
        <v>0</v>
      </c>
      <c r="X1930" s="919">
        <f t="shared" si="3942"/>
        <v>0</v>
      </c>
      <c r="Y1930" s="896"/>
      <c r="Z1930" s="220"/>
      <c r="AA1930" s="15"/>
      <c r="AB1930" s="15"/>
      <c r="AC1930" s="15"/>
      <c r="AD1930" s="15"/>
      <c r="AE1930" s="15"/>
    </row>
    <row r="1931" spans="1:31" s="401" customFormat="1" hidden="1" outlineLevel="1">
      <c r="A1931" s="1019" t="s">
        <v>1262</v>
      </c>
      <c r="B1931" s="1020"/>
      <c r="C1931" s="1021" t="s">
        <v>64</v>
      </c>
      <c r="D1931" s="1021"/>
      <c r="E1931" s="1022"/>
      <c r="F1931" s="1023"/>
      <c r="G1931" s="1290"/>
      <c r="H1931" s="352"/>
      <c r="I1931" s="1024"/>
      <c r="J1931" s="1027">
        <v>1</v>
      </c>
      <c r="K1931" s="1459">
        <v>1</v>
      </c>
      <c r="L1931" s="1026"/>
      <c r="M1931" s="1324">
        <f t="shared" si="3935"/>
        <v>0</v>
      </c>
      <c r="N1931" s="353"/>
      <c r="O1931" s="1025">
        <f t="shared" si="3936"/>
        <v>0</v>
      </c>
      <c r="P1931" s="1026"/>
      <c r="Q1931" s="1324">
        <f t="shared" si="3937"/>
        <v>0</v>
      </c>
      <c r="R1931" s="353"/>
      <c r="S1931" s="353"/>
      <c r="T1931" s="1025">
        <f t="shared" si="3938"/>
        <v>0</v>
      </c>
      <c r="U1931" s="1027">
        <f t="shared" si="3939"/>
        <v>0</v>
      </c>
      <c r="V1931" s="1025">
        <f t="shared" si="3940"/>
        <v>0</v>
      </c>
      <c r="W1931" s="1028">
        <f t="shared" si="3941"/>
        <v>0</v>
      </c>
      <c r="X1931" s="1029">
        <f t="shared" si="3942"/>
        <v>0</v>
      </c>
      <c r="Y1931" s="1030"/>
      <c r="Z1931" s="220"/>
      <c r="AA1931" s="15"/>
      <c r="AB1931" s="15"/>
      <c r="AC1931" s="15"/>
      <c r="AD1931" s="333"/>
      <c r="AE1931" s="333"/>
    </row>
    <row r="1932" spans="1:31" s="401" customFormat="1" hidden="1" outlineLevel="1">
      <c r="A1932" s="1019" t="s">
        <v>1262</v>
      </c>
      <c r="B1932" s="1020"/>
      <c r="C1932" s="1021" t="s">
        <v>64</v>
      </c>
      <c r="D1932" s="1021"/>
      <c r="E1932" s="1022"/>
      <c r="F1932" s="1023"/>
      <c r="G1932" s="1290"/>
      <c r="H1932" s="352"/>
      <c r="I1932" s="1024"/>
      <c r="J1932" s="1027">
        <v>1</v>
      </c>
      <c r="K1932" s="1459">
        <v>1</v>
      </c>
      <c r="L1932" s="1026"/>
      <c r="M1932" s="1324">
        <f t="shared" si="3935"/>
        <v>0</v>
      </c>
      <c r="N1932" s="353"/>
      <c r="O1932" s="1025">
        <f t="shared" si="3936"/>
        <v>0</v>
      </c>
      <c r="P1932" s="1026"/>
      <c r="Q1932" s="1324">
        <f t="shared" si="3937"/>
        <v>0</v>
      </c>
      <c r="R1932" s="353"/>
      <c r="S1932" s="353"/>
      <c r="T1932" s="1025">
        <f t="shared" si="3938"/>
        <v>0</v>
      </c>
      <c r="U1932" s="1027">
        <f t="shared" si="3939"/>
        <v>0</v>
      </c>
      <c r="V1932" s="1025">
        <f t="shared" si="3940"/>
        <v>0</v>
      </c>
      <c r="W1932" s="1028">
        <f t="shared" si="3941"/>
        <v>0</v>
      </c>
      <c r="X1932" s="1029">
        <f t="shared" si="3942"/>
        <v>0</v>
      </c>
      <c r="Y1932" s="1030"/>
      <c r="Z1932" s="220"/>
      <c r="AA1932" s="15"/>
      <c r="AB1932" s="15"/>
      <c r="AC1932" s="15"/>
      <c r="AD1932" s="333"/>
      <c r="AE1932" s="333"/>
    </row>
    <row r="1933" spans="1:31" s="401" customFormat="1" hidden="1" outlineLevel="1">
      <c r="A1933" s="1019" t="s">
        <v>1262</v>
      </c>
      <c r="B1933" s="1020"/>
      <c r="C1933" s="1021" t="s">
        <v>64</v>
      </c>
      <c r="D1933" s="1021"/>
      <c r="E1933" s="1022"/>
      <c r="F1933" s="1023"/>
      <c r="G1933" s="1290"/>
      <c r="H1933" s="352"/>
      <c r="I1933" s="1024"/>
      <c r="J1933" s="1027">
        <v>1</v>
      </c>
      <c r="K1933" s="1459">
        <v>1</v>
      </c>
      <c r="L1933" s="1026"/>
      <c r="M1933" s="1324">
        <f>+L1933*J1933</f>
        <v>0</v>
      </c>
      <c r="N1933" s="353"/>
      <c r="O1933" s="1025">
        <f>+L1933*J1933*N1933</f>
        <v>0</v>
      </c>
      <c r="P1933" s="1026"/>
      <c r="Q1933" s="1324">
        <f>+P1933*K1933</f>
        <v>0</v>
      </c>
      <c r="R1933" s="353"/>
      <c r="S1933" s="353"/>
      <c r="T1933" s="1025">
        <f>+P1933*K1933*S1933</f>
        <v>0</v>
      </c>
      <c r="U1933" s="1027">
        <f>+L1933+P1933+F1933</f>
        <v>0</v>
      </c>
      <c r="V1933" s="1025">
        <f>+P1933*J1933*R1933+L1933*J1933*N1933+F1933*J1933*H1933</f>
        <v>0</v>
      </c>
      <c r="W1933" s="1028">
        <f>-(IF(-P1933*J1933*R1933&lt;-P1933*K1933*S1933,(-P1933*J1933*R1933)-(-P1933*K1933*S1933),0))</f>
        <v>0</v>
      </c>
      <c r="X1933" s="1029">
        <f>-(IF(-P1933*J1933*R1933&gt;-P1933*K1933*S1933,(-P1933*J1933*R1933)-(-P1933*K1933*S1933),0))</f>
        <v>0</v>
      </c>
      <c r="Y1933" s="1030"/>
      <c r="Z1933" s="220"/>
      <c r="AA1933" s="15"/>
      <c r="AB1933" s="15"/>
      <c r="AC1933" s="15"/>
      <c r="AD1933" s="333"/>
      <c r="AE1933" s="333"/>
    </row>
    <row r="1934" spans="1:31" s="401" customFormat="1" hidden="1" outlineLevel="1">
      <c r="A1934" s="1019" t="s">
        <v>1262</v>
      </c>
      <c r="B1934" s="1020"/>
      <c r="C1934" s="1021" t="s">
        <v>64</v>
      </c>
      <c r="D1934" s="1021"/>
      <c r="E1934" s="1022"/>
      <c r="F1934" s="1023"/>
      <c r="G1934" s="1290"/>
      <c r="H1934" s="352"/>
      <c r="I1934" s="1024"/>
      <c r="J1934" s="1027">
        <v>1</v>
      </c>
      <c r="K1934" s="1459">
        <v>1</v>
      </c>
      <c r="L1934" s="1026"/>
      <c r="M1934" s="1324">
        <f t="shared" ref="M1934:M1965" si="3945">+L1934*J1934</f>
        <v>0</v>
      </c>
      <c r="N1934" s="353"/>
      <c r="O1934" s="1025">
        <f t="shared" ref="O1934:O1965" si="3946">+L1934*J1934*N1934</f>
        <v>0</v>
      </c>
      <c r="P1934" s="1026"/>
      <c r="Q1934" s="1324">
        <f t="shared" ref="Q1934:Q1965" si="3947">+P1934*K1934</f>
        <v>0</v>
      </c>
      <c r="R1934" s="353"/>
      <c r="S1934" s="353"/>
      <c r="T1934" s="1025">
        <f t="shared" ref="T1934:T1965" si="3948">+P1934*K1934*S1934</f>
        <v>0</v>
      </c>
      <c r="U1934" s="1027">
        <f t="shared" ref="U1934:U1965" si="3949">+L1934+P1934+F1934</f>
        <v>0</v>
      </c>
      <c r="V1934" s="1025">
        <f t="shared" ref="V1934:V1965" si="3950">+P1934*J1934*R1934+L1934*J1934*N1934+F1934*J1934*H1934</f>
        <v>0</v>
      </c>
      <c r="W1934" s="1028">
        <f t="shared" ref="W1934:W1966" si="3951">-(IF(-P1934*J1934*R1934&lt;-P1934*K1934*S1934,(-P1934*J1934*R1934)-(-P1934*K1934*S1934),0))</f>
        <v>0</v>
      </c>
      <c r="X1934" s="1029">
        <f t="shared" ref="X1934:X1966" si="3952">-(IF(-P1934*J1934*R1934&gt;-P1934*K1934*S1934,(-P1934*J1934*R1934)-(-P1934*K1934*S1934),0))</f>
        <v>0</v>
      </c>
      <c r="Y1934" s="1030"/>
      <c r="Z1934" s="220"/>
      <c r="AA1934" s="15"/>
      <c r="AB1934" s="15"/>
      <c r="AC1934" s="15"/>
      <c r="AD1934" s="333"/>
      <c r="AE1934" s="333"/>
    </row>
    <row r="1935" spans="1:31" s="401" customFormat="1" hidden="1" outlineLevel="1">
      <c r="A1935" s="1019" t="s">
        <v>1262</v>
      </c>
      <c r="B1935" s="1020"/>
      <c r="C1935" s="1021" t="s">
        <v>64</v>
      </c>
      <c r="D1935" s="1021"/>
      <c r="E1935" s="1022"/>
      <c r="F1935" s="1023"/>
      <c r="G1935" s="1290"/>
      <c r="H1935" s="352"/>
      <c r="I1935" s="1024"/>
      <c r="J1935" s="1027">
        <v>1</v>
      </c>
      <c r="K1935" s="1459">
        <v>1</v>
      </c>
      <c r="L1935" s="1026"/>
      <c r="M1935" s="1324">
        <f t="shared" si="3945"/>
        <v>0</v>
      </c>
      <c r="N1935" s="353"/>
      <c r="O1935" s="1025">
        <f t="shared" si="3946"/>
        <v>0</v>
      </c>
      <c r="P1935" s="1026"/>
      <c r="Q1935" s="1324">
        <f t="shared" si="3947"/>
        <v>0</v>
      </c>
      <c r="R1935" s="353"/>
      <c r="S1935" s="353"/>
      <c r="T1935" s="1025">
        <f t="shared" si="3948"/>
        <v>0</v>
      </c>
      <c r="U1935" s="1027">
        <f t="shared" si="3949"/>
        <v>0</v>
      </c>
      <c r="V1935" s="1025">
        <f t="shared" si="3950"/>
        <v>0</v>
      </c>
      <c r="W1935" s="1028">
        <f t="shared" si="3951"/>
        <v>0</v>
      </c>
      <c r="X1935" s="1029">
        <f t="shared" si="3952"/>
        <v>0</v>
      </c>
      <c r="Y1935" s="1030"/>
      <c r="Z1935" s="220"/>
      <c r="AA1935" s="15"/>
      <c r="AB1935" s="15"/>
      <c r="AC1935" s="15"/>
      <c r="AD1935" s="333"/>
      <c r="AE1935" s="333"/>
    </row>
    <row r="1936" spans="1:31" s="401" customFormat="1" hidden="1" outlineLevel="1">
      <c r="A1936" s="1019" t="s">
        <v>1262</v>
      </c>
      <c r="B1936" s="1020"/>
      <c r="C1936" s="1021" t="s">
        <v>64</v>
      </c>
      <c r="D1936" s="1021"/>
      <c r="E1936" s="1022"/>
      <c r="F1936" s="1023"/>
      <c r="G1936" s="1290"/>
      <c r="H1936" s="352"/>
      <c r="I1936" s="1024"/>
      <c r="J1936" s="1027">
        <v>1</v>
      </c>
      <c r="K1936" s="1459">
        <v>1</v>
      </c>
      <c r="L1936" s="1026"/>
      <c r="M1936" s="1324">
        <f t="shared" si="3945"/>
        <v>0</v>
      </c>
      <c r="N1936" s="353"/>
      <c r="O1936" s="1025">
        <f t="shared" si="3946"/>
        <v>0</v>
      </c>
      <c r="P1936" s="1026"/>
      <c r="Q1936" s="1324">
        <f t="shared" si="3947"/>
        <v>0</v>
      </c>
      <c r="R1936" s="353"/>
      <c r="S1936" s="353"/>
      <c r="T1936" s="1025">
        <f t="shared" si="3948"/>
        <v>0</v>
      </c>
      <c r="U1936" s="1027">
        <f t="shared" si="3949"/>
        <v>0</v>
      </c>
      <c r="V1936" s="1025">
        <f t="shared" si="3950"/>
        <v>0</v>
      </c>
      <c r="W1936" s="1028">
        <f t="shared" si="3951"/>
        <v>0</v>
      </c>
      <c r="X1936" s="1029">
        <f t="shared" si="3952"/>
        <v>0</v>
      </c>
      <c r="Y1936" s="1030"/>
      <c r="Z1936" s="220"/>
      <c r="AA1936" s="15"/>
      <c r="AB1936" s="15"/>
      <c r="AC1936" s="15"/>
      <c r="AD1936" s="333"/>
      <c r="AE1936" s="333"/>
    </row>
    <row r="1937" spans="1:31" s="401" customFormat="1" collapsed="1">
      <c r="A1937" s="1019" t="s">
        <v>1262</v>
      </c>
      <c r="B1937" s="1020"/>
      <c r="C1937" s="1021" t="s">
        <v>64</v>
      </c>
      <c r="D1937" s="1021"/>
      <c r="E1937" s="1022"/>
      <c r="F1937" s="1023"/>
      <c r="G1937" s="1290"/>
      <c r="H1937" s="352"/>
      <c r="I1937" s="1024"/>
      <c r="J1937" s="1461"/>
      <c r="K1937" s="1459"/>
      <c r="L1937" s="1026"/>
      <c r="M1937" s="1324">
        <f t="shared" si="3945"/>
        <v>0</v>
      </c>
      <c r="N1937" s="353"/>
      <c r="O1937" s="1025">
        <f t="shared" si="3946"/>
        <v>0</v>
      </c>
      <c r="P1937" s="1026"/>
      <c r="Q1937" s="1324">
        <f t="shared" si="3947"/>
        <v>0</v>
      </c>
      <c r="R1937" s="353"/>
      <c r="S1937" s="353"/>
      <c r="T1937" s="1025">
        <f t="shared" si="3948"/>
        <v>0</v>
      </c>
      <c r="U1937" s="1027">
        <f t="shared" si="3949"/>
        <v>0</v>
      </c>
      <c r="V1937" s="1025">
        <f t="shared" si="3950"/>
        <v>0</v>
      </c>
      <c r="W1937" s="1028">
        <f t="shared" si="3951"/>
        <v>0</v>
      </c>
      <c r="X1937" s="1029">
        <f t="shared" si="3952"/>
        <v>0</v>
      </c>
      <c r="Y1937" s="1030"/>
      <c r="Z1937" s="220"/>
      <c r="AA1937" s="15"/>
      <c r="AB1937" s="15"/>
      <c r="AC1937" s="15"/>
      <c r="AD1937" s="15"/>
      <c r="AE1937" s="15"/>
    </row>
    <row r="1938" spans="1:31" s="401" customFormat="1">
      <c r="A1938" s="1643" t="s">
        <v>1262</v>
      </c>
      <c r="B1938" s="1644"/>
      <c r="C1938" s="1645"/>
      <c r="D1938" s="1645"/>
      <c r="E1938" s="1646"/>
      <c r="F1938" s="1647"/>
      <c r="G1938" s="1648"/>
      <c r="H1938" s="1649"/>
      <c r="I1938" s="1650"/>
      <c r="J1938" s="1660"/>
      <c r="K1938" s="1651"/>
      <c r="L1938" s="1652"/>
      <c r="M1938" s="1653">
        <f t="shared" si="3945"/>
        <v>0</v>
      </c>
      <c r="N1938" s="1654"/>
      <c r="O1938" s="1655">
        <f t="shared" si="3946"/>
        <v>0</v>
      </c>
      <c r="P1938" s="1652"/>
      <c r="Q1938" s="1653">
        <f t="shared" si="3947"/>
        <v>0</v>
      </c>
      <c r="R1938" s="1654"/>
      <c r="S1938" s="1654"/>
      <c r="T1938" s="1655">
        <f t="shared" si="3948"/>
        <v>0</v>
      </c>
      <c r="U1938" s="1656">
        <f t="shared" si="3949"/>
        <v>0</v>
      </c>
      <c r="V1938" s="1655">
        <f t="shared" si="3950"/>
        <v>0</v>
      </c>
      <c r="W1938" s="1657">
        <f t="shared" si="3951"/>
        <v>0</v>
      </c>
      <c r="X1938" s="1658">
        <f t="shared" si="3952"/>
        <v>0</v>
      </c>
      <c r="Y1938" s="1659"/>
      <c r="Z1938" s="220"/>
      <c r="AA1938" s="15"/>
      <c r="AB1938" s="15"/>
      <c r="AC1938" s="15"/>
      <c r="AD1938" s="15"/>
      <c r="AE1938" s="15"/>
    </row>
    <row r="1939" spans="1:31" s="401" customFormat="1">
      <c r="A1939" s="1011"/>
      <c r="B1939" s="1012"/>
      <c r="C1939" s="1013"/>
      <c r="D1939" s="1013"/>
      <c r="E1939" s="1014"/>
      <c r="F1939" s="1015"/>
      <c r="G1939" s="1293"/>
      <c r="H1939" s="346"/>
      <c r="I1939" s="1016"/>
      <c r="J1939" s="1402"/>
      <c r="K1939" s="1402"/>
      <c r="L1939" s="1036"/>
      <c r="M1939" s="1325">
        <f t="shared" si="3945"/>
        <v>0</v>
      </c>
      <c r="N1939" s="348"/>
      <c r="O1939" s="897">
        <f t="shared" si="3946"/>
        <v>0</v>
      </c>
      <c r="P1939" s="342"/>
      <c r="Q1939" s="1359">
        <f t="shared" si="3947"/>
        <v>0</v>
      </c>
      <c r="R1939" s="894"/>
      <c r="S1939" s="894"/>
      <c r="T1939" s="895">
        <f t="shared" si="3948"/>
        <v>0</v>
      </c>
      <c r="U1939" s="350">
        <f t="shared" si="3949"/>
        <v>0</v>
      </c>
      <c r="V1939" s="918">
        <f t="shared" si="3950"/>
        <v>0</v>
      </c>
      <c r="W1939" s="351">
        <f t="shared" si="3951"/>
        <v>0</v>
      </c>
      <c r="X1939" s="919">
        <f t="shared" si="3952"/>
        <v>0</v>
      </c>
      <c r="Y1939" s="896"/>
      <c r="Z1939" s="220"/>
      <c r="AA1939" s="15"/>
      <c r="AB1939" s="15"/>
      <c r="AC1939" s="15"/>
      <c r="AD1939" s="15"/>
      <c r="AE1939" s="15"/>
    </row>
    <row r="1940" spans="1:31" s="401" customFormat="1" hidden="1" outlineLevel="1">
      <c r="A1940" s="1019" t="s">
        <v>1262</v>
      </c>
      <c r="B1940" s="1020"/>
      <c r="C1940" s="1021" t="s">
        <v>206</v>
      </c>
      <c r="D1940" s="1021"/>
      <c r="E1940" s="1022"/>
      <c r="F1940" s="1023"/>
      <c r="G1940" s="1290"/>
      <c r="H1940" s="352"/>
      <c r="I1940" s="1024"/>
      <c r="J1940" s="1461"/>
      <c r="K1940" s="1459"/>
      <c r="L1940" s="1026"/>
      <c r="M1940" s="1324">
        <f t="shared" si="3945"/>
        <v>0</v>
      </c>
      <c r="N1940" s="353"/>
      <c r="O1940" s="1025">
        <f t="shared" si="3946"/>
        <v>0</v>
      </c>
      <c r="P1940" s="1026"/>
      <c r="Q1940" s="1324">
        <f t="shared" si="3947"/>
        <v>0</v>
      </c>
      <c r="R1940" s="353"/>
      <c r="S1940" s="353"/>
      <c r="T1940" s="1025">
        <f t="shared" si="3948"/>
        <v>0</v>
      </c>
      <c r="U1940" s="1027">
        <f t="shared" si="3949"/>
        <v>0</v>
      </c>
      <c r="V1940" s="1025">
        <f t="shared" si="3950"/>
        <v>0</v>
      </c>
      <c r="W1940" s="1028">
        <f t="shared" si="3951"/>
        <v>0</v>
      </c>
      <c r="X1940" s="1029">
        <f t="shared" si="3952"/>
        <v>0</v>
      </c>
      <c r="Y1940" s="1030"/>
      <c r="Z1940" s="220"/>
      <c r="AA1940" s="15"/>
      <c r="AB1940" s="15"/>
      <c r="AC1940" s="15"/>
      <c r="AD1940" s="15"/>
      <c r="AE1940" s="15"/>
    </row>
    <row r="1941" spans="1:31" s="401" customFormat="1" hidden="1" outlineLevel="1">
      <c r="A1941" s="1019" t="s">
        <v>1262</v>
      </c>
      <c r="B1941" s="1020"/>
      <c r="C1941" s="1021"/>
      <c r="D1941" s="1021"/>
      <c r="E1941" s="1022"/>
      <c r="F1941" s="1023"/>
      <c r="G1941" s="1290"/>
      <c r="H1941" s="352"/>
      <c r="I1941" s="1024"/>
      <c r="J1941" s="1461"/>
      <c r="K1941" s="1459"/>
      <c r="L1941" s="1026"/>
      <c r="M1941" s="1324">
        <f t="shared" si="3945"/>
        <v>0</v>
      </c>
      <c r="N1941" s="353"/>
      <c r="O1941" s="1025">
        <f t="shared" si="3946"/>
        <v>0</v>
      </c>
      <c r="P1941" s="1026"/>
      <c r="Q1941" s="1324">
        <f t="shared" si="3947"/>
        <v>0</v>
      </c>
      <c r="R1941" s="353"/>
      <c r="S1941" s="353"/>
      <c r="T1941" s="1025">
        <f t="shared" si="3948"/>
        <v>0</v>
      </c>
      <c r="U1941" s="1027">
        <f t="shared" si="3949"/>
        <v>0</v>
      </c>
      <c r="V1941" s="1025">
        <f t="shared" si="3950"/>
        <v>0</v>
      </c>
      <c r="W1941" s="1028">
        <f t="shared" si="3951"/>
        <v>0</v>
      </c>
      <c r="X1941" s="1029">
        <f t="shared" si="3952"/>
        <v>0</v>
      </c>
      <c r="Y1941" s="1030"/>
      <c r="Z1941" s="220"/>
      <c r="AA1941" s="15"/>
      <c r="AB1941" s="15"/>
      <c r="AC1941" s="15"/>
      <c r="AD1941" s="15"/>
      <c r="AE1941" s="15"/>
    </row>
    <row r="1942" spans="1:31" s="401" customFormat="1" hidden="1" outlineLevel="1">
      <c r="A1942" s="1011" t="s">
        <v>1262</v>
      </c>
      <c r="B1942" s="1012"/>
      <c r="C1942" s="1013" t="s">
        <v>206</v>
      </c>
      <c r="D1942" s="1013"/>
      <c r="E1942" s="1014"/>
      <c r="F1942" s="1015"/>
      <c r="G1942" s="1293"/>
      <c r="H1942" s="346"/>
      <c r="I1942" s="1016"/>
      <c r="J1942" s="1581"/>
      <c r="K1942" s="1583"/>
      <c r="L1942" s="1036"/>
      <c r="M1942" s="1325">
        <f t="shared" si="3945"/>
        <v>0</v>
      </c>
      <c r="N1942" s="348"/>
      <c r="O1942" s="897">
        <f t="shared" si="3946"/>
        <v>0</v>
      </c>
      <c r="P1942" s="1017"/>
      <c r="Q1942" s="1362">
        <f t="shared" si="3947"/>
        <v>0</v>
      </c>
      <c r="R1942" s="349"/>
      <c r="S1942" s="349"/>
      <c r="T1942" s="895">
        <f t="shared" si="3948"/>
        <v>0</v>
      </c>
      <c r="U1942" s="350">
        <f t="shared" si="3949"/>
        <v>0</v>
      </c>
      <c r="V1942" s="918">
        <f t="shared" si="3950"/>
        <v>0</v>
      </c>
      <c r="W1942" s="351">
        <f t="shared" si="3951"/>
        <v>0</v>
      </c>
      <c r="X1942" s="919">
        <f t="shared" si="3952"/>
        <v>0</v>
      </c>
      <c r="Y1942" s="1018"/>
      <c r="Z1942" s="220"/>
      <c r="AA1942" s="15"/>
      <c r="AB1942" s="15"/>
      <c r="AC1942" s="15"/>
      <c r="AD1942" s="15"/>
      <c r="AE1942" s="15"/>
    </row>
    <row r="1943" spans="1:31" s="401" customFormat="1" hidden="1" outlineLevel="1">
      <c r="A1943" s="1011" t="s">
        <v>1262</v>
      </c>
      <c r="B1943" s="1012"/>
      <c r="C1943" s="1013" t="s">
        <v>206</v>
      </c>
      <c r="D1943" s="1013"/>
      <c r="E1943" s="1014"/>
      <c r="F1943" s="1015"/>
      <c r="G1943" s="1293"/>
      <c r="H1943" s="346"/>
      <c r="I1943" s="1016"/>
      <c r="J1943" s="1581">
        <f>+J1942</f>
        <v>0</v>
      </c>
      <c r="K1943" s="1583"/>
      <c r="L1943" s="1036"/>
      <c r="M1943" s="1325">
        <f t="shared" si="3945"/>
        <v>0</v>
      </c>
      <c r="N1943" s="348"/>
      <c r="O1943" s="897">
        <f t="shared" si="3946"/>
        <v>0</v>
      </c>
      <c r="P1943" s="1017">
        <f>-L1942</f>
        <v>0</v>
      </c>
      <c r="Q1943" s="1362">
        <f t="shared" si="3947"/>
        <v>0</v>
      </c>
      <c r="R1943" s="349">
        <f>+N1942</f>
        <v>0</v>
      </c>
      <c r="S1943" s="349"/>
      <c r="T1943" s="895">
        <f t="shared" si="3948"/>
        <v>0</v>
      </c>
      <c r="U1943" s="350">
        <f t="shared" si="3949"/>
        <v>0</v>
      </c>
      <c r="V1943" s="918">
        <f t="shared" si="3950"/>
        <v>0</v>
      </c>
      <c r="W1943" s="351">
        <f t="shared" si="3951"/>
        <v>0</v>
      </c>
      <c r="X1943" s="919">
        <f t="shared" si="3952"/>
        <v>0</v>
      </c>
      <c r="Y1943" s="1018"/>
      <c r="Z1943" s="220"/>
      <c r="AA1943" s="15"/>
      <c r="AB1943" s="15"/>
      <c r="AC1943" s="15"/>
      <c r="AD1943" s="15"/>
      <c r="AE1943" s="15"/>
    </row>
    <row r="1944" spans="1:31" s="401" customFormat="1" collapsed="1">
      <c r="A1944" s="1011"/>
      <c r="B1944" s="1012"/>
      <c r="C1944" s="1013"/>
      <c r="D1944" s="1013"/>
      <c r="E1944" s="1014"/>
      <c r="F1944" s="1015"/>
      <c r="G1944" s="1293"/>
      <c r="H1944" s="346"/>
      <c r="I1944" s="1016"/>
      <c r="J1944" s="1402"/>
      <c r="K1944" s="1402"/>
      <c r="L1944" s="1036"/>
      <c r="M1944" s="1325">
        <f t="shared" si="3945"/>
        <v>0</v>
      </c>
      <c r="N1944" s="348"/>
      <c r="O1944" s="897">
        <f t="shared" si="3946"/>
        <v>0</v>
      </c>
      <c r="P1944" s="342"/>
      <c r="Q1944" s="1359">
        <f t="shared" si="3947"/>
        <v>0</v>
      </c>
      <c r="R1944" s="894"/>
      <c r="S1944" s="894"/>
      <c r="T1944" s="895">
        <f t="shared" si="3948"/>
        <v>0</v>
      </c>
      <c r="U1944" s="350">
        <f t="shared" si="3949"/>
        <v>0</v>
      </c>
      <c r="V1944" s="918">
        <f t="shared" si="3950"/>
        <v>0</v>
      </c>
      <c r="W1944" s="351">
        <f t="shared" si="3951"/>
        <v>0</v>
      </c>
      <c r="X1944" s="919">
        <f t="shared" si="3952"/>
        <v>0</v>
      </c>
      <c r="Y1944" s="896"/>
      <c r="Z1944" s="220"/>
      <c r="AA1944" s="15"/>
      <c r="AB1944" s="15"/>
      <c r="AC1944" s="15"/>
      <c r="AD1944" s="15"/>
      <c r="AE1944" s="15"/>
    </row>
    <row r="1945" spans="1:31" s="401" customFormat="1" hidden="1" outlineLevel="1">
      <c r="A1945" s="1011" t="s">
        <v>1262</v>
      </c>
      <c r="B1945" s="1012"/>
      <c r="C1945" s="1013" t="s">
        <v>64</v>
      </c>
      <c r="D1945" s="1013"/>
      <c r="E1945" s="1014"/>
      <c r="F1945" s="1015"/>
      <c r="G1945" s="1293"/>
      <c r="H1945" s="346"/>
      <c r="I1945" s="1016"/>
      <c r="J1945" s="1457">
        <v>1</v>
      </c>
      <c r="K1945" s="1458">
        <v>1</v>
      </c>
      <c r="L1945" s="1036"/>
      <c r="M1945" s="1325">
        <f t="shared" si="3945"/>
        <v>0</v>
      </c>
      <c r="N1945" s="348"/>
      <c r="O1945" s="897">
        <f t="shared" si="3946"/>
        <v>0</v>
      </c>
      <c r="P1945" s="1017"/>
      <c r="Q1945" s="1362">
        <f t="shared" si="3947"/>
        <v>0</v>
      </c>
      <c r="R1945" s="349"/>
      <c r="S1945" s="349"/>
      <c r="T1945" s="895">
        <f t="shared" si="3948"/>
        <v>0</v>
      </c>
      <c r="U1945" s="350">
        <f t="shared" si="3949"/>
        <v>0</v>
      </c>
      <c r="V1945" s="918">
        <f t="shared" si="3950"/>
        <v>0</v>
      </c>
      <c r="W1945" s="351">
        <f t="shared" si="3951"/>
        <v>0</v>
      </c>
      <c r="X1945" s="919">
        <f t="shared" si="3952"/>
        <v>0</v>
      </c>
      <c r="Y1945" s="1018"/>
      <c r="Z1945" s="220"/>
      <c r="AA1945" s="15"/>
      <c r="AB1945" s="15"/>
      <c r="AC1945" s="15"/>
      <c r="AD1945" s="15"/>
      <c r="AE1945" s="15"/>
    </row>
    <row r="1946" spans="1:31" s="401" customFormat="1" hidden="1" outlineLevel="1">
      <c r="A1946" s="1011" t="s">
        <v>1262</v>
      </c>
      <c r="B1946" s="1012"/>
      <c r="C1946" s="1013" t="s">
        <v>64</v>
      </c>
      <c r="D1946" s="1013"/>
      <c r="E1946" s="1014"/>
      <c r="F1946" s="1015"/>
      <c r="G1946" s="1293"/>
      <c r="H1946" s="346"/>
      <c r="I1946" s="1016"/>
      <c r="J1946" s="1457">
        <v>1</v>
      </c>
      <c r="K1946" s="1458">
        <v>1</v>
      </c>
      <c r="L1946" s="1036"/>
      <c r="M1946" s="1325">
        <f t="shared" si="3945"/>
        <v>0</v>
      </c>
      <c r="N1946" s="348"/>
      <c r="O1946" s="897">
        <f t="shared" si="3946"/>
        <v>0</v>
      </c>
      <c r="P1946" s="1017">
        <f>-L1945</f>
        <v>0</v>
      </c>
      <c r="Q1946" s="1362">
        <f t="shared" si="3947"/>
        <v>0</v>
      </c>
      <c r="R1946" s="349">
        <f>+N1945</f>
        <v>0</v>
      </c>
      <c r="S1946" s="349"/>
      <c r="T1946" s="895">
        <f t="shared" si="3948"/>
        <v>0</v>
      </c>
      <c r="U1946" s="350">
        <f t="shared" si="3949"/>
        <v>0</v>
      </c>
      <c r="V1946" s="918">
        <f t="shared" si="3950"/>
        <v>0</v>
      </c>
      <c r="W1946" s="351">
        <f t="shared" si="3951"/>
        <v>0</v>
      </c>
      <c r="X1946" s="919">
        <f t="shared" si="3952"/>
        <v>0</v>
      </c>
      <c r="Y1946" s="1018"/>
      <c r="Z1946" s="220"/>
      <c r="AA1946" s="15"/>
      <c r="AB1946" s="15"/>
      <c r="AC1946" s="15"/>
      <c r="AD1946" s="15"/>
      <c r="AE1946" s="15"/>
    </row>
    <row r="1947" spans="1:31" s="401" customFormat="1" hidden="1" outlineLevel="1">
      <c r="A1947" s="1011" t="s">
        <v>1262</v>
      </c>
      <c r="B1947" s="1012"/>
      <c r="C1947" s="1013" t="s">
        <v>64</v>
      </c>
      <c r="D1947" s="1013"/>
      <c r="E1947" s="1014"/>
      <c r="F1947" s="1015"/>
      <c r="G1947" s="1293"/>
      <c r="H1947" s="346"/>
      <c r="I1947" s="1016"/>
      <c r="J1947" s="1457">
        <v>1</v>
      </c>
      <c r="K1947" s="1458">
        <v>1</v>
      </c>
      <c r="L1947" s="1036"/>
      <c r="M1947" s="1325">
        <f t="shared" si="3945"/>
        <v>0</v>
      </c>
      <c r="N1947" s="348"/>
      <c r="O1947" s="897">
        <f t="shared" si="3946"/>
        <v>0</v>
      </c>
      <c r="P1947" s="1017"/>
      <c r="Q1947" s="1362">
        <f t="shared" si="3947"/>
        <v>0</v>
      </c>
      <c r="R1947" s="349"/>
      <c r="S1947" s="349"/>
      <c r="T1947" s="895">
        <f t="shared" si="3948"/>
        <v>0</v>
      </c>
      <c r="U1947" s="350">
        <f t="shared" si="3949"/>
        <v>0</v>
      </c>
      <c r="V1947" s="918">
        <f t="shared" si="3950"/>
        <v>0</v>
      </c>
      <c r="W1947" s="351">
        <f t="shared" si="3951"/>
        <v>0</v>
      </c>
      <c r="X1947" s="919">
        <f t="shared" si="3952"/>
        <v>0</v>
      </c>
      <c r="Y1947" s="1018"/>
      <c r="Z1947" s="220"/>
      <c r="AA1947" s="15"/>
      <c r="AB1947" s="15"/>
      <c r="AC1947" s="15"/>
      <c r="AD1947" s="15"/>
      <c r="AE1947" s="15"/>
    </row>
    <row r="1948" spans="1:31" s="401" customFormat="1" hidden="1" outlineLevel="1">
      <c r="A1948" s="1011" t="s">
        <v>1262</v>
      </c>
      <c r="B1948" s="1012"/>
      <c r="C1948" s="1013" t="s">
        <v>64</v>
      </c>
      <c r="D1948" s="1013"/>
      <c r="E1948" s="1014"/>
      <c r="F1948" s="1015"/>
      <c r="G1948" s="1293"/>
      <c r="H1948" s="346"/>
      <c r="I1948" s="1016"/>
      <c r="J1948" s="1457">
        <v>1</v>
      </c>
      <c r="K1948" s="1458">
        <v>1</v>
      </c>
      <c r="L1948" s="1036"/>
      <c r="M1948" s="1325">
        <f t="shared" si="3945"/>
        <v>0</v>
      </c>
      <c r="N1948" s="348"/>
      <c r="O1948" s="897">
        <f t="shared" si="3946"/>
        <v>0</v>
      </c>
      <c r="P1948" s="1017">
        <f>-L1947</f>
        <v>0</v>
      </c>
      <c r="Q1948" s="1362">
        <f t="shared" si="3947"/>
        <v>0</v>
      </c>
      <c r="R1948" s="349">
        <f>+N1947</f>
        <v>0</v>
      </c>
      <c r="S1948" s="349"/>
      <c r="T1948" s="895">
        <f t="shared" si="3948"/>
        <v>0</v>
      </c>
      <c r="U1948" s="350">
        <f t="shared" si="3949"/>
        <v>0</v>
      </c>
      <c r="V1948" s="918">
        <f t="shared" si="3950"/>
        <v>0</v>
      </c>
      <c r="W1948" s="351">
        <f t="shared" si="3951"/>
        <v>0</v>
      </c>
      <c r="X1948" s="919">
        <f t="shared" si="3952"/>
        <v>0</v>
      </c>
      <c r="Y1948" s="1018"/>
      <c r="Z1948" s="220"/>
      <c r="AA1948" s="15"/>
      <c r="AB1948" s="15"/>
      <c r="AC1948" s="15"/>
      <c r="AD1948" s="15"/>
      <c r="AE1948" s="15"/>
    </row>
    <row r="1949" spans="1:31" s="401" customFormat="1" hidden="1" outlineLevel="1">
      <c r="A1949" s="1011" t="s">
        <v>1262</v>
      </c>
      <c r="B1949" s="1012"/>
      <c r="C1949" s="1013" t="s">
        <v>64</v>
      </c>
      <c r="D1949" s="1013"/>
      <c r="E1949" s="1014"/>
      <c r="F1949" s="1015"/>
      <c r="G1949" s="1293"/>
      <c r="H1949" s="346"/>
      <c r="I1949" s="1016"/>
      <c r="J1949" s="1457">
        <v>1</v>
      </c>
      <c r="K1949" s="1458">
        <v>1</v>
      </c>
      <c r="L1949" s="1036"/>
      <c r="M1949" s="1325">
        <f t="shared" si="3945"/>
        <v>0</v>
      </c>
      <c r="N1949" s="348"/>
      <c r="O1949" s="897">
        <f t="shared" si="3946"/>
        <v>0</v>
      </c>
      <c r="P1949" s="1017"/>
      <c r="Q1949" s="1362">
        <f t="shared" si="3947"/>
        <v>0</v>
      </c>
      <c r="R1949" s="349"/>
      <c r="S1949" s="349"/>
      <c r="T1949" s="895">
        <f t="shared" si="3948"/>
        <v>0</v>
      </c>
      <c r="U1949" s="350">
        <f t="shared" si="3949"/>
        <v>0</v>
      </c>
      <c r="V1949" s="918">
        <f t="shared" si="3950"/>
        <v>0</v>
      </c>
      <c r="W1949" s="351">
        <f t="shared" si="3951"/>
        <v>0</v>
      </c>
      <c r="X1949" s="919">
        <f t="shared" si="3952"/>
        <v>0</v>
      </c>
      <c r="Y1949" s="1018"/>
      <c r="Z1949" s="220"/>
      <c r="AA1949" s="15"/>
      <c r="AB1949" s="15"/>
      <c r="AC1949" s="15"/>
      <c r="AD1949" s="15"/>
      <c r="AE1949" s="15"/>
    </row>
    <row r="1950" spans="1:31" s="401" customFormat="1" hidden="1" outlineLevel="1">
      <c r="A1950" s="1011" t="s">
        <v>1262</v>
      </c>
      <c r="B1950" s="1012"/>
      <c r="C1950" s="1013" t="s">
        <v>64</v>
      </c>
      <c r="D1950" s="1013"/>
      <c r="E1950" s="1014"/>
      <c r="F1950" s="1015"/>
      <c r="G1950" s="1293"/>
      <c r="H1950" s="346"/>
      <c r="I1950" s="1016"/>
      <c r="J1950" s="1457">
        <v>1</v>
      </c>
      <c r="K1950" s="1458">
        <v>1</v>
      </c>
      <c r="L1950" s="1036"/>
      <c r="M1950" s="1325">
        <f t="shared" si="3945"/>
        <v>0</v>
      </c>
      <c r="N1950" s="348"/>
      <c r="O1950" s="897">
        <f t="shared" si="3946"/>
        <v>0</v>
      </c>
      <c r="P1950" s="1017">
        <f>-L1949</f>
        <v>0</v>
      </c>
      <c r="Q1950" s="1362">
        <f t="shared" si="3947"/>
        <v>0</v>
      </c>
      <c r="R1950" s="349">
        <f>+N1949</f>
        <v>0</v>
      </c>
      <c r="S1950" s="349"/>
      <c r="T1950" s="895">
        <f t="shared" si="3948"/>
        <v>0</v>
      </c>
      <c r="U1950" s="350">
        <f t="shared" si="3949"/>
        <v>0</v>
      </c>
      <c r="V1950" s="918">
        <f t="shared" si="3950"/>
        <v>0</v>
      </c>
      <c r="W1950" s="351">
        <f t="shared" si="3951"/>
        <v>0</v>
      </c>
      <c r="X1950" s="919">
        <f t="shared" si="3952"/>
        <v>0</v>
      </c>
      <c r="Y1950" s="1018"/>
      <c r="Z1950" s="220"/>
      <c r="AA1950" s="15"/>
      <c r="AB1950" s="15"/>
      <c r="AC1950" s="15"/>
      <c r="AD1950" s="15"/>
      <c r="AE1950" s="15"/>
    </row>
    <row r="1951" spans="1:31" s="401" customFormat="1" hidden="1" outlineLevel="1">
      <c r="A1951" s="1011" t="s">
        <v>1262</v>
      </c>
      <c r="B1951" s="1012"/>
      <c r="C1951" s="1013" t="s">
        <v>64</v>
      </c>
      <c r="D1951" s="1013"/>
      <c r="E1951" s="1014"/>
      <c r="F1951" s="1015"/>
      <c r="G1951" s="1293"/>
      <c r="H1951" s="346"/>
      <c r="I1951" s="1016"/>
      <c r="J1951" s="1457">
        <v>1</v>
      </c>
      <c r="K1951" s="1458">
        <v>1</v>
      </c>
      <c r="L1951" s="1036"/>
      <c r="M1951" s="1325">
        <f t="shared" si="3945"/>
        <v>0</v>
      </c>
      <c r="N1951" s="348"/>
      <c r="O1951" s="897">
        <f t="shared" si="3946"/>
        <v>0</v>
      </c>
      <c r="P1951" s="1017"/>
      <c r="Q1951" s="1362">
        <f t="shared" si="3947"/>
        <v>0</v>
      </c>
      <c r="R1951" s="349"/>
      <c r="S1951" s="349"/>
      <c r="T1951" s="895">
        <f t="shared" si="3948"/>
        <v>0</v>
      </c>
      <c r="U1951" s="350">
        <f t="shared" si="3949"/>
        <v>0</v>
      </c>
      <c r="V1951" s="918">
        <f t="shared" si="3950"/>
        <v>0</v>
      </c>
      <c r="W1951" s="351">
        <f t="shared" si="3951"/>
        <v>0</v>
      </c>
      <c r="X1951" s="919">
        <f t="shared" si="3952"/>
        <v>0</v>
      </c>
      <c r="Y1951" s="1018"/>
      <c r="Z1951" s="220"/>
      <c r="AA1951" s="15"/>
      <c r="AB1951" s="15"/>
      <c r="AC1951" s="15"/>
      <c r="AD1951" s="15"/>
      <c r="AE1951" s="15"/>
    </row>
    <row r="1952" spans="1:31" s="401" customFormat="1" hidden="1" outlineLevel="1">
      <c r="A1952" s="1011" t="s">
        <v>1262</v>
      </c>
      <c r="B1952" s="1012"/>
      <c r="C1952" s="1013" t="s">
        <v>64</v>
      </c>
      <c r="D1952" s="1013"/>
      <c r="E1952" s="1014"/>
      <c r="F1952" s="1015"/>
      <c r="G1952" s="1293"/>
      <c r="H1952" s="346"/>
      <c r="I1952" s="1016"/>
      <c r="J1952" s="1457">
        <v>1</v>
      </c>
      <c r="K1952" s="1458">
        <v>1</v>
      </c>
      <c r="L1952" s="1036"/>
      <c r="M1952" s="1325">
        <f t="shared" ref="M1952" si="3953">+L1952*J1952</f>
        <v>0</v>
      </c>
      <c r="N1952" s="348"/>
      <c r="O1952" s="897">
        <f t="shared" ref="O1952" si="3954">+L1952*J1952*N1952</f>
        <v>0</v>
      </c>
      <c r="P1952" s="1017">
        <f>-L1951</f>
        <v>0</v>
      </c>
      <c r="Q1952" s="1362">
        <f t="shared" ref="Q1952" si="3955">+P1952*K1952</f>
        <v>0</v>
      </c>
      <c r="R1952" s="349">
        <f>+N1951</f>
        <v>0</v>
      </c>
      <c r="S1952" s="349"/>
      <c r="T1952" s="895">
        <f t="shared" ref="T1952" si="3956">+P1952*K1952*S1952</f>
        <v>0</v>
      </c>
      <c r="U1952" s="350">
        <f t="shared" ref="U1952" si="3957">+L1952+P1952+F1952</f>
        <v>0</v>
      </c>
      <c r="V1952" s="918">
        <f t="shared" ref="V1952" si="3958">+P1952*J1952*R1952+L1952*J1952*N1952+F1952*J1952*H1952</f>
        <v>0</v>
      </c>
      <c r="W1952" s="351">
        <f t="shared" ref="W1952" si="3959">-(IF(-P1952*J1952*R1952&lt;-P1952*K1952*S1952,(-P1952*J1952*R1952)-(-P1952*K1952*S1952),0))</f>
        <v>0</v>
      </c>
      <c r="X1952" s="919">
        <f t="shared" ref="X1952" si="3960">-(IF(-P1952*J1952*R1952&gt;-P1952*K1952*S1952,(-P1952*J1952*R1952)-(-P1952*K1952*S1952),0))</f>
        <v>0</v>
      </c>
      <c r="Y1952" s="1018"/>
      <c r="Z1952" s="220"/>
      <c r="AA1952" s="15"/>
      <c r="AB1952" s="15"/>
      <c r="AC1952" s="15"/>
      <c r="AD1952" s="15"/>
      <c r="AE1952" s="15"/>
    </row>
    <row r="1953" spans="1:31" s="401" customFormat="1" hidden="1" outlineLevel="1">
      <c r="A1953" s="1011" t="s">
        <v>1262</v>
      </c>
      <c r="B1953" s="1012"/>
      <c r="C1953" s="1013" t="s">
        <v>64</v>
      </c>
      <c r="D1953" s="1013"/>
      <c r="E1953" s="1014"/>
      <c r="F1953" s="1015"/>
      <c r="G1953" s="1293"/>
      <c r="H1953" s="346"/>
      <c r="I1953" s="1016"/>
      <c r="J1953" s="1457">
        <v>1</v>
      </c>
      <c r="K1953" s="1458">
        <v>1</v>
      </c>
      <c r="L1953" s="1036"/>
      <c r="M1953" s="1325">
        <f t="shared" si="3945"/>
        <v>0</v>
      </c>
      <c r="N1953" s="348"/>
      <c r="O1953" s="897">
        <f t="shared" si="3946"/>
        <v>0</v>
      </c>
      <c r="P1953" s="1017"/>
      <c r="Q1953" s="1362">
        <f t="shared" si="3947"/>
        <v>0</v>
      </c>
      <c r="R1953" s="349"/>
      <c r="S1953" s="349"/>
      <c r="T1953" s="895">
        <f t="shared" si="3948"/>
        <v>0</v>
      </c>
      <c r="U1953" s="350">
        <f t="shared" si="3949"/>
        <v>0</v>
      </c>
      <c r="V1953" s="918">
        <f t="shared" si="3950"/>
        <v>0</v>
      </c>
      <c r="W1953" s="351">
        <f t="shared" si="3951"/>
        <v>0</v>
      </c>
      <c r="X1953" s="919">
        <f t="shared" si="3952"/>
        <v>0</v>
      </c>
      <c r="Y1953" s="1018"/>
      <c r="Z1953" s="220"/>
      <c r="AA1953" s="15"/>
      <c r="AB1953" s="15"/>
      <c r="AC1953" s="15"/>
      <c r="AD1953" s="15"/>
      <c r="AE1953" s="15"/>
    </row>
    <row r="1954" spans="1:31" s="401" customFormat="1" hidden="1" outlineLevel="1">
      <c r="A1954" s="1011" t="s">
        <v>1262</v>
      </c>
      <c r="B1954" s="1012"/>
      <c r="C1954" s="1013" t="s">
        <v>64</v>
      </c>
      <c r="D1954" s="1013"/>
      <c r="E1954" s="1014"/>
      <c r="F1954" s="1015"/>
      <c r="G1954" s="1293"/>
      <c r="H1954" s="346"/>
      <c r="I1954" s="1016"/>
      <c r="J1954" s="1457">
        <v>1</v>
      </c>
      <c r="K1954" s="1458">
        <v>1</v>
      </c>
      <c r="L1954" s="1036"/>
      <c r="M1954" s="1325">
        <f t="shared" si="3945"/>
        <v>0</v>
      </c>
      <c r="N1954" s="348"/>
      <c r="O1954" s="897">
        <f t="shared" si="3946"/>
        <v>0</v>
      </c>
      <c r="P1954" s="1017">
        <f>-L1953</f>
        <v>0</v>
      </c>
      <c r="Q1954" s="1362">
        <f t="shared" si="3947"/>
        <v>0</v>
      </c>
      <c r="R1954" s="349">
        <f>+N1953</f>
        <v>0</v>
      </c>
      <c r="S1954" s="349"/>
      <c r="T1954" s="895">
        <f t="shared" si="3948"/>
        <v>0</v>
      </c>
      <c r="U1954" s="350">
        <f t="shared" si="3949"/>
        <v>0</v>
      </c>
      <c r="V1954" s="918">
        <f t="shared" si="3950"/>
        <v>0</v>
      </c>
      <c r="W1954" s="351">
        <f t="shared" si="3951"/>
        <v>0</v>
      </c>
      <c r="X1954" s="919">
        <f t="shared" si="3952"/>
        <v>0</v>
      </c>
      <c r="Y1954" s="1018"/>
      <c r="Z1954" s="220"/>
      <c r="AA1954" s="15"/>
      <c r="AB1954" s="15"/>
      <c r="AC1954" s="15"/>
      <c r="AD1954" s="15"/>
      <c r="AE1954" s="15"/>
    </row>
    <row r="1955" spans="1:31" s="401" customFormat="1" hidden="1" outlineLevel="1">
      <c r="A1955" s="1011" t="s">
        <v>1262</v>
      </c>
      <c r="B1955" s="1012"/>
      <c r="C1955" s="1013" t="s">
        <v>64</v>
      </c>
      <c r="D1955" s="1013"/>
      <c r="E1955" s="1014"/>
      <c r="F1955" s="1015"/>
      <c r="G1955" s="1293"/>
      <c r="H1955" s="346"/>
      <c r="I1955" s="1016"/>
      <c r="J1955" s="1457">
        <v>1</v>
      </c>
      <c r="K1955" s="1458">
        <v>1</v>
      </c>
      <c r="L1955" s="1036"/>
      <c r="M1955" s="1325">
        <f t="shared" si="3945"/>
        <v>0</v>
      </c>
      <c r="N1955" s="348"/>
      <c r="O1955" s="897">
        <f t="shared" si="3946"/>
        <v>0</v>
      </c>
      <c r="P1955" s="1017"/>
      <c r="Q1955" s="1362">
        <f t="shared" si="3947"/>
        <v>0</v>
      </c>
      <c r="R1955" s="349"/>
      <c r="S1955" s="349"/>
      <c r="T1955" s="895">
        <f t="shared" si="3948"/>
        <v>0</v>
      </c>
      <c r="U1955" s="350">
        <f t="shared" si="3949"/>
        <v>0</v>
      </c>
      <c r="V1955" s="918">
        <f t="shared" si="3950"/>
        <v>0</v>
      </c>
      <c r="W1955" s="351">
        <f t="shared" si="3951"/>
        <v>0</v>
      </c>
      <c r="X1955" s="919">
        <f t="shared" si="3952"/>
        <v>0</v>
      </c>
      <c r="Y1955" s="1018"/>
      <c r="Z1955" s="220"/>
      <c r="AA1955" s="15"/>
      <c r="AB1955" s="15"/>
      <c r="AC1955" s="15"/>
      <c r="AD1955" s="15"/>
      <c r="AE1955" s="15"/>
    </row>
    <row r="1956" spans="1:31" s="401" customFormat="1" hidden="1" outlineLevel="1">
      <c r="A1956" s="1011" t="s">
        <v>1262</v>
      </c>
      <c r="B1956" s="1012"/>
      <c r="C1956" s="1013" t="s">
        <v>64</v>
      </c>
      <c r="D1956" s="1013"/>
      <c r="E1956" s="1014"/>
      <c r="F1956" s="1015"/>
      <c r="G1956" s="1293"/>
      <c r="H1956" s="346"/>
      <c r="I1956" s="1016"/>
      <c r="J1956" s="1457">
        <v>1</v>
      </c>
      <c r="K1956" s="1458">
        <v>1</v>
      </c>
      <c r="L1956" s="1036"/>
      <c r="M1956" s="1325">
        <f t="shared" si="3945"/>
        <v>0</v>
      </c>
      <c r="N1956" s="348"/>
      <c r="O1956" s="897">
        <f t="shared" si="3946"/>
        <v>0</v>
      </c>
      <c r="P1956" s="1017">
        <f>-L1955</f>
        <v>0</v>
      </c>
      <c r="Q1956" s="1362">
        <f t="shared" si="3947"/>
        <v>0</v>
      </c>
      <c r="R1956" s="349">
        <f>+N1955</f>
        <v>0</v>
      </c>
      <c r="S1956" s="349"/>
      <c r="T1956" s="895">
        <f t="shared" si="3948"/>
        <v>0</v>
      </c>
      <c r="U1956" s="350">
        <f t="shared" si="3949"/>
        <v>0</v>
      </c>
      <c r="V1956" s="918">
        <f t="shared" si="3950"/>
        <v>0</v>
      </c>
      <c r="W1956" s="351">
        <f t="shared" si="3951"/>
        <v>0</v>
      </c>
      <c r="X1956" s="919">
        <f t="shared" si="3952"/>
        <v>0</v>
      </c>
      <c r="Y1956" s="1018"/>
      <c r="Z1956" s="220"/>
      <c r="AA1956" s="15"/>
      <c r="AB1956" s="15"/>
      <c r="AC1956" s="15"/>
      <c r="AD1956" s="15"/>
      <c r="AE1956" s="15"/>
    </row>
    <row r="1957" spans="1:31" s="401" customFormat="1" hidden="1" outlineLevel="1">
      <c r="A1957" s="1011" t="s">
        <v>1262</v>
      </c>
      <c r="B1957" s="1012"/>
      <c r="C1957" s="1013" t="s">
        <v>64</v>
      </c>
      <c r="D1957" s="1013"/>
      <c r="E1957" s="1014"/>
      <c r="F1957" s="1015"/>
      <c r="G1957" s="1293"/>
      <c r="H1957" s="346"/>
      <c r="I1957" s="1016"/>
      <c r="J1957" s="1457"/>
      <c r="K1957" s="1458"/>
      <c r="L1957" s="1036"/>
      <c r="M1957" s="1325">
        <f t="shared" si="3945"/>
        <v>0</v>
      </c>
      <c r="N1957" s="348"/>
      <c r="O1957" s="897">
        <f t="shared" si="3946"/>
        <v>0</v>
      </c>
      <c r="P1957" s="1017"/>
      <c r="Q1957" s="1362">
        <f t="shared" si="3947"/>
        <v>0</v>
      </c>
      <c r="R1957" s="349"/>
      <c r="S1957" s="349"/>
      <c r="T1957" s="895">
        <f t="shared" si="3948"/>
        <v>0</v>
      </c>
      <c r="U1957" s="350">
        <f t="shared" si="3949"/>
        <v>0</v>
      </c>
      <c r="V1957" s="918">
        <f t="shared" si="3950"/>
        <v>0</v>
      </c>
      <c r="W1957" s="351">
        <f t="shared" si="3951"/>
        <v>0</v>
      </c>
      <c r="X1957" s="919">
        <f t="shared" si="3952"/>
        <v>0</v>
      </c>
      <c r="Y1957" s="1018"/>
      <c r="Z1957" s="220"/>
      <c r="AA1957" s="15"/>
      <c r="AB1957" s="15"/>
      <c r="AC1957" s="15"/>
      <c r="AD1957" s="15"/>
      <c r="AE1957" s="15"/>
    </row>
    <row r="1958" spans="1:31" s="401" customFormat="1" hidden="1" outlineLevel="1">
      <c r="A1958" s="1011"/>
      <c r="B1958" s="1012"/>
      <c r="C1958" s="1013"/>
      <c r="D1958" s="1013"/>
      <c r="E1958" s="1014"/>
      <c r="F1958" s="1015"/>
      <c r="G1958" s="1293"/>
      <c r="H1958" s="346"/>
      <c r="I1958" s="1016"/>
      <c r="J1958" s="1402"/>
      <c r="K1958" s="1402"/>
      <c r="L1958" s="1036"/>
      <c r="M1958" s="1325">
        <f t="shared" si="3945"/>
        <v>0</v>
      </c>
      <c r="N1958" s="348"/>
      <c r="O1958" s="897">
        <f t="shared" si="3946"/>
        <v>0</v>
      </c>
      <c r="P1958" s="342"/>
      <c r="Q1958" s="1359">
        <f t="shared" si="3947"/>
        <v>0</v>
      </c>
      <c r="R1958" s="894"/>
      <c r="S1958" s="894"/>
      <c r="T1958" s="895">
        <f t="shared" si="3948"/>
        <v>0</v>
      </c>
      <c r="U1958" s="350">
        <f t="shared" si="3949"/>
        <v>0</v>
      </c>
      <c r="V1958" s="918">
        <f t="shared" si="3950"/>
        <v>0</v>
      </c>
      <c r="W1958" s="351">
        <f t="shared" si="3951"/>
        <v>0</v>
      </c>
      <c r="X1958" s="919">
        <f t="shared" si="3952"/>
        <v>0</v>
      </c>
      <c r="Y1958" s="896"/>
      <c r="Z1958" s="220"/>
      <c r="AA1958" s="15"/>
      <c r="AB1958" s="15"/>
      <c r="AC1958" s="15"/>
      <c r="AD1958" s="15"/>
      <c r="AE1958" s="15"/>
    </row>
    <row r="1959" spans="1:31" ht="15.75" collapsed="1">
      <c r="A1959" s="961" t="s">
        <v>1262</v>
      </c>
      <c r="B1959" s="962" t="s">
        <v>77</v>
      </c>
      <c r="C1959" s="963" t="s">
        <v>146</v>
      </c>
      <c r="D1959" s="963"/>
      <c r="E1959" s="969"/>
      <c r="F1959" s="964"/>
      <c r="G1959" s="1250"/>
      <c r="H1959" s="47"/>
      <c r="I1959" s="965">
        <f>+F1959*H1959</f>
        <v>0</v>
      </c>
      <c r="J1959" s="1366"/>
      <c r="K1959" s="1366"/>
      <c r="L1959" s="218"/>
      <c r="M1959" s="1309">
        <f t="shared" si="3945"/>
        <v>0</v>
      </c>
      <c r="N1959" s="47"/>
      <c r="O1959" s="965">
        <f t="shared" si="3946"/>
        <v>0</v>
      </c>
      <c r="P1959" s="964"/>
      <c r="Q1959" s="1250">
        <f t="shared" si="3947"/>
        <v>0</v>
      </c>
      <c r="R1959" s="47"/>
      <c r="S1959" s="47"/>
      <c r="T1959" s="965">
        <f t="shared" si="3948"/>
        <v>0</v>
      </c>
      <c r="U1959" s="354">
        <f t="shared" si="3949"/>
        <v>0</v>
      </c>
      <c r="V1959" s="965">
        <f t="shared" si="3950"/>
        <v>0</v>
      </c>
      <c r="W1959" s="968">
        <f t="shared" si="3951"/>
        <v>0</v>
      </c>
      <c r="X1959" s="966">
        <f t="shared" si="3952"/>
        <v>0</v>
      </c>
      <c r="Y1959" s="967"/>
      <c r="Z1959" s="220"/>
      <c r="AA1959" s="325"/>
      <c r="AB1959" s="325"/>
      <c r="AC1959" s="325"/>
      <c r="AD1959" s="325"/>
      <c r="AE1959" s="325"/>
    </row>
    <row r="1960" spans="1:31" s="401" customFormat="1" hidden="1" outlineLevel="1">
      <c r="A1960" s="984" t="s">
        <v>1262</v>
      </c>
      <c r="B1960" s="985"/>
      <c r="C1960" s="986" t="s">
        <v>146</v>
      </c>
      <c r="D1960" s="986"/>
      <c r="E1960" s="987"/>
      <c r="F1960" s="988"/>
      <c r="G1960" s="1287"/>
      <c r="H1960" s="335"/>
      <c r="I1960" s="989">
        <f>+F1960*H1960</f>
        <v>0</v>
      </c>
      <c r="J1960" s="1399"/>
      <c r="K1960" s="1399"/>
      <c r="L1960" s="336"/>
      <c r="M1960" s="1322">
        <f t="shared" si="3945"/>
        <v>0</v>
      </c>
      <c r="N1960" s="337"/>
      <c r="O1960" s="990">
        <f t="shared" si="3946"/>
        <v>0</v>
      </c>
      <c r="P1960" s="991"/>
      <c r="Q1960" s="1330">
        <f t="shared" si="3947"/>
        <v>0</v>
      </c>
      <c r="R1960" s="337"/>
      <c r="S1960" s="337"/>
      <c r="T1960" s="990">
        <f t="shared" si="3948"/>
        <v>0</v>
      </c>
      <c r="U1960" s="992">
        <f t="shared" si="3949"/>
        <v>0</v>
      </c>
      <c r="V1960" s="990">
        <f t="shared" si="3950"/>
        <v>0</v>
      </c>
      <c r="W1960" s="993">
        <f t="shared" si="3951"/>
        <v>0</v>
      </c>
      <c r="X1960" s="994">
        <f t="shared" si="3952"/>
        <v>0</v>
      </c>
      <c r="Y1960" s="995"/>
      <c r="Z1960" s="220"/>
      <c r="AA1960" s="15"/>
      <c r="AB1960" s="15"/>
      <c r="AC1960" s="15"/>
      <c r="AD1960" s="15"/>
      <c r="AE1960" s="15"/>
    </row>
    <row r="1961" spans="1:31" s="373" customFormat="1" hidden="1" outlineLevel="1">
      <c r="A1961" s="1019" t="s">
        <v>1262</v>
      </c>
      <c r="B1961" s="374"/>
      <c r="C1961" s="1021" t="s">
        <v>146</v>
      </c>
      <c r="D1961" s="1021"/>
      <c r="E1961" s="1022"/>
      <c r="F1961" s="1023"/>
      <c r="G1961" s="1290"/>
      <c r="H1961" s="352"/>
      <c r="I1961" s="1024"/>
      <c r="J1961" s="1588"/>
      <c r="K1961" s="357"/>
      <c r="L1961" s="1026"/>
      <c r="M1961" s="1324">
        <f t="shared" si="3945"/>
        <v>0</v>
      </c>
      <c r="N1961" s="353"/>
      <c r="O1961" s="1025">
        <f t="shared" si="3946"/>
        <v>0</v>
      </c>
      <c r="P1961" s="1026"/>
      <c r="Q1961" s="1324">
        <f t="shared" si="3947"/>
        <v>0</v>
      </c>
      <c r="R1961" s="353"/>
      <c r="S1961" s="353"/>
      <c r="T1961" s="1025">
        <f t="shared" si="3948"/>
        <v>0</v>
      </c>
      <c r="U1961" s="476">
        <f t="shared" si="3949"/>
        <v>0</v>
      </c>
      <c r="V1961" s="922">
        <f t="shared" si="3950"/>
        <v>0</v>
      </c>
      <c r="W1961" s="477">
        <f t="shared" si="3951"/>
        <v>0</v>
      </c>
      <c r="X1961" s="923">
        <f t="shared" si="3952"/>
        <v>0</v>
      </c>
      <c r="Y1961" s="924"/>
      <c r="Z1961" s="1076"/>
      <c r="AA1961" s="15"/>
      <c r="AB1961" s="15"/>
      <c r="AC1961" s="15"/>
      <c r="AD1961" s="15"/>
      <c r="AE1961" s="15"/>
    </row>
    <row r="1962" spans="1:31" s="401" customFormat="1" hidden="1" outlineLevel="1">
      <c r="A1962" s="1011" t="s">
        <v>1262</v>
      </c>
      <c r="B1962" s="1012"/>
      <c r="C1962" s="1013" t="s">
        <v>146</v>
      </c>
      <c r="D1962" s="1013"/>
      <c r="E1962" s="1014"/>
      <c r="F1962" s="1015"/>
      <c r="G1962" s="1293"/>
      <c r="H1962" s="346"/>
      <c r="I1962" s="1016"/>
      <c r="J1962" s="1402"/>
      <c r="K1962" s="1402"/>
      <c r="L1962" s="1036"/>
      <c r="M1962" s="1325">
        <f t="shared" si="3945"/>
        <v>0</v>
      </c>
      <c r="N1962" s="348"/>
      <c r="O1962" s="897">
        <f t="shared" si="3946"/>
        <v>0</v>
      </c>
      <c r="P1962" s="342"/>
      <c r="Q1962" s="1359">
        <f t="shared" si="3947"/>
        <v>0</v>
      </c>
      <c r="R1962" s="894"/>
      <c r="S1962" s="349"/>
      <c r="T1962" s="895">
        <f t="shared" si="3948"/>
        <v>0</v>
      </c>
      <c r="U1962" s="350">
        <f t="shared" si="3949"/>
        <v>0</v>
      </c>
      <c r="V1962" s="918">
        <f t="shared" si="3950"/>
        <v>0</v>
      </c>
      <c r="W1962" s="351">
        <f t="shared" si="3951"/>
        <v>0</v>
      </c>
      <c r="X1962" s="919">
        <f t="shared" si="3952"/>
        <v>0</v>
      </c>
      <c r="Y1962" s="896"/>
      <c r="Z1962" s="220"/>
      <c r="AA1962" s="15"/>
      <c r="AB1962" s="15"/>
      <c r="AC1962" s="15"/>
      <c r="AD1962" s="15"/>
      <c r="AE1962" s="15"/>
    </row>
    <row r="1963" spans="1:31" s="401" customFormat="1" hidden="1" outlineLevel="1">
      <c r="A1963" s="1011" t="s">
        <v>1262</v>
      </c>
      <c r="B1963" s="1012"/>
      <c r="C1963" s="1013" t="s">
        <v>146</v>
      </c>
      <c r="D1963" s="1013"/>
      <c r="E1963" s="1014"/>
      <c r="F1963" s="1015"/>
      <c r="G1963" s="1293"/>
      <c r="H1963" s="346"/>
      <c r="I1963" s="1016"/>
      <c r="J1963" s="1503"/>
      <c r="K1963" s="1504"/>
      <c r="L1963" s="1036"/>
      <c r="M1963" s="1325">
        <f t="shared" si="3945"/>
        <v>0</v>
      </c>
      <c r="N1963" s="348"/>
      <c r="O1963" s="897">
        <f t="shared" si="3946"/>
        <v>0</v>
      </c>
      <c r="P1963" s="1017"/>
      <c r="Q1963" s="1362">
        <f t="shared" si="3947"/>
        <v>0</v>
      </c>
      <c r="R1963" s="349"/>
      <c r="S1963" s="349"/>
      <c r="T1963" s="895">
        <f t="shared" si="3948"/>
        <v>0</v>
      </c>
      <c r="U1963" s="350">
        <f t="shared" si="3949"/>
        <v>0</v>
      </c>
      <c r="V1963" s="918">
        <f t="shared" si="3950"/>
        <v>0</v>
      </c>
      <c r="W1963" s="351">
        <f t="shared" si="3951"/>
        <v>0</v>
      </c>
      <c r="X1963" s="919">
        <f t="shared" si="3952"/>
        <v>0</v>
      </c>
      <c r="Y1963" s="1018"/>
      <c r="Z1963" s="220"/>
      <c r="AA1963" s="15"/>
      <c r="AB1963" s="15"/>
      <c r="AC1963" s="15"/>
      <c r="AD1963" s="15"/>
      <c r="AE1963" s="15"/>
    </row>
    <row r="1964" spans="1:31" s="401" customFormat="1" hidden="1" outlineLevel="1">
      <c r="A1964" s="1011" t="s">
        <v>1262</v>
      </c>
      <c r="B1964" s="1012"/>
      <c r="C1964" s="1013" t="s">
        <v>146</v>
      </c>
      <c r="D1964" s="1013"/>
      <c r="E1964" s="1014"/>
      <c r="F1964" s="1015"/>
      <c r="G1964" s="1293"/>
      <c r="H1964" s="346"/>
      <c r="I1964" s="1016"/>
      <c r="J1964" s="1503">
        <f>+J1963</f>
        <v>0</v>
      </c>
      <c r="K1964" s="1504"/>
      <c r="L1964" s="1036"/>
      <c r="M1964" s="1325">
        <f t="shared" si="3945"/>
        <v>0</v>
      </c>
      <c r="N1964" s="348"/>
      <c r="O1964" s="897">
        <f t="shared" si="3946"/>
        <v>0</v>
      </c>
      <c r="P1964" s="1017">
        <f>-L1963</f>
        <v>0</v>
      </c>
      <c r="Q1964" s="1362">
        <f t="shared" si="3947"/>
        <v>0</v>
      </c>
      <c r="R1964" s="349">
        <f>+N1963</f>
        <v>0</v>
      </c>
      <c r="S1964" s="349"/>
      <c r="T1964" s="895">
        <f t="shared" si="3948"/>
        <v>0</v>
      </c>
      <c r="U1964" s="350">
        <f t="shared" si="3949"/>
        <v>0</v>
      </c>
      <c r="V1964" s="918">
        <f t="shared" si="3950"/>
        <v>0</v>
      </c>
      <c r="W1964" s="351">
        <f t="shared" si="3951"/>
        <v>0</v>
      </c>
      <c r="X1964" s="919">
        <f t="shared" si="3952"/>
        <v>0</v>
      </c>
      <c r="Y1964" s="1018"/>
      <c r="Z1964" s="220"/>
      <c r="AA1964" s="15"/>
      <c r="AB1964" s="15"/>
      <c r="AC1964" s="15"/>
      <c r="AD1964" s="15"/>
      <c r="AE1964" s="15"/>
    </row>
    <row r="1965" spans="1:31" s="401" customFormat="1" hidden="1" outlineLevel="1">
      <c r="A1965" s="1011" t="s">
        <v>1262</v>
      </c>
      <c r="B1965" s="1012"/>
      <c r="C1965" s="1013" t="s">
        <v>146</v>
      </c>
      <c r="D1965" s="1013"/>
      <c r="E1965" s="1014"/>
      <c r="F1965" s="1015"/>
      <c r="G1965" s="1293"/>
      <c r="H1965" s="346"/>
      <c r="I1965" s="1016">
        <f>+F1965*H1965</f>
        <v>0</v>
      </c>
      <c r="J1965" s="1402"/>
      <c r="K1965" s="1402"/>
      <c r="L1965" s="347"/>
      <c r="M1965" s="1329">
        <f t="shared" si="3945"/>
        <v>0</v>
      </c>
      <c r="N1965" s="348"/>
      <c r="O1965" s="996">
        <f t="shared" si="3946"/>
        <v>0</v>
      </c>
      <c r="P1965" s="1017"/>
      <c r="Q1965" s="1362">
        <f t="shared" si="3947"/>
        <v>0</v>
      </c>
      <c r="R1965" s="349"/>
      <c r="S1965" s="349"/>
      <c r="T1965" s="1031">
        <f t="shared" si="3948"/>
        <v>0</v>
      </c>
      <c r="U1965" s="360">
        <f t="shared" si="3949"/>
        <v>0</v>
      </c>
      <c r="V1965" s="361">
        <f t="shared" si="3950"/>
        <v>0</v>
      </c>
      <c r="W1965" s="362">
        <f t="shared" si="3951"/>
        <v>0</v>
      </c>
      <c r="X1965" s="363">
        <f t="shared" si="3952"/>
        <v>0</v>
      </c>
      <c r="Y1965" s="1018"/>
      <c r="Z1965" s="220"/>
      <c r="AA1965" s="15"/>
      <c r="AB1965" s="15"/>
      <c r="AC1965" s="15"/>
      <c r="AD1965" s="15"/>
      <c r="AE1965" s="15"/>
    </row>
    <row r="1966" spans="1:31" s="401" customFormat="1" collapsed="1">
      <c r="A1966" s="1011"/>
      <c r="B1966" s="1012"/>
      <c r="C1966" s="1013"/>
      <c r="D1966" s="1013"/>
      <c r="E1966" s="1014"/>
      <c r="F1966" s="1015"/>
      <c r="G1966" s="1293"/>
      <c r="H1966" s="346"/>
      <c r="I1966" s="1016"/>
      <c r="J1966" s="1402"/>
      <c r="K1966" s="1402"/>
      <c r="L1966" s="347"/>
      <c r="M1966" s="1329"/>
      <c r="N1966" s="348"/>
      <c r="O1966" s="996"/>
      <c r="P1966" s="1017"/>
      <c r="Q1966" s="1362"/>
      <c r="R1966" s="349"/>
      <c r="S1966" s="349"/>
      <c r="T1966" s="1031"/>
      <c r="U1966" s="360"/>
      <c r="V1966" s="361"/>
      <c r="W1966" s="362">
        <f t="shared" si="3951"/>
        <v>0</v>
      </c>
      <c r="X1966" s="363">
        <f t="shared" si="3952"/>
        <v>0</v>
      </c>
      <c r="Y1966" s="1018"/>
      <c r="Z1966" s="220"/>
      <c r="AA1966" s="15"/>
      <c r="AB1966" s="15"/>
      <c r="AC1966" s="15"/>
      <c r="AD1966" s="15"/>
      <c r="AE1966" s="15"/>
    </row>
    <row r="1967" spans="1:31" s="344" customFormat="1" ht="15.75">
      <c r="A1967" s="997" t="s">
        <v>1262</v>
      </c>
      <c r="B1967" s="998" t="s">
        <v>77</v>
      </c>
      <c r="C1967" s="999" t="s">
        <v>106</v>
      </c>
      <c r="D1967" s="999" t="s">
        <v>128</v>
      </c>
      <c r="E1967" s="1000"/>
      <c r="F1967" s="1001"/>
      <c r="G1967" s="1291"/>
      <c r="H1967" s="343"/>
      <c r="I1967" s="1002">
        <v>0</v>
      </c>
      <c r="J1967" s="1372"/>
      <c r="K1967" s="1372"/>
      <c r="L1967" s="1003"/>
      <c r="M1967" s="1326"/>
      <c r="N1967" s="343"/>
      <c r="O1967" s="1002">
        <f>+L1967*N1967</f>
        <v>0</v>
      </c>
      <c r="P1967" s="1001"/>
      <c r="Q1967" s="1291"/>
      <c r="R1967" s="343"/>
      <c r="S1967" s="343"/>
      <c r="T1967" s="1002">
        <f>+P1967*R1967</f>
        <v>0</v>
      </c>
      <c r="U1967" s="1001">
        <f t="shared" ref="U1967:U1976" si="3961">+L1967+P1967+F1967</f>
        <v>0</v>
      </c>
      <c r="V1967" s="1002">
        <f>+I1967+T1967+O1967</f>
        <v>0</v>
      </c>
      <c r="W1967" s="1032"/>
      <c r="X1967" s="1033"/>
      <c r="Y1967" s="1034"/>
      <c r="Z1967" s="220"/>
      <c r="AA1967" s="364"/>
      <c r="AB1967" s="364"/>
      <c r="AC1967" s="364"/>
      <c r="AD1967" s="364"/>
      <c r="AE1967" s="364"/>
    </row>
    <row r="1968" spans="1:31" s="302" customFormat="1" ht="15.75" hidden="1" outlineLevel="1">
      <c r="A1968" s="979" t="s">
        <v>1262</v>
      </c>
      <c r="B1968" s="980" t="s">
        <v>129</v>
      </c>
      <c r="C1968" s="981" t="s">
        <v>106</v>
      </c>
      <c r="D1968" s="981" t="s">
        <v>128</v>
      </c>
      <c r="E1968" s="1004"/>
      <c r="F1968" s="982"/>
      <c r="G1968" s="1286"/>
      <c r="H1968" s="857"/>
      <c r="I1968" s="1005">
        <f t="shared" ref="I1968:I1976" si="3962">+F1968*H1968</f>
        <v>0</v>
      </c>
      <c r="J1968" s="1398"/>
      <c r="K1968" s="1398"/>
      <c r="L1968" s="1006"/>
      <c r="M1968" s="1327"/>
      <c r="N1968" s="898"/>
      <c r="O1968" s="1007"/>
      <c r="P1968" s="1008"/>
      <c r="Q1968" s="1360"/>
      <c r="R1968" s="899"/>
      <c r="S1968" s="899"/>
      <c r="T1968" s="1009"/>
      <c r="U1968" s="1010">
        <f t="shared" si="3961"/>
        <v>0</v>
      </c>
      <c r="V1968" s="983"/>
      <c r="W1968" s="1032"/>
      <c r="X1968" s="1033"/>
      <c r="Y1968" s="1034"/>
      <c r="Z1968" s="220"/>
      <c r="AA1968" s="15"/>
      <c r="AB1968" s="15"/>
      <c r="AC1968" s="15"/>
      <c r="AD1968" s="15"/>
      <c r="AE1968" s="15"/>
    </row>
    <row r="1969" spans="1:31" s="302" customFormat="1" ht="15.75" hidden="1" outlineLevel="1">
      <c r="A1969" s="979" t="s">
        <v>1262</v>
      </c>
      <c r="B1969" s="980" t="s">
        <v>130</v>
      </c>
      <c r="C1969" s="981" t="s">
        <v>106</v>
      </c>
      <c r="D1969" s="981" t="s">
        <v>128</v>
      </c>
      <c r="E1969" s="1004"/>
      <c r="F1969" s="982"/>
      <c r="G1969" s="1286"/>
      <c r="H1969" s="857"/>
      <c r="I1969" s="1005">
        <f t="shared" si="3962"/>
        <v>0</v>
      </c>
      <c r="J1969" s="1398"/>
      <c r="K1969" s="1398"/>
      <c r="L1969" s="1006"/>
      <c r="M1969" s="1327"/>
      <c r="N1969" s="898"/>
      <c r="O1969" s="1007"/>
      <c r="P1969" s="1008"/>
      <c r="Q1969" s="1360"/>
      <c r="R1969" s="899"/>
      <c r="S1969" s="899"/>
      <c r="T1969" s="1009"/>
      <c r="U1969" s="1010">
        <f t="shared" si="3961"/>
        <v>0</v>
      </c>
      <c r="V1969" s="983"/>
      <c r="W1969" s="1032"/>
      <c r="X1969" s="1033"/>
      <c r="Y1969" s="1034"/>
      <c r="Z1969" s="220"/>
      <c r="AA1969" s="15"/>
      <c r="AB1969" s="15"/>
      <c r="AC1969" s="15"/>
      <c r="AD1969" s="15"/>
      <c r="AE1969" s="15"/>
    </row>
    <row r="1970" spans="1:31" s="302" customFormat="1" ht="15.75" hidden="1" outlineLevel="1">
      <c r="A1970" s="979" t="s">
        <v>1262</v>
      </c>
      <c r="B1970" s="980" t="s">
        <v>131</v>
      </c>
      <c r="C1970" s="981" t="s">
        <v>106</v>
      </c>
      <c r="D1970" s="981" t="s">
        <v>128</v>
      </c>
      <c r="E1970" s="1004"/>
      <c r="F1970" s="982"/>
      <c r="G1970" s="1286"/>
      <c r="H1970" s="857"/>
      <c r="I1970" s="1005">
        <f t="shared" si="3962"/>
        <v>0</v>
      </c>
      <c r="J1970" s="1398"/>
      <c r="K1970" s="1398"/>
      <c r="L1970" s="1006"/>
      <c r="M1970" s="1327"/>
      <c r="N1970" s="898"/>
      <c r="O1970" s="1007"/>
      <c r="P1970" s="1008"/>
      <c r="Q1970" s="1360"/>
      <c r="R1970" s="899"/>
      <c r="S1970" s="899"/>
      <c r="T1970" s="1009"/>
      <c r="U1970" s="1010">
        <f t="shared" si="3961"/>
        <v>0</v>
      </c>
      <c r="V1970" s="983"/>
      <c r="W1970" s="1032"/>
      <c r="X1970" s="1033"/>
      <c r="Y1970" s="1034"/>
      <c r="Z1970" s="220"/>
      <c r="AA1970" s="15"/>
      <c r="AB1970" s="15"/>
      <c r="AC1970" s="15"/>
      <c r="AD1970" s="15"/>
      <c r="AE1970" s="15"/>
    </row>
    <row r="1971" spans="1:31" s="302" customFormat="1" ht="15.75" hidden="1" outlineLevel="1">
      <c r="A1971" s="979" t="s">
        <v>1262</v>
      </c>
      <c r="B1971" s="980" t="s">
        <v>132</v>
      </c>
      <c r="C1971" s="981" t="s">
        <v>106</v>
      </c>
      <c r="D1971" s="981" t="s">
        <v>128</v>
      </c>
      <c r="E1971" s="1004"/>
      <c r="F1971" s="982"/>
      <c r="G1971" s="1286"/>
      <c r="H1971" s="857"/>
      <c r="I1971" s="1005">
        <f t="shared" si="3962"/>
        <v>0</v>
      </c>
      <c r="J1971" s="1398"/>
      <c r="K1971" s="1398"/>
      <c r="L1971" s="1006"/>
      <c r="M1971" s="1327"/>
      <c r="N1971" s="898"/>
      <c r="O1971" s="1007"/>
      <c r="P1971" s="1008"/>
      <c r="Q1971" s="1360"/>
      <c r="R1971" s="899"/>
      <c r="S1971" s="899"/>
      <c r="T1971" s="1009"/>
      <c r="U1971" s="1010">
        <f t="shared" si="3961"/>
        <v>0</v>
      </c>
      <c r="V1971" s="983"/>
      <c r="W1971" s="1032"/>
      <c r="X1971" s="1033"/>
      <c r="Y1971" s="1034"/>
      <c r="Z1971" s="220"/>
      <c r="AA1971" s="15"/>
      <c r="AB1971" s="15"/>
      <c r="AC1971" s="15"/>
      <c r="AD1971" s="15"/>
      <c r="AE1971" s="15"/>
    </row>
    <row r="1972" spans="1:31" s="302" customFormat="1" ht="15.75" hidden="1" outlineLevel="1">
      <c r="A1972" s="979" t="s">
        <v>1262</v>
      </c>
      <c r="B1972" s="980" t="s">
        <v>133</v>
      </c>
      <c r="C1972" s="981" t="s">
        <v>106</v>
      </c>
      <c r="D1972" s="981" t="s">
        <v>128</v>
      </c>
      <c r="E1972" s="1004"/>
      <c r="F1972" s="982"/>
      <c r="G1972" s="1286"/>
      <c r="H1972" s="857"/>
      <c r="I1972" s="1005">
        <f t="shared" si="3962"/>
        <v>0</v>
      </c>
      <c r="J1972" s="1398"/>
      <c r="K1972" s="1398"/>
      <c r="L1972" s="1006"/>
      <c r="M1972" s="1327"/>
      <c r="N1972" s="898"/>
      <c r="O1972" s="1007"/>
      <c r="P1972" s="1008"/>
      <c r="Q1972" s="1360"/>
      <c r="R1972" s="899"/>
      <c r="S1972" s="899"/>
      <c r="T1972" s="1009"/>
      <c r="U1972" s="1010">
        <f t="shared" si="3961"/>
        <v>0</v>
      </c>
      <c r="V1972" s="983"/>
      <c r="W1972" s="1032"/>
      <c r="X1972" s="1033"/>
      <c r="Y1972" s="1034"/>
      <c r="Z1972" s="220"/>
      <c r="AA1972" s="15"/>
      <c r="AB1972" s="15"/>
      <c r="AC1972" s="15"/>
      <c r="AD1972" s="15"/>
      <c r="AE1972" s="15"/>
    </row>
    <row r="1973" spans="1:31" s="302" customFormat="1" ht="15.75" hidden="1" outlineLevel="1">
      <c r="A1973" s="979" t="s">
        <v>1262</v>
      </c>
      <c r="B1973" s="980" t="s">
        <v>134</v>
      </c>
      <c r="C1973" s="981" t="s">
        <v>106</v>
      </c>
      <c r="D1973" s="981" t="s">
        <v>128</v>
      </c>
      <c r="E1973" s="1004"/>
      <c r="F1973" s="982"/>
      <c r="G1973" s="1286"/>
      <c r="H1973" s="857"/>
      <c r="I1973" s="1005">
        <f t="shared" si="3962"/>
        <v>0</v>
      </c>
      <c r="J1973" s="1398"/>
      <c r="K1973" s="1398"/>
      <c r="L1973" s="1006"/>
      <c r="M1973" s="1327"/>
      <c r="N1973" s="898"/>
      <c r="O1973" s="1007">
        <f>+L1973*N1973</f>
        <v>0</v>
      </c>
      <c r="P1973" s="1008"/>
      <c r="Q1973" s="1360"/>
      <c r="R1973" s="899"/>
      <c r="S1973" s="899"/>
      <c r="T1973" s="1009">
        <f>+P1973*R1973</f>
        <v>0</v>
      </c>
      <c r="U1973" s="1010">
        <f t="shared" si="3961"/>
        <v>0</v>
      </c>
      <c r="V1973" s="983"/>
      <c r="W1973" s="1032"/>
      <c r="X1973" s="1033"/>
      <c r="Y1973" s="1034"/>
      <c r="Z1973" s="220"/>
      <c r="AA1973" s="15"/>
      <c r="AB1973" s="15"/>
      <c r="AC1973" s="15"/>
      <c r="AD1973" s="15"/>
      <c r="AE1973" s="15"/>
    </row>
    <row r="1974" spans="1:31" s="302" customFormat="1" ht="15.75" hidden="1" outlineLevel="1">
      <c r="A1974" s="979" t="s">
        <v>1262</v>
      </c>
      <c r="B1974" s="980" t="s">
        <v>135</v>
      </c>
      <c r="C1974" s="981" t="s">
        <v>106</v>
      </c>
      <c r="D1974" s="981" t="s">
        <v>128</v>
      </c>
      <c r="E1974" s="1004"/>
      <c r="F1974" s="982"/>
      <c r="G1974" s="1286"/>
      <c r="H1974" s="857"/>
      <c r="I1974" s="1005">
        <f t="shared" si="3962"/>
        <v>0</v>
      </c>
      <c r="J1974" s="1398"/>
      <c r="K1974" s="1398"/>
      <c r="L1974" s="1006"/>
      <c r="M1974" s="1327"/>
      <c r="N1974" s="898"/>
      <c r="O1974" s="1007">
        <f>+L1974*N1974</f>
        <v>0</v>
      </c>
      <c r="P1974" s="1008"/>
      <c r="Q1974" s="1360"/>
      <c r="R1974" s="899"/>
      <c r="S1974" s="899"/>
      <c r="T1974" s="1009">
        <f>+P1974*R1974</f>
        <v>0</v>
      </c>
      <c r="U1974" s="1010">
        <f t="shared" si="3961"/>
        <v>0</v>
      </c>
      <c r="V1974" s="983"/>
      <c r="W1974" s="1032"/>
      <c r="X1974" s="1033"/>
      <c r="Y1974" s="1034"/>
      <c r="Z1974" s="220"/>
      <c r="AA1974" s="15"/>
      <c r="AB1974" s="15"/>
      <c r="AC1974" s="15"/>
      <c r="AD1974" s="15"/>
      <c r="AE1974" s="15"/>
    </row>
    <row r="1975" spans="1:31" s="302" customFormat="1" ht="15.75" hidden="1" outlineLevel="1">
      <c r="A1975" s="979" t="s">
        <v>1262</v>
      </c>
      <c r="B1975" s="980" t="s">
        <v>136</v>
      </c>
      <c r="C1975" s="981" t="s">
        <v>106</v>
      </c>
      <c r="D1975" s="981" t="s">
        <v>128</v>
      </c>
      <c r="E1975" s="1004"/>
      <c r="F1975" s="982"/>
      <c r="G1975" s="1286"/>
      <c r="H1975" s="857"/>
      <c r="I1975" s="1005">
        <f t="shared" si="3962"/>
        <v>0</v>
      </c>
      <c r="J1975" s="1398"/>
      <c r="K1975" s="1398"/>
      <c r="L1975" s="1006"/>
      <c r="M1975" s="1327"/>
      <c r="N1975" s="898"/>
      <c r="O1975" s="1007">
        <f>+L1975*N1975</f>
        <v>0</v>
      </c>
      <c r="P1975" s="1008"/>
      <c r="Q1975" s="1360"/>
      <c r="R1975" s="899"/>
      <c r="S1975" s="899"/>
      <c r="T1975" s="1009">
        <f>+P1975*R1975</f>
        <v>0</v>
      </c>
      <c r="U1975" s="1010">
        <f t="shared" si="3961"/>
        <v>0</v>
      </c>
      <c r="V1975" s="983"/>
      <c r="W1975" s="1032"/>
      <c r="X1975" s="1033"/>
      <c r="Y1975" s="1034"/>
      <c r="Z1975" s="220"/>
      <c r="AA1975" s="15"/>
      <c r="AB1975" s="15"/>
      <c r="AC1975" s="15"/>
      <c r="AD1975" s="15"/>
      <c r="AE1975" s="15"/>
    </row>
    <row r="1976" spans="1:31" s="302" customFormat="1" ht="15.75" hidden="1" outlineLevel="1">
      <c r="A1976" s="979" t="s">
        <v>1262</v>
      </c>
      <c r="B1976" s="980" t="s">
        <v>143</v>
      </c>
      <c r="C1976" s="981" t="s">
        <v>106</v>
      </c>
      <c r="D1976" s="981" t="s">
        <v>128</v>
      </c>
      <c r="E1976" s="1004"/>
      <c r="F1976" s="982"/>
      <c r="G1976" s="1286"/>
      <c r="H1976" s="857"/>
      <c r="I1976" s="1005">
        <f t="shared" si="3962"/>
        <v>0</v>
      </c>
      <c r="J1976" s="1398"/>
      <c r="K1976" s="1398"/>
      <c r="L1976" s="1006"/>
      <c r="M1976" s="1327"/>
      <c r="N1976" s="898"/>
      <c r="O1976" s="1007">
        <f>+L1976*N1976</f>
        <v>0</v>
      </c>
      <c r="P1976" s="1008"/>
      <c r="Q1976" s="1360"/>
      <c r="R1976" s="899"/>
      <c r="S1976" s="899"/>
      <c r="T1976" s="1009">
        <f>+P1976*R1976</f>
        <v>0</v>
      </c>
      <c r="U1976" s="1010">
        <f t="shared" si="3961"/>
        <v>0</v>
      </c>
      <c r="V1976" s="983"/>
      <c r="W1976" s="1032"/>
      <c r="X1976" s="1033"/>
      <c r="Y1976" s="1034"/>
      <c r="Z1976" s="220"/>
      <c r="AA1976" s="15"/>
      <c r="AB1976" s="15"/>
      <c r="AC1976" s="15"/>
      <c r="AD1976" s="15"/>
      <c r="AE1976" s="15"/>
    </row>
    <row r="1977" spans="1:31" s="302" customFormat="1" ht="15.75" hidden="1" outlineLevel="1">
      <c r="A1977" s="979" t="s">
        <v>1262</v>
      </c>
      <c r="B1977" s="980" t="s">
        <v>138</v>
      </c>
      <c r="C1977" s="981" t="s">
        <v>106</v>
      </c>
      <c r="D1977" s="981" t="s">
        <v>128</v>
      </c>
      <c r="E1977" s="1004"/>
      <c r="F1977" s="982"/>
      <c r="G1977" s="1286"/>
      <c r="H1977" s="857"/>
      <c r="I1977" s="1005"/>
      <c r="J1977" s="1398"/>
      <c r="K1977" s="1398"/>
      <c r="L1977" s="1006"/>
      <c r="M1977" s="1327"/>
      <c r="N1977" s="898"/>
      <c r="O1977" s="1007"/>
      <c r="P1977" s="1008"/>
      <c r="Q1977" s="1360"/>
      <c r="R1977" s="899"/>
      <c r="S1977" s="899"/>
      <c r="T1977" s="1009"/>
      <c r="U1977" s="1010"/>
      <c r="V1977" s="983"/>
      <c r="W1977" s="1032"/>
      <c r="X1977" s="1033"/>
      <c r="Y1977" s="1034"/>
      <c r="Z1977" s="220"/>
      <c r="AA1977" s="15"/>
      <c r="AB1977" s="15"/>
      <c r="AC1977" s="15"/>
      <c r="AD1977" s="15"/>
      <c r="AE1977" s="15"/>
    </row>
    <row r="1978" spans="1:31" s="302" customFormat="1" ht="15.75" hidden="1" outlineLevel="1">
      <c r="A1978" s="979" t="s">
        <v>1262</v>
      </c>
      <c r="B1978" s="980" t="s">
        <v>139</v>
      </c>
      <c r="C1978" s="981" t="s">
        <v>106</v>
      </c>
      <c r="D1978" s="981" t="s">
        <v>128</v>
      </c>
      <c r="E1978" s="1004"/>
      <c r="F1978" s="982"/>
      <c r="G1978" s="1286"/>
      <c r="H1978" s="857"/>
      <c r="I1978" s="1005"/>
      <c r="J1978" s="1398"/>
      <c r="K1978" s="1398"/>
      <c r="L1978" s="1006"/>
      <c r="M1978" s="1327"/>
      <c r="N1978" s="898"/>
      <c r="O1978" s="1007"/>
      <c r="P1978" s="1008"/>
      <c r="Q1978" s="1360"/>
      <c r="R1978" s="899"/>
      <c r="S1978" s="899"/>
      <c r="T1978" s="1009"/>
      <c r="U1978" s="1010"/>
      <c r="V1978" s="983"/>
      <c r="W1978" s="367"/>
      <c r="X1978" s="368"/>
      <c r="Y1978" s="369"/>
      <c r="Z1978" s="220"/>
      <c r="AA1978" s="15"/>
      <c r="AB1978" s="15"/>
      <c r="AC1978" s="15"/>
      <c r="AD1978" s="15"/>
      <c r="AE1978" s="15"/>
    </row>
    <row r="1979" spans="1:31" s="302" customFormat="1" ht="15.75" hidden="1" outlineLevel="1">
      <c r="A1979" s="979" t="s">
        <v>1262</v>
      </c>
      <c r="B1979" s="980" t="s">
        <v>140</v>
      </c>
      <c r="C1979" s="981" t="s">
        <v>106</v>
      </c>
      <c r="D1979" s="981" t="s">
        <v>128</v>
      </c>
      <c r="E1979" s="1004"/>
      <c r="F1979" s="982"/>
      <c r="G1979" s="1286"/>
      <c r="H1979" s="857"/>
      <c r="I1979" s="1005"/>
      <c r="J1979" s="1398"/>
      <c r="K1979" s="1398"/>
      <c r="L1979" s="1006"/>
      <c r="M1979" s="1327"/>
      <c r="N1979" s="898"/>
      <c r="O1979" s="1007"/>
      <c r="P1979" s="1008"/>
      <c r="Q1979" s="1360"/>
      <c r="R1979" s="899"/>
      <c r="S1979" s="899"/>
      <c r="T1979" s="1009"/>
      <c r="U1979" s="1010"/>
      <c r="V1979" s="983"/>
      <c r="W1979" s="367"/>
      <c r="X1979" s="368"/>
      <c r="Y1979" s="369"/>
      <c r="Z1979" s="220"/>
      <c r="AA1979" s="15"/>
      <c r="AB1979" s="15"/>
      <c r="AC1979" s="15"/>
      <c r="AD1979" s="15"/>
      <c r="AE1979" s="15"/>
    </row>
    <row r="1980" spans="1:31" ht="15.75" collapsed="1" thickBot="1">
      <c r="A1980" s="55"/>
      <c r="B1980" s="509"/>
      <c r="C1980" s="510"/>
      <c r="D1980" s="510"/>
      <c r="E1980" s="245"/>
      <c r="F1980" s="455"/>
      <c r="G1980" s="1280"/>
      <c r="H1980" s="456"/>
      <c r="I1980" s="457">
        <f>+F1980*H1980</f>
        <v>0</v>
      </c>
      <c r="J1980" s="1395"/>
      <c r="K1980" s="1395"/>
      <c r="L1980" s="458"/>
      <c r="M1980" s="1316"/>
      <c r="N1980" s="459"/>
      <c r="O1980" s="460">
        <f>+L1980*N1980</f>
        <v>0</v>
      </c>
      <c r="P1980" s="461"/>
      <c r="Q1980" s="1351"/>
      <c r="R1980" s="462"/>
      <c r="S1980" s="462"/>
      <c r="T1980" s="463">
        <f>+P1980*R1980</f>
        <v>0</v>
      </c>
      <c r="U1980" s="464">
        <f>+L1980+P1980+F1980</f>
        <v>0</v>
      </c>
      <c r="V1980" s="465"/>
      <c r="W1980" s="852"/>
      <c r="X1980" s="853"/>
      <c r="Y1980" s="854"/>
      <c r="Z1980" s="220"/>
    </row>
    <row r="1981" spans="1:31" s="252" customFormat="1" ht="19.5" thickBot="1">
      <c r="A1981" s="900" t="s">
        <v>1263</v>
      </c>
      <c r="B1981" s="901"/>
      <c r="C1981" s="902"/>
      <c r="D1981" s="902"/>
      <c r="E1981" s="903"/>
      <c r="F1981" s="904">
        <f>SUM(F1920:F1980)</f>
        <v>0</v>
      </c>
      <c r="G1981" s="1292"/>
      <c r="H1981" s="905"/>
      <c r="I1981" s="906">
        <f>SUM(I1920:I1980)</f>
        <v>0</v>
      </c>
      <c r="J1981" s="1373"/>
      <c r="K1981" s="1373"/>
      <c r="L1981" s="907">
        <f>SUM(L1920:L1980)</f>
        <v>0</v>
      </c>
      <c r="M1981" s="1328"/>
      <c r="N1981" s="908"/>
      <c r="O1981" s="909">
        <f>SUM(O1920:O1980)</f>
        <v>0</v>
      </c>
      <c r="P1981" s="910">
        <f>SUM(P1920:P1980)</f>
        <v>0</v>
      </c>
      <c r="Q1981" s="1361"/>
      <c r="R1981" s="911"/>
      <c r="S1981" s="911"/>
      <c r="T1981" s="912">
        <f>SUM(T1920:T1980)</f>
        <v>0</v>
      </c>
      <c r="U1981" s="913">
        <f>SUM(U1920:U1980)</f>
        <v>0</v>
      </c>
      <c r="V1981" s="914">
        <f>SUM(V1920:V1980)</f>
        <v>0</v>
      </c>
      <c r="W1981" s="915">
        <f>SUM(W1920:W1980)</f>
        <v>0</v>
      </c>
      <c r="X1981" s="916">
        <f>SUM(X1920:X1980)</f>
        <v>0</v>
      </c>
      <c r="Y1981" s="917"/>
      <c r="Z1981" s="1073"/>
      <c r="AA1981" s="364"/>
      <c r="AB1981" s="365"/>
      <c r="AC1981" s="365"/>
      <c r="AD1981" s="365"/>
      <c r="AE1981" s="365"/>
    </row>
    <row r="1982" spans="1:31" ht="15.75" thickBot="1">
      <c r="F1982" s="444"/>
      <c r="G1982" s="444"/>
      <c r="H1982" s="442"/>
      <c r="I1982" s="443"/>
      <c r="L1982" s="441"/>
      <c r="M1982" s="441"/>
      <c r="N1982" s="442"/>
      <c r="O1982" s="443"/>
      <c r="P1982" s="444"/>
      <c r="Q1982" s="444"/>
      <c r="R1982" s="442"/>
      <c r="S1982" s="442"/>
      <c r="T1982" s="443"/>
      <c r="U1982" s="150"/>
      <c r="V1982" s="152"/>
      <c r="W1982" s="443"/>
      <c r="X1982" s="152"/>
      <c r="Y1982" s="345"/>
    </row>
    <row r="1983" spans="1:31" s="370" customFormat="1" ht="19.5" thickBot="1">
      <c r="A1983" s="603"/>
      <c r="B1983" s="604" t="s">
        <v>148</v>
      </c>
      <c r="C1983" s="605"/>
      <c r="D1983" s="605"/>
      <c r="E1983" s="606"/>
      <c r="F1983" s="607"/>
      <c r="G1983" s="607"/>
      <c r="H1983" s="608"/>
      <c r="I1983" s="609"/>
      <c r="J1983" s="609"/>
      <c r="K1983" s="609"/>
      <c r="L1983" s="920"/>
      <c r="M1983" s="920"/>
      <c r="N1983" s="608"/>
      <c r="O1983" s="609"/>
      <c r="P1983" s="607"/>
      <c r="Q1983" s="607"/>
      <c r="R1983" s="608"/>
      <c r="S1983" s="608"/>
      <c r="T1983" s="609"/>
      <c r="U1983" s="607"/>
      <c r="V1983" s="609">
        <f ca="1">+V1915+V1779+V1981</f>
        <v>31814295059.435478</v>
      </c>
      <c r="W1983" s="609">
        <f ca="1">+W1915+W1779+W1981</f>
        <v>106248078.38714699</v>
      </c>
      <c r="X1983" s="609">
        <f ca="1">+X1915+X1779+X1981</f>
        <v>-360659593.87966776</v>
      </c>
      <c r="Y1983" s="921"/>
      <c r="Z1983" s="1075"/>
      <c r="AA1983" s="15"/>
      <c r="AB1983" s="15"/>
      <c r="AC1983" s="15"/>
      <c r="AD1983" s="15"/>
      <c r="AE1983" s="15"/>
    </row>
    <row r="1984" spans="1:31">
      <c r="F1984" s="444"/>
      <c r="G1984" s="444"/>
      <c r="H1984" s="442"/>
      <c r="I1984" s="443"/>
      <c r="L1984" s="441"/>
      <c r="M1984" s="441"/>
      <c r="N1984" s="442"/>
      <c r="O1984" s="443"/>
      <c r="P1984" s="444"/>
      <c r="Q1984" s="444"/>
      <c r="R1984" s="442"/>
      <c r="S1984" s="442"/>
      <c r="T1984" s="443"/>
      <c r="U1984" s="150"/>
      <c r="V1984" s="152"/>
      <c r="W1984" s="443"/>
      <c r="X1984" s="152"/>
      <c r="Y1984" s="345"/>
    </row>
    <row r="1985" spans="1:31" ht="15.75" thickBot="1">
      <c r="F1985" s="444"/>
      <c r="G1985" s="444"/>
      <c r="H1985" s="442"/>
      <c r="I1985" s="443"/>
      <c r="L1985" s="441"/>
      <c r="M1985" s="441"/>
      <c r="N1985" s="442"/>
      <c r="O1985" s="443"/>
      <c r="P1985" s="444"/>
      <c r="Q1985" s="444"/>
      <c r="R1985" s="442"/>
      <c r="S1985" s="442"/>
      <c r="T1985" s="443"/>
      <c r="U1985" s="150"/>
      <c r="V1985" s="152"/>
      <c r="W1985" s="443"/>
      <c r="X1985" s="152"/>
      <c r="Y1985" s="345"/>
    </row>
    <row r="1986" spans="1:31" s="27" customFormat="1" ht="21">
      <c r="A1986" s="827" t="s">
        <v>149</v>
      </c>
      <c r="B1986" s="828"/>
      <c r="C1986" s="2581" t="s">
        <v>57</v>
      </c>
      <c r="D1986" s="2585" t="s">
        <v>59</v>
      </c>
      <c r="E1986" s="2583" t="s">
        <v>58</v>
      </c>
      <c r="F1986" s="2564" t="str">
        <f>+F6</f>
        <v>SALDO FISCAL 31/12/2022</v>
      </c>
      <c r="G1986" s="2565"/>
      <c r="H1986" s="2565"/>
      <c r="I1986" s="2566"/>
      <c r="J1986" s="2580" t="str">
        <f>J6</f>
        <v>Tasa Mon Extranj</v>
      </c>
      <c r="K1986" s="2568"/>
      <c r="L1986" s="2569" t="str">
        <f>+L6</f>
        <v>ENTRADAS</v>
      </c>
      <c r="M1986" s="2570"/>
      <c r="N1986" s="2570"/>
      <c r="O1986" s="2571"/>
      <c r="P1986" s="2572" t="str">
        <f>+P6</f>
        <v>SALIDAS</v>
      </c>
      <c r="Q1986" s="2573"/>
      <c r="R1986" s="2573"/>
      <c r="S1986" s="2573"/>
      <c r="T1986" s="2574"/>
      <c r="U1986" s="2575" t="s">
        <v>62</v>
      </c>
      <c r="V1986" s="2576"/>
      <c r="W1986" s="2577" t="s">
        <v>63</v>
      </c>
      <c r="X1986" s="2578"/>
      <c r="Y1986" s="2579"/>
      <c r="Z1986" s="44"/>
      <c r="AA1986" s="364"/>
      <c r="AB1986" s="364"/>
      <c r="AC1986" s="364"/>
      <c r="AD1986" s="364"/>
      <c r="AE1986" s="364"/>
    </row>
    <row r="1987" spans="1:31" s="216" customFormat="1" ht="15.75" thickBot="1">
      <c r="A1987" s="253" t="s">
        <v>87</v>
      </c>
      <c r="B1987" s="254" t="s">
        <v>88</v>
      </c>
      <c r="C1987" s="2582"/>
      <c r="D1987" s="2586"/>
      <c r="E1987" s="2584"/>
      <c r="F1987" s="30" t="str">
        <f>F7</f>
        <v>MON/EX</v>
      </c>
      <c r="G1987" s="1249" t="str">
        <f>G7</f>
        <v>USD</v>
      </c>
      <c r="H1987" s="31" t="str">
        <f>H7</f>
        <v>TRM CIERRE</v>
      </c>
      <c r="I1987" s="32" t="str">
        <f>I7</f>
        <v>SALDO PESOS</v>
      </c>
      <c r="J1987" s="1423" t="str">
        <f>J7</f>
        <v>Inicial</v>
      </c>
      <c r="K1987" s="1338" t="str">
        <f t="shared" ref="K1987:X1987" si="3963">K7</f>
        <v>Pago</v>
      </c>
      <c r="L1987" s="33" t="str">
        <f t="shared" si="3963"/>
        <v>ENTRADAS MON/EX</v>
      </c>
      <c r="M1987" s="1297" t="str">
        <f t="shared" si="3963"/>
        <v>USD</v>
      </c>
      <c r="N1987" s="34" t="str">
        <f t="shared" si="3963"/>
        <v>TRM INICIAL</v>
      </c>
      <c r="O1987" s="35" t="str">
        <f t="shared" si="3963"/>
        <v>ENTRADAS PESOS</v>
      </c>
      <c r="P1987" s="36" t="str">
        <f t="shared" si="3963"/>
        <v>PAGOS MON/EX</v>
      </c>
      <c r="Q1987" s="1338" t="str">
        <f t="shared" si="3963"/>
        <v>USD</v>
      </c>
      <c r="R1987" s="37" t="str">
        <f t="shared" si="3963"/>
        <v>TRM INICIAL</v>
      </c>
      <c r="S1987" s="37" t="str">
        <f t="shared" si="3963"/>
        <v>TRM PAGO</v>
      </c>
      <c r="T1987" s="38" t="str">
        <f t="shared" si="3963"/>
        <v>PAGO EN PESOS</v>
      </c>
      <c r="U1987" s="39" t="str">
        <f t="shared" si="3963"/>
        <v xml:space="preserve"> SALDO MON/EX</v>
      </c>
      <c r="V1987" s="40" t="str">
        <f t="shared" si="3963"/>
        <v>SALDO  PESOS</v>
      </c>
      <c r="W1987" s="41" t="str">
        <f t="shared" si="3963"/>
        <v>GASTO</v>
      </c>
      <c r="X1987" s="42" t="str">
        <f t="shared" si="3963"/>
        <v>INGRESO</v>
      </c>
      <c r="Y1987" s="43"/>
      <c r="Z1987" s="214"/>
      <c r="AA1987" s="366"/>
      <c r="AB1987" s="366"/>
      <c r="AC1987" s="366"/>
      <c r="AD1987" s="366"/>
      <c r="AE1987" s="366"/>
    </row>
    <row r="1988" spans="1:31" ht="15.75" outlineLevel="1">
      <c r="A1988" s="2499">
        <v>2406010200</v>
      </c>
      <c r="B1988" s="2500" t="s">
        <v>1456</v>
      </c>
      <c r="C1988" s="2501" t="s">
        <v>64</v>
      </c>
      <c r="D1988" s="2502">
        <v>5100010105</v>
      </c>
      <c r="E1988" s="2503">
        <v>44861</v>
      </c>
      <c r="F1988" s="2498">
        <v>476900.65</v>
      </c>
      <c r="G1988" s="2504">
        <f t="shared" ref="G1988" si="3964">ROUND(F1988*J1988,2)</f>
        <v>476900.65</v>
      </c>
      <c r="H1988" s="2505">
        <v>4895.29</v>
      </c>
      <c r="I1988" s="2506">
        <f t="shared" ref="I1988" si="3965">+F1988*J1988*H1988</f>
        <v>2334566982.9384999</v>
      </c>
      <c r="J1988" s="2507">
        <v>1</v>
      </c>
      <c r="K1988" s="2508">
        <v>1</v>
      </c>
      <c r="L1988" s="2498"/>
      <c r="M1988" s="2509">
        <f t="shared" ref="M1988" si="3966">+L1988*J1988</f>
        <v>0</v>
      </c>
      <c r="N1988" s="2505"/>
      <c r="O1988" s="2510">
        <f t="shared" ref="O1988" si="3967">+L1988*J1988*N1988</f>
        <v>0</v>
      </c>
      <c r="P1988" s="2498"/>
      <c r="Q1988" s="2509">
        <f t="shared" ref="Q1988" si="3968">+P1988*K1988</f>
        <v>0</v>
      </c>
      <c r="R1988" s="2505"/>
      <c r="S1988" s="2505"/>
      <c r="T1988" s="2510">
        <f t="shared" ref="T1988" si="3969">+P1988*K1988*S1988</f>
        <v>0</v>
      </c>
      <c r="U1988" s="2498">
        <f t="shared" ref="U1988" si="3970">+L1988+P1988+F1988</f>
        <v>476900.65</v>
      </c>
      <c r="V1988" s="2510">
        <f t="shared" ref="V1988" si="3971">+P1988*J1988*R1988+L1988*J1988*N1988+F1988*J1988*H1988</f>
        <v>2334566982.9384999</v>
      </c>
      <c r="W1988" s="2511">
        <f t="shared" ref="W1988:W2042" si="3972">-(IF(-P1988*J1988*R1988&lt;-P1988*K1988*S1988,(-P1988*J1988*R1988)-(-P1988*K1988*S1988),0))</f>
        <v>0</v>
      </c>
      <c r="X1988" s="2512">
        <f t="shared" ref="X1988:X2042" si="3973">-(IF(-P1988*J1988*R1988&gt;-P1988*K1988*S1988,(-P1988*J1988*R1988)-(-P1988*K1988*S1988),0))</f>
        <v>0</v>
      </c>
      <c r="Y1988" s="2513">
        <v>20226043</v>
      </c>
      <c r="Z1988" s="1071"/>
      <c r="AA1988" s="355"/>
      <c r="AB1988" s="355"/>
      <c r="AC1988" s="355"/>
      <c r="AD1988" s="355"/>
      <c r="AE1988" s="355"/>
    </row>
    <row r="1989" spans="1:31" ht="15.75" outlineLevel="1">
      <c r="A1989" s="2514">
        <v>2406010200</v>
      </c>
      <c r="B1989" s="2515" t="s">
        <v>1366</v>
      </c>
      <c r="C1989" s="2516" t="s">
        <v>64</v>
      </c>
      <c r="D1989" s="2517">
        <v>100072454</v>
      </c>
      <c r="E1989" s="2518">
        <v>44902</v>
      </c>
      <c r="F1989" s="2497">
        <v>-476900.65</v>
      </c>
      <c r="G1989" s="2519">
        <f t="shared" ref="G1989" si="3974">ROUND(F1989*J1989,2)</f>
        <v>-476900.65</v>
      </c>
      <c r="H1989" s="2520">
        <v>4895.29</v>
      </c>
      <c r="I1989" s="2521">
        <f t="shared" ref="I1989" si="3975">+F1989*J1989*H1989</f>
        <v>-2334566982.9384999</v>
      </c>
      <c r="J1989" s="2522">
        <v>1</v>
      </c>
      <c r="K1989" s="2523">
        <v>1</v>
      </c>
      <c r="L1989" s="2497"/>
      <c r="M1989" s="2519">
        <f t="shared" ref="M1989" si="3976">+L1989*J1989</f>
        <v>0</v>
      </c>
      <c r="N1989" s="2520"/>
      <c r="O1989" s="2521">
        <f t="shared" ref="O1989" si="3977">+L1989*J1989*N1989</f>
        <v>0</v>
      </c>
      <c r="P1989" s="2497"/>
      <c r="Q1989" s="2519">
        <f t="shared" ref="Q1989" si="3978">+P1989*K1989</f>
        <v>0</v>
      </c>
      <c r="R1989" s="2520"/>
      <c r="S1989" s="2520"/>
      <c r="T1989" s="2521">
        <f t="shared" ref="T1989" si="3979">+P1989*K1989*S1989</f>
        <v>0</v>
      </c>
      <c r="U1989" s="2497">
        <f t="shared" ref="U1989" si="3980">+L1989+P1989+F1989</f>
        <v>-476900.65</v>
      </c>
      <c r="V1989" s="2521">
        <f t="shared" ref="V1989" si="3981">+P1989*J1989*R1989+L1989*J1989*N1989+F1989*J1989*H1989</f>
        <v>-2334566982.9384999</v>
      </c>
      <c r="W1989" s="2524">
        <f t="shared" ref="W1989" si="3982">-(IF(-P1989*J1989*R1989&lt;-P1989*K1989*S1989,(-P1989*J1989*R1989)-(-P1989*K1989*S1989),0))</f>
        <v>0</v>
      </c>
      <c r="X1989" s="2525">
        <f t="shared" ref="X1989" si="3983">-(IF(-P1989*J1989*R1989&gt;-P1989*K1989*S1989,(-P1989*J1989*R1989)-(-P1989*K1989*S1989),0))</f>
        <v>0</v>
      </c>
      <c r="Y1989" s="2526">
        <v>20226043</v>
      </c>
      <c r="Z1989" s="2362"/>
      <c r="AA1989" s="355"/>
      <c r="AB1989" s="355"/>
      <c r="AC1989" s="355"/>
      <c r="AD1989" s="355"/>
      <c r="AE1989" s="355"/>
    </row>
    <row r="1990" spans="1:31" ht="15.75" outlineLevel="1">
      <c r="A1990" s="2514">
        <v>2406010200</v>
      </c>
      <c r="B1990" s="2515" t="s">
        <v>1457</v>
      </c>
      <c r="C1990" s="2516" t="s">
        <v>64</v>
      </c>
      <c r="D1990" s="2517">
        <v>100072454</v>
      </c>
      <c r="E1990" s="2518">
        <v>44902</v>
      </c>
      <c r="F1990" s="2497">
        <v>95380.13</v>
      </c>
      <c r="G1990" s="2519">
        <f t="shared" ref="G1990:G1991" si="3984">ROUND(F1990*J1990,2)</f>
        <v>95380.13</v>
      </c>
      <c r="H1990" s="2520">
        <v>4895.29</v>
      </c>
      <c r="I1990" s="2521">
        <f t="shared" ref="I1990:I1991" si="3985">+F1990*J1990*H1990</f>
        <v>466913396.58770001</v>
      </c>
      <c r="J1990" s="2522">
        <v>1</v>
      </c>
      <c r="K1990" s="2523">
        <v>1</v>
      </c>
      <c r="L1990" s="2497"/>
      <c r="M1990" s="2519">
        <f t="shared" ref="M1990:M1991" si="3986">+L1990*J1990</f>
        <v>0</v>
      </c>
      <c r="N1990" s="2520"/>
      <c r="O1990" s="2521">
        <f t="shared" ref="O1990:O1991" si="3987">+L1990*J1990*N1990</f>
        <v>0</v>
      </c>
      <c r="P1990" s="2497"/>
      <c r="Q1990" s="2519">
        <f t="shared" ref="Q1990:Q1991" si="3988">+P1990*K1990</f>
        <v>0</v>
      </c>
      <c r="R1990" s="2520"/>
      <c r="S1990" s="2520"/>
      <c r="T1990" s="2521">
        <f t="shared" ref="T1990:T1991" si="3989">+P1990*K1990*S1990</f>
        <v>0</v>
      </c>
      <c r="U1990" s="2497">
        <f t="shared" ref="U1990:U1991" si="3990">+L1990+P1990+F1990</f>
        <v>95380.13</v>
      </c>
      <c r="V1990" s="2521">
        <f t="shared" ref="V1990:V1991" si="3991">+P1990*J1990*R1990+L1990*J1990*N1990+F1990*J1990*H1990</f>
        <v>466913396.58770001</v>
      </c>
      <c r="W1990" s="2524">
        <f t="shared" ref="W1990:W1991" si="3992">-(IF(-P1990*J1990*R1990&lt;-P1990*K1990*S1990,(-P1990*J1990*R1990)-(-P1990*K1990*S1990),0))</f>
        <v>0</v>
      </c>
      <c r="X1990" s="2525">
        <f t="shared" ref="X1990:X1991" si="3993">-(IF(-P1990*J1990*R1990&gt;-P1990*K1990*S1990,(-P1990*J1990*R1990)-(-P1990*K1990*S1990),0))</f>
        <v>0</v>
      </c>
      <c r="Y1990" s="2526">
        <v>20226043</v>
      </c>
      <c r="Z1990" s="2362"/>
      <c r="AA1990" s="355"/>
      <c r="AB1990" s="355"/>
      <c r="AC1990" s="355"/>
      <c r="AD1990" s="355"/>
      <c r="AE1990" s="355"/>
    </row>
    <row r="1991" spans="1:31" ht="15.75" outlineLevel="1">
      <c r="A1991" s="2514">
        <v>2406010200</v>
      </c>
      <c r="B1991" s="2515" t="s">
        <v>1457</v>
      </c>
      <c r="C1991" s="2516" t="s">
        <v>64</v>
      </c>
      <c r="D1991" s="2517">
        <v>100072454</v>
      </c>
      <c r="E1991" s="2518">
        <v>44902</v>
      </c>
      <c r="F1991" s="2497">
        <v>47690.06</v>
      </c>
      <c r="G1991" s="2519">
        <f t="shared" si="3984"/>
        <v>47690.06</v>
      </c>
      <c r="H1991" s="2520">
        <v>4895.29</v>
      </c>
      <c r="I1991" s="2521">
        <f t="shared" si="3985"/>
        <v>233456673.81739998</v>
      </c>
      <c r="J1991" s="2522">
        <v>1</v>
      </c>
      <c r="K1991" s="2523">
        <v>1</v>
      </c>
      <c r="L1991" s="2497"/>
      <c r="M1991" s="2519">
        <f t="shared" si="3986"/>
        <v>0</v>
      </c>
      <c r="N1991" s="2520"/>
      <c r="O1991" s="2521">
        <f t="shared" si="3987"/>
        <v>0</v>
      </c>
      <c r="P1991" s="2497"/>
      <c r="Q1991" s="2519">
        <f t="shared" si="3988"/>
        <v>0</v>
      </c>
      <c r="R1991" s="2520"/>
      <c r="S1991" s="2520"/>
      <c r="T1991" s="2521">
        <f t="shared" si="3989"/>
        <v>0</v>
      </c>
      <c r="U1991" s="2497">
        <f t="shared" si="3990"/>
        <v>47690.06</v>
      </c>
      <c r="V1991" s="2521">
        <f t="shared" si="3991"/>
        <v>233456673.81739998</v>
      </c>
      <c r="W1991" s="2524">
        <f t="shared" si="3992"/>
        <v>0</v>
      </c>
      <c r="X1991" s="2525">
        <f t="shared" si="3993"/>
        <v>0</v>
      </c>
      <c r="Y1991" s="2526">
        <v>20226043</v>
      </c>
      <c r="Z1991" s="2362"/>
      <c r="AA1991" s="355"/>
      <c r="AB1991" s="355"/>
      <c r="AC1991" s="355"/>
      <c r="AD1991" s="355"/>
      <c r="AE1991" s="355"/>
    </row>
    <row r="1992" spans="1:31" ht="15.75" outlineLevel="1">
      <c r="A1992" s="2514">
        <v>2406010200</v>
      </c>
      <c r="B1992" s="2515" t="s">
        <v>1457</v>
      </c>
      <c r="C1992" s="2516" t="s">
        <v>64</v>
      </c>
      <c r="D1992" s="2517">
        <v>100072454</v>
      </c>
      <c r="E1992" s="2518">
        <v>44902</v>
      </c>
      <c r="F1992" s="2497">
        <v>69150.59</v>
      </c>
      <c r="G1992" s="2519">
        <f t="shared" ref="G1992:G1995" si="3994">ROUND(F1992*J1992,2)</f>
        <v>69150.59</v>
      </c>
      <c r="H1992" s="2520">
        <v>4895.29</v>
      </c>
      <c r="I1992" s="2521">
        <f t="shared" ref="I1992:I1995" si="3995">+F1992*J1992*H1992</f>
        <v>338512191.72109997</v>
      </c>
      <c r="J1992" s="2522">
        <v>1</v>
      </c>
      <c r="K1992" s="2523">
        <v>1</v>
      </c>
      <c r="L1992" s="2497"/>
      <c r="M1992" s="2519">
        <f t="shared" ref="M1992:M1995" si="3996">+L1992*J1992</f>
        <v>0</v>
      </c>
      <c r="N1992" s="2520"/>
      <c r="O1992" s="2521">
        <f t="shared" ref="O1992:O1995" si="3997">+L1992*J1992*N1992</f>
        <v>0</v>
      </c>
      <c r="P1992" s="2497"/>
      <c r="Q1992" s="2519">
        <f t="shared" ref="Q1992:Q1995" si="3998">+P1992*K1992</f>
        <v>0</v>
      </c>
      <c r="R1992" s="2520"/>
      <c r="S1992" s="2520"/>
      <c r="T1992" s="2521">
        <f t="shared" ref="T1992:T1995" si="3999">+P1992*K1992*S1992</f>
        <v>0</v>
      </c>
      <c r="U1992" s="2497">
        <f t="shared" ref="U1992:U1995" si="4000">+L1992+P1992+F1992</f>
        <v>69150.59</v>
      </c>
      <c r="V1992" s="2521">
        <f t="shared" ref="V1992:V1995" si="4001">+P1992*J1992*R1992+L1992*J1992*N1992+F1992*J1992*H1992</f>
        <v>338512191.72109997</v>
      </c>
      <c r="W1992" s="2524">
        <f t="shared" ref="W1992:W1995" si="4002">-(IF(-P1992*J1992*R1992&lt;-P1992*K1992*S1992,(-P1992*J1992*R1992)-(-P1992*K1992*S1992),0))</f>
        <v>0</v>
      </c>
      <c r="X1992" s="2525">
        <f t="shared" ref="X1992:X1995" si="4003">-(IF(-P1992*J1992*R1992&gt;-P1992*K1992*S1992,(-P1992*J1992*R1992)-(-P1992*K1992*S1992),0))</f>
        <v>0</v>
      </c>
      <c r="Y1992" s="2526">
        <v>20226043</v>
      </c>
      <c r="Z1992" s="2362"/>
      <c r="AA1992" s="355"/>
      <c r="AB1992" s="355"/>
      <c r="AC1992" s="355"/>
      <c r="AD1992" s="355"/>
      <c r="AE1992" s="355"/>
    </row>
    <row r="1993" spans="1:31" ht="15.75" outlineLevel="1">
      <c r="A1993" s="2514">
        <v>2406010200</v>
      </c>
      <c r="B1993" s="2515" t="s">
        <v>1458</v>
      </c>
      <c r="C1993" s="2516" t="s">
        <v>64</v>
      </c>
      <c r="D1993" s="2517">
        <v>100072454</v>
      </c>
      <c r="E1993" s="2518">
        <v>44902</v>
      </c>
      <c r="F1993" s="2497">
        <v>69150.59</v>
      </c>
      <c r="G1993" s="2519">
        <f t="shared" si="3994"/>
        <v>69150.59</v>
      </c>
      <c r="H1993" s="2520">
        <v>4895.29</v>
      </c>
      <c r="I1993" s="2521">
        <f t="shared" si="3995"/>
        <v>338512191.72109997</v>
      </c>
      <c r="J1993" s="2522">
        <v>1</v>
      </c>
      <c r="K1993" s="2523">
        <v>1</v>
      </c>
      <c r="L1993" s="2497"/>
      <c r="M1993" s="2519">
        <f t="shared" si="3996"/>
        <v>0</v>
      </c>
      <c r="N1993" s="2520"/>
      <c r="O1993" s="2521">
        <f t="shared" si="3997"/>
        <v>0</v>
      </c>
      <c r="P1993" s="2497"/>
      <c r="Q1993" s="2519">
        <f t="shared" si="3998"/>
        <v>0</v>
      </c>
      <c r="R1993" s="2520"/>
      <c r="S1993" s="2520"/>
      <c r="T1993" s="2521">
        <f t="shared" si="3999"/>
        <v>0</v>
      </c>
      <c r="U1993" s="2497">
        <f t="shared" si="4000"/>
        <v>69150.59</v>
      </c>
      <c r="V1993" s="2521">
        <f t="shared" si="4001"/>
        <v>338512191.72109997</v>
      </c>
      <c r="W1993" s="2524">
        <f t="shared" si="4002"/>
        <v>0</v>
      </c>
      <c r="X1993" s="2525">
        <f t="shared" si="4003"/>
        <v>0</v>
      </c>
      <c r="Y1993" s="2526">
        <v>20226043</v>
      </c>
      <c r="Z1993" s="2362"/>
      <c r="AA1993" s="355"/>
      <c r="AB1993" s="355"/>
      <c r="AC1993" s="355"/>
      <c r="AD1993" s="355"/>
      <c r="AE1993" s="355"/>
    </row>
    <row r="1994" spans="1:31" ht="15.75" outlineLevel="1">
      <c r="A1994" s="2514">
        <v>2406010200</v>
      </c>
      <c r="B1994" s="2515" t="s">
        <v>1458</v>
      </c>
      <c r="C1994" s="2516" t="s">
        <v>64</v>
      </c>
      <c r="D1994" s="2517">
        <v>100072454</v>
      </c>
      <c r="E1994" s="2518">
        <v>44902</v>
      </c>
      <c r="F1994" s="2497">
        <v>47690.07</v>
      </c>
      <c r="G1994" s="2519">
        <f t="shared" si="3994"/>
        <v>47690.07</v>
      </c>
      <c r="H1994" s="2520">
        <v>4895.29</v>
      </c>
      <c r="I1994" s="2521">
        <f t="shared" si="3995"/>
        <v>233456722.7703</v>
      </c>
      <c r="J1994" s="2522">
        <v>1</v>
      </c>
      <c r="K1994" s="2523">
        <v>1</v>
      </c>
      <c r="L1994" s="2497"/>
      <c r="M1994" s="2519">
        <f t="shared" si="3996"/>
        <v>0</v>
      </c>
      <c r="N1994" s="2520"/>
      <c r="O1994" s="2521">
        <f t="shared" si="3997"/>
        <v>0</v>
      </c>
      <c r="P1994" s="2497"/>
      <c r="Q1994" s="2519">
        <f t="shared" si="3998"/>
        <v>0</v>
      </c>
      <c r="R1994" s="2520"/>
      <c r="S1994" s="2520"/>
      <c r="T1994" s="2521">
        <f t="shared" si="3999"/>
        <v>0</v>
      </c>
      <c r="U1994" s="2497">
        <f t="shared" si="4000"/>
        <v>47690.07</v>
      </c>
      <c r="V1994" s="2521">
        <f t="shared" si="4001"/>
        <v>233456722.7703</v>
      </c>
      <c r="W1994" s="2524">
        <f t="shared" si="4002"/>
        <v>0</v>
      </c>
      <c r="X1994" s="2525">
        <f t="shared" si="4003"/>
        <v>0</v>
      </c>
      <c r="Y1994" s="2526">
        <v>20226043</v>
      </c>
      <c r="Z1994" s="2362"/>
      <c r="AA1994" s="355"/>
      <c r="AB1994" s="355"/>
      <c r="AC1994" s="355"/>
      <c r="AD1994" s="355"/>
      <c r="AE1994" s="355"/>
    </row>
    <row r="1995" spans="1:31" ht="15.75" outlineLevel="1">
      <c r="A1995" s="2349">
        <v>2406010200</v>
      </c>
      <c r="B1995" s="2350" t="s">
        <v>1458</v>
      </c>
      <c r="C1995" s="2351" t="s">
        <v>64</v>
      </c>
      <c r="D1995" s="2352">
        <v>100072454</v>
      </c>
      <c r="E1995" s="2353">
        <v>44902</v>
      </c>
      <c r="F1995" s="2337">
        <v>14307.02</v>
      </c>
      <c r="G1995" s="2354">
        <f t="shared" si="3994"/>
        <v>14307.02</v>
      </c>
      <c r="H1995" s="2355">
        <v>4895.29</v>
      </c>
      <c r="I1995" s="2356">
        <f t="shared" si="3995"/>
        <v>70037011.935800001</v>
      </c>
      <c r="J1995" s="2357">
        <v>1</v>
      </c>
      <c r="K1995" s="2338">
        <v>1</v>
      </c>
      <c r="L1995" s="2337"/>
      <c r="M1995" s="2354">
        <f t="shared" si="3996"/>
        <v>0</v>
      </c>
      <c r="N1995" s="2355"/>
      <c r="O1995" s="2356">
        <f t="shared" si="3997"/>
        <v>0</v>
      </c>
      <c r="P1995" s="2337"/>
      <c r="Q1995" s="2354">
        <f t="shared" si="3998"/>
        <v>0</v>
      </c>
      <c r="R1995" s="2355"/>
      <c r="S1995" s="2355"/>
      <c r="T1995" s="2356">
        <f t="shared" si="3999"/>
        <v>0</v>
      </c>
      <c r="U1995" s="2337">
        <f t="shared" si="4000"/>
        <v>14307.02</v>
      </c>
      <c r="V1995" s="2356">
        <f t="shared" si="4001"/>
        <v>70037011.935800001</v>
      </c>
      <c r="W1995" s="2358">
        <f t="shared" si="4002"/>
        <v>0</v>
      </c>
      <c r="X1995" s="2359">
        <f t="shared" si="4003"/>
        <v>0</v>
      </c>
      <c r="Y1995" s="2360">
        <v>20226043</v>
      </c>
      <c r="Z1995" s="2362"/>
      <c r="AA1995" s="355"/>
      <c r="AB1995" s="355"/>
      <c r="AC1995" s="355"/>
      <c r="AD1995" s="355"/>
      <c r="AE1995" s="355"/>
    </row>
    <row r="1996" spans="1:31" ht="15.75" outlineLevel="1">
      <c r="A1996" s="2349">
        <v>2406010200</v>
      </c>
      <c r="B1996" s="2350" t="s">
        <v>1458</v>
      </c>
      <c r="C1996" s="2351" t="s">
        <v>64</v>
      </c>
      <c r="D1996" s="2352">
        <v>100072454</v>
      </c>
      <c r="E1996" s="2353">
        <v>44902</v>
      </c>
      <c r="F1996" s="2337">
        <v>47690.06</v>
      </c>
      <c r="G1996" s="2354">
        <f t="shared" ref="G1996:G2002" si="4004">ROUND(F1996*J1996,2)</f>
        <v>47690.06</v>
      </c>
      <c r="H1996" s="2355">
        <v>4895.29</v>
      </c>
      <c r="I1996" s="2356">
        <f t="shared" ref="I1996:I2002" si="4005">+F1996*J1996*H1996</f>
        <v>233456673.81739998</v>
      </c>
      <c r="J1996" s="2357">
        <v>1</v>
      </c>
      <c r="K1996" s="2338">
        <v>1</v>
      </c>
      <c r="L1996" s="2337"/>
      <c r="M1996" s="2354">
        <f t="shared" ref="M1996:M2002" si="4006">+L1996*J1996</f>
        <v>0</v>
      </c>
      <c r="N1996" s="2355"/>
      <c r="O1996" s="2356">
        <f t="shared" ref="O1996:O2002" si="4007">+L1996*J1996*N1996</f>
        <v>0</v>
      </c>
      <c r="P1996" s="2337"/>
      <c r="Q1996" s="2354">
        <f t="shared" ref="Q1996:Q2002" si="4008">+P1996*K1996</f>
        <v>0</v>
      </c>
      <c r="R1996" s="2355"/>
      <c r="S1996" s="2355"/>
      <c r="T1996" s="2356">
        <f t="shared" ref="T1996:T2002" si="4009">+P1996*K1996*S1996</f>
        <v>0</v>
      </c>
      <c r="U1996" s="2337">
        <f t="shared" ref="U1996:U2002" si="4010">+L1996+P1996+F1996</f>
        <v>47690.06</v>
      </c>
      <c r="V1996" s="2356">
        <f t="shared" ref="V1996:V2002" si="4011">+P1996*J1996*R1996+L1996*J1996*N1996+F1996*J1996*H1996</f>
        <v>233456673.81739998</v>
      </c>
      <c r="W1996" s="2358">
        <f t="shared" ref="W1996:W2002" si="4012">-(IF(-P1996*J1996*R1996&lt;-P1996*K1996*S1996,(-P1996*J1996*R1996)-(-P1996*K1996*S1996),0))</f>
        <v>0</v>
      </c>
      <c r="X1996" s="2359">
        <f t="shared" ref="X1996:X2002" si="4013">-(IF(-P1996*J1996*R1996&gt;-P1996*K1996*S1996,(-P1996*J1996*R1996)-(-P1996*K1996*S1996),0))</f>
        <v>0</v>
      </c>
      <c r="Y1996" s="2360">
        <v>20226043</v>
      </c>
      <c r="Z1996" s="2362"/>
      <c r="AA1996" s="355"/>
      <c r="AB1996" s="355"/>
      <c r="AC1996" s="355"/>
      <c r="AD1996" s="355"/>
      <c r="AE1996" s="355"/>
    </row>
    <row r="1997" spans="1:31" ht="15.75" outlineLevel="1">
      <c r="A1997" s="2349">
        <v>2406010200</v>
      </c>
      <c r="B1997" s="2350" t="s">
        <v>1458</v>
      </c>
      <c r="C1997" s="2351" t="s">
        <v>64</v>
      </c>
      <c r="D1997" s="2352">
        <v>100072454</v>
      </c>
      <c r="E1997" s="2353">
        <v>44902</v>
      </c>
      <c r="F1997" s="2337">
        <v>85842.13</v>
      </c>
      <c r="G1997" s="2354">
        <f t="shared" si="4004"/>
        <v>85842.13</v>
      </c>
      <c r="H1997" s="2355">
        <v>4895.29</v>
      </c>
      <c r="I1997" s="2356">
        <f t="shared" si="4005"/>
        <v>420222120.56770003</v>
      </c>
      <c r="J1997" s="2357">
        <v>1</v>
      </c>
      <c r="K1997" s="2338">
        <v>1</v>
      </c>
      <c r="L1997" s="2337"/>
      <c r="M1997" s="2354">
        <f t="shared" si="4006"/>
        <v>0</v>
      </c>
      <c r="N1997" s="2355"/>
      <c r="O1997" s="2356">
        <f t="shared" si="4007"/>
        <v>0</v>
      </c>
      <c r="P1997" s="2337"/>
      <c r="Q1997" s="2354">
        <f t="shared" si="4008"/>
        <v>0</v>
      </c>
      <c r="R1997" s="2355"/>
      <c r="S1997" s="2355"/>
      <c r="T1997" s="2356">
        <f t="shared" si="4009"/>
        <v>0</v>
      </c>
      <c r="U1997" s="2337">
        <f t="shared" si="4010"/>
        <v>85842.13</v>
      </c>
      <c r="V1997" s="2356">
        <f t="shared" si="4011"/>
        <v>420222120.56770003</v>
      </c>
      <c r="W1997" s="2358">
        <f t="shared" si="4012"/>
        <v>0</v>
      </c>
      <c r="X1997" s="2359">
        <f t="shared" si="4013"/>
        <v>0</v>
      </c>
      <c r="Y1997" s="2360">
        <v>20226043</v>
      </c>
      <c r="Z1997" s="2362"/>
      <c r="AA1997" s="355"/>
      <c r="AB1997" s="355"/>
      <c r="AC1997" s="355"/>
      <c r="AD1997" s="355"/>
      <c r="AE1997" s="355"/>
    </row>
    <row r="1998" spans="1:31" ht="15.75" outlineLevel="1">
      <c r="A1998" s="2514">
        <v>2406010200</v>
      </c>
      <c r="B1998" s="2515" t="s">
        <v>1400</v>
      </c>
      <c r="C1998" s="2516" t="s">
        <v>64</v>
      </c>
      <c r="D1998" s="2517">
        <v>2200000143</v>
      </c>
      <c r="E1998" s="2518">
        <v>44893</v>
      </c>
      <c r="F1998" s="2497">
        <v>-95380.13</v>
      </c>
      <c r="G1998" s="2519">
        <f t="shared" si="4004"/>
        <v>-95380.13</v>
      </c>
      <c r="H1998" s="2520">
        <v>4895.29</v>
      </c>
      <c r="I1998" s="2521">
        <f t="shared" si="4005"/>
        <v>-466913396.58770001</v>
      </c>
      <c r="J1998" s="2522">
        <v>1</v>
      </c>
      <c r="K1998" s="2523">
        <v>1</v>
      </c>
      <c r="L1998" s="2497"/>
      <c r="M1998" s="2519">
        <f t="shared" si="4006"/>
        <v>0</v>
      </c>
      <c r="N1998" s="2520"/>
      <c r="O1998" s="2521">
        <f t="shared" si="4007"/>
        <v>0</v>
      </c>
      <c r="P1998" s="2497"/>
      <c r="Q1998" s="2519">
        <f t="shared" si="4008"/>
        <v>0</v>
      </c>
      <c r="R1998" s="2520"/>
      <c r="S1998" s="2520"/>
      <c r="T1998" s="2521">
        <f t="shared" si="4009"/>
        <v>0</v>
      </c>
      <c r="U1998" s="2497">
        <f t="shared" si="4010"/>
        <v>-95380.13</v>
      </c>
      <c r="V1998" s="2521">
        <f t="shared" si="4011"/>
        <v>-466913396.58770001</v>
      </c>
      <c r="W1998" s="2524">
        <f t="shared" si="4012"/>
        <v>0</v>
      </c>
      <c r="X1998" s="2525">
        <f t="shared" si="4013"/>
        <v>0</v>
      </c>
      <c r="Y1998" s="2526">
        <v>20226043</v>
      </c>
      <c r="Z1998" s="2362"/>
      <c r="AA1998" s="355"/>
      <c r="AB1998" s="355"/>
      <c r="AC1998" s="355"/>
      <c r="AD1998" s="355"/>
      <c r="AE1998" s="355"/>
    </row>
    <row r="1999" spans="1:31" ht="15.75" outlineLevel="1">
      <c r="A1999" s="2514">
        <v>2406010200</v>
      </c>
      <c r="B1999" s="2515" t="s">
        <v>1400</v>
      </c>
      <c r="C1999" s="2516" t="s">
        <v>64</v>
      </c>
      <c r="D1999" s="2517">
        <v>2200000143</v>
      </c>
      <c r="E1999" s="2518">
        <v>44893</v>
      </c>
      <c r="F1999" s="2497">
        <v>-47690.06</v>
      </c>
      <c r="G1999" s="2519">
        <f t="shared" si="4004"/>
        <v>-47690.06</v>
      </c>
      <c r="H1999" s="2520">
        <v>4895.29</v>
      </c>
      <c r="I1999" s="2521">
        <f t="shared" si="4005"/>
        <v>-233456673.81739998</v>
      </c>
      <c r="J1999" s="2522">
        <v>1</v>
      </c>
      <c r="K1999" s="2523">
        <v>1</v>
      </c>
      <c r="L1999" s="2497"/>
      <c r="M1999" s="2519">
        <f t="shared" si="4006"/>
        <v>0</v>
      </c>
      <c r="N1999" s="2520"/>
      <c r="O1999" s="2521">
        <f t="shared" si="4007"/>
        <v>0</v>
      </c>
      <c r="P1999" s="2497"/>
      <c r="Q1999" s="2519">
        <f t="shared" si="4008"/>
        <v>0</v>
      </c>
      <c r="R1999" s="2520"/>
      <c r="S1999" s="2520"/>
      <c r="T1999" s="2521">
        <f t="shared" si="4009"/>
        <v>0</v>
      </c>
      <c r="U1999" s="2497">
        <f t="shared" si="4010"/>
        <v>-47690.06</v>
      </c>
      <c r="V1999" s="2521">
        <f t="shared" si="4011"/>
        <v>-233456673.81739998</v>
      </c>
      <c r="W1999" s="2524">
        <f t="shared" si="4012"/>
        <v>0</v>
      </c>
      <c r="X1999" s="2525">
        <f t="shared" si="4013"/>
        <v>0</v>
      </c>
      <c r="Y1999" s="2526">
        <v>20226043</v>
      </c>
      <c r="Z1999" s="2362"/>
      <c r="AA1999" s="355"/>
      <c r="AB1999" s="355"/>
      <c r="AC1999" s="355"/>
      <c r="AD1999" s="355"/>
      <c r="AE1999" s="355"/>
    </row>
    <row r="2000" spans="1:31" ht="15.75" outlineLevel="1">
      <c r="A2000" s="2514">
        <v>2406010200</v>
      </c>
      <c r="B2000" s="2515" t="s">
        <v>1400</v>
      </c>
      <c r="C2000" s="2516" t="s">
        <v>64</v>
      </c>
      <c r="D2000" s="2517">
        <v>2200000143</v>
      </c>
      <c r="E2000" s="2518">
        <v>44893</v>
      </c>
      <c r="F2000" s="2497">
        <v>-69150.59</v>
      </c>
      <c r="G2000" s="2519">
        <f t="shared" si="4004"/>
        <v>-69150.59</v>
      </c>
      <c r="H2000" s="2520">
        <v>4895.29</v>
      </c>
      <c r="I2000" s="2521">
        <f t="shared" si="4005"/>
        <v>-338512191.72109997</v>
      </c>
      <c r="J2000" s="2522">
        <v>1</v>
      </c>
      <c r="K2000" s="2523">
        <v>1</v>
      </c>
      <c r="L2000" s="2497"/>
      <c r="M2000" s="2519">
        <f t="shared" si="4006"/>
        <v>0</v>
      </c>
      <c r="N2000" s="2520"/>
      <c r="O2000" s="2521">
        <f t="shared" si="4007"/>
        <v>0</v>
      </c>
      <c r="P2000" s="2497"/>
      <c r="Q2000" s="2519">
        <f t="shared" si="4008"/>
        <v>0</v>
      </c>
      <c r="R2000" s="2520"/>
      <c r="S2000" s="2520"/>
      <c r="T2000" s="2521">
        <f t="shared" si="4009"/>
        <v>0</v>
      </c>
      <c r="U2000" s="2497">
        <f t="shared" si="4010"/>
        <v>-69150.59</v>
      </c>
      <c r="V2000" s="2521">
        <f t="shared" si="4011"/>
        <v>-338512191.72109997</v>
      </c>
      <c r="W2000" s="2524">
        <f t="shared" si="4012"/>
        <v>0</v>
      </c>
      <c r="X2000" s="2525">
        <f t="shared" si="4013"/>
        <v>0</v>
      </c>
      <c r="Y2000" s="2526">
        <v>20226043</v>
      </c>
      <c r="Z2000" s="2362"/>
      <c r="AA2000" s="355"/>
      <c r="AB2000" s="355"/>
      <c r="AC2000" s="355"/>
      <c r="AD2000" s="355"/>
      <c r="AE2000" s="355"/>
    </row>
    <row r="2001" spans="1:39" ht="15.75" outlineLevel="1">
      <c r="A2001" s="2514">
        <v>2406010200</v>
      </c>
      <c r="B2001" s="2515" t="s">
        <v>1400</v>
      </c>
      <c r="C2001" s="2516" t="s">
        <v>64</v>
      </c>
      <c r="D2001" s="2517">
        <v>2000012790</v>
      </c>
      <c r="E2001" s="2518">
        <v>44916</v>
      </c>
      <c r="F2001" s="2497">
        <v>-69150.59</v>
      </c>
      <c r="G2001" s="2519">
        <f t="shared" si="4004"/>
        <v>-69150.59</v>
      </c>
      <c r="H2001" s="2520">
        <v>4895.29</v>
      </c>
      <c r="I2001" s="2521">
        <f t="shared" si="4005"/>
        <v>-338512191.72109997</v>
      </c>
      <c r="J2001" s="2522">
        <v>1</v>
      </c>
      <c r="K2001" s="2523">
        <v>1</v>
      </c>
      <c r="L2001" s="2497"/>
      <c r="M2001" s="2519">
        <f t="shared" si="4006"/>
        <v>0</v>
      </c>
      <c r="N2001" s="2520"/>
      <c r="O2001" s="2521">
        <f t="shared" si="4007"/>
        <v>0</v>
      </c>
      <c r="P2001" s="2497"/>
      <c r="Q2001" s="2519">
        <f t="shared" si="4008"/>
        <v>0</v>
      </c>
      <c r="R2001" s="2520"/>
      <c r="S2001" s="2520"/>
      <c r="T2001" s="2521">
        <f t="shared" si="4009"/>
        <v>0</v>
      </c>
      <c r="U2001" s="2497">
        <f t="shared" si="4010"/>
        <v>-69150.59</v>
      </c>
      <c r="V2001" s="2521">
        <f t="shared" si="4011"/>
        <v>-338512191.72109997</v>
      </c>
      <c r="W2001" s="2524">
        <f t="shared" si="4012"/>
        <v>0</v>
      </c>
      <c r="X2001" s="2525">
        <f t="shared" si="4013"/>
        <v>0</v>
      </c>
      <c r="Y2001" s="2526">
        <v>20226043</v>
      </c>
      <c r="Z2001" s="2362"/>
      <c r="AA2001" s="355"/>
      <c r="AB2001" s="355"/>
      <c r="AC2001" s="355"/>
      <c r="AD2001" s="355"/>
      <c r="AE2001" s="355"/>
    </row>
    <row r="2002" spans="1:39" ht="15.75" outlineLevel="1">
      <c r="A2002" s="2514">
        <v>2406010200</v>
      </c>
      <c r="B2002" s="2515" t="s">
        <v>1400</v>
      </c>
      <c r="C2002" s="2516" t="s">
        <v>64</v>
      </c>
      <c r="D2002" s="2517">
        <v>2000012790</v>
      </c>
      <c r="E2002" s="2518">
        <v>44916</v>
      </c>
      <c r="F2002" s="2497">
        <v>-47690.07</v>
      </c>
      <c r="G2002" s="2519">
        <f t="shared" si="4004"/>
        <v>-47690.07</v>
      </c>
      <c r="H2002" s="2520">
        <v>4895.29</v>
      </c>
      <c r="I2002" s="2521">
        <f t="shared" si="4005"/>
        <v>-233456722.7703</v>
      </c>
      <c r="J2002" s="2522">
        <v>1</v>
      </c>
      <c r="K2002" s="2523">
        <v>1</v>
      </c>
      <c r="L2002" s="2497"/>
      <c r="M2002" s="2519">
        <f t="shared" si="4006"/>
        <v>0</v>
      </c>
      <c r="N2002" s="2520"/>
      <c r="O2002" s="2521">
        <f t="shared" si="4007"/>
        <v>0</v>
      </c>
      <c r="P2002" s="2497"/>
      <c r="Q2002" s="2519">
        <f t="shared" si="4008"/>
        <v>0</v>
      </c>
      <c r="R2002" s="2520"/>
      <c r="S2002" s="2520"/>
      <c r="T2002" s="2521">
        <f t="shared" si="4009"/>
        <v>0</v>
      </c>
      <c r="U2002" s="2497">
        <f t="shared" si="4010"/>
        <v>-47690.07</v>
      </c>
      <c r="V2002" s="2521">
        <f t="shared" si="4011"/>
        <v>-233456722.7703</v>
      </c>
      <c r="W2002" s="2524">
        <f t="shared" si="4012"/>
        <v>0</v>
      </c>
      <c r="X2002" s="2525">
        <f t="shared" si="4013"/>
        <v>0</v>
      </c>
      <c r="Y2002" s="2526">
        <v>20226043</v>
      </c>
      <c r="Z2002" s="2362"/>
      <c r="AA2002" s="355"/>
      <c r="AB2002" s="355"/>
      <c r="AC2002" s="355"/>
      <c r="AD2002" s="355"/>
      <c r="AE2002" s="355"/>
    </row>
    <row r="2003" spans="1:39" s="401" customFormat="1" ht="15.75" outlineLevel="1">
      <c r="A2003" s="984">
        <v>2406010200</v>
      </c>
      <c r="B2003" s="985" t="s">
        <v>1400</v>
      </c>
      <c r="C2003" s="1662" t="s">
        <v>64</v>
      </c>
      <c r="D2003" s="1667">
        <v>2000002850</v>
      </c>
      <c r="E2003" s="1668">
        <v>45019</v>
      </c>
      <c r="F2003" s="988"/>
      <c r="G2003" s="1287"/>
      <c r="H2003" s="335"/>
      <c r="I2003" s="989"/>
      <c r="J2003" s="1587">
        <v>1</v>
      </c>
      <c r="K2003" s="1460">
        <v>1</v>
      </c>
      <c r="L2003" s="991"/>
      <c r="M2003" s="1330">
        <f t="shared" ref="M2003:M2049" si="4014">+L2003*J2003</f>
        <v>0</v>
      </c>
      <c r="N2003" s="337"/>
      <c r="O2003" s="990">
        <f t="shared" ref="O2003:O2049" si="4015">+L2003*J2003*N2003</f>
        <v>0</v>
      </c>
      <c r="P2003" s="991">
        <f>-F1995</f>
        <v>-14307.02</v>
      </c>
      <c r="Q2003" s="1330">
        <f t="shared" ref="Q2003:Q2049" si="4016">+P2003*K2003</f>
        <v>-14307.02</v>
      </c>
      <c r="R2003" s="337">
        <f>+H1988</f>
        <v>4895.29</v>
      </c>
      <c r="S2003" s="337">
        <f ca="1">IF(OR($E2003="",$E2003&gt;TODAY()),0,VLOOKUP($E2003,'TRM BanRep'!$A:$G,7,0))</f>
        <v>4646.08</v>
      </c>
      <c r="T2003" s="990">
        <f t="shared" ref="T2003:T2049" ca="1" si="4017">+P2003*K2003*S2003</f>
        <v>-66471559.481600001</v>
      </c>
      <c r="U2003" s="2337">
        <f t="shared" ref="U2003:U2049" si="4018">+L2003+P2003+F2003</f>
        <v>-14307.02</v>
      </c>
      <c r="V2003" s="990">
        <f t="shared" ref="V2003:V2049" si="4019">+P2003*J2003*R2003+L2003*J2003*N2003+F2003*J2003*H2003</f>
        <v>-70037011.935800001</v>
      </c>
      <c r="W2003" s="993">
        <f t="shared" ca="1" si="3972"/>
        <v>0</v>
      </c>
      <c r="X2003" s="994">
        <f t="shared" ca="1" si="3973"/>
        <v>-3565452.4541999996</v>
      </c>
      <c r="Y2003" s="995">
        <v>20226043</v>
      </c>
      <c r="Z2003" s="220"/>
      <c r="AA2003" s="15"/>
      <c r="AB2003" s="15"/>
      <c r="AC2003" s="15"/>
      <c r="AD2003" s="15"/>
      <c r="AE2003" s="15"/>
    </row>
    <row r="2004" spans="1:39" s="401" customFormat="1" ht="15.75" outlineLevel="1">
      <c r="A2004" s="984">
        <v>2406010200</v>
      </c>
      <c r="B2004" s="985" t="s">
        <v>1400</v>
      </c>
      <c r="C2004" s="1662" t="s">
        <v>64</v>
      </c>
      <c r="D2004" s="1667">
        <v>2000002850</v>
      </c>
      <c r="E2004" s="1668">
        <v>45019</v>
      </c>
      <c r="F2004" s="988"/>
      <c r="G2004" s="1287"/>
      <c r="H2004" s="335"/>
      <c r="I2004" s="989"/>
      <c r="J2004" s="1587">
        <v>1</v>
      </c>
      <c r="K2004" s="1460">
        <v>1</v>
      </c>
      <c r="L2004" s="991"/>
      <c r="M2004" s="1330">
        <f t="shared" ref="M2004" si="4020">+L2004*J2004</f>
        <v>0</v>
      </c>
      <c r="N2004" s="337"/>
      <c r="O2004" s="990">
        <f t="shared" ref="O2004" si="4021">+L2004*J2004*N2004</f>
        <v>0</v>
      </c>
      <c r="P2004" s="991">
        <f>-F1996</f>
        <v>-47690.06</v>
      </c>
      <c r="Q2004" s="1330">
        <f t="shared" ref="Q2004" si="4022">+P2004*K2004</f>
        <v>-47690.06</v>
      </c>
      <c r="R2004" s="337">
        <f>+H1989</f>
        <v>4895.29</v>
      </c>
      <c r="S2004" s="337">
        <f ca="1">IF(OR($E2004="",$E2004&gt;TODAY()),0,VLOOKUP($E2004,'TRM BanRep'!$A:$G,7,0))</f>
        <v>4646.08</v>
      </c>
      <c r="T2004" s="990">
        <f t="shared" ref="T2004" ca="1" si="4023">+P2004*K2004*S2004</f>
        <v>-221571833.9648</v>
      </c>
      <c r="U2004" s="2337">
        <f t="shared" ref="U2004" si="4024">+L2004+P2004+F2004</f>
        <v>-47690.06</v>
      </c>
      <c r="V2004" s="990">
        <f t="shared" ref="V2004" si="4025">+P2004*J2004*R2004+L2004*J2004*N2004+F2004*J2004*H2004</f>
        <v>-233456673.81739998</v>
      </c>
      <c r="W2004" s="993">
        <f t="shared" ref="W2004" ca="1" si="4026">-(IF(-P2004*J2004*R2004&lt;-P2004*K2004*S2004,(-P2004*J2004*R2004)-(-P2004*K2004*S2004),0))</f>
        <v>0</v>
      </c>
      <c r="X2004" s="994">
        <f t="shared" ref="X2004" ca="1" si="4027">-(IF(-P2004*J2004*R2004&gt;-P2004*K2004*S2004,(-P2004*J2004*R2004)-(-P2004*K2004*S2004),0))</f>
        <v>-11884839.852599978</v>
      </c>
      <c r="Y2004" s="995">
        <v>20226043</v>
      </c>
      <c r="Z2004" s="220"/>
      <c r="AA2004" s="15"/>
      <c r="AB2004" s="15"/>
      <c r="AC2004" s="15"/>
      <c r="AD2004" s="15"/>
      <c r="AE2004" s="15"/>
    </row>
    <row r="2005" spans="1:39" s="373" customFormat="1">
      <c r="A2005" s="1011"/>
      <c r="B2005" s="372"/>
      <c r="C2005" s="1661"/>
      <c r="D2005" s="1665"/>
      <c r="E2005" s="1666"/>
      <c r="F2005" s="1015"/>
      <c r="G2005" s="1293"/>
      <c r="H2005" s="346"/>
      <c r="I2005" s="1016"/>
      <c r="J2005" s="1402"/>
      <c r="K2005" s="1402"/>
      <c r="L2005" s="1036"/>
      <c r="M2005" s="1325">
        <f t="shared" si="4014"/>
        <v>0</v>
      </c>
      <c r="N2005" s="348"/>
      <c r="O2005" s="897">
        <f t="shared" si="4015"/>
        <v>0</v>
      </c>
      <c r="P2005" s="1017"/>
      <c r="Q2005" s="1362">
        <f t="shared" si="4016"/>
        <v>0</v>
      </c>
      <c r="R2005" s="349"/>
      <c r="S2005" s="349"/>
      <c r="T2005" s="895">
        <f t="shared" si="4017"/>
        <v>0</v>
      </c>
      <c r="U2005" s="418">
        <f t="shared" si="4018"/>
        <v>0</v>
      </c>
      <c r="V2005" s="517">
        <f t="shared" si="4019"/>
        <v>0</v>
      </c>
      <c r="W2005" s="976">
        <f t="shared" si="3972"/>
        <v>0</v>
      </c>
      <c r="X2005" s="975">
        <f t="shared" si="3973"/>
        <v>0</v>
      </c>
      <c r="Y2005" s="896"/>
      <c r="Z2005" s="1076"/>
      <c r="AA2005" s="15"/>
      <c r="AB2005" s="15"/>
      <c r="AC2005" s="15"/>
      <c r="AD2005" s="15"/>
      <c r="AE2005" s="15"/>
    </row>
    <row r="2006" spans="1:39" s="373" customFormat="1">
      <c r="A2006" s="1019">
        <v>2406010200</v>
      </c>
      <c r="B2006" s="374" t="s">
        <v>2600</v>
      </c>
      <c r="C2006" s="1677" t="s">
        <v>64</v>
      </c>
      <c r="D2006" s="1019">
        <v>5100003353</v>
      </c>
      <c r="E2006" s="1681">
        <v>45037</v>
      </c>
      <c r="F2006" s="1023"/>
      <c r="G2006" s="1290"/>
      <c r="H2006" s="352"/>
      <c r="I2006" s="1024"/>
      <c r="J2006" s="1027">
        <v>1</v>
      </c>
      <c r="K2006" s="1459">
        <v>1</v>
      </c>
      <c r="L2006" s="1026">
        <v>335699.01</v>
      </c>
      <c r="M2006" s="1324">
        <f t="shared" ref="M2006" si="4028">+L2006*J2006</f>
        <v>335699.01</v>
      </c>
      <c r="N2006" s="1967">
        <f ca="1">IF(OR(E2006="",E2006&gt;TODAY()),0,IF(ISERROR(VLOOKUP($E2006,'TRM BanRep'!$A:$G,7,0)),0,VLOOKUP($E2006,'TRM BanRep'!$A:$G,7,0)))</f>
        <v>4535.78</v>
      </c>
      <c r="O2006" s="1025">
        <f t="shared" ref="O2006" ca="1" si="4029">+L2006*J2006*N2006</f>
        <v>1522656855.5778</v>
      </c>
      <c r="P2006" s="1026"/>
      <c r="Q2006" s="1324">
        <f t="shared" ref="Q2006" si="4030">+P2006*K2006</f>
        <v>0</v>
      </c>
      <c r="R2006" s="353"/>
      <c r="S2006" s="353"/>
      <c r="T2006" s="1025">
        <f t="shared" ref="T2006" si="4031">+P2006*K2006*S2006</f>
        <v>0</v>
      </c>
      <c r="U2006" s="476">
        <f t="shared" ref="U2006" si="4032">+L2006+P2006+F2006</f>
        <v>335699.01</v>
      </c>
      <c r="V2006" s="922">
        <f t="shared" ref="V2006" ca="1" si="4033">+P2006*J2006*R2006+L2006*J2006*N2006+F2006*J2006*H2006</f>
        <v>1522656855.5778</v>
      </c>
      <c r="W2006" s="477">
        <f t="shared" ref="W2006" si="4034">-(IF(-P2006*J2006*R2006&lt;-P2006*K2006*S2006,(-P2006*J2006*R2006)-(-P2006*K2006*S2006),0))</f>
        <v>0</v>
      </c>
      <c r="X2006" s="923">
        <f t="shared" ref="X2006" si="4035">-(IF(-P2006*J2006*R2006&gt;-P2006*K2006*S2006,(-P2006*J2006*R2006)-(-P2006*K2006*S2006),0))</f>
        <v>0</v>
      </c>
      <c r="Y2006" s="924"/>
      <c r="Z2006" s="1076"/>
      <c r="AA2006" s="15"/>
      <c r="AB2006" s="15"/>
      <c r="AC2006" s="15"/>
      <c r="AD2006" s="15"/>
      <c r="AE2006" s="15"/>
    </row>
    <row r="2007" spans="1:39" s="373" customFormat="1">
      <c r="A2007" s="1019">
        <v>2406010200</v>
      </c>
      <c r="B2007" s="374" t="s">
        <v>2555</v>
      </c>
      <c r="C2007" s="1677" t="s">
        <v>64</v>
      </c>
      <c r="D2007" s="1019">
        <v>2200000066</v>
      </c>
      <c r="E2007" s="1681">
        <v>45044</v>
      </c>
      <c r="F2007" s="1023"/>
      <c r="G2007" s="1290"/>
      <c r="H2007" s="352"/>
      <c r="I2007" s="1024"/>
      <c r="J2007" s="1027">
        <v>1</v>
      </c>
      <c r="K2007" s="1459">
        <v>1</v>
      </c>
      <c r="L2007" s="1026">
        <v>-67139.8</v>
      </c>
      <c r="M2007" s="1324">
        <f t="shared" ref="M2007" si="4036">+L2007*J2007</f>
        <v>-67139.8</v>
      </c>
      <c r="N2007" s="1967">
        <f ca="1">IF(OR(E2007="",E2007&gt;TODAY()),0,IF(ISERROR(VLOOKUP($E2007,'TRM BanRep'!$A:$G,7,0)),0,VLOOKUP($E2007,'TRM BanRep'!$A:$G,7,0)))</f>
        <v>4654.1400000000003</v>
      </c>
      <c r="O2007" s="1025">
        <f t="shared" ref="O2007" ca="1" si="4037">+L2007*J2007*N2007</f>
        <v>-312478028.77200001</v>
      </c>
      <c r="P2007" s="1026"/>
      <c r="Q2007" s="1324">
        <f t="shared" ref="Q2007" si="4038">+P2007*K2007</f>
        <v>0</v>
      </c>
      <c r="R2007" s="353"/>
      <c r="S2007" s="353"/>
      <c r="T2007" s="1025">
        <f t="shared" ref="T2007" si="4039">+P2007*K2007*S2007</f>
        <v>0</v>
      </c>
      <c r="U2007" s="476">
        <f t="shared" ref="U2007" si="4040">+L2007+P2007+F2007</f>
        <v>-67139.8</v>
      </c>
      <c r="V2007" s="922">
        <f t="shared" ref="V2007" ca="1" si="4041">+P2007*J2007*R2007+L2007*J2007*N2007+F2007*J2007*H2007</f>
        <v>-312478028.77200001</v>
      </c>
      <c r="W2007" s="477">
        <f t="shared" ref="W2007" si="4042">-(IF(-P2007*J2007*R2007&lt;-P2007*K2007*S2007,(-P2007*J2007*R2007)-(-P2007*K2007*S2007),0))</f>
        <v>0</v>
      </c>
      <c r="X2007" s="923">
        <f t="shared" ref="X2007" si="4043">-(IF(-P2007*J2007*R2007&gt;-P2007*K2007*S2007,(-P2007*J2007*R2007)-(-P2007*K2007*S2007),0))</f>
        <v>0</v>
      </c>
      <c r="Y2007" s="924"/>
      <c r="Z2007" s="1076"/>
      <c r="AA2007" s="15"/>
      <c r="AB2007" s="15"/>
      <c r="AC2007" s="15"/>
      <c r="AD2007" s="15"/>
      <c r="AE2007" s="15"/>
    </row>
    <row r="2008" spans="1:39" s="373" customFormat="1">
      <c r="A2008" s="1019">
        <v>2406010200</v>
      </c>
      <c r="B2008" s="374"/>
      <c r="C2008" s="1677" t="s">
        <v>64</v>
      </c>
      <c r="D2008" s="1019"/>
      <c r="E2008" s="1681"/>
      <c r="F2008" s="1023"/>
      <c r="G2008" s="1290"/>
      <c r="H2008" s="352"/>
      <c r="I2008" s="1024"/>
      <c r="J2008" s="1027">
        <v>1</v>
      </c>
      <c r="K2008" s="1459">
        <v>1</v>
      </c>
      <c r="L2008" s="1026"/>
      <c r="M2008" s="1324">
        <f t="shared" ref="M2008" si="4044">+L2008*J2008</f>
        <v>0</v>
      </c>
      <c r="N2008" s="353"/>
      <c r="O2008" s="1025">
        <f t="shared" ref="O2008" si="4045">+L2008*J2008*N2008</f>
        <v>0</v>
      </c>
      <c r="P2008" s="1026"/>
      <c r="Q2008" s="1324">
        <f t="shared" ref="Q2008" si="4046">+P2008*K2008</f>
        <v>0</v>
      </c>
      <c r="R2008" s="353"/>
      <c r="S2008" s="353"/>
      <c r="T2008" s="1025">
        <f t="shared" ref="T2008" si="4047">+P2008*K2008*S2008</f>
        <v>0</v>
      </c>
      <c r="U2008" s="476">
        <f t="shared" ref="U2008" si="4048">+L2008+P2008+F2008</f>
        <v>0</v>
      </c>
      <c r="V2008" s="922">
        <f t="shared" ref="V2008" si="4049">+P2008*J2008*R2008+L2008*J2008*N2008+F2008*J2008*H2008</f>
        <v>0</v>
      </c>
      <c r="W2008" s="477">
        <f t="shared" ref="W2008" si="4050">-(IF(-P2008*J2008*R2008&lt;-P2008*K2008*S2008,(-P2008*J2008*R2008)-(-P2008*K2008*S2008),0))</f>
        <v>0</v>
      </c>
      <c r="X2008" s="923">
        <f t="shared" ref="X2008" si="4051">-(IF(-P2008*J2008*R2008&gt;-P2008*K2008*S2008,(-P2008*J2008*R2008)-(-P2008*K2008*S2008),0))</f>
        <v>0</v>
      </c>
      <c r="Y2008" s="924"/>
      <c r="Z2008" s="1076"/>
      <c r="AA2008" s="15"/>
      <c r="AB2008" s="15"/>
      <c r="AC2008" s="15"/>
      <c r="AD2008" s="15"/>
      <c r="AE2008" s="15"/>
    </row>
    <row r="2009" spans="1:39" s="373" customFormat="1">
      <c r="A2009" s="1011"/>
      <c r="B2009" s="372"/>
      <c r="C2009" s="1661"/>
      <c r="D2009" s="1665"/>
      <c r="E2009" s="1666"/>
      <c r="F2009" s="1015"/>
      <c r="G2009" s="1293"/>
      <c r="H2009" s="346"/>
      <c r="I2009" s="1016"/>
      <c r="J2009" s="1402"/>
      <c r="K2009" s="1402"/>
      <c r="L2009" s="1036"/>
      <c r="M2009" s="1325">
        <f t="shared" si="4014"/>
        <v>0</v>
      </c>
      <c r="N2009" s="348"/>
      <c r="O2009" s="897">
        <f t="shared" si="4015"/>
        <v>0</v>
      </c>
      <c r="P2009" s="1017"/>
      <c r="Q2009" s="1362">
        <f t="shared" si="4016"/>
        <v>0</v>
      </c>
      <c r="R2009" s="349"/>
      <c r="S2009" s="349"/>
      <c r="T2009" s="895">
        <f t="shared" si="4017"/>
        <v>0</v>
      </c>
      <c r="U2009" s="418">
        <f t="shared" si="4018"/>
        <v>0</v>
      </c>
      <c r="V2009" s="517">
        <f t="shared" si="4019"/>
        <v>0</v>
      </c>
      <c r="W2009" s="976">
        <f t="shared" si="3972"/>
        <v>0</v>
      </c>
      <c r="X2009" s="975">
        <f t="shared" si="3973"/>
        <v>0</v>
      </c>
      <c r="Y2009" s="896"/>
      <c r="Z2009" s="1076"/>
      <c r="AA2009" s="15"/>
      <c r="AB2009" s="15"/>
      <c r="AC2009" s="15"/>
      <c r="AD2009" s="15"/>
      <c r="AE2009" s="15"/>
    </row>
    <row r="2010" spans="1:39" s="401" customFormat="1">
      <c r="A2010" s="1973">
        <v>2406010200</v>
      </c>
      <c r="B2010" s="1974" t="s">
        <v>2422</v>
      </c>
      <c r="C2010" s="1975" t="s">
        <v>64</v>
      </c>
      <c r="D2010" s="1976">
        <v>5100002012</v>
      </c>
      <c r="E2010" s="1977">
        <v>44992</v>
      </c>
      <c r="F2010" s="1978"/>
      <c r="G2010" s="1979"/>
      <c r="H2010" s="1980"/>
      <c r="I2010" s="1981"/>
      <c r="J2010" s="1982">
        <v>1</v>
      </c>
      <c r="K2010" s="1983">
        <v>1</v>
      </c>
      <c r="L2010" s="1984">
        <v>1583972.28</v>
      </c>
      <c r="M2010" s="1985">
        <f t="shared" si="4014"/>
        <v>1583972.28</v>
      </c>
      <c r="N2010" s="1986">
        <f ca="1">IF(OR(E2010="",E2010&gt;TODAY()),0,IF(ISERROR(VLOOKUP($E2010,'TRM BanRep'!$A:$G,7,0)),0,VLOOKUP($E2010,'TRM BanRep'!$A:$G,7,0)))</f>
        <v>4734.42</v>
      </c>
      <c r="O2010" s="1987">
        <f t="shared" ca="1" si="4015"/>
        <v>7499190041.8776007</v>
      </c>
      <c r="P2010" s="1984"/>
      <c r="Q2010" s="1985">
        <f t="shared" si="4016"/>
        <v>0</v>
      </c>
      <c r="R2010" s="1986"/>
      <c r="S2010" s="1986">
        <f ca="1">IF(OR(E2010="",E2010&gt;TODAY()),0,IF(ISERROR(VLOOKUP($E2010,'TRM BanRep'!$A:$G,7,0)),0,VLOOKUP($E2010,'TRM BanRep'!$A:$G,7,0)))</f>
        <v>4734.42</v>
      </c>
      <c r="T2010" s="1987">
        <f t="shared" ca="1" si="4017"/>
        <v>0</v>
      </c>
      <c r="U2010" s="1982">
        <f t="shared" si="4018"/>
        <v>1583972.28</v>
      </c>
      <c r="V2010" s="1987">
        <f t="shared" ca="1" si="4019"/>
        <v>7499190041.8776007</v>
      </c>
      <c r="W2010" s="1988">
        <f t="shared" ca="1" si="3972"/>
        <v>0</v>
      </c>
      <c r="X2010" s="1989">
        <f t="shared" ca="1" si="3973"/>
        <v>0</v>
      </c>
      <c r="Y2010" s="1990"/>
      <c r="Z2010" s="220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/>
    </row>
    <row r="2011" spans="1:39" s="401" customFormat="1" outlineLevel="1">
      <c r="A2011" s="1973">
        <v>2406010200</v>
      </c>
      <c r="B2011" s="1974" t="s">
        <v>1366</v>
      </c>
      <c r="C2011" s="1975" t="s">
        <v>64</v>
      </c>
      <c r="D2011" s="1976">
        <v>100014261</v>
      </c>
      <c r="E2011" s="1977">
        <v>44992</v>
      </c>
      <c r="F2011" s="1978"/>
      <c r="G2011" s="1979"/>
      <c r="H2011" s="1980"/>
      <c r="I2011" s="1981"/>
      <c r="J2011" s="1982">
        <v>1</v>
      </c>
      <c r="K2011" s="1983">
        <v>1</v>
      </c>
      <c r="L2011" s="1984">
        <v>-1583972.28</v>
      </c>
      <c r="M2011" s="1985">
        <f t="shared" si="4014"/>
        <v>-1583972.28</v>
      </c>
      <c r="N2011" s="1986">
        <f ca="1">IF(OR(E2011="",E2011&gt;TODAY()),0,IF(ISERROR(VLOOKUP($E2011,'TRM BanRep'!$A:$G,7,0)),0,VLOOKUP($E2011,'TRM BanRep'!$A:$G,7,0)))</f>
        <v>4734.42</v>
      </c>
      <c r="O2011" s="1987">
        <f t="shared" ca="1" si="4015"/>
        <v>-7499190041.8776007</v>
      </c>
      <c r="P2011" s="1984"/>
      <c r="Q2011" s="1985">
        <f t="shared" si="4016"/>
        <v>0</v>
      </c>
      <c r="R2011" s="1986"/>
      <c r="S2011" s="1986">
        <f ca="1">IF(OR(E2011="",E2011&gt;TODAY()),0,IF(ISERROR(VLOOKUP($E2011,'TRM BanRep'!$A:$G,7,0)),0,VLOOKUP($E2011,'TRM BanRep'!$A:$G,7,0)))</f>
        <v>4734.42</v>
      </c>
      <c r="T2011" s="1987">
        <f t="shared" ca="1" si="4017"/>
        <v>0</v>
      </c>
      <c r="U2011" s="1982">
        <f t="shared" si="4018"/>
        <v>-1583972.28</v>
      </c>
      <c r="V2011" s="1987">
        <f t="shared" ca="1" si="4019"/>
        <v>-7499190041.8776007</v>
      </c>
      <c r="W2011" s="1988">
        <f t="shared" ca="1" si="3972"/>
        <v>0</v>
      </c>
      <c r="X2011" s="1989">
        <f t="shared" ca="1" si="3973"/>
        <v>0</v>
      </c>
      <c r="Y2011" s="1990"/>
      <c r="Z2011" s="220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/>
    </row>
    <row r="2012" spans="1:39" s="401" customFormat="1" outlineLevel="1">
      <c r="A2012" s="1019">
        <v>2406010200</v>
      </c>
      <c r="B2012" s="1965" t="s">
        <v>2423</v>
      </c>
      <c r="C2012" s="1677" t="s">
        <v>64</v>
      </c>
      <c r="D2012" s="1680">
        <v>100014261</v>
      </c>
      <c r="E2012" s="1681">
        <v>44992</v>
      </c>
      <c r="F2012" s="1023"/>
      <c r="G2012" s="1290"/>
      <c r="H2012" s="1966"/>
      <c r="I2012" s="1024"/>
      <c r="J2012" s="1970">
        <v>1</v>
      </c>
      <c r="K2012" s="1991">
        <v>1</v>
      </c>
      <c r="L2012" s="2127">
        <v>158397.23000000001</v>
      </c>
      <c r="M2012" s="1324">
        <f>+L2012*J2012</f>
        <v>158397.23000000001</v>
      </c>
      <c r="N2012" s="1967">
        <f ca="1">IF(OR(E2012="",E2012&gt;TODAY()),0,IF(ISERROR(VLOOKUP($E2012,'TRM BanRep'!$A:$G,7,0)),0,VLOOKUP($E2012,'TRM BanRep'!$A:$G,7,0)))</f>
        <v>4734.42</v>
      </c>
      <c r="O2012" s="1969">
        <f ca="1">+L2012*J2012*N2012</f>
        <v>749919013.65660012</v>
      </c>
      <c r="P2012" s="1026"/>
      <c r="Q2012" s="1324">
        <f>+P2012*K2012</f>
        <v>0</v>
      </c>
      <c r="R2012" s="1967"/>
      <c r="S2012" s="1967">
        <f ca="1">IF(OR(E2012="",E2012&gt;TODAY()),0,IF(ISERROR(VLOOKUP($E2012,'TRM BanRep'!$A:$G,7,0)),0,VLOOKUP($E2012,'TRM BanRep'!$A:$G,7,0)))</f>
        <v>4734.42</v>
      </c>
      <c r="T2012" s="1969">
        <f ca="1">+P2012*K2012*S2012</f>
        <v>0</v>
      </c>
      <c r="U2012" s="2126">
        <f>+L2012+P2012+F2012</f>
        <v>158397.23000000001</v>
      </c>
      <c r="V2012" s="1969">
        <f ca="1">+P2012*J2012*R2012+L2012*J2012*N2012+F2012*J2012*H2012</f>
        <v>749919013.65660012</v>
      </c>
      <c r="W2012" s="1971">
        <f ca="1">-(IF(-P2012*J2012*R2012&lt;-P2012*K2012*S2012,(-P2012*J2012*R2012)-(-P2012*K2012*S2012),0))</f>
        <v>0</v>
      </c>
      <c r="X2012" s="1972">
        <f ca="1">-(IF(-P2012*J2012*R2012&gt;-P2012*K2012*S2012,(-P2012*J2012*R2012)-(-P2012*K2012*S2012),0))</f>
        <v>0</v>
      </c>
      <c r="Y2012" s="1030"/>
      <c r="Z2012" s="220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/>
    </row>
    <row r="2013" spans="1:39" s="401" customFormat="1" outlineLevel="1">
      <c r="A2013" s="1019">
        <v>2406010200</v>
      </c>
      <c r="B2013" s="1965" t="s">
        <v>2424</v>
      </c>
      <c r="C2013" s="1677" t="s">
        <v>64</v>
      </c>
      <c r="D2013" s="1680">
        <v>100014261</v>
      </c>
      <c r="E2013" s="1681">
        <v>44992</v>
      </c>
      <c r="F2013" s="1023"/>
      <c r="G2013" s="1290"/>
      <c r="H2013" s="1966"/>
      <c r="I2013" s="1024"/>
      <c r="J2013" s="1970">
        <v>1</v>
      </c>
      <c r="K2013" s="1991">
        <v>1</v>
      </c>
      <c r="L2013" s="2127">
        <v>1425575.05</v>
      </c>
      <c r="M2013" s="1324">
        <f>+L2013*J2013</f>
        <v>1425575.05</v>
      </c>
      <c r="N2013" s="1967">
        <f ca="1">IF(OR(E2013="",E2013&gt;TODAY()),0,IF(ISERROR(VLOOKUP($E2013,'TRM BanRep'!$A:$G,7,0)),0,VLOOKUP($E2013,'TRM BanRep'!$A:$G,7,0)))</f>
        <v>4734.42</v>
      </c>
      <c r="O2013" s="1969">
        <f ca="1">+L2013*J2013*N2013</f>
        <v>6749271028.2210007</v>
      </c>
      <c r="P2013" s="1026"/>
      <c r="Q2013" s="1324">
        <f>+P2013*K2013</f>
        <v>0</v>
      </c>
      <c r="R2013" s="1967"/>
      <c r="S2013" s="1967">
        <f ca="1">IF(OR(E2013="",E2013&gt;TODAY()),0,IF(ISERROR(VLOOKUP($E2013,'TRM BanRep'!$A:$G,7,0)),0,VLOOKUP($E2013,'TRM BanRep'!$A:$G,7,0)))</f>
        <v>4734.42</v>
      </c>
      <c r="T2013" s="1969">
        <f ca="1">+P2013*K2013*S2013</f>
        <v>0</v>
      </c>
      <c r="U2013" s="2126">
        <f>+L2013+P2013+F2013</f>
        <v>1425575.05</v>
      </c>
      <c r="V2013" s="1969">
        <f ca="1">+P2013*J2013*R2013+L2013*J2013*N2013+F2013*J2013*H2013</f>
        <v>6749271028.2210007</v>
      </c>
      <c r="W2013" s="1971">
        <f ca="1">-(IF(-P2013*J2013*R2013&lt;-P2013*K2013*S2013,(-P2013*J2013*R2013)-(-P2013*K2013*S2013),0))</f>
        <v>0</v>
      </c>
      <c r="X2013" s="1972">
        <f ca="1">-(IF(-P2013*J2013*R2013&gt;-P2013*K2013*S2013,(-P2013*J2013*R2013)-(-P2013*K2013*S2013),0))</f>
        <v>0</v>
      </c>
      <c r="Y2013" s="1030"/>
      <c r="Z2013" s="220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/>
    </row>
    <row r="2014" spans="1:39" s="373" customFormat="1" outlineLevel="1">
      <c r="A2014" s="1019">
        <v>2406010200</v>
      </c>
      <c r="B2014" s="374"/>
      <c r="C2014" s="1677" t="s">
        <v>64</v>
      </c>
      <c r="D2014" s="1680">
        <v>2000002477</v>
      </c>
      <c r="E2014" s="1681">
        <v>45002</v>
      </c>
      <c r="F2014" s="1023"/>
      <c r="G2014" s="1290"/>
      <c r="H2014" s="352"/>
      <c r="I2014" s="1024"/>
      <c r="J2014" s="1027">
        <v>1</v>
      </c>
      <c r="K2014" s="1459">
        <v>1</v>
      </c>
      <c r="L2014" s="1026"/>
      <c r="M2014" s="1324">
        <f>+L2014*J2014</f>
        <v>0</v>
      </c>
      <c r="N2014" s="353"/>
      <c r="O2014" s="1025">
        <f>+L2014*J2014*N2014</f>
        <v>0</v>
      </c>
      <c r="P2014" s="2127">
        <f>-L2012</f>
        <v>-158397.23000000001</v>
      </c>
      <c r="Q2014" s="1324">
        <f>+P2014*K2014</f>
        <v>-158397.23000000001</v>
      </c>
      <c r="R2014" s="1967">
        <f ca="1">+$N$2010</f>
        <v>4734.42</v>
      </c>
      <c r="S2014" s="1967">
        <f ca="1">IF(OR(E2014="",E2014&gt;TODAY()),0,IF(ISERROR(VLOOKUP($E2014,'TRM BanRep'!$A:$G,7,0)),0,VLOOKUP($E2014,'TRM BanRep'!$A:$G,7,0)))</f>
        <v>4866.5</v>
      </c>
      <c r="T2014" s="1025">
        <f ca="1">+P2014*K2014*S2014</f>
        <v>-770840119.79500008</v>
      </c>
      <c r="U2014" s="2274">
        <f>+L2014+P2014+F2014</f>
        <v>-158397.23000000001</v>
      </c>
      <c r="V2014" s="1969">
        <f ca="1">+P2014*J2014*R2014+L2014*J2014*N2014+F2014*J2014*H2014</f>
        <v>-749919013.65660012</v>
      </c>
      <c r="W2014" s="2275">
        <f ca="1">-(IF(-P2014*J2014*R2014&lt;-P2014*K2014*S2014,(-P2014*J2014*R2014)-(-P2014*K2014*S2014),0))</f>
        <v>20921106.138399959</v>
      </c>
      <c r="X2014" s="2276">
        <f ca="1">-(IF(-P2014*J2014*R2014&gt;-P2014*K2014*S2014,(-P2014*J2014*R2014)-(-P2014*K2014*S2014),0))</f>
        <v>0</v>
      </c>
      <c r="Y2014" s="924"/>
      <c r="Z2014" s="1076"/>
      <c r="AA2014" s="15"/>
      <c r="AB2014" s="15"/>
      <c r="AC2014" s="15"/>
      <c r="AD2014" s="15"/>
      <c r="AE2014" s="15"/>
    </row>
    <row r="2015" spans="1:39" s="373" customFormat="1" outlineLevel="1">
      <c r="A2015" s="1019">
        <v>2406010200</v>
      </c>
      <c r="B2015" s="374"/>
      <c r="C2015" s="1677" t="s">
        <v>64</v>
      </c>
      <c r="D2015" s="1680"/>
      <c r="E2015" s="1681"/>
      <c r="F2015" s="1023"/>
      <c r="G2015" s="1290"/>
      <c r="H2015" s="352"/>
      <c r="I2015" s="1024"/>
      <c r="J2015" s="1027">
        <v>1</v>
      </c>
      <c r="K2015" s="1459">
        <v>1</v>
      </c>
      <c r="L2015" s="1026"/>
      <c r="M2015" s="1324">
        <f>+L2015*J2015</f>
        <v>0</v>
      </c>
      <c r="N2015" s="353"/>
      <c r="O2015" s="1025">
        <f>+L2015*J2015*N2015</f>
        <v>0</v>
      </c>
      <c r="P2015" s="2127"/>
      <c r="Q2015" s="1324">
        <f>+P2015*K2015</f>
        <v>0</v>
      </c>
      <c r="R2015" s="1967">
        <f ca="1">+$N$2010</f>
        <v>4734.42</v>
      </c>
      <c r="S2015" s="1967">
        <f ca="1">IF(OR(E2015="",E2015&gt;TODAY()),0,IF(ISERROR(VLOOKUP($E2015,'TRM BanRep'!$A:$G,7,0)),0,VLOOKUP($E2015,'TRM BanRep'!$A:$G,7,0)))</f>
        <v>0</v>
      </c>
      <c r="T2015" s="1025">
        <f ca="1">+P2015*K2015*S2015</f>
        <v>0</v>
      </c>
      <c r="U2015" s="2274">
        <f>+L2015+P2015+F2015</f>
        <v>0</v>
      </c>
      <c r="V2015" s="1969">
        <f ca="1">+P2015*J2015*R2015+L2015*J2015*N2015+F2015*J2015*H2015</f>
        <v>0</v>
      </c>
      <c r="W2015" s="2275">
        <f ca="1">-(IF(-P2015*J2015*R2015&lt;-P2015*K2015*S2015,(-P2015*J2015*R2015)-(-P2015*K2015*S2015),0))</f>
        <v>0</v>
      </c>
      <c r="X2015" s="2276">
        <f ca="1">-(IF(-P2015*J2015*R2015&gt;-P2015*K2015*S2015,(-P2015*J2015*R2015)-(-P2015*K2015*S2015),0))</f>
        <v>0</v>
      </c>
      <c r="Y2015" s="924"/>
      <c r="Z2015" s="1076"/>
      <c r="AA2015" s="15"/>
      <c r="AB2015" s="15"/>
      <c r="AC2015" s="15"/>
      <c r="AD2015" s="15"/>
      <c r="AE2015" s="15"/>
    </row>
    <row r="2016" spans="1:39" s="401" customFormat="1">
      <c r="A2016" s="1011"/>
      <c r="B2016" s="1012"/>
      <c r="C2016" s="1661"/>
      <c r="D2016" s="1665"/>
      <c r="E2016" s="1666"/>
      <c r="F2016" s="1040"/>
      <c r="G2016" s="1294"/>
      <c r="H2016" s="1053"/>
      <c r="I2016" s="1041"/>
      <c r="J2016" s="1508"/>
      <c r="K2016" s="1509"/>
      <c r="L2016" s="1040"/>
      <c r="M2016" s="1294">
        <f t="shared" ref="M2016:M2019" si="4052">+L2016*J2016</f>
        <v>0</v>
      </c>
      <c r="N2016" s="1053"/>
      <c r="O2016" s="1041">
        <f t="shared" ref="O2016:O2019" si="4053">+L2016*J2016*N2016</f>
        <v>0</v>
      </c>
      <c r="P2016" s="1040"/>
      <c r="Q2016" s="1294">
        <f t="shared" ref="Q2016:Q2019" si="4054">+P2016*K2016</f>
        <v>0</v>
      </c>
      <c r="R2016" s="1053"/>
      <c r="S2016" s="1053"/>
      <c r="T2016" s="1041">
        <f t="shared" ref="T2016:T2019" si="4055">+P2016*K2016*S2016</f>
        <v>0</v>
      </c>
      <c r="U2016" s="1040"/>
      <c r="V2016" s="1041"/>
      <c r="W2016" s="1039">
        <f t="shared" ref="W2016:W2019" si="4056">-(IF(-P2016*J2016*R2016&lt;-P2016*K2016*S2016,(-P2016*J2016*R2016)-(-P2016*K2016*S2016),0))</f>
        <v>0</v>
      </c>
      <c r="X2016" s="1038">
        <f t="shared" ref="X2016:X2019" si="4057">-(IF(-P2016*J2016*R2016&gt;-P2016*K2016*S2016,(-P2016*J2016*R2016)-(-P2016*K2016*S2016),0))</f>
        <v>0</v>
      </c>
      <c r="Y2016" s="1037"/>
      <c r="Z2016" s="220"/>
      <c r="AA2016" s="15"/>
      <c r="AB2016" s="15"/>
      <c r="AC2016" s="15"/>
      <c r="AD2016" s="15"/>
      <c r="AE2016" s="15"/>
    </row>
    <row r="2017" spans="1:39" s="373" customFormat="1">
      <c r="A2017" s="1011"/>
      <c r="B2017" s="372"/>
      <c r="C2017" s="1661"/>
      <c r="D2017" s="1665"/>
      <c r="E2017" s="1666"/>
      <c r="F2017" s="1015"/>
      <c r="G2017" s="1293"/>
      <c r="H2017" s="346"/>
      <c r="I2017" s="1016"/>
      <c r="J2017" s="1402"/>
      <c r="K2017" s="1402"/>
      <c r="L2017" s="1036"/>
      <c r="M2017" s="1325">
        <f t="shared" si="4052"/>
        <v>0</v>
      </c>
      <c r="N2017" s="348"/>
      <c r="O2017" s="897">
        <f t="shared" si="4053"/>
        <v>0</v>
      </c>
      <c r="P2017" s="1017"/>
      <c r="Q2017" s="1362">
        <f t="shared" si="4054"/>
        <v>0</v>
      </c>
      <c r="R2017" s="349"/>
      <c r="S2017" s="349"/>
      <c r="T2017" s="895">
        <f t="shared" si="4055"/>
        <v>0</v>
      </c>
      <c r="U2017" s="418">
        <f t="shared" ref="U2017:U2019" si="4058">+L2017+P2017+F2017</f>
        <v>0</v>
      </c>
      <c r="V2017" s="517">
        <f t="shared" ref="V2017:V2019" si="4059">+P2017*J2017*R2017+L2017*J2017*N2017+F2017*J2017*H2017</f>
        <v>0</v>
      </c>
      <c r="W2017" s="976">
        <f t="shared" si="4056"/>
        <v>0</v>
      </c>
      <c r="X2017" s="975">
        <f t="shared" si="4057"/>
        <v>0</v>
      </c>
      <c r="Y2017" s="896"/>
      <c r="Z2017" s="1076"/>
      <c r="AA2017" s="15"/>
      <c r="AB2017" s="15"/>
      <c r="AC2017" s="15"/>
      <c r="AD2017" s="15"/>
      <c r="AE2017" s="15"/>
    </row>
    <row r="2018" spans="1:39" s="401" customFormat="1">
      <c r="A2018" s="1973">
        <v>2406010200</v>
      </c>
      <c r="B2018" s="1974" t="s">
        <v>2425</v>
      </c>
      <c r="C2018" s="1975" t="s">
        <v>64</v>
      </c>
      <c r="D2018" s="1976">
        <v>5100002013</v>
      </c>
      <c r="E2018" s="1977">
        <v>44992</v>
      </c>
      <c r="F2018" s="1978"/>
      <c r="G2018" s="1979"/>
      <c r="H2018" s="1980"/>
      <c r="I2018" s="1981"/>
      <c r="J2018" s="1982">
        <v>1</v>
      </c>
      <c r="K2018" s="1983">
        <v>1</v>
      </c>
      <c r="L2018" s="1984">
        <v>1583972.28</v>
      </c>
      <c r="M2018" s="1985">
        <f t="shared" si="4052"/>
        <v>1583972.28</v>
      </c>
      <c r="N2018" s="1986">
        <f ca="1">IF(OR(E2018="",E2018&gt;TODAY()),0,IF(ISERROR(VLOOKUP($E2018,'TRM BanRep'!$A:$G,7,0)),0,VLOOKUP($E2018,'TRM BanRep'!$A:$G,7,0)))</f>
        <v>4734.42</v>
      </c>
      <c r="O2018" s="1987">
        <f t="shared" ca="1" si="4053"/>
        <v>7499190041.8776007</v>
      </c>
      <c r="P2018" s="1984"/>
      <c r="Q2018" s="1985">
        <f t="shared" si="4054"/>
        <v>0</v>
      </c>
      <c r="R2018" s="1986"/>
      <c r="S2018" s="1986">
        <f ca="1">IF(OR(E2018="",E2018&gt;TODAY()),0,IF(ISERROR(VLOOKUP($E2018,'TRM BanRep'!$A:$G,7,0)),0,VLOOKUP($E2018,'TRM BanRep'!$A:$G,7,0)))</f>
        <v>4734.42</v>
      </c>
      <c r="T2018" s="1987">
        <f t="shared" ca="1" si="4055"/>
        <v>0</v>
      </c>
      <c r="U2018" s="1982">
        <f t="shared" si="4058"/>
        <v>1583972.28</v>
      </c>
      <c r="V2018" s="1987">
        <f t="shared" ca="1" si="4059"/>
        <v>7499190041.8776007</v>
      </c>
      <c r="W2018" s="1988">
        <f t="shared" ca="1" si="4056"/>
        <v>0</v>
      </c>
      <c r="X2018" s="1989">
        <f t="shared" ca="1" si="4057"/>
        <v>0</v>
      </c>
      <c r="Y2018" s="1990"/>
      <c r="Z2018" s="220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</row>
    <row r="2019" spans="1:39" s="401" customFormat="1" outlineLevel="1">
      <c r="A2019" s="1973">
        <v>2406010200</v>
      </c>
      <c r="B2019" s="1974" t="s">
        <v>1366</v>
      </c>
      <c r="C2019" s="1975" t="s">
        <v>64</v>
      </c>
      <c r="D2019" s="1976">
        <v>100014875</v>
      </c>
      <c r="E2019" s="1977">
        <v>44992</v>
      </c>
      <c r="F2019" s="1978"/>
      <c r="G2019" s="1979"/>
      <c r="H2019" s="1980"/>
      <c r="I2019" s="1981"/>
      <c r="J2019" s="1982">
        <v>1</v>
      </c>
      <c r="K2019" s="1983">
        <v>1</v>
      </c>
      <c r="L2019" s="1984">
        <v>-1583972.28</v>
      </c>
      <c r="M2019" s="1985">
        <f t="shared" si="4052"/>
        <v>-1583972.28</v>
      </c>
      <c r="N2019" s="1986">
        <f ca="1">IF(OR(E2019="",E2019&gt;TODAY()),0,IF(ISERROR(VLOOKUP($E2019,'TRM BanRep'!$A:$G,7,0)),0,VLOOKUP($E2019,'TRM BanRep'!$A:$G,7,0)))</f>
        <v>4734.42</v>
      </c>
      <c r="O2019" s="1987">
        <f t="shared" ca="1" si="4053"/>
        <v>-7499190041.8776007</v>
      </c>
      <c r="P2019" s="1984"/>
      <c r="Q2019" s="1985">
        <f t="shared" si="4054"/>
        <v>0</v>
      </c>
      <c r="R2019" s="1986"/>
      <c r="S2019" s="1986">
        <f ca="1">IF(OR(E2019="",E2019&gt;TODAY()),0,IF(ISERROR(VLOOKUP($E2019,'TRM BanRep'!$A:$G,7,0)),0,VLOOKUP($E2019,'TRM BanRep'!$A:$G,7,0)))</f>
        <v>4734.42</v>
      </c>
      <c r="T2019" s="1987">
        <f t="shared" ca="1" si="4055"/>
        <v>0</v>
      </c>
      <c r="U2019" s="1982">
        <f t="shared" si="4058"/>
        <v>-1583972.28</v>
      </c>
      <c r="V2019" s="1987">
        <f t="shared" ca="1" si="4059"/>
        <v>-7499190041.8776007</v>
      </c>
      <c r="W2019" s="1988">
        <f t="shared" ca="1" si="4056"/>
        <v>0</v>
      </c>
      <c r="X2019" s="1989">
        <f t="shared" ca="1" si="4057"/>
        <v>0</v>
      </c>
      <c r="Y2019" s="1990"/>
      <c r="Z2019" s="220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</row>
    <row r="2020" spans="1:39" s="401" customFormat="1" outlineLevel="1">
      <c r="A2020" s="1019">
        <v>2406010200</v>
      </c>
      <c r="B2020" s="1965" t="s">
        <v>2426</v>
      </c>
      <c r="C2020" s="1677" t="s">
        <v>64</v>
      </c>
      <c r="D2020" s="1680">
        <v>100014875</v>
      </c>
      <c r="E2020" s="1681">
        <v>44992</v>
      </c>
      <c r="F2020" s="1023"/>
      <c r="G2020" s="1290"/>
      <c r="H2020" s="1966"/>
      <c r="I2020" s="1024"/>
      <c r="J2020" s="1970">
        <v>1</v>
      </c>
      <c r="K2020" s="1991">
        <v>1</v>
      </c>
      <c r="L2020" s="2127">
        <v>158397.23000000001</v>
      </c>
      <c r="M2020" s="1324">
        <f>+L2020*J2020</f>
        <v>158397.23000000001</v>
      </c>
      <c r="N2020" s="1967">
        <f ca="1">IF(OR(E2020="",E2020&gt;TODAY()),0,IF(ISERROR(VLOOKUP($E2020,'TRM BanRep'!$A:$G,7,0)),0,VLOOKUP($E2020,'TRM BanRep'!$A:$G,7,0)))</f>
        <v>4734.42</v>
      </c>
      <c r="O2020" s="1969">
        <f ca="1">+L2020*J2020*N2020</f>
        <v>749919013.65660012</v>
      </c>
      <c r="P2020" s="1026"/>
      <c r="Q2020" s="1324">
        <f>+P2020*K2020</f>
        <v>0</v>
      </c>
      <c r="R2020" s="1967"/>
      <c r="S2020" s="1967">
        <f ca="1">IF(OR(E2020="",E2020&gt;TODAY()),0,IF(ISERROR(VLOOKUP($E2020,'TRM BanRep'!$A:$G,7,0)),0,VLOOKUP($E2020,'TRM BanRep'!$A:$G,7,0)))</f>
        <v>4734.42</v>
      </c>
      <c r="T2020" s="1969">
        <f ca="1">+P2020*K2020*S2020</f>
        <v>0</v>
      </c>
      <c r="U2020" s="2126">
        <f>+L2020+P2020+F2020</f>
        <v>158397.23000000001</v>
      </c>
      <c r="V2020" s="1969">
        <f ca="1">+P2020*J2020*R2020+L2020*J2020*N2020+F2020*J2020*H2020</f>
        <v>749919013.65660012</v>
      </c>
      <c r="W2020" s="1971">
        <f ca="1">-(IF(-P2020*J2020*R2020&lt;-P2020*K2020*S2020,(-P2020*J2020*R2020)-(-P2020*K2020*S2020),0))</f>
        <v>0</v>
      </c>
      <c r="X2020" s="1972">
        <f ca="1">-(IF(-P2020*J2020*R2020&gt;-P2020*K2020*S2020,(-P2020*J2020*R2020)-(-P2020*K2020*S2020),0))</f>
        <v>0</v>
      </c>
      <c r="Y2020" s="1030"/>
      <c r="Z2020" s="220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</row>
    <row r="2021" spans="1:39" s="401" customFormat="1" outlineLevel="1">
      <c r="A2021" s="1019">
        <v>2406010200</v>
      </c>
      <c r="B2021" s="1965" t="s">
        <v>2427</v>
      </c>
      <c r="C2021" s="1677" t="s">
        <v>64</v>
      </c>
      <c r="D2021" s="1680">
        <v>100014875</v>
      </c>
      <c r="E2021" s="1681">
        <v>44992</v>
      </c>
      <c r="F2021" s="1023"/>
      <c r="G2021" s="1290"/>
      <c r="H2021" s="1966"/>
      <c r="I2021" s="1024"/>
      <c r="J2021" s="1970">
        <v>1</v>
      </c>
      <c r="K2021" s="1991">
        <v>1</v>
      </c>
      <c r="L2021" s="2127">
        <v>1425575.05</v>
      </c>
      <c r="M2021" s="1324">
        <f>+L2021*J2021</f>
        <v>1425575.05</v>
      </c>
      <c r="N2021" s="1967">
        <f ca="1">IF(OR(E2021="",E2021&gt;TODAY()),0,IF(ISERROR(VLOOKUP($E2021,'TRM BanRep'!$A:$G,7,0)),0,VLOOKUP($E2021,'TRM BanRep'!$A:$G,7,0)))</f>
        <v>4734.42</v>
      </c>
      <c r="O2021" s="1969">
        <f ca="1">+L2021*J2021*N2021</f>
        <v>6749271028.2210007</v>
      </c>
      <c r="P2021" s="1026"/>
      <c r="Q2021" s="1324">
        <f>+P2021*K2021</f>
        <v>0</v>
      </c>
      <c r="R2021" s="1967"/>
      <c r="S2021" s="1967">
        <f ca="1">IF(OR(E2021="",E2021&gt;TODAY()),0,IF(ISERROR(VLOOKUP($E2021,'TRM BanRep'!$A:$G,7,0)),0,VLOOKUP($E2021,'TRM BanRep'!$A:$G,7,0)))</f>
        <v>4734.42</v>
      </c>
      <c r="T2021" s="1969">
        <f ca="1">+P2021*K2021*S2021</f>
        <v>0</v>
      </c>
      <c r="U2021" s="2126">
        <f>+L2021+P2021+F2021</f>
        <v>1425575.05</v>
      </c>
      <c r="V2021" s="1969">
        <f ca="1">+P2021*J2021*R2021+L2021*J2021*N2021+F2021*J2021*H2021</f>
        <v>6749271028.2210007</v>
      </c>
      <c r="W2021" s="1971">
        <f ca="1">-(IF(-P2021*J2021*R2021&lt;-P2021*K2021*S2021,(-P2021*J2021*R2021)-(-P2021*K2021*S2021),0))</f>
        <v>0</v>
      </c>
      <c r="X2021" s="1972">
        <f ca="1">-(IF(-P2021*J2021*R2021&gt;-P2021*K2021*S2021,(-P2021*J2021*R2021)-(-P2021*K2021*S2021),0))</f>
        <v>0</v>
      </c>
      <c r="Y2021" s="1030"/>
      <c r="Z2021" s="220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</row>
    <row r="2022" spans="1:39" s="373" customFormat="1" outlineLevel="1">
      <c r="A2022" s="1019">
        <v>2406010200</v>
      </c>
      <c r="B2022" s="374" t="s">
        <v>1366</v>
      </c>
      <c r="C2022" s="1677" t="s">
        <v>64</v>
      </c>
      <c r="D2022" s="1680">
        <v>2000002477</v>
      </c>
      <c r="E2022" s="1681">
        <v>45002</v>
      </c>
      <c r="F2022" s="1023"/>
      <c r="G2022" s="1290"/>
      <c r="H2022" s="352"/>
      <c r="I2022" s="1024"/>
      <c r="J2022" s="1027">
        <v>1</v>
      </c>
      <c r="K2022" s="1459">
        <v>1</v>
      </c>
      <c r="L2022" s="1026"/>
      <c r="M2022" s="1324">
        <f>+L2022*J2022</f>
        <v>0</v>
      </c>
      <c r="N2022" s="353"/>
      <c r="O2022" s="1025">
        <f>+L2022*J2022*N2022</f>
        <v>0</v>
      </c>
      <c r="P2022" s="2127">
        <f>-L2020</f>
        <v>-158397.23000000001</v>
      </c>
      <c r="Q2022" s="1324">
        <f>+P2022*K2022</f>
        <v>-158397.23000000001</v>
      </c>
      <c r="R2022" s="1967">
        <f ca="1">+$N$2018</f>
        <v>4734.42</v>
      </c>
      <c r="S2022" s="1967">
        <f ca="1">IF(OR(E2022="",E2022&gt;TODAY()),0,IF(ISERROR(VLOOKUP($E2022,'TRM BanRep'!$A:$G,7,0)),0,VLOOKUP($E2022,'TRM BanRep'!$A:$G,7,0)))</f>
        <v>4866.5</v>
      </c>
      <c r="T2022" s="1025">
        <f ca="1">+P2022*K2022*S2022</f>
        <v>-770840119.79500008</v>
      </c>
      <c r="U2022" s="2274">
        <f>+L2022+P2022+F2022</f>
        <v>-158397.23000000001</v>
      </c>
      <c r="V2022" s="1969">
        <f ca="1">+P2022*J2022*R2022+L2022*J2022*N2022+F2022*J2022*H2022</f>
        <v>-749919013.65660012</v>
      </c>
      <c r="W2022" s="2275">
        <f ca="1">-(IF(-P2022*J2022*R2022&lt;-P2022*K2022*S2022,(-P2022*J2022*R2022)-(-P2022*K2022*S2022),0))</f>
        <v>20921106.138399959</v>
      </c>
      <c r="X2022" s="2276">
        <f ca="1">-(IF(-P2022*J2022*R2022&gt;-P2022*K2022*S2022,(-P2022*J2022*R2022)-(-P2022*K2022*S2022),0))</f>
        <v>0</v>
      </c>
      <c r="Y2022" s="924"/>
      <c r="Z2022" s="1076"/>
      <c r="AA2022" s="15"/>
      <c r="AB2022" s="15"/>
      <c r="AC2022" s="15"/>
      <c r="AD2022" s="15"/>
      <c r="AE2022" s="15"/>
    </row>
    <row r="2023" spans="1:39" s="373" customFormat="1" outlineLevel="1">
      <c r="A2023" s="1019">
        <v>2406010200</v>
      </c>
      <c r="B2023" s="374"/>
      <c r="C2023" s="1677" t="s">
        <v>64</v>
      </c>
      <c r="D2023" s="1680"/>
      <c r="E2023" s="1681"/>
      <c r="F2023" s="1023"/>
      <c r="G2023" s="1290"/>
      <c r="H2023" s="352"/>
      <c r="I2023" s="1024"/>
      <c r="J2023" s="1027">
        <v>1</v>
      </c>
      <c r="K2023" s="1459">
        <v>1</v>
      </c>
      <c r="L2023" s="1026"/>
      <c r="M2023" s="1324">
        <f>+L2023*J2023</f>
        <v>0</v>
      </c>
      <c r="N2023" s="353"/>
      <c r="O2023" s="1025">
        <f>+L2023*J2023*N2023</f>
        <v>0</v>
      </c>
      <c r="P2023" s="2127"/>
      <c r="Q2023" s="1324">
        <f>+P2023*K2023</f>
        <v>0</v>
      </c>
      <c r="R2023" s="1967">
        <f ca="1">+$N$2018</f>
        <v>4734.42</v>
      </c>
      <c r="S2023" s="1967">
        <f ca="1">IF(OR(E2023="",E2023&gt;TODAY()),0,IF(ISERROR(VLOOKUP($E2023,'TRM BanRep'!$A:$G,7,0)),0,VLOOKUP($E2023,'TRM BanRep'!$A:$G,7,0)))</f>
        <v>0</v>
      </c>
      <c r="T2023" s="1025">
        <f ca="1">+P2023*K2023*S2023</f>
        <v>0</v>
      </c>
      <c r="U2023" s="2274">
        <f>+L2023+P2023+F2023</f>
        <v>0</v>
      </c>
      <c r="V2023" s="1969">
        <f ca="1">+P2023*J2023*R2023+L2023*J2023*N2023+F2023*J2023*H2023</f>
        <v>0</v>
      </c>
      <c r="W2023" s="2275">
        <f ca="1">-(IF(-P2023*J2023*R2023&lt;-P2023*K2023*S2023,(-P2023*J2023*R2023)-(-P2023*K2023*S2023),0))</f>
        <v>0</v>
      </c>
      <c r="X2023" s="2276">
        <f ca="1">-(IF(-P2023*J2023*R2023&gt;-P2023*K2023*S2023,(-P2023*J2023*R2023)-(-P2023*K2023*S2023),0))</f>
        <v>0</v>
      </c>
      <c r="Y2023" s="924"/>
      <c r="Z2023" s="1076"/>
      <c r="AA2023" s="15"/>
      <c r="AB2023" s="15"/>
      <c r="AC2023" s="15"/>
      <c r="AD2023" s="15"/>
      <c r="AE2023" s="15"/>
    </row>
    <row r="2024" spans="1:39" s="401" customFormat="1">
      <c r="A2024" s="1011"/>
      <c r="B2024" s="1012"/>
      <c r="C2024" s="1661"/>
      <c r="D2024" s="1665"/>
      <c r="E2024" s="1666"/>
      <c r="F2024" s="1040"/>
      <c r="G2024" s="1294"/>
      <c r="H2024" s="1053"/>
      <c r="I2024" s="1041"/>
      <c r="J2024" s="1508"/>
      <c r="K2024" s="1509"/>
      <c r="L2024" s="1040"/>
      <c r="M2024" s="1294">
        <f t="shared" ref="M2024:M2027" si="4060">+L2024*J2024</f>
        <v>0</v>
      </c>
      <c r="N2024" s="1053"/>
      <c r="O2024" s="1041">
        <f t="shared" ref="O2024:O2027" si="4061">+L2024*J2024*N2024</f>
        <v>0</v>
      </c>
      <c r="P2024" s="1040"/>
      <c r="Q2024" s="1294">
        <f t="shared" ref="Q2024:Q2027" si="4062">+P2024*K2024</f>
        <v>0</v>
      </c>
      <c r="R2024" s="1053"/>
      <c r="S2024" s="1053"/>
      <c r="T2024" s="1041">
        <f t="shared" ref="T2024:T2027" si="4063">+P2024*K2024*S2024</f>
        <v>0</v>
      </c>
      <c r="U2024" s="1040"/>
      <c r="V2024" s="1041"/>
      <c r="W2024" s="1039">
        <f t="shared" ref="W2024:W2027" si="4064">-(IF(-P2024*J2024*R2024&lt;-P2024*K2024*S2024,(-P2024*J2024*R2024)-(-P2024*K2024*S2024),0))</f>
        <v>0</v>
      </c>
      <c r="X2024" s="1038">
        <f t="shared" ref="X2024:X2027" si="4065">-(IF(-P2024*J2024*R2024&gt;-P2024*K2024*S2024,(-P2024*J2024*R2024)-(-P2024*K2024*S2024),0))</f>
        <v>0</v>
      </c>
      <c r="Y2024" s="1037"/>
      <c r="Z2024" s="220"/>
      <c r="AA2024" s="15"/>
      <c r="AB2024" s="15"/>
      <c r="AC2024" s="15"/>
      <c r="AD2024" s="15"/>
      <c r="AE2024" s="15"/>
    </row>
    <row r="2025" spans="1:39" s="373" customFormat="1">
      <c r="A2025" s="1011"/>
      <c r="B2025" s="372"/>
      <c r="C2025" s="1661"/>
      <c r="D2025" s="1665"/>
      <c r="E2025" s="1666"/>
      <c r="F2025" s="1015"/>
      <c r="G2025" s="1293"/>
      <c r="H2025" s="346"/>
      <c r="I2025" s="1016"/>
      <c r="J2025" s="1402"/>
      <c r="K2025" s="1402"/>
      <c r="L2025" s="1036"/>
      <c r="M2025" s="1325">
        <f t="shared" si="4060"/>
        <v>0</v>
      </c>
      <c r="N2025" s="348"/>
      <c r="O2025" s="897">
        <f t="shared" si="4061"/>
        <v>0</v>
      </c>
      <c r="P2025" s="1017"/>
      <c r="Q2025" s="1362">
        <f t="shared" si="4062"/>
        <v>0</v>
      </c>
      <c r="R2025" s="349"/>
      <c r="S2025" s="349"/>
      <c r="T2025" s="895">
        <f t="shared" si="4063"/>
        <v>0</v>
      </c>
      <c r="U2025" s="418">
        <f t="shared" ref="U2025:U2027" si="4066">+L2025+P2025+F2025</f>
        <v>0</v>
      </c>
      <c r="V2025" s="517">
        <f t="shared" ref="V2025:V2027" si="4067">+P2025*J2025*R2025+L2025*J2025*N2025+F2025*J2025*H2025</f>
        <v>0</v>
      </c>
      <c r="W2025" s="976">
        <f t="shared" si="4064"/>
        <v>0</v>
      </c>
      <c r="X2025" s="975">
        <f t="shared" si="4065"/>
        <v>0</v>
      </c>
      <c r="Y2025" s="896"/>
      <c r="Z2025" s="1076"/>
      <c r="AA2025" s="15"/>
      <c r="AB2025" s="15"/>
      <c r="AC2025" s="15"/>
      <c r="AD2025" s="15"/>
      <c r="AE2025" s="15"/>
    </row>
    <row r="2026" spans="1:39" s="401" customFormat="1">
      <c r="A2026" s="1973">
        <v>2406010200</v>
      </c>
      <c r="B2026" s="1974" t="s">
        <v>2601</v>
      </c>
      <c r="C2026" s="1975" t="s">
        <v>64</v>
      </c>
      <c r="D2026" s="1976">
        <v>5100002732</v>
      </c>
      <c r="E2026" s="1977">
        <v>44994</v>
      </c>
      <c r="F2026" s="1978"/>
      <c r="G2026" s="1979"/>
      <c r="H2026" s="1980"/>
      <c r="I2026" s="1981"/>
      <c r="J2026" s="1982">
        <v>1</v>
      </c>
      <c r="K2026" s="1983">
        <v>1</v>
      </c>
      <c r="L2026" s="1984">
        <v>49255</v>
      </c>
      <c r="M2026" s="1985">
        <f t="shared" si="4060"/>
        <v>49255</v>
      </c>
      <c r="N2026" s="1986">
        <f ca="1">IF(OR(E2026="",E2026&gt;TODAY()),0,IF(ISERROR(VLOOKUP($E2026,'TRM BanRep'!$A:$G,7,0)),0,VLOOKUP($E2026,'TRM BanRep'!$A:$G,7,0)))</f>
        <v>4755.59</v>
      </c>
      <c r="O2026" s="1987">
        <f t="shared" ca="1" si="4061"/>
        <v>234236585.45000002</v>
      </c>
      <c r="P2026" s="1984"/>
      <c r="Q2026" s="1985">
        <f t="shared" si="4062"/>
        <v>0</v>
      </c>
      <c r="R2026" s="1986"/>
      <c r="S2026" s="1986">
        <f ca="1">IF(OR(E2026="",E2026&gt;TODAY()),0,IF(ISERROR(VLOOKUP($E2026,'TRM BanRep'!$A:$G,7,0)),0,VLOOKUP($E2026,'TRM BanRep'!$A:$G,7,0)))</f>
        <v>4755.59</v>
      </c>
      <c r="T2026" s="1987">
        <f t="shared" ca="1" si="4063"/>
        <v>0</v>
      </c>
      <c r="U2026" s="1982">
        <f t="shared" si="4066"/>
        <v>49255</v>
      </c>
      <c r="V2026" s="1987">
        <f t="shared" ca="1" si="4067"/>
        <v>234236585.45000002</v>
      </c>
      <c r="W2026" s="1988">
        <f t="shared" ca="1" si="4064"/>
        <v>0</v>
      </c>
      <c r="X2026" s="1989">
        <f t="shared" ca="1" si="4065"/>
        <v>0</v>
      </c>
      <c r="Y2026" s="1990"/>
      <c r="Z2026" s="220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/>
    </row>
    <row r="2027" spans="1:39" s="401" customFormat="1" outlineLevel="1">
      <c r="A2027" s="1973">
        <v>2406010200</v>
      </c>
      <c r="B2027" s="1974" t="s">
        <v>2566</v>
      </c>
      <c r="C2027" s="1975" t="s">
        <v>64</v>
      </c>
      <c r="D2027" s="1976">
        <v>100022011</v>
      </c>
      <c r="E2027" s="1977">
        <v>44994</v>
      </c>
      <c r="F2027" s="1978"/>
      <c r="G2027" s="1979"/>
      <c r="H2027" s="1980"/>
      <c r="I2027" s="1981"/>
      <c r="J2027" s="1982">
        <v>1</v>
      </c>
      <c r="K2027" s="1983">
        <v>1</v>
      </c>
      <c r="L2027" s="1984">
        <v>-49255</v>
      </c>
      <c r="M2027" s="1985">
        <f t="shared" si="4060"/>
        <v>-49255</v>
      </c>
      <c r="N2027" s="1986">
        <f ca="1">IF(OR(E2027="",E2027&gt;TODAY()),0,IF(ISERROR(VLOOKUP($E2027,'TRM BanRep'!$A:$G,7,0)),0,VLOOKUP($E2027,'TRM BanRep'!$A:$G,7,0)))</f>
        <v>4755.59</v>
      </c>
      <c r="O2027" s="1987">
        <f t="shared" ca="1" si="4061"/>
        <v>-234236585.45000002</v>
      </c>
      <c r="P2027" s="1984"/>
      <c r="Q2027" s="1985">
        <f t="shared" si="4062"/>
        <v>0</v>
      </c>
      <c r="R2027" s="1986"/>
      <c r="S2027" s="1986">
        <f ca="1">IF(OR(E2027="",E2027&gt;TODAY()),0,IF(ISERROR(VLOOKUP($E2027,'TRM BanRep'!$A:$G,7,0)),0,VLOOKUP($E2027,'TRM BanRep'!$A:$G,7,0)))</f>
        <v>4755.59</v>
      </c>
      <c r="T2027" s="1987">
        <f t="shared" ca="1" si="4063"/>
        <v>0</v>
      </c>
      <c r="U2027" s="1982">
        <f t="shared" si="4066"/>
        <v>-49255</v>
      </c>
      <c r="V2027" s="1987">
        <f t="shared" ca="1" si="4067"/>
        <v>-234236585.45000002</v>
      </c>
      <c r="W2027" s="1988">
        <f t="shared" ca="1" si="4064"/>
        <v>0</v>
      </c>
      <c r="X2027" s="1989">
        <f t="shared" ca="1" si="4065"/>
        <v>0</v>
      </c>
      <c r="Y2027" s="1990"/>
      <c r="Z2027" s="220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/>
    </row>
    <row r="2028" spans="1:39" s="401" customFormat="1" outlineLevel="1">
      <c r="A2028" s="1019">
        <v>2406010200</v>
      </c>
      <c r="B2028" s="1965" t="s">
        <v>2602</v>
      </c>
      <c r="C2028" s="1677" t="s">
        <v>64</v>
      </c>
      <c r="D2028" s="1680">
        <v>100022011</v>
      </c>
      <c r="E2028" s="1681">
        <v>44994</v>
      </c>
      <c r="F2028" s="1023"/>
      <c r="G2028" s="1290"/>
      <c r="H2028" s="1966"/>
      <c r="I2028" s="1024"/>
      <c r="J2028" s="1970">
        <v>1</v>
      </c>
      <c r="K2028" s="1991">
        <v>1</v>
      </c>
      <c r="L2028" s="2127">
        <v>24627.5</v>
      </c>
      <c r="M2028" s="1324">
        <f>+L2028*J2028</f>
        <v>24627.5</v>
      </c>
      <c r="N2028" s="1967">
        <f ca="1">IF(OR(E2028="",E2028&gt;TODAY()),0,IF(ISERROR(VLOOKUP($E2028,'TRM BanRep'!$A:$G,7,0)),0,VLOOKUP($E2028,'TRM BanRep'!$A:$G,7,0)))</f>
        <v>4755.59</v>
      </c>
      <c r="O2028" s="1969">
        <f ca="1">+L2028*J2028*N2028</f>
        <v>117118292.72500001</v>
      </c>
      <c r="P2028" s="1026"/>
      <c r="Q2028" s="1324">
        <f>+P2028*K2028</f>
        <v>0</v>
      </c>
      <c r="R2028" s="1967"/>
      <c r="S2028" s="1967">
        <f ca="1">IF(OR(E2028="",E2028&gt;TODAY()),0,IF(ISERROR(VLOOKUP($E2028,'TRM BanRep'!$A:$G,7,0)),0,VLOOKUP($E2028,'TRM BanRep'!$A:$G,7,0)))</f>
        <v>4755.59</v>
      </c>
      <c r="T2028" s="1969">
        <f ca="1">+P2028*K2028*S2028</f>
        <v>0</v>
      </c>
      <c r="U2028" s="2126">
        <f>+L2028+P2028+F2028</f>
        <v>24627.5</v>
      </c>
      <c r="V2028" s="1969">
        <f ca="1">+P2028*J2028*R2028+L2028*J2028*N2028+F2028*J2028*H2028</f>
        <v>117118292.72500001</v>
      </c>
      <c r="W2028" s="1971">
        <f ca="1">-(IF(-P2028*J2028*R2028&lt;-P2028*K2028*S2028,(-P2028*J2028*R2028)-(-P2028*K2028*S2028),0))</f>
        <v>0</v>
      </c>
      <c r="X2028" s="1972">
        <f ca="1">-(IF(-P2028*J2028*R2028&gt;-P2028*K2028*S2028,(-P2028*J2028*R2028)-(-P2028*K2028*S2028),0))</f>
        <v>0</v>
      </c>
      <c r="Y2028" s="1030"/>
      <c r="Z2028" s="220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/>
    </row>
    <row r="2029" spans="1:39" s="401" customFormat="1" outlineLevel="1">
      <c r="A2029" s="1019">
        <v>2406010200</v>
      </c>
      <c r="B2029" s="1965" t="s">
        <v>2603</v>
      </c>
      <c r="C2029" s="1677" t="s">
        <v>64</v>
      </c>
      <c r="D2029" s="1680">
        <v>100022011</v>
      </c>
      <c r="E2029" s="1681">
        <v>44994</v>
      </c>
      <c r="F2029" s="1023"/>
      <c r="G2029" s="1290"/>
      <c r="H2029" s="1966"/>
      <c r="I2029" s="1024"/>
      <c r="J2029" s="1970">
        <v>1</v>
      </c>
      <c r="K2029" s="1991">
        <v>1</v>
      </c>
      <c r="L2029" s="2127">
        <v>12313.75</v>
      </c>
      <c r="M2029" s="1324">
        <f>+L2029*J2029</f>
        <v>12313.75</v>
      </c>
      <c r="N2029" s="1967">
        <f ca="1">IF(OR(E2029="",E2029&gt;TODAY()),0,IF(ISERROR(VLOOKUP($E2029,'TRM BanRep'!$A:$G,7,0)),0,VLOOKUP($E2029,'TRM BanRep'!$A:$G,7,0)))</f>
        <v>4755.59</v>
      </c>
      <c r="O2029" s="1969">
        <f ca="1">+L2029*J2029*N2029</f>
        <v>58559146.362500004</v>
      </c>
      <c r="P2029" s="1026"/>
      <c r="Q2029" s="1324">
        <f>+P2029*K2029</f>
        <v>0</v>
      </c>
      <c r="R2029" s="1967"/>
      <c r="S2029" s="1967">
        <f ca="1">IF(OR(E2029="",E2029&gt;TODAY()),0,IF(ISERROR(VLOOKUP($E2029,'TRM BanRep'!$A:$G,7,0)),0,VLOOKUP($E2029,'TRM BanRep'!$A:$G,7,0)))</f>
        <v>4755.59</v>
      </c>
      <c r="T2029" s="1969">
        <f ca="1">+P2029*K2029*S2029</f>
        <v>0</v>
      </c>
      <c r="U2029" s="2126">
        <f>+L2029+P2029+F2029</f>
        <v>12313.75</v>
      </c>
      <c r="V2029" s="1969">
        <f ca="1">+P2029*J2029*R2029+L2029*J2029*N2029+F2029*J2029*H2029</f>
        <v>58559146.362500004</v>
      </c>
      <c r="W2029" s="1971">
        <f ca="1">-(IF(-P2029*J2029*R2029&lt;-P2029*K2029*S2029,(-P2029*J2029*R2029)-(-P2029*K2029*S2029),0))</f>
        <v>0</v>
      </c>
      <c r="X2029" s="1972">
        <f ca="1">-(IF(-P2029*J2029*R2029&gt;-P2029*K2029*S2029,(-P2029*J2029*R2029)-(-P2029*K2029*S2029),0))</f>
        <v>0</v>
      </c>
      <c r="Y2029" s="1030"/>
      <c r="Z2029" s="220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/>
    </row>
    <row r="2030" spans="1:39" s="401" customFormat="1" outlineLevel="1">
      <c r="A2030" s="1019">
        <v>2406010200</v>
      </c>
      <c r="B2030" s="1965" t="s">
        <v>2604</v>
      </c>
      <c r="C2030" s="1677" t="s">
        <v>64</v>
      </c>
      <c r="D2030" s="1680">
        <v>100022011</v>
      </c>
      <c r="E2030" s="1681">
        <v>44994</v>
      </c>
      <c r="F2030" s="1023"/>
      <c r="G2030" s="1290"/>
      <c r="H2030" s="1966"/>
      <c r="I2030" s="1024"/>
      <c r="J2030" s="1970">
        <v>1</v>
      </c>
      <c r="K2030" s="1991">
        <v>1</v>
      </c>
      <c r="L2030" s="2127">
        <v>12313.75</v>
      </c>
      <c r="M2030" s="1324">
        <f>+L2030*J2030</f>
        <v>12313.75</v>
      </c>
      <c r="N2030" s="1967">
        <f ca="1">IF(OR(E2030="",E2030&gt;TODAY()),0,IF(ISERROR(VLOOKUP($E2030,'TRM BanRep'!$A:$G,7,0)),0,VLOOKUP($E2030,'TRM BanRep'!$A:$G,7,0)))</f>
        <v>4755.59</v>
      </c>
      <c r="O2030" s="1969">
        <f ca="1">+L2030*J2030*N2030</f>
        <v>58559146.362500004</v>
      </c>
      <c r="P2030" s="1026"/>
      <c r="Q2030" s="1324">
        <f>+P2030*K2030</f>
        <v>0</v>
      </c>
      <c r="R2030" s="1967"/>
      <c r="S2030" s="1967">
        <f ca="1">IF(OR(E2030="",E2030&gt;TODAY()),0,IF(ISERROR(VLOOKUP($E2030,'TRM BanRep'!$A:$G,7,0)),0,VLOOKUP($E2030,'TRM BanRep'!$A:$G,7,0)))</f>
        <v>4755.59</v>
      </c>
      <c r="T2030" s="1969">
        <f ca="1">+P2030*K2030*S2030</f>
        <v>0</v>
      </c>
      <c r="U2030" s="2126">
        <f>+L2030+P2030+F2030</f>
        <v>12313.75</v>
      </c>
      <c r="V2030" s="1969">
        <f ca="1">+P2030*J2030*R2030+L2030*J2030*N2030+F2030*J2030*H2030</f>
        <v>58559146.362500004</v>
      </c>
      <c r="W2030" s="1971">
        <f ca="1">-(IF(-P2030*J2030*R2030&lt;-P2030*K2030*S2030,(-P2030*J2030*R2030)-(-P2030*K2030*S2030),0))</f>
        <v>0</v>
      </c>
      <c r="X2030" s="1972">
        <f ca="1">-(IF(-P2030*J2030*R2030&gt;-P2030*K2030*S2030,(-P2030*J2030*R2030)-(-P2030*K2030*S2030),0))</f>
        <v>0</v>
      </c>
      <c r="Y2030" s="1030"/>
      <c r="Z2030" s="220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/>
    </row>
    <row r="2031" spans="1:39" s="373" customFormat="1" outlineLevel="1">
      <c r="A2031" s="1019">
        <v>2406010200</v>
      </c>
      <c r="B2031" s="374" t="s">
        <v>2566</v>
      </c>
      <c r="C2031" s="1677" t="s">
        <v>64</v>
      </c>
      <c r="D2031" s="1680">
        <v>2000003512</v>
      </c>
      <c r="E2031" s="1681">
        <v>45037</v>
      </c>
      <c r="F2031" s="1023"/>
      <c r="G2031" s="1290"/>
      <c r="H2031" s="352"/>
      <c r="I2031" s="1024"/>
      <c r="J2031" s="1027">
        <v>1</v>
      </c>
      <c r="K2031" s="1459">
        <v>1</v>
      </c>
      <c r="L2031" s="1026"/>
      <c r="M2031" s="1324">
        <f>+L2031*J2031</f>
        <v>0</v>
      </c>
      <c r="N2031" s="353"/>
      <c r="O2031" s="1025">
        <f>+L2031*J2031*N2031</f>
        <v>0</v>
      </c>
      <c r="P2031" s="2127">
        <f>-L2028</f>
        <v>-24627.5</v>
      </c>
      <c r="Q2031" s="1324">
        <f>+P2031*K2031</f>
        <v>-24627.5</v>
      </c>
      <c r="R2031" s="1967">
        <f ca="1">+$N$2026</f>
        <v>4755.59</v>
      </c>
      <c r="S2031" s="1967">
        <f ca="1">IF(OR(E2031="",E2031&gt;TODAY()),0,IF(ISERROR(VLOOKUP($E2031,'TRM BanRep'!$A:$G,7,0)),0,VLOOKUP($E2031,'TRM BanRep'!$A:$G,7,0)))</f>
        <v>4535.78</v>
      </c>
      <c r="T2031" s="1025">
        <f ca="1">+P2031*K2031*S2031</f>
        <v>-111704921.94999999</v>
      </c>
      <c r="U2031" s="2274">
        <f>+L2031+P2031+F2031</f>
        <v>-24627.5</v>
      </c>
      <c r="V2031" s="1969">
        <f ca="1">+P2031*J2031*R2031+L2031*J2031*N2031+F2031*J2031*H2031</f>
        <v>-117118292.72500001</v>
      </c>
      <c r="W2031" s="2275">
        <f ca="1">-(IF(-P2031*J2031*R2031&lt;-P2031*K2031*S2031,(-P2031*J2031*R2031)-(-P2031*K2031*S2031),0))</f>
        <v>0</v>
      </c>
      <c r="X2031" s="2276">
        <f ca="1">-(IF(-P2031*J2031*R2031&gt;-P2031*K2031*S2031,(-P2031*J2031*R2031)-(-P2031*K2031*S2031),0))</f>
        <v>-5413370.7750000209</v>
      </c>
      <c r="Y2031" s="924"/>
      <c r="Z2031" s="1076"/>
      <c r="AA2031" s="15"/>
      <c r="AB2031" s="15"/>
      <c r="AC2031" s="15"/>
      <c r="AD2031" s="15"/>
      <c r="AE2031" s="15"/>
    </row>
    <row r="2032" spans="1:39" s="373" customFormat="1" outlineLevel="1">
      <c r="A2032" s="1019">
        <v>2406010200</v>
      </c>
      <c r="B2032" s="374" t="s">
        <v>2566</v>
      </c>
      <c r="C2032" s="1677" t="s">
        <v>64</v>
      </c>
      <c r="D2032" s="1680">
        <v>2000003512</v>
      </c>
      <c r="E2032" s="1681">
        <v>45037</v>
      </c>
      <c r="F2032" s="1023"/>
      <c r="G2032" s="1290"/>
      <c r="H2032" s="352"/>
      <c r="I2032" s="1024"/>
      <c r="J2032" s="1027">
        <v>1</v>
      </c>
      <c r="K2032" s="1459">
        <v>1</v>
      </c>
      <c r="L2032" s="1026"/>
      <c r="M2032" s="1324">
        <f>+L2032*J2032</f>
        <v>0</v>
      </c>
      <c r="N2032" s="353"/>
      <c r="O2032" s="1025">
        <f>+L2032*J2032*N2032</f>
        <v>0</v>
      </c>
      <c r="P2032" s="2127">
        <f>-L2029</f>
        <v>-12313.75</v>
      </c>
      <c r="Q2032" s="1324">
        <f>+P2032*K2032</f>
        <v>-12313.75</v>
      </c>
      <c r="R2032" s="1967">
        <f ca="1">+$N$2026</f>
        <v>4755.59</v>
      </c>
      <c r="S2032" s="1967">
        <f ca="1">IF(OR(E2032="",E2032&gt;TODAY()),0,IF(ISERROR(VLOOKUP($E2032,'TRM BanRep'!$A:$G,7,0)),0,VLOOKUP($E2032,'TRM BanRep'!$A:$G,7,0)))</f>
        <v>4535.78</v>
      </c>
      <c r="T2032" s="1025">
        <f ca="1">+P2032*K2032*S2032</f>
        <v>-55852460.974999994</v>
      </c>
      <c r="U2032" s="2274">
        <f>+L2032+P2032+F2032</f>
        <v>-12313.75</v>
      </c>
      <c r="V2032" s="1969">
        <f ca="1">+P2032*J2032*R2032+L2032*J2032*N2032+F2032*J2032*H2032</f>
        <v>-58559146.362500004</v>
      </c>
      <c r="W2032" s="2275">
        <f ca="1">-(IF(-P2032*J2032*R2032&lt;-P2032*K2032*S2032,(-P2032*J2032*R2032)-(-P2032*K2032*S2032),0))</f>
        <v>0</v>
      </c>
      <c r="X2032" s="2276">
        <f ca="1">-(IF(-P2032*J2032*R2032&gt;-P2032*K2032*S2032,(-P2032*J2032*R2032)-(-P2032*K2032*S2032),0))</f>
        <v>-2706685.3875000104</v>
      </c>
      <c r="Y2032" s="924"/>
      <c r="Z2032" s="1076"/>
      <c r="AA2032" s="15"/>
      <c r="AB2032" s="15"/>
      <c r="AC2032" s="15"/>
      <c r="AD2032" s="15"/>
      <c r="AE2032" s="15"/>
    </row>
    <row r="2033" spans="1:31" s="401" customFormat="1">
      <c r="A2033" s="1011"/>
      <c r="B2033" s="1012"/>
      <c r="C2033" s="1661"/>
      <c r="D2033" s="1665"/>
      <c r="E2033" s="1666"/>
      <c r="F2033" s="1040"/>
      <c r="G2033" s="1294"/>
      <c r="H2033" s="1053"/>
      <c r="I2033" s="1041"/>
      <c r="J2033" s="1508"/>
      <c r="K2033" s="1509"/>
      <c r="L2033" s="1040"/>
      <c r="M2033" s="1294">
        <f t="shared" ref="M2033" si="4068">+L2033*J2033</f>
        <v>0</v>
      </c>
      <c r="N2033" s="1053"/>
      <c r="O2033" s="1041">
        <f t="shared" ref="O2033" si="4069">+L2033*J2033*N2033</f>
        <v>0</v>
      </c>
      <c r="P2033" s="1040"/>
      <c r="Q2033" s="1294">
        <f t="shared" ref="Q2033" si="4070">+P2033*K2033</f>
        <v>0</v>
      </c>
      <c r="R2033" s="1053"/>
      <c r="S2033" s="1053"/>
      <c r="T2033" s="1041">
        <f t="shared" ref="T2033" si="4071">+P2033*K2033*S2033</f>
        <v>0</v>
      </c>
      <c r="U2033" s="1040"/>
      <c r="V2033" s="1041"/>
      <c r="W2033" s="1039">
        <f t="shared" ref="W2033" si="4072">-(IF(-P2033*J2033*R2033&lt;-P2033*K2033*S2033,(-P2033*J2033*R2033)-(-P2033*K2033*S2033),0))</f>
        <v>0</v>
      </c>
      <c r="X2033" s="1038">
        <f t="shared" ref="X2033" si="4073">-(IF(-P2033*J2033*R2033&gt;-P2033*K2033*S2033,(-P2033*J2033*R2033)-(-P2033*K2033*S2033),0))</f>
        <v>0</v>
      </c>
      <c r="Y2033" s="1037"/>
      <c r="Z2033" s="220"/>
      <c r="AA2033" s="15"/>
      <c r="AB2033" s="15"/>
      <c r="AC2033" s="15"/>
      <c r="AD2033" s="15"/>
      <c r="AE2033" s="15"/>
    </row>
    <row r="2034" spans="1:31" s="373" customFormat="1">
      <c r="A2034" s="1011">
        <v>2406010200</v>
      </c>
      <c r="B2034" s="372"/>
      <c r="C2034" s="1661" t="s">
        <v>156</v>
      </c>
      <c r="D2034" s="1665"/>
      <c r="E2034" s="1666"/>
      <c r="F2034" s="1015"/>
      <c r="G2034" s="1293"/>
      <c r="H2034" s="346"/>
      <c r="I2034" s="1016"/>
      <c r="J2034" s="1402"/>
      <c r="K2034" s="1402"/>
      <c r="L2034" s="1036"/>
      <c r="M2034" s="1325">
        <f t="shared" si="4014"/>
        <v>0</v>
      </c>
      <c r="N2034" s="348"/>
      <c r="O2034" s="897">
        <f t="shared" si="4015"/>
        <v>0</v>
      </c>
      <c r="P2034" s="1017"/>
      <c r="Q2034" s="1362">
        <f t="shared" si="4016"/>
        <v>0</v>
      </c>
      <c r="R2034" s="349"/>
      <c r="S2034" s="349"/>
      <c r="T2034" s="895">
        <f t="shared" si="4017"/>
        <v>0</v>
      </c>
      <c r="U2034" s="418">
        <f t="shared" si="4018"/>
        <v>0</v>
      </c>
      <c r="V2034" s="517">
        <f t="shared" si="4019"/>
        <v>0</v>
      </c>
      <c r="W2034" s="976">
        <f t="shared" si="3972"/>
        <v>0</v>
      </c>
      <c r="X2034" s="975">
        <f t="shared" si="3973"/>
        <v>0</v>
      </c>
      <c r="Y2034" s="896"/>
      <c r="Z2034" s="1076"/>
      <c r="AA2034" s="15"/>
      <c r="AB2034" s="15"/>
      <c r="AC2034" s="15"/>
      <c r="AD2034" s="15"/>
      <c r="AE2034" s="15"/>
    </row>
    <row r="2035" spans="1:31" s="373" customFormat="1">
      <c r="A2035" s="1011"/>
      <c r="B2035" s="372"/>
      <c r="C2035" s="1661"/>
      <c r="D2035" s="1665"/>
      <c r="E2035" s="1666"/>
      <c r="F2035" s="1015"/>
      <c r="G2035" s="1293"/>
      <c r="H2035" s="346"/>
      <c r="I2035" s="1016"/>
      <c r="J2035" s="1402"/>
      <c r="K2035" s="1402"/>
      <c r="L2035" s="1036"/>
      <c r="M2035" s="1325">
        <f t="shared" si="4014"/>
        <v>0</v>
      </c>
      <c r="N2035" s="348"/>
      <c r="O2035" s="897">
        <f t="shared" si="4015"/>
        <v>0</v>
      </c>
      <c r="P2035" s="1017"/>
      <c r="Q2035" s="1362">
        <f t="shared" si="4016"/>
        <v>0</v>
      </c>
      <c r="R2035" s="349"/>
      <c r="S2035" s="349"/>
      <c r="T2035" s="895">
        <f t="shared" si="4017"/>
        <v>0</v>
      </c>
      <c r="U2035" s="418">
        <f t="shared" si="4018"/>
        <v>0</v>
      </c>
      <c r="V2035" s="517">
        <f t="shared" si="4019"/>
        <v>0</v>
      </c>
      <c r="W2035" s="976">
        <f t="shared" si="3972"/>
        <v>0</v>
      </c>
      <c r="X2035" s="975">
        <f t="shared" si="3973"/>
        <v>0</v>
      </c>
      <c r="Y2035" s="896"/>
      <c r="Z2035" s="1076"/>
      <c r="AA2035" s="15"/>
      <c r="AB2035" s="15"/>
      <c r="AC2035" s="15"/>
      <c r="AD2035" s="15"/>
      <c r="AE2035" s="15"/>
    </row>
    <row r="2036" spans="1:31" s="401" customFormat="1" outlineLevel="1">
      <c r="A2036" s="1011">
        <v>2406010200</v>
      </c>
      <c r="B2036" s="1012" t="s">
        <v>1501</v>
      </c>
      <c r="C2036" s="1661" t="s">
        <v>64</v>
      </c>
      <c r="D2036" s="1665">
        <v>5100000009</v>
      </c>
      <c r="E2036" s="1666">
        <v>44917</v>
      </c>
      <c r="F2036" s="1015"/>
      <c r="G2036" s="1293"/>
      <c r="H2036" s="346"/>
      <c r="I2036" s="1016"/>
      <c r="J2036" s="1457">
        <v>1</v>
      </c>
      <c r="K2036" s="1458">
        <v>1</v>
      </c>
      <c r="L2036" s="1036">
        <v>15880</v>
      </c>
      <c r="M2036" s="1325">
        <f t="shared" ref="M2036:M2037" si="4074">+L2036*J2036</f>
        <v>15880</v>
      </c>
      <c r="N2036" s="348">
        <f ca="1">IF(OR(E2036="",E2036&gt;TODAY()),0,IF(ISERROR(VLOOKUP($E2036,'TRM BanRep'!$A:$G,7,0)),0,VLOOKUP($E2036,'TRM BanRep'!$A:$G,7,0)))</f>
        <v>4761.6400000000003</v>
      </c>
      <c r="O2036" s="897">
        <f t="shared" ref="O2036:O2037" ca="1" si="4075">+L2036*J2036*N2036</f>
        <v>75614843.200000003</v>
      </c>
      <c r="P2036" s="1017"/>
      <c r="Q2036" s="1362">
        <f t="shared" ref="Q2036:Q2037" si="4076">+P2036*K2036</f>
        <v>0</v>
      </c>
      <c r="R2036" s="349"/>
      <c r="S2036" s="349">
        <f ca="1">IF(OR(E2036="",E2036&gt;TODAY()),0,IF(ISERROR(VLOOKUP($E2036,'TRM BanRep'!$A:$G,7,0)),0,VLOOKUP($E2036,'TRM BanRep'!$A:$G,7,0)))</f>
        <v>4761.6400000000003</v>
      </c>
      <c r="T2036" s="895">
        <f t="shared" ref="T2036:T2037" ca="1" si="4077">+P2036*K2036*S2036</f>
        <v>0</v>
      </c>
      <c r="U2036" s="350">
        <f t="shared" ref="U2036:U2037" si="4078">+L2036+P2036+F2036</f>
        <v>15880</v>
      </c>
      <c r="V2036" s="918">
        <f t="shared" ref="V2036:V2037" ca="1" si="4079">+P2036*J2036*R2036+L2036*J2036*N2036+F2036*J2036*H2036</f>
        <v>75614843.200000003</v>
      </c>
      <c r="W2036" s="351">
        <f t="shared" ref="W2036:W2037" ca="1" si="4080">-(IF(-P2036*J2036*R2036&lt;-P2036*K2036*S2036,(-P2036*J2036*R2036)-(-P2036*K2036*S2036),0))</f>
        <v>0</v>
      </c>
      <c r="X2036" s="919">
        <f t="shared" ref="X2036:X2037" ca="1" si="4081">-(IF(-P2036*J2036*R2036&gt;-P2036*K2036*S2036,(-P2036*J2036*R2036)-(-P2036*K2036*S2036),0))</f>
        <v>0</v>
      </c>
      <c r="Y2036" s="1018"/>
      <c r="Z2036" s="220"/>
      <c r="AA2036" s="15"/>
      <c r="AB2036" s="15"/>
      <c r="AC2036" s="15"/>
      <c r="AD2036" s="15"/>
      <c r="AE2036" s="15"/>
    </row>
    <row r="2037" spans="1:31" s="401" customFormat="1" outlineLevel="1">
      <c r="A2037" s="1011">
        <v>2406010200</v>
      </c>
      <c r="B2037" s="1012" t="s">
        <v>1366</v>
      </c>
      <c r="C2037" s="1661" t="s">
        <v>64</v>
      </c>
      <c r="D2037" s="1665">
        <v>2000000510</v>
      </c>
      <c r="E2037" s="1666">
        <v>44943</v>
      </c>
      <c r="F2037" s="1015"/>
      <c r="G2037" s="1293"/>
      <c r="H2037" s="346"/>
      <c r="I2037" s="1016"/>
      <c r="J2037" s="1457">
        <v>1</v>
      </c>
      <c r="K2037" s="1458">
        <v>1</v>
      </c>
      <c r="L2037" s="1036"/>
      <c r="M2037" s="1325">
        <f t="shared" si="4074"/>
        <v>0</v>
      </c>
      <c r="N2037" s="348">
        <f ca="1">IF(OR(E2037="",E2037&gt;TODAY()),0,IF(ISERROR(VLOOKUP($E2037,'TRM BanRep'!$A:$G,7,0)),0,VLOOKUP($E2037,'TRM BanRep'!$A:$G,7,0)))</f>
        <v>4693.99</v>
      </c>
      <c r="O2037" s="897">
        <f t="shared" ca="1" si="4075"/>
        <v>0</v>
      </c>
      <c r="P2037" s="1017">
        <f>-L2036</f>
        <v>-15880</v>
      </c>
      <c r="Q2037" s="1362">
        <f t="shared" si="4076"/>
        <v>-15880</v>
      </c>
      <c r="R2037" s="349">
        <f ca="1">+N2036</f>
        <v>4761.6400000000003</v>
      </c>
      <c r="S2037" s="349">
        <f ca="1">IF(OR(E2037="",E2037&gt;TODAY()),0,IF(ISERROR(VLOOKUP($E2037,'TRM BanRep'!$A:$G,7,0)),0,VLOOKUP($E2037,'TRM BanRep'!$A:$G,7,0)))</f>
        <v>4693.99</v>
      </c>
      <c r="T2037" s="895">
        <f t="shared" ca="1" si="4077"/>
        <v>-74540561.200000003</v>
      </c>
      <c r="U2037" s="350">
        <f t="shared" si="4078"/>
        <v>-15880</v>
      </c>
      <c r="V2037" s="918">
        <f t="shared" ca="1" si="4079"/>
        <v>-75614843.200000003</v>
      </c>
      <c r="W2037" s="351">
        <f t="shared" ca="1" si="4080"/>
        <v>0</v>
      </c>
      <c r="X2037" s="919">
        <f t="shared" ca="1" si="4081"/>
        <v>-1074282</v>
      </c>
      <c r="Y2037" s="1018"/>
      <c r="Z2037" s="220"/>
      <c r="AA2037" s="15"/>
      <c r="AB2037" s="15"/>
      <c r="AC2037" s="15"/>
      <c r="AD2037" s="15"/>
      <c r="AE2037" s="15"/>
    </row>
    <row r="2038" spans="1:31" s="373" customFormat="1">
      <c r="A2038" s="1011">
        <v>2406010200</v>
      </c>
      <c r="B2038" s="372"/>
      <c r="C2038" s="1661" t="s">
        <v>64</v>
      </c>
      <c r="D2038" s="1665"/>
      <c r="E2038" s="1666"/>
      <c r="F2038" s="1015"/>
      <c r="G2038" s="1293"/>
      <c r="H2038" s="346"/>
      <c r="I2038" s="1016"/>
      <c r="J2038" s="1402"/>
      <c r="K2038" s="1402"/>
      <c r="L2038" s="1036"/>
      <c r="M2038" s="1325">
        <f t="shared" si="4014"/>
        <v>0</v>
      </c>
      <c r="N2038" s="348"/>
      <c r="O2038" s="897">
        <f t="shared" si="4015"/>
        <v>0</v>
      </c>
      <c r="P2038" s="1017"/>
      <c r="Q2038" s="1362">
        <f t="shared" si="4016"/>
        <v>0</v>
      </c>
      <c r="R2038" s="349"/>
      <c r="S2038" s="349"/>
      <c r="T2038" s="895">
        <f t="shared" si="4017"/>
        <v>0</v>
      </c>
      <c r="U2038" s="418">
        <f t="shared" si="4018"/>
        <v>0</v>
      </c>
      <c r="V2038" s="517">
        <f t="shared" si="4019"/>
        <v>0</v>
      </c>
      <c r="W2038" s="976">
        <f t="shared" si="3972"/>
        <v>0</v>
      </c>
      <c r="X2038" s="975">
        <f t="shared" si="3973"/>
        <v>0</v>
      </c>
      <c r="Y2038" s="896"/>
      <c r="Z2038" s="1076"/>
      <c r="AA2038" s="15"/>
      <c r="AB2038" s="15"/>
      <c r="AC2038" s="15"/>
      <c r="AD2038" s="15"/>
      <c r="AE2038" s="15"/>
    </row>
    <row r="2039" spans="1:31" s="401" customFormat="1">
      <c r="A2039" s="1011"/>
      <c r="B2039" s="372"/>
      <c r="C2039" s="1661"/>
      <c r="D2039" s="1665"/>
      <c r="E2039" s="1666"/>
      <c r="F2039" s="1015"/>
      <c r="G2039" s="1293"/>
      <c r="H2039" s="346"/>
      <c r="I2039" s="1016"/>
      <c r="J2039" s="1402"/>
      <c r="K2039" s="1402"/>
      <c r="L2039" s="1036"/>
      <c r="M2039" s="1325">
        <f t="shared" si="4014"/>
        <v>0</v>
      </c>
      <c r="N2039" s="348"/>
      <c r="O2039" s="897">
        <f t="shared" si="4015"/>
        <v>0</v>
      </c>
      <c r="P2039" s="1017"/>
      <c r="Q2039" s="1362">
        <f t="shared" si="4016"/>
        <v>0</v>
      </c>
      <c r="R2039" s="349"/>
      <c r="S2039" s="349"/>
      <c r="T2039" s="895">
        <f t="shared" si="4017"/>
        <v>0</v>
      </c>
      <c r="U2039" s="418">
        <f t="shared" si="4018"/>
        <v>0</v>
      </c>
      <c r="V2039" s="517">
        <f t="shared" si="4019"/>
        <v>0</v>
      </c>
      <c r="W2039" s="976">
        <f t="shared" si="3972"/>
        <v>0</v>
      </c>
      <c r="X2039" s="975">
        <f t="shared" si="3973"/>
        <v>0</v>
      </c>
      <c r="Y2039" s="896"/>
      <c r="Z2039" s="220"/>
      <c r="AA2039" s="15"/>
      <c r="AB2039" s="15"/>
      <c r="AC2039" s="15"/>
      <c r="AD2039" s="15"/>
      <c r="AE2039" s="15"/>
    </row>
    <row r="2040" spans="1:31" ht="15.75">
      <c r="A2040" s="961">
        <v>2406010200</v>
      </c>
      <c r="B2040" s="962"/>
      <c r="C2040" s="1465" t="s">
        <v>146</v>
      </c>
      <c r="D2040" s="1467"/>
      <c r="E2040" s="1468"/>
      <c r="F2040" s="964"/>
      <c r="G2040" s="1250">
        <f t="shared" ref="G2040:G2041" si="4082">ROUND(F2040*J2040,2)</f>
        <v>0</v>
      </c>
      <c r="H2040" s="47"/>
      <c r="I2040" s="965">
        <f t="shared" ref="I2040:I2041" si="4083">+F2040*J2040*H2040</f>
        <v>0</v>
      </c>
      <c r="J2040" s="1366"/>
      <c r="K2040" s="1366"/>
      <c r="L2040" s="964"/>
      <c r="M2040" s="1250">
        <f t="shared" si="4014"/>
        <v>0</v>
      </c>
      <c r="N2040" s="47"/>
      <c r="O2040" s="965">
        <f t="shared" si="4015"/>
        <v>0</v>
      </c>
      <c r="P2040" s="964"/>
      <c r="Q2040" s="1250">
        <f t="shared" si="4016"/>
        <v>0</v>
      </c>
      <c r="R2040" s="47"/>
      <c r="S2040" s="47"/>
      <c r="T2040" s="965">
        <f t="shared" si="4017"/>
        <v>0</v>
      </c>
      <c r="U2040" s="959">
        <f t="shared" si="4018"/>
        <v>0</v>
      </c>
      <c r="V2040" s="960">
        <f t="shared" si="4019"/>
        <v>0</v>
      </c>
      <c r="W2040" s="968">
        <f t="shared" si="3972"/>
        <v>0</v>
      </c>
      <c r="X2040" s="966">
        <f t="shared" si="3973"/>
        <v>0</v>
      </c>
      <c r="Y2040" s="967"/>
      <c r="Z2040" s="220"/>
      <c r="AA2040" s="355"/>
      <c r="AB2040" s="355"/>
      <c r="AC2040" s="355"/>
      <c r="AD2040" s="355"/>
      <c r="AE2040" s="355"/>
    </row>
    <row r="2041" spans="1:31" ht="15.75">
      <c r="A2041" s="961">
        <v>2406010200</v>
      </c>
      <c r="B2041" s="962"/>
      <c r="C2041" s="1465" t="s">
        <v>146</v>
      </c>
      <c r="D2041" s="1467"/>
      <c r="E2041" s="1468"/>
      <c r="F2041" s="964"/>
      <c r="G2041" s="1250">
        <f t="shared" si="4082"/>
        <v>0</v>
      </c>
      <c r="H2041" s="47"/>
      <c r="I2041" s="965">
        <f t="shared" si="4083"/>
        <v>0</v>
      </c>
      <c r="J2041" s="1366"/>
      <c r="K2041" s="1366"/>
      <c r="L2041" s="964"/>
      <c r="M2041" s="1250">
        <f t="shared" si="4014"/>
        <v>0</v>
      </c>
      <c r="N2041" s="47"/>
      <c r="O2041" s="965">
        <f t="shared" si="4015"/>
        <v>0</v>
      </c>
      <c r="P2041" s="964"/>
      <c r="Q2041" s="1250">
        <f t="shared" si="4016"/>
        <v>0</v>
      </c>
      <c r="R2041" s="47"/>
      <c r="S2041" s="47"/>
      <c r="T2041" s="965">
        <f t="shared" si="4017"/>
        <v>0</v>
      </c>
      <c r="U2041" s="959">
        <f t="shared" si="4018"/>
        <v>0</v>
      </c>
      <c r="V2041" s="960">
        <f t="shared" si="4019"/>
        <v>0</v>
      </c>
      <c r="W2041" s="968">
        <f t="shared" si="3972"/>
        <v>0</v>
      </c>
      <c r="X2041" s="966">
        <f t="shared" si="3973"/>
        <v>0</v>
      </c>
      <c r="Y2041" s="967"/>
      <c r="Z2041" s="220"/>
      <c r="AA2041" s="355"/>
      <c r="AB2041" s="355"/>
      <c r="AC2041" s="355"/>
      <c r="AD2041" s="355"/>
      <c r="AE2041" s="355"/>
    </row>
    <row r="2042" spans="1:31" s="373" customFormat="1">
      <c r="A2042" s="1019">
        <v>2406010200</v>
      </c>
      <c r="B2042" s="374"/>
      <c r="C2042" s="1677" t="s">
        <v>146</v>
      </c>
      <c r="D2042" s="1680"/>
      <c r="E2042" s="1681"/>
      <c r="F2042" s="1023"/>
      <c r="G2042" s="1290"/>
      <c r="H2042" s="352"/>
      <c r="I2042" s="1024"/>
      <c r="J2042" s="1461"/>
      <c r="K2042" s="1462"/>
      <c r="L2042" s="1026"/>
      <c r="M2042" s="1324">
        <f t="shared" si="4014"/>
        <v>0</v>
      </c>
      <c r="N2042" s="353"/>
      <c r="O2042" s="1025">
        <f t="shared" si="4015"/>
        <v>0</v>
      </c>
      <c r="P2042" s="1026"/>
      <c r="Q2042" s="1324">
        <f t="shared" si="4016"/>
        <v>0</v>
      </c>
      <c r="R2042" s="353"/>
      <c r="S2042" s="353"/>
      <c r="T2042" s="1025">
        <f t="shared" si="4017"/>
        <v>0</v>
      </c>
      <c r="U2042" s="476">
        <f t="shared" si="4018"/>
        <v>0</v>
      </c>
      <c r="V2042" s="922">
        <f t="shared" si="4019"/>
        <v>0</v>
      </c>
      <c r="W2042" s="477">
        <f t="shared" si="3972"/>
        <v>0</v>
      </c>
      <c r="X2042" s="923">
        <f t="shared" si="3973"/>
        <v>0</v>
      </c>
      <c r="Y2042" s="924"/>
      <c r="Z2042" s="1076"/>
      <c r="AA2042" s="15"/>
      <c r="AB2042" s="15"/>
      <c r="AC2042" s="15"/>
      <c r="AD2042" s="15"/>
      <c r="AE2042" s="15"/>
    </row>
    <row r="2043" spans="1:31" s="373" customFormat="1">
      <c r="A2043" s="1019">
        <v>2406010200</v>
      </c>
      <c r="B2043" s="374"/>
      <c r="C2043" s="1677" t="s">
        <v>146</v>
      </c>
      <c r="D2043" s="1680"/>
      <c r="E2043" s="1681"/>
      <c r="F2043" s="1023"/>
      <c r="G2043" s="1290"/>
      <c r="H2043" s="352"/>
      <c r="I2043" s="1024"/>
      <c r="J2043" s="1461"/>
      <c r="K2043" s="1462"/>
      <c r="L2043" s="1026"/>
      <c r="M2043" s="1324">
        <f t="shared" si="4014"/>
        <v>0</v>
      </c>
      <c r="N2043" s="353"/>
      <c r="O2043" s="1025">
        <f t="shared" si="4015"/>
        <v>0</v>
      </c>
      <c r="P2043" s="1026"/>
      <c r="Q2043" s="1324">
        <f t="shared" si="4016"/>
        <v>0</v>
      </c>
      <c r="R2043" s="353"/>
      <c r="S2043" s="353"/>
      <c r="T2043" s="1025">
        <f t="shared" si="4017"/>
        <v>0</v>
      </c>
      <c r="U2043" s="476">
        <f t="shared" si="4018"/>
        <v>0</v>
      </c>
      <c r="V2043" s="922">
        <f t="shared" si="4019"/>
        <v>0</v>
      </c>
      <c r="W2043" s="477">
        <f t="shared" ref="W2043" si="4084">-(IF(-P2043*J2043*R2043&lt;-P2043*K2043*S2043,(-P2043*J2043*R2043)-(-P2043*K2043*S2043),0))</f>
        <v>0</v>
      </c>
      <c r="X2043" s="923">
        <f t="shared" ref="X2043" si="4085">-(IF(-P2043*J2043*R2043&gt;-P2043*K2043*S2043,(-P2043*J2043*R2043)-(-P2043*K2043*S2043),0))</f>
        <v>0</v>
      </c>
      <c r="Y2043" s="924"/>
      <c r="Z2043" s="1076"/>
      <c r="AA2043" s="15"/>
      <c r="AB2043" s="15"/>
      <c r="AC2043" s="15"/>
      <c r="AD2043" s="15"/>
      <c r="AE2043" s="15"/>
    </row>
    <row r="2044" spans="1:31" s="401" customFormat="1">
      <c r="A2044" s="338"/>
      <c r="B2044" s="889"/>
      <c r="C2044" s="1690"/>
      <c r="D2044" s="1691"/>
      <c r="E2044" s="1692"/>
      <c r="F2044" s="340"/>
      <c r="G2044" s="1288"/>
      <c r="H2044" s="891"/>
      <c r="I2044" s="892"/>
      <c r="J2044" s="1400"/>
      <c r="K2044" s="1582"/>
      <c r="L2044" s="375"/>
      <c r="M2044" s="1331">
        <f t="shared" si="4014"/>
        <v>0</v>
      </c>
      <c r="N2044" s="893"/>
      <c r="O2044" s="897">
        <f t="shared" si="4015"/>
        <v>0</v>
      </c>
      <c r="P2044" s="342"/>
      <c r="Q2044" s="1359">
        <f t="shared" si="4016"/>
        <v>0</v>
      </c>
      <c r="R2044" s="894"/>
      <c r="S2044" s="894"/>
      <c r="T2044" s="895">
        <f t="shared" si="4017"/>
        <v>0</v>
      </c>
      <c r="U2044" s="418">
        <f t="shared" si="4018"/>
        <v>0</v>
      </c>
      <c r="V2044" s="517">
        <f t="shared" si="4019"/>
        <v>0</v>
      </c>
      <c r="W2044" s="976">
        <f t="shared" ref="W2044:W2050" si="4086">-(IF(-P2044*J2044*R2044&lt;-P2044*K2044*S2044,(-P2044*J2044*R2044)-(-P2044*K2044*S2044),0))</f>
        <v>0</v>
      </c>
      <c r="X2044" s="975">
        <f t="shared" ref="X2044:X2050" si="4087">-(IF(-P2044*J2044*R2044&gt;-P2044*K2044*S2044,(-P2044*J2044*R2044)-(-P2044*K2044*S2044),0))</f>
        <v>0</v>
      </c>
      <c r="Y2044" s="896"/>
      <c r="Z2044" s="220"/>
      <c r="AA2044" s="15"/>
      <c r="AB2044" s="15"/>
      <c r="AC2044" s="15"/>
      <c r="AD2044" s="15"/>
      <c r="AE2044" s="15"/>
    </row>
    <row r="2045" spans="1:31" s="401" customFormat="1" outlineLevel="1">
      <c r="A2045" s="338">
        <v>2406010200</v>
      </c>
      <c r="B2045" s="889"/>
      <c r="C2045" s="1690" t="s">
        <v>146</v>
      </c>
      <c r="D2045" s="1691"/>
      <c r="E2045" s="1692">
        <v>44701</v>
      </c>
      <c r="F2045" s="340"/>
      <c r="G2045" s="1288"/>
      <c r="H2045" s="891"/>
      <c r="I2045" s="892"/>
      <c r="J2045" s="1503">
        <f>VLOOKUP($E2045,'TRM BanRep'!$A:$K,11,0)</f>
        <v>1.0558000000000001</v>
      </c>
      <c r="K2045" s="1504"/>
      <c r="L2045" s="375"/>
      <c r="M2045" s="1331">
        <f t="shared" ref="M2045:M2046" si="4088">+L2045*J2045</f>
        <v>0</v>
      </c>
      <c r="N2045" s="893">
        <f ca="1">IF(OR(E2045="",E2045&gt;TODAY()),0,IF(ISERROR(VLOOKUP($E2045,'TRM BanRep'!$A:$G,7,0)),0,VLOOKUP($E2045,'TRM BanRep'!$A:$G,7,0)))</f>
        <v>4050.88</v>
      </c>
      <c r="O2045" s="897">
        <f t="shared" ref="O2045:O2046" ca="1" si="4089">+L2045*J2045*N2045</f>
        <v>0</v>
      </c>
      <c r="P2045" s="342"/>
      <c r="Q2045" s="1359">
        <f t="shared" ref="Q2045:Q2046" si="4090">+P2045*K2045</f>
        <v>0</v>
      </c>
      <c r="R2045" s="894"/>
      <c r="S2045" s="349">
        <f ca="1">IF(OR(E2045="",E2045&gt;TODAY()),0,IF(ISERROR(VLOOKUP($E2045,'TRM BanRep'!$A:$G,7,0)),0,VLOOKUP($E2045,'TRM BanRep'!$A:$G,7,0)))</f>
        <v>4050.88</v>
      </c>
      <c r="T2045" s="895">
        <f t="shared" ref="T2045:T2046" ca="1" si="4091">+P2045*K2045*S2045</f>
        <v>0</v>
      </c>
      <c r="U2045" s="418">
        <f t="shared" ref="U2045:U2046" si="4092">+L2045+P2045+F2045</f>
        <v>0</v>
      </c>
      <c r="V2045" s="517">
        <f t="shared" ref="V2045:V2046" ca="1" si="4093">+P2045*J2045*R2045+L2045*J2045*N2045+F2045*J2045*H2045</f>
        <v>0</v>
      </c>
      <c r="W2045" s="976">
        <f t="shared" ca="1" si="4086"/>
        <v>0</v>
      </c>
      <c r="X2045" s="975">
        <f t="shared" ca="1" si="4087"/>
        <v>0</v>
      </c>
      <c r="Y2045" s="896"/>
      <c r="Z2045" s="220"/>
      <c r="AA2045" s="15"/>
      <c r="AB2045" s="15"/>
      <c r="AC2045" s="15"/>
      <c r="AD2045" s="15"/>
      <c r="AE2045" s="15"/>
    </row>
    <row r="2046" spans="1:31" s="401" customFormat="1" outlineLevel="1">
      <c r="A2046" s="338">
        <v>2406010200</v>
      </c>
      <c r="B2046" s="889"/>
      <c r="C2046" s="1690" t="s">
        <v>146</v>
      </c>
      <c r="D2046" s="1691"/>
      <c r="E2046" s="1692">
        <v>44750</v>
      </c>
      <c r="F2046" s="340"/>
      <c r="G2046" s="1288"/>
      <c r="H2046" s="891"/>
      <c r="I2046" s="892"/>
      <c r="J2046" s="1503">
        <f>+J2045</f>
        <v>1.0558000000000001</v>
      </c>
      <c r="K2046" s="1504">
        <f>VLOOKUP($E2046,'TRM BanRep'!$A:$K,11,0)</f>
        <v>1.01735</v>
      </c>
      <c r="L2046" s="375"/>
      <c r="M2046" s="1331">
        <f t="shared" si="4088"/>
        <v>0</v>
      </c>
      <c r="N2046" s="893">
        <f ca="1">IF(OR(E2046="",E2046&gt;TODAY()),0,IF(ISERROR(VLOOKUP($E2046,'TRM BanRep'!$A:$G,7,0)),0,VLOOKUP($E2046,'TRM BanRep'!$A:$G,7,0)))</f>
        <v>4369.7</v>
      </c>
      <c r="O2046" s="897">
        <f t="shared" ca="1" si="4089"/>
        <v>0</v>
      </c>
      <c r="P2046" s="342">
        <f>-L2045</f>
        <v>0</v>
      </c>
      <c r="Q2046" s="1359">
        <f t="shared" si="4090"/>
        <v>0</v>
      </c>
      <c r="R2046" s="894">
        <f ca="1">+N2045</f>
        <v>4050.88</v>
      </c>
      <c r="S2046" s="349">
        <f ca="1">IF(OR(E2046="",E2046&gt;TODAY()),0,IF(ISERROR(VLOOKUP($E2046,'TRM BanRep'!$A:$G,7,0)),0,VLOOKUP($E2046,'TRM BanRep'!$A:$G,7,0)))</f>
        <v>4369.7</v>
      </c>
      <c r="T2046" s="895">
        <f t="shared" ca="1" si="4091"/>
        <v>0</v>
      </c>
      <c r="U2046" s="418">
        <f t="shared" si="4092"/>
        <v>0</v>
      </c>
      <c r="V2046" s="517">
        <f t="shared" ca="1" si="4093"/>
        <v>0</v>
      </c>
      <c r="W2046" s="976">
        <f t="shared" ca="1" si="4086"/>
        <v>0</v>
      </c>
      <c r="X2046" s="975">
        <f t="shared" ca="1" si="4087"/>
        <v>0</v>
      </c>
      <c r="Y2046" s="896"/>
      <c r="Z2046" s="220"/>
      <c r="AA2046" s="15"/>
      <c r="AB2046" s="15"/>
      <c r="AC2046" s="15"/>
      <c r="AD2046" s="15"/>
      <c r="AE2046" s="15"/>
    </row>
    <row r="2047" spans="1:31" s="401" customFormat="1" outlineLevel="1">
      <c r="A2047" s="338">
        <v>2406010200</v>
      </c>
      <c r="B2047" s="889"/>
      <c r="C2047" s="1690" t="s">
        <v>146</v>
      </c>
      <c r="D2047" s="1691"/>
      <c r="E2047" s="1692">
        <v>44868</v>
      </c>
      <c r="F2047" s="340"/>
      <c r="G2047" s="1288"/>
      <c r="H2047" s="891"/>
      <c r="I2047" s="892"/>
      <c r="J2047" s="1503">
        <f>VLOOKUP($E2047,'TRM BanRep'!$A:$K,11,0)</f>
        <v>0.97585</v>
      </c>
      <c r="K2047" s="1504"/>
      <c r="L2047" s="375"/>
      <c r="M2047" s="1331">
        <f t="shared" ref="M2047" si="4094">+L2047*J2047</f>
        <v>0</v>
      </c>
      <c r="N2047" s="893">
        <f ca="1">IF(OR(E2047="",E2047&gt;TODAY()),0,IF(ISERROR(VLOOKUP($E2047,'TRM BanRep'!$A:$G,7,0)),0,VLOOKUP($E2047,'TRM BanRep'!$A:$G,7,0)))</f>
        <v>5015.84</v>
      </c>
      <c r="O2047" s="897">
        <f t="shared" ref="O2047" ca="1" si="4095">+L2047*J2047*N2047</f>
        <v>0</v>
      </c>
      <c r="P2047" s="342"/>
      <c r="Q2047" s="1359">
        <f t="shared" ref="Q2047" si="4096">+P2047*K2047</f>
        <v>0</v>
      </c>
      <c r="R2047" s="894"/>
      <c r="S2047" s="349">
        <f ca="1">IF(OR(E2047="",E2047&gt;TODAY()),0,IF(ISERROR(VLOOKUP($E2047,'TRM BanRep'!$A:$G,7,0)),0,VLOOKUP($E2047,'TRM BanRep'!$A:$G,7,0)))</f>
        <v>5015.84</v>
      </c>
      <c r="T2047" s="895">
        <f t="shared" ref="T2047" ca="1" si="4097">+P2047*K2047*S2047</f>
        <v>0</v>
      </c>
      <c r="U2047" s="418">
        <f t="shared" ref="U2047" si="4098">+L2047+P2047+F2047</f>
        <v>0</v>
      </c>
      <c r="V2047" s="517">
        <f t="shared" ref="V2047" ca="1" si="4099">+P2047*J2047*R2047+L2047*J2047*N2047+F2047*J2047*H2047</f>
        <v>0</v>
      </c>
      <c r="W2047" s="976">
        <f t="shared" ref="W2047" ca="1" si="4100">-(IF(-P2047*J2047*R2047&lt;-P2047*K2047*S2047,(-P2047*J2047*R2047)-(-P2047*K2047*S2047),0))</f>
        <v>0</v>
      </c>
      <c r="X2047" s="975">
        <f t="shared" ref="X2047" ca="1" si="4101">-(IF(-P2047*J2047*R2047&gt;-P2047*K2047*S2047,(-P2047*J2047*R2047)-(-P2047*K2047*S2047),0))</f>
        <v>0</v>
      </c>
      <c r="Y2047" s="896"/>
      <c r="Z2047" s="220"/>
      <c r="AA2047" s="15"/>
      <c r="AB2047" s="15"/>
      <c r="AC2047" s="15"/>
      <c r="AD2047" s="15"/>
      <c r="AE2047" s="15"/>
    </row>
    <row r="2048" spans="1:31" s="401" customFormat="1" outlineLevel="1">
      <c r="A2048" s="338">
        <v>2406010200</v>
      </c>
      <c r="B2048" s="889"/>
      <c r="C2048" s="1690" t="s">
        <v>146</v>
      </c>
      <c r="D2048" s="1691"/>
      <c r="E2048" s="1692">
        <v>44904</v>
      </c>
      <c r="F2048" s="340"/>
      <c r="G2048" s="1288"/>
      <c r="H2048" s="891"/>
      <c r="I2048" s="892"/>
      <c r="J2048" s="1503">
        <f>+J2047</f>
        <v>0.97585</v>
      </c>
      <c r="K2048" s="1504">
        <f>VLOOKUP($E2048,'TRM BanRep'!$A:$K,11,0)</f>
        <v>1.0540499999999999</v>
      </c>
      <c r="L2048" s="375"/>
      <c r="M2048" s="1331">
        <f t="shared" ref="M2048" si="4102">+L2048*J2048</f>
        <v>0</v>
      </c>
      <c r="N2048" s="893">
        <f ca="1">IF(OR(E2048="",E2048&gt;TODAY()),0,IF(ISERROR(VLOOKUP($E2048,'TRM BanRep'!$A:$G,7,0)),0,VLOOKUP($E2048,'TRM BanRep'!$A:$G,7,0)))</f>
        <v>4825.83</v>
      </c>
      <c r="O2048" s="897">
        <f t="shared" ref="O2048" ca="1" si="4103">+L2048*J2048*N2048</f>
        <v>0</v>
      </c>
      <c r="P2048" s="342">
        <f>-L2047</f>
        <v>0</v>
      </c>
      <c r="Q2048" s="1359">
        <f t="shared" ref="Q2048" si="4104">+P2048*K2048</f>
        <v>0</v>
      </c>
      <c r="R2048" s="894">
        <f ca="1">+N2047</f>
        <v>5015.84</v>
      </c>
      <c r="S2048" s="349">
        <f ca="1">IF(OR(E2048="",E2048&gt;TODAY()),0,IF(ISERROR(VLOOKUP($E2048,'TRM BanRep'!$A:$G,7,0)),0,VLOOKUP($E2048,'TRM BanRep'!$A:$G,7,0)))</f>
        <v>4825.83</v>
      </c>
      <c r="T2048" s="895">
        <f t="shared" ref="T2048" ca="1" si="4105">+P2048*K2048*S2048</f>
        <v>0</v>
      </c>
      <c r="U2048" s="418">
        <f t="shared" ref="U2048" si="4106">+L2048+P2048+F2048</f>
        <v>0</v>
      </c>
      <c r="V2048" s="517">
        <f t="shared" ref="V2048" ca="1" si="4107">+P2048*J2048*R2048+L2048*J2048*N2048+F2048*J2048*H2048</f>
        <v>0</v>
      </c>
      <c r="W2048" s="976">
        <f t="shared" ref="W2048" ca="1" si="4108">-(IF(-P2048*J2048*R2048&lt;-P2048*K2048*S2048,(-P2048*J2048*R2048)-(-P2048*K2048*S2048),0))</f>
        <v>0</v>
      </c>
      <c r="X2048" s="975">
        <f t="shared" ref="X2048" ca="1" si="4109">-(IF(-P2048*J2048*R2048&gt;-P2048*K2048*S2048,(-P2048*J2048*R2048)-(-P2048*K2048*S2048),0))</f>
        <v>0</v>
      </c>
      <c r="Y2048" s="896"/>
      <c r="Z2048" s="220"/>
      <c r="AA2048" s="15"/>
      <c r="AB2048" s="15"/>
      <c r="AC2048" s="15"/>
      <c r="AD2048" s="15"/>
      <c r="AE2048" s="15"/>
    </row>
    <row r="2049" spans="1:31" s="401" customFormat="1">
      <c r="A2049" s="338">
        <v>2406010200</v>
      </c>
      <c r="B2049" s="889"/>
      <c r="C2049" s="1690" t="s">
        <v>146</v>
      </c>
      <c r="D2049" s="1691"/>
      <c r="E2049" s="1692"/>
      <c r="F2049" s="340"/>
      <c r="G2049" s="1288"/>
      <c r="H2049" s="891"/>
      <c r="I2049" s="892"/>
      <c r="J2049" s="1400"/>
      <c r="K2049" s="1582"/>
      <c r="L2049" s="375"/>
      <c r="M2049" s="1331">
        <f t="shared" si="4014"/>
        <v>0</v>
      </c>
      <c r="N2049" s="893"/>
      <c r="O2049" s="897">
        <f t="shared" si="4015"/>
        <v>0</v>
      </c>
      <c r="P2049" s="342"/>
      <c r="Q2049" s="1359">
        <f t="shared" si="4016"/>
        <v>0</v>
      </c>
      <c r="R2049" s="894"/>
      <c r="S2049" s="894"/>
      <c r="T2049" s="895">
        <f t="shared" si="4017"/>
        <v>0</v>
      </c>
      <c r="U2049" s="418">
        <f t="shared" si="4018"/>
        <v>0</v>
      </c>
      <c r="V2049" s="517">
        <f t="shared" si="4019"/>
        <v>0</v>
      </c>
      <c r="W2049" s="976">
        <f t="shared" si="4086"/>
        <v>0</v>
      </c>
      <c r="X2049" s="975">
        <f t="shared" si="4087"/>
        <v>0</v>
      </c>
      <c r="Y2049" s="896"/>
      <c r="Z2049" s="220"/>
      <c r="AA2049" s="15"/>
      <c r="AB2049" s="15"/>
      <c r="AC2049" s="15"/>
      <c r="AD2049" s="15"/>
      <c r="AE2049" s="15"/>
    </row>
    <row r="2050" spans="1:31">
      <c r="A2050" s="55"/>
      <c r="B2050" s="509"/>
      <c r="C2050" s="1512"/>
      <c r="D2050" s="1538"/>
      <c r="E2050" s="1539"/>
      <c r="F2050" s="416"/>
      <c r="G2050" s="1251"/>
      <c r="H2050" s="676"/>
      <c r="I2050" s="681">
        <f>+F2050*H2050</f>
        <v>0</v>
      </c>
      <c r="J2050" s="1386"/>
      <c r="K2050" s="1584"/>
      <c r="L2050" s="449"/>
      <c r="M2050" s="1312"/>
      <c r="N2050" s="504"/>
      <c r="O2050" s="682"/>
      <c r="P2050" s="431"/>
      <c r="Q2050" s="514"/>
      <c r="R2050" s="515"/>
      <c r="S2050" s="515"/>
      <c r="T2050" s="562"/>
      <c r="U2050" s="418"/>
      <c r="V2050" s="517"/>
      <c r="W2050" s="976">
        <f t="shared" si="4086"/>
        <v>0</v>
      </c>
      <c r="X2050" s="975">
        <f t="shared" si="4087"/>
        <v>0</v>
      </c>
      <c r="Y2050" s="519"/>
      <c r="Z2050" s="220"/>
    </row>
    <row r="2051" spans="1:31" s="344" customFormat="1" ht="15.75">
      <c r="A2051" s="997">
        <v>2406010200</v>
      </c>
      <c r="B2051" s="998" t="s">
        <v>77</v>
      </c>
      <c r="C2051" s="1663" t="s">
        <v>106</v>
      </c>
      <c r="D2051" s="1669" t="s">
        <v>128</v>
      </c>
      <c r="E2051" s="1670"/>
      <c r="F2051" s="1001"/>
      <c r="G2051" s="1291"/>
      <c r="H2051" s="343"/>
      <c r="I2051" s="1002">
        <v>1106700000</v>
      </c>
      <c r="J2051" s="1372"/>
      <c r="K2051" s="1372"/>
      <c r="L2051" s="1003"/>
      <c r="M2051" s="1326"/>
      <c r="N2051" s="343"/>
      <c r="O2051" s="1002">
        <f>+L2051*N2051</f>
        <v>0</v>
      </c>
      <c r="P2051" s="1001"/>
      <c r="Q2051" s="1291"/>
      <c r="R2051" s="343"/>
      <c r="S2051" s="343"/>
      <c r="T2051" s="1002">
        <f>+P2051*R2051</f>
        <v>0</v>
      </c>
      <c r="U2051" s="1001">
        <f t="shared" ref="U2051:U2059" si="4110">+L2051+P2051+F2051</f>
        <v>0</v>
      </c>
      <c r="V2051" s="1002">
        <f>+I2051+T2051+O2051</f>
        <v>1106700000</v>
      </c>
      <c r="W2051" s="1032"/>
      <c r="X2051" s="1033"/>
      <c r="Y2051" s="1034"/>
      <c r="Z2051" s="220"/>
      <c r="AA2051" s="364"/>
      <c r="AB2051" s="364"/>
      <c r="AC2051" s="364"/>
      <c r="AD2051" s="364"/>
      <c r="AE2051" s="364"/>
    </row>
    <row r="2052" spans="1:31" s="302" customFormat="1" ht="15.75" hidden="1" outlineLevel="1">
      <c r="A2052" s="979">
        <v>2406010200</v>
      </c>
      <c r="B2052" s="980" t="s">
        <v>129</v>
      </c>
      <c r="C2052" s="1664" t="s">
        <v>106</v>
      </c>
      <c r="D2052" s="1671" t="s">
        <v>128</v>
      </c>
      <c r="E2052" s="1682"/>
      <c r="F2052" s="982"/>
      <c r="G2052" s="1286"/>
      <c r="H2052" s="857"/>
      <c r="I2052" s="1005">
        <f t="shared" ref="I2052:I2059" si="4111">+F2052*H2052</f>
        <v>0</v>
      </c>
      <c r="J2052" s="1398"/>
      <c r="K2052" s="1398"/>
      <c r="L2052" s="1006"/>
      <c r="M2052" s="1327"/>
      <c r="N2052" s="898"/>
      <c r="O2052" s="1007"/>
      <c r="P2052" s="1008"/>
      <c r="Q2052" s="1360"/>
      <c r="R2052" s="899"/>
      <c r="S2052" s="899"/>
      <c r="T2052" s="1009"/>
      <c r="U2052" s="1010">
        <f t="shared" si="4110"/>
        <v>0</v>
      </c>
      <c r="V2052" s="983">
        <v>0</v>
      </c>
      <c r="W2052" s="1032"/>
      <c r="X2052" s="1033"/>
      <c r="Y2052" s="1034"/>
      <c r="Z2052" s="220"/>
      <c r="AA2052" s="15"/>
      <c r="AB2052" s="15"/>
      <c r="AC2052" s="15"/>
      <c r="AD2052" s="15"/>
      <c r="AE2052" s="15"/>
    </row>
    <row r="2053" spans="1:31" s="302" customFormat="1" ht="15.75" hidden="1" outlineLevel="1">
      <c r="A2053" s="979">
        <v>2406010200</v>
      </c>
      <c r="B2053" s="980" t="s">
        <v>130</v>
      </c>
      <c r="C2053" s="1664" t="s">
        <v>106</v>
      </c>
      <c r="D2053" s="1671" t="s">
        <v>128</v>
      </c>
      <c r="E2053" s="1682"/>
      <c r="F2053" s="982"/>
      <c r="G2053" s="1286"/>
      <c r="H2053" s="857"/>
      <c r="I2053" s="1005">
        <f t="shared" si="4111"/>
        <v>0</v>
      </c>
      <c r="J2053" s="1398"/>
      <c r="K2053" s="1398"/>
      <c r="L2053" s="1006"/>
      <c r="M2053" s="1327"/>
      <c r="N2053" s="898"/>
      <c r="O2053" s="1007"/>
      <c r="P2053" s="1008"/>
      <c r="Q2053" s="1360"/>
      <c r="R2053" s="899"/>
      <c r="S2053" s="899"/>
      <c r="T2053" s="1009"/>
      <c r="U2053" s="1010">
        <f t="shared" si="4110"/>
        <v>0</v>
      </c>
      <c r="V2053" s="983">
        <v>0</v>
      </c>
      <c r="W2053" s="1032"/>
      <c r="X2053" s="1033"/>
      <c r="Y2053" s="1034"/>
      <c r="Z2053" s="220"/>
      <c r="AA2053" s="15"/>
      <c r="AB2053" s="15"/>
      <c r="AC2053" s="15"/>
      <c r="AD2053" s="15"/>
      <c r="AE2053" s="15"/>
    </row>
    <row r="2054" spans="1:31" s="302" customFormat="1" ht="15.75" hidden="1" outlineLevel="1">
      <c r="A2054" s="979">
        <v>2406010200</v>
      </c>
      <c r="B2054" s="980" t="s">
        <v>131</v>
      </c>
      <c r="C2054" s="1664" t="s">
        <v>106</v>
      </c>
      <c r="D2054" s="1671" t="s">
        <v>128</v>
      </c>
      <c r="E2054" s="1682"/>
      <c r="F2054" s="982"/>
      <c r="G2054" s="1286"/>
      <c r="H2054" s="857"/>
      <c r="I2054" s="1005">
        <f t="shared" si="4111"/>
        <v>0</v>
      </c>
      <c r="J2054" s="1398"/>
      <c r="K2054" s="1398"/>
      <c r="L2054" s="1006"/>
      <c r="M2054" s="1327"/>
      <c r="N2054" s="898"/>
      <c r="O2054" s="1007"/>
      <c r="P2054" s="1008"/>
      <c r="Q2054" s="1360"/>
      <c r="R2054" s="899"/>
      <c r="S2054" s="899"/>
      <c r="T2054" s="1009"/>
      <c r="U2054" s="1010">
        <f t="shared" si="4110"/>
        <v>0</v>
      </c>
      <c r="V2054" s="983">
        <v>0</v>
      </c>
      <c r="W2054" s="1032"/>
      <c r="X2054" s="1033"/>
      <c r="Y2054" s="1034"/>
      <c r="Z2054" s="220"/>
      <c r="AA2054" s="15"/>
      <c r="AB2054" s="15"/>
      <c r="AC2054" s="15"/>
      <c r="AD2054" s="15"/>
      <c r="AE2054" s="15"/>
    </row>
    <row r="2055" spans="1:31" s="302" customFormat="1" ht="15.75" hidden="1" outlineLevel="1">
      <c r="A2055" s="979">
        <v>2406010200</v>
      </c>
      <c r="B2055" s="980" t="s">
        <v>132</v>
      </c>
      <c r="C2055" s="1664" t="s">
        <v>106</v>
      </c>
      <c r="D2055" s="1671" t="s">
        <v>128</v>
      </c>
      <c r="E2055" s="1682"/>
      <c r="F2055" s="982"/>
      <c r="G2055" s="1286"/>
      <c r="H2055" s="857"/>
      <c r="I2055" s="1005">
        <f t="shared" si="4111"/>
        <v>0</v>
      </c>
      <c r="J2055" s="1398"/>
      <c r="K2055" s="1398"/>
      <c r="L2055" s="1006"/>
      <c r="M2055" s="1327"/>
      <c r="N2055" s="898"/>
      <c r="O2055" s="1007"/>
      <c r="P2055" s="1008"/>
      <c r="Q2055" s="1360"/>
      <c r="R2055" s="899"/>
      <c r="S2055" s="899"/>
      <c r="T2055" s="1009"/>
      <c r="U2055" s="1010">
        <f t="shared" si="4110"/>
        <v>0</v>
      </c>
      <c r="V2055" s="983">
        <v>0</v>
      </c>
      <c r="W2055" s="1032"/>
      <c r="X2055" s="1033"/>
      <c r="Y2055" s="1034"/>
      <c r="Z2055" s="220"/>
      <c r="AA2055" s="15"/>
      <c r="AB2055" s="15"/>
      <c r="AC2055" s="15"/>
      <c r="AD2055" s="15"/>
      <c r="AE2055" s="15"/>
    </row>
    <row r="2056" spans="1:31" s="302" customFormat="1" ht="15.75" hidden="1" outlineLevel="1">
      <c r="A2056" s="979">
        <v>2406010200</v>
      </c>
      <c r="B2056" s="980" t="s">
        <v>133</v>
      </c>
      <c r="C2056" s="1664" t="s">
        <v>106</v>
      </c>
      <c r="D2056" s="1671" t="s">
        <v>128</v>
      </c>
      <c r="E2056" s="1682"/>
      <c r="F2056" s="982"/>
      <c r="G2056" s="1286"/>
      <c r="H2056" s="857"/>
      <c r="I2056" s="1005">
        <f t="shared" si="4111"/>
        <v>0</v>
      </c>
      <c r="J2056" s="1398"/>
      <c r="K2056" s="1398"/>
      <c r="L2056" s="1006"/>
      <c r="M2056" s="1327"/>
      <c r="N2056" s="898"/>
      <c r="O2056" s="1007"/>
      <c r="P2056" s="1008"/>
      <c r="Q2056" s="1360"/>
      <c r="R2056" s="899"/>
      <c r="S2056" s="899"/>
      <c r="T2056" s="1009"/>
      <c r="U2056" s="1010">
        <f t="shared" si="4110"/>
        <v>0</v>
      </c>
      <c r="V2056" s="983">
        <v>0</v>
      </c>
      <c r="W2056" s="1032"/>
      <c r="X2056" s="1033"/>
      <c r="Y2056" s="1034"/>
      <c r="Z2056" s="220"/>
      <c r="AA2056" s="15"/>
      <c r="AB2056" s="15"/>
      <c r="AC2056" s="15"/>
      <c r="AD2056" s="15"/>
      <c r="AE2056" s="15"/>
    </row>
    <row r="2057" spans="1:31" s="302" customFormat="1" ht="15.75" hidden="1" outlineLevel="1">
      <c r="A2057" s="979">
        <v>2406010200</v>
      </c>
      <c r="B2057" s="980" t="s">
        <v>134</v>
      </c>
      <c r="C2057" s="1664" t="s">
        <v>106</v>
      </c>
      <c r="D2057" s="1671" t="s">
        <v>128</v>
      </c>
      <c r="E2057" s="1682"/>
      <c r="F2057" s="982"/>
      <c r="G2057" s="1286"/>
      <c r="H2057" s="857"/>
      <c r="I2057" s="1005">
        <f t="shared" si="4111"/>
        <v>0</v>
      </c>
      <c r="J2057" s="1398"/>
      <c r="K2057" s="1398"/>
      <c r="L2057" s="1006"/>
      <c r="M2057" s="1327"/>
      <c r="N2057" s="898"/>
      <c r="O2057" s="1007">
        <f>+L2057*N2057</f>
        <v>0</v>
      </c>
      <c r="P2057" s="1008"/>
      <c r="Q2057" s="1360"/>
      <c r="R2057" s="899"/>
      <c r="S2057" s="899"/>
      <c r="T2057" s="1009">
        <f>+P2057*R2057</f>
        <v>0</v>
      </c>
      <c r="U2057" s="1010">
        <f t="shared" si="4110"/>
        <v>0</v>
      </c>
      <c r="V2057" s="983">
        <v>0</v>
      </c>
      <c r="W2057" s="1032"/>
      <c r="X2057" s="1033"/>
      <c r="Y2057" s="1034"/>
      <c r="Z2057" s="220"/>
      <c r="AA2057" s="15"/>
      <c r="AB2057" s="15"/>
      <c r="AC2057" s="15"/>
      <c r="AD2057" s="15"/>
      <c r="AE2057" s="15"/>
    </row>
    <row r="2058" spans="1:31" s="302" customFormat="1" ht="15.75" hidden="1" outlineLevel="1">
      <c r="A2058" s="979">
        <v>2406010200</v>
      </c>
      <c r="B2058" s="980" t="s">
        <v>135</v>
      </c>
      <c r="C2058" s="1664" t="s">
        <v>106</v>
      </c>
      <c r="D2058" s="1671" t="s">
        <v>128</v>
      </c>
      <c r="E2058" s="1682"/>
      <c r="F2058" s="982"/>
      <c r="G2058" s="1286"/>
      <c r="H2058" s="857"/>
      <c r="I2058" s="1005">
        <f t="shared" si="4111"/>
        <v>0</v>
      </c>
      <c r="J2058" s="1398"/>
      <c r="K2058" s="1398"/>
      <c r="L2058" s="1006"/>
      <c r="M2058" s="1327"/>
      <c r="N2058" s="898"/>
      <c r="O2058" s="1007">
        <f>+L2058*N2058</f>
        <v>0</v>
      </c>
      <c r="P2058" s="1008"/>
      <c r="Q2058" s="1360"/>
      <c r="R2058" s="899"/>
      <c r="S2058" s="899"/>
      <c r="T2058" s="1009">
        <f>+P2058*R2058</f>
        <v>0</v>
      </c>
      <c r="U2058" s="1010">
        <f t="shared" si="4110"/>
        <v>0</v>
      </c>
      <c r="V2058" s="983">
        <v>0</v>
      </c>
      <c r="W2058" s="1032"/>
      <c r="X2058" s="1033"/>
      <c r="Y2058" s="1034"/>
      <c r="Z2058" s="220"/>
      <c r="AA2058" s="15"/>
      <c r="AB2058" s="15"/>
      <c r="AC2058" s="15"/>
      <c r="AD2058" s="15"/>
      <c r="AE2058" s="15"/>
    </row>
    <row r="2059" spans="1:31" s="302" customFormat="1" ht="15.75" hidden="1" outlineLevel="1">
      <c r="A2059" s="979">
        <v>2406010200</v>
      </c>
      <c r="B2059" s="980" t="s">
        <v>136</v>
      </c>
      <c r="C2059" s="1664" t="s">
        <v>106</v>
      </c>
      <c r="D2059" s="1671" t="s">
        <v>128</v>
      </c>
      <c r="E2059" s="1682"/>
      <c r="F2059" s="982"/>
      <c r="G2059" s="1286"/>
      <c r="H2059" s="857"/>
      <c r="I2059" s="1005">
        <f t="shared" si="4111"/>
        <v>0</v>
      </c>
      <c r="J2059" s="1398"/>
      <c r="K2059" s="1398"/>
      <c r="L2059" s="1006"/>
      <c r="M2059" s="1327"/>
      <c r="N2059" s="898"/>
      <c r="O2059" s="1007">
        <f>+L2059*N2059</f>
        <v>0</v>
      </c>
      <c r="P2059" s="1008"/>
      <c r="Q2059" s="1360"/>
      <c r="R2059" s="899"/>
      <c r="S2059" s="899"/>
      <c r="T2059" s="1009">
        <f>+P2059*R2059</f>
        <v>0</v>
      </c>
      <c r="U2059" s="1010">
        <f t="shared" si="4110"/>
        <v>0</v>
      </c>
      <c r="V2059" s="983">
        <v>0</v>
      </c>
      <c r="W2059" s="1032"/>
      <c r="X2059" s="1033"/>
      <c r="Y2059" s="1034"/>
      <c r="Z2059" s="220"/>
      <c r="AA2059" s="15"/>
      <c r="AB2059" s="15"/>
      <c r="AC2059" s="15"/>
      <c r="AD2059" s="15"/>
      <c r="AE2059" s="15"/>
    </row>
    <row r="2060" spans="1:31" s="302" customFormat="1" ht="15.75" hidden="1" outlineLevel="1">
      <c r="A2060" s="979">
        <v>2406010200</v>
      </c>
      <c r="B2060" s="980" t="s">
        <v>150</v>
      </c>
      <c r="C2060" s="1664" t="s">
        <v>106</v>
      </c>
      <c r="D2060" s="1671" t="s">
        <v>128</v>
      </c>
      <c r="E2060" s="1682"/>
      <c r="F2060" s="982"/>
      <c r="G2060" s="1286"/>
      <c r="H2060" s="857"/>
      <c r="I2060" s="1005"/>
      <c r="J2060" s="1398"/>
      <c r="K2060" s="1398"/>
      <c r="L2060" s="1006"/>
      <c r="M2060" s="1327"/>
      <c r="N2060" s="898"/>
      <c r="O2060" s="1007"/>
      <c r="P2060" s="1008"/>
      <c r="Q2060" s="1360"/>
      <c r="R2060" s="899"/>
      <c r="S2060" s="899"/>
      <c r="T2060" s="1009"/>
      <c r="U2060" s="1010"/>
      <c r="V2060" s="983">
        <v>0</v>
      </c>
      <c r="W2060" s="1032"/>
      <c r="X2060" s="1033"/>
      <c r="Y2060" s="1034"/>
      <c r="Z2060" s="220"/>
      <c r="AA2060" s="15"/>
      <c r="AB2060" s="15"/>
      <c r="AC2060" s="15"/>
      <c r="AD2060" s="15"/>
      <c r="AE2060" s="15"/>
    </row>
    <row r="2061" spans="1:31" s="302" customFormat="1" ht="15.75" hidden="1" outlineLevel="1">
      <c r="A2061" s="979">
        <v>2406010200</v>
      </c>
      <c r="B2061" s="980" t="s">
        <v>151</v>
      </c>
      <c r="C2061" s="1664" t="s">
        <v>106</v>
      </c>
      <c r="D2061" s="1671" t="s">
        <v>128</v>
      </c>
      <c r="E2061" s="1682"/>
      <c r="F2061" s="982"/>
      <c r="G2061" s="1286"/>
      <c r="H2061" s="857"/>
      <c r="I2061" s="1005"/>
      <c r="J2061" s="1398"/>
      <c r="K2061" s="1398"/>
      <c r="L2061" s="1006"/>
      <c r="M2061" s="1327"/>
      <c r="N2061" s="898"/>
      <c r="O2061" s="1007"/>
      <c r="P2061" s="1008"/>
      <c r="Q2061" s="1360"/>
      <c r="R2061" s="899"/>
      <c r="S2061" s="899"/>
      <c r="T2061" s="1009"/>
      <c r="U2061" s="1010"/>
      <c r="V2061" s="983">
        <v>0</v>
      </c>
      <c r="W2061" s="1032"/>
      <c r="X2061" s="1033"/>
      <c r="Y2061" s="1034"/>
      <c r="Z2061" s="220"/>
      <c r="AA2061" s="15"/>
      <c r="AB2061" s="15"/>
      <c r="AC2061" s="15"/>
      <c r="AD2061" s="15"/>
      <c r="AE2061" s="15"/>
    </row>
    <row r="2062" spans="1:31" s="302" customFormat="1" ht="15.75" hidden="1" outlineLevel="1">
      <c r="A2062" s="979">
        <v>2406010200</v>
      </c>
      <c r="B2062" s="980" t="s">
        <v>152</v>
      </c>
      <c r="C2062" s="1664" t="s">
        <v>106</v>
      </c>
      <c r="D2062" s="1671" t="s">
        <v>128</v>
      </c>
      <c r="E2062" s="1682"/>
      <c r="F2062" s="982"/>
      <c r="G2062" s="1286"/>
      <c r="H2062" s="857"/>
      <c r="I2062" s="1005"/>
      <c r="J2062" s="1398"/>
      <c r="K2062" s="1398"/>
      <c r="L2062" s="1006"/>
      <c r="M2062" s="1327"/>
      <c r="N2062" s="898"/>
      <c r="O2062" s="1007"/>
      <c r="P2062" s="1008"/>
      <c r="Q2062" s="1360"/>
      <c r="R2062" s="899"/>
      <c r="S2062" s="899"/>
      <c r="T2062" s="1009"/>
      <c r="U2062" s="1010"/>
      <c r="V2062" s="983">
        <v>0</v>
      </c>
      <c r="W2062" s="1032"/>
      <c r="X2062" s="1033"/>
      <c r="Y2062" s="1034"/>
      <c r="Z2062" s="220"/>
      <c r="AA2062" s="15"/>
      <c r="AB2062" s="15"/>
      <c r="AC2062" s="15"/>
      <c r="AD2062" s="15"/>
      <c r="AE2062" s="15"/>
    </row>
    <row r="2063" spans="1:31" ht="15.75" hidden="1" outlineLevel="1">
      <c r="A2063" s="979">
        <v>2406010200</v>
      </c>
      <c r="B2063" s="980" t="s">
        <v>153</v>
      </c>
      <c r="C2063" s="1664" t="s">
        <v>106</v>
      </c>
      <c r="D2063" s="1671" t="s">
        <v>128</v>
      </c>
      <c r="E2063" s="1682"/>
      <c r="F2063" s="982"/>
      <c r="G2063" s="1286"/>
      <c r="H2063" s="857"/>
      <c r="I2063" s="1005"/>
      <c r="J2063" s="1398"/>
      <c r="K2063" s="1398"/>
      <c r="L2063" s="1006"/>
      <c r="M2063" s="1327"/>
      <c r="N2063" s="898"/>
      <c r="O2063" s="1007"/>
      <c r="P2063" s="1008"/>
      <c r="Q2063" s="1360"/>
      <c r="R2063" s="899"/>
      <c r="S2063" s="899"/>
      <c r="T2063" s="1009"/>
      <c r="U2063" s="1010"/>
      <c r="V2063" s="983">
        <v>0</v>
      </c>
      <c r="W2063" s="1032"/>
      <c r="X2063" s="1033"/>
      <c r="Y2063" s="1034"/>
      <c r="Z2063" s="220"/>
    </row>
    <row r="2064" spans="1:31" ht="15.75" collapsed="1" thickBot="1">
      <c r="A2064" s="55"/>
      <c r="B2064" s="509"/>
      <c r="C2064" s="1512"/>
      <c r="D2064" s="1538"/>
      <c r="E2064" s="1674"/>
      <c r="F2064" s="455"/>
      <c r="G2064" s="1280"/>
      <c r="H2064" s="456"/>
      <c r="I2064" s="457"/>
      <c r="J2064" s="1395"/>
      <c r="K2064" s="1395"/>
      <c r="L2064" s="458"/>
      <c r="M2064" s="1316"/>
      <c r="N2064" s="459"/>
      <c r="O2064" s="460"/>
      <c r="P2064" s="461"/>
      <c r="Q2064" s="1351"/>
      <c r="R2064" s="462"/>
      <c r="S2064" s="462"/>
      <c r="T2064" s="463"/>
      <c r="U2064" s="464"/>
      <c r="V2064" s="465"/>
      <c r="W2064" s="852"/>
      <c r="X2064" s="853"/>
      <c r="Y2064" s="854"/>
      <c r="Z2064" s="220"/>
    </row>
    <row r="2065" spans="1:31" s="252" customFormat="1" ht="19.5" thickBot="1">
      <c r="A2065" s="900" t="s">
        <v>154</v>
      </c>
      <c r="B2065" s="901"/>
      <c r="C2065" s="902"/>
      <c r="D2065" s="1688"/>
      <c r="E2065" s="1689"/>
      <c r="F2065" s="904">
        <f>SUM(F1988:F2064)</f>
        <v>147839.21</v>
      </c>
      <c r="G2065" s="1292"/>
      <c r="H2065" s="905"/>
      <c r="I2065" s="906">
        <f>SUM(I1988:I2064)</f>
        <v>1830415806.3209002</v>
      </c>
      <c r="J2065" s="1373"/>
      <c r="K2065" s="1373"/>
      <c r="L2065" s="907">
        <f>SUM(L1988:L2064)</f>
        <v>3501638.77</v>
      </c>
      <c r="M2065" s="1328"/>
      <c r="N2065" s="908"/>
      <c r="O2065" s="909">
        <f ca="1">SUM(O1988:O2064)</f>
        <v>16518410339.211</v>
      </c>
      <c r="P2065" s="910">
        <f>SUM(P1988:P2064)</f>
        <v>-431612.79000000004</v>
      </c>
      <c r="Q2065" s="1361"/>
      <c r="R2065" s="911"/>
      <c r="S2065" s="911"/>
      <c r="T2065" s="912">
        <f ca="1">SUM(T1988:T2064)</f>
        <v>-2071821577.1614001</v>
      </c>
      <c r="U2065" s="913">
        <f>SUM(U1988:U2064)</f>
        <v>3217865.19</v>
      </c>
      <c r="V2065" s="914">
        <f ca="1">SUM(V1988:V2064)</f>
        <v>16294202150.177999</v>
      </c>
      <c r="W2065" s="915">
        <f ca="1">SUM(W1988:W2064)</f>
        <v>41842212.276799917</v>
      </c>
      <c r="X2065" s="916">
        <f ca="1">SUM(X1988:X2064)</f>
        <v>-24644630.469300009</v>
      </c>
      <c r="Y2065" s="917"/>
      <c r="Z2065" s="1074"/>
      <c r="AA2065" s="364"/>
      <c r="AB2065" s="376"/>
      <c r="AC2065" s="376"/>
      <c r="AD2065" s="376"/>
      <c r="AE2065" s="376"/>
    </row>
    <row r="2066" spans="1:31">
      <c r="W2066" s="9">
        <v>0</v>
      </c>
      <c r="X2066" s="9"/>
      <c r="Y2066" s="345"/>
    </row>
    <row r="2067" spans="1:31" ht="15.75" thickBot="1">
      <c r="U2067" s="412"/>
      <c r="X2067" s="9"/>
      <c r="Y2067" s="345"/>
    </row>
    <row r="2068" spans="1:31" s="27" customFormat="1" ht="21">
      <c r="A2068" s="827" t="s">
        <v>155</v>
      </c>
      <c r="B2068" s="828"/>
      <c r="C2068" s="2581" t="s">
        <v>57</v>
      </c>
      <c r="D2068" s="2585" t="s">
        <v>59</v>
      </c>
      <c r="E2068" s="2583" t="s">
        <v>58</v>
      </c>
      <c r="F2068" s="2564" t="str">
        <f>+F6</f>
        <v>SALDO FISCAL 31/12/2022</v>
      </c>
      <c r="G2068" s="2565"/>
      <c r="H2068" s="2565"/>
      <c r="I2068" s="2566"/>
      <c r="J2068" s="2580" t="str">
        <f>J6</f>
        <v>Tasa Mon Extranj</v>
      </c>
      <c r="K2068" s="2568"/>
      <c r="L2068" s="2569" t="str">
        <f>+L6</f>
        <v>ENTRADAS</v>
      </c>
      <c r="M2068" s="2570"/>
      <c r="N2068" s="2570"/>
      <c r="O2068" s="2571"/>
      <c r="P2068" s="2572" t="str">
        <f>+P6</f>
        <v>SALIDAS</v>
      </c>
      <c r="Q2068" s="2573"/>
      <c r="R2068" s="2573"/>
      <c r="S2068" s="2573"/>
      <c r="T2068" s="2574"/>
      <c r="U2068" s="2575" t="s">
        <v>62</v>
      </c>
      <c r="V2068" s="2576"/>
      <c r="W2068" s="2577" t="s">
        <v>63</v>
      </c>
      <c r="X2068" s="2578"/>
      <c r="Y2068" s="2579"/>
      <c r="Z2068" s="44"/>
      <c r="AA2068" s="364"/>
      <c r="AB2068" s="364"/>
      <c r="AC2068" s="364"/>
      <c r="AD2068" s="364"/>
      <c r="AE2068" s="364"/>
    </row>
    <row r="2069" spans="1:31" s="216" customFormat="1" ht="15.75" thickBot="1">
      <c r="A2069" s="253" t="s">
        <v>87</v>
      </c>
      <c r="B2069" s="254" t="s">
        <v>88</v>
      </c>
      <c r="C2069" s="2582"/>
      <c r="D2069" s="2586"/>
      <c r="E2069" s="2584"/>
      <c r="F2069" s="30" t="str">
        <f>F7</f>
        <v>MON/EX</v>
      </c>
      <c r="G2069" s="1249" t="str">
        <f>G7</f>
        <v>USD</v>
      </c>
      <c r="H2069" s="31" t="str">
        <f>H7</f>
        <v>TRM CIERRE</v>
      </c>
      <c r="I2069" s="32" t="str">
        <f>I7</f>
        <v>SALDO PESOS</v>
      </c>
      <c r="J2069" s="1423" t="str">
        <f>J7</f>
        <v>Inicial</v>
      </c>
      <c r="K2069" s="1338" t="str">
        <f t="shared" ref="K2069:X2069" si="4112">K7</f>
        <v>Pago</v>
      </c>
      <c r="L2069" s="33" t="str">
        <f t="shared" si="4112"/>
        <v>ENTRADAS MON/EX</v>
      </c>
      <c r="M2069" s="1297" t="str">
        <f t="shared" si="4112"/>
        <v>USD</v>
      </c>
      <c r="N2069" s="34" t="str">
        <f t="shared" si="4112"/>
        <v>TRM INICIAL</v>
      </c>
      <c r="O2069" s="35" t="str">
        <f t="shared" si="4112"/>
        <v>ENTRADAS PESOS</v>
      </c>
      <c r="P2069" s="36" t="str">
        <f t="shared" si="4112"/>
        <v>PAGOS MON/EX</v>
      </c>
      <c r="Q2069" s="1338" t="str">
        <f t="shared" si="4112"/>
        <v>USD</v>
      </c>
      <c r="R2069" s="37" t="str">
        <f t="shared" si="4112"/>
        <v>TRM INICIAL</v>
      </c>
      <c r="S2069" s="37" t="str">
        <f t="shared" si="4112"/>
        <v>TRM PAGO</v>
      </c>
      <c r="T2069" s="38" t="str">
        <f t="shared" si="4112"/>
        <v>PAGO EN PESOS</v>
      </c>
      <c r="U2069" s="39" t="str">
        <f t="shared" si="4112"/>
        <v xml:space="preserve"> SALDO MON/EX</v>
      </c>
      <c r="V2069" s="40" t="str">
        <f t="shared" si="4112"/>
        <v>SALDO  PESOS</v>
      </c>
      <c r="W2069" s="41" t="str">
        <f t="shared" si="4112"/>
        <v>GASTO</v>
      </c>
      <c r="X2069" s="42" t="str">
        <f t="shared" si="4112"/>
        <v>INGRESO</v>
      </c>
      <c r="Y2069" s="43"/>
      <c r="Z2069" s="214"/>
      <c r="AA2069" s="366"/>
      <c r="AB2069" s="366"/>
      <c r="AC2069" s="366"/>
      <c r="AD2069" s="366"/>
      <c r="AE2069" s="366"/>
    </row>
    <row r="2070" spans="1:31" ht="15.75">
      <c r="A2070" s="961">
        <v>2406010300</v>
      </c>
      <c r="B2070" s="962" t="s">
        <v>77</v>
      </c>
      <c r="C2070" s="1465" t="s">
        <v>64</v>
      </c>
      <c r="D2070" s="1467">
        <v>1700000003</v>
      </c>
      <c r="E2070" s="1468">
        <v>43469</v>
      </c>
      <c r="F2070" s="964">
        <v>-353.05</v>
      </c>
      <c r="G2070" s="1250">
        <f t="shared" ref="G2070:G2084" si="4113">ROUND(F2070*J2070,2)</f>
        <v>-353.05</v>
      </c>
      <c r="H2070" s="47">
        <v>3241.2009600000001</v>
      </c>
      <c r="I2070" s="965">
        <f t="shared" ref="I2070:I2084" si="4114">+F2070*J2070*H2070</f>
        <v>-1144305.998928</v>
      </c>
      <c r="J2070" s="773">
        <v>1</v>
      </c>
      <c r="K2070" s="1377">
        <v>1</v>
      </c>
      <c r="L2070" s="964"/>
      <c r="M2070" s="1250">
        <f t="shared" ref="M2070" si="4115">+L2070*J2070</f>
        <v>0</v>
      </c>
      <c r="N2070" s="47"/>
      <c r="O2070" s="965">
        <f t="shared" ref="O2070" si="4116">+L2070*J2070*N2070</f>
        <v>0</v>
      </c>
      <c r="P2070" s="964"/>
      <c r="Q2070" s="1250">
        <f t="shared" ref="Q2070" si="4117">+P2070*K2070</f>
        <v>0</v>
      </c>
      <c r="R2070" s="47"/>
      <c r="S2070" s="47"/>
      <c r="T2070" s="965">
        <f t="shared" ref="T2070" si="4118">+P2070*K2070*S2070</f>
        <v>0</v>
      </c>
      <c r="U2070" s="959">
        <f t="shared" ref="U2070" si="4119">+L2070+P2070+F2070</f>
        <v>-353.05</v>
      </c>
      <c r="V2070" s="960">
        <f t="shared" ref="V2070" si="4120">+P2070*J2070*R2070+L2070*J2070*N2070+F2070*J2070*H2070</f>
        <v>-1144305.998928</v>
      </c>
      <c r="W2070" s="968">
        <f t="shared" ref="W2070:W2178" si="4121">-(IF(-P2070*J2070*R2070&lt;-P2070*K2070*S2070,(-P2070*J2070*R2070)-(-P2070*K2070*S2070),0))</f>
        <v>0</v>
      </c>
      <c r="X2070" s="966">
        <f t="shared" ref="X2070:X2178" si="4122">-(IF(-P2070*J2070*R2070&gt;-P2070*K2070*S2070,(-P2070*J2070*R2070)-(-P2070*K2070*S2070),0))</f>
        <v>0</v>
      </c>
      <c r="Y2070" s="967"/>
      <c r="Z2070" s="220"/>
      <c r="AA2070" s="355"/>
      <c r="AB2070" s="355"/>
      <c r="AC2070" s="355"/>
      <c r="AD2070" s="333"/>
      <c r="AE2070" s="333"/>
    </row>
    <row r="2071" spans="1:31" s="401" customFormat="1" outlineLevel="1">
      <c r="A2071" s="984">
        <v>2406010300</v>
      </c>
      <c r="B2071" s="985"/>
      <c r="C2071" s="1662" t="s">
        <v>64</v>
      </c>
      <c r="D2071" s="1667"/>
      <c r="E2071" s="1668"/>
      <c r="F2071" s="988"/>
      <c r="G2071" s="1287"/>
      <c r="H2071" s="335"/>
      <c r="I2071" s="989"/>
      <c r="J2071" s="991">
        <v>1</v>
      </c>
      <c r="K2071" s="1460">
        <v>1</v>
      </c>
      <c r="L2071" s="991"/>
      <c r="M2071" s="1330">
        <f>+L2071*J2071</f>
        <v>0</v>
      </c>
      <c r="N2071" s="337"/>
      <c r="O2071" s="990">
        <f>+L2071*J2071*N2071</f>
        <v>0</v>
      </c>
      <c r="P2071" s="991"/>
      <c r="Q2071" s="1330">
        <f>+P2071*K2071</f>
        <v>0</v>
      </c>
      <c r="R2071" s="337">
        <f>H2070</f>
        <v>3241.2009600000001</v>
      </c>
      <c r="S2071" s="337"/>
      <c r="T2071" s="990">
        <f>+P2071*K2071*S2071</f>
        <v>0</v>
      </c>
      <c r="U2071" s="992">
        <f>+L2071+P2071+F2071</f>
        <v>0</v>
      </c>
      <c r="V2071" s="990">
        <f>+P2071*J2071*R2071+L2071*J2071*N2071+F2071*J2071*H2071</f>
        <v>0</v>
      </c>
      <c r="W2071" s="993">
        <f>-(IF(-P2071*J2071*R2071&lt;-P2071*K2071*S2071,(-P2071*J2071*R2071)-(-P2071*K2071*S2071),0))</f>
        <v>0</v>
      </c>
      <c r="X2071" s="994">
        <f>-(IF(-P2071*J2071*R2071&gt;-P2071*K2071*S2071,(-P2071*J2071*R2071)-(-P2071*K2071*S2071),0))</f>
        <v>0</v>
      </c>
      <c r="Y2071" s="995"/>
      <c r="Z2071" s="220"/>
      <c r="AA2071" s="15"/>
      <c r="AB2071" s="15"/>
      <c r="AC2071" s="15"/>
      <c r="AD2071" s="333"/>
      <c r="AE2071" s="333"/>
    </row>
    <row r="2072" spans="1:31" ht="15.75">
      <c r="A2072" s="961">
        <v>2406010300</v>
      </c>
      <c r="B2072" s="962" t="s">
        <v>293</v>
      </c>
      <c r="C2072" s="1465" t="s">
        <v>64</v>
      </c>
      <c r="D2072" s="1467">
        <v>1700000151</v>
      </c>
      <c r="E2072" s="1468">
        <v>44469</v>
      </c>
      <c r="F2072" s="964">
        <v>-1744910.46</v>
      </c>
      <c r="G2072" s="1250">
        <f t="shared" ref="G2072:G2073" si="4123">ROUND(F2072*J2072,2)</f>
        <v>-1744910.46</v>
      </c>
      <c r="H2072" s="47">
        <v>3834.68</v>
      </c>
      <c r="I2072" s="965">
        <f t="shared" ref="I2072:I2073" si="4124">+F2072*J2072*H2072</f>
        <v>-6691173242.7528</v>
      </c>
      <c r="J2072" s="964">
        <v>1</v>
      </c>
      <c r="K2072" s="1454">
        <v>1</v>
      </c>
      <c r="L2072" s="964"/>
      <c r="M2072" s="1250">
        <f t="shared" ref="M2072:M2073" si="4125">+L2072*J2072</f>
        <v>0</v>
      </c>
      <c r="N2072" s="47"/>
      <c r="O2072" s="965">
        <f t="shared" ref="O2072:O2073" si="4126">+L2072*J2072*N2072</f>
        <v>0</v>
      </c>
      <c r="P2072" s="964"/>
      <c r="Q2072" s="1250">
        <f t="shared" ref="Q2072:Q2073" si="4127">+P2072*K2072</f>
        <v>0</v>
      </c>
      <c r="R2072" s="47"/>
      <c r="S2072" s="47"/>
      <c r="T2072" s="965">
        <f t="shared" ref="T2072:T2073" si="4128">+P2072*K2072*S2072</f>
        <v>0</v>
      </c>
      <c r="U2072" s="354">
        <f t="shared" ref="U2072:U2073" si="4129">+L2072+P2072+F2072</f>
        <v>-1744910.46</v>
      </c>
      <c r="V2072" s="2277">
        <f t="shared" ref="V2072:V2073" si="4130">+P2072*J2072*R2072+L2072*J2072*N2072+F2072*J2072*H2072</f>
        <v>-6691173242.7528</v>
      </c>
      <c r="W2072" s="968">
        <f t="shared" ref="W2072:W2073" si="4131">-(IF(-P2072*J2072*R2072&lt;-P2072*K2072*S2072,(-P2072*J2072*R2072)-(-P2072*K2072*S2072),0))</f>
        <v>0</v>
      </c>
      <c r="X2072" s="966">
        <f t="shared" ref="X2072:X2073" si="4132">-(IF(-P2072*J2072*R2072&gt;-P2072*K2072*S2072,(-P2072*J2072*R2072)-(-P2072*K2072*S2072),0))</f>
        <v>0</v>
      </c>
      <c r="Y2072" s="967"/>
      <c r="Z2072" s="220"/>
      <c r="AA2072" s="355"/>
      <c r="AB2072" s="355"/>
      <c r="AC2072" s="355"/>
      <c r="AD2072" s="333"/>
      <c r="AE2072" s="333"/>
    </row>
    <row r="2073" spans="1:31" ht="15.75">
      <c r="A2073" s="961">
        <v>2406010300</v>
      </c>
      <c r="B2073" s="962" t="s">
        <v>293</v>
      </c>
      <c r="C2073" s="1465" t="s">
        <v>64</v>
      </c>
      <c r="D2073" s="1467">
        <v>1700000151</v>
      </c>
      <c r="E2073" s="1468">
        <v>44469</v>
      </c>
      <c r="F2073" s="964">
        <v>1744909.97</v>
      </c>
      <c r="G2073" s="1250">
        <f t="shared" si="4123"/>
        <v>1744909.97</v>
      </c>
      <c r="H2073" s="47">
        <v>3834.68</v>
      </c>
      <c r="I2073" s="965">
        <f t="shared" si="4124"/>
        <v>6691171363.7595997</v>
      </c>
      <c r="J2073" s="964">
        <v>1</v>
      </c>
      <c r="K2073" s="1454">
        <v>1</v>
      </c>
      <c r="L2073" s="964"/>
      <c r="M2073" s="1250">
        <f t="shared" si="4125"/>
        <v>0</v>
      </c>
      <c r="N2073" s="47"/>
      <c r="O2073" s="965">
        <f t="shared" si="4126"/>
        <v>0</v>
      </c>
      <c r="P2073" s="964"/>
      <c r="Q2073" s="1250">
        <f t="shared" si="4127"/>
        <v>0</v>
      </c>
      <c r="R2073" s="47"/>
      <c r="S2073" s="47"/>
      <c r="T2073" s="965">
        <f t="shared" si="4128"/>
        <v>0</v>
      </c>
      <c r="U2073" s="354">
        <f t="shared" si="4129"/>
        <v>1744909.97</v>
      </c>
      <c r="V2073" s="2277">
        <f t="shared" si="4130"/>
        <v>6691171363.7595997</v>
      </c>
      <c r="W2073" s="968">
        <f t="shared" si="4131"/>
        <v>0</v>
      </c>
      <c r="X2073" s="966">
        <f t="shared" si="4132"/>
        <v>0</v>
      </c>
      <c r="Y2073" s="967"/>
      <c r="Z2073" s="220"/>
      <c r="AA2073" s="355"/>
      <c r="AB2073" s="355"/>
      <c r="AC2073" s="355"/>
      <c r="AD2073" s="333"/>
      <c r="AE2073" s="333"/>
    </row>
    <row r="2074" spans="1:31" ht="15.75" outlineLevel="1">
      <c r="A2074" s="961">
        <v>2406010300</v>
      </c>
      <c r="B2074" s="962"/>
      <c r="C2074" s="1465" t="s">
        <v>64</v>
      </c>
      <c r="D2074" s="1467"/>
      <c r="E2074" s="1468"/>
      <c r="F2074" s="964"/>
      <c r="G2074" s="1250">
        <f t="shared" si="4113"/>
        <v>0</v>
      </c>
      <c r="H2074" s="47"/>
      <c r="I2074" s="965">
        <f t="shared" si="4114"/>
        <v>0</v>
      </c>
      <c r="J2074" s="964">
        <v>1</v>
      </c>
      <c r="K2074" s="1454">
        <v>1</v>
      </c>
      <c r="L2074" s="964"/>
      <c r="M2074" s="1250">
        <f t="shared" ref="M2074:M2084" si="4133">+L2074*J2074</f>
        <v>0</v>
      </c>
      <c r="N2074" s="47"/>
      <c r="O2074" s="965">
        <f t="shared" ref="O2074:O2084" si="4134">+L2074*J2074*N2074</f>
        <v>0</v>
      </c>
      <c r="P2074" s="964"/>
      <c r="Q2074" s="1250">
        <f t="shared" ref="Q2074:Q2084" si="4135">+P2074*K2074</f>
        <v>0</v>
      </c>
      <c r="R2074" s="47"/>
      <c r="S2074" s="47"/>
      <c r="T2074" s="965">
        <f t="shared" ref="T2074:T2084" si="4136">+P2074*K2074*S2074</f>
        <v>0</v>
      </c>
      <c r="U2074" s="959">
        <f t="shared" ref="U2074:U2084" si="4137">+L2074+P2074+F2074</f>
        <v>0</v>
      </c>
      <c r="V2074" s="960">
        <f t="shared" ref="V2074:V2084" si="4138">+P2074*J2074*R2074+L2074*J2074*N2074+F2074*J2074*H2074</f>
        <v>0</v>
      </c>
      <c r="W2074" s="968">
        <f t="shared" si="4121"/>
        <v>0</v>
      </c>
      <c r="X2074" s="966">
        <f t="shared" si="4122"/>
        <v>0</v>
      </c>
      <c r="Y2074" s="967"/>
      <c r="Z2074" s="220"/>
      <c r="AA2074" s="355"/>
      <c r="AB2074" s="355"/>
      <c r="AC2074" s="355"/>
      <c r="AD2074" s="333"/>
      <c r="AE2074" s="333"/>
    </row>
    <row r="2075" spans="1:31" ht="15.75" outlineLevel="1">
      <c r="A2075" s="961">
        <v>2406010300</v>
      </c>
      <c r="B2075" s="962" t="s">
        <v>1461</v>
      </c>
      <c r="C2075" s="1465" t="s">
        <v>64</v>
      </c>
      <c r="D2075" s="1467">
        <v>1700000175</v>
      </c>
      <c r="E2075" s="1468">
        <v>44469</v>
      </c>
      <c r="F2075" s="964">
        <v>1744910.46</v>
      </c>
      <c r="G2075" s="1250">
        <f t="shared" si="4113"/>
        <v>1744910.46</v>
      </c>
      <c r="H2075" s="47">
        <v>3834.68</v>
      </c>
      <c r="I2075" s="965">
        <f t="shared" si="4114"/>
        <v>6691173242.7528</v>
      </c>
      <c r="J2075" s="964">
        <v>1</v>
      </c>
      <c r="K2075" s="1454">
        <v>1</v>
      </c>
      <c r="L2075" s="964"/>
      <c r="M2075" s="1250">
        <f t="shared" si="4133"/>
        <v>0</v>
      </c>
      <c r="N2075" s="47"/>
      <c r="O2075" s="965">
        <f t="shared" si="4134"/>
        <v>0</v>
      </c>
      <c r="P2075" s="964"/>
      <c r="Q2075" s="1250">
        <f t="shared" si="4135"/>
        <v>0</v>
      </c>
      <c r="R2075" s="47"/>
      <c r="S2075" s="47"/>
      <c r="T2075" s="965">
        <f t="shared" si="4136"/>
        <v>0</v>
      </c>
      <c r="U2075" s="959">
        <f t="shared" si="4137"/>
        <v>1744910.46</v>
      </c>
      <c r="V2075" s="960">
        <f t="shared" si="4138"/>
        <v>6691173242.7528</v>
      </c>
      <c r="W2075" s="968">
        <f t="shared" si="4121"/>
        <v>0</v>
      </c>
      <c r="X2075" s="966">
        <f t="shared" si="4122"/>
        <v>0</v>
      </c>
      <c r="Y2075" s="967"/>
      <c r="Z2075" s="220"/>
      <c r="AA2075" s="355"/>
      <c r="AB2075" s="355"/>
      <c r="AC2075" s="355"/>
      <c r="AD2075" s="333"/>
      <c r="AE2075" s="333"/>
    </row>
    <row r="2076" spans="1:31" ht="15.75" outlineLevel="1">
      <c r="A2076" s="961">
        <v>2406010300</v>
      </c>
      <c r="B2076" s="962" t="s">
        <v>1461</v>
      </c>
      <c r="C2076" s="1465" t="s">
        <v>64</v>
      </c>
      <c r="D2076" s="1467">
        <v>1700000176</v>
      </c>
      <c r="E2076" s="1468">
        <v>44510</v>
      </c>
      <c r="F2076" s="964">
        <v>8658.48</v>
      </c>
      <c r="G2076" s="1250">
        <f t="shared" ref="G2076:G2080" si="4139">ROUND(F2076*J2076,2)</f>
        <v>8658.48</v>
      </c>
      <c r="H2076" s="47">
        <v>3876.86</v>
      </c>
      <c r="I2076" s="965">
        <f t="shared" ref="I2076:I2080" si="4140">+F2076*J2076*H2076</f>
        <v>33567714.772799999</v>
      </c>
      <c r="J2076" s="964">
        <v>1</v>
      </c>
      <c r="K2076" s="1454">
        <v>1</v>
      </c>
      <c r="L2076" s="964"/>
      <c r="M2076" s="1250">
        <f t="shared" ref="M2076:M2080" si="4141">+L2076*J2076</f>
        <v>0</v>
      </c>
      <c r="N2076" s="47"/>
      <c r="O2076" s="965">
        <f t="shared" ref="O2076:O2080" si="4142">+L2076*J2076*N2076</f>
        <v>0</v>
      </c>
      <c r="P2076" s="964"/>
      <c r="Q2076" s="1250">
        <f t="shared" ref="Q2076:Q2080" si="4143">+P2076*K2076</f>
        <v>0</v>
      </c>
      <c r="R2076" s="47"/>
      <c r="S2076" s="47"/>
      <c r="T2076" s="965">
        <f t="shared" ref="T2076:T2080" si="4144">+P2076*K2076*S2076</f>
        <v>0</v>
      </c>
      <c r="U2076" s="959">
        <f t="shared" ref="U2076:U2080" si="4145">+L2076+P2076+F2076</f>
        <v>8658.48</v>
      </c>
      <c r="V2076" s="960">
        <f t="shared" ref="V2076:V2080" si="4146">+P2076*J2076*R2076+L2076*J2076*N2076+F2076*J2076*H2076</f>
        <v>33567714.772799999</v>
      </c>
      <c r="W2076" s="968">
        <f t="shared" ref="W2076:W2080" si="4147">-(IF(-P2076*J2076*R2076&lt;-P2076*K2076*S2076,(-P2076*J2076*R2076)-(-P2076*K2076*S2076),0))</f>
        <v>0</v>
      </c>
      <c r="X2076" s="966">
        <f t="shared" ref="X2076:X2080" si="4148">-(IF(-P2076*J2076*R2076&gt;-P2076*K2076*S2076,(-P2076*J2076*R2076)-(-P2076*K2076*S2076),0))</f>
        <v>0</v>
      </c>
      <c r="Y2076" s="967"/>
      <c r="Z2076" s="220"/>
      <c r="AA2076" s="355"/>
      <c r="AB2076" s="355"/>
      <c r="AC2076" s="355"/>
      <c r="AD2076" s="333"/>
      <c r="AE2076" s="333"/>
    </row>
    <row r="2077" spans="1:31" ht="15.75" outlineLevel="1">
      <c r="A2077" s="961">
        <v>2406010300</v>
      </c>
      <c r="B2077" s="962" t="s">
        <v>1461</v>
      </c>
      <c r="C2077" s="1465" t="s">
        <v>64</v>
      </c>
      <c r="D2077" s="1467">
        <v>1700000177</v>
      </c>
      <c r="E2077" s="1468">
        <v>44533</v>
      </c>
      <c r="F2077" s="964">
        <v>16085.7</v>
      </c>
      <c r="G2077" s="1250">
        <f t="shared" si="4139"/>
        <v>16085.7</v>
      </c>
      <c r="H2077" s="47">
        <v>3945.18</v>
      </c>
      <c r="I2077" s="965">
        <f t="shared" si="4140"/>
        <v>63460981.925999999</v>
      </c>
      <c r="J2077" s="964">
        <v>1</v>
      </c>
      <c r="K2077" s="1454">
        <v>1</v>
      </c>
      <c r="L2077" s="964"/>
      <c r="M2077" s="1250">
        <f t="shared" si="4141"/>
        <v>0</v>
      </c>
      <c r="N2077" s="47"/>
      <c r="O2077" s="965">
        <f t="shared" si="4142"/>
        <v>0</v>
      </c>
      <c r="P2077" s="964"/>
      <c r="Q2077" s="1250">
        <f t="shared" si="4143"/>
        <v>0</v>
      </c>
      <c r="R2077" s="47"/>
      <c r="S2077" s="47"/>
      <c r="T2077" s="965">
        <f t="shared" si="4144"/>
        <v>0</v>
      </c>
      <c r="U2077" s="959">
        <f t="shared" si="4145"/>
        <v>16085.7</v>
      </c>
      <c r="V2077" s="960">
        <f t="shared" si="4146"/>
        <v>63460981.925999999</v>
      </c>
      <c r="W2077" s="968">
        <f t="shared" si="4147"/>
        <v>0</v>
      </c>
      <c r="X2077" s="966">
        <f t="shared" si="4148"/>
        <v>0</v>
      </c>
      <c r="Y2077" s="967"/>
      <c r="Z2077" s="220"/>
      <c r="AA2077" s="355"/>
      <c r="AB2077" s="355"/>
      <c r="AC2077" s="355"/>
      <c r="AD2077" s="333"/>
      <c r="AE2077" s="333"/>
    </row>
    <row r="2078" spans="1:31" ht="15.75" outlineLevel="1">
      <c r="A2078" s="961">
        <v>2406010300</v>
      </c>
      <c r="B2078" s="962" t="s">
        <v>1366</v>
      </c>
      <c r="C2078" s="1465" t="s">
        <v>64</v>
      </c>
      <c r="D2078" s="1467">
        <v>100071220</v>
      </c>
      <c r="E2078" s="1468">
        <v>44900</v>
      </c>
      <c r="F2078" s="964">
        <v>-1769654.15</v>
      </c>
      <c r="G2078" s="1250">
        <f>ROUND(F2078*J2078,2)</f>
        <v>-1769654.15</v>
      </c>
      <c r="H2078" s="47">
        <v>4767.1899999999996</v>
      </c>
      <c r="I2078" s="965">
        <f>+F2078*J2078*H2078</f>
        <v>-8436277567.3384991</v>
      </c>
      <c r="J2078" s="964">
        <v>1</v>
      </c>
      <c r="K2078" s="1454">
        <v>1</v>
      </c>
      <c r="L2078" s="964"/>
      <c r="M2078" s="1250">
        <f>+L2078*J2078</f>
        <v>0</v>
      </c>
      <c r="N2078" s="47"/>
      <c r="O2078" s="965">
        <f>+L2078*J2078*N2078</f>
        <v>0</v>
      </c>
      <c r="P2078" s="964"/>
      <c r="Q2078" s="1250">
        <f>+P2078*K2078</f>
        <v>0</v>
      </c>
      <c r="R2078" s="47"/>
      <c r="S2078" s="47"/>
      <c r="T2078" s="965">
        <f>+P2078*K2078*S2078</f>
        <v>0</v>
      </c>
      <c r="U2078" s="959">
        <f>+L2078+P2078+F2078</f>
        <v>-1769654.15</v>
      </c>
      <c r="V2078" s="960">
        <f>+P2078*J2078*R2078+L2078*J2078*N2078+F2078*J2078*H2078</f>
        <v>-8436277567.3384991</v>
      </c>
      <c r="W2078" s="968">
        <f>-(IF(-P2078*J2078*R2078&lt;-P2078*K2078*S2078,(-P2078*J2078*R2078)-(-P2078*K2078*S2078),0))</f>
        <v>0</v>
      </c>
      <c r="X2078" s="966">
        <f>-(IF(-P2078*J2078*R2078&gt;-P2078*K2078*S2078,(-P2078*J2078*R2078)-(-P2078*K2078*S2078),0))</f>
        <v>0</v>
      </c>
      <c r="Y2078" s="967"/>
      <c r="Z2078" s="220"/>
      <c r="AA2078" s="355"/>
      <c r="AB2078" s="355"/>
      <c r="AC2078" s="355"/>
      <c r="AD2078" s="333"/>
      <c r="AE2078" s="333"/>
    </row>
    <row r="2079" spans="1:31" ht="15.75" outlineLevel="1">
      <c r="A2079" s="961">
        <v>2406010300</v>
      </c>
      <c r="B2079" s="962" t="s">
        <v>1460</v>
      </c>
      <c r="C2079" s="1465" t="s">
        <v>64</v>
      </c>
      <c r="D2079" s="1467">
        <v>100071220</v>
      </c>
      <c r="E2079" s="1468">
        <v>44900</v>
      </c>
      <c r="F2079" s="964">
        <v>1769654.15</v>
      </c>
      <c r="G2079" s="1250">
        <f>ROUND(F2079*J2079,2)</f>
        <v>1769654.15</v>
      </c>
      <c r="H2079" s="47">
        <v>4767.1899999999996</v>
      </c>
      <c r="I2079" s="965">
        <f>+F2079*J2079*H2079</f>
        <v>8436277567.3384991</v>
      </c>
      <c r="J2079" s="964">
        <v>1</v>
      </c>
      <c r="K2079" s="1454">
        <v>1</v>
      </c>
      <c r="L2079" s="964"/>
      <c r="M2079" s="1250">
        <f>+L2079*J2079</f>
        <v>0</v>
      </c>
      <c r="N2079" s="47"/>
      <c r="O2079" s="965">
        <f>+L2079*J2079*N2079</f>
        <v>0</v>
      </c>
      <c r="P2079" s="964"/>
      <c r="Q2079" s="1250">
        <f>+P2079*K2079</f>
        <v>0</v>
      </c>
      <c r="R2079" s="47"/>
      <c r="S2079" s="47"/>
      <c r="T2079" s="965">
        <f>+P2079*K2079*S2079</f>
        <v>0</v>
      </c>
      <c r="U2079" s="959">
        <f>+L2079+P2079+F2079</f>
        <v>1769654.15</v>
      </c>
      <c r="V2079" s="960">
        <f>+P2079*J2079*R2079+L2079*J2079*N2079+F2079*J2079*H2079</f>
        <v>8436277567.3384991</v>
      </c>
      <c r="W2079" s="968">
        <f>-(IF(-P2079*J2079*R2079&lt;-P2079*K2079*S2079,(-P2079*J2079*R2079)-(-P2079*K2079*S2079),0))</f>
        <v>0</v>
      </c>
      <c r="X2079" s="966">
        <f>-(IF(-P2079*J2079*R2079&gt;-P2079*K2079*S2079,(-P2079*J2079*R2079)-(-P2079*K2079*S2079),0))</f>
        <v>0</v>
      </c>
      <c r="Y2079" s="967"/>
      <c r="Z2079" s="220"/>
      <c r="AA2079" s="355"/>
      <c r="AB2079" s="355"/>
      <c r="AC2079" s="355"/>
      <c r="AD2079" s="333"/>
      <c r="AE2079" s="333"/>
    </row>
    <row r="2080" spans="1:31" ht="15.75" outlineLevel="1">
      <c r="A2080" s="961">
        <v>2406010300</v>
      </c>
      <c r="B2080" s="962" t="s">
        <v>1459</v>
      </c>
      <c r="C2080" s="1465" t="s">
        <v>64</v>
      </c>
      <c r="D2080" s="1467">
        <v>5100010168</v>
      </c>
      <c r="E2080" s="1468">
        <v>44902</v>
      </c>
      <c r="F2080" s="964">
        <v>2993.76</v>
      </c>
      <c r="G2080" s="1250">
        <f t="shared" si="4139"/>
        <v>2993.76</v>
      </c>
      <c r="H2080" s="47">
        <v>4818.32</v>
      </c>
      <c r="I2080" s="965">
        <f t="shared" si="4140"/>
        <v>14424893.6832</v>
      </c>
      <c r="J2080" s="964">
        <v>1</v>
      </c>
      <c r="K2080" s="1454">
        <v>1</v>
      </c>
      <c r="L2080" s="964"/>
      <c r="M2080" s="1250">
        <f t="shared" si="4141"/>
        <v>0</v>
      </c>
      <c r="N2080" s="47"/>
      <c r="O2080" s="965">
        <f t="shared" si="4142"/>
        <v>0</v>
      </c>
      <c r="P2080" s="964"/>
      <c r="Q2080" s="1250">
        <f t="shared" si="4143"/>
        <v>0</v>
      </c>
      <c r="R2080" s="47"/>
      <c r="S2080" s="47"/>
      <c r="T2080" s="965">
        <f t="shared" si="4144"/>
        <v>0</v>
      </c>
      <c r="U2080" s="959">
        <f t="shared" si="4145"/>
        <v>2993.76</v>
      </c>
      <c r="V2080" s="960">
        <f t="shared" si="4146"/>
        <v>14424893.6832</v>
      </c>
      <c r="W2080" s="968">
        <f t="shared" si="4147"/>
        <v>0</v>
      </c>
      <c r="X2080" s="966">
        <f t="shared" si="4148"/>
        <v>0</v>
      </c>
      <c r="Y2080" s="967"/>
      <c r="Z2080" s="220"/>
      <c r="AA2080" s="355"/>
      <c r="AB2080" s="355"/>
      <c r="AC2080" s="355"/>
      <c r="AD2080" s="333"/>
      <c r="AE2080" s="333"/>
    </row>
    <row r="2081" spans="1:31" s="401" customFormat="1" outlineLevel="1">
      <c r="A2081" s="984">
        <v>2406010300</v>
      </c>
      <c r="B2081" s="985"/>
      <c r="C2081" s="1662" t="s">
        <v>64</v>
      </c>
      <c r="D2081" s="1667">
        <v>2000000335</v>
      </c>
      <c r="E2081" s="1668">
        <v>44932</v>
      </c>
      <c r="F2081" s="988"/>
      <c r="G2081" s="1287"/>
      <c r="H2081" s="335"/>
      <c r="I2081" s="989"/>
      <c r="J2081" s="991">
        <v>1</v>
      </c>
      <c r="K2081" s="1460">
        <v>1</v>
      </c>
      <c r="L2081" s="991"/>
      <c r="M2081" s="1330">
        <f t="shared" ref="M2081" si="4149">+L2081*J2081</f>
        <v>0</v>
      </c>
      <c r="N2081" s="337"/>
      <c r="O2081" s="990">
        <f t="shared" ref="O2081" si="4150">+L2081*J2081*N2081</f>
        <v>0</v>
      </c>
      <c r="P2081" s="991">
        <f>-F2079</f>
        <v>-1769654.15</v>
      </c>
      <c r="Q2081" s="1330">
        <f t="shared" ref="Q2081" si="4151">+P2081*K2081</f>
        <v>-1769654.15</v>
      </c>
      <c r="R2081" s="337">
        <f>+H2080</f>
        <v>4818.32</v>
      </c>
      <c r="S2081" s="337">
        <f ca="1">IF(OR(E2081="",E2081&gt;TODAY()),0,IF(ISERROR(VLOOKUP($E2081,'TRM BanRep'!$A:$G,7,0)),0,VLOOKUP($E2081,'TRM BanRep'!$A:$G,7,0)))</f>
        <v>4989.58</v>
      </c>
      <c r="T2081" s="990">
        <f t="shared" ref="T2081" ca="1" si="4152">+P2081*K2081*S2081</f>
        <v>-8829830953.757</v>
      </c>
      <c r="U2081" s="992">
        <f t="shared" ref="U2081" si="4153">+L2081+P2081+F2081</f>
        <v>-1769654.15</v>
      </c>
      <c r="V2081" s="990">
        <f t="shared" ref="V2081" si="4154">+P2081*J2081*R2081+L2081*J2081*N2081+F2081*J2081*H2081</f>
        <v>-8526759984.0279989</v>
      </c>
      <c r="W2081" s="993">
        <f t="shared" ref="W2081" ca="1" si="4155">-(IF(-P2081*J2081*R2081&lt;-P2081*K2081*S2081,(-P2081*J2081*R2081)-(-P2081*K2081*S2081),0))</f>
        <v>303070969.72900105</v>
      </c>
      <c r="X2081" s="994">
        <f t="shared" ref="X2081" ca="1" si="4156">-(IF(-P2081*J2081*R2081&gt;-P2081*K2081*S2081,(-P2081*J2081*R2081)-(-P2081*K2081*S2081),0))</f>
        <v>0</v>
      </c>
      <c r="Y2081" s="995"/>
      <c r="Z2081" s="220"/>
      <c r="AA2081" s="15"/>
      <c r="AB2081" s="15"/>
      <c r="AC2081" s="15"/>
      <c r="AD2081" s="333"/>
      <c r="AE2081" s="333"/>
    </row>
    <row r="2082" spans="1:31" s="401" customFormat="1" outlineLevel="1">
      <c r="A2082" s="984">
        <v>2406010300</v>
      </c>
      <c r="B2082" s="985"/>
      <c r="C2082" s="1662" t="s">
        <v>64</v>
      </c>
      <c r="D2082" s="1667">
        <v>2000000073</v>
      </c>
      <c r="E2082" s="1668">
        <v>44930</v>
      </c>
      <c r="F2082" s="988"/>
      <c r="G2082" s="1287"/>
      <c r="H2082" s="335"/>
      <c r="I2082" s="989"/>
      <c r="J2082" s="991">
        <v>1</v>
      </c>
      <c r="K2082" s="1460">
        <v>1</v>
      </c>
      <c r="L2082" s="991"/>
      <c r="M2082" s="1330">
        <f t="shared" ref="M2082" si="4157">+L2082*J2082</f>
        <v>0</v>
      </c>
      <c r="N2082" s="337"/>
      <c r="O2082" s="990">
        <f t="shared" ref="O2082" si="4158">+L2082*J2082*N2082</f>
        <v>0</v>
      </c>
      <c r="P2082" s="991">
        <f>-F2080</f>
        <v>-2993.76</v>
      </c>
      <c r="Q2082" s="1330">
        <f t="shared" ref="Q2082" si="4159">+P2082*K2082</f>
        <v>-2993.76</v>
      </c>
      <c r="R2082" s="337">
        <f>+H2080</f>
        <v>4818.32</v>
      </c>
      <c r="S2082" s="337">
        <f ca="1">IF(OR(E2082="",E2082&gt;TODAY()),0,IF(ISERROR(VLOOKUP($E2082,'TRM BanRep'!$A:$G,7,0)),0,VLOOKUP($E2082,'TRM BanRep'!$A:$G,7,0)))</f>
        <v>4842.26</v>
      </c>
      <c r="T2082" s="990">
        <f t="shared" ref="T2082" ca="1" si="4160">+P2082*K2082*S2082</f>
        <v>-14496564.297600001</v>
      </c>
      <c r="U2082" s="992">
        <f t="shared" ref="U2082" si="4161">+L2082+P2082+F2082</f>
        <v>-2993.76</v>
      </c>
      <c r="V2082" s="990">
        <f t="shared" ref="V2082" si="4162">+P2082*J2082*R2082+L2082*J2082*N2082+F2082*J2082*H2082</f>
        <v>-14424893.6832</v>
      </c>
      <c r="W2082" s="993">
        <f t="shared" ref="W2082" ca="1" si="4163">-(IF(-P2082*J2082*R2082&lt;-P2082*K2082*S2082,(-P2082*J2082*R2082)-(-P2082*K2082*S2082),0))</f>
        <v>71670.614400001243</v>
      </c>
      <c r="X2082" s="994">
        <f t="shared" ref="X2082" ca="1" si="4164">-(IF(-P2082*J2082*R2082&gt;-P2082*K2082*S2082,(-P2082*J2082*R2082)-(-P2082*K2082*S2082),0))</f>
        <v>0</v>
      </c>
      <c r="Y2082" s="995"/>
      <c r="Z2082" s="220"/>
      <c r="AA2082" s="15"/>
      <c r="AB2082" s="15"/>
      <c r="AC2082" s="15"/>
      <c r="AD2082" s="333"/>
      <c r="AE2082" s="333"/>
    </row>
    <row r="2083" spans="1:31" ht="15.75">
      <c r="A2083" s="961">
        <v>2406010300</v>
      </c>
      <c r="B2083" s="962"/>
      <c r="C2083" s="1465"/>
      <c r="D2083" s="1467"/>
      <c r="E2083" s="1468"/>
      <c r="F2083" s="964"/>
      <c r="G2083" s="1250">
        <f t="shared" ref="G2083" si="4165">ROUND(F2083*J2083,2)</f>
        <v>0</v>
      </c>
      <c r="H2083" s="47"/>
      <c r="I2083" s="965">
        <f t="shared" ref="I2083" si="4166">+F2083*J2083*H2083</f>
        <v>0</v>
      </c>
      <c r="J2083" s="964">
        <v>1</v>
      </c>
      <c r="K2083" s="1454">
        <v>1</v>
      </c>
      <c r="L2083" s="964"/>
      <c r="M2083" s="1250">
        <f t="shared" ref="M2083" si="4167">+L2083*J2083</f>
        <v>0</v>
      </c>
      <c r="N2083" s="47"/>
      <c r="O2083" s="965">
        <f t="shared" ref="O2083" si="4168">+L2083*J2083*N2083</f>
        <v>0</v>
      </c>
      <c r="P2083" s="964"/>
      <c r="Q2083" s="1250">
        <f t="shared" ref="Q2083" si="4169">+P2083*K2083</f>
        <v>0</v>
      </c>
      <c r="R2083" s="47"/>
      <c r="S2083" s="47"/>
      <c r="T2083" s="965">
        <f t="shared" ref="T2083" si="4170">+P2083*K2083*S2083</f>
        <v>0</v>
      </c>
      <c r="U2083" s="354">
        <f t="shared" ref="U2083" si="4171">+L2083+P2083+F2083</f>
        <v>0</v>
      </c>
      <c r="V2083" s="2277">
        <f t="shared" ref="V2083" si="4172">+P2083*J2083*R2083+L2083*J2083*N2083+F2083*J2083*H2083</f>
        <v>0</v>
      </c>
      <c r="W2083" s="968">
        <f t="shared" ref="W2083" si="4173">-(IF(-P2083*J2083*R2083&lt;-P2083*K2083*S2083,(-P2083*J2083*R2083)-(-P2083*K2083*S2083),0))</f>
        <v>0</v>
      </c>
      <c r="X2083" s="966">
        <f t="shared" ref="X2083" si="4174">-(IF(-P2083*J2083*R2083&gt;-P2083*K2083*S2083,(-P2083*J2083*R2083)-(-P2083*K2083*S2083),0))</f>
        <v>0</v>
      </c>
      <c r="Y2083" s="967"/>
      <c r="Z2083" s="220"/>
      <c r="AA2083" s="355"/>
      <c r="AB2083" s="355"/>
      <c r="AC2083" s="355"/>
      <c r="AD2083" s="333"/>
      <c r="AE2083" s="333"/>
    </row>
    <row r="2084" spans="1:31" ht="15.75">
      <c r="A2084" s="961">
        <v>2406010300</v>
      </c>
      <c r="B2084" s="962"/>
      <c r="C2084" s="1465" t="s">
        <v>64</v>
      </c>
      <c r="D2084" s="1467"/>
      <c r="E2084" s="1468"/>
      <c r="F2084" s="964"/>
      <c r="G2084" s="1250">
        <f t="shared" si="4113"/>
        <v>0</v>
      </c>
      <c r="H2084" s="47"/>
      <c r="I2084" s="965">
        <f t="shared" si="4114"/>
        <v>0</v>
      </c>
      <c r="J2084" s="964">
        <v>1</v>
      </c>
      <c r="K2084" s="1454">
        <v>1</v>
      </c>
      <c r="L2084" s="964"/>
      <c r="M2084" s="1250">
        <f t="shared" si="4133"/>
        <v>0</v>
      </c>
      <c r="N2084" s="47"/>
      <c r="O2084" s="965">
        <f t="shared" si="4134"/>
        <v>0</v>
      </c>
      <c r="P2084" s="964"/>
      <c r="Q2084" s="1250">
        <f t="shared" si="4135"/>
        <v>0</v>
      </c>
      <c r="R2084" s="47"/>
      <c r="S2084" s="47"/>
      <c r="T2084" s="965">
        <f t="shared" si="4136"/>
        <v>0</v>
      </c>
      <c r="U2084" s="354">
        <f t="shared" si="4137"/>
        <v>0</v>
      </c>
      <c r="V2084" s="2277">
        <f t="shared" si="4138"/>
        <v>0</v>
      </c>
      <c r="W2084" s="968">
        <f t="shared" si="4121"/>
        <v>0</v>
      </c>
      <c r="X2084" s="966">
        <f t="shared" si="4122"/>
        <v>0</v>
      </c>
      <c r="Y2084" s="967"/>
      <c r="Z2084" s="220"/>
      <c r="AA2084" s="355"/>
      <c r="AB2084" s="355"/>
      <c r="AC2084" s="355"/>
      <c r="AD2084" s="333"/>
      <c r="AE2084" s="333"/>
    </row>
    <row r="2085" spans="1:31" s="401" customFormat="1">
      <c r="A2085" s="984">
        <v>2406010300</v>
      </c>
      <c r="B2085" s="985"/>
      <c r="C2085" s="1662" t="s">
        <v>64</v>
      </c>
      <c r="D2085" s="1667"/>
      <c r="E2085" s="1668"/>
      <c r="F2085" s="988"/>
      <c r="G2085" s="1287"/>
      <c r="H2085" s="335"/>
      <c r="I2085" s="989"/>
      <c r="J2085" s="991">
        <v>1</v>
      </c>
      <c r="K2085" s="1460">
        <v>1</v>
      </c>
      <c r="L2085" s="991"/>
      <c r="M2085" s="1330">
        <f t="shared" ref="M2085" si="4175">+L2085*J2085</f>
        <v>0</v>
      </c>
      <c r="N2085" s="337"/>
      <c r="O2085" s="990">
        <f t="shared" ref="O2085" si="4176">+L2085*J2085*N2085</f>
        <v>0</v>
      </c>
      <c r="P2085" s="991">
        <f>-F2071</f>
        <v>0</v>
      </c>
      <c r="Q2085" s="1330">
        <f t="shared" ref="Q2085" si="4177">+P2085*K2085</f>
        <v>0</v>
      </c>
      <c r="R2085" s="337">
        <f>+H2071</f>
        <v>0</v>
      </c>
      <c r="S2085" s="337"/>
      <c r="T2085" s="990">
        <f t="shared" ref="T2085" si="4178">+P2085*K2085*S2085</f>
        <v>0</v>
      </c>
      <c r="U2085" s="992">
        <f t="shared" ref="U2085" si="4179">+L2085+P2085+F2085</f>
        <v>0</v>
      </c>
      <c r="V2085" s="990">
        <f t="shared" ref="V2085" si="4180">+P2085*J2085*R2085+L2085*J2085*N2085+F2085*J2085*H2085</f>
        <v>0</v>
      </c>
      <c r="W2085" s="993">
        <f t="shared" ref="W2085" si="4181">-(IF(-P2085*J2085*R2085&lt;-P2085*K2085*S2085,(-P2085*J2085*R2085)-(-P2085*K2085*S2085),0))</f>
        <v>0</v>
      </c>
      <c r="X2085" s="994">
        <f t="shared" ref="X2085" si="4182">-(IF(-P2085*J2085*R2085&gt;-P2085*K2085*S2085,(-P2085*J2085*R2085)-(-P2085*K2085*S2085),0))</f>
        <v>0</v>
      </c>
      <c r="Y2085" s="995"/>
      <c r="Z2085" s="220"/>
      <c r="AA2085" s="15"/>
      <c r="AB2085" s="15"/>
      <c r="AC2085" s="15"/>
      <c r="AD2085" s="15"/>
      <c r="AE2085" s="15"/>
    </row>
    <row r="2086" spans="1:31" s="401" customFormat="1">
      <c r="A2086" s="1011"/>
      <c r="B2086" s="1012"/>
      <c r="C2086" s="1661"/>
      <c r="D2086" s="1665"/>
      <c r="E2086" s="1666"/>
      <c r="F2086" s="1015"/>
      <c r="G2086" s="1293"/>
      <c r="H2086" s="346"/>
      <c r="I2086" s="1016"/>
      <c r="J2086" s="1501"/>
      <c r="K2086" s="1502"/>
      <c r="L2086" s="1036"/>
      <c r="M2086" s="1325">
        <f t="shared" ref="M2086:M2177" si="4183">+L2086*J2086</f>
        <v>0</v>
      </c>
      <c r="N2086" s="348"/>
      <c r="O2086" s="996">
        <f t="shared" ref="O2086:O2177" si="4184">+L2086*J2086*N2086</f>
        <v>0</v>
      </c>
      <c r="P2086" s="1017"/>
      <c r="Q2086" s="1362">
        <f t="shared" ref="Q2086:Q2177" si="4185">+P2086*K2086</f>
        <v>0</v>
      </c>
      <c r="R2086" s="349"/>
      <c r="S2086" s="349"/>
      <c r="T2086" s="1031">
        <f t="shared" ref="T2086:T2177" si="4186">+P2086*K2086*S2086</f>
        <v>0</v>
      </c>
      <c r="U2086" s="970"/>
      <c r="V2086" s="971"/>
      <c r="W2086" s="972">
        <f t="shared" si="4121"/>
        <v>0</v>
      </c>
      <c r="X2086" s="973">
        <f t="shared" si="4122"/>
        <v>0</v>
      </c>
      <c r="Y2086" s="1018"/>
      <c r="Z2086" s="1077"/>
      <c r="AA2086" s="974"/>
      <c r="AB2086" s="974"/>
      <c r="AC2086" s="974"/>
      <c r="AD2086" s="974"/>
      <c r="AE2086" s="974"/>
    </row>
    <row r="2087" spans="1:31" s="401" customFormat="1" outlineLevel="1">
      <c r="A2087" s="1019">
        <v>2406010300</v>
      </c>
      <c r="B2087" s="1020" t="s">
        <v>2434</v>
      </c>
      <c r="C2087" s="1677" t="s">
        <v>64</v>
      </c>
      <c r="D2087" s="1680">
        <v>5100001942</v>
      </c>
      <c r="E2087" s="1681">
        <v>45000</v>
      </c>
      <c r="F2087" s="1023"/>
      <c r="G2087" s="1290"/>
      <c r="H2087" s="352"/>
      <c r="I2087" s="1024"/>
      <c r="J2087" s="1027">
        <v>1</v>
      </c>
      <c r="K2087" s="1459">
        <v>1</v>
      </c>
      <c r="L2087" s="1026">
        <v>21920</v>
      </c>
      <c r="M2087" s="1324">
        <f t="shared" ref="M2087" si="4187">+L2087*J2087</f>
        <v>21920</v>
      </c>
      <c r="N2087" s="353">
        <f ca="1">IF(OR(E2087="",E2087&gt;TODAY()),0,IF(ISERROR(VLOOKUP($E2087,'TRM BanRep'!$A:$G,7,0)),0,VLOOKUP($E2087,'TRM BanRep'!$A:$G,7,0)))</f>
        <v>4736.03</v>
      </c>
      <c r="O2087" s="1025">
        <f t="shared" ref="O2087" ca="1" si="4188">+L2087*J2087*N2087</f>
        <v>103813777.59999999</v>
      </c>
      <c r="P2087" s="1026"/>
      <c r="Q2087" s="1324">
        <f t="shared" ref="Q2087" si="4189">+P2087*K2087</f>
        <v>0</v>
      </c>
      <c r="R2087" s="353"/>
      <c r="S2087" s="353"/>
      <c r="T2087" s="1025">
        <f t="shared" ref="T2087" si="4190">+P2087*K2087*S2087</f>
        <v>0</v>
      </c>
      <c r="U2087" s="1027">
        <f t="shared" ref="U2087" si="4191">+L2087+P2087+F2087</f>
        <v>21920</v>
      </c>
      <c r="V2087" s="1025">
        <f t="shared" ref="V2087" ca="1" si="4192">+P2087*J2087*R2087+L2087*J2087*N2087+F2087*J2087*H2087</f>
        <v>103813777.59999999</v>
      </c>
      <c r="W2087" s="1028">
        <f t="shared" ref="W2087" si="4193">-(IF(-P2087*J2087*R2087&lt;-P2087*K2087*S2087,(-P2087*J2087*R2087)-(-P2087*K2087*S2087),0))</f>
        <v>0</v>
      </c>
      <c r="X2087" s="1029">
        <f t="shared" ref="X2087" si="4194">-(IF(-P2087*J2087*R2087&gt;-P2087*K2087*S2087,(-P2087*J2087*R2087)-(-P2087*K2087*S2087),0))</f>
        <v>0</v>
      </c>
      <c r="Y2087" s="1030"/>
      <c r="Z2087" s="220"/>
      <c r="AA2087" s="15"/>
      <c r="AB2087" s="15"/>
      <c r="AC2087" s="15"/>
      <c r="AD2087" s="333"/>
      <c r="AE2087" s="333"/>
    </row>
    <row r="2088" spans="1:31" s="401" customFormat="1" outlineLevel="1">
      <c r="A2088" s="1019">
        <v>2406010300</v>
      </c>
      <c r="B2088" s="1020" t="s">
        <v>2436</v>
      </c>
      <c r="C2088" s="1677" t="s">
        <v>64</v>
      </c>
      <c r="D2088" s="1680">
        <v>5100002349</v>
      </c>
      <c r="E2088" s="1681">
        <v>44967</v>
      </c>
      <c r="F2088" s="1023"/>
      <c r="G2088" s="1290"/>
      <c r="H2088" s="352"/>
      <c r="I2088" s="1024"/>
      <c r="J2088" s="1027">
        <v>1</v>
      </c>
      <c r="K2088" s="1459">
        <v>1</v>
      </c>
      <c r="L2088" s="1026">
        <v>-319.95999999999998</v>
      </c>
      <c r="M2088" s="1324">
        <f t="shared" ref="M2088" si="4195">+L2088*J2088</f>
        <v>-319.95999999999998</v>
      </c>
      <c r="N2088" s="353">
        <f ca="1">IF(OR(E2088="",E2088&gt;TODAY()),0,IF(ISERROR(VLOOKUP($E2088,'TRM BanRep'!$A:$G,7,0)),0,VLOOKUP($E2088,'TRM BanRep'!$A:$G,7,0)))</f>
        <v>4742.05</v>
      </c>
      <c r="O2088" s="1025">
        <f t="shared" ref="O2088" ca="1" si="4196">+L2088*J2088*N2088</f>
        <v>-1517266.318</v>
      </c>
      <c r="P2088" s="1026"/>
      <c r="Q2088" s="1324">
        <f t="shared" ref="Q2088" si="4197">+P2088*K2088</f>
        <v>0</v>
      </c>
      <c r="R2088" s="353"/>
      <c r="S2088" s="353"/>
      <c r="T2088" s="1025">
        <f t="shared" ref="T2088" si="4198">+P2088*K2088*S2088</f>
        <v>0</v>
      </c>
      <c r="U2088" s="1027">
        <f t="shared" ref="U2088" si="4199">+L2088+P2088+F2088</f>
        <v>-319.95999999999998</v>
      </c>
      <c r="V2088" s="1025">
        <f t="shared" ref="V2088" ca="1" si="4200">+P2088*J2088*R2088+L2088*J2088*N2088+F2088*J2088*H2088</f>
        <v>-1517266.318</v>
      </c>
      <c r="W2088" s="1028">
        <f t="shared" ref="W2088" si="4201">-(IF(-P2088*J2088*R2088&lt;-P2088*K2088*S2088,(-P2088*J2088*R2088)-(-P2088*K2088*S2088),0))</f>
        <v>0</v>
      </c>
      <c r="X2088" s="1029">
        <f t="shared" ref="X2088" si="4202">-(IF(-P2088*J2088*R2088&gt;-P2088*K2088*S2088,(-P2088*J2088*R2088)-(-P2088*K2088*S2088),0))</f>
        <v>0</v>
      </c>
      <c r="Y2088" s="1030"/>
      <c r="Z2088" s="220"/>
      <c r="AA2088" s="15"/>
      <c r="AB2088" s="15"/>
      <c r="AC2088" s="15"/>
      <c r="AD2088" s="333"/>
      <c r="AE2088" s="333"/>
    </row>
    <row r="2089" spans="1:31" s="401" customFormat="1" outlineLevel="1">
      <c r="A2089" s="1019">
        <v>2406010300</v>
      </c>
      <c r="B2089" s="1020" t="s">
        <v>2607</v>
      </c>
      <c r="C2089" s="1677" t="s">
        <v>64</v>
      </c>
      <c r="D2089" s="1680">
        <v>5100003136</v>
      </c>
      <c r="E2089" s="1681">
        <v>45041</v>
      </c>
      <c r="F2089" s="1023"/>
      <c r="G2089" s="1290"/>
      <c r="H2089" s="352"/>
      <c r="I2089" s="1024"/>
      <c r="J2089" s="1027">
        <v>1</v>
      </c>
      <c r="K2089" s="1459">
        <v>1</v>
      </c>
      <c r="L2089" s="1026">
        <v>28864</v>
      </c>
      <c r="M2089" s="1324">
        <f t="shared" ref="M2089:M2091" si="4203">+L2089*J2089</f>
        <v>28864</v>
      </c>
      <c r="N2089" s="353">
        <f ca="1">IF(OR(E2089="",E2089&gt;TODAY()),0,IF(ISERROR(VLOOKUP($E2089,'TRM BanRep'!$A:$G,7,0)),0,VLOOKUP($E2089,'TRM BanRep'!$A:$G,7,0)))</f>
        <v>4482.45</v>
      </c>
      <c r="O2089" s="1025">
        <f t="shared" ref="O2089:O2091" ca="1" si="4204">+L2089*J2089*N2089</f>
        <v>129381436.8</v>
      </c>
      <c r="P2089" s="1026"/>
      <c r="Q2089" s="1324">
        <f t="shared" ref="Q2089:Q2091" si="4205">+P2089*K2089</f>
        <v>0</v>
      </c>
      <c r="R2089" s="353"/>
      <c r="S2089" s="353"/>
      <c r="T2089" s="1025">
        <f t="shared" ref="T2089:T2091" si="4206">+P2089*K2089*S2089</f>
        <v>0</v>
      </c>
      <c r="U2089" s="1027">
        <f t="shared" ref="U2089:U2091" si="4207">+L2089+P2089+F2089</f>
        <v>28864</v>
      </c>
      <c r="V2089" s="1025">
        <f t="shared" ref="V2089:V2091" ca="1" si="4208">+P2089*J2089*R2089+L2089*J2089*N2089+F2089*J2089*H2089</f>
        <v>129381436.8</v>
      </c>
      <c r="W2089" s="1028">
        <f t="shared" ref="W2089:W2091" si="4209">-(IF(-P2089*J2089*R2089&lt;-P2089*K2089*S2089,(-P2089*J2089*R2089)-(-P2089*K2089*S2089),0))</f>
        <v>0</v>
      </c>
      <c r="X2089" s="1029">
        <f t="shared" ref="X2089:X2091" si="4210">-(IF(-P2089*J2089*R2089&gt;-P2089*K2089*S2089,(-P2089*J2089*R2089)-(-P2089*K2089*S2089),0))</f>
        <v>0</v>
      </c>
      <c r="Y2089" s="1030"/>
      <c r="Z2089" s="220"/>
      <c r="AA2089" s="15"/>
      <c r="AB2089" s="15"/>
      <c r="AC2089" s="15"/>
      <c r="AD2089" s="333"/>
      <c r="AE2089" s="333"/>
    </row>
    <row r="2090" spans="1:31" s="401" customFormat="1" outlineLevel="1">
      <c r="A2090" s="1019">
        <v>2406010300</v>
      </c>
      <c r="B2090" s="1020" t="s">
        <v>2608</v>
      </c>
      <c r="C2090" s="1677" t="s">
        <v>64</v>
      </c>
      <c r="D2090" s="1680">
        <v>5100003301</v>
      </c>
      <c r="E2090" s="1681">
        <v>45043</v>
      </c>
      <c r="F2090" s="1023"/>
      <c r="G2090" s="1290"/>
      <c r="H2090" s="352"/>
      <c r="I2090" s="1024"/>
      <c r="J2090" s="1027">
        <v>1</v>
      </c>
      <c r="K2090" s="1459">
        <v>1</v>
      </c>
      <c r="L2090" s="1026">
        <v>384</v>
      </c>
      <c r="M2090" s="1324">
        <f t="shared" si="4203"/>
        <v>384</v>
      </c>
      <c r="N2090" s="353">
        <f ca="1">IF(OR(E2090="",E2090&gt;TODAY()),0,IF(ISERROR(VLOOKUP($E2090,'TRM BanRep'!$A:$G,7,0)),0,VLOOKUP($E2090,'TRM BanRep'!$A:$G,7,0)))</f>
        <v>4552.59</v>
      </c>
      <c r="O2090" s="1025">
        <f t="shared" ca="1" si="4204"/>
        <v>1748194.56</v>
      </c>
      <c r="P2090" s="1026"/>
      <c r="Q2090" s="1324">
        <f t="shared" si="4205"/>
        <v>0</v>
      </c>
      <c r="R2090" s="353"/>
      <c r="S2090" s="353"/>
      <c r="T2090" s="1025">
        <f t="shared" si="4206"/>
        <v>0</v>
      </c>
      <c r="U2090" s="1027">
        <f t="shared" si="4207"/>
        <v>384</v>
      </c>
      <c r="V2090" s="1025">
        <f t="shared" ca="1" si="4208"/>
        <v>1748194.56</v>
      </c>
      <c r="W2090" s="1028">
        <f t="shared" si="4209"/>
        <v>0</v>
      </c>
      <c r="X2090" s="1029">
        <f t="shared" si="4210"/>
        <v>0</v>
      </c>
      <c r="Y2090" s="1030"/>
      <c r="Z2090" s="220"/>
      <c r="AA2090" s="15"/>
      <c r="AB2090" s="15"/>
      <c r="AC2090" s="15"/>
      <c r="AD2090" s="333"/>
      <c r="AE2090" s="333"/>
    </row>
    <row r="2091" spans="1:31" s="401" customFormat="1" outlineLevel="1">
      <c r="A2091" s="1019">
        <v>2406010300</v>
      </c>
      <c r="B2091" s="1020" t="s">
        <v>2609</v>
      </c>
      <c r="C2091" s="1677" t="s">
        <v>64</v>
      </c>
      <c r="D2091" s="1680">
        <v>5100003333</v>
      </c>
      <c r="E2091" s="1681">
        <v>45043</v>
      </c>
      <c r="F2091" s="1023"/>
      <c r="G2091" s="1290"/>
      <c r="H2091" s="352"/>
      <c r="I2091" s="1024"/>
      <c r="J2091" s="1027">
        <v>1</v>
      </c>
      <c r="K2091" s="1459">
        <v>1</v>
      </c>
      <c r="L2091" s="1026">
        <v>14737.2</v>
      </c>
      <c r="M2091" s="1324">
        <f t="shared" si="4203"/>
        <v>14737.2</v>
      </c>
      <c r="N2091" s="353">
        <f ca="1">IF(OR(E2091="",E2091&gt;TODAY()),0,IF(ISERROR(VLOOKUP($E2091,'TRM BanRep'!$A:$G,7,0)),0,VLOOKUP($E2091,'TRM BanRep'!$A:$G,7,0)))</f>
        <v>4552.59</v>
      </c>
      <c r="O2091" s="1025">
        <f t="shared" ca="1" si="4204"/>
        <v>67092429.348000005</v>
      </c>
      <c r="P2091" s="1026"/>
      <c r="Q2091" s="1324">
        <f t="shared" si="4205"/>
        <v>0</v>
      </c>
      <c r="R2091" s="353"/>
      <c r="S2091" s="353"/>
      <c r="T2091" s="1025">
        <f t="shared" si="4206"/>
        <v>0</v>
      </c>
      <c r="U2091" s="1027">
        <f t="shared" si="4207"/>
        <v>14737.2</v>
      </c>
      <c r="V2091" s="1025">
        <f t="shared" ca="1" si="4208"/>
        <v>67092429.348000005</v>
      </c>
      <c r="W2091" s="1028">
        <f t="shared" si="4209"/>
        <v>0</v>
      </c>
      <c r="X2091" s="1029">
        <f t="shared" si="4210"/>
        <v>0</v>
      </c>
      <c r="Y2091" s="1030"/>
      <c r="Z2091" s="220"/>
      <c r="AA2091" s="15"/>
      <c r="AB2091" s="15"/>
      <c r="AC2091" s="15"/>
      <c r="AD2091" s="333"/>
      <c r="AE2091" s="333"/>
    </row>
    <row r="2092" spans="1:31" s="401" customFormat="1" outlineLevel="1">
      <c r="A2092" s="1019">
        <v>2406010300</v>
      </c>
      <c r="B2092" s="1020" t="s">
        <v>2610</v>
      </c>
      <c r="C2092" s="1677" t="s">
        <v>64</v>
      </c>
      <c r="D2092" s="1680">
        <v>5100003427</v>
      </c>
      <c r="E2092" s="1681">
        <v>45043</v>
      </c>
      <c r="F2092" s="1023"/>
      <c r="G2092" s="1290"/>
      <c r="H2092" s="352"/>
      <c r="I2092" s="1024"/>
      <c r="J2092" s="1027">
        <v>1</v>
      </c>
      <c r="K2092" s="1459">
        <v>1</v>
      </c>
      <c r="L2092" s="1026">
        <v>245.91</v>
      </c>
      <c r="M2092" s="1324">
        <f t="shared" ref="M2092" si="4211">+L2092*J2092</f>
        <v>245.91</v>
      </c>
      <c r="N2092" s="353">
        <f ca="1">IF(OR(E2092="",E2092&gt;TODAY()),0,IF(ISERROR(VLOOKUP($E2092,'TRM BanRep'!$A:$G,7,0)),0,VLOOKUP($E2092,'TRM BanRep'!$A:$G,7,0)))</f>
        <v>4552.59</v>
      </c>
      <c r="O2092" s="1025">
        <f t="shared" ref="O2092" ca="1" si="4212">+L2092*J2092*N2092</f>
        <v>1119527.4069000001</v>
      </c>
      <c r="P2092" s="1026"/>
      <c r="Q2092" s="1324">
        <f t="shared" ref="Q2092" si="4213">+P2092*K2092</f>
        <v>0</v>
      </c>
      <c r="R2092" s="353"/>
      <c r="S2092" s="353"/>
      <c r="T2092" s="1025">
        <f t="shared" ref="T2092" si="4214">+P2092*K2092*S2092</f>
        <v>0</v>
      </c>
      <c r="U2092" s="1027">
        <f t="shared" ref="U2092" si="4215">+L2092+P2092+F2092</f>
        <v>245.91</v>
      </c>
      <c r="V2092" s="1025">
        <f t="shared" ref="V2092" ca="1" si="4216">+P2092*J2092*R2092+L2092*J2092*N2092+F2092*J2092*H2092</f>
        <v>1119527.4069000001</v>
      </c>
      <c r="W2092" s="1028">
        <f t="shared" ref="W2092" si="4217">-(IF(-P2092*J2092*R2092&lt;-P2092*K2092*S2092,(-P2092*J2092*R2092)-(-P2092*K2092*S2092),0))</f>
        <v>0</v>
      </c>
      <c r="X2092" s="1029">
        <f t="shared" ref="X2092" si="4218">-(IF(-P2092*J2092*R2092&gt;-P2092*K2092*S2092,(-P2092*J2092*R2092)-(-P2092*K2092*S2092),0))</f>
        <v>0</v>
      </c>
      <c r="Y2092" s="1030"/>
      <c r="Z2092" s="220"/>
      <c r="AA2092" s="15"/>
      <c r="AB2092" s="15"/>
      <c r="AC2092" s="15"/>
      <c r="AD2092" s="333"/>
      <c r="AE2092" s="333"/>
    </row>
    <row r="2093" spans="1:31" s="401" customFormat="1">
      <c r="A2093" s="1019">
        <v>2406010300</v>
      </c>
      <c r="B2093" s="1020"/>
      <c r="C2093" s="1677"/>
      <c r="D2093" s="1680"/>
      <c r="E2093" s="1681"/>
      <c r="F2093" s="1023"/>
      <c r="G2093" s="1290"/>
      <c r="H2093" s="352"/>
      <c r="I2093" s="1024"/>
      <c r="J2093" s="1027">
        <v>1</v>
      </c>
      <c r="K2093" s="1459">
        <v>1</v>
      </c>
      <c r="L2093" s="1026"/>
      <c r="M2093" s="1324">
        <f t="shared" ref="M2093" si="4219">+L2093*J2093</f>
        <v>0</v>
      </c>
      <c r="N2093" s="353"/>
      <c r="O2093" s="1025">
        <f t="shared" ref="O2093" si="4220">+L2093*J2093*N2093</f>
        <v>0</v>
      </c>
      <c r="P2093" s="1026"/>
      <c r="Q2093" s="1324">
        <f t="shared" ref="Q2093" si="4221">+P2093*K2093</f>
        <v>0</v>
      </c>
      <c r="R2093" s="353"/>
      <c r="S2093" s="353"/>
      <c r="T2093" s="1025">
        <f t="shared" ref="T2093" si="4222">+P2093*K2093*S2093</f>
        <v>0</v>
      </c>
      <c r="U2093" s="1027">
        <f t="shared" ref="U2093" si="4223">+L2093+P2093+F2093</f>
        <v>0</v>
      </c>
      <c r="V2093" s="1025">
        <f t="shared" ref="V2093" si="4224">+P2093*J2093*R2093+L2093*J2093*N2093+F2093*J2093*H2093</f>
        <v>0</v>
      </c>
      <c r="W2093" s="1028">
        <f t="shared" ref="W2093" si="4225">-(IF(-P2093*J2093*R2093&lt;-P2093*K2093*S2093,(-P2093*J2093*R2093)-(-P2093*K2093*S2093),0))</f>
        <v>0</v>
      </c>
      <c r="X2093" s="1029">
        <f t="shared" ref="X2093" si="4226">-(IF(-P2093*J2093*R2093&gt;-P2093*K2093*S2093,(-P2093*J2093*R2093)-(-P2093*K2093*S2093),0))</f>
        <v>0</v>
      </c>
      <c r="Y2093" s="1030"/>
      <c r="Z2093" s="220"/>
      <c r="AA2093" s="15"/>
      <c r="AB2093" s="15"/>
      <c r="AC2093" s="15"/>
      <c r="AD2093" s="15"/>
      <c r="AE2093" s="15"/>
    </row>
    <row r="2094" spans="1:31" s="401" customFormat="1">
      <c r="A2094" s="1011"/>
      <c r="B2094" s="1012"/>
      <c r="C2094" s="1661"/>
      <c r="D2094" s="1665"/>
      <c r="E2094" s="1666"/>
      <c r="F2094" s="1040"/>
      <c r="G2094" s="1294"/>
      <c r="H2094" s="1053"/>
      <c r="I2094" s="1041"/>
      <c r="J2094" s="1508"/>
      <c r="K2094" s="1509"/>
      <c r="L2094" s="1040"/>
      <c r="M2094" s="1294">
        <f t="shared" ref="M2094" si="4227">+L2094*J2094</f>
        <v>0</v>
      </c>
      <c r="N2094" s="1053"/>
      <c r="O2094" s="1041">
        <f t="shared" ref="O2094" si="4228">+L2094*J2094*N2094</f>
        <v>0</v>
      </c>
      <c r="P2094" s="1040"/>
      <c r="Q2094" s="1294">
        <f t="shared" ref="Q2094" si="4229">+P2094*K2094</f>
        <v>0</v>
      </c>
      <c r="R2094" s="1053"/>
      <c r="S2094" s="1053"/>
      <c r="T2094" s="1041">
        <f t="shared" ref="T2094" si="4230">+P2094*K2094*S2094</f>
        <v>0</v>
      </c>
      <c r="U2094" s="1040"/>
      <c r="V2094" s="1041"/>
      <c r="W2094" s="1039">
        <f t="shared" ref="W2094" si="4231">-(IF(-P2094*J2094*R2094&lt;-P2094*K2094*S2094,(-P2094*J2094*R2094)-(-P2094*K2094*S2094),0))</f>
        <v>0</v>
      </c>
      <c r="X2094" s="1038">
        <f t="shared" ref="X2094" si="4232">-(IF(-P2094*J2094*R2094&gt;-P2094*K2094*S2094,(-P2094*J2094*R2094)-(-P2094*K2094*S2094),0))</f>
        <v>0</v>
      </c>
      <c r="Y2094" s="1037"/>
      <c r="Z2094" s="220"/>
      <c r="AA2094" s="15"/>
      <c r="AB2094" s="15"/>
      <c r="AC2094" s="15"/>
      <c r="AD2094" s="15"/>
      <c r="AE2094" s="15"/>
    </row>
    <row r="2095" spans="1:31" s="401" customFormat="1" outlineLevel="1">
      <c r="A2095" s="1011">
        <v>2406010300</v>
      </c>
      <c r="B2095" s="1012" t="s">
        <v>2346</v>
      </c>
      <c r="C2095" s="1661" t="s">
        <v>206</v>
      </c>
      <c r="D2095" s="1665">
        <v>5100001261</v>
      </c>
      <c r="E2095" s="1666">
        <v>44974</v>
      </c>
      <c r="F2095" s="1015"/>
      <c r="G2095" s="1293"/>
      <c r="H2095" s="346"/>
      <c r="I2095" s="1016"/>
      <c r="J2095" s="1581">
        <f>VLOOKUP($E2095,'TRM BanRep'!$A:$K,10,0)</f>
        <v>1.0779300000000001</v>
      </c>
      <c r="K2095" s="1583"/>
      <c r="L2095" s="1036">
        <v>1140</v>
      </c>
      <c r="M2095" s="1325">
        <f t="shared" si="4183"/>
        <v>1228.8402000000001</v>
      </c>
      <c r="N2095" s="348">
        <f ca="1">IF(OR(E2095="",E2095&gt;TODAY()),0,IF(ISERROR(VLOOKUP($E2095,'TRM BanRep'!$A:$G,7,0)),0,VLOOKUP($E2095,'TRM BanRep'!$A:$G,7,0)))</f>
        <v>4966.33</v>
      </c>
      <c r="O2095" s="996">
        <f t="shared" ca="1" si="4184"/>
        <v>6102825.9504660005</v>
      </c>
      <c r="P2095" s="1017"/>
      <c r="Q2095" s="1362">
        <f t="shared" si="4185"/>
        <v>0</v>
      </c>
      <c r="R2095" s="349"/>
      <c r="S2095" s="349"/>
      <c r="T2095" s="1031">
        <f t="shared" si="4186"/>
        <v>0</v>
      </c>
      <c r="U2095" s="970">
        <f t="shared" ref="U2095:U2177" si="4233">+L2095+P2095+F2095</f>
        <v>1140</v>
      </c>
      <c r="V2095" s="971">
        <f t="shared" ref="V2095:V2177" ca="1" si="4234">+P2095*J2095*R2095+L2095*J2095*N2095+F2095*J2095*H2095</f>
        <v>6102825.9504660005</v>
      </c>
      <c r="W2095" s="972">
        <f t="shared" si="4121"/>
        <v>0</v>
      </c>
      <c r="X2095" s="973">
        <f t="shared" si="4122"/>
        <v>0</v>
      </c>
      <c r="Y2095" s="1018"/>
      <c r="Z2095" s="220"/>
      <c r="AA2095" s="15"/>
      <c r="AB2095" s="15"/>
      <c r="AC2095" s="15"/>
      <c r="AD2095" s="15"/>
      <c r="AE2095" s="15"/>
    </row>
    <row r="2096" spans="1:31" s="401" customFormat="1" outlineLevel="1">
      <c r="A2096" s="1011">
        <v>2406010300</v>
      </c>
      <c r="B2096" s="1012"/>
      <c r="C2096" s="1661" t="s">
        <v>206</v>
      </c>
      <c r="D2096" s="1665">
        <v>2000001593</v>
      </c>
      <c r="E2096" s="1666">
        <v>44974</v>
      </c>
      <c r="F2096" s="1015"/>
      <c r="G2096" s="1293"/>
      <c r="H2096" s="346"/>
      <c r="I2096" s="1016"/>
      <c r="J2096" s="1581">
        <f>+J2095</f>
        <v>1.0779300000000001</v>
      </c>
      <c r="K2096" s="1583">
        <f>VLOOKUP($E2096,'TRM BanRep'!$A:$K,10,0)</f>
        <v>1.0779300000000001</v>
      </c>
      <c r="L2096" s="1036"/>
      <c r="M2096" s="1325">
        <f t="shared" ref="M2096:M2098" si="4235">+L2096*J2096</f>
        <v>0</v>
      </c>
      <c r="N2096" s="348"/>
      <c r="O2096" s="996">
        <f t="shared" ref="O2096:O2098" si="4236">+L2096*J2096*N2096</f>
        <v>0</v>
      </c>
      <c r="P2096" s="1017">
        <f>-L2095</f>
        <v>-1140</v>
      </c>
      <c r="Q2096" s="1362">
        <f t="shared" ref="Q2096" si="4237">+P2096*K2096</f>
        <v>-1228.8402000000001</v>
      </c>
      <c r="R2096" s="349">
        <f ca="1">+N2095</f>
        <v>4966.33</v>
      </c>
      <c r="S2096" s="349">
        <f ca="1">IF(OR(E2096="",E2096&gt;TODAY()),0,IF(ISERROR(VLOOKUP($E2096,'TRM BanRep'!$A:$G,7,0)),0,VLOOKUP($E2096,'TRM BanRep'!$A:$G,7,0)))</f>
        <v>4966.33</v>
      </c>
      <c r="T2096" s="1031">
        <f t="shared" ref="T2096" ca="1" si="4238">+P2096*K2096*S2096</f>
        <v>-6102825.9504660005</v>
      </c>
      <c r="U2096" s="970">
        <f t="shared" ref="U2096" si="4239">+L2096+P2096+F2096</f>
        <v>-1140</v>
      </c>
      <c r="V2096" s="971">
        <f t="shared" ref="V2096" ca="1" si="4240">+P2096*J2096*R2096+L2096*J2096*N2096+F2096*J2096*H2096</f>
        <v>-6102825.9504660005</v>
      </c>
      <c r="W2096" s="972">
        <f t="shared" ref="W2096" ca="1" si="4241">-(IF(-P2096*J2096*R2096&lt;-P2096*K2096*S2096,(-P2096*J2096*R2096)-(-P2096*K2096*S2096),0))</f>
        <v>0</v>
      </c>
      <c r="X2096" s="973">
        <f t="shared" ref="X2096" ca="1" si="4242">-(IF(-P2096*J2096*R2096&gt;-P2096*K2096*S2096,(-P2096*J2096*R2096)-(-P2096*K2096*S2096),0))</f>
        <v>0</v>
      </c>
      <c r="Y2096" s="1018"/>
      <c r="Z2096" s="220"/>
      <c r="AA2096" s="15"/>
      <c r="AB2096" s="15"/>
      <c r="AC2096" s="15"/>
      <c r="AD2096" s="15"/>
      <c r="AE2096" s="15"/>
    </row>
    <row r="2097" spans="1:39" s="401" customFormat="1">
      <c r="A2097" s="1011"/>
      <c r="B2097" s="1012"/>
      <c r="C2097" s="1661"/>
      <c r="D2097" s="1665"/>
      <c r="E2097" s="1666"/>
      <c r="F2097" s="1040"/>
      <c r="G2097" s="1294"/>
      <c r="H2097" s="1053"/>
      <c r="I2097" s="1041"/>
      <c r="J2097" s="1508"/>
      <c r="K2097" s="1509"/>
      <c r="L2097" s="1040"/>
      <c r="M2097" s="1294">
        <f t="shared" si="4235"/>
        <v>0</v>
      </c>
      <c r="N2097" s="1053"/>
      <c r="O2097" s="1041">
        <f t="shared" si="4236"/>
        <v>0</v>
      </c>
      <c r="P2097" s="1040"/>
      <c r="Q2097" s="1294">
        <f t="shared" si="4185"/>
        <v>0</v>
      </c>
      <c r="R2097" s="1053"/>
      <c r="S2097" s="1053"/>
      <c r="T2097" s="1041">
        <f t="shared" ref="T2097:T2100" si="4243">+P2097*K2097*S2097</f>
        <v>0</v>
      </c>
      <c r="U2097" s="1040"/>
      <c r="V2097" s="1041"/>
      <c r="W2097" s="1039">
        <f t="shared" ref="W2097:W2100" si="4244">-(IF(-P2097*J2097*R2097&lt;-P2097*K2097*S2097,(-P2097*J2097*R2097)-(-P2097*K2097*S2097),0))</f>
        <v>0</v>
      </c>
      <c r="X2097" s="1038">
        <f t="shared" ref="X2097:X2100" si="4245">-(IF(-P2097*J2097*R2097&gt;-P2097*K2097*S2097,(-P2097*J2097*R2097)-(-P2097*K2097*S2097),0))</f>
        <v>0</v>
      </c>
      <c r="Y2097" s="1037"/>
      <c r="Z2097" s="220"/>
      <c r="AA2097" s="15"/>
      <c r="AB2097" s="15"/>
      <c r="AC2097" s="15"/>
      <c r="AD2097" s="15"/>
      <c r="AE2097" s="15"/>
    </row>
    <row r="2098" spans="1:39" s="401" customFormat="1" outlineLevel="1">
      <c r="A2098" s="1019">
        <v>2406010300</v>
      </c>
      <c r="B2098" s="1020"/>
      <c r="C2098" s="1677" t="s">
        <v>291</v>
      </c>
      <c r="D2098" s="1680"/>
      <c r="E2098" s="1681"/>
      <c r="F2098" s="1023"/>
      <c r="G2098" s="1290"/>
      <c r="H2098" s="352"/>
      <c r="I2098" s="1024"/>
      <c r="J2098" s="1588"/>
      <c r="K2098" s="357"/>
      <c r="L2098" s="1026"/>
      <c r="M2098" s="1324">
        <f t="shared" si="4235"/>
        <v>0</v>
      </c>
      <c r="N2098" s="353"/>
      <c r="O2098" s="1025">
        <f t="shared" si="4236"/>
        <v>0</v>
      </c>
      <c r="P2098" s="1026"/>
      <c r="Q2098" s="1324">
        <f t="shared" ref="Q2098:Q2100" si="4246">+P2098*K2098</f>
        <v>0</v>
      </c>
      <c r="R2098" s="353"/>
      <c r="S2098" s="353"/>
      <c r="T2098" s="1025">
        <f t="shared" si="4243"/>
        <v>0</v>
      </c>
      <c r="U2098" s="1027">
        <f t="shared" ref="U2098:U2100" si="4247">+L2098+P2098+F2098</f>
        <v>0</v>
      </c>
      <c r="V2098" s="1025">
        <f t="shared" ref="V2098:V2100" si="4248">+P2098*J2098*R2098+L2098*J2098*N2098+F2098*J2098*H2098</f>
        <v>0</v>
      </c>
      <c r="W2098" s="1028">
        <f t="shared" si="4244"/>
        <v>0</v>
      </c>
      <c r="X2098" s="1029">
        <f t="shared" si="4245"/>
        <v>0</v>
      </c>
      <c r="Y2098" s="1030"/>
      <c r="Z2098" s="220"/>
      <c r="AA2098" s="15"/>
      <c r="AB2098" s="15"/>
      <c r="AC2098" s="15"/>
      <c r="AD2098" s="15"/>
      <c r="AE2098" s="15"/>
    </row>
    <row r="2099" spans="1:39" s="401" customFormat="1" outlineLevel="1">
      <c r="A2099" s="1011">
        <v>2406010300</v>
      </c>
      <c r="B2099" s="1012"/>
      <c r="C2099" s="1661" t="s">
        <v>291</v>
      </c>
      <c r="D2099" s="1665"/>
      <c r="E2099" s="1666">
        <v>44678</v>
      </c>
      <c r="F2099" s="1015"/>
      <c r="G2099" s="1293"/>
      <c r="H2099" s="346"/>
      <c r="I2099" s="1016"/>
      <c r="J2099" s="1581">
        <f>VLOOKUP($E2099,'TRM BanRep'!$A:$U,12,0)</f>
        <v>1.2504500000000001</v>
      </c>
      <c r="K2099" s="1583"/>
      <c r="L2099" s="1036"/>
      <c r="M2099" s="1325">
        <f t="shared" ref="M2099:M2100" si="4249">+L2099*J2099</f>
        <v>0</v>
      </c>
      <c r="N2099" s="348">
        <f ca="1">IF(OR(E2099="",E2099&gt;TODAY()),0,IF(ISERROR(VLOOKUP($E2099,'TRM BanRep'!$A:$G,7,0)),0,VLOOKUP($E2099,'TRM BanRep'!$A:$G,7,0)))</f>
        <v>3947.63</v>
      </c>
      <c r="O2099" s="996">
        <f t="shared" ref="O2099:O2100" ca="1" si="4250">+L2099*J2099*N2099</f>
        <v>0</v>
      </c>
      <c r="P2099" s="1017"/>
      <c r="Q2099" s="1362">
        <f t="shared" si="4246"/>
        <v>0</v>
      </c>
      <c r="R2099" s="349"/>
      <c r="S2099" s="349"/>
      <c r="T2099" s="1031">
        <f t="shared" si="4243"/>
        <v>0</v>
      </c>
      <c r="U2099" s="970">
        <f t="shared" si="4247"/>
        <v>0</v>
      </c>
      <c r="V2099" s="971">
        <f t="shared" ca="1" si="4248"/>
        <v>0</v>
      </c>
      <c r="W2099" s="972">
        <f t="shared" si="4244"/>
        <v>0</v>
      </c>
      <c r="X2099" s="973">
        <f t="shared" si="4245"/>
        <v>0</v>
      </c>
      <c r="Y2099" s="1018"/>
      <c r="Z2099" s="220"/>
      <c r="AA2099" s="15"/>
      <c r="AB2099" s="15"/>
      <c r="AC2099" s="15"/>
      <c r="AD2099" s="15"/>
      <c r="AE2099" s="15"/>
    </row>
    <row r="2100" spans="1:39" s="401" customFormat="1" outlineLevel="1">
      <c r="A2100" s="1011">
        <v>2406010300</v>
      </c>
      <c r="B2100" s="1012"/>
      <c r="C2100" s="1661" t="s">
        <v>291</v>
      </c>
      <c r="D2100" s="1665"/>
      <c r="E2100" s="1666">
        <v>44596</v>
      </c>
      <c r="F2100" s="1015"/>
      <c r="G2100" s="1293"/>
      <c r="H2100" s="346"/>
      <c r="I2100" s="1016"/>
      <c r="J2100" s="1581">
        <f>+J2099</f>
        <v>1.2504500000000001</v>
      </c>
      <c r="K2100" s="1583">
        <f>VLOOKUP($E2100,'TRM BanRep'!$A:$U,12,0)</f>
        <v>1.3531500000000001</v>
      </c>
      <c r="L2100" s="1036"/>
      <c r="M2100" s="1325">
        <f t="shared" si="4249"/>
        <v>0</v>
      </c>
      <c r="N2100" s="348"/>
      <c r="O2100" s="996">
        <f t="shared" si="4250"/>
        <v>0</v>
      </c>
      <c r="P2100" s="1017">
        <f>-L2099</f>
        <v>0</v>
      </c>
      <c r="Q2100" s="1362">
        <f t="shared" si="4246"/>
        <v>0</v>
      </c>
      <c r="R2100" s="349">
        <f ca="1">+N2099</f>
        <v>3947.63</v>
      </c>
      <c r="S2100" s="349">
        <f ca="1">IF(OR(E2100="",E2100&gt;TODAY()),0,IF(ISERROR(VLOOKUP($E2100,'TRM BanRep'!$A:$G,7,0)),0,VLOOKUP($E2100,'TRM BanRep'!$A:$G,7,0)))</f>
        <v>3951.96</v>
      </c>
      <c r="T2100" s="1031">
        <f t="shared" ca="1" si="4243"/>
        <v>0</v>
      </c>
      <c r="U2100" s="970">
        <f t="shared" si="4247"/>
        <v>0</v>
      </c>
      <c r="V2100" s="971">
        <f t="shared" ca="1" si="4248"/>
        <v>0</v>
      </c>
      <c r="W2100" s="972">
        <f t="shared" ca="1" si="4244"/>
        <v>0</v>
      </c>
      <c r="X2100" s="973">
        <f t="shared" ca="1" si="4245"/>
        <v>0</v>
      </c>
      <c r="Y2100" s="1018"/>
      <c r="Z2100" s="220"/>
      <c r="AA2100" s="15"/>
      <c r="AB2100" s="15"/>
      <c r="AC2100" s="15"/>
      <c r="AD2100" s="15"/>
      <c r="AE2100" s="15"/>
    </row>
    <row r="2101" spans="1:39" s="401" customFormat="1">
      <c r="A2101" s="1011"/>
      <c r="B2101" s="1012"/>
      <c r="C2101" s="1661"/>
      <c r="D2101" s="1665"/>
      <c r="E2101" s="1666"/>
      <c r="F2101" s="1040"/>
      <c r="G2101" s="1294"/>
      <c r="H2101" s="1053"/>
      <c r="I2101" s="1041"/>
      <c r="J2101" s="1508"/>
      <c r="K2101" s="1509"/>
      <c r="L2101" s="1040"/>
      <c r="M2101" s="1294">
        <f t="shared" si="4183"/>
        <v>0</v>
      </c>
      <c r="N2101" s="1053"/>
      <c r="O2101" s="1041">
        <f t="shared" si="4184"/>
        <v>0</v>
      </c>
      <c r="P2101" s="1040"/>
      <c r="Q2101" s="1294">
        <f t="shared" si="4185"/>
        <v>0</v>
      </c>
      <c r="R2101" s="1053"/>
      <c r="S2101" s="1053"/>
      <c r="T2101" s="1041">
        <f t="shared" si="4186"/>
        <v>0</v>
      </c>
      <c r="U2101" s="1040"/>
      <c r="V2101" s="1041"/>
      <c r="W2101" s="1039">
        <f t="shared" si="4121"/>
        <v>0</v>
      </c>
      <c r="X2101" s="1038">
        <f t="shared" si="4122"/>
        <v>0</v>
      </c>
      <c r="Y2101" s="1037"/>
      <c r="Z2101" s="220"/>
      <c r="AA2101" s="2129"/>
      <c r="AB2101" s="15"/>
      <c r="AC2101" s="15"/>
      <c r="AD2101" s="15"/>
      <c r="AE2101" s="15"/>
    </row>
    <row r="2102" spans="1:39" s="401" customFormat="1">
      <c r="A2102" s="1973">
        <v>2406010300</v>
      </c>
      <c r="B2102" s="1974" t="s">
        <v>1359</v>
      </c>
      <c r="C2102" s="1975" t="s">
        <v>64</v>
      </c>
      <c r="D2102" s="1976">
        <v>5100000719</v>
      </c>
      <c r="E2102" s="1977">
        <v>44473</v>
      </c>
      <c r="F2102" s="1978"/>
      <c r="G2102" s="1979"/>
      <c r="H2102" s="1980"/>
      <c r="I2102" s="1981"/>
      <c r="J2102" s="1982">
        <v>1</v>
      </c>
      <c r="K2102" s="1983">
        <v>1</v>
      </c>
      <c r="L2102" s="1984"/>
      <c r="M2102" s="1985">
        <f t="shared" si="4183"/>
        <v>0</v>
      </c>
      <c r="N2102" s="1986">
        <f ca="1">IF(OR(E2102="",E2102&gt;TODAY()),0,IF(ISERROR(VLOOKUP($E2102,'TRM BanRep'!$A:$G,7,0)),0,VLOOKUP($E2102,'TRM BanRep'!$A:$G,7,0)))</f>
        <v>3781.35</v>
      </c>
      <c r="O2102" s="1987">
        <f t="shared" ca="1" si="4184"/>
        <v>0</v>
      </c>
      <c r="P2102" s="1984"/>
      <c r="Q2102" s="1985">
        <f t="shared" si="4185"/>
        <v>0</v>
      </c>
      <c r="R2102" s="1986"/>
      <c r="S2102" s="1986"/>
      <c r="T2102" s="1987">
        <f t="shared" si="4186"/>
        <v>0</v>
      </c>
      <c r="U2102" s="1982">
        <f t="shared" ref="U2102:U2110" si="4251">+L2102+P2102+F2102</f>
        <v>0</v>
      </c>
      <c r="V2102" s="1987">
        <f t="shared" ref="V2102:V2110" ca="1" si="4252">+P2102*J2102*R2102+L2102*J2102*N2102+F2102*J2102*H2102</f>
        <v>0</v>
      </c>
      <c r="W2102" s="1988">
        <f t="shared" si="4121"/>
        <v>0</v>
      </c>
      <c r="X2102" s="1989">
        <f t="shared" si="4122"/>
        <v>0</v>
      </c>
      <c r="Y2102" s="1990">
        <v>94015616</v>
      </c>
      <c r="Z2102" s="220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</row>
    <row r="2103" spans="1:39" s="401" customFormat="1" hidden="1" outlineLevel="1">
      <c r="A2103" s="1973">
        <v>2406010300</v>
      </c>
      <c r="B2103" s="1974"/>
      <c r="C2103" s="1975" t="s">
        <v>64</v>
      </c>
      <c r="D2103" s="1976">
        <v>100004716</v>
      </c>
      <c r="E2103" s="1977">
        <v>44596</v>
      </c>
      <c r="F2103" s="1978"/>
      <c r="G2103" s="1979"/>
      <c r="H2103" s="1980"/>
      <c r="I2103" s="1981"/>
      <c r="J2103" s="1982">
        <v>1</v>
      </c>
      <c r="K2103" s="1983">
        <v>1</v>
      </c>
      <c r="L2103" s="1984"/>
      <c r="M2103" s="1985">
        <f t="shared" si="4183"/>
        <v>0</v>
      </c>
      <c r="N2103" s="1986">
        <f ca="1">+$N$2102</f>
        <v>3781.35</v>
      </c>
      <c r="O2103" s="1987">
        <f t="shared" ca="1" si="4184"/>
        <v>0</v>
      </c>
      <c r="P2103" s="1984"/>
      <c r="Q2103" s="1985">
        <f t="shared" si="4185"/>
        <v>0</v>
      </c>
      <c r="R2103" s="1986"/>
      <c r="S2103" s="1986"/>
      <c r="T2103" s="1987">
        <f t="shared" si="4186"/>
        <v>0</v>
      </c>
      <c r="U2103" s="1982">
        <f t="shared" si="4251"/>
        <v>0</v>
      </c>
      <c r="V2103" s="1987">
        <f t="shared" ca="1" si="4252"/>
        <v>0</v>
      </c>
      <c r="W2103" s="1988">
        <f t="shared" si="4121"/>
        <v>0</v>
      </c>
      <c r="X2103" s="1989">
        <f t="shared" si="4122"/>
        <v>0</v>
      </c>
      <c r="Y2103" s="1990">
        <v>94015616</v>
      </c>
      <c r="Z2103" s="220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</row>
    <row r="2104" spans="1:39" s="401" customFormat="1" hidden="1" outlineLevel="1">
      <c r="A2104" s="1019">
        <v>2406010300</v>
      </c>
      <c r="B2104" s="1965"/>
      <c r="C2104" s="1677" t="s">
        <v>64</v>
      </c>
      <c r="D2104" s="1680">
        <v>100005130</v>
      </c>
      <c r="E2104" s="1681">
        <v>44596</v>
      </c>
      <c r="F2104" s="1023"/>
      <c r="G2104" s="1290"/>
      <c r="H2104" s="1966"/>
      <c r="I2104" s="1024"/>
      <c r="J2104" s="1970">
        <v>1</v>
      </c>
      <c r="K2104" s="1991">
        <v>1</v>
      </c>
      <c r="L2104" s="1026"/>
      <c r="M2104" s="1324">
        <f>+L2104*J2104</f>
        <v>0</v>
      </c>
      <c r="N2104" s="1967">
        <f t="shared" ref="N2104:N2109" ca="1" si="4253">+$N$2102</f>
        <v>3781.35</v>
      </c>
      <c r="O2104" s="1969">
        <f ca="1">+L2104*J2104*N2104</f>
        <v>0</v>
      </c>
      <c r="P2104" s="1026"/>
      <c r="Q2104" s="1324">
        <f>+P2104*K2104</f>
        <v>0</v>
      </c>
      <c r="R2104" s="1967"/>
      <c r="S2104" s="1967"/>
      <c r="T2104" s="1969">
        <f>+P2104*K2104*S2104</f>
        <v>0</v>
      </c>
      <c r="U2104" s="1970">
        <f>+L2104+P2104+F2104</f>
        <v>0</v>
      </c>
      <c r="V2104" s="1969">
        <f ca="1">+P2104*J2104*R2104+L2104*J2104*N2104+F2104*J2104*H2104</f>
        <v>0</v>
      </c>
      <c r="W2104" s="1971">
        <f>-(IF(-P2104*J2104*R2104&lt;-P2104*K2104*S2104,(-P2104*J2104*R2104)-(-P2104*K2104*S2104),0))</f>
        <v>0</v>
      </c>
      <c r="X2104" s="1972">
        <f>-(IF(-P2104*J2104*R2104&gt;-P2104*K2104*S2104,(-P2104*J2104*R2104)-(-P2104*K2104*S2104),0))</f>
        <v>0</v>
      </c>
      <c r="Y2104" s="1030">
        <v>94015616</v>
      </c>
      <c r="Z2104" s="220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</row>
    <row r="2105" spans="1:39" s="401" customFormat="1" hidden="1" outlineLevel="1">
      <c r="A2105" s="1019">
        <v>2406010300</v>
      </c>
      <c r="B2105" s="1965" t="s">
        <v>1253</v>
      </c>
      <c r="C2105" s="1677" t="s">
        <v>64</v>
      </c>
      <c r="D2105" s="1680">
        <v>100005130</v>
      </c>
      <c r="E2105" s="1681">
        <v>44596</v>
      </c>
      <c r="F2105" s="1023"/>
      <c r="G2105" s="1290"/>
      <c r="H2105" s="1966"/>
      <c r="I2105" s="1024"/>
      <c r="J2105" s="1970">
        <v>1</v>
      </c>
      <c r="K2105" s="1991">
        <v>1</v>
      </c>
      <c r="L2105" s="1026"/>
      <c r="M2105" s="1324">
        <f>+L2105*J2105</f>
        <v>0</v>
      </c>
      <c r="N2105" s="1967">
        <f t="shared" ca="1" si="4253"/>
        <v>3781.35</v>
      </c>
      <c r="O2105" s="1969">
        <f ca="1">+L2105*J2105*N2105</f>
        <v>0</v>
      </c>
      <c r="P2105" s="1026"/>
      <c r="Q2105" s="1324">
        <f>+P2105*K2105</f>
        <v>0</v>
      </c>
      <c r="R2105" s="1967"/>
      <c r="S2105" s="1967"/>
      <c r="T2105" s="1969">
        <f>+P2105*K2105*S2105</f>
        <v>0</v>
      </c>
      <c r="U2105" s="1970">
        <f>+L2105+P2105+F2105</f>
        <v>0</v>
      </c>
      <c r="V2105" s="1969">
        <f ca="1">+P2105*J2105*R2105+L2105*J2105*N2105+F2105*J2105*H2105</f>
        <v>0</v>
      </c>
      <c r="W2105" s="1971">
        <f>-(IF(-P2105*J2105*R2105&lt;-P2105*K2105*S2105,(-P2105*J2105*R2105)-(-P2105*K2105*S2105),0))</f>
        <v>0</v>
      </c>
      <c r="X2105" s="1972">
        <f>-(IF(-P2105*J2105*R2105&gt;-P2105*K2105*S2105,(-P2105*J2105*R2105)-(-P2105*K2105*S2105),0))</f>
        <v>0</v>
      </c>
      <c r="Y2105" s="1030">
        <v>94015616</v>
      </c>
      <c r="Z2105" s="220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</row>
    <row r="2106" spans="1:39" s="401" customFormat="1" hidden="1" outlineLevel="1">
      <c r="A2106" s="1019">
        <v>2406010300</v>
      </c>
      <c r="B2106" s="1965" t="s">
        <v>1252</v>
      </c>
      <c r="C2106" s="1677" t="s">
        <v>64</v>
      </c>
      <c r="D2106" s="1680">
        <v>100004716</v>
      </c>
      <c r="E2106" s="1681">
        <v>44596</v>
      </c>
      <c r="F2106" s="1023"/>
      <c r="G2106" s="1290"/>
      <c r="H2106" s="1966"/>
      <c r="I2106" s="1024"/>
      <c r="J2106" s="1970">
        <v>1</v>
      </c>
      <c r="K2106" s="1991">
        <v>1</v>
      </c>
      <c r="L2106" s="1992"/>
      <c r="M2106" s="1324">
        <f t="shared" si="4183"/>
        <v>0</v>
      </c>
      <c r="N2106" s="1967">
        <f t="shared" ca="1" si="4253"/>
        <v>3781.35</v>
      </c>
      <c r="O2106" s="1969">
        <f t="shared" ca="1" si="4184"/>
        <v>0</v>
      </c>
      <c r="P2106" s="1026"/>
      <c r="Q2106" s="1324">
        <f t="shared" si="4185"/>
        <v>0</v>
      </c>
      <c r="R2106" s="1967"/>
      <c r="S2106" s="1967"/>
      <c r="T2106" s="1969">
        <f t="shared" si="4186"/>
        <v>0</v>
      </c>
      <c r="U2106" s="1993">
        <f t="shared" si="4251"/>
        <v>0</v>
      </c>
      <c r="V2106" s="1969">
        <f t="shared" ca="1" si="4252"/>
        <v>0</v>
      </c>
      <c r="W2106" s="1971">
        <f t="shared" si="4121"/>
        <v>0</v>
      </c>
      <c r="X2106" s="1972">
        <f t="shared" si="4122"/>
        <v>0</v>
      </c>
      <c r="Y2106" s="1030">
        <v>94015616</v>
      </c>
      <c r="Z2106" s="220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</row>
    <row r="2107" spans="1:39" s="401" customFormat="1" hidden="1" outlineLevel="1">
      <c r="A2107" s="1019">
        <v>2406010300</v>
      </c>
      <c r="B2107" s="1965" t="s">
        <v>1254</v>
      </c>
      <c r="C2107" s="1677" t="s">
        <v>64</v>
      </c>
      <c r="D2107" s="1680">
        <v>100004716</v>
      </c>
      <c r="E2107" s="1681">
        <v>44596</v>
      </c>
      <c r="F2107" s="1023"/>
      <c r="G2107" s="1290"/>
      <c r="H2107" s="1966"/>
      <c r="I2107" s="1024"/>
      <c r="J2107" s="1970">
        <v>1</v>
      </c>
      <c r="K2107" s="1991">
        <v>1</v>
      </c>
      <c r="L2107" s="1992"/>
      <c r="M2107" s="1324">
        <f t="shared" si="4183"/>
        <v>0</v>
      </c>
      <c r="N2107" s="1967">
        <f t="shared" ca="1" si="4253"/>
        <v>3781.35</v>
      </c>
      <c r="O2107" s="1969">
        <f t="shared" ca="1" si="4184"/>
        <v>0</v>
      </c>
      <c r="P2107" s="1026"/>
      <c r="Q2107" s="1324">
        <f t="shared" si="4185"/>
        <v>0</v>
      </c>
      <c r="R2107" s="1967"/>
      <c r="S2107" s="1967"/>
      <c r="T2107" s="1969">
        <f t="shared" si="4186"/>
        <v>0</v>
      </c>
      <c r="U2107" s="1993">
        <f t="shared" si="4251"/>
        <v>0</v>
      </c>
      <c r="V2107" s="1969">
        <f t="shared" ca="1" si="4252"/>
        <v>0</v>
      </c>
      <c r="W2107" s="1971">
        <f t="shared" si="4121"/>
        <v>0</v>
      </c>
      <c r="X2107" s="1972">
        <f t="shared" si="4122"/>
        <v>0</v>
      </c>
      <c r="Y2107" s="1030">
        <v>94015616</v>
      </c>
      <c r="Z2107" s="220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</row>
    <row r="2108" spans="1:39" s="401" customFormat="1" hidden="1" outlineLevel="1">
      <c r="A2108" s="1019">
        <v>2406010300</v>
      </c>
      <c r="B2108" s="1965" t="s">
        <v>1255</v>
      </c>
      <c r="C2108" s="1677" t="s">
        <v>64</v>
      </c>
      <c r="D2108" s="1680">
        <v>100004716</v>
      </c>
      <c r="E2108" s="1681">
        <v>44596</v>
      </c>
      <c r="F2108" s="1023"/>
      <c r="G2108" s="1290"/>
      <c r="H2108" s="1966"/>
      <c r="I2108" s="1024"/>
      <c r="J2108" s="1970">
        <v>1</v>
      </c>
      <c r="K2108" s="1991">
        <v>1</v>
      </c>
      <c r="L2108" s="1992"/>
      <c r="M2108" s="1324">
        <f>+L2108*J2108</f>
        <v>0</v>
      </c>
      <c r="N2108" s="1967">
        <f t="shared" ca="1" si="4253"/>
        <v>3781.35</v>
      </c>
      <c r="O2108" s="1969">
        <f ca="1">+L2108*J2108*N2108</f>
        <v>0</v>
      </c>
      <c r="P2108" s="1026"/>
      <c r="Q2108" s="1324">
        <f>+P2108*K2108</f>
        <v>0</v>
      </c>
      <c r="R2108" s="1967"/>
      <c r="S2108" s="1967"/>
      <c r="T2108" s="1969">
        <f>+P2108*K2108*S2108</f>
        <v>0</v>
      </c>
      <c r="U2108" s="1993">
        <f>+L2108+P2108+F2108</f>
        <v>0</v>
      </c>
      <c r="V2108" s="1969">
        <f ca="1">+P2108*J2108*R2108+L2108*J2108*N2108+F2108*J2108*H2108</f>
        <v>0</v>
      </c>
      <c r="W2108" s="1971">
        <f>-(IF(-P2108*J2108*R2108&lt;-P2108*K2108*S2108,(-P2108*J2108*R2108)-(-P2108*K2108*S2108),0))</f>
        <v>0</v>
      </c>
      <c r="X2108" s="1972">
        <f>-(IF(-P2108*J2108*R2108&gt;-P2108*K2108*S2108,(-P2108*J2108*R2108)-(-P2108*K2108*S2108),0))</f>
        <v>0</v>
      </c>
      <c r="Y2108" s="1030">
        <v>94015616</v>
      </c>
      <c r="Z2108" s="220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</row>
    <row r="2109" spans="1:39" s="401" customFormat="1" hidden="1" outlineLevel="1">
      <c r="A2109" s="1019">
        <v>2406010300</v>
      </c>
      <c r="B2109" s="2128" t="s">
        <v>1256</v>
      </c>
      <c r="C2109" s="1677" t="s">
        <v>64</v>
      </c>
      <c r="D2109" s="1680">
        <v>100004716</v>
      </c>
      <c r="E2109" s="1681">
        <v>44596</v>
      </c>
      <c r="F2109" s="1023"/>
      <c r="G2109" s="1290"/>
      <c r="H2109" s="1966"/>
      <c r="I2109" s="1024"/>
      <c r="J2109" s="1970">
        <v>1</v>
      </c>
      <c r="K2109" s="1991">
        <v>1</v>
      </c>
      <c r="L2109" s="1026"/>
      <c r="M2109" s="1324">
        <f t="shared" si="4183"/>
        <v>0</v>
      </c>
      <c r="N2109" s="1967">
        <f t="shared" ca="1" si="4253"/>
        <v>3781.35</v>
      </c>
      <c r="O2109" s="1969">
        <f t="shared" ca="1" si="4184"/>
        <v>0</v>
      </c>
      <c r="P2109" s="1026"/>
      <c r="Q2109" s="1324">
        <f t="shared" si="4185"/>
        <v>0</v>
      </c>
      <c r="R2109" s="1967"/>
      <c r="S2109" s="1967"/>
      <c r="T2109" s="1969">
        <f t="shared" si="4186"/>
        <v>0</v>
      </c>
      <c r="U2109" s="1970">
        <f t="shared" si="4251"/>
        <v>0</v>
      </c>
      <c r="V2109" s="1969">
        <f t="shared" ca="1" si="4252"/>
        <v>0</v>
      </c>
      <c r="W2109" s="1971">
        <f t="shared" si="4121"/>
        <v>0</v>
      </c>
      <c r="X2109" s="1972">
        <f t="shared" si="4122"/>
        <v>0</v>
      </c>
      <c r="Y2109" s="1030">
        <v>94015616</v>
      </c>
      <c r="Z2109" s="220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</row>
    <row r="2110" spans="1:39" s="401" customFormat="1" hidden="1" outlineLevel="1">
      <c r="A2110" s="1019">
        <v>2406010300</v>
      </c>
      <c r="B2110" s="1965" t="s">
        <v>1359</v>
      </c>
      <c r="C2110" s="1677" t="s">
        <v>64</v>
      </c>
      <c r="D2110" s="1680">
        <v>2200000005</v>
      </c>
      <c r="E2110" s="1681">
        <v>44595</v>
      </c>
      <c r="F2110" s="1023"/>
      <c r="G2110" s="1290"/>
      <c r="H2110" s="1966"/>
      <c r="I2110" s="1024"/>
      <c r="J2110" s="1970">
        <v>1</v>
      </c>
      <c r="K2110" s="1991">
        <v>1</v>
      </c>
      <c r="L2110" s="1026"/>
      <c r="M2110" s="1324">
        <f t="shared" si="4183"/>
        <v>0</v>
      </c>
      <c r="N2110" s="1967"/>
      <c r="O2110" s="1969">
        <f t="shared" si="4184"/>
        <v>0</v>
      </c>
      <c r="P2110" s="1992">
        <f>-L2106</f>
        <v>0</v>
      </c>
      <c r="Q2110" s="1324">
        <f t="shared" si="4185"/>
        <v>0</v>
      </c>
      <c r="R2110" s="1967">
        <f ca="1">+$N$2102</f>
        <v>3781.35</v>
      </c>
      <c r="S2110" s="1967">
        <f>VLOOKUP($E2110,'TRM BanRep'!$A:$G,7,0)</f>
        <v>3928.05</v>
      </c>
      <c r="T2110" s="1969">
        <f t="shared" si="4186"/>
        <v>0</v>
      </c>
      <c r="U2110" s="1993">
        <f t="shared" si="4251"/>
        <v>0</v>
      </c>
      <c r="V2110" s="1969">
        <f t="shared" ca="1" si="4252"/>
        <v>0</v>
      </c>
      <c r="W2110" s="1971">
        <f t="shared" ca="1" si="4121"/>
        <v>0</v>
      </c>
      <c r="X2110" s="1972">
        <f t="shared" ca="1" si="4122"/>
        <v>0</v>
      </c>
      <c r="Y2110" s="1030">
        <v>94015616</v>
      </c>
      <c r="Z2110" s="220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</row>
    <row r="2111" spans="1:39" s="401" customFormat="1" hidden="1" outlineLevel="1">
      <c r="A2111" s="1019">
        <v>2406010300</v>
      </c>
      <c r="B2111" s="1965"/>
      <c r="C2111" s="1677" t="s">
        <v>64</v>
      </c>
      <c r="D2111" s="1680">
        <v>2000001907</v>
      </c>
      <c r="E2111" s="1681">
        <v>44627</v>
      </c>
      <c r="F2111" s="1023"/>
      <c r="G2111" s="1290"/>
      <c r="H2111" s="1966"/>
      <c r="I2111" s="1024"/>
      <c r="J2111" s="1970">
        <v>1</v>
      </c>
      <c r="K2111" s="1991">
        <v>1</v>
      </c>
      <c r="L2111" s="1026"/>
      <c r="M2111" s="1324">
        <f t="shared" ref="M2111" si="4254">+L2111*J2111</f>
        <v>0</v>
      </c>
      <c r="N2111" s="1967"/>
      <c r="O2111" s="1969">
        <f t="shared" ref="O2111" si="4255">+L2111*J2111*N2111</f>
        <v>0</v>
      </c>
      <c r="P2111" s="1992">
        <f>-L2107</f>
        <v>0</v>
      </c>
      <c r="Q2111" s="1324">
        <f t="shared" ref="Q2111" si="4256">+P2111*K2111</f>
        <v>0</v>
      </c>
      <c r="R2111" s="1967">
        <f ca="1">+$N$2102</f>
        <v>3781.35</v>
      </c>
      <c r="S2111" s="1967">
        <f>VLOOKUP($E2111,'TRM BanRep'!$A:$G,7,0)</f>
        <v>3806.11</v>
      </c>
      <c r="T2111" s="1969">
        <f t="shared" ref="T2111" si="4257">+P2111*K2111*S2111</f>
        <v>0</v>
      </c>
      <c r="U2111" s="1993">
        <f t="shared" ref="U2111" si="4258">+L2111+P2111+F2111</f>
        <v>0</v>
      </c>
      <c r="V2111" s="1969">
        <f t="shared" ref="V2111" ca="1" si="4259">+P2111*J2111*R2111+L2111*J2111*N2111+F2111*J2111*H2111</f>
        <v>0</v>
      </c>
      <c r="W2111" s="1971">
        <f t="shared" ref="W2111" ca="1" si="4260">-(IF(-P2111*J2111*R2111&lt;-P2111*K2111*S2111,(-P2111*J2111*R2111)-(-P2111*K2111*S2111),0))</f>
        <v>0</v>
      </c>
      <c r="X2111" s="1972">
        <f t="shared" ref="X2111" ca="1" si="4261">-(IF(-P2111*J2111*R2111&gt;-P2111*K2111*S2111,(-P2111*J2111*R2111)-(-P2111*K2111*S2111),0))</f>
        <v>0</v>
      </c>
      <c r="Y2111" s="1030">
        <v>94015616</v>
      </c>
      <c r="Z2111" s="220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</row>
    <row r="2112" spans="1:39" s="401" customFormat="1" hidden="1" outlineLevel="1">
      <c r="A2112" s="1019">
        <v>2406010300</v>
      </c>
      <c r="B2112" s="1965"/>
      <c r="C2112" s="1677" t="s">
        <v>64</v>
      </c>
      <c r="D2112" s="1680">
        <v>2000001907</v>
      </c>
      <c r="E2112" s="1681">
        <v>44627</v>
      </c>
      <c r="F2112" s="1023"/>
      <c r="G2112" s="1290"/>
      <c r="H2112" s="1966"/>
      <c r="I2112" s="1024"/>
      <c r="J2112" s="1970">
        <v>1</v>
      </c>
      <c r="K2112" s="1991">
        <v>1</v>
      </c>
      <c r="L2112" s="1026"/>
      <c r="M2112" s="1324">
        <f t="shared" ref="M2112" si="4262">+L2112*J2112</f>
        <v>0</v>
      </c>
      <c r="N2112" s="1967"/>
      <c r="O2112" s="1969">
        <f t="shared" ref="O2112" si="4263">+L2112*J2112*N2112</f>
        <v>0</v>
      </c>
      <c r="P2112" s="1992">
        <f>-L2108</f>
        <v>0</v>
      </c>
      <c r="Q2112" s="1324">
        <f t="shared" ref="Q2112" si="4264">+P2112*K2112</f>
        <v>0</v>
      </c>
      <c r="R2112" s="1967">
        <f ca="1">+$N$2102</f>
        <v>3781.35</v>
      </c>
      <c r="S2112" s="1967">
        <f>VLOOKUP($E2112,'TRM BanRep'!$A:$G,7,0)</f>
        <v>3806.11</v>
      </c>
      <c r="T2112" s="1969">
        <f t="shared" ref="T2112" si="4265">+P2112*K2112*S2112</f>
        <v>0</v>
      </c>
      <c r="U2112" s="1993">
        <f t="shared" ref="U2112" si="4266">+L2112+P2112+F2112</f>
        <v>0</v>
      </c>
      <c r="V2112" s="1969">
        <f t="shared" ref="V2112" ca="1" si="4267">+P2112*J2112*R2112+L2112*J2112*N2112+F2112*J2112*H2112</f>
        <v>0</v>
      </c>
      <c r="W2112" s="1971">
        <f t="shared" ref="W2112" ca="1" si="4268">-(IF(-P2112*J2112*R2112&lt;-P2112*K2112*S2112,(-P2112*J2112*R2112)-(-P2112*K2112*S2112),0))</f>
        <v>0</v>
      </c>
      <c r="X2112" s="1972">
        <f t="shared" ref="X2112" ca="1" si="4269">-(IF(-P2112*J2112*R2112&gt;-P2112*K2112*S2112,(-P2112*J2112*R2112)-(-P2112*K2112*S2112),0))</f>
        <v>0</v>
      </c>
      <c r="Y2112" s="1030">
        <v>94015616</v>
      </c>
      <c r="Z2112" s="220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</row>
    <row r="2113" spans="1:39" s="401" customFormat="1" hidden="1" outlineLevel="1">
      <c r="A2113" s="1019">
        <v>2406010300</v>
      </c>
      <c r="B2113" s="1965"/>
      <c r="C2113" s="1677" t="s">
        <v>64</v>
      </c>
      <c r="D2113" s="2124">
        <v>1700000083</v>
      </c>
      <c r="E2113" s="2125">
        <v>44742</v>
      </c>
      <c r="F2113" s="1023"/>
      <c r="G2113" s="1290"/>
      <c r="H2113" s="1966"/>
      <c r="I2113" s="1024"/>
      <c r="J2113" s="1970">
        <v>1</v>
      </c>
      <c r="K2113" s="1991">
        <v>1</v>
      </c>
      <c r="L2113" s="1026"/>
      <c r="M2113" s="1324">
        <f t="shared" ref="M2113" si="4270">+L2113*J2113</f>
        <v>0</v>
      </c>
      <c r="N2113" s="1967"/>
      <c r="O2113" s="1969">
        <f t="shared" ref="O2113" si="4271">+L2113*J2113*N2113</f>
        <v>0</v>
      </c>
      <c r="P2113" s="2127">
        <f>-L2109</f>
        <v>0</v>
      </c>
      <c r="Q2113" s="1324">
        <f t="shared" ref="Q2113" si="4272">+P2113*K2113</f>
        <v>0</v>
      </c>
      <c r="R2113" s="1967">
        <f ca="1">+$N$2102</f>
        <v>3781.35</v>
      </c>
      <c r="S2113" s="1967">
        <f>VLOOKUP($E2113,'TRM BanRep'!$A:$G,7,0)</f>
        <v>4127.47</v>
      </c>
      <c r="T2113" s="1969">
        <f t="shared" ref="T2113" si="4273">+P2113*K2113*S2113</f>
        <v>0</v>
      </c>
      <c r="U2113" s="2126">
        <f t="shared" ref="U2113" si="4274">+L2113+P2113+F2113</f>
        <v>0</v>
      </c>
      <c r="V2113" s="1969">
        <f t="shared" ref="V2113" ca="1" si="4275">+P2113*J2113*R2113+L2113*J2113*N2113+F2113*J2113*H2113</f>
        <v>0</v>
      </c>
      <c r="W2113" s="1971">
        <f t="shared" ref="W2113" ca="1" si="4276">-(IF(-P2113*J2113*R2113&lt;-P2113*K2113*S2113,(-P2113*J2113*R2113)-(-P2113*K2113*S2113),0))</f>
        <v>0</v>
      </c>
      <c r="X2113" s="1972">
        <f t="shared" ref="X2113" ca="1" si="4277">-(IF(-P2113*J2113*R2113&gt;-P2113*K2113*S2113,(-P2113*J2113*R2113)-(-P2113*K2113*S2113),0))</f>
        <v>0</v>
      </c>
      <c r="Y2113" s="1030">
        <v>94015616</v>
      </c>
      <c r="Z2113" s="220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</row>
    <row r="2114" spans="1:39" s="401" customFormat="1" collapsed="1">
      <c r="A2114" s="1011"/>
      <c r="B2114" s="1012"/>
      <c r="C2114" s="1661"/>
      <c r="D2114" s="1665"/>
      <c r="E2114" s="1666"/>
      <c r="F2114" s="1040"/>
      <c r="G2114" s="1294"/>
      <c r="H2114" s="1053"/>
      <c r="I2114" s="1041"/>
      <c r="J2114" s="1508"/>
      <c r="K2114" s="1509"/>
      <c r="L2114" s="1040"/>
      <c r="M2114" s="1294">
        <f t="shared" ref="M2114" si="4278">+L2114*J2114</f>
        <v>0</v>
      </c>
      <c r="N2114" s="1053"/>
      <c r="O2114" s="1041">
        <f t="shared" ref="O2114" si="4279">+L2114*J2114*N2114</f>
        <v>0</v>
      </c>
      <c r="P2114" s="1040"/>
      <c r="Q2114" s="1294">
        <f t="shared" ref="Q2114" si="4280">+P2114*K2114</f>
        <v>0</v>
      </c>
      <c r="R2114" s="1053"/>
      <c r="S2114" s="1053"/>
      <c r="T2114" s="1041">
        <f t="shared" ref="T2114" si="4281">+P2114*K2114*S2114</f>
        <v>0</v>
      </c>
      <c r="U2114" s="1040"/>
      <c r="V2114" s="1041"/>
      <c r="W2114" s="1039">
        <f t="shared" ref="W2114" si="4282">-(IF(-P2114*J2114*R2114&lt;-P2114*K2114*S2114,(-P2114*J2114*R2114)-(-P2114*K2114*S2114),0))</f>
        <v>0</v>
      </c>
      <c r="X2114" s="1038">
        <f t="shared" ref="X2114" si="4283">-(IF(-P2114*J2114*R2114&gt;-P2114*K2114*S2114,(-P2114*J2114*R2114)-(-P2114*K2114*S2114),0))</f>
        <v>0</v>
      </c>
      <c r="Y2114" s="1037"/>
      <c r="Z2114" s="220"/>
      <c r="AA2114" s="15"/>
      <c r="AB2114" s="15"/>
      <c r="AC2114" s="15"/>
      <c r="AD2114" s="15"/>
      <c r="AE2114" s="15"/>
    </row>
    <row r="2115" spans="1:39" s="401" customFormat="1">
      <c r="A2115" s="1011"/>
      <c r="B2115" s="1012"/>
      <c r="C2115" s="1661"/>
      <c r="D2115" s="1665"/>
      <c r="E2115" s="1666"/>
      <c r="F2115" s="1040"/>
      <c r="G2115" s="1294"/>
      <c r="H2115" s="1053"/>
      <c r="I2115" s="1041"/>
      <c r="J2115" s="1508"/>
      <c r="K2115" s="1509"/>
      <c r="L2115" s="1040"/>
      <c r="M2115" s="1294">
        <f t="shared" ref="M2115" si="4284">+L2115*J2115</f>
        <v>0</v>
      </c>
      <c r="N2115" s="1053"/>
      <c r="O2115" s="1041">
        <f t="shared" ref="O2115" si="4285">+L2115*J2115*N2115</f>
        <v>0</v>
      </c>
      <c r="P2115" s="1040"/>
      <c r="Q2115" s="1294">
        <f t="shared" ref="Q2115" si="4286">+P2115*K2115</f>
        <v>0</v>
      </c>
      <c r="R2115" s="1053"/>
      <c r="S2115" s="1053"/>
      <c r="T2115" s="1041">
        <f t="shared" ref="T2115" si="4287">+P2115*K2115*S2115</f>
        <v>0</v>
      </c>
      <c r="U2115" s="1040"/>
      <c r="V2115" s="1041"/>
      <c r="W2115" s="1039">
        <f t="shared" ref="W2115" si="4288">-(IF(-P2115*J2115*R2115&lt;-P2115*K2115*S2115,(-P2115*J2115*R2115)-(-P2115*K2115*S2115),0))</f>
        <v>0</v>
      </c>
      <c r="X2115" s="1038">
        <f t="shared" ref="X2115" si="4289">-(IF(-P2115*J2115*R2115&gt;-P2115*K2115*S2115,(-P2115*J2115*R2115)-(-P2115*K2115*S2115),0))</f>
        <v>0</v>
      </c>
      <c r="Y2115" s="1037"/>
      <c r="Z2115" s="220"/>
      <c r="AA2115" s="15"/>
      <c r="AB2115" s="15"/>
      <c r="AC2115" s="15"/>
      <c r="AD2115" s="15"/>
      <c r="AE2115" s="15"/>
    </row>
    <row r="2116" spans="1:39" s="401" customFormat="1" outlineLevel="1">
      <c r="A2116" s="1011">
        <v>2406010300</v>
      </c>
      <c r="B2116" s="1012" t="s">
        <v>1507</v>
      </c>
      <c r="C2116" s="1661" t="s">
        <v>64</v>
      </c>
      <c r="D2116" s="1665">
        <v>5100000098</v>
      </c>
      <c r="E2116" s="1666">
        <v>44937</v>
      </c>
      <c r="F2116" s="1015"/>
      <c r="G2116" s="1293"/>
      <c r="H2116" s="346"/>
      <c r="I2116" s="1016"/>
      <c r="J2116" s="1457">
        <v>1</v>
      </c>
      <c r="K2116" s="1458">
        <v>1</v>
      </c>
      <c r="L2116" s="1036">
        <v>-550</v>
      </c>
      <c r="M2116" s="1325">
        <f t="shared" si="4183"/>
        <v>-550</v>
      </c>
      <c r="N2116" s="348">
        <f ca="1">IF(OR(E2116="",E2116&gt;TODAY()),0,IF(ISERROR(VLOOKUP($E2116,'TRM BanRep'!$A:$G,7,0)),0,VLOOKUP($E2116,'TRM BanRep'!$A:$G,7,0)))</f>
        <v>4807.8500000000004</v>
      </c>
      <c r="O2116" s="996">
        <f t="shared" ca="1" si="4184"/>
        <v>-2644317.5</v>
      </c>
      <c r="P2116" s="1017"/>
      <c r="Q2116" s="1362">
        <f t="shared" si="4185"/>
        <v>0</v>
      </c>
      <c r="R2116" s="349"/>
      <c r="S2116" s="349"/>
      <c r="T2116" s="1031">
        <f t="shared" si="4186"/>
        <v>0</v>
      </c>
      <c r="U2116" s="970">
        <f t="shared" si="4233"/>
        <v>-550</v>
      </c>
      <c r="V2116" s="971">
        <f t="shared" ca="1" si="4234"/>
        <v>-2644317.5</v>
      </c>
      <c r="W2116" s="972">
        <f t="shared" si="4121"/>
        <v>0</v>
      </c>
      <c r="X2116" s="973">
        <f t="shared" si="4122"/>
        <v>0</v>
      </c>
      <c r="Y2116" s="1018"/>
      <c r="Z2116" s="1077"/>
      <c r="AA2116" s="974"/>
      <c r="AB2116" s="974"/>
      <c r="AC2116" s="974"/>
      <c r="AD2116" s="974"/>
      <c r="AE2116" s="974"/>
    </row>
    <row r="2117" spans="1:39" s="401" customFormat="1" outlineLevel="1">
      <c r="A2117" s="1011">
        <v>2406010300</v>
      </c>
      <c r="B2117" s="1012" t="s">
        <v>1366</v>
      </c>
      <c r="C2117" s="1661" t="s">
        <v>64</v>
      </c>
      <c r="D2117" s="1665">
        <v>2000000368</v>
      </c>
      <c r="E2117" s="1666">
        <v>44937</v>
      </c>
      <c r="F2117" s="1015"/>
      <c r="G2117" s="1293"/>
      <c r="H2117" s="346"/>
      <c r="I2117" s="1016"/>
      <c r="J2117" s="1457">
        <v>1</v>
      </c>
      <c r="K2117" s="1458">
        <v>1</v>
      </c>
      <c r="L2117" s="1036"/>
      <c r="M2117" s="1325">
        <f t="shared" si="4183"/>
        <v>0</v>
      </c>
      <c r="N2117" s="348">
        <f ca="1">IF(OR(E2117="",E2117&gt;TODAY()),0,IF(ISERROR(VLOOKUP($E2117,'TRM BanRep'!$A:$G,7,0)),0,VLOOKUP($E2117,'TRM BanRep'!$A:$G,7,0)))</f>
        <v>4807.8500000000004</v>
      </c>
      <c r="O2117" s="996">
        <f t="shared" ca="1" si="4184"/>
        <v>0</v>
      </c>
      <c r="P2117" s="1017">
        <f>-L2116</f>
        <v>550</v>
      </c>
      <c r="Q2117" s="1362">
        <f t="shared" si="4185"/>
        <v>550</v>
      </c>
      <c r="R2117" s="349">
        <f ca="1">+N2116</f>
        <v>4807.8500000000004</v>
      </c>
      <c r="S2117" s="349">
        <f ca="1">IF(OR(E2117="",E2117&gt;TODAY()),0,IF(ISERROR(VLOOKUP($E2117,'TRM BanRep'!$A:$G,7,0)),0,VLOOKUP($E2117,'TRM BanRep'!$A:$G,7,0)))</f>
        <v>4807.8500000000004</v>
      </c>
      <c r="T2117" s="1031">
        <f t="shared" ca="1" si="4186"/>
        <v>2644317.5</v>
      </c>
      <c r="U2117" s="970">
        <f t="shared" si="4233"/>
        <v>550</v>
      </c>
      <c r="V2117" s="971">
        <f t="shared" ca="1" si="4234"/>
        <v>2644317.5</v>
      </c>
      <c r="W2117" s="972">
        <f t="shared" ca="1" si="4121"/>
        <v>0</v>
      </c>
      <c r="X2117" s="973">
        <f t="shared" ca="1" si="4122"/>
        <v>0</v>
      </c>
      <c r="Y2117" s="1018"/>
      <c r="Z2117" s="1077"/>
      <c r="AA2117" s="974"/>
      <c r="AB2117" s="974"/>
      <c r="AC2117" s="974"/>
      <c r="AD2117" s="974"/>
      <c r="AE2117" s="974"/>
    </row>
    <row r="2118" spans="1:39" s="401" customFormat="1" outlineLevel="1">
      <c r="A2118" s="1011">
        <v>2406010300</v>
      </c>
      <c r="B2118" s="1012" t="s">
        <v>1508</v>
      </c>
      <c r="C2118" s="1661" t="s">
        <v>64</v>
      </c>
      <c r="D2118" s="1665">
        <v>5100000433</v>
      </c>
      <c r="E2118" s="1666">
        <v>44949</v>
      </c>
      <c r="F2118" s="1015"/>
      <c r="G2118" s="1293"/>
      <c r="H2118" s="346"/>
      <c r="I2118" s="1016"/>
      <c r="J2118" s="1457">
        <v>1</v>
      </c>
      <c r="K2118" s="1458">
        <v>1</v>
      </c>
      <c r="L2118" s="1036">
        <v>-6915</v>
      </c>
      <c r="M2118" s="1325">
        <f t="shared" si="4183"/>
        <v>-6915</v>
      </c>
      <c r="N2118" s="348">
        <f ca="1">IF(OR(E2118="",E2118&gt;TODAY()),0,IF(ISERROR(VLOOKUP($E2118,'TRM BanRep'!$A:$G,7,0)),0,VLOOKUP($E2118,'TRM BanRep'!$A:$G,7,0)))</f>
        <v>4631.6400000000003</v>
      </c>
      <c r="O2118" s="996">
        <f t="shared" ca="1" si="4184"/>
        <v>-32027790.600000001</v>
      </c>
      <c r="P2118" s="1017"/>
      <c r="Q2118" s="1362">
        <f t="shared" si="4185"/>
        <v>0</v>
      </c>
      <c r="R2118" s="349"/>
      <c r="S2118" s="349">
        <f ca="1">IF(OR(E2118="",E2118&gt;TODAY()),0,IF(ISERROR(VLOOKUP($E2118,'TRM BanRep'!$A:$G,7,0)),0,VLOOKUP($E2118,'TRM BanRep'!$A:$G,7,0)))</f>
        <v>4631.6400000000003</v>
      </c>
      <c r="T2118" s="1031">
        <f t="shared" ca="1" si="4186"/>
        <v>0</v>
      </c>
      <c r="U2118" s="970">
        <f t="shared" si="4233"/>
        <v>-6915</v>
      </c>
      <c r="V2118" s="971">
        <f t="shared" ca="1" si="4234"/>
        <v>-32027790.600000001</v>
      </c>
      <c r="W2118" s="972">
        <f t="shared" ca="1" si="4121"/>
        <v>0</v>
      </c>
      <c r="X2118" s="973">
        <f t="shared" ca="1" si="4122"/>
        <v>0</v>
      </c>
      <c r="Y2118" s="1018"/>
      <c r="Z2118" s="1077"/>
      <c r="AA2118" s="974"/>
      <c r="AB2118" s="974"/>
      <c r="AC2118" s="974"/>
      <c r="AD2118" s="974"/>
      <c r="AE2118" s="974"/>
    </row>
    <row r="2119" spans="1:39" s="401" customFormat="1" outlineLevel="1">
      <c r="A2119" s="1011">
        <v>2406010300</v>
      </c>
      <c r="B2119" s="1012"/>
      <c r="C2119" s="1661" t="s">
        <v>64</v>
      </c>
      <c r="D2119" s="1665">
        <v>2000000710</v>
      </c>
      <c r="E2119" s="1666">
        <v>44952</v>
      </c>
      <c r="F2119" s="1015"/>
      <c r="G2119" s="1293"/>
      <c r="H2119" s="346"/>
      <c r="I2119" s="1016"/>
      <c r="J2119" s="1457">
        <v>1</v>
      </c>
      <c r="K2119" s="1458">
        <v>1</v>
      </c>
      <c r="L2119" s="1036"/>
      <c r="M2119" s="1325">
        <f t="shared" ref="M2119" si="4290">+L2119*J2119</f>
        <v>0</v>
      </c>
      <c r="N2119" s="348">
        <f ca="1">IF(OR(E2119="",E2119&gt;TODAY()),0,IF(ISERROR(VLOOKUP($E2119,'TRM BanRep'!$A:$G,7,0)),0,VLOOKUP($E2119,'TRM BanRep'!$A:$G,7,0)))</f>
        <v>4538.91</v>
      </c>
      <c r="O2119" s="996">
        <f t="shared" ref="O2119" ca="1" si="4291">+L2119*J2119*N2119</f>
        <v>0</v>
      </c>
      <c r="P2119" s="1017">
        <f>-L2118</f>
        <v>6915</v>
      </c>
      <c r="Q2119" s="1362">
        <f t="shared" ref="Q2119" si="4292">+P2119*K2119</f>
        <v>6915</v>
      </c>
      <c r="R2119" s="349">
        <f ca="1">+N2118</f>
        <v>4631.6400000000003</v>
      </c>
      <c r="S2119" s="349">
        <f ca="1">IF(OR(E2119="",E2119&gt;TODAY()),0,IF(ISERROR(VLOOKUP($E2119,'TRM BanRep'!$A:$G,7,0)),0,VLOOKUP($E2119,'TRM BanRep'!$A:$G,7,0)))</f>
        <v>4538.91</v>
      </c>
      <c r="T2119" s="1031">
        <f t="shared" ref="T2119" ca="1" si="4293">+P2119*K2119*S2119</f>
        <v>31386562.649999999</v>
      </c>
      <c r="U2119" s="970">
        <f t="shared" ref="U2119" si="4294">+L2119+P2119+F2119</f>
        <v>6915</v>
      </c>
      <c r="V2119" s="971">
        <f t="shared" ref="V2119" ca="1" si="4295">+P2119*J2119*R2119+L2119*J2119*N2119+F2119*J2119*H2119</f>
        <v>32027790.600000001</v>
      </c>
      <c r="W2119" s="972">
        <f t="shared" ca="1" si="4121"/>
        <v>641227.95000000298</v>
      </c>
      <c r="X2119" s="973">
        <f t="shared" ca="1" si="4122"/>
        <v>0</v>
      </c>
      <c r="Y2119" s="1018"/>
      <c r="Z2119" s="1077"/>
      <c r="AA2119" s="974"/>
      <c r="AB2119" s="974"/>
      <c r="AC2119" s="974"/>
      <c r="AD2119" s="974"/>
      <c r="AE2119" s="974"/>
    </row>
    <row r="2120" spans="1:39" s="401" customFormat="1" outlineLevel="1">
      <c r="A2120" s="1011">
        <v>2406010300</v>
      </c>
      <c r="B2120" s="1012" t="s">
        <v>1508</v>
      </c>
      <c r="C2120" s="1661" t="s">
        <v>64</v>
      </c>
      <c r="D2120" s="1665">
        <v>5100000435</v>
      </c>
      <c r="E2120" s="1666">
        <v>44949</v>
      </c>
      <c r="F2120" s="1015"/>
      <c r="G2120" s="1293"/>
      <c r="H2120" s="346"/>
      <c r="I2120" s="1016"/>
      <c r="J2120" s="1457">
        <v>1</v>
      </c>
      <c r="K2120" s="1458">
        <v>1</v>
      </c>
      <c r="L2120" s="1036">
        <v>-143.1</v>
      </c>
      <c r="M2120" s="1325">
        <f t="shared" si="4183"/>
        <v>-143.1</v>
      </c>
      <c r="N2120" s="348">
        <f ca="1">IF(OR(E2120="",E2120&gt;TODAY()),0,IF(ISERROR(VLOOKUP($E2120,'TRM BanRep'!$A:$G,7,0)),0,VLOOKUP($E2120,'TRM BanRep'!$A:$G,7,0)))</f>
        <v>4631.6400000000003</v>
      </c>
      <c r="O2120" s="996">
        <f t="shared" ca="1" si="4184"/>
        <v>-662787.68400000001</v>
      </c>
      <c r="P2120" s="1017"/>
      <c r="Q2120" s="1362">
        <f t="shared" si="4185"/>
        <v>0</v>
      </c>
      <c r="R2120" s="349"/>
      <c r="S2120" s="349">
        <f ca="1">IF(OR(E2120="",E2120&gt;TODAY()),0,IF(ISERROR(VLOOKUP($E2120,'TRM BanRep'!$A:$G,7,0)),0,VLOOKUP($E2120,'TRM BanRep'!$A:$G,7,0)))</f>
        <v>4631.6400000000003</v>
      </c>
      <c r="T2120" s="1031">
        <f t="shared" ca="1" si="4186"/>
        <v>0</v>
      </c>
      <c r="U2120" s="970">
        <f t="shared" si="4233"/>
        <v>-143.1</v>
      </c>
      <c r="V2120" s="971">
        <f t="shared" ca="1" si="4234"/>
        <v>-662787.68400000001</v>
      </c>
      <c r="W2120" s="972">
        <f t="shared" ca="1" si="4121"/>
        <v>0</v>
      </c>
      <c r="X2120" s="973">
        <f t="shared" ca="1" si="4122"/>
        <v>0</v>
      </c>
      <c r="Y2120" s="1018"/>
      <c r="Z2120" s="1077"/>
      <c r="AA2120" s="974"/>
      <c r="AB2120" s="974"/>
      <c r="AC2120" s="974"/>
      <c r="AD2120" s="974"/>
      <c r="AE2120" s="974"/>
    </row>
    <row r="2121" spans="1:39" s="401" customFormat="1" outlineLevel="1">
      <c r="A2121" s="1011">
        <v>2406010300</v>
      </c>
      <c r="B2121" s="1012"/>
      <c r="C2121" s="1661" t="s">
        <v>64</v>
      </c>
      <c r="D2121" s="1665">
        <v>2000000710</v>
      </c>
      <c r="E2121" s="1666">
        <v>44952</v>
      </c>
      <c r="F2121" s="1015"/>
      <c r="G2121" s="1293"/>
      <c r="H2121" s="346"/>
      <c r="I2121" s="1016"/>
      <c r="J2121" s="1457">
        <v>1</v>
      </c>
      <c r="K2121" s="1458">
        <v>1</v>
      </c>
      <c r="L2121" s="1036"/>
      <c r="M2121" s="1325">
        <f t="shared" si="4183"/>
        <v>0</v>
      </c>
      <c r="N2121" s="348">
        <f ca="1">IF(OR(E2121="",E2121&gt;TODAY()),0,IF(ISERROR(VLOOKUP($E2121,'TRM BanRep'!$A:$G,7,0)),0,VLOOKUP($E2121,'TRM BanRep'!$A:$G,7,0)))</f>
        <v>4538.91</v>
      </c>
      <c r="O2121" s="996">
        <f t="shared" ca="1" si="4184"/>
        <v>0</v>
      </c>
      <c r="P2121" s="1017">
        <f>-L2120</f>
        <v>143.1</v>
      </c>
      <c r="Q2121" s="1362">
        <f t="shared" si="4185"/>
        <v>143.1</v>
      </c>
      <c r="R2121" s="349">
        <f ca="1">+N2120</f>
        <v>4631.6400000000003</v>
      </c>
      <c r="S2121" s="349">
        <f ca="1">IF(OR(E2121="",E2121&gt;TODAY()),0,IF(ISERROR(VLOOKUP($E2121,'TRM BanRep'!$A:$G,7,0)),0,VLOOKUP($E2121,'TRM BanRep'!$A:$G,7,0)))</f>
        <v>4538.91</v>
      </c>
      <c r="T2121" s="1031">
        <f t="shared" ca="1" si="4186"/>
        <v>649518.02099999995</v>
      </c>
      <c r="U2121" s="970">
        <f t="shared" si="4233"/>
        <v>143.1</v>
      </c>
      <c r="V2121" s="971">
        <f t="shared" ca="1" si="4234"/>
        <v>662787.68400000001</v>
      </c>
      <c r="W2121" s="972">
        <f t="shared" ca="1" si="4121"/>
        <v>13269.663000000059</v>
      </c>
      <c r="X2121" s="973">
        <f t="shared" ca="1" si="4122"/>
        <v>0</v>
      </c>
      <c r="Y2121" s="1018"/>
      <c r="Z2121" s="1077"/>
      <c r="AA2121" s="974"/>
      <c r="AB2121" s="974"/>
      <c r="AC2121" s="974"/>
      <c r="AD2121" s="974"/>
      <c r="AE2121" s="974"/>
    </row>
    <row r="2122" spans="1:39" s="401" customFormat="1" outlineLevel="1">
      <c r="A2122" s="1011">
        <v>2406010300</v>
      </c>
      <c r="B2122" s="1012" t="s">
        <v>1508</v>
      </c>
      <c r="C2122" s="1661" t="s">
        <v>64</v>
      </c>
      <c r="D2122" s="1665">
        <v>5100000460</v>
      </c>
      <c r="E2122" s="1666">
        <v>44949</v>
      </c>
      <c r="F2122" s="1015"/>
      <c r="G2122" s="1293"/>
      <c r="H2122" s="346"/>
      <c r="I2122" s="1016"/>
      <c r="J2122" s="1457">
        <v>1</v>
      </c>
      <c r="K2122" s="1458">
        <v>1</v>
      </c>
      <c r="L2122" s="1036">
        <v>-105</v>
      </c>
      <c r="M2122" s="1325">
        <f t="shared" si="4183"/>
        <v>-105</v>
      </c>
      <c r="N2122" s="348">
        <f ca="1">IF(OR(E2122="",E2122&gt;TODAY()),0,IF(ISERROR(VLOOKUP($E2122,'TRM BanRep'!$A:$G,7,0)),0,VLOOKUP($E2122,'TRM BanRep'!$A:$G,7,0)))</f>
        <v>4631.6400000000003</v>
      </c>
      <c r="O2122" s="996">
        <f t="shared" ca="1" si="4184"/>
        <v>-486322.2</v>
      </c>
      <c r="P2122" s="1017"/>
      <c r="Q2122" s="1362">
        <f t="shared" si="4185"/>
        <v>0</v>
      </c>
      <c r="R2122" s="349"/>
      <c r="S2122" s="349">
        <f ca="1">IF(OR(E2122="",E2122&gt;TODAY()),0,IF(ISERROR(VLOOKUP($E2122,'TRM BanRep'!$A:$G,7,0)),0,VLOOKUP($E2122,'TRM BanRep'!$A:$G,7,0)))</f>
        <v>4631.6400000000003</v>
      </c>
      <c r="T2122" s="1031">
        <f t="shared" ca="1" si="4186"/>
        <v>0</v>
      </c>
      <c r="U2122" s="970">
        <f t="shared" si="4233"/>
        <v>-105</v>
      </c>
      <c r="V2122" s="971">
        <f t="shared" ca="1" si="4234"/>
        <v>-486322.2</v>
      </c>
      <c r="W2122" s="972">
        <f t="shared" ca="1" si="4121"/>
        <v>0</v>
      </c>
      <c r="X2122" s="973">
        <f t="shared" ca="1" si="4122"/>
        <v>0</v>
      </c>
      <c r="Y2122" s="1018"/>
      <c r="Z2122" s="1077"/>
      <c r="AA2122" s="974"/>
      <c r="AB2122" s="974"/>
      <c r="AC2122" s="974"/>
      <c r="AD2122" s="974"/>
      <c r="AE2122" s="974"/>
    </row>
    <row r="2123" spans="1:39" s="401" customFormat="1" outlineLevel="1">
      <c r="A2123" s="1011">
        <v>2406010300</v>
      </c>
      <c r="B2123" s="1012" t="s">
        <v>1366</v>
      </c>
      <c r="C2123" s="1661" t="s">
        <v>64</v>
      </c>
      <c r="D2123" s="1665">
        <v>2000000710</v>
      </c>
      <c r="E2123" s="1666">
        <v>44952</v>
      </c>
      <c r="F2123" s="1015"/>
      <c r="G2123" s="1293"/>
      <c r="H2123" s="346"/>
      <c r="I2123" s="1016"/>
      <c r="J2123" s="1457">
        <v>1</v>
      </c>
      <c r="K2123" s="1458">
        <v>1</v>
      </c>
      <c r="L2123" s="1036"/>
      <c r="M2123" s="1325">
        <f t="shared" ref="M2123" si="4296">+L2123*J2123</f>
        <v>0</v>
      </c>
      <c r="N2123" s="348">
        <f ca="1">IF(OR(E2123="",E2123&gt;TODAY()),0,IF(ISERROR(VLOOKUP($E2123,'TRM BanRep'!$A:$G,7,0)),0,VLOOKUP($E2123,'TRM BanRep'!$A:$G,7,0)))</f>
        <v>4538.91</v>
      </c>
      <c r="O2123" s="996">
        <f t="shared" ref="O2123" ca="1" si="4297">+L2123*J2123*N2123</f>
        <v>0</v>
      </c>
      <c r="P2123" s="1017">
        <f>-L2122</f>
        <v>105</v>
      </c>
      <c r="Q2123" s="1362">
        <f t="shared" ref="Q2123" si="4298">+P2123*K2123</f>
        <v>105</v>
      </c>
      <c r="R2123" s="349">
        <f ca="1">+N2122</f>
        <v>4631.6400000000003</v>
      </c>
      <c r="S2123" s="349">
        <f ca="1">IF(OR(E2123="",E2123&gt;TODAY()),0,IF(ISERROR(VLOOKUP($E2123,'TRM BanRep'!$A:$G,7,0)),0,VLOOKUP($E2123,'TRM BanRep'!$A:$G,7,0)))</f>
        <v>4538.91</v>
      </c>
      <c r="T2123" s="1031">
        <f t="shared" ref="T2123" ca="1" si="4299">+P2123*K2123*S2123</f>
        <v>476585.55</v>
      </c>
      <c r="U2123" s="970">
        <f t="shared" ref="U2123" si="4300">+L2123+P2123+F2123</f>
        <v>105</v>
      </c>
      <c r="V2123" s="971">
        <f t="shared" ref="V2123" ca="1" si="4301">+P2123*J2123*R2123+L2123*J2123*N2123+F2123*J2123*H2123</f>
        <v>486322.2</v>
      </c>
      <c r="W2123" s="972">
        <f t="shared" ref="W2123" ca="1" si="4302">-(IF(-P2123*J2123*R2123&lt;-P2123*K2123*S2123,(-P2123*J2123*R2123)-(-P2123*K2123*S2123),0))</f>
        <v>9736.6500000000233</v>
      </c>
      <c r="X2123" s="973">
        <f t="shared" ref="X2123" ca="1" si="4303">-(IF(-P2123*J2123*R2123&gt;-P2123*K2123*S2123,(-P2123*J2123*R2123)-(-P2123*K2123*S2123),0))</f>
        <v>0</v>
      </c>
      <c r="Y2123" s="1018"/>
      <c r="Z2123" s="1077"/>
      <c r="AA2123" s="974"/>
      <c r="AB2123" s="974"/>
      <c r="AC2123" s="974"/>
      <c r="AD2123" s="974"/>
      <c r="AE2123" s="974"/>
    </row>
    <row r="2124" spans="1:39" s="401" customFormat="1" outlineLevel="1">
      <c r="A2124" s="1011">
        <v>2406010300</v>
      </c>
      <c r="B2124" s="1012" t="s">
        <v>1509</v>
      </c>
      <c r="C2124" s="1661" t="s">
        <v>64</v>
      </c>
      <c r="D2124" s="1665">
        <v>5100000519</v>
      </c>
      <c r="E2124" s="1666">
        <v>44945</v>
      </c>
      <c r="F2124" s="1015"/>
      <c r="G2124" s="1293"/>
      <c r="H2124" s="346"/>
      <c r="I2124" s="1016"/>
      <c r="J2124" s="1457">
        <v>1</v>
      </c>
      <c r="K2124" s="1458">
        <v>1</v>
      </c>
      <c r="L2124" s="1036">
        <v>-239.76</v>
      </c>
      <c r="M2124" s="1325">
        <f t="shared" si="4183"/>
        <v>-239.76</v>
      </c>
      <c r="N2124" s="348">
        <f ca="1">IF(OR(E2124="",E2124&gt;TODAY()),0,IF(ISERROR(VLOOKUP($E2124,'TRM BanRep'!$A:$G,7,0)),0,VLOOKUP($E2124,'TRM BanRep'!$A:$G,7,0)))</f>
        <v>4702.67</v>
      </c>
      <c r="O2124" s="996">
        <f t="shared" ca="1" si="4184"/>
        <v>-1127512.1591999999</v>
      </c>
      <c r="P2124" s="1017"/>
      <c r="Q2124" s="1362">
        <f t="shared" si="4185"/>
        <v>0</v>
      </c>
      <c r="R2124" s="349"/>
      <c r="S2124" s="349">
        <f ca="1">IF(OR(E2124="",E2124&gt;TODAY()),0,IF(ISERROR(VLOOKUP($E2124,'TRM BanRep'!$A:$G,7,0)),0,VLOOKUP($E2124,'TRM BanRep'!$A:$G,7,0)))</f>
        <v>4702.67</v>
      </c>
      <c r="T2124" s="1031">
        <f t="shared" ca="1" si="4186"/>
        <v>0</v>
      </c>
      <c r="U2124" s="970">
        <f t="shared" si="4233"/>
        <v>-239.76</v>
      </c>
      <c r="V2124" s="971">
        <f t="shared" ca="1" si="4234"/>
        <v>-1127512.1591999999</v>
      </c>
      <c r="W2124" s="972">
        <f t="shared" ca="1" si="4121"/>
        <v>0</v>
      </c>
      <c r="X2124" s="973">
        <f t="shared" ca="1" si="4122"/>
        <v>0</v>
      </c>
      <c r="Y2124" s="1018"/>
      <c r="Z2124" s="1077"/>
      <c r="AA2124" s="974"/>
      <c r="AB2124" s="974"/>
      <c r="AC2124" s="974"/>
      <c r="AD2124" s="974"/>
      <c r="AE2124" s="974"/>
    </row>
    <row r="2125" spans="1:39" s="401" customFormat="1" outlineLevel="1">
      <c r="A2125" s="1011">
        <v>2406010300</v>
      </c>
      <c r="B2125" s="1012"/>
      <c r="C2125" s="1661" t="s">
        <v>64</v>
      </c>
      <c r="D2125" s="1665">
        <v>2000000833</v>
      </c>
      <c r="E2125" s="1666">
        <v>44957</v>
      </c>
      <c r="F2125" s="1015"/>
      <c r="G2125" s="1293"/>
      <c r="H2125" s="346"/>
      <c r="I2125" s="1016"/>
      <c r="J2125" s="1457">
        <v>1</v>
      </c>
      <c r="K2125" s="1458">
        <v>1</v>
      </c>
      <c r="L2125" s="1036"/>
      <c r="M2125" s="1325">
        <f t="shared" si="4183"/>
        <v>0</v>
      </c>
      <c r="N2125" s="348">
        <f ca="1">IF(OR(E2125="",E2125&gt;TODAY()),0,IF(ISERROR(VLOOKUP($E2125,'TRM BanRep'!$A:$G,7,0)),0,VLOOKUP($E2125,'TRM BanRep'!$A:$G,7,0)))</f>
        <v>4632.2</v>
      </c>
      <c r="O2125" s="996">
        <f t="shared" ca="1" si="4184"/>
        <v>0</v>
      </c>
      <c r="P2125" s="1017">
        <f>-L2124</f>
        <v>239.76</v>
      </c>
      <c r="Q2125" s="1362">
        <f t="shared" si="4185"/>
        <v>239.76</v>
      </c>
      <c r="R2125" s="349">
        <f ca="1">+N2124</f>
        <v>4702.67</v>
      </c>
      <c r="S2125" s="349">
        <f ca="1">IF(OR(E2125="",E2125&gt;TODAY()),0,IF(ISERROR(VLOOKUP($E2125,'TRM BanRep'!$A:$G,7,0)),0,VLOOKUP($E2125,'TRM BanRep'!$A:$G,7,0)))</f>
        <v>4632.2</v>
      </c>
      <c r="T2125" s="1031">
        <f t="shared" ca="1" si="4186"/>
        <v>1110616.2719999999</v>
      </c>
      <c r="U2125" s="970">
        <f t="shared" si="4233"/>
        <v>239.76</v>
      </c>
      <c r="V2125" s="971">
        <f t="shared" ca="1" si="4234"/>
        <v>1127512.1591999999</v>
      </c>
      <c r="W2125" s="972">
        <f t="shared" ca="1" si="4121"/>
        <v>16895.887199999997</v>
      </c>
      <c r="X2125" s="973">
        <f t="shared" ca="1" si="4122"/>
        <v>0</v>
      </c>
      <c r="Y2125" s="1018"/>
      <c r="Z2125" s="1077"/>
      <c r="AA2125" s="974"/>
      <c r="AB2125" s="974"/>
      <c r="AC2125" s="974"/>
      <c r="AD2125" s="974"/>
      <c r="AE2125" s="974"/>
    </row>
    <row r="2126" spans="1:39" s="401" customFormat="1" outlineLevel="1">
      <c r="A2126" s="1011">
        <v>2406010300</v>
      </c>
      <c r="B2126" s="1012" t="s">
        <v>1509</v>
      </c>
      <c r="C2126" s="1661" t="s">
        <v>64</v>
      </c>
      <c r="D2126" s="1665">
        <v>5100000520</v>
      </c>
      <c r="E2126" s="1666">
        <v>44945</v>
      </c>
      <c r="F2126" s="1015"/>
      <c r="G2126" s="1293"/>
      <c r="H2126" s="346"/>
      <c r="I2126" s="1016"/>
      <c r="J2126" s="1457">
        <v>1</v>
      </c>
      <c r="K2126" s="1458">
        <v>1</v>
      </c>
      <c r="L2126" s="1036">
        <v>-2943.95</v>
      </c>
      <c r="M2126" s="1325">
        <f t="shared" ref="M2126:M2135" si="4304">+L2126*J2126</f>
        <v>-2943.95</v>
      </c>
      <c r="N2126" s="348">
        <f ca="1">IF(OR(E2126="",E2126&gt;TODAY()),0,IF(ISERROR(VLOOKUP($E2126,'TRM BanRep'!$A:$G,7,0)),0,VLOOKUP($E2126,'TRM BanRep'!$A:$G,7,0)))</f>
        <v>4702.67</v>
      </c>
      <c r="O2126" s="996">
        <f t="shared" ref="O2126:O2135" ca="1" si="4305">+L2126*J2126*N2126</f>
        <v>-13844425.3465</v>
      </c>
      <c r="P2126" s="1017"/>
      <c r="Q2126" s="1362">
        <f t="shared" ref="Q2126:Q2128" si="4306">+P2126*K2126</f>
        <v>0</v>
      </c>
      <c r="R2126" s="349"/>
      <c r="S2126" s="349">
        <f ca="1">IF(OR(E2126="",E2126&gt;TODAY()),0,IF(ISERROR(VLOOKUP($E2126,'TRM BanRep'!$A:$G,7,0)),0,VLOOKUP($E2126,'TRM BanRep'!$A:$G,7,0)))</f>
        <v>4702.67</v>
      </c>
      <c r="T2126" s="1031">
        <f t="shared" ref="T2126:T2135" ca="1" si="4307">+P2126*K2126*S2126</f>
        <v>0</v>
      </c>
      <c r="U2126" s="970">
        <f t="shared" ref="U2126:U2135" si="4308">+L2126+P2126+F2126</f>
        <v>-2943.95</v>
      </c>
      <c r="V2126" s="971">
        <f t="shared" ref="V2126:V2135" ca="1" si="4309">+P2126*J2126*R2126+L2126*J2126*N2126+F2126*J2126*H2126</f>
        <v>-13844425.3465</v>
      </c>
      <c r="W2126" s="972">
        <f t="shared" ref="W2126:W2135" ca="1" si="4310">-(IF(-P2126*J2126*R2126&lt;-P2126*K2126*S2126,(-P2126*J2126*R2126)-(-P2126*K2126*S2126),0))</f>
        <v>0</v>
      </c>
      <c r="X2126" s="973">
        <f t="shared" ref="X2126:X2135" ca="1" si="4311">-(IF(-P2126*J2126*R2126&gt;-P2126*K2126*S2126,(-P2126*J2126*R2126)-(-P2126*K2126*S2126),0))</f>
        <v>0</v>
      </c>
      <c r="Y2126" s="1018"/>
      <c r="Z2126" s="1077"/>
      <c r="AA2126" s="974"/>
      <c r="AB2126" s="974"/>
      <c r="AC2126" s="974"/>
      <c r="AD2126" s="974"/>
      <c r="AE2126" s="974"/>
    </row>
    <row r="2127" spans="1:39" s="401" customFormat="1" outlineLevel="1">
      <c r="A2127" s="1011">
        <v>2406010300</v>
      </c>
      <c r="B2127" s="1012" t="s">
        <v>1366</v>
      </c>
      <c r="C2127" s="1661" t="s">
        <v>64</v>
      </c>
      <c r="D2127" s="1665">
        <v>2000000833</v>
      </c>
      <c r="E2127" s="1666">
        <v>44957</v>
      </c>
      <c r="F2127" s="1015"/>
      <c r="G2127" s="1293"/>
      <c r="H2127" s="346"/>
      <c r="I2127" s="1016"/>
      <c r="J2127" s="1457">
        <v>1</v>
      </c>
      <c r="K2127" s="1458">
        <v>1</v>
      </c>
      <c r="L2127" s="1036"/>
      <c r="M2127" s="1325">
        <f t="shared" si="4304"/>
        <v>0</v>
      </c>
      <c r="N2127" s="348">
        <f ca="1">IF(OR(E2127="",E2127&gt;TODAY()),0,IF(ISERROR(VLOOKUP($E2127,'TRM BanRep'!$A:$G,7,0)),0,VLOOKUP($E2127,'TRM BanRep'!$A:$G,7,0)))</f>
        <v>4632.2</v>
      </c>
      <c r="O2127" s="996">
        <f t="shared" ca="1" si="4305"/>
        <v>0</v>
      </c>
      <c r="P2127" s="1017">
        <f>-L2126</f>
        <v>2943.95</v>
      </c>
      <c r="Q2127" s="1362">
        <f t="shared" si="4306"/>
        <v>2943.95</v>
      </c>
      <c r="R2127" s="349">
        <f ca="1">+N2126</f>
        <v>4702.67</v>
      </c>
      <c r="S2127" s="349">
        <f ca="1">IF(OR(E2127="",E2127&gt;TODAY()),0,IF(ISERROR(VLOOKUP($E2127,'TRM BanRep'!$A:$G,7,0)),0,VLOOKUP($E2127,'TRM BanRep'!$A:$G,7,0)))</f>
        <v>4632.2</v>
      </c>
      <c r="T2127" s="1031">
        <f t="shared" ca="1" si="4307"/>
        <v>13636965.189999999</v>
      </c>
      <c r="U2127" s="970">
        <f t="shared" si="4308"/>
        <v>2943.95</v>
      </c>
      <c r="V2127" s="971">
        <f t="shared" ca="1" si="4309"/>
        <v>13844425.3465</v>
      </c>
      <c r="W2127" s="972">
        <f t="shared" ca="1" si="4310"/>
        <v>207460.15650000051</v>
      </c>
      <c r="X2127" s="973">
        <f t="shared" ca="1" si="4311"/>
        <v>0</v>
      </c>
      <c r="Y2127" s="1018"/>
      <c r="Z2127" s="1077"/>
      <c r="AA2127" s="974"/>
      <c r="AB2127" s="974"/>
      <c r="AC2127" s="974"/>
      <c r="AD2127" s="974"/>
      <c r="AE2127" s="974"/>
    </row>
    <row r="2128" spans="1:39" s="401" customFormat="1" outlineLevel="1">
      <c r="A2128" s="1011">
        <v>2406010300</v>
      </c>
      <c r="B2128" s="1012" t="s">
        <v>1503</v>
      </c>
      <c r="C2128" s="1661" t="s">
        <v>64</v>
      </c>
      <c r="D2128" s="1665">
        <v>5100000082</v>
      </c>
      <c r="E2128" s="1666">
        <v>44936</v>
      </c>
      <c r="F2128" s="1015"/>
      <c r="G2128" s="1293"/>
      <c r="H2128" s="346"/>
      <c r="I2128" s="1016"/>
      <c r="J2128" s="1457">
        <v>1</v>
      </c>
      <c r="K2128" s="1458">
        <v>1</v>
      </c>
      <c r="L2128" s="1036">
        <v>30991</v>
      </c>
      <c r="M2128" s="1325">
        <f t="shared" si="4304"/>
        <v>30991</v>
      </c>
      <c r="N2128" s="348">
        <f ca="1">IF(OR(E2128="",E2128&gt;TODAY()),0,IF(ISERROR(VLOOKUP($E2128,'TRM BanRep'!$A:$G,7,0)),0,VLOOKUP($E2128,'TRM BanRep'!$A:$G,7,0)))</f>
        <v>4885.66</v>
      </c>
      <c r="O2128" s="996">
        <f t="shared" ca="1" si="4305"/>
        <v>151411489.06</v>
      </c>
      <c r="P2128" s="1017"/>
      <c r="Q2128" s="1362">
        <f t="shared" si="4306"/>
        <v>0</v>
      </c>
      <c r="R2128" s="349"/>
      <c r="S2128" s="349">
        <f ca="1">IF(OR(E2128="",E2128&gt;TODAY()),0,IF(ISERROR(VLOOKUP($E2128,'TRM BanRep'!$A:$G,7,0)),0,VLOOKUP($E2128,'TRM BanRep'!$A:$G,7,0)))</f>
        <v>4885.66</v>
      </c>
      <c r="T2128" s="1031">
        <f t="shared" ca="1" si="4307"/>
        <v>0</v>
      </c>
      <c r="U2128" s="970">
        <f t="shared" si="4308"/>
        <v>30991</v>
      </c>
      <c r="V2128" s="971">
        <f t="shared" ca="1" si="4309"/>
        <v>151411489.06</v>
      </c>
      <c r="W2128" s="972">
        <f t="shared" ca="1" si="4310"/>
        <v>0</v>
      </c>
      <c r="X2128" s="973">
        <f t="shared" ca="1" si="4311"/>
        <v>0</v>
      </c>
      <c r="Y2128" s="1018"/>
      <c r="Z2128" s="1077"/>
      <c r="AA2128" s="974"/>
      <c r="AB2128" s="974"/>
      <c r="AC2128" s="974"/>
      <c r="AD2128" s="974"/>
      <c r="AE2128" s="974"/>
    </row>
    <row r="2129" spans="1:31" s="401" customFormat="1" outlineLevel="1">
      <c r="A2129" s="1011">
        <v>2406010300</v>
      </c>
      <c r="B2129" s="1012" t="s">
        <v>1366</v>
      </c>
      <c r="C2129" s="1661" t="s">
        <v>64</v>
      </c>
      <c r="D2129" s="1665">
        <v>2000000934</v>
      </c>
      <c r="E2129" s="1666">
        <v>44963</v>
      </c>
      <c r="F2129" s="1015"/>
      <c r="G2129" s="1293"/>
      <c r="H2129" s="346"/>
      <c r="I2129" s="1016"/>
      <c r="J2129" s="1457">
        <v>1</v>
      </c>
      <c r="K2129" s="1458">
        <v>1</v>
      </c>
      <c r="L2129" s="1036"/>
      <c r="M2129" s="1325">
        <f t="shared" ref="M2129" si="4312">+L2129*J2129</f>
        <v>0</v>
      </c>
      <c r="N2129" s="348">
        <f ca="1">IF(OR(E2129="",E2129&gt;TODAY()),0,IF(ISERROR(VLOOKUP($E2129,'TRM BanRep'!$A:$G,7,0)),0,VLOOKUP($E2129,'TRM BanRep'!$A:$G,7,0)))</f>
        <v>4669.74</v>
      </c>
      <c r="O2129" s="996">
        <f t="shared" ref="O2129" ca="1" si="4313">+L2129*J2129*N2129</f>
        <v>0</v>
      </c>
      <c r="P2129" s="1017">
        <f>-L2128</f>
        <v>-30991</v>
      </c>
      <c r="Q2129" s="1362">
        <f t="shared" ref="Q2129" si="4314">+P2129*K2129</f>
        <v>-30991</v>
      </c>
      <c r="R2129" s="349">
        <f ca="1">+N2128</f>
        <v>4885.66</v>
      </c>
      <c r="S2129" s="349">
        <f ca="1">IF(OR(E2129="",E2129&gt;TODAY()),0,IF(ISERROR(VLOOKUP($E2129,'TRM BanRep'!$A:$G,7,0)),0,VLOOKUP($E2129,'TRM BanRep'!$A:$G,7,0)))</f>
        <v>4669.74</v>
      </c>
      <c r="T2129" s="1031">
        <f t="shared" ref="T2129" ca="1" si="4315">+P2129*K2129*S2129</f>
        <v>-144719912.34</v>
      </c>
      <c r="U2129" s="970">
        <f t="shared" ref="U2129" si="4316">+L2129+P2129+F2129</f>
        <v>-30991</v>
      </c>
      <c r="V2129" s="971">
        <f t="shared" ref="V2129" ca="1" si="4317">+P2129*J2129*R2129+L2129*J2129*N2129+F2129*J2129*H2129</f>
        <v>-151411489.06</v>
      </c>
      <c r="W2129" s="972">
        <f t="shared" ref="W2129" ca="1" si="4318">-(IF(-P2129*J2129*R2129&lt;-P2129*K2129*S2129,(-P2129*J2129*R2129)-(-P2129*K2129*S2129),0))</f>
        <v>0</v>
      </c>
      <c r="X2129" s="973">
        <f t="shared" ref="X2129" ca="1" si="4319">-(IF(-P2129*J2129*R2129&gt;-P2129*K2129*S2129,(-P2129*J2129*R2129)-(-P2129*K2129*S2129),0))</f>
        <v>-6691576.7199999988</v>
      </c>
      <c r="Y2129" s="1018"/>
      <c r="Z2129" s="1077"/>
      <c r="AA2129" s="974"/>
      <c r="AB2129" s="974"/>
      <c r="AC2129" s="974"/>
      <c r="AD2129" s="974"/>
      <c r="AE2129" s="974"/>
    </row>
    <row r="2130" spans="1:31" s="401" customFormat="1" outlineLevel="1">
      <c r="A2130" s="1011">
        <v>2406010300</v>
      </c>
      <c r="B2130" s="1012" t="s">
        <v>1504</v>
      </c>
      <c r="C2130" s="1661" t="s">
        <v>64</v>
      </c>
      <c r="D2130" s="1665">
        <v>5100000242</v>
      </c>
      <c r="E2130" s="1666">
        <v>44942</v>
      </c>
      <c r="F2130" s="1015"/>
      <c r="G2130" s="1293"/>
      <c r="H2130" s="346"/>
      <c r="I2130" s="1016"/>
      <c r="J2130" s="1457">
        <v>1</v>
      </c>
      <c r="K2130" s="1458">
        <v>1</v>
      </c>
      <c r="L2130" s="1036">
        <v>5060.49</v>
      </c>
      <c r="M2130" s="1325">
        <f t="shared" si="4304"/>
        <v>5060.49</v>
      </c>
      <c r="N2130" s="348">
        <f ca="1">IF(OR(E2130="",E2130&gt;TODAY()),0,IF(ISERROR(VLOOKUP($E2130,'TRM BanRep'!$A:$G,7,0)),0,VLOOKUP($E2130,'TRM BanRep'!$A:$G,7,0)))</f>
        <v>4693.99</v>
      </c>
      <c r="O2130" s="996">
        <f t="shared" ca="1" si="4305"/>
        <v>23753889.455099996</v>
      </c>
      <c r="P2130" s="1017"/>
      <c r="Q2130" s="1362"/>
      <c r="R2130" s="349"/>
      <c r="S2130" s="349">
        <f ca="1">IF(OR(E2130="",E2130&gt;TODAY()),0,IF(ISERROR(VLOOKUP($E2130,'TRM BanRep'!$A:$G,7,0)),0,VLOOKUP($E2130,'TRM BanRep'!$A:$G,7,0)))</f>
        <v>4693.99</v>
      </c>
      <c r="T2130" s="1031">
        <f t="shared" ca="1" si="4307"/>
        <v>0</v>
      </c>
      <c r="U2130" s="970">
        <f t="shared" si="4308"/>
        <v>5060.49</v>
      </c>
      <c r="V2130" s="971">
        <f t="shared" ca="1" si="4309"/>
        <v>23753889.455099996</v>
      </c>
      <c r="W2130" s="972">
        <f t="shared" ca="1" si="4310"/>
        <v>0</v>
      </c>
      <c r="X2130" s="973">
        <f t="shared" ca="1" si="4311"/>
        <v>0</v>
      </c>
      <c r="Y2130" s="1018"/>
      <c r="Z2130" s="1077"/>
      <c r="AA2130" s="974"/>
      <c r="AB2130" s="974"/>
      <c r="AC2130" s="974"/>
      <c r="AD2130" s="974"/>
      <c r="AE2130" s="974"/>
    </row>
    <row r="2131" spans="1:31" s="401" customFormat="1" outlineLevel="1">
      <c r="A2131" s="1011">
        <v>2406010300</v>
      </c>
      <c r="B2131" s="1012" t="s">
        <v>1366</v>
      </c>
      <c r="C2131" s="1661" t="s">
        <v>64</v>
      </c>
      <c r="D2131" s="1665">
        <v>2000001011</v>
      </c>
      <c r="E2131" s="1666">
        <v>44965</v>
      </c>
      <c r="F2131" s="1015"/>
      <c r="G2131" s="1293"/>
      <c r="H2131" s="346"/>
      <c r="I2131" s="1016"/>
      <c r="J2131" s="1457">
        <v>1</v>
      </c>
      <c r="K2131" s="1458">
        <v>1</v>
      </c>
      <c r="L2131" s="1036"/>
      <c r="M2131" s="1325">
        <f t="shared" si="4304"/>
        <v>0</v>
      </c>
      <c r="N2131" s="348">
        <f ca="1">IF(OR(E2131="",E2131&gt;TODAY()),0,IF(ISERROR(VLOOKUP($E2131,'TRM BanRep'!$A:$G,7,0)),0,VLOOKUP($E2131,'TRM BanRep'!$A:$G,7,0)))</f>
        <v>4775.99</v>
      </c>
      <c r="O2131" s="996">
        <f t="shared" ca="1" si="4305"/>
        <v>0</v>
      </c>
      <c r="P2131" s="1017">
        <f>-L2130</f>
        <v>-5060.49</v>
      </c>
      <c r="Q2131" s="1362">
        <f t="shared" ref="Q2131" si="4320">+P2131*K2131</f>
        <v>-5060.49</v>
      </c>
      <c r="R2131" s="349">
        <f ca="1">+N2130</f>
        <v>4693.99</v>
      </c>
      <c r="S2131" s="349">
        <f ca="1">IF(OR(E2131="",E2131&gt;TODAY()),0,IF(ISERROR(VLOOKUP($E2131,'TRM BanRep'!$A:$G,7,0)),0,VLOOKUP($E2131,'TRM BanRep'!$A:$G,7,0)))</f>
        <v>4775.99</v>
      </c>
      <c r="T2131" s="1031">
        <f t="shared" ca="1" si="4307"/>
        <v>-24168849.6351</v>
      </c>
      <c r="U2131" s="970">
        <f t="shared" si="4308"/>
        <v>-5060.49</v>
      </c>
      <c r="V2131" s="971">
        <f t="shared" ca="1" si="4309"/>
        <v>-23753889.455099996</v>
      </c>
      <c r="W2131" s="972">
        <f t="shared" ca="1" si="4310"/>
        <v>414960.18000000343</v>
      </c>
      <c r="X2131" s="973">
        <f t="shared" ca="1" si="4311"/>
        <v>0</v>
      </c>
      <c r="Y2131" s="1018"/>
      <c r="Z2131" s="1077"/>
      <c r="AA2131" s="974"/>
      <c r="AB2131" s="974"/>
      <c r="AC2131" s="974"/>
      <c r="AD2131" s="974"/>
      <c r="AE2131" s="974"/>
    </row>
    <row r="2132" spans="1:31" s="401" customFormat="1" outlineLevel="1">
      <c r="A2132" s="1011">
        <v>2406010300</v>
      </c>
      <c r="B2132" s="1012" t="s">
        <v>1505</v>
      </c>
      <c r="C2132" s="1661" t="s">
        <v>64</v>
      </c>
      <c r="D2132" s="1665">
        <v>5100000557</v>
      </c>
      <c r="E2132" s="1666">
        <v>44952</v>
      </c>
      <c r="F2132" s="1015"/>
      <c r="G2132" s="1293"/>
      <c r="H2132" s="346"/>
      <c r="I2132" s="1016"/>
      <c r="J2132" s="1457">
        <v>1</v>
      </c>
      <c r="K2132" s="1458">
        <v>1</v>
      </c>
      <c r="L2132" s="1036">
        <v>2526</v>
      </c>
      <c r="M2132" s="1325">
        <f t="shared" si="4304"/>
        <v>2526</v>
      </c>
      <c r="N2132" s="348">
        <f ca="1">IF(OR(E2132="",E2132&gt;TODAY()),0,IF(ISERROR(VLOOKUP($E2132,'TRM BanRep'!$A:$G,7,0)),0,VLOOKUP($E2132,'TRM BanRep'!$A:$G,7,0)))</f>
        <v>4538.91</v>
      </c>
      <c r="O2132" s="996">
        <f t="shared" ca="1" si="4305"/>
        <v>11465286.66</v>
      </c>
      <c r="P2132" s="1017"/>
      <c r="Q2132" s="1362">
        <f t="shared" ref="Q2132:Q2134" si="4321">+P2132*K2132</f>
        <v>0</v>
      </c>
      <c r="R2132" s="349"/>
      <c r="S2132" s="349">
        <f ca="1">IF(OR(E2132="",E2132&gt;TODAY()),0,IF(ISERROR(VLOOKUP($E2132,'TRM BanRep'!$A:$G,7,0)),0,VLOOKUP($E2132,'TRM BanRep'!$A:$G,7,0)))</f>
        <v>4538.91</v>
      </c>
      <c r="T2132" s="1031">
        <f t="shared" ca="1" si="4307"/>
        <v>0</v>
      </c>
      <c r="U2132" s="970">
        <f t="shared" si="4308"/>
        <v>2526</v>
      </c>
      <c r="V2132" s="971">
        <f t="shared" ca="1" si="4309"/>
        <v>11465286.66</v>
      </c>
      <c r="W2132" s="972">
        <f t="shared" ca="1" si="4310"/>
        <v>0</v>
      </c>
      <c r="X2132" s="973">
        <f t="shared" ca="1" si="4311"/>
        <v>0</v>
      </c>
      <c r="Y2132" s="1018"/>
      <c r="Z2132" s="1077"/>
      <c r="AA2132" s="974"/>
      <c r="AB2132" s="974"/>
      <c r="AC2132" s="974"/>
      <c r="AD2132" s="974"/>
      <c r="AE2132" s="974"/>
    </row>
    <row r="2133" spans="1:31" s="401" customFormat="1" outlineLevel="1">
      <c r="A2133" s="1011">
        <v>2406010300</v>
      </c>
      <c r="B2133" s="1012" t="s">
        <v>1366</v>
      </c>
      <c r="C2133" s="1661" t="s">
        <v>64</v>
      </c>
      <c r="D2133" s="1665">
        <v>2000001596</v>
      </c>
      <c r="E2133" s="1666">
        <v>44980</v>
      </c>
      <c r="F2133" s="1015"/>
      <c r="G2133" s="1293"/>
      <c r="H2133" s="346"/>
      <c r="I2133" s="1016"/>
      <c r="J2133" s="1457">
        <v>1</v>
      </c>
      <c r="K2133" s="1458">
        <v>1</v>
      </c>
      <c r="L2133" s="1036"/>
      <c r="M2133" s="1325">
        <f t="shared" ref="M2133" si="4322">+L2133*J2133</f>
        <v>0</v>
      </c>
      <c r="N2133" s="348">
        <f ca="1">IF(OR(E2133="",E2133&gt;TODAY()),0,IF(ISERROR(VLOOKUP($E2133,'TRM BanRep'!$A:$G,7,0)),0,VLOOKUP($E2133,'TRM BanRep'!$A:$G,7,0)))</f>
        <v>4924.91</v>
      </c>
      <c r="O2133" s="996">
        <f t="shared" ref="O2133" ca="1" si="4323">+L2133*J2133*N2133</f>
        <v>0</v>
      </c>
      <c r="P2133" s="1017">
        <f>-L2132</f>
        <v>-2526</v>
      </c>
      <c r="Q2133" s="1362">
        <f t="shared" si="4321"/>
        <v>-2526</v>
      </c>
      <c r="R2133" s="349">
        <f ca="1">+N2132</f>
        <v>4538.91</v>
      </c>
      <c r="S2133" s="349">
        <f ca="1">IF(OR(E2133="",E2133&gt;TODAY()),0,IF(ISERROR(VLOOKUP($E2133,'TRM BanRep'!$A:$G,7,0)),0,VLOOKUP($E2133,'TRM BanRep'!$A:$G,7,0)))</f>
        <v>4924.91</v>
      </c>
      <c r="T2133" s="1031">
        <f t="shared" ref="T2133" ca="1" si="4324">+P2133*K2133*S2133</f>
        <v>-12440322.66</v>
      </c>
      <c r="U2133" s="970">
        <f t="shared" ref="U2133" si="4325">+L2133+P2133+F2133</f>
        <v>-2526</v>
      </c>
      <c r="V2133" s="971">
        <f t="shared" ref="V2133" ca="1" si="4326">+P2133*J2133*R2133+L2133*J2133*N2133+F2133*J2133*H2133</f>
        <v>-11465286.66</v>
      </c>
      <c r="W2133" s="972">
        <f t="shared" ref="W2133" ca="1" si="4327">-(IF(-P2133*J2133*R2133&lt;-P2133*K2133*S2133,(-P2133*J2133*R2133)-(-P2133*K2133*S2133),0))</f>
        <v>975036</v>
      </c>
      <c r="X2133" s="973">
        <f t="shared" ref="X2133" ca="1" si="4328">-(IF(-P2133*J2133*R2133&gt;-P2133*K2133*S2133,(-P2133*J2133*R2133)-(-P2133*K2133*S2133),0))</f>
        <v>0</v>
      </c>
      <c r="Y2133" s="1018"/>
      <c r="Z2133" s="1077"/>
      <c r="AA2133" s="974"/>
      <c r="AB2133" s="974"/>
      <c r="AC2133" s="974"/>
      <c r="AD2133" s="974"/>
      <c r="AE2133" s="974"/>
    </row>
    <row r="2134" spans="1:31" s="401" customFormat="1" outlineLevel="1">
      <c r="A2134" s="1011">
        <v>2406010300</v>
      </c>
      <c r="B2134" s="1012" t="s">
        <v>1506</v>
      </c>
      <c r="C2134" s="1661" t="s">
        <v>64</v>
      </c>
      <c r="D2134" s="1665">
        <v>5100000568</v>
      </c>
      <c r="E2134" s="1666">
        <v>44952</v>
      </c>
      <c r="F2134" s="1015"/>
      <c r="G2134" s="1293"/>
      <c r="H2134" s="346"/>
      <c r="I2134" s="1016"/>
      <c r="J2134" s="1457">
        <v>1</v>
      </c>
      <c r="K2134" s="1458">
        <v>1</v>
      </c>
      <c r="L2134" s="1036">
        <v>9181.6</v>
      </c>
      <c r="M2134" s="1325">
        <f t="shared" si="4304"/>
        <v>9181.6</v>
      </c>
      <c r="N2134" s="348">
        <f ca="1">IF(OR(E2134="",E2134&gt;TODAY()),0,IF(ISERROR(VLOOKUP($E2134,'TRM BanRep'!$A:$G,7,0)),0,VLOOKUP($E2134,'TRM BanRep'!$A:$G,7,0)))</f>
        <v>4538.91</v>
      </c>
      <c r="O2134" s="996">
        <f t="shared" ca="1" si="4305"/>
        <v>41674456.056000002</v>
      </c>
      <c r="P2134" s="1017"/>
      <c r="Q2134" s="1362">
        <f t="shared" si="4321"/>
        <v>0</v>
      </c>
      <c r="R2134" s="349"/>
      <c r="S2134" s="349">
        <f ca="1">IF(OR(E2134="",E2134&gt;TODAY()),0,IF(ISERROR(VLOOKUP($E2134,'TRM BanRep'!$A:$G,7,0)),0,VLOOKUP($E2134,'TRM BanRep'!$A:$G,7,0)))</f>
        <v>4538.91</v>
      </c>
      <c r="T2134" s="1031">
        <f t="shared" ca="1" si="4307"/>
        <v>0</v>
      </c>
      <c r="U2134" s="970">
        <f t="shared" si="4308"/>
        <v>9181.6</v>
      </c>
      <c r="V2134" s="971">
        <f t="shared" ca="1" si="4309"/>
        <v>41674456.056000002</v>
      </c>
      <c r="W2134" s="972">
        <f t="shared" ca="1" si="4310"/>
        <v>0</v>
      </c>
      <c r="X2134" s="973">
        <f t="shared" ca="1" si="4311"/>
        <v>0</v>
      </c>
      <c r="Y2134" s="1018"/>
      <c r="Z2134" s="1077"/>
      <c r="AA2134" s="974"/>
      <c r="AB2134" s="974"/>
      <c r="AC2134" s="974"/>
      <c r="AD2134" s="974"/>
      <c r="AE2134" s="974"/>
    </row>
    <row r="2135" spans="1:31" s="401" customFormat="1" outlineLevel="1">
      <c r="A2135" s="1011">
        <v>2406010300</v>
      </c>
      <c r="B2135" s="1012" t="s">
        <v>1366</v>
      </c>
      <c r="C2135" s="1661" t="s">
        <v>64</v>
      </c>
      <c r="D2135" s="1665">
        <v>2000001614</v>
      </c>
      <c r="E2135" s="1666">
        <v>44981</v>
      </c>
      <c r="F2135" s="1015"/>
      <c r="G2135" s="1293"/>
      <c r="H2135" s="346"/>
      <c r="I2135" s="1016"/>
      <c r="J2135" s="1457">
        <v>1</v>
      </c>
      <c r="K2135" s="1458">
        <v>1</v>
      </c>
      <c r="L2135" s="1036"/>
      <c r="M2135" s="1325">
        <f t="shared" si="4304"/>
        <v>0</v>
      </c>
      <c r="N2135" s="348">
        <f ca="1">IF(OR(E2135="",E2135&gt;TODAY()),0,IF(ISERROR(VLOOKUP($E2135,'TRM BanRep'!$A:$G,7,0)),0,VLOOKUP($E2135,'TRM BanRep'!$A:$G,7,0)))</f>
        <v>4853.8999999999996</v>
      </c>
      <c r="O2135" s="996">
        <f t="shared" ca="1" si="4305"/>
        <v>0</v>
      </c>
      <c r="P2135" s="1017">
        <f>-L2134</f>
        <v>-9181.6</v>
      </c>
      <c r="Q2135" s="1362">
        <f t="shared" ref="Q2135:Q2136" si="4329">+P2135*K2135</f>
        <v>-9181.6</v>
      </c>
      <c r="R2135" s="349">
        <f ca="1">+N2134</f>
        <v>4538.91</v>
      </c>
      <c r="S2135" s="349">
        <f ca="1">IF(OR(E2135="",E2135&gt;TODAY()),0,IF(ISERROR(VLOOKUP($E2135,'TRM BanRep'!$A:$G,7,0)),0,VLOOKUP($E2135,'TRM BanRep'!$A:$G,7,0)))</f>
        <v>4853.8999999999996</v>
      </c>
      <c r="T2135" s="1031">
        <f t="shared" ca="1" si="4307"/>
        <v>-44566568.240000002</v>
      </c>
      <c r="U2135" s="970">
        <f t="shared" si="4308"/>
        <v>-9181.6</v>
      </c>
      <c r="V2135" s="971">
        <f t="shared" ca="1" si="4309"/>
        <v>-41674456.056000002</v>
      </c>
      <c r="W2135" s="972">
        <f t="shared" ca="1" si="4310"/>
        <v>2892112.1840000004</v>
      </c>
      <c r="X2135" s="973">
        <f t="shared" ca="1" si="4311"/>
        <v>0</v>
      </c>
      <c r="Y2135" s="1018"/>
      <c r="Z2135" s="1077"/>
      <c r="AA2135" s="974"/>
      <c r="AB2135" s="974"/>
      <c r="AC2135" s="974"/>
      <c r="AD2135" s="974"/>
      <c r="AE2135" s="974"/>
    </row>
    <row r="2136" spans="1:31" s="401" customFormat="1" outlineLevel="1">
      <c r="A2136" s="1011">
        <v>2406010300</v>
      </c>
      <c r="B2136" s="1012" t="s">
        <v>2255</v>
      </c>
      <c r="C2136" s="1661" t="s">
        <v>64</v>
      </c>
      <c r="D2136" s="1665">
        <v>5100000776</v>
      </c>
      <c r="E2136" s="1666">
        <v>44958</v>
      </c>
      <c r="F2136" s="1015"/>
      <c r="G2136" s="1293"/>
      <c r="H2136" s="346"/>
      <c r="I2136" s="1016"/>
      <c r="J2136" s="1457">
        <v>1</v>
      </c>
      <c r="K2136" s="1458">
        <v>1</v>
      </c>
      <c r="L2136" s="1036">
        <v>588</v>
      </c>
      <c r="M2136" s="1325">
        <f t="shared" ref="M2136:M2138" si="4330">+L2136*J2136</f>
        <v>588</v>
      </c>
      <c r="N2136" s="348">
        <f ca="1">IF(OR(E2136="",E2136&gt;TODAY()),0,IF(ISERROR(VLOOKUP($E2136,'TRM BanRep'!$A:$G,7,0)),0,VLOOKUP($E2136,'TRM BanRep'!$A:$G,7,0)))</f>
        <v>4648.7</v>
      </c>
      <c r="O2136" s="996">
        <f t="shared" ref="O2136:O2138" ca="1" si="4331">+L2136*J2136*N2136</f>
        <v>2733435.6</v>
      </c>
      <c r="P2136" s="1017"/>
      <c r="Q2136" s="1362">
        <f t="shared" si="4329"/>
        <v>0</v>
      </c>
      <c r="R2136" s="349"/>
      <c r="S2136" s="349">
        <f ca="1">IF(OR(E2136="",E2136&gt;TODAY()),0,IF(ISERROR(VLOOKUP($E2136,'TRM BanRep'!$A:$G,7,0)),0,VLOOKUP($E2136,'TRM BanRep'!$A:$G,7,0)))</f>
        <v>4648.7</v>
      </c>
      <c r="T2136" s="1031">
        <f t="shared" ref="T2136:T2138" ca="1" si="4332">+P2136*K2136*S2136</f>
        <v>0</v>
      </c>
      <c r="U2136" s="970">
        <f t="shared" ref="U2136:U2138" si="4333">+L2136+P2136+F2136</f>
        <v>588</v>
      </c>
      <c r="V2136" s="971">
        <f t="shared" ref="V2136:V2138" ca="1" si="4334">+P2136*J2136*R2136+L2136*J2136*N2136+F2136*J2136*H2136</f>
        <v>2733435.6</v>
      </c>
      <c r="W2136" s="972">
        <f t="shared" ref="W2136:W2138" ca="1" si="4335">-(IF(-P2136*J2136*R2136&lt;-P2136*K2136*S2136,(-P2136*J2136*R2136)-(-P2136*K2136*S2136),0))</f>
        <v>0</v>
      </c>
      <c r="X2136" s="973">
        <f t="shared" ref="X2136:X2138" ca="1" si="4336">-(IF(-P2136*J2136*R2136&gt;-P2136*K2136*S2136,(-P2136*J2136*R2136)-(-P2136*K2136*S2136),0))</f>
        <v>0</v>
      </c>
      <c r="Y2136" s="1018"/>
      <c r="Z2136" s="1077"/>
      <c r="AA2136" s="974"/>
      <c r="AB2136" s="974"/>
      <c r="AC2136" s="974"/>
      <c r="AD2136" s="974"/>
      <c r="AE2136" s="974"/>
    </row>
    <row r="2137" spans="1:31" s="401" customFormat="1" outlineLevel="1">
      <c r="A2137" s="1011">
        <v>2406010300</v>
      </c>
      <c r="B2137" s="1012" t="s">
        <v>1366</v>
      </c>
      <c r="C2137" s="1661" t="s">
        <v>64</v>
      </c>
      <c r="D2137" s="1665">
        <v>2000000931</v>
      </c>
      <c r="E2137" s="1666">
        <v>44958</v>
      </c>
      <c r="F2137" s="1015"/>
      <c r="G2137" s="1293"/>
      <c r="H2137" s="346"/>
      <c r="I2137" s="1016"/>
      <c r="J2137" s="1457">
        <v>1</v>
      </c>
      <c r="K2137" s="1458">
        <v>1</v>
      </c>
      <c r="L2137" s="1036"/>
      <c r="M2137" s="1325">
        <f t="shared" si="4330"/>
        <v>0</v>
      </c>
      <c r="N2137" s="348">
        <f ca="1">IF(OR(E2137="",E2137&gt;TODAY()),0,IF(ISERROR(VLOOKUP($E2137,'TRM BanRep'!$A:$G,7,0)),0,VLOOKUP($E2137,'TRM BanRep'!$A:$G,7,0)))</f>
        <v>4648.7</v>
      </c>
      <c r="O2137" s="996">
        <f t="shared" ca="1" si="4331"/>
        <v>0</v>
      </c>
      <c r="P2137" s="1017">
        <f>-L2136</f>
        <v>-588</v>
      </c>
      <c r="Q2137" s="1362">
        <f t="shared" ref="Q2137:Q2138" si="4337">+P2137*K2137</f>
        <v>-588</v>
      </c>
      <c r="R2137" s="349">
        <f ca="1">+N2136</f>
        <v>4648.7</v>
      </c>
      <c r="S2137" s="349">
        <f ca="1">IF(OR(E2137="",E2137&gt;TODAY()),0,IF(ISERROR(VLOOKUP($E2137,'TRM BanRep'!$A:$G,7,0)),0,VLOOKUP($E2137,'TRM BanRep'!$A:$G,7,0)))</f>
        <v>4648.7</v>
      </c>
      <c r="T2137" s="1031">
        <f t="shared" ca="1" si="4332"/>
        <v>-2733435.6</v>
      </c>
      <c r="U2137" s="970">
        <f t="shared" si="4333"/>
        <v>-588</v>
      </c>
      <c r="V2137" s="971">
        <f t="shared" ca="1" si="4334"/>
        <v>-2733435.6</v>
      </c>
      <c r="W2137" s="972">
        <f t="shared" ca="1" si="4335"/>
        <v>0</v>
      </c>
      <c r="X2137" s="973">
        <f t="shared" ca="1" si="4336"/>
        <v>0</v>
      </c>
      <c r="Y2137" s="1018"/>
      <c r="Z2137" s="1077"/>
      <c r="AA2137" s="974"/>
      <c r="AB2137" s="974"/>
      <c r="AC2137" s="974"/>
      <c r="AD2137" s="974"/>
      <c r="AE2137" s="974"/>
    </row>
    <row r="2138" spans="1:31" s="401" customFormat="1" outlineLevel="1">
      <c r="A2138" s="1011">
        <v>2406010300</v>
      </c>
      <c r="B2138" s="1012" t="s">
        <v>2349</v>
      </c>
      <c r="C2138" s="1661" t="s">
        <v>64</v>
      </c>
      <c r="D2138" s="1665">
        <v>5100001409</v>
      </c>
      <c r="E2138" s="1666">
        <v>44981</v>
      </c>
      <c r="F2138" s="1015"/>
      <c r="G2138" s="1293"/>
      <c r="H2138" s="346"/>
      <c r="I2138" s="1016"/>
      <c r="J2138" s="1457">
        <v>1</v>
      </c>
      <c r="K2138" s="1458">
        <v>1</v>
      </c>
      <c r="L2138" s="1036">
        <v>6321.36</v>
      </c>
      <c r="M2138" s="1325">
        <f t="shared" si="4330"/>
        <v>6321.36</v>
      </c>
      <c r="N2138" s="348">
        <f ca="1">IF(OR(E2138="",E2138&gt;TODAY()),0,IF(ISERROR(VLOOKUP($E2138,'TRM BanRep'!$A:$G,7,0)),0,VLOOKUP($E2138,'TRM BanRep'!$A:$G,7,0)))</f>
        <v>4853.8999999999996</v>
      </c>
      <c r="O2138" s="996">
        <f t="shared" ca="1" si="4331"/>
        <v>30683249.303999998</v>
      </c>
      <c r="P2138" s="1017"/>
      <c r="Q2138" s="1362">
        <f t="shared" si="4337"/>
        <v>0</v>
      </c>
      <c r="R2138" s="349"/>
      <c r="S2138" s="349"/>
      <c r="T2138" s="1031">
        <f t="shared" si="4332"/>
        <v>0</v>
      </c>
      <c r="U2138" s="970">
        <f t="shared" si="4333"/>
        <v>6321.36</v>
      </c>
      <c r="V2138" s="971">
        <f t="shared" ca="1" si="4334"/>
        <v>30683249.303999998</v>
      </c>
      <c r="W2138" s="972">
        <f t="shared" si="4335"/>
        <v>0</v>
      </c>
      <c r="X2138" s="973">
        <f t="shared" si="4336"/>
        <v>0</v>
      </c>
      <c r="Y2138" s="1018"/>
      <c r="Z2138" s="1077"/>
      <c r="AA2138" s="974"/>
      <c r="AB2138" s="974"/>
      <c r="AC2138" s="974"/>
      <c r="AD2138" s="974"/>
      <c r="AE2138" s="974"/>
    </row>
    <row r="2139" spans="1:31" s="401" customFormat="1" outlineLevel="1">
      <c r="A2139" s="1011">
        <v>2406010300</v>
      </c>
      <c r="B2139" s="1012" t="s">
        <v>1366</v>
      </c>
      <c r="C2139" s="1661" t="s">
        <v>64</v>
      </c>
      <c r="D2139" s="1665">
        <v>2000002578</v>
      </c>
      <c r="E2139" s="1666">
        <v>45012</v>
      </c>
      <c r="F2139" s="1015"/>
      <c r="G2139" s="1293"/>
      <c r="H2139" s="346"/>
      <c r="I2139" s="1016"/>
      <c r="J2139" s="1457">
        <v>1</v>
      </c>
      <c r="K2139" s="1458">
        <v>1</v>
      </c>
      <c r="L2139" s="1036"/>
      <c r="M2139" s="1325">
        <f t="shared" ref="M2139:M2146" si="4338">+L2139*J2139</f>
        <v>0</v>
      </c>
      <c r="N2139" s="348">
        <f ca="1">IF(OR(E2139="",E2139&gt;TODAY()),0,IF(ISERROR(VLOOKUP($E2139,'TRM BanRep'!$A:$G,7,0)),0,VLOOKUP($E2139,'TRM BanRep'!$A:$G,7,0)))</f>
        <v>4741.76</v>
      </c>
      <c r="O2139" s="996">
        <f t="shared" ref="O2139:O2146" ca="1" si="4339">+L2139*J2139*N2139</f>
        <v>0</v>
      </c>
      <c r="P2139" s="1017">
        <f>-L2138</f>
        <v>-6321.36</v>
      </c>
      <c r="Q2139" s="1362">
        <f t="shared" ref="Q2139:Q2146" si="4340">+P2139*K2139</f>
        <v>-6321.36</v>
      </c>
      <c r="R2139" s="349">
        <f ca="1">+N2138</f>
        <v>4853.8999999999996</v>
      </c>
      <c r="S2139" s="349">
        <f ca="1">IF(OR(E2139="",E2139&gt;TODAY()),0,IF(ISERROR(VLOOKUP($E2139,'TRM BanRep'!$A:$G,7,0)),0,VLOOKUP($E2139,'TRM BanRep'!$A:$G,7,0)))</f>
        <v>4741.76</v>
      </c>
      <c r="T2139" s="1031">
        <f t="shared" ref="T2139:T2146" ca="1" si="4341">+P2139*K2139*S2139</f>
        <v>-29974371.9936</v>
      </c>
      <c r="U2139" s="970">
        <f t="shared" ref="U2139:U2146" si="4342">+L2139+P2139+F2139</f>
        <v>-6321.36</v>
      </c>
      <c r="V2139" s="971">
        <f t="shared" ref="V2139:V2146" ca="1" si="4343">+P2139*J2139*R2139+L2139*J2139*N2139+F2139*J2139*H2139</f>
        <v>-30683249.303999998</v>
      </c>
      <c r="W2139" s="972">
        <f t="shared" ref="W2139:W2146" ca="1" si="4344">-(IF(-P2139*J2139*R2139&lt;-P2139*K2139*S2139,(-P2139*J2139*R2139)-(-P2139*K2139*S2139),0))</f>
        <v>0</v>
      </c>
      <c r="X2139" s="973">
        <f t="shared" ref="X2139:X2146" ca="1" si="4345">-(IF(-P2139*J2139*R2139&gt;-P2139*K2139*S2139,(-P2139*J2139*R2139)-(-P2139*K2139*S2139),0))</f>
        <v>-708877.31039999798</v>
      </c>
      <c r="Y2139" s="1018"/>
      <c r="Z2139" s="1077"/>
      <c r="AA2139" s="974"/>
      <c r="AB2139" s="974"/>
      <c r="AC2139" s="974"/>
      <c r="AD2139" s="974"/>
      <c r="AE2139" s="974"/>
    </row>
    <row r="2140" spans="1:31" s="401" customFormat="1" outlineLevel="1">
      <c r="A2140" s="1011">
        <v>2406010300</v>
      </c>
      <c r="B2140" s="1012" t="s">
        <v>2430</v>
      </c>
      <c r="C2140" s="1661" t="s">
        <v>64</v>
      </c>
      <c r="D2140" s="1665">
        <v>5100001597</v>
      </c>
      <c r="E2140" s="1666">
        <v>44984</v>
      </c>
      <c r="F2140" s="1015"/>
      <c r="G2140" s="1293"/>
      <c r="H2140" s="346"/>
      <c r="I2140" s="1016"/>
      <c r="J2140" s="1457">
        <v>1</v>
      </c>
      <c r="K2140" s="1458">
        <v>1</v>
      </c>
      <c r="L2140" s="1036">
        <v>190.39</v>
      </c>
      <c r="M2140" s="1325">
        <f t="shared" si="4338"/>
        <v>190.39</v>
      </c>
      <c r="N2140" s="348">
        <f ca="1">IF(OR(E2140="",E2140&gt;TODAY()),0,IF(ISERROR(VLOOKUP($E2140,'TRM BanRep'!$A:$G,7,0)),0,VLOOKUP($E2140,'TRM BanRep'!$A:$G,7,0)))</f>
        <v>4849.6499999999996</v>
      </c>
      <c r="O2140" s="996">
        <f t="shared" ca="1" si="4339"/>
        <v>923324.86349999986</v>
      </c>
      <c r="P2140" s="1017"/>
      <c r="Q2140" s="1362">
        <f t="shared" si="4340"/>
        <v>0</v>
      </c>
      <c r="R2140" s="349"/>
      <c r="S2140" s="349">
        <f ca="1">IF(OR(E2140="",E2140&gt;TODAY()),0,IF(ISERROR(VLOOKUP($E2140,'TRM BanRep'!$A:$G,7,0)),0,VLOOKUP($E2140,'TRM BanRep'!$A:$G,7,0)))</f>
        <v>4849.6499999999996</v>
      </c>
      <c r="T2140" s="1031">
        <f t="shared" ca="1" si="4341"/>
        <v>0</v>
      </c>
      <c r="U2140" s="970">
        <f t="shared" si="4342"/>
        <v>190.39</v>
      </c>
      <c r="V2140" s="971">
        <f t="shared" ca="1" si="4343"/>
        <v>923324.86349999986</v>
      </c>
      <c r="W2140" s="972">
        <f t="shared" ca="1" si="4344"/>
        <v>0</v>
      </c>
      <c r="X2140" s="973">
        <f t="shared" ca="1" si="4345"/>
        <v>0</v>
      </c>
      <c r="Y2140" s="1018"/>
      <c r="Z2140" s="1077"/>
      <c r="AA2140" s="974"/>
      <c r="AB2140" s="974"/>
      <c r="AC2140" s="974"/>
      <c r="AD2140" s="974"/>
      <c r="AE2140" s="974"/>
    </row>
    <row r="2141" spans="1:31" s="401" customFormat="1" outlineLevel="1">
      <c r="A2141" s="1011">
        <v>2406010300</v>
      </c>
      <c r="B2141" s="1012"/>
      <c r="C2141" s="1661" t="s">
        <v>64</v>
      </c>
      <c r="D2141" s="1665">
        <v>2000001764</v>
      </c>
      <c r="E2141" s="1666">
        <v>44988</v>
      </c>
      <c r="F2141" s="1015"/>
      <c r="G2141" s="1293"/>
      <c r="H2141" s="346"/>
      <c r="I2141" s="1016"/>
      <c r="J2141" s="1457">
        <v>1</v>
      </c>
      <c r="K2141" s="1458">
        <v>1</v>
      </c>
      <c r="L2141" s="1036"/>
      <c r="M2141" s="1325">
        <f t="shared" si="4338"/>
        <v>0</v>
      </c>
      <c r="N2141" s="348">
        <f ca="1">IF(OR(E2141="",E2141&gt;TODAY()),0,IF(ISERROR(VLOOKUP($E2141,'TRM BanRep'!$A:$G,7,0)),0,VLOOKUP($E2141,'TRM BanRep'!$A:$G,7,0)))</f>
        <v>4855.83</v>
      </c>
      <c r="O2141" s="996">
        <f t="shared" ca="1" si="4339"/>
        <v>0</v>
      </c>
      <c r="P2141" s="1017">
        <f>-L2140</f>
        <v>-190.39</v>
      </c>
      <c r="Q2141" s="1362">
        <f t="shared" si="4340"/>
        <v>-190.39</v>
      </c>
      <c r="R2141" s="349">
        <f ca="1">+N2140</f>
        <v>4849.6499999999996</v>
      </c>
      <c r="S2141" s="349">
        <f ca="1">IF(OR(E2141="",E2141&gt;TODAY()),0,IF(ISERROR(VLOOKUP($E2141,'TRM BanRep'!$A:$G,7,0)),0,VLOOKUP($E2141,'TRM BanRep'!$A:$G,7,0)))</f>
        <v>4855.83</v>
      </c>
      <c r="T2141" s="1031">
        <f t="shared" ca="1" si="4341"/>
        <v>-924501.47369999997</v>
      </c>
      <c r="U2141" s="970">
        <f t="shared" si="4342"/>
        <v>-190.39</v>
      </c>
      <c r="V2141" s="971">
        <f t="shared" ca="1" si="4343"/>
        <v>-923324.86349999986</v>
      </c>
      <c r="W2141" s="972">
        <f t="shared" ca="1" si="4344"/>
        <v>1176.6102000001119</v>
      </c>
      <c r="X2141" s="973">
        <f t="shared" ca="1" si="4345"/>
        <v>0</v>
      </c>
      <c r="Y2141" s="1018"/>
      <c r="Z2141" s="1077"/>
      <c r="AA2141" s="974"/>
      <c r="AB2141" s="974"/>
      <c r="AC2141" s="974"/>
      <c r="AD2141" s="974"/>
      <c r="AE2141" s="974"/>
    </row>
    <row r="2142" spans="1:31" s="401" customFormat="1" outlineLevel="1">
      <c r="A2142" s="1011">
        <v>2406010300</v>
      </c>
      <c r="B2142" s="1012" t="s">
        <v>2430</v>
      </c>
      <c r="C2142" s="1661" t="s">
        <v>64</v>
      </c>
      <c r="D2142" s="1665">
        <v>5100001600</v>
      </c>
      <c r="E2142" s="1666">
        <v>44984</v>
      </c>
      <c r="F2142" s="1015"/>
      <c r="G2142" s="1293"/>
      <c r="H2142" s="346"/>
      <c r="I2142" s="1016"/>
      <c r="J2142" s="1457">
        <v>1</v>
      </c>
      <c r="K2142" s="1458">
        <v>1</v>
      </c>
      <c r="L2142" s="1036">
        <v>40.880000000000003</v>
      </c>
      <c r="M2142" s="1325">
        <f t="shared" si="4338"/>
        <v>40.880000000000003</v>
      </c>
      <c r="N2142" s="348">
        <f ca="1">IF(OR(E2142="",E2142&gt;TODAY()),0,IF(ISERROR(VLOOKUP($E2142,'TRM BanRep'!$A:$G,7,0)),0,VLOOKUP($E2142,'TRM BanRep'!$A:$G,7,0)))</f>
        <v>4849.6499999999996</v>
      </c>
      <c r="O2142" s="996">
        <f t="shared" ca="1" si="4339"/>
        <v>198253.69200000001</v>
      </c>
      <c r="P2142" s="1017"/>
      <c r="Q2142" s="1362">
        <f t="shared" si="4340"/>
        <v>0</v>
      </c>
      <c r="R2142" s="349"/>
      <c r="S2142" s="349">
        <f ca="1">IF(OR(E2142="",E2142&gt;TODAY()),0,IF(ISERROR(VLOOKUP($E2142,'TRM BanRep'!$A:$G,7,0)),0,VLOOKUP($E2142,'TRM BanRep'!$A:$G,7,0)))</f>
        <v>4849.6499999999996</v>
      </c>
      <c r="T2142" s="1031">
        <f t="shared" ca="1" si="4341"/>
        <v>0</v>
      </c>
      <c r="U2142" s="970">
        <f t="shared" si="4342"/>
        <v>40.880000000000003</v>
      </c>
      <c r="V2142" s="971">
        <f t="shared" ca="1" si="4343"/>
        <v>198253.69200000001</v>
      </c>
      <c r="W2142" s="972">
        <f t="shared" ca="1" si="4344"/>
        <v>0</v>
      </c>
      <c r="X2142" s="973">
        <f t="shared" ca="1" si="4345"/>
        <v>0</v>
      </c>
      <c r="Y2142" s="1018"/>
      <c r="Z2142" s="1077"/>
      <c r="AA2142" s="974"/>
      <c r="AB2142" s="974"/>
      <c r="AC2142" s="974"/>
      <c r="AD2142" s="974"/>
      <c r="AE2142" s="974"/>
    </row>
    <row r="2143" spans="1:31" s="401" customFormat="1" outlineLevel="1">
      <c r="A2143" s="1011">
        <v>2406010300</v>
      </c>
      <c r="B2143" s="1012" t="s">
        <v>1366</v>
      </c>
      <c r="C2143" s="1661" t="s">
        <v>64</v>
      </c>
      <c r="D2143" s="1665">
        <v>2000001764</v>
      </c>
      <c r="E2143" s="1666">
        <v>44988</v>
      </c>
      <c r="F2143" s="1015"/>
      <c r="G2143" s="1293"/>
      <c r="H2143" s="346"/>
      <c r="I2143" s="1016"/>
      <c r="J2143" s="1457">
        <v>1</v>
      </c>
      <c r="K2143" s="1458">
        <v>1</v>
      </c>
      <c r="L2143" s="1036"/>
      <c r="M2143" s="1325">
        <f t="shared" si="4338"/>
        <v>0</v>
      </c>
      <c r="N2143" s="348">
        <f ca="1">IF(OR(E2143="",E2143&gt;TODAY()),0,IF(ISERROR(VLOOKUP($E2143,'TRM BanRep'!$A:$G,7,0)),0,VLOOKUP($E2143,'TRM BanRep'!$A:$G,7,0)))</f>
        <v>4855.83</v>
      </c>
      <c r="O2143" s="996">
        <f t="shared" ca="1" si="4339"/>
        <v>0</v>
      </c>
      <c r="P2143" s="1017">
        <f>-L2142</f>
        <v>-40.880000000000003</v>
      </c>
      <c r="Q2143" s="1362">
        <f t="shared" si="4340"/>
        <v>-40.880000000000003</v>
      </c>
      <c r="R2143" s="349">
        <f ca="1">+N2142</f>
        <v>4849.6499999999996</v>
      </c>
      <c r="S2143" s="349">
        <f ca="1">IF(OR(E2143="",E2143&gt;TODAY()),0,IF(ISERROR(VLOOKUP($E2143,'TRM BanRep'!$A:$G,7,0)),0,VLOOKUP($E2143,'TRM BanRep'!$A:$G,7,0)))</f>
        <v>4855.83</v>
      </c>
      <c r="T2143" s="1031">
        <f t="shared" ca="1" si="4341"/>
        <v>-198506.33040000001</v>
      </c>
      <c r="U2143" s="970">
        <f t="shared" si="4342"/>
        <v>-40.880000000000003</v>
      </c>
      <c r="V2143" s="971">
        <f t="shared" ca="1" si="4343"/>
        <v>-198253.69200000001</v>
      </c>
      <c r="W2143" s="972">
        <f t="shared" ca="1" si="4344"/>
        <v>252.63839999999618</v>
      </c>
      <c r="X2143" s="973">
        <f t="shared" ca="1" si="4345"/>
        <v>0</v>
      </c>
      <c r="Y2143" s="1018"/>
      <c r="Z2143" s="1077"/>
      <c r="AA2143" s="974"/>
      <c r="AB2143" s="974"/>
      <c r="AC2143" s="974"/>
      <c r="AD2143" s="974"/>
      <c r="AE2143" s="974"/>
    </row>
    <row r="2144" spans="1:31" s="401" customFormat="1" outlineLevel="1">
      <c r="A2144" s="1011">
        <v>2406010300</v>
      </c>
      <c r="B2144" s="1012" t="s">
        <v>2431</v>
      </c>
      <c r="C2144" s="1661" t="s">
        <v>64</v>
      </c>
      <c r="D2144" s="1665">
        <v>5100001601</v>
      </c>
      <c r="E2144" s="1666">
        <v>44984</v>
      </c>
      <c r="F2144" s="1015"/>
      <c r="G2144" s="1293"/>
      <c r="H2144" s="346"/>
      <c r="I2144" s="1016"/>
      <c r="J2144" s="1457">
        <v>1</v>
      </c>
      <c r="K2144" s="1458">
        <v>1</v>
      </c>
      <c r="L2144" s="1036">
        <v>6364.32</v>
      </c>
      <c r="M2144" s="1325">
        <f t="shared" si="4338"/>
        <v>6364.32</v>
      </c>
      <c r="N2144" s="348">
        <f ca="1">IF(OR(E2144="",E2144&gt;TODAY()),0,IF(ISERROR(VLOOKUP($E2144,'TRM BanRep'!$A:$G,7,0)),0,VLOOKUP($E2144,'TRM BanRep'!$A:$G,7,0)))</f>
        <v>4849.6499999999996</v>
      </c>
      <c r="O2144" s="996">
        <f t="shared" ca="1" si="4339"/>
        <v>30864724.487999998</v>
      </c>
      <c r="P2144" s="1017"/>
      <c r="Q2144" s="1362">
        <f t="shared" si="4340"/>
        <v>0</v>
      </c>
      <c r="R2144" s="349"/>
      <c r="S2144" s="349">
        <f ca="1">IF(OR(E2144="",E2144&gt;TODAY()),0,IF(ISERROR(VLOOKUP($E2144,'TRM BanRep'!$A:$G,7,0)),0,VLOOKUP($E2144,'TRM BanRep'!$A:$G,7,0)))</f>
        <v>4849.6499999999996</v>
      </c>
      <c r="T2144" s="1031">
        <f t="shared" ca="1" si="4341"/>
        <v>0</v>
      </c>
      <c r="U2144" s="970">
        <f t="shared" si="4342"/>
        <v>6364.32</v>
      </c>
      <c r="V2144" s="971">
        <f t="shared" ca="1" si="4343"/>
        <v>30864724.487999998</v>
      </c>
      <c r="W2144" s="972">
        <f t="shared" ca="1" si="4344"/>
        <v>0</v>
      </c>
      <c r="X2144" s="973">
        <f t="shared" ca="1" si="4345"/>
        <v>0</v>
      </c>
      <c r="Y2144" s="1018"/>
      <c r="Z2144" s="1077"/>
      <c r="AA2144" s="974"/>
      <c r="AB2144" s="974"/>
      <c r="AC2144" s="974"/>
      <c r="AD2144" s="974"/>
      <c r="AE2144" s="974"/>
    </row>
    <row r="2145" spans="1:31" s="401" customFormat="1" outlineLevel="1">
      <c r="A2145" s="1011">
        <v>2406010300</v>
      </c>
      <c r="B2145" s="1012" t="s">
        <v>1366</v>
      </c>
      <c r="C2145" s="1661" t="s">
        <v>64</v>
      </c>
      <c r="D2145" s="1665">
        <v>2000001764</v>
      </c>
      <c r="E2145" s="1666">
        <v>44988</v>
      </c>
      <c r="F2145" s="1015"/>
      <c r="G2145" s="1293"/>
      <c r="H2145" s="346"/>
      <c r="I2145" s="1016"/>
      <c r="J2145" s="1457">
        <v>1</v>
      </c>
      <c r="K2145" s="1458">
        <v>1</v>
      </c>
      <c r="L2145" s="1036"/>
      <c r="M2145" s="1325">
        <f t="shared" si="4338"/>
        <v>0</v>
      </c>
      <c r="N2145" s="348">
        <f ca="1">IF(OR(E2145="",E2145&gt;TODAY()),0,IF(ISERROR(VLOOKUP($E2145,'TRM BanRep'!$A:$G,7,0)),0,VLOOKUP($E2145,'TRM BanRep'!$A:$G,7,0)))</f>
        <v>4855.83</v>
      </c>
      <c r="O2145" s="996">
        <f t="shared" ca="1" si="4339"/>
        <v>0</v>
      </c>
      <c r="P2145" s="1017">
        <f>-L2144</f>
        <v>-6364.32</v>
      </c>
      <c r="Q2145" s="1362">
        <f t="shared" si="4340"/>
        <v>-6364.32</v>
      </c>
      <c r="R2145" s="349">
        <f ca="1">+N2144</f>
        <v>4849.6499999999996</v>
      </c>
      <c r="S2145" s="349">
        <f ca="1">IF(OR(E2145="",E2145&gt;TODAY()),0,IF(ISERROR(VLOOKUP($E2145,'TRM BanRep'!$A:$G,7,0)),0,VLOOKUP($E2145,'TRM BanRep'!$A:$G,7,0)))</f>
        <v>4855.83</v>
      </c>
      <c r="T2145" s="1031">
        <f t="shared" ca="1" si="4341"/>
        <v>-30904055.985599998</v>
      </c>
      <c r="U2145" s="970">
        <f t="shared" si="4342"/>
        <v>-6364.32</v>
      </c>
      <c r="V2145" s="971">
        <f t="shared" ca="1" si="4343"/>
        <v>-30864724.487999998</v>
      </c>
      <c r="W2145" s="972">
        <f t="shared" ca="1" si="4344"/>
        <v>39331.497600000352</v>
      </c>
      <c r="X2145" s="973">
        <f t="shared" ca="1" si="4345"/>
        <v>0</v>
      </c>
      <c r="Y2145" s="1018"/>
      <c r="Z2145" s="1077"/>
      <c r="AA2145" s="974"/>
      <c r="AB2145" s="974"/>
      <c r="AC2145" s="974"/>
      <c r="AD2145" s="974"/>
      <c r="AE2145" s="974"/>
    </row>
    <row r="2146" spans="1:31" s="401" customFormat="1" outlineLevel="1">
      <c r="A2146" s="1011">
        <v>2406010300</v>
      </c>
      <c r="B2146" s="1012" t="s">
        <v>2430</v>
      </c>
      <c r="C2146" s="1661" t="s">
        <v>64</v>
      </c>
      <c r="D2146" s="1665">
        <v>5100002124</v>
      </c>
      <c r="E2146" s="1666">
        <v>45006</v>
      </c>
      <c r="F2146" s="1015"/>
      <c r="G2146" s="1293"/>
      <c r="H2146" s="346"/>
      <c r="I2146" s="1016"/>
      <c r="J2146" s="1457">
        <v>1</v>
      </c>
      <c r="K2146" s="1458">
        <v>1</v>
      </c>
      <c r="L2146" s="1036">
        <v>205.22</v>
      </c>
      <c r="M2146" s="1325">
        <f t="shared" si="4338"/>
        <v>205.22</v>
      </c>
      <c r="N2146" s="348">
        <f ca="1">IF(OR(E2146="",E2146&gt;TODAY()),0,IF(ISERROR(VLOOKUP($E2146,'TRM BanRep'!$A:$G,7,0)),0,VLOOKUP($E2146,'TRM BanRep'!$A:$G,7,0)))</f>
        <v>4824.25</v>
      </c>
      <c r="O2146" s="996">
        <f t="shared" ca="1" si="4339"/>
        <v>990032.58499999996</v>
      </c>
      <c r="P2146" s="1017"/>
      <c r="Q2146" s="1362">
        <f t="shared" si="4340"/>
        <v>0</v>
      </c>
      <c r="R2146" s="349"/>
      <c r="S2146" s="349"/>
      <c r="T2146" s="1031">
        <f t="shared" si="4341"/>
        <v>0</v>
      </c>
      <c r="U2146" s="970">
        <f t="shared" si="4342"/>
        <v>205.22</v>
      </c>
      <c r="V2146" s="971">
        <f t="shared" ca="1" si="4343"/>
        <v>990032.58499999996</v>
      </c>
      <c r="W2146" s="972">
        <f t="shared" si="4344"/>
        <v>0</v>
      </c>
      <c r="X2146" s="973">
        <f t="shared" si="4345"/>
        <v>0</v>
      </c>
      <c r="Y2146" s="1018"/>
      <c r="Z2146" s="1077"/>
      <c r="AA2146" s="974"/>
      <c r="AB2146" s="974"/>
      <c r="AC2146" s="974"/>
      <c r="AD2146" s="974"/>
      <c r="AE2146" s="974"/>
    </row>
    <row r="2147" spans="1:31" s="401" customFormat="1" outlineLevel="1">
      <c r="A2147" s="1011">
        <v>2406010300</v>
      </c>
      <c r="B2147" s="1012" t="s">
        <v>1366</v>
      </c>
      <c r="C2147" s="1661" t="s">
        <v>64</v>
      </c>
      <c r="D2147" s="1665">
        <v>2000002579</v>
      </c>
      <c r="E2147" s="1666">
        <v>45012</v>
      </c>
      <c r="F2147" s="1015"/>
      <c r="G2147" s="1293"/>
      <c r="H2147" s="346"/>
      <c r="I2147" s="1016"/>
      <c r="J2147" s="1457">
        <v>1</v>
      </c>
      <c r="K2147" s="1458">
        <v>1</v>
      </c>
      <c r="L2147" s="1036"/>
      <c r="M2147" s="1325">
        <f t="shared" ref="M2147:M2157" si="4346">+L2147*J2147</f>
        <v>0</v>
      </c>
      <c r="N2147" s="348">
        <f ca="1">IF(OR(E2147="",E2147&gt;TODAY()),0,IF(ISERROR(VLOOKUP($E2147,'TRM BanRep'!$A:$G,7,0)),0,VLOOKUP($E2147,'TRM BanRep'!$A:$G,7,0)))</f>
        <v>4741.76</v>
      </c>
      <c r="O2147" s="996">
        <f t="shared" ref="O2147:O2157" ca="1" si="4347">+L2147*J2147*N2147</f>
        <v>0</v>
      </c>
      <c r="P2147" s="1017">
        <f>-L2146</f>
        <v>-205.22</v>
      </c>
      <c r="Q2147" s="1362">
        <f t="shared" ref="Q2147:Q2157" si="4348">+P2147*K2147</f>
        <v>-205.22</v>
      </c>
      <c r="R2147" s="349">
        <f ca="1">+N2146</f>
        <v>4824.25</v>
      </c>
      <c r="S2147" s="349">
        <f ca="1">IF(OR(E2147="",E2147&gt;TODAY()),0,IF(ISERROR(VLOOKUP($E2147,'TRM BanRep'!$A:$G,7,0)),0,VLOOKUP($E2147,'TRM BanRep'!$A:$G,7,0)))</f>
        <v>4741.76</v>
      </c>
      <c r="T2147" s="1031">
        <f t="shared" ref="T2147:T2157" ca="1" si="4349">+P2147*K2147*S2147</f>
        <v>-973103.98720000009</v>
      </c>
      <c r="U2147" s="970">
        <f t="shared" ref="U2147:U2157" si="4350">+L2147+P2147+F2147</f>
        <v>-205.22</v>
      </c>
      <c r="V2147" s="971">
        <f t="shared" ref="V2147:V2157" ca="1" si="4351">+P2147*J2147*R2147+L2147*J2147*N2147+F2147*J2147*H2147</f>
        <v>-990032.58499999996</v>
      </c>
      <c r="W2147" s="972">
        <f t="shared" ref="W2147:W2157" ca="1" si="4352">-(IF(-P2147*J2147*R2147&lt;-P2147*K2147*S2147,(-P2147*J2147*R2147)-(-P2147*K2147*S2147),0))</f>
        <v>0</v>
      </c>
      <c r="X2147" s="973">
        <f t="shared" ref="X2147:X2157" ca="1" si="4353">-(IF(-P2147*J2147*R2147&gt;-P2147*K2147*S2147,(-P2147*J2147*R2147)-(-P2147*K2147*S2147),0))</f>
        <v>-16928.597799999872</v>
      </c>
      <c r="Y2147" s="1018"/>
      <c r="Z2147" s="1077"/>
      <c r="AA2147" s="974"/>
      <c r="AB2147" s="974"/>
      <c r="AC2147" s="974"/>
      <c r="AD2147" s="974"/>
      <c r="AE2147" s="974"/>
    </row>
    <row r="2148" spans="1:31" s="401" customFormat="1" outlineLevel="1">
      <c r="A2148" s="1011">
        <v>2406010300</v>
      </c>
      <c r="B2148" s="1012" t="s">
        <v>2606</v>
      </c>
      <c r="C2148" s="1661" t="s">
        <v>64</v>
      </c>
      <c r="D2148" s="1665">
        <v>5100002501</v>
      </c>
      <c r="E2148" s="1666">
        <v>45016</v>
      </c>
      <c r="F2148" s="1015"/>
      <c r="G2148" s="1293"/>
      <c r="H2148" s="346"/>
      <c r="I2148" s="1016"/>
      <c r="J2148" s="1457">
        <v>1</v>
      </c>
      <c r="K2148" s="1458">
        <v>1</v>
      </c>
      <c r="L2148" s="1036">
        <v>164.22</v>
      </c>
      <c r="M2148" s="1325">
        <f t="shared" si="4346"/>
        <v>164.22</v>
      </c>
      <c r="N2148" s="348">
        <f ca="1">IF(OR(E2148="",E2148&gt;TODAY()),0,IF(ISERROR(VLOOKUP($E2148,'TRM BanRep'!$A:$G,7,0)),0,VLOOKUP($E2148,'TRM BanRep'!$A:$G,7,0)))</f>
        <v>4627.2700000000004</v>
      </c>
      <c r="O2148" s="996">
        <f t="shared" ca="1" si="4347"/>
        <v>759890.27940000012</v>
      </c>
      <c r="P2148" s="1017"/>
      <c r="Q2148" s="1362">
        <f t="shared" si="4348"/>
        <v>0</v>
      </c>
      <c r="R2148" s="349"/>
      <c r="S2148" s="349"/>
      <c r="T2148" s="1031">
        <f t="shared" si="4349"/>
        <v>0</v>
      </c>
      <c r="U2148" s="970">
        <f t="shared" si="4350"/>
        <v>164.22</v>
      </c>
      <c r="V2148" s="971">
        <f t="shared" ca="1" si="4351"/>
        <v>759890.27940000012</v>
      </c>
      <c r="W2148" s="972">
        <f t="shared" si="4352"/>
        <v>0</v>
      </c>
      <c r="X2148" s="973">
        <f t="shared" si="4353"/>
        <v>0</v>
      </c>
      <c r="Y2148" s="1018"/>
      <c r="Z2148" s="1077"/>
      <c r="AA2148" s="974"/>
      <c r="AB2148" s="974"/>
      <c r="AC2148" s="974"/>
      <c r="AD2148" s="974"/>
      <c r="AE2148" s="974"/>
    </row>
    <row r="2149" spans="1:31" s="401" customFormat="1" outlineLevel="1">
      <c r="A2149" s="1011">
        <v>2406010300</v>
      </c>
      <c r="B2149" s="1012" t="s">
        <v>1366</v>
      </c>
      <c r="C2149" s="1661" t="s">
        <v>64</v>
      </c>
      <c r="D2149" s="1665">
        <v>2000002815</v>
      </c>
      <c r="E2149" s="1666">
        <v>45016</v>
      </c>
      <c r="F2149" s="1015"/>
      <c r="G2149" s="1293"/>
      <c r="H2149" s="346"/>
      <c r="I2149" s="1016"/>
      <c r="J2149" s="1457">
        <v>1</v>
      </c>
      <c r="K2149" s="1458">
        <v>1</v>
      </c>
      <c r="L2149" s="1036"/>
      <c r="M2149" s="1325">
        <f t="shared" si="4346"/>
        <v>0</v>
      </c>
      <c r="N2149" s="348">
        <f ca="1">IF(OR(E2149="",E2149&gt;TODAY()),0,IF(ISERROR(VLOOKUP($E2149,'TRM BanRep'!$A:$G,7,0)),0,VLOOKUP($E2149,'TRM BanRep'!$A:$G,7,0)))</f>
        <v>4627.2700000000004</v>
      </c>
      <c r="O2149" s="996">
        <f t="shared" ca="1" si="4347"/>
        <v>0</v>
      </c>
      <c r="P2149" s="1017">
        <f>-L2148</f>
        <v>-164.22</v>
      </c>
      <c r="Q2149" s="1362">
        <f t="shared" si="4348"/>
        <v>-164.22</v>
      </c>
      <c r="R2149" s="349">
        <f ca="1">+N2148</f>
        <v>4627.2700000000004</v>
      </c>
      <c r="S2149" s="349">
        <f ca="1">IF(OR(E2149="",E2149&gt;TODAY()),0,IF(ISERROR(VLOOKUP($E2149,'TRM BanRep'!$A:$G,7,0)),0,VLOOKUP($E2149,'TRM BanRep'!$A:$G,7,0)))</f>
        <v>4627.2700000000004</v>
      </c>
      <c r="T2149" s="1031">
        <f t="shared" ca="1" si="4349"/>
        <v>-759890.27940000012</v>
      </c>
      <c r="U2149" s="970">
        <f t="shared" si="4350"/>
        <v>-164.22</v>
      </c>
      <c r="V2149" s="971">
        <f t="shared" ca="1" si="4351"/>
        <v>-759890.27940000012</v>
      </c>
      <c r="W2149" s="972">
        <f t="shared" ca="1" si="4352"/>
        <v>0</v>
      </c>
      <c r="X2149" s="973">
        <f t="shared" ca="1" si="4353"/>
        <v>0</v>
      </c>
      <c r="Y2149" s="1018"/>
      <c r="Z2149" s="1077"/>
      <c r="AA2149" s="974"/>
      <c r="AB2149" s="974"/>
      <c r="AC2149" s="974"/>
      <c r="AD2149" s="974"/>
      <c r="AE2149" s="974"/>
    </row>
    <row r="2150" spans="1:31" s="401" customFormat="1" outlineLevel="1">
      <c r="A2150" s="1011">
        <v>2406010300</v>
      </c>
      <c r="B2150" s="1012" t="s">
        <v>2435</v>
      </c>
      <c r="C2150" s="1661" t="s">
        <v>64</v>
      </c>
      <c r="D2150" s="1665">
        <v>5100002237</v>
      </c>
      <c r="E2150" s="1666">
        <v>45012</v>
      </c>
      <c r="F2150" s="1015"/>
      <c r="G2150" s="1293"/>
      <c r="H2150" s="346"/>
      <c r="I2150" s="1016"/>
      <c r="J2150" s="1457">
        <v>1</v>
      </c>
      <c r="K2150" s="1458">
        <v>1</v>
      </c>
      <c r="L2150" s="1036">
        <v>27567</v>
      </c>
      <c r="M2150" s="1325">
        <f t="shared" si="4346"/>
        <v>27567</v>
      </c>
      <c r="N2150" s="348">
        <f ca="1">IF(OR(E2150="",E2150&gt;TODAY()),0,IF(ISERROR(VLOOKUP($E2150,'TRM BanRep'!$A:$G,7,0)),0,VLOOKUP($E2150,'TRM BanRep'!$A:$G,7,0)))</f>
        <v>4741.76</v>
      </c>
      <c r="O2150" s="996">
        <f t="shared" ca="1" si="4347"/>
        <v>130716097.92</v>
      </c>
      <c r="P2150" s="1017"/>
      <c r="Q2150" s="1362">
        <f t="shared" si="4348"/>
        <v>0</v>
      </c>
      <c r="R2150" s="349"/>
      <c r="S2150" s="349"/>
      <c r="T2150" s="1031">
        <f t="shared" si="4349"/>
        <v>0</v>
      </c>
      <c r="U2150" s="970">
        <f t="shared" si="4350"/>
        <v>27567</v>
      </c>
      <c r="V2150" s="971">
        <f t="shared" ca="1" si="4351"/>
        <v>130716097.92</v>
      </c>
      <c r="W2150" s="972">
        <f t="shared" si="4352"/>
        <v>0</v>
      </c>
      <c r="X2150" s="973">
        <f t="shared" si="4353"/>
        <v>0</v>
      </c>
      <c r="Y2150" s="1018"/>
      <c r="Z2150" s="1077"/>
      <c r="AA2150" s="974"/>
      <c r="AB2150" s="974"/>
      <c r="AC2150" s="974"/>
      <c r="AD2150" s="974"/>
      <c r="AE2150" s="974"/>
    </row>
    <row r="2151" spans="1:31" s="401" customFormat="1" outlineLevel="1">
      <c r="A2151" s="1011">
        <v>2406010300</v>
      </c>
      <c r="B2151" s="1012" t="s">
        <v>1366</v>
      </c>
      <c r="C2151" s="1661" t="s">
        <v>64</v>
      </c>
      <c r="D2151" s="1665">
        <v>2000003389</v>
      </c>
      <c r="E2151" s="1666">
        <v>45033</v>
      </c>
      <c r="F2151" s="1015"/>
      <c r="G2151" s="1293"/>
      <c r="H2151" s="346"/>
      <c r="I2151" s="1016"/>
      <c r="J2151" s="1457">
        <v>1</v>
      </c>
      <c r="K2151" s="1458">
        <v>1</v>
      </c>
      <c r="L2151" s="1036"/>
      <c r="M2151" s="1325">
        <f t="shared" ref="M2151" si="4354">+L2151*J2151</f>
        <v>0</v>
      </c>
      <c r="N2151" s="348">
        <f ca="1">IF(OR(E2151="",E2151&gt;TODAY()),0,IF(ISERROR(VLOOKUP($E2151,'TRM BanRep'!$A:$G,7,0)),0,VLOOKUP($E2151,'TRM BanRep'!$A:$G,7,0)))</f>
        <v>4425.2700000000004</v>
      </c>
      <c r="O2151" s="996">
        <f t="shared" ref="O2151" ca="1" si="4355">+L2151*J2151*N2151</f>
        <v>0</v>
      </c>
      <c r="P2151" s="1017">
        <f>-L2150</f>
        <v>-27567</v>
      </c>
      <c r="Q2151" s="1362">
        <f t="shared" ref="Q2151" si="4356">+P2151*K2151</f>
        <v>-27567</v>
      </c>
      <c r="R2151" s="349">
        <f ca="1">+N2150</f>
        <v>4741.76</v>
      </c>
      <c r="S2151" s="349">
        <f ca="1">IF(OR(E2151="",E2151&gt;TODAY()),0,IF(ISERROR(VLOOKUP($E2151,'TRM BanRep'!$A:$G,7,0)),0,VLOOKUP($E2151,'TRM BanRep'!$A:$G,7,0)))</f>
        <v>4425.2700000000004</v>
      </c>
      <c r="T2151" s="1031">
        <f t="shared" ref="T2151" ca="1" si="4357">+P2151*K2151*S2151</f>
        <v>-121991418.09000002</v>
      </c>
      <c r="U2151" s="970">
        <f t="shared" ref="U2151" si="4358">+L2151+P2151+F2151</f>
        <v>-27567</v>
      </c>
      <c r="V2151" s="971">
        <f t="shared" ref="V2151" ca="1" si="4359">+P2151*J2151*R2151+L2151*J2151*N2151+F2151*J2151*H2151</f>
        <v>-130716097.92</v>
      </c>
      <c r="W2151" s="972">
        <f t="shared" ref="W2151" ca="1" si="4360">-(IF(-P2151*J2151*R2151&lt;-P2151*K2151*S2151,(-P2151*J2151*R2151)-(-P2151*K2151*S2151),0))</f>
        <v>0</v>
      </c>
      <c r="X2151" s="973">
        <f t="shared" ref="X2151" ca="1" si="4361">-(IF(-P2151*J2151*R2151&gt;-P2151*K2151*S2151,(-P2151*J2151*R2151)-(-P2151*K2151*S2151),0))</f>
        <v>-8724679.8299999833</v>
      </c>
      <c r="Y2151" s="1018"/>
      <c r="Z2151" s="1077"/>
      <c r="AA2151" s="974"/>
      <c r="AB2151" s="974"/>
      <c r="AC2151" s="974"/>
      <c r="AD2151" s="974"/>
      <c r="AE2151" s="974"/>
    </row>
    <row r="2152" spans="1:31" s="401" customFormat="1" outlineLevel="1">
      <c r="A2152" s="1011">
        <v>2406010300</v>
      </c>
      <c r="B2152" s="1012" t="s">
        <v>1506</v>
      </c>
      <c r="C2152" s="1661" t="s">
        <v>64</v>
      </c>
      <c r="D2152" s="1665">
        <v>5100002383</v>
      </c>
      <c r="E2152" s="1666">
        <v>44952</v>
      </c>
      <c r="F2152" s="1015"/>
      <c r="G2152" s="1293"/>
      <c r="H2152" s="346"/>
      <c r="I2152" s="1016"/>
      <c r="J2152" s="1457">
        <v>1</v>
      </c>
      <c r="K2152" s="1458">
        <v>1</v>
      </c>
      <c r="L2152" s="1036">
        <v>-9181.6</v>
      </c>
      <c r="M2152" s="1325">
        <f t="shared" si="4346"/>
        <v>-9181.6</v>
      </c>
      <c r="N2152" s="348">
        <f ca="1">IF(OR(E2152="",E2152&gt;TODAY()),0,IF(ISERROR(VLOOKUP($E2152,'TRM BanRep'!$A:$G,7,0)),0,VLOOKUP($E2152,'TRM BanRep'!$A:$G,7,0)))</f>
        <v>4538.91</v>
      </c>
      <c r="O2152" s="996">
        <f t="shared" ca="1" si="4347"/>
        <v>-41674456.056000002</v>
      </c>
      <c r="P2152" s="1017"/>
      <c r="Q2152" s="1362">
        <f t="shared" si="4348"/>
        <v>0</v>
      </c>
      <c r="R2152" s="349"/>
      <c r="S2152" s="349"/>
      <c r="T2152" s="1031">
        <f t="shared" si="4349"/>
        <v>0</v>
      </c>
      <c r="U2152" s="970">
        <f t="shared" si="4350"/>
        <v>-9181.6</v>
      </c>
      <c r="V2152" s="971">
        <f t="shared" ca="1" si="4351"/>
        <v>-41674456.056000002</v>
      </c>
      <c r="W2152" s="972">
        <f t="shared" si="4352"/>
        <v>0</v>
      </c>
      <c r="X2152" s="973">
        <f t="shared" si="4353"/>
        <v>0</v>
      </c>
      <c r="Y2152" s="1018"/>
      <c r="Z2152" s="1077"/>
      <c r="AA2152" s="974"/>
      <c r="AB2152" s="974"/>
      <c r="AC2152" s="974"/>
      <c r="AD2152" s="974"/>
      <c r="AE2152" s="974"/>
    </row>
    <row r="2153" spans="1:31" s="401" customFormat="1" outlineLevel="1">
      <c r="A2153" s="1011">
        <v>2406010300</v>
      </c>
      <c r="B2153" s="1012" t="s">
        <v>1366</v>
      </c>
      <c r="C2153" s="1661" t="s">
        <v>64</v>
      </c>
      <c r="D2153" s="1665">
        <v>2000003720</v>
      </c>
      <c r="E2153" s="1666">
        <v>45044</v>
      </c>
      <c r="F2153" s="1015"/>
      <c r="G2153" s="1293"/>
      <c r="H2153" s="346"/>
      <c r="I2153" s="1016"/>
      <c r="J2153" s="1457">
        <v>1</v>
      </c>
      <c r="K2153" s="1458">
        <v>1</v>
      </c>
      <c r="L2153" s="1036"/>
      <c r="M2153" s="1325">
        <f t="shared" si="4346"/>
        <v>0</v>
      </c>
      <c r="N2153" s="348">
        <f ca="1">IF(OR(E2153="",E2153&gt;TODAY()),0,IF(ISERROR(VLOOKUP($E2153,'TRM BanRep'!$A:$G,7,0)),0,VLOOKUP($E2153,'TRM BanRep'!$A:$G,7,0)))</f>
        <v>4654.1400000000003</v>
      </c>
      <c r="O2153" s="996">
        <f t="shared" ca="1" si="4347"/>
        <v>0</v>
      </c>
      <c r="P2153" s="1017">
        <f>-L2152</f>
        <v>9181.6</v>
      </c>
      <c r="Q2153" s="1362">
        <f t="shared" si="4348"/>
        <v>9181.6</v>
      </c>
      <c r="R2153" s="349">
        <f ca="1">+N2152</f>
        <v>4538.91</v>
      </c>
      <c r="S2153" s="349">
        <f ca="1">IF(OR(E2153="",E2153&gt;TODAY()),0,IF(ISERROR(VLOOKUP($E2153,'TRM BanRep'!$A:$G,7,0)),0,VLOOKUP($E2153,'TRM BanRep'!$A:$G,7,0)))</f>
        <v>4654.1400000000003</v>
      </c>
      <c r="T2153" s="1031">
        <f t="shared" ca="1" si="4349"/>
        <v>42732451.824000008</v>
      </c>
      <c r="U2153" s="970">
        <f t="shared" si="4350"/>
        <v>9181.6</v>
      </c>
      <c r="V2153" s="971">
        <f t="shared" ca="1" si="4351"/>
        <v>41674456.056000002</v>
      </c>
      <c r="W2153" s="972">
        <f t="shared" ca="1" si="4352"/>
        <v>0</v>
      </c>
      <c r="X2153" s="973">
        <f t="shared" ca="1" si="4353"/>
        <v>-1057995.7680000067</v>
      </c>
      <c r="Y2153" s="1018"/>
      <c r="Z2153" s="1077"/>
      <c r="AA2153" s="974"/>
      <c r="AB2153" s="974"/>
      <c r="AC2153" s="974"/>
      <c r="AD2153" s="974"/>
      <c r="AE2153" s="974"/>
    </row>
    <row r="2154" spans="1:31" s="401" customFormat="1" outlineLevel="1">
      <c r="A2154" s="1011">
        <v>2406010300</v>
      </c>
      <c r="B2154" s="1012" t="s">
        <v>1506</v>
      </c>
      <c r="C2154" s="1661" t="s">
        <v>64</v>
      </c>
      <c r="D2154" s="1665">
        <v>5100002455</v>
      </c>
      <c r="E2154" s="1666">
        <v>44951</v>
      </c>
      <c r="F2154" s="1015"/>
      <c r="G2154" s="1293"/>
      <c r="H2154" s="346"/>
      <c r="I2154" s="1016"/>
      <c r="J2154" s="1457">
        <v>1</v>
      </c>
      <c r="K2154" s="1458">
        <v>1</v>
      </c>
      <c r="L2154" s="1036">
        <v>9162.7199999999993</v>
      </c>
      <c r="M2154" s="1325">
        <f t="shared" si="4346"/>
        <v>9162.7199999999993</v>
      </c>
      <c r="N2154" s="348">
        <f ca="1">IF(OR(E2154="",E2154&gt;TODAY()),0,IF(ISERROR(VLOOKUP($E2154,'TRM BanRep'!$A:$G,7,0)),0,VLOOKUP($E2154,'TRM BanRep'!$A:$G,7,0)))</f>
        <v>4545.9399999999996</v>
      </c>
      <c r="O2154" s="996">
        <f t="shared" ca="1" si="4347"/>
        <v>41653175.35679999</v>
      </c>
      <c r="P2154" s="1017"/>
      <c r="Q2154" s="1362">
        <f t="shared" si="4348"/>
        <v>0</v>
      </c>
      <c r="R2154" s="349"/>
      <c r="S2154" s="349"/>
      <c r="T2154" s="1031">
        <f t="shared" si="4349"/>
        <v>0</v>
      </c>
      <c r="U2154" s="970">
        <f t="shared" si="4350"/>
        <v>9162.7199999999993</v>
      </c>
      <c r="V2154" s="971">
        <f t="shared" ca="1" si="4351"/>
        <v>41653175.35679999</v>
      </c>
      <c r="W2154" s="972">
        <f t="shared" si="4352"/>
        <v>0</v>
      </c>
      <c r="X2154" s="973">
        <f t="shared" si="4353"/>
        <v>0</v>
      </c>
      <c r="Y2154" s="1018"/>
      <c r="Z2154" s="1077"/>
      <c r="AA2154" s="974"/>
      <c r="AB2154" s="974"/>
      <c r="AC2154" s="974"/>
      <c r="AD2154" s="974"/>
      <c r="AE2154" s="974"/>
    </row>
    <row r="2155" spans="1:31" s="401" customFormat="1" outlineLevel="1">
      <c r="A2155" s="1011">
        <v>2406010300</v>
      </c>
      <c r="B2155" s="1012" t="s">
        <v>1366</v>
      </c>
      <c r="C2155" s="1661" t="s">
        <v>64</v>
      </c>
      <c r="D2155" s="1665">
        <v>2000003720</v>
      </c>
      <c r="E2155" s="1666">
        <v>45044</v>
      </c>
      <c r="F2155" s="1015"/>
      <c r="G2155" s="1293"/>
      <c r="H2155" s="346"/>
      <c r="I2155" s="1016"/>
      <c r="J2155" s="1457">
        <v>1</v>
      </c>
      <c r="K2155" s="1458">
        <v>1</v>
      </c>
      <c r="L2155" s="1036"/>
      <c r="M2155" s="1325">
        <f t="shared" ref="M2155" si="4362">+L2155*J2155</f>
        <v>0</v>
      </c>
      <c r="N2155" s="348">
        <f ca="1">IF(OR(E2155="",E2155&gt;TODAY()),0,IF(ISERROR(VLOOKUP($E2155,'TRM BanRep'!$A:$G,7,0)),0,VLOOKUP($E2155,'TRM BanRep'!$A:$G,7,0)))</f>
        <v>4654.1400000000003</v>
      </c>
      <c r="O2155" s="996">
        <f t="shared" ref="O2155" ca="1" si="4363">+L2155*J2155*N2155</f>
        <v>0</v>
      </c>
      <c r="P2155" s="1017">
        <f>-L2154</f>
        <v>-9162.7199999999993</v>
      </c>
      <c r="Q2155" s="1362">
        <f t="shared" ref="Q2155" si="4364">+P2155*K2155</f>
        <v>-9162.7199999999993</v>
      </c>
      <c r="R2155" s="349">
        <f ca="1">+N2154</f>
        <v>4545.9399999999996</v>
      </c>
      <c r="S2155" s="349">
        <f ca="1">IF(OR(E2155="",E2155&gt;TODAY()),0,IF(ISERROR(VLOOKUP($E2155,'TRM BanRep'!$A:$G,7,0)),0,VLOOKUP($E2155,'TRM BanRep'!$A:$G,7,0)))</f>
        <v>4654.1400000000003</v>
      </c>
      <c r="T2155" s="1031">
        <f t="shared" ref="T2155" ca="1" si="4365">+P2155*K2155*S2155</f>
        <v>-42644581.660800003</v>
      </c>
      <c r="U2155" s="970">
        <f t="shared" ref="U2155" si="4366">+L2155+P2155+F2155</f>
        <v>-9162.7199999999993</v>
      </c>
      <c r="V2155" s="971">
        <f t="shared" ref="V2155" ca="1" si="4367">+P2155*J2155*R2155+L2155*J2155*N2155+F2155*J2155*H2155</f>
        <v>-41653175.35679999</v>
      </c>
      <c r="W2155" s="972">
        <f t="shared" ref="W2155" ca="1" si="4368">-(IF(-P2155*J2155*R2155&lt;-P2155*K2155*S2155,(-P2155*J2155*R2155)-(-P2155*K2155*S2155),0))</f>
        <v>991406.30400001258</v>
      </c>
      <c r="X2155" s="973">
        <f t="shared" ref="X2155" ca="1" si="4369">-(IF(-P2155*J2155*R2155&gt;-P2155*K2155*S2155,(-P2155*J2155*R2155)-(-P2155*K2155*S2155),0))</f>
        <v>0</v>
      </c>
      <c r="Y2155" s="1018"/>
      <c r="Z2155" s="1077"/>
      <c r="AA2155" s="974"/>
      <c r="AB2155" s="974"/>
      <c r="AC2155" s="974"/>
      <c r="AD2155" s="974"/>
      <c r="AE2155" s="974"/>
    </row>
    <row r="2156" spans="1:31" s="401" customFormat="1" outlineLevel="1">
      <c r="A2156" s="1011">
        <v>2406010300</v>
      </c>
      <c r="B2156" s="1012" t="s">
        <v>2437</v>
      </c>
      <c r="C2156" s="1661" t="s">
        <v>64</v>
      </c>
      <c r="D2156" s="1665">
        <v>5100002494</v>
      </c>
      <c r="E2156" s="1666">
        <v>45014</v>
      </c>
      <c r="F2156" s="1015"/>
      <c r="G2156" s="1293"/>
      <c r="H2156" s="346"/>
      <c r="I2156" s="1016"/>
      <c r="J2156" s="1457">
        <v>1</v>
      </c>
      <c r="K2156" s="1458">
        <v>1</v>
      </c>
      <c r="L2156" s="1036">
        <v>7514.64</v>
      </c>
      <c r="M2156" s="1325">
        <f t="shared" si="4346"/>
        <v>7514.64</v>
      </c>
      <c r="N2156" s="348">
        <f ca="1">IF(OR(E2156="",E2156&gt;TODAY()),0,IF(ISERROR(VLOOKUP($E2156,'TRM BanRep'!$A:$G,7,0)),0,VLOOKUP($E2156,'TRM BanRep'!$A:$G,7,0)))</f>
        <v>4658.79</v>
      </c>
      <c r="O2156" s="996">
        <f t="shared" ca="1" si="4347"/>
        <v>35009129.685599998</v>
      </c>
      <c r="P2156" s="1017"/>
      <c r="Q2156" s="1362">
        <f t="shared" si="4348"/>
        <v>0</v>
      </c>
      <c r="R2156" s="349"/>
      <c r="S2156" s="349"/>
      <c r="T2156" s="1031">
        <f t="shared" si="4349"/>
        <v>0</v>
      </c>
      <c r="U2156" s="970">
        <f t="shared" si="4350"/>
        <v>7514.64</v>
      </c>
      <c r="V2156" s="971">
        <f t="shared" ca="1" si="4351"/>
        <v>35009129.685599998</v>
      </c>
      <c r="W2156" s="972">
        <f t="shared" si="4352"/>
        <v>0</v>
      </c>
      <c r="X2156" s="973">
        <f t="shared" si="4353"/>
        <v>0</v>
      </c>
      <c r="Y2156" s="1018"/>
      <c r="Z2156" s="1077"/>
      <c r="AA2156" s="974"/>
      <c r="AB2156" s="974"/>
      <c r="AC2156" s="974"/>
      <c r="AD2156" s="974"/>
      <c r="AE2156" s="974"/>
    </row>
    <row r="2157" spans="1:31" s="401" customFormat="1" outlineLevel="1">
      <c r="A2157" s="1011">
        <v>2406010300</v>
      </c>
      <c r="B2157" s="1012" t="s">
        <v>1366</v>
      </c>
      <c r="C2157" s="1661" t="s">
        <v>64</v>
      </c>
      <c r="D2157" s="1665">
        <v>2000003720</v>
      </c>
      <c r="E2157" s="1666">
        <v>45044</v>
      </c>
      <c r="F2157" s="1015"/>
      <c r="G2157" s="1293"/>
      <c r="H2157" s="346"/>
      <c r="I2157" s="1016"/>
      <c r="J2157" s="1457">
        <v>1</v>
      </c>
      <c r="K2157" s="1458">
        <v>1</v>
      </c>
      <c r="L2157" s="1036"/>
      <c r="M2157" s="1325">
        <f t="shared" si="4346"/>
        <v>0</v>
      </c>
      <c r="N2157" s="348">
        <f ca="1">IF(OR(E2157="",E2157&gt;TODAY()),0,IF(ISERROR(VLOOKUP($E2157,'TRM BanRep'!$A:$G,7,0)),0,VLOOKUP($E2157,'TRM BanRep'!$A:$G,7,0)))</f>
        <v>4654.1400000000003</v>
      </c>
      <c r="O2157" s="996">
        <f t="shared" ca="1" si="4347"/>
        <v>0</v>
      </c>
      <c r="P2157" s="1017">
        <f>-L2156</f>
        <v>-7514.64</v>
      </c>
      <c r="Q2157" s="1362">
        <f t="shared" si="4348"/>
        <v>-7514.64</v>
      </c>
      <c r="R2157" s="349">
        <f ca="1">+N2156</f>
        <v>4658.79</v>
      </c>
      <c r="S2157" s="349">
        <f ca="1">IF(OR(E2157="",E2157&gt;TODAY()),0,IF(ISERROR(VLOOKUP($E2157,'TRM BanRep'!$A:$G,7,0)),0,VLOOKUP($E2157,'TRM BanRep'!$A:$G,7,0)))</f>
        <v>4654.1400000000003</v>
      </c>
      <c r="T2157" s="1031">
        <f t="shared" ca="1" si="4349"/>
        <v>-34974186.609600008</v>
      </c>
      <c r="U2157" s="970">
        <f t="shared" si="4350"/>
        <v>-7514.64</v>
      </c>
      <c r="V2157" s="971">
        <f t="shared" ca="1" si="4351"/>
        <v>-35009129.685599998</v>
      </c>
      <c r="W2157" s="972">
        <f t="shared" ca="1" si="4352"/>
        <v>0</v>
      </c>
      <c r="X2157" s="973">
        <f t="shared" ca="1" si="4353"/>
        <v>-34943.075999990106</v>
      </c>
      <c r="Y2157" s="1018"/>
      <c r="Z2157" s="1077"/>
      <c r="AA2157" s="974"/>
      <c r="AB2157" s="974"/>
      <c r="AC2157" s="974"/>
      <c r="AD2157" s="974"/>
      <c r="AE2157" s="974"/>
    </row>
    <row r="2158" spans="1:31" s="401" customFormat="1" outlineLevel="1">
      <c r="A2158" s="1011">
        <v>2406010300</v>
      </c>
      <c r="B2158" s="1012" t="s">
        <v>2611</v>
      </c>
      <c r="C2158" s="1661" t="s">
        <v>64</v>
      </c>
      <c r="D2158" s="1665">
        <v>1900001320</v>
      </c>
      <c r="E2158" s="1666">
        <v>45042</v>
      </c>
      <c r="F2158" s="1015"/>
      <c r="G2158" s="1293"/>
      <c r="H2158" s="346"/>
      <c r="I2158" s="1016"/>
      <c r="J2158" s="1457">
        <v>1</v>
      </c>
      <c r="K2158" s="1458">
        <v>1</v>
      </c>
      <c r="L2158" s="1036">
        <v>117830</v>
      </c>
      <c r="M2158" s="1325">
        <f t="shared" ref="M2158:M2159" si="4370">+L2158*J2158</f>
        <v>117830</v>
      </c>
      <c r="N2158" s="348">
        <f ca="1">IF(OR(E2158="",E2158&gt;TODAY()),0,IF(ISERROR(VLOOKUP($E2158,'TRM BanRep'!$A:$G,7,0)),0,VLOOKUP($E2158,'TRM BanRep'!$A:$G,7,0)))</f>
        <v>4486.6000000000004</v>
      </c>
      <c r="O2158" s="996">
        <f t="shared" ref="O2158:O2159" ca="1" si="4371">+L2158*J2158*N2158</f>
        <v>528656078.00000006</v>
      </c>
      <c r="P2158" s="1017"/>
      <c r="Q2158" s="1362">
        <f t="shared" ref="Q2158:Q2159" si="4372">+P2158*K2158</f>
        <v>0</v>
      </c>
      <c r="R2158" s="349"/>
      <c r="S2158" s="349"/>
      <c r="T2158" s="1031">
        <f t="shared" ref="T2158:T2159" si="4373">+P2158*K2158*S2158</f>
        <v>0</v>
      </c>
      <c r="U2158" s="970">
        <f t="shared" ref="U2158:U2159" si="4374">+L2158+P2158+F2158</f>
        <v>117830</v>
      </c>
      <c r="V2158" s="971">
        <f t="shared" ref="V2158:V2159" ca="1" si="4375">+P2158*J2158*R2158+L2158*J2158*N2158+F2158*J2158*H2158</f>
        <v>528656078.00000006</v>
      </c>
      <c r="W2158" s="972">
        <f t="shared" ref="W2158:W2159" si="4376">-(IF(-P2158*J2158*R2158&lt;-P2158*K2158*S2158,(-P2158*J2158*R2158)-(-P2158*K2158*S2158),0))</f>
        <v>0</v>
      </c>
      <c r="X2158" s="973">
        <f t="shared" ref="X2158:X2159" si="4377">-(IF(-P2158*J2158*R2158&gt;-P2158*K2158*S2158,(-P2158*J2158*R2158)-(-P2158*K2158*S2158),0))</f>
        <v>0</v>
      </c>
      <c r="Y2158" s="1018"/>
      <c r="Z2158" s="1077"/>
      <c r="AA2158" s="974"/>
      <c r="AB2158" s="974"/>
      <c r="AC2158" s="974"/>
      <c r="AD2158" s="974"/>
      <c r="AE2158" s="974"/>
    </row>
    <row r="2159" spans="1:31" s="401" customFormat="1" outlineLevel="1">
      <c r="A2159" s="1011">
        <v>2406010300</v>
      </c>
      <c r="B2159" s="1012" t="s">
        <v>2566</v>
      </c>
      <c r="C2159" s="1661" t="s">
        <v>64</v>
      </c>
      <c r="D2159" s="1665">
        <v>2000003695</v>
      </c>
      <c r="E2159" s="1666">
        <v>45043</v>
      </c>
      <c r="F2159" s="1015"/>
      <c r="G2159" s="1293"/>
      <c r="H2159" s="346"/>
      <c r="I2159" s="1016"/>
      <c r="J2159" s="1457">
        <v>1</v>
      </c>
      <c r="K2159" s="1458">
        <v>1</v>
      </c>
      <c r="L2159" s="1036"/>
      <c r="M2159" s="1325">
        <f t="shared" si="4370"/>
        <v>0</v>
      </c>
      <c r="N2159" s="348">
        <f ca="1">IF(OR(E2159="",E2159&gt;TODAY()),0,IF(ISERROR(VLOOKUP($E2159,'TRM BanRep'!$A:$G,7,0)),0,VLOOKUP($E2159,'TRM BanRep'!$A:$G,7,0)))</f>
        <v>4552.59</v>
      </c>
      <c r="O2159" s="996">
        <f t="shared" ca="1" si="4371"/>
        <v>0</v>
      </c>
      <c r="P2159" s="1017">
        <f>-L2158</f>
        <v>-117830</v>
      </c>
      <c r="Q2159" s="1362">
        <f t="shared" si="4372"/>
        <v>-117830</v>
      </c>
      <c r="R2159" s="349">
        <f ca="1">+N2158</f>
        <v>4486.6000000000004</v>
      </c>
      <c r="S2159" s="349">
        <f ca="1">IF(OR(E2159="",E2159&gt;TODAY()),0,IF(ISERROR(VLOOKUP($E2159,'TRM BanRep'!$A:$G,7,0)),0,VLOOKUP($E2159,'TRM BanRep'!$A:$G,7,0)))</f>
        <v>4552.59</v>
      </c>
      <c r="T2159" s="1031">
        <f t="shared" ca="1" si="4373"/>
        <v>-536431679.69999999</v>
      </c>
      <c r="U2159" s="970">
        <f t="shared" si="4374"/>
        <v>-117830</v>
      </c>
      <c r="V2159" s="971">
        <f t="shared" ca="1" si="4375"/>
        <v>-528656078.00000006</v>
      </c>
      <c r="W2159" s="972">
        <f t="shared" ca="1" si="4376"/>
        <v>7775601.6999999285</v>
      </c>
      <c r="X2159" s="973">
        <f t="shared" ca="1" si="4377"/>
        <v>0</v>
      </c>
      <c r="Y2159" s="1018"/>
      <c r="Z2159" s="1077"/>
      <c r="AA2159" s="974"/>
      <c r="AB2159" s="974"/>
      <c r="AC2159" s="974"/>
      <c r="AD2159" s="974"/>
      <c r="AE2159" s="974"/>
    </row>
    <row r="2160" spans="1:31" s="401" customFormat="1">
      <c r="A2160" s="1011">
        <v>2406010300</v>
      </c>
      <c r="B2160" s="1012"/>
      <c r="C2160" s="1661" t="s">
        <v>64</v>
      </c>
      <c r="D2160" s="1665"/>
      <c r="E2160" s="1666"/>
      <c r="F2160" s="1015"/>
      <c r="G2160" s="1293"/>
      <c r="H2160" s="346"/>
      <c r="I2160" s="1016"/>
      <c r="J2160" s="1457"/>
      <c r="K2160" s="1458"/>
      <c r="L2160" s="1036"/>
      <c r="M2160" s="1325">
        <f t="shared" si="4183"/>
        <v>0</v>
      </c>
      <c r="N2160" s="348"/>
      <c r="O2160" s="996">
        <f t="shared" si="4184"/>
        <v>0</v>
      </c>
      <c r="P2160" s="1017"/>
      <c r="Q2160" s="1362">
        <f t="shared" si="4185"/>
        <v>0</v>
      </c>
      <c r="R2160" s="349"/>
      <c r="S2160" s="349"/>
      <c r="T2160" s="1031">
        <f t="shared" si="4186"/>
        <v>0</v>
      </c>
      <c r="U2160" s="970">
        <f t="shared" si="4233"/>
        <v>0</v>
      </c>
      <c r="V2160" s="971">
        <f t="shared" si="4234"/>
        <v>0</v>
      </c>
      <c r="W2160" s="972">
        <f t="shared" si="4121"/>
        <v>0</v>
      </c>
      <c r="X2160" s="973">
        <f t="shared" si="4122"/>
        <v>0</v>
      </c>
      <c r="Y2160" s="1018"/>
      <c r="Z2160" s="1077"/>
      <c r="AA2160" s="974"/>
      <c r="AB2160" s="974"/>
      <c r="AC2160" s="974"/>
      <c r="AD2160" s="974"/>
      <c r="AE2160" s="974"/>
    </row>
    <row r="2161" spans="1:38" s="401" customFormat="1">
      <c r="A2161" s="1011"/>
      <c r="B2161" s="1012"/>
      <c r="C2161" s="1661"/>
      <c r="D2161" s="1665"/>
      <c r="E2161" s="1666"/>
      <c r="F2161" s="1015"/>
      <c r="G2161" s="1293"/>
      <c r="H2161" s="346"/>
      <c r="I2161" s="1016"/>
      <c r="J2161" s="1501"/>
      <c r="K2161" s="1502"/>
      <c r="L2161" s="1036"/>
      <c r="M2161" s="1325">
        <f t="shared" si="4183"/>
        <v>0</v>
      </c>
      <c r="N2161" s="348"/>
      <c r="O2161" s="996">
        <f t="shared" si="4184"/>
        <v>0</v>
      </c>
      <c r="P2161" s="1017"/>
      <c r="Q2161" s="1362">
        <f t="shared" si="4185"/>
        <v>0</v>
      </c>
      <c r="R2161" s="349"/>
      <c r="S2161" s="349"/>
      <c r="T2161" s="1031">
        <f t="shared" si="4186"/>
        <v>0</v>
      </c>
      <c r="U2161" s="970">
        <f t="shared" si="4233"/>
        <v>0</v>
      </c>
      <c r="V2161" s="971">
        <f t="shared" si="4234"/>
        <v>0</v>
      </c>
      <c r="W2161" s="972">
        <f t="shared" si="4121"/>
        <v>0</v>
      </c>
      <c r="X2161" s="973">
        <f t="shared" si="4122"/>
        <v>0</v>
      </c>
      <c r="Y2161" s="1018"/>
      <c r="Z2161" s="220"/>
      <c r="AA2161" s="15"/>
      <c r="AB2161" s="15"/>
      <c r="AC2161" s="15"/>
      <c r="AD2161" s="15"/>
      <c r="AE2161" s="15"/>
    </row>
    <row r="2162" spans="1:38" s="324" customFormat="1" ht="15.75">
      <c r="A2162" s="961">
        <v>2406010300</v>
      </c>
      <c r="B2162" s="962" t="s">
        <v>77</v>
      </c>
      <c r="C2162" s="1465" t="s">
        <v>146</v>
      </c>
      <c r="D2162" s="1467"/>
      <c r="E2162" s="1468"/>
      <c r="F2162" s="964"/>
      <c r="G2162" s="1250">
        <f t="shared" ref="G2162" si="4378">ROUND(F2162*J2162,2)</f>
        <v>0</v>
      </c>
      <c r="H2162" s="47"/>
      <c r="I2162" s="965">
        <f t="shared" ref="I2162" si="4379">+F2162*J2162*H2162</f>
        <v>0</v>
      </c>
      <c r="J2162" s="968"/>
      <c r="K2162" s="965"/>
      <c r="L2162" s="964"/>
      <c r="M2162" s="1250">
        <f t="shared" si="4183"/>
        <v>0</v>
      </c>
      <c r="N2162" s="47"/>
      <c r="O2162" s="965">
        <f t="shared" si="4184"/>
        <v>0</v>
      </c>
      <c r="P2162" s="964"/>
      <c r="Q2162" s="1250">
        <f t="shared" si="4185"/>
        <v>0</v>
      </c>
      <c r="R2162" s="47"/>
      <c r="S2162" s="47"/>
      <c r="T2162" s="965">
        <f t="shared" si="4186"/>
        <v>0</v>
      </c>
      <c r="U2162" s="964">
        <f t="shared" si="4233"/>
        <v>0</v>
      </c>
      <c r="V2162" s="965">
        <f t="shared" si="4234"/>
        <v>0</v>
      </c>
      <c r="W2162" s="968">
        <f t="shared" si="4121"/>
        <v>0</v>
      </c>
      <c r="X2162" s="966">
        <f t="shared" si="4122"/>
        <v>0</v>
      </c>
      <c r="Y2162" s="967"/>
      <c r="Z2162" s="1070"/>
      <c r="AA2162" s="371"/>
      <c r="AB2162" s="371"/>
      <c r="AC2162" s="371"/>
      <c r="AD2162" s="371"/>
      <c r="AE2162" s="371"/>
      <c r="AL2162" s="1185"/>
    </row>
    <row r="2163" spans="1:38" s="401" customFormat="1" outlineLevel="1">
      <c r="A2163" s="984">
        <v>2406010300</v>
      </c>
      <c r="B2163" s="985"/>
      <c r="C2163" s="1662" t="s">
        <v>146</v>
      </c>
      <c r="D2163" s="1667"/>
      <c r="E2163" s="1668"/>
      <c r="F2163" s="988"/>
      <c r="G2163" s="1287"/>
      <c r="H2163" s="335"/>
      <c r="I2163" s="989">
        <f>+F2163*H2163</f>
        <v>0</v>
      </c>
      <c r="J2163" s="1506"/>
      <c r="K2163" s="1507"/>
      <c r="L2163" s="991"/>
      <c r="M2163" s="1330">
        <f t="shared" si="4183"/>
        <v>0</v>
      </c>
      <c r="N2163" s="337"/>
      <c r="O2163" s="990">
        <f t="shared" si="4184"/>
        <v>0</v>
      </c>
      <c r="P2163" s="991"/>
      <c r="Q2163" s="1330">
        <f t="shared" si="4185"/>
        <v>0</v>
      </c>
      <c r="R2163" s="337"/>
      <c r="S2163" s="337"/>
      <c r="T2163" s="990">
        <f t="shared" si="4186"/>
        <v>0</v>
      </c>
      <c r="U2163" s="992">
        <f t="shared" si="4233"/>
        <v>0</v>
      </c>
      <c r="V2163" s="990">
        <f t="shared" si="4234"/>
        <v>0</v>
      </c>
      <c r="W2163" s="993">
        <f t="shared" si="4121"/>
        <v>0</v>
      </c>
      <c r="X2163" s="994">
        <f t="shared" si="4122"/>
        <v>0</v>
      </c>
      <c r="Y2163" s="995"/>
      <c r="Z2163" s="220"/>
      <c r="AA2163" s="15"/>
      <c r="AB2163" s="15"/>
      <c r="AC2163" s="15"/>
      <c r="AD2163" s="15"/>
      <c r="AE2163" s="15"/>
    </row>
    <row r="2164" spans="1:38" s="401" customFormat="1" outlineLevel="1">
      <c r="A2164" s="1019">
        <v>2406010300</v>
      </c>
      <c r="B2164" s="1020" t="s">
        <v>2605</v>
      </c>
      <c r="C2164" s="1677" t="s">
        <v>146</v>
      </c>
      <c r="D2164" s="1680">
        <v>5100002676</v>
      </c>
      <c r="E2164" s="1681">
        <v>45020</v>
      </c>
      <c r="F2164" s="1023"/>
      <c r="G2164" s="1290"/>
      <c r="H2164" s="352"/>
      <c r="I2164" s="1024"/>
      <c r="J2164" s="1588">
        <f>VLOOKUP($E2164,'TRM BanRep'!$A:$K,11,0)</f>
        <v>1.0969500000000001</v>
      </c>
      <c r="K2164" s="357"/>
      <c r="L2164" s="1026">
        <v>12524.64</v>
      </c>
      <c r="M2164" s="1324">
        <f t="shared" si="4183"/>
        <v>13738.903848</v>
      </c>
      <c r="N2164" s="353">
        <f ca="1">IF(OR(E2164="",E2164&gt;TODAY()),0,IF(ISERROR(VLOOKUP($E2164,'TRM BanRep'!$A:$G,7,0)),0,VLOOKUP($E2164,'TRM BanRep'!$A:$G,7,0)))</f>
        <v>4603</v>
      </c>
      <c r="O2164" s="1025">
        <f t="shared" ca="1" si="4184"/>
        <v>63240174.412344001</v>
      </c>
      <c r="P2164" s="1026"/>
      <c r="Q2164" s="1324">
        <f t="shared" si="4185"/>
        <v>0</v>
      </c>
      <c r="R2164" s="353"/>
      <c r="S2164" s="353"/>
      <c r="T2164" s="1025">
        <f t="shared" si="4186"/>
        <v>0</v>
      </c>
      <c r="U2164" s="1027">
        <f t="shared" si="4233"/>
        <v>12524.64</v>
      </c>
      <c r="V2164" s="1025">
        <f t="shared" ca="1" si="4234"/>
        <v>63240174.412344001</v>
      </c>
      <c r="W2164" s="1028">
        <f t="shared" si="4121"/>
        <v>0</v>
      </c>
      <c r="X2164" s="1029">
        <f t="shared" si="4122"/>
        <v>0</v>
      </c>
      <c r="Y2164" s="1030"/>
      <c r="Z2164" s="220"/>
      <c r="AA2164" s="15"/>
      <c r="AB2164" s="15"/>
      <c r="AC2164" s="15"/>
      <c r="AD2164" s="333"/>
      <c r="AE2164" s="333"/>
    </row>
    <row r="2165" spans="1:38" s="401" customFormat="1">
      <c r="A2165" s="1019">
        <v>2406010300</v>
      </c>
      <c r="B2165" s="1020"/>
      <c r="C2165" s="1677" t="s">
        <v>146</v>
      </c>
      <c r="D2165" s="1680"/>
      <c r="E2165" s="1681"/>
      <c r="F2165" s="1023"/>
      <c r="G2165" s="1290"/>
      <c r="H2165" s="352"/>
      <c r="I2165" s="1024"/>
      <c r="J2165" s="1588"/>
      <c r="K2165" s="357"/>
      <c r="L2165" s="1026"/>
      <c r="M2165" s="1324">
        <f t="shared" ref="M2165" si="4380">+L2165*J2165</f>
        <v>0</v>
      </c>
      <c r="N2165" s="353"/>
      <c r="O2165" s="1025">
        <f t="shared" ref="O2165" si="4381">+L2165*J2165*N2165</f>
        <v>0</v>
      </c>
      <c r="P2165" s="1026"/>
      <c r="Q2165" s="1324">
        <f t="shared" ref="Q2165" si="4382">+P2165*K2165</f>
        <v>0</v>
      </c>
      <c r="R2165" s="353"/>
      <c r="S2165" s="353"/>
      <c r="T2165" s="1025">
        <f t="shared" ref="T2165" si="4383">+P2165*K2165*S2165</f>
        <v>0</v>
      </c>
      <c r="U2165" s="1027">
        <f t="shared" ref="U2165" si="4384">+L2165+P2165+F2165</f>
        <v>0</v>
      </c>
      <c r="V2165" s="1025">
        <f t="shared" ref="V2165" si="4385">+P2165*J2165*R2165+L2165*J2165*N2165+F2165*J2165*H2165</f>
        <v>0</v>
      </c>
      <c r="W2165" s="1028">
        <f t="shared" ref="W2165" si="4386">-(IF(-P2165*J2165*R2165&lt;-P2165*K2165*S2165,(-P2165*J2165*R2165)-(-P2165*K2165*S2165),0))</f>
        <v>0</v>
      </c>
      <c r="X2165" s="1029">
        <f t="shared" ref="X2165" si="4387">-(IF(-P2165*J2165*R2165&gt;-P2165*K2165*S2165,(-P2165*J2165*R2165)-(-P2165*K2165*S2165),0))</f>
        <v>0</v>
      </c>
      <c r="Y2165" s="1030"/>
      <c r="Z2165" s="220"/>
      <c r="AA2165" s="15"/>
      <c r="AB2165" s="15"/>
      <c r="AC2165" s="15"/>
      <c r="AD2165" s="333"/>
      <c r="AE2165" s="333"/>
    </row>
    <row r="2166" spans="1:38" s="401" customFormat="1">
      <c r="A2166" s="1011"/>
      <c r="B2166" s="1012"/>
      <c r="C2166" s="1661"/>
      <c r="D2166" s="1665"/>
      <c r="E2166" s="1666"/>
      <c r="F2166" s="1040"/>
      <c r="G2166" s="1294"/>
      <c r="H2166" s="1053"/>
      <c r="I2166" s="1041"/>
      <c r="J2166" s="1508"/>
      <c r="K2166" s="1509"/>
      <c r="L2166" s="1040"/>
      <c r="M2166" s="1294">
        <f t="shared" si="4183"/>
        <v>0</v>
      </c>
      <c r="N2166" s="1053"/>
      <c r="O2166" s="1041">
        <f t="shared" si="4184"/>
        <v>0</v>
      </c>
      <c r="P2166" s="1040"/>
      <c r="Q2166" s="1294">
        <f t="shared" si="4185"/>
        <v>0</v>
      </c>
      <c r="R2166" s="1053"/>
      <c r="S2166" s="1053"/>
      <c r="T2166" s="1041">
        <f t="shared" si="4186"/>
        <v>0</v>
      </c>
      <c r="U2166" s="1040"/>
      <c r="V2166" s="1041"/>
      <c r="W2166" s="1039">
        <f t="shared" si="4121"/>
        <v>0</v>
      </c>
      <c r="X2166" s="1038">
        <f t="shared" si="4122"/>
        <v>0</v>
      </c>
      <c r="Y2166" s="1037"/>
      <c r="Z2166" s="220"/>
      <c r="AA2166" s="15"/>
      <c r="AB2166" s="15"/>
      <c r="AC2166" s="15"/>
      <c r="AD2166" s="15"/>
      <c r="AE2166" s="15"/>
    </row>
    <row r="2167" spans="1:38" s="401" customFormat="1" outlineLevel="1">
      <c r="A2167" s="1011">
        <v>2406010300</v>
      </c>
      <c r="B2167" s="1012" t="s">
        <v>1502</v>
      </c>
      <c r="C2167" s="1661" t="s">
        <v>146</v>
      </c>
      <c r="D2167" s="1665">
        <v>5100000670</v>
      </c>
      <c r="E2167" s="1666">
        <v>44952</v>
      </c>
      <c r="F2167" s="1015"/>
      <c r="G2167" s="1293"/>
      <c r="H2167" s="346"/>
      <c r="I2167" s="1016"/>
      <c r="J2167" s="1503">
        <f>VLOOKUP($E2167,'TRM BanRep'!$A:$K,11,0)</f>
        <v>1.0853999999999999</v>
      </c>
      <c r="K2167" s="1504"/>
      <c r="L2167" s="1036">
        <v>7568</v>
      </c>
      <c r="M2167" s="1325">
        <f t="shared" si="4183"/>
        <v>8214.3071999999993</v>
      </c>
      <c r="N2167" s="348">
        <f ca="1">IF(OR(E2167="",E2167&gt;TODAY()),0,IF(ISERROR(VLOOKUP($E2167,'TRM BanRep'!$A:$G,7,0)),0,VLOOKUP($E2167,'TRM BanRep'!$A:$G,7,0)))</f>
        <v>4538.91</v>
      </c>
      <c r="O2167" s="996">
        <f t="shared" ca="1" si="4184"/>
        <v>37284001.093151994</v>
      </c>
      <c r="P2167" s="1017"/>
      <c r="Q2167" s="1362">
        <f t="shared" si="4185"/>
        <v>0</v>
      </c>
      <c r="R2167" s="349"/>
      <c r="S2167" s="349">
        <f ca="1">IF(OR(E2167="",E2167&gt;TODAY()),0,IF(ISERROR(VLOOKUP($E2167,'TRM BanRep'!$A:$G,7,0)),0,VLOOKUP($E2167,'TRM BanRep'!$A:$G,7,0)))</f>
        <v>4538.91</v>
      </c>
      <c r="T2167" s="1031">
        <f t="shared" ca="1" si="4186"/>
        <v>0</v>
      </c>
      <c r="U2167" s="977">
        <f t="shared" si="4233"/>
        <v>7568</v>
      </c>
      <c r="V2167" s="978">
        <f t="shared" ca="1" si="4234"/>
        <v>37284001.093151994</v>
      </c>
      <c r="W2167" s="976">
        <f t="shared" ca="1" si="4121"/>
        <v>0</v>
      </c>
      <c r="X2167" s="975">
        <f t="shared" ca="1" si="4122"/>
        <v>0</v>
      </c>
      <c r="Y2167" s="1018"/>
      <c r="Z2167" s="220"/>
      <c r="AA2167" s="15"/>
      <c r="AB2167" s="15"/>
      <c r="AC2167" s="15"/>
      <c r="AD2167" s="15"/>
      <c r="AE2167" s="15"/>
    </row>
    <row r="2168" spans="1:38" s="401" customFormat="1" outlineLevel="1">
      <c r="A2168" s="1011">
        <v>2406010300</v>
      </c>
      <c r="B2168" s="1012"/>
      <c r="C2168" s="1661" t="s">
        <v>146</v>
      </c>
      <c r="D2168" s="1665">
        <v>2000001637</v>
      </c>
      <c r="E2168" s="1666">
        <v>44984</v>
      </c>
      <c r="F2168" s="1015"/>
      <c r="G2168" s="1293"/>
      <c r="H2168" s="346"/>
      <c r="I2168" s="1016"/>
      <c r="J2168" s="1503">
        <f>+J2167</f>
        <v>1.0853999999999999</v>
      </c>
      <c r="K2168" s="1504">
        <f>VLOOKUP($E2168,'TRM BanRep'!$A:$K,11,0)</f>
        <v>1.0601499999999999</v>
      </c>
      <c r="L2168" s="1036"/>
      <c r="M2168" s="1325">
        <f t="shared" si="4183"/>
        <v>0</v>
      </c>
      <c r="N2168" s="348">
        <f ca="1">IF(OR(E2168="",E2168&gt;TODAY()),0,IF(ISERROR(VLOOKUP($E2168,'TRM BanRep'!$A:$G,7,0)),0,VLOOKUP($E2168,'TRM BanRep'!$A:$G,7,0)))</f>
        <v>4849.6499999999996</v>
      </c>
      <c r="O2168" s="996">
        <f t="shared" ca="1" si="4184"/>
        <v>0</v>
      </c>
      <c r="P2168" s="1017">
        <f>-L2167</f>
        <v>-7568</v>
      </c>
      <c r="Q2168" s="1362">
        <f t="shared" si="4185"/>
        <v>-8023.2151999999996</v>
      </c>
      <c r="R2168" s="349">
        <f ca="1">+N2167</f>
        <v>4538.91</v>
      </c>
      <c r="S2168" s="349">
        <f ca="1">IF(OR(E2168="",E2168&gt;TODAY()),0,IF(ISERROR(VLOOKUP($E2168,'TRM BanRep'!$A:$G,7,0)),0,VLOOKUP($E2168,'TRM BanRep'!$A:$G,7,0)))</f>
        <v>4849.6499999999996</v>
      </c>
      <c r="T2168" s="1031">
        <f t="shared" ca="1" si="4186"/>
        <v>-38909785.594679996</v>
      </c>
      <c r="U2168" s="977">
        <f t="shared" si="4233"/>
        <v>-7568</v>
      </c>
      <c r="V2168" s="978">
        <f t="shared" ca="1" si="4234"/>
        <v>-37284001.093151994</v>
      </c>
      <c r="W2168" s="976">
        <f t="shared" ca="1" si="4121"/>
        <v>1625784.5015280023</v>
      </c>
      <c r="X2168" s="975">
        <f t="shared" ca="1" si="4122"/>
        <v>0</v>
      </c>
      <c r="Y2168" s="1018"/>
      <c r="Z2168" s="220"/>
      <c r="AA2168" s="15"/>
      <c r="AB2168" s="15"/>
      <c r="AC2168" s="15"/>
      <c r="AD2168" s="15"/>
      <c r="AE2168" s="15"/>
    </row>
    <row r="2169" spans="1:38" s="401" customFormat="1" outlineLevel="1">
      <c r="A2169" s="1011">
        <v>2406010300</v>
      </c>
      <c r="B2169" s="1012" t="s">
        <v>2254</v>
      </c>
      <c r="C2169" s="1661" t="s">
        <v>146</v>
      </c>
      <c r="D2169" s="1665">
        <v>5100001112</v>
      </c>
      <c r="E2169" s="1666">
        <v>44973</v>
      </c>
      <c r="F2169" s="1015"/>
      <c r="G2169" s="1293"/>
      <c r="H2169" s="346"/>
      <c r="I2169" s="1016"/>
      <c r="J2169" s="1503">
        <f>VLOOKUP($E2169,'TRM BanRep'!$A:$K,11,0)</f>
        <v>1.0672999999999999</v>
      </c>
      <c r="K2169" s="1504"/>
      <c r="L2169" s="1036">
        <v>120</v>
      </c>
      <c r="M2169" s="1325">
        <f t="shared" si="4183"/>
        <v>128.07599999999999</v>
      </c>
      <c r="N2169" s="348">
        <f ca="1">IF(OR(E2169="",E2169&gt;TODAY()),0,IF(ISERROR(VLOOKUP($E2169,'TRM BanRep'!$A:$G,7,0)),0,VLOOKUP($E2169,'TRM BanRep'!$A:$G,7,0)))</f>
        <v>4878.24</v>
      </c>
      <c r="O2169" s="996">
        <f t="shared" ca="1" si="4184"/>
        <v>624785.46623999998</v>
      </c>
      <c r="P2169" s="1017"/>
      <c r="Q2169" s="1362">
        <f t="shared" si="4185"/>
        <v>0</v>
      </c>
      <c r="R2169" s="349"/>
      <c r="S2169" s="894">
        <f ca="1">IF(OR(E2169="",E2169&gt;TODAY()),0,IF(ISERROR(VLOOKUP($E2169,'TRM BanRep'!$A:$G,7,0)),0,VLOOKUP($E2169,'TRM BanRep'!$A:$G,7,0)))</f>
        <v>4878.24</v>
      </c>
      <c r="T2169" s="1031">
        <f t="shared" ca="1" si="4186"/>
        <v>0</v>
      </c>
      <c r="U2169" s="977">
        <f t="shared" si="4233"/>
        <v>120</v>
      </c>
      <c r="V2169" s="978">
        <f t="shared" ca="1" si="4234"/>
        <v>624785.46623999998</v>
      </c>
      <c r="W2169" s="976">
        <f t="shared" ca="1" si="4121"/>
        <v>0</v>
      </c>
      <c r="X2169" s="975">
        <f t="shared" ca="1" si="4122"/>
        <v>0</v>
      </c>
      <c r="Y2169" s="1018"/>
      <c r="Z2169" s="220"/>
      <c r="AA2169" s="15"/>
      <c r="AB2169" s="15"/>
      <c r="AC2169" s="15"/>
      <c r="AD2169" s="15"/>
      <c r="AE2169" s="15"/>
    </row>
    <row r="2170" spans="1:38" s="401" customFormat="1" outlineLevel="1">
      <c r="A2170" s="1011">
        <v>2406010300</v>
      </c>
      <c r="B2170" s="1012" t="s">
        <v>1366</v>
      </c>
      <c r="C2170" s="1661" t="s">
        <v>146</v>
      </c>
      <c r="D2170" s="1665">
        <v>2000001504</v>
      </c>
      <c r="E2170" s="1666">
        <v>44973</v>
      </c>
      <c r="F2170" s="1015"/>
      <c r="G2170" s="1293"/>
      <c r="H2170" s="346"/>
      <c r="I2170" s="1016"/>
      <c r="J2170" s="1503">
        <f>+J2169</f>
        <v>1.0672999999999999</v>
      </c>
      <c r="K2170" s="1504">
        <f>VLOOKUP($E2170,'TRM BanRep'!$A:$K,11,0)</f>
        <v>1.0672999999999999</v>
      </c>
      <c r="L2170" s="1036"/>
      <c r="M2170" s="1325">
        <f t="shared" si="4183"/>
        <v>0</v>
      </c>
      <c r="N2170" s="348">
        <f ca="1">IF(OR(E2170="",E2170&gt;TODAY()),0,IF(ISERROR(VLOOKUP($E2170,'TRM BanRep'!$A:$G,7,0)),0,VLOOKUP($E2170,'TRM BanRep'!$A:$G,7,0)))</f>
        <v>4878.24</v>
      </c>
      <c r="O2170" s="996">
        <f t="shared" ca="1" si="4184"/>
        <v>0</v>
      </c>
      <c r="P2170" s="1017">
        <f>-L2169</f>
        <v>-120</v>
      </c>
      <c r="Q2170" s="1362">
        <f t="shared" ref="Q2170:Q2171" si="4388">+P2170*K2170</f>
        <v>-128.07599999999999</v>
      </c>
      <c r="R2170" s="349">
        <f ca="1">+N2169</f>
        <v>4878.24</v>
      </c>
      <c r="S2170" s="349">
        <f ca="1">IF(OR(E2170="",E2170&gt;TODAY()),0,IF(ISERROR(VLOOKUP($E2170,'TRM BanRep'!$A:$G,7,0)),0,VLOOKUP($E2170,'TRM BanRep'!$A:$G,7,0)))</f>
        <v>4878.24</v>
      </c>
      <c r="T2170" s="1031">
        <f t="shared" ca="1" si="4186"/>
        <v>-624785.46623999998</v>
      </c>
      <c r="U2170" s="977">
        <f t="shared" si="4233"/>
        <v>-120</v>
      </c>
      <c r="V2170" s="978">
        <f t="shared" ca="1" si="4234"/>
        <v>-624785.46623999998</v>
      </c>
      <c r="W2170" s="976">
        <f t="shared" ca="1" si="4121"/>
        <v>0</v>
      </c>
      <c r="X2170" s="975">
        <f t="shared" ca="1" si="4122"/>
        <v>0</v>
      </c>
      <c r="Y2170" s="1018"/>
      <c r="Z2170" s="220"/>
      <c r="AA2170" s="15"/>
      <c r="AB2170" s="15"/>
      <c r="AC2170" s="15"/>
      <c r="AD2170" s="15"/>
      <c r="AE2170" s="15"/>
    </row>
    <row r="2171" spans="1:38" s="401" customFormat="1" outlineLevel="1">
      <c r="A2171" s="1011">
        <v>2406010300</v>
      </c>
      <c r="B2171" s="1012" t="s">
        <v>2253</v>
      </c>
      <c r="C2171" s="1661" t="s">
        <v>146</v>
      </c>
      <c r="D2171" s="1665">
        <v>5100001141</v>
      </c>
      <c r="E2171" s="1666">
        <v>44959</v>
      </c>
      <c r="F2171" s="1015"/>
      <c r="G2171" s="1293"/>
      <c r="H2171" s="346"/>
      <c r="I2171" s="1016"/>
      <c r="J2171" s="1503">
        <f>VLOOKUP($E2171,'TRM BanRep'!$A:$K,11,0)</f>
        <v>1.09405</v>
      </c>
      <c r="K2171" s="1504"/>
      <c r="L2171" s="1036">
        <v>25975.200000000001</v>
      </c>
      <c r="M2171" s="1325">
        <f t="shared" ref="M2171:M2172" si="4389">+L2171*J2171</f>
        <v>28418.167560000002</v>
      </c>
      <c r="N2171" s="348">
        <f ca="1">IF(OR(E2171="",E2171&gt;TODAY()),0,IF(ISERROR(VLOOKUP($E2171,'TRM BanRep'!$A:$G,7,0)),0,VLOOKUP($E2171,'TRM BanRep'!$A:$G,7,0)))</f>
        <v>4639.04</v>
      </c>
      <c r="O2171" s="996">
        <f t="shared" ref="O2171:O2172" ca="1" si="4390">+L2171*J2171*N2171</f>
        <v>131833016.0375424</v>
      </c>
      <c r="P2171" s="1017"/>
      <c r="Q2171" s="1362">
        <f t="shared" si="4388"/>
        <v>0</v>
      </c>
      <c r="R2171" s="349"/>
      <c r="S2171" s="349"/>
      <c r="T2171" s="1031">
        <f t="shared" ref="T2171:T2172" si="4391">+P2171*K2171*S2171</f>
        <v>0</v>
      </c>
      <c r="U2171" s="977">
        <f t="shared" ref="U2171:U2172" si="4392">+L2171+P2171+F2171</f>
        <v>25975.200000000001</v>
      </c>
      <c r="V2171" s="978">
        <f t="shared" ref="V2171:V2172" ca="1" si="4393">+P2171*J2171*R2171+L2171*J2171*N2171+F2171*J2171*H2171</f>
        <v>131833016.0375424</v>
      </c>
      <c r="W2171" s="976">
        <f t="shared" ref="W2171:W2172" si="4394">-(IF(-P2171*J2171*R2171&lt;-P2171*K2171*S2171,(-P2171*J2171*R2171)-(-P2171*K2171*S2171),0))</f>
        <v>0</v>
      </c>
      <c r="X2171" s="975">
        <f t="shared" ref="X2171:X2172" si="4395">-(IF(-P2171*J2171*R2171&gt;-P2171*K2171*S2171,(-P2171*J2171*R2171)-(-P2171*K2171*S2171),0))</f>
        <v>0</v>
      </c>
      <c r="Y2171" s="1018"/>
      <c r="Z2171" s="220"/>
      <c r="AA2171" s="15"/>
      <c r="AB2171" s="15"/>
      <c r="AC2171" s="15"/>
      <c r="AD2171" s="15"/>
      <c r="AE2171" s="15"/>
    </row>
    <row r="2172" spans="1:38" s="401" customFormat="1" outlineLevel="1">
      <c r="A2172" s="1011">
        <v>2406010300</v>
      </c>
      <c r="B2172" s="1012" t="s">
        <v>1366</v>
      </c>
      <c r="C2172" s="1661" t="s">
        <v>146</v>
      </c>
      <c r="D2172" s="1665">
        <v>2000001855</v>
      </c>
      <c r="E2172" s="1666">
        <v>44991</v>
      </c>
      <c r="F2172" s="1015"/>
      <c r="G2172" s="1293"/>
      <c r="H2172" s="346"/>
      <c r="I2172" s="1016"/>
      <c r="J2172" s="1503">
        <f>+J2171</f>
        <v>1.09405</v>
      </c>
      <c r="K2172" s="1504">
        <f>VLOOKUP($E2172,'TRM BanRep'!$A:$K,11,0)</f>
        <v>1.0679000000000001</v>
      </c>
      <c r="L2172" s="1036"/>
      <c r="M2172" s="1325">
        <f t="shared" si="4389"/>
        <v>0</v>
      </c>
      <c r="N2172" s="348">
        <f ca="1">IF(OR(E2172="",E2172&gt;TODAY()),0,IF(ISERROR(VLOOKUP($E2172,'TRM BanRep'!$A:$G,7,0)),0,VLOOKUP($E2172,'TRM BanRep'!$A:$G,7,0)))</f>
        <v>4780.8900000000003</v>
      </c>
      <c r="O2172" s="996">
        <f t="shared" ca="1" si="4390"/>
        <v>0</v>
      </c>
      <c r="P2172" s="1017">
        <f>-L2171</f>
        <v>-25975.200000000001</v>
      </c>
      <c r="Q2172" s="1362">
        <f t="shared" ref="Q2172:Q2173" si="4396">+P2172*K2172</f>
        <v>-27738.916080000003</v>
      </c>
      <c r="R2172" s="349">
        <f ca="1">+N2171</f>
        <v>4639.04</v>
      </c>
      <c r="S2172" s="349">
        <f ca="1">IF(OR(E2172="",E2172&gt;TODAY()),0,IF(ISERROR(VLOOKUP($E2172,'TRM BanRep'!$A:$G,7,0)),0,VLOOKUP($E2172,'TRM BanRep'!$A:$G,7,0)))</f>
        <v>4780.8900000000003</v>
      </c>
      <c r="T2172" s="1031">
        <f t="shared" ca="1" si="4391"/>
        <v>-132616706.49771123</v>
      </c>
      <c r="U2172" s="977">
        <f t="shared" si="4392"/>
        <v>-25975.200000000001</v>
      </c>
      <c r="V2172" s="978">
        <f t="shared" ca="1" si="4393"/>
        <v>-131833016.0375424</v>
      </c>
      <c r="W2172" s="976">
        <f t="shared" ca="1" si="4394"/>
        <v>783690.4601688236</v>
      </c>
      <c r="X2172" s="975">
        <f t="shared" ca="1" si="4395"/>
        <v>0</v>
      </c>
      <c r="Y2172" s="1018"/>
      <c r="Z2172" s="220"/>
      <c r="AA2172" s="15"/>
      <c r="AB2172" s="15"/>
      <c r="AC2172" s="15"/>
      <c r="AD2172" s="15"/>
      <c r="AE2172" s="15"/>
    </row>
    <row r="2173" spans="1:38" s="401" customFormat="1" outlineLevel="1">
      <c r="A2173" s="1011">
        <v>2406010300</v>
      </c>
      <c r="B2173" s="1012" t="s">
        <v>2429</v>
      </c>
      <c r="C2173" s="1661" t="s">
        <v>146</v>
      </c>
      <c r="D2173" s="1665">
        <v>5100001661</v>
      </c>
      <c r="E2173" s="1666">
        <v>44991</v>
      </c>
      <c r="F2173" s="1015"/>
      <c r="G2173" s="1293"/>
      <c r="H2173" s="346"/>
      <c r="I2173" s="1016"/>
      <c r="J2173" s="1503">
        <f>VLOOKUP($E2173,'TRM BanRep'!$A:$K,11,0)</f>
        <v>1.0679000000000001</v>
      </c>
      <c r="K2173" s="1504"/>
      <c r="L2173" s="1036">
        <v>2120</v>
      </c>
      <c r="M2173" s="1325">
        <f t="shared" ref="M2173:M2174" si="4397">+L2173*J2173</f>
        <v>2263.9480000000003</v>
      </c>
      <c r="N2173" s="348">
        <f ca="1">IF(OR(E2173="",E2173&gt;TODAY()),0,IF(ISERROR(VLOOKUP($E2173,'TRM BanRep'!$A:$G,7,0)),0,VLOOKUP($E2173,'TRM BanRep'!$A:$G,7,0)))</f>
        <v>4780.8900000000003</v>
      </c>
      <c r="O2173" s="996">
        <f t="shared" ref="O2173:O2174" ca="1" si="4398">+L2173*J2173*N2173</f>
        <v>10823686.353720002</v>
      </c>
      <c r="P2173" s="1017"/>
      <c r="Q2173" s="1362">
        <f t="shared" si="4396"/>
        <v>0</v>
      </c>
      <c r="R2173" s="349"/>
      <c r="S2173" s="349"/>
      <c r="T2173" s="1031">
        <f t="shared" ref="T2173:T2174" si="4399">+P2173*K2173*S2173</f>
        <v>0</v>
      </c>
      <c r="U2173" s="977">
        <f t="shared" ref="U2173:U2174" si="4400">+L2173+P2173+F2173</f>
        <v>2120</v>
      </c>
      <c r="V2173" s="978">
        <f t="shared" ref="V2173:V2174" ca="1" si="4401">+P2173*J2173*R2173+L2173*J2173*N2173+F2173*J2173*H2173</f>
        <v>10823686.353720002</v>
      </c>
      <c r="W2173" s="976">
        <f t="shared" ref="W2173:W2174" si="4402">-(IF(-P2173*J2173*R2173&lt;-P2173*K2173*S2173,(-P2173*J2173*R2173)-(-P2173*K2173*S2173),0))</f>
        <v>0</v>
      </c>
      <c r="X2173" s="975">
        <f t="shared" ref="X2173:X2174" si="4403">-(IF(-P2173*J2173*R2173&gt;-P2173*K2173*S2173,(-P2173*J2173*R2173)-(-P2173*K2173*S2173),0))</f>
        <v>0</v>
      </c>
      <c r="Y2173" s="1018"/>
      <c r="Z2173" s="220"/>
      <c r="AA2173" s="15"/>
      <c r="AB2173" s="15"/>
      <c r="AC2173" s="15"/>
      <c r="AD2173" s="15"/>
      <c r="AE2173" s="15"/>
    </row>
    <row r="2174" spans="1:38" s="401" customFormat="1" outlineLevel="1">
      <c r="A2174" s="1011">
        <v>2406010300</v>
      </c>
      <c r="B2174" s="1012" t="s">
        <v>1366</v>
      </c>
      <c r="C2174" s="1661" t="s">
        <v>146</v>
      </c>
      <c r="D2174" s="1665">
        <v>2000002751</v>
      </c>
      <c r="E2174" s="1666">
        <v>45015</v>
      </c>
      <c r="F2174" s="1015"/>
      <c r="G2174" s="1293"/>
      <c r="H2174" s="346"/>
      <c r="I2174" s="1016"/>
      <c r="J2174" s="1503">
        <f>+J2173</f>
        <v>1.0679000000000001</v>
      </c>
      <c r="K2174" s="1504">
        <f>VLOOKUP($E2174,'TRM BanRep'!$A:$K,11,0)</f>
        <v>1.0912999999999999</v>
      </c>
      <c r="L2174" s="1036"/>
      <c r="M2174" s="1325">
        <f t="shared" si="4397"/>
        <v>0</v>
      </c>
      <c r="N2174" s="348">
        <f ca="1">IF(OR(E2174="",E2174&gt;TODAY()),0,IF(ISERROR(VLOOKUP($E2174,'TRM BanRep'!$A:$G,7,0)),0,VLOOKUP($E2174,'TRM BanRep'!$A:$G,7,0)))</f>
        <v>4627.63</v>
      </c>
      <c r="O2174" s="996">
        <f t="shared" ca="1" si="4398"/>
        <v>0</v>
      </c>
      <c r="P2174" s="1017">
        <f>-L2173</f>
        <v>-2120</v>
      </c>
      <c r="Q2174" s="1362">
        <f t="shared" ref="Q2174:Q2175" si="4404">+P2174*K2174</f>
        <v>-2313.556</v>
      </c>
      <c r="R2174" s="349">
        <f ca="1">+N2173</f>
        <v>4780.8900000000003</v>
      </c>
      <c r="S2174" s="349">
        <f ca="1">IF(OR(E2174="",E2174&gt;TODAY()),0,IF(ISERROR(VLOOKUP($E2174,'TRM BanRep'!$A:$G,7,0)),0,VLOOKUP($E2174,'TRM BanRep'!$A:$G,7,0)))</f>
        <v>4627.63</v>
      </c>
      <c r="T2174" s="1031">
        <f t="shared" ca="1" si="4399"/>
        <v>-10706281.152280001</v>
      </c>
      <c r="U2174" s="977">
        <f t="shared" si="4400"/>
        <v>-2120</v>
      </c>
      <c r="V2174" s="978">
        <f t="shared" ca="1" si="4401"/>
        <v>-10823686.353720002</v>
      </c>
      <c r="W2174" s="976">
        <f t="shared" ca="1" si="4402"/>
        <v>0</v>
      </c>
      <c r="X2174" s="975">
        <f t="shared" ca="1" si="4403"/>
        <v>-117405.20144000091</v>
      </c>
      <c r="Y2174" s="1018"/>
      <c r="Z2174" s="220"/>
      <c r="AA2174" s="15"/>
      <c r="AB2174" s="15"/>
      <c r="AC2174" s="15"/>
      <c r="AD2174" s="15"/>
      <c r="AE2174" s="15"/>
    </row>
    <row r="2175" spans="1:38" s="401" customFormat="1" outlineLevel="1">
      <c r="A2175" s="1011">
        <v>2406010300</v>
      </c>
      <c r="B2175" s="1012" t="s">
        <v>2428</v>
      </c>
      <c r="C2175" s="1661" t="s">
        <v>146</v>
      </c>
      <c r="D2175" s="1665">
        <v>5100002338</v>
      </c>
      <c r="E2175" s="1666">
        <v>44991</v>
      </c>
      <c r="F2175" s="1015"/>
      <c r="G2175" s="1293"/>
      <c r="H2175" s="346"/>
      <c r="I2175" s="1016"/>
      <c r="J2175" s="1503">
        <f>VLOOKUP($E2175,'TRM BanRep'!$A:$K,11,0)</f>
        <v>1.0679000000000001</v>
      </c>
      <c r="K2175" s="1504"/>
      <c r="L2175" s="1036">
        <v>488.58</v>
      </c>
      <c r="M2175" s="1325">
        <f t="shared" ref="M2175:M2176" si="4405">+L2175*J2175</f>
        <v>521.75458200000003</v>
      </c>
      <c r="N2175" s="348">
        <f ca="1">IF(OR(E2175="",E2175&gt;TODAY()),0,IF(ISERROR(VLOOKUP($E2175,'TRM BanRep'!$A:$G,7,0)),0,VLOOKUP($E2175,'TRM BanRep'!$A:$G,7,0)))</f>
        <v>4780.8900000000003</v>
      </c>
      <c r="O2175" s="996">
        <f t="shared" ref="O2175:O2176" ca="1" si="4406">+L2175*J2175*N2175</f>
        <v>2494451.2635379802</v>
      </c>
      <c r="P2175" s="1017"/>
      <c r="Q2175" s="1362">
        <f t="shared" si="4404"/>
        <v>0</v>
      </c>
      <c r="R2175" s="349"/>
      <c r="S2175" s="349"/>
      <c r="T2175" s="1031">
        <f t="shared" ref="T2175:T2176" si="4407">+P2175*K2175*S2175</f>
        <v>0</v>
      </c>
      <c r="U2175" s="977">
        <f t="shared" ref="U2175:U2176" si="4408">+L2175+P2175+F2175</f>
        <v>488.58</v>
      </c>
      <c r="V2175" s="978">
        <f t="shared" ref="V2175:V2176" ca="1" si="4409">+P2175*J2175*R2175+L2175*J2175*N2175+F2175*J2175*H2175</f>
        <v>2494451.2635379802</v>
      </c>
      <c r="W2175" s="976">
        <f t="shared" ref="W2175:W2176" si="4410">-(IF(-P2175*J2175*R2175&lt;-P2175*K2175*S2175,(-P2175*J2175*R2175)-(-P2175*K2175*S2175),0))</f>
        <v>0</v>
      </c>
      <c r="X2175" s="975">
        <f t="shared" ref="X2175:X2176" si="4411">-(IF(-P2175*J2175*R2175&gt;-P2175*K2175*S2175,(-P2175*J2175*R2175)-(-P2175*K2175*S2175),0))</f>
        <v>0</v>
      </c>
      <c r="Y2175" s="1018"/>
      <c r="Z2175" s="220"/>
      <c r="AA2175" s="15"/>
      <c r="AB2175" s="15"/>
      <c r="AC2175" s="15"/>
      <c r="AD2175" s="15"/>
      <c r="AE2175" s="15"/>
    </row>
    <row r="2176" spans="1:38" s="401" customFormat="1" outlineLevel="1">
      <c r="A2176" s="1011">
        <v>2406010300</v>
      </c>
      <c r="B2176" s="1012" t="s">
        <v>1366</v>
      </c>
      <c r="C2176" s="1661" t="s">
        <v>146</v>
      </c>
      <c r="D2176" s="1665">
        <v>2000002972</v>
      </c>
      <c r="E2176" s="1666">
        <v>45020</v>
      </c>
      <c r="F2176" s="1015"/>
      <c r="G2176" s="1293"/>
      <c r="H2176" s="346"/>
      <c r="I2176" s="1016"/>
      <c r="J2176" s="1503">
        <f>+J2175</f>
        <v>1.0679000000000001</v>
      </c>
      <c r="K2176" s="1504">
        <f>VLOOKUP($E2176,'TRM BanRep'!$A:$K,11,0)</f>
        <v>1.0969500000000001</v>
      </c>
      <c r="L2176" s="1036"/>
      <c r="M2176" s="1325">
        <f t="shared" si="4405"/>
        <v>0</v>
      </c>
      <c r="N2176" s="348">
        <f ca="1">IF(OR(E2176="",E2176&gt;TODAY()),0,IF(ISERROR(VLOOKUP($E2176,'TRM BanRep'!$A:$G,7,0)),0,VLOOKUP($E2176,'TRM BanRep'!$A:$G,7,0)))</f>
        <v>4603</v>
      </c>
      <c r="O2176" s="996">
        <f t="shared" ca="1" si="4406"/>
        <v>0</v>
      </c>
      <c r="P2176" s="1017">
        <f>-L2175</f>
        <v>-488.58</v>
      </c>
      <c r="Q2176" s="1362">
        <f t="shared" ref="Q2176" si="4412">+P2176*K2176</f>
        <v>-535.94783100000006</v>
      </c>
      <c r="R2176" s="349">
        <f ca="1">+N2175</f>
        <v>4780.8900000000003</v>
      </c>
      <c r="S2176" s="349">
        <f ca="1">IF(OR(E2176="",E2176&gt;TODAY()),0,IF(ISERROR(VLOOKUP($E2176,'TRM BanRep'!$A:$G,7,0)),0,VLOOKUP($E2176,'TRM BanRep'!$A:$G,7,0)))</f>
        <v>4603</v>
      </c>
      <c r="T2176" s="1031">
        <f t="shared" ca="1" si="4407"/>
        <v>-2466967.8660930004</v>
      </c>
      <c r="U2176" s="977">
        <f t="shared" si="4408"/>
        <v>-488.58</v>
      </c>
      <c r="V2176" s="978">
        <f t="shared" ca="1" si="4409"/>
        <v>-2494451.2635379802</v>
      </c>
      <c r="W2176" s="976">
        <f t="shared" ca="1" si="4410"/>
        <v>0</v>
      </c>
      <c r="X2176" s="975">
        <f t="shared" ca="1" si="4411"/>
        <v>-27483.397444979753</v>
      </c>
      <c r="Y2176" s="1018"/>
      <c r="Z2176" s="220"/>
      <c r="AA2176" s="15"/>
      <c r="AB2176" s="15"/>
      <c r="AC2176" s="15"/>
      <c r="AD2176" s="15"/>
      <c r="AE2176" s="15"/>
    </row>
    <row r="2177" spans="1:31" s="401" customFormat="1">
      <c r="A2177" s="1011">
        <v>2406010300</v>
      </c>
      <c r="B2177" s="1012"/>
      <c r="C2177" s="1661" t="s">
        <v>146</v>
      </c>
      <c r="D2177" s="1665"/>
      <c r="E2177" s="1666"/>
      <c r="F2177" s="1015"/>
      <c r="G2177" s="1293"/>
      <c r="H2177" s="346"/>
      <c r="I2177" s="1016"/>
      <c r="J2177" s="1503"/>
      <c r="K2177" s="1504"/>
      <c r="L2177" s="1036"/>
      <c r="M2177" s="1325">
        <f t="shared" si="4183"/>
        <v>0</v>
      </c>
      <c r="N2177" s="348"/>
      <c r="O2177" s="996">
        <f t="shared" si="4184"/>
        <v>0</v>
      </c>
      <c r="P2177" s="1017"/>
      <c r="Q2177" s="1362">
        <f t="shared" si="4185"/>
        <v>0</v>
      </c>
      <c r="R2177" s="349"/>
      <c r="S2177" s="349"/>
      <c r="T2177" s="1031">
        <f t="shared" si="4186"/>
        <v>0</v>
      </c>
      <c r="U2177" s="977">
        <f t="shared" si="4233"/>
        <v>0</v>
      </c>
      <c r="V2177" s="978">
        <f t="shared" si="4234"/>
        <v>0</v>
      </c>
      <c r="W2177" s="976">
        <f t="shared" si="4121"/>
        <v>0</v>
      </c>
      <c r="X2177" s="975">
        <f t="shared" si="4122"/>
        <v>0</v>
      </c>
      <c r="Y2177" s="1018"/>
      <c r="Z2177" s="220"/>
      <c r="AA2177" s="15"/>
      <c r="AB2177" s="15"/>
      <c r="AC2177" s="15"/>
      <c r="AD2177" s="15"/>
      <c r="AE2177" s="15"/>
    </row>
    <row r="2178" spans="1:31" s="401" customFormat="1">
      <c r="A2178" s="1011"/>
      <c r="B2178" s="1012"/>
      <c r="C2178" s="1661"/>
      <c r="D2178" s="1665"/>
      <c r="E2178" s="1666"/>
      <c r="F2178" s="1015"/>
      <c r="G2178" s="1293"/>
      <c r="H2178" s="346"/>
      <c r="I2178" s="1016"/>
      <c r="J2178" s="1501"/>
      <c r="K2178" s="1502"/>
      <c r="L2178" s="1036"/>
      <c r="M2178" s="1325"/>
      <c r="N2178" s="348"/>
      <c r="O2178" s="996"/>
      <c r="P2178" s="1017"/>
      <c r="Q2178" s="1362"/>
      <c r="R2178" s="349"/>
      <c r="S2178" s="349"/>
      <c r="T2178" s="1031"/>
      <c r="U2178" s="977"/>
      <c r="V2178" s="978"/>
      <c r="W2178" s="976">
        <f t="shared" si="4121"/>
        <v>0</v>
      </c>
      <c r="X2178" s="975">
        <f t="shared" si="4122"/>
        <v>0</v>
      </c>
      <c r="Y2178" s="1018"/>
      <c r="Z2178" s="220"/>
      <c r="AA2178" s="15"/>
      <c r="AB2178" s="15"/>
      <c r="AC2178" s="15"/>
      <c r="AD2178" s="15"/>
      <c r="AE2178" s="15"/>
    </row>
    <row r="2179" spans="1:31" s="344" customFormat="1" ht="15.75">
      <c r="A2179" s="997">
        <v>2406010300</v>
      </c>
      <c r="B2179" s="998" t="s">
        <v>77</v>
      </c>
      <c r="C2179" s="1663" t="s">
        <v>106</v>
      </c>
      <c r="D2179" s="1669" t="s">
        <v>128</v>
      </c>
      <c r="E2179" s="1670"/>
      <c r="F2179" s="1001"/>
      <c r="G2179" s="1291"/>
      <c r="H2179" s="343"/>
      <c r="I2179" s="1002">
        <v>121732</v>
      </c>
      <c r="J2179" s="1032"/>
      <c r="K2179" s="1002"/>
      <c r="L2179" s="1003"/>
      <c r="M2179" s="1326"/>
      <c r="N2179" s="343"/>
      <c r="O2179" s="1002">
        <f>+L2179*N2179</f>
        <v>0</v>
      </c>
      <c r="P2179" s="1001"/>
      <c r="Q2179" s="1291"/>
      <c r="R2179" s="343"/>
      <c r="S2179" s="343"/>
      <c r="T2179" s="1002">
        <f t="shared" ref="T2179:T2190" si="4413">+P2179*R2179</f>
        <v>0</v>
      </c>
      <c r="U2179" s="1001">
        <f t="shared" ref="U2179:U2187" si="4414">+L2179+P2179+F2179</f>
        <v>0</v>
      </c>
      <c r="V2179" s="1002">
        <f>+I2179+T2179+O2179</f>
        <v>121732</v>
      </c>
      <c r="W2179" s="1032"/>
      <c r="X2179" s="1033"/>
      <c r="Y2179" s="1034"/>
      <c r="Z2179" s="220"/>
      <c r="AA2179" s="364"/>
      <c r="AB2179" s="364"/>
      <c r="AC2179" s="364"/>
      <c r="AD2179" s="364"/>
      <c r="AE2179" s="364"/>
    </row>
    <row r="2180" spans="1:31" s="302" customFormat="1" ht="15.75" hidden="1" outlineLevel="1">
      <c r="A2180" s="979">
        <v>2406010300</v>
      </c>
      <c r="B2180" s="980" t="s">
        <v>129</v>
      </c>
      <c r="C2180" s="1664" t="s">
        <v>106</v>
      </c>
      <c r="D2180" s="1671" t="s">
        <v>128</v>
      </c>
      <c r="E2180" s="1682"/>
      <c r="F2180" s="982"/>
      <c r="G2180" s="1286"/>
      <c r="H2180" s="857"/>
      <c r="I2180" s="1005">
        <f t="shared" ref="I2180:I2187" si="4415">+F2180*H2180</f>
        <v>0</v>
      </c>
      <c r="J2180" s="1419"/>
      <c r="K2180" s="1420"/>
      <c r="L2180" s="1006"/>
      <c r="M2180" s="1327"/>
      <c r="N2180" s="898"/>
      <c r="O2180" s="1007"/>
      <c r="P2180" s="1008"/>
      <c r="Q2180" s="1360"/>
      <c r="R2180" s="899"/>
      <c r="S2180" s="899"/>
      <c r="T2180" s="1009">
        <f t="shared" si="4413"/>
        <v>0</v>
      </c>
      <c r="U2180" s="1010">
        <f t="shared" si="4414"/>
        <v>0</v>
      </c>
      <c r="V2180" s="983">
        <v>0</v>
      </c>
      <c r="W2180" s="1032"/>
      <c r="X2180" s="1033"/>
      <c r="Y2180" s="1034"/>
      <c r="Z2180" s="220"/>
      <c r="AA2180" s="15"/>
      <c r="AB2180" s="15"/>
      <c r="AC2180" s="15"/>
      <c r="AD2180" s="15"/>
      <c r="AE2180" s="15"/>
    </row>
    <row r="2181" spans="1:31" s="302" customFormat="1" ht="15.75" hidden="1" outlineLevel="1">
      <c r="A2181" s="979">
        <v>2406010300</v>
      </c>
      <c r="B2181" s="980" t="s">
        <v>130</v>
      </c>
      <c r="C2181" s="1664" t="s">
        <v>106</v>
      </c>
      <c r="D2181" s="1671" t="s">
        <v>128</v>
      </c>
      <c r="E2181" s="1682"/>
      <c r="F2181" s="982"/>
      <c r="G2181" s="1286"/>
      <c r="H2181" s="857"/>
      <c r="I2181" s="1005">
        <f t="shared" si="4415"/>
        <v>0</v>
      </c>
      <c r="J2181" s="1419"/>
      <c r="K2181" s="1420"/>
      <c r="L2181" s="1006"/>
      <c r="M2181" s="1327"/>
      <c r="N2181" s="898"/>
      <c r="O2181" s="1007"/>
      <c r="P2181" s="1008"/>
      <c r="Q2181" s="1360"/>
      <c r="R2181" s="899"/>
      <c r="S2181" s="899"/>
      <c r="T2181" s="1009">
        <f t="shared" si="4413"/>
        <v>0</v>
      </c>
      <c r="U2181" s="1010">
        <f t="shared" si="4414"/>
        <v>0</v>
      </c>
      <c r="V2181" s="983">
        <v>0</v>
      </c>
      <c r="W2181" s="1032"/>
      <c r="X2181" s="1033"/>
      <c r="Y2181" s="1034"/>
      <c r="Z2181" s="220"/>
      <c r="AA2181" s="15"/>
      <c r="AB2181" s="15"/>
      <c r="AC2181" s="15"/>
      <c r="AD2181" s="15"/>
      <c r="AE2181" s="15"/>
    </row>
    <row r="2182" spans="1:31" s="302" customFormat="1" ht="15.75" hidden="1" outlineLevel="1">
      <c r="A2182" s="979">
        <v>2406010300</v>
      </c>
      <c r="B2182" s="980" t="s">
        <v>131</v>
      </c>
      <c r="C2182" s="1664" t="s">
        <v>106</v>
      </c>
      <c r="D2182" s="1671" t="s">
        <v>128</v>
      </c>
      <c r="E2182" s="1682"/>
      <c r="F2182" s="982"/>
      <c r="G2182" s="1286"/>
      <c r="H2182" s="857"/>
      <c r="I2182" s="1005">
        <f t="shared" si="4415"/>
        <v>0</v>
      </c>
      <c r="J2182" s="1419"/>
      <c r="K2182" s="1420"/>
      <c r="L2182" s="1006"/>
      <c r="M2182" s="1327"/>
      <c r="N2182" s="898"/>
      <c r="O2182" s="1007"/>
      <c r="P2182" s="1008"/>
      <c r="Q2182" s="1360"/>
      <c r="R2182" s="899"/>
      <c r="S2182" s="899"/>
      <c r="T2182" s="1009">
        <f t="shared" si="4413"/>
        <v>0</v>
      </c>
      <c r="U2182" s="1010">
        <f t="shared" si="4414"/>
        <v>0</v>
      </c>
      <c r="V2182" s="983">
        <v>0</v>
      </c>
      <c r="W2182" s="1032"/>
      <c r="X2182" s="1033"/>
      <c r="Y2182" s="1034"/>
      <c r="Z2182" s="220"/>
      <c r="AA2182" s="15"/>
      <c r="AB2182" s="15"/>
      <c r="AC2182" s="15"/>
      <c r="AD2182" s="15"/>
      <c r="AE2182" s="15"/>
    </row>
    <row r="2183" spans="1:31" s="302" customFormat="1" ht="15.75" hidden="1" outlineLevel="1">
      <c r="A2183" s="979">
        <v>2406010300</v>
      </c>
      <c r="B2183" s="980" t="s">
        <v>132</v>
      </c>
      <c r="C2183" s="1664" t="s">
        <v>106</v>
      </c>
      <c r="D2183" s="1671" t="s">
        <v>128</v>
      </c>
      <c r="E2183" s="1682"/>
      <c r="F2183" s="982"/>
      <c r="G2183" s="1286"/>
      <c r="H2183" s="857"/>
      <c r="I2183" s="1005">
        <f t="shared" si="4415"/>
        <v>0</v>
      </c>
      <c r="J2183" s="1419"/>
      <c r="K2183" s="1420"/>
      <c r="L2183" s="1006"/>
      <c r="M2183" s="1327"/>
      <c r="N2183" s="898"/>
      <c r="O2183" s="1007"/>
      <c r="P2183" s="1008"/>
      <c r="Q2183" s="1360"/>
      <c r="R2183" s="899"/>
      <c r="S2183" s="899"/>
      <c r="T2183" s="1009">
        <f t="shared" si="4413"/>
        <v>0</v>
      </c>
      <c r="U2183" s="1010">
        <f t="shared" si="4414"/>
        <v>0</v>
      </c>
      <c r="V2183" s="983">
        <v>0</v>
      </c>
      <c r="W2183" s="1032"/>
      <c r="X2183" s="1033"/>
      <c r="Y2183" s="1034"/>
      <c r="Z2183" s="220"/>
      <c r="AA2183" s="15"/>
      <c r="AB2183" s="15"/>
      <c r="AC2183" s="15"/>
      <c r="AD2183" s="15"/>
      <c r="AE2183" s="15"/>
    </row>
    <row r="2184" spans="1:31" s="302" customFormat="1" ht="15.75" hidden="1" outlineLevel="1">
      <c r="A2184" s="979">
        <v>2406010300</v>
      </c>
      <c r="B2184" s="980" t="s">
        <v>133</v>
      </c>
      <c r="C2184" s="1664" t="s">
        <v>106</v>
      </c>
      <c r="D2184" s="1671" t="s">
        <v>128</v>
      </c>
      <c r="E2184" s="1682"/>
      <c r="F2184" s="982"/>
      <c r="G2184" s="1286"/>
      <c r="H2184" s="857"/>
      <c r="I2184" s="1005">
        <f t="shared" si="4415"/>
        <v>0</v>
      </c>
      <c r="J2184" s="1419"/>
      <c r="K2184" s="1420"/>
      <c r="L2184" s="1006"/>
      <c r="M2184" s="1327"/>
      <c r="N2184" s="898"/>
      <c r="O2184" s="1007"/>
      <c r="P2184" s="1008"/>
      <c r="Q2184" s="1360"/>
      <c r="R2184" s="899"/>
      <c r="S2184" s="899"/>
      <c r="T2184" s="1009">
        <f t="shared" si="4413"/>
        <v>0</v>
      </c>
      <c r="U2184" s="1010">
        <f t="shared" si="4414"/>
        <v>0</v>
      </c>
      <c r="V2184" s="983">
        <v>0</v>
      </c>
      <c r="W2184" s="1032"/>
      <c r="X2184" s="1033"/>
      <c r="Y2184" s="1034"/>
      <c r="Z2184" s="220"/>
      <c r="AA2184" s="15"/>
      <c r="AB2184" s="15"/>
      <c r="AC2184" s="15"/>
      <c r="AD2184" s="15"/>
      <c r="AE2184" s="15"/>
    </row>
    <row r="2185" spans="1:31" s="302" customFormat="1" ht="15.75" hidden="1" outlineLevel="1">
      <c r="A2185" s="979">
        <v>2406010300</v>
      </c>
      <c r="B2185" s="980" t="s">
        <v>134</v>
      </c>
      <c r="C2185" s="1664" t="s">
        <v>106</v>
      </c>
      <c r="D2185" s="1671" t="s">
        <v>128</v>
      </c>
      <c r="E2185" s="1682"/>
      <c r="F2185" s="982"/>
      <c r="G2185" s="1286"/>
      <c r="H2185" s="857"/>
      <c r="I2185" s="1005">
        <f t="shared" si="4415"/>
        <v>0</v>
      </c>
      <c r="J2185" s="1419"/>
      <c r="K2185" s="1420"/>
      <c r="L2185" s="1006"/>
      <c r="M2185" s="1327"/>
      <c r="N2185" s="898"/>
      <c r="O2185" s="1007">
        <f>+L2185*N2185</f>
        <v>0</v>
      </c>
      <c r="P2185" s="1008"/>
      <c r="Q2185" s="1360"/>
      <c r="R2185" s="899"/>
      <c r="S2185" s="899"/>
      <c r="T2185" s="1009">
        <f t="shared" si="4413"/>
        <v>0</v>
      </c>
      <c r="U2185" s="1010">
        <f t="shared" si="4414"/>
        <v>0</v>
      </c>
      <c r="V2185" s="983">
        <v>0</v>
      </c>
      <c r="W2185" s="1032"/>
      <c r="X2185" s="1033"/>
      <c r="Y2185" s="1034"/>
      <c r="Z2185" s="220"/>
      <c r="AA2185" s="15"/>
      <c r="AB2185" s="15"/>
      <c r="AC2185" s="15"/>
      <c r="AD2185" s="15"/>
      <c r="AE2185" s="15"/>
    </row>
    <row r="2186" spans="1:31" s="302" customFormat="1" ht="15.75" hidden="1" outlineLevel="1">
      <c r="A2186" s="979">
        <v>2406010300</v>
      </c>
      <c r="B2186" s="980" t="s">
        <v>135</v>
      </c>
      <c r="C2186" s="1664" t="s">
        <v>106</v>
      </c>
      <c r="D2186" s="1671" t="s">
        <v>128</v>
      </c>
      <c r="E2186" s="1682"/>
      <c r="F2186" s="982"/>
      <c r="G2186" s="1286"/>
      <c r="H2186" s="857"/>
      <c r="I2186" s="1005">
        <f t="shared" si="4415"/>
        <v>0</v>
      </c>
      <c r="J2186" s="1419"/>
      <c r="K2186" s="1420"/>
      <c r="L2186" s="1006"/>
      <c r="M2186" s="1327"/>
      <c r="N2186" s="898"/>
      <c r="O2186" s="1007">
        <f>+L2186*N2186</f>
        <v>0</v>
      </c>
      <c r="P2186" s="1008"/>
      <c r="Q2186" s="1360"/>
      <c r="R2186" s="899"/>
      <c r="S2186" s="899"/>
      <c r="T2186" s="1009">
        <f t="shared" si="4413"/>
        <v>0</v>
      </c>
      <c r="U2186" s="1010">
        <f t="shared" si="4414"/>
        <v>0</v>
      </c>
      <c r="V2186" s="983">
        <v>0</v>
      </c>
      <c r="W2186" s="1032"/>
      <c r="X2186" s="1033"/>
      <c r="Y2186" s="1034"/>
      <c r="Z2186" s="220"/>
      <c r="AA2186" s="15"/>
      <c r="AB2186" s="15"/>
      <c r="AC2186" s="15"/>
      <c r="AD2186" s="15"/>
      <c r="AE2186" s="15"/>
    </row>
    <row r="2187" spans="1:31" s="302" customFormat="1" ht="15.75" hidden="1" outlineLevel="1">
      <c r="A2187" s="979">
        <v>2406010300</v>
      </c>
      <c r="B2187" s="980" t="s">
        <v>136</v>
      </c>
      <c r="C2187" s="1664" t="s">
        <v>106</v>
      </c>
      <c r="D2187" s="1671" t="s">
        <v>128</v>
      </c>
      <c r="E2187" s="1682"/>
      <c r="F2187" s="982"/>
      <c r="G2187" s="1286"/>
      <c r="H2187" s="857"/>
      <c r="I2187" s="1005">
        <f t="shared" si="4415"/>
        <v>0</v>
      </c>
      <c r="J2187" s="1419"/>
      <c r="K2187" s="1420"/>
      <c r="L2187" s="1006"/>
      <c r="M2187" s="1327"/>
      <c r="N2187" s="898"/>
      <c r="O2187" s="1007">
        <f>+L2187*N2187</f>
        <v>0</v>
      </c>
      <c r="P2187" s="1008"/>
      <c r="Q2187" s="1360"/>
      <c r="R2187" s="899"/>
      <c r="S2187" s="899"/>
      <c r="T2187" s="1009">
        <f t="shared" si="4413"/>
        <v>0</v>
      </c>
      <c r="U2187" s="1010">
        <f t="shared" si="4414"/>
        <v>0</v>
      </c>
      <c r="V2187" s="983">
        <v>0</v>
      </c>
      <c r="W2187" s="1032"/>
      <c r="X2187" s="1033"/>
      <c r="Y2187" s="1034"/>
      <c r="Z2187" s="220"/>
      <c r="AA2187" s="15"/>
      <c r="AB2187" s="15"/>
      <c r="AC2187" s="15"/>
      <c r="AD2187" s="15"/>
      <c r="AE2187" s="15"/>
    </row>
    <row r="2188" spans="1:31" s="302" customFormat="1" ht="15.75" hidden="1" outlineLevel="1">
      <c r="A2188" s="979">
        <v>2406010300</v>
      </c>
      <c r="B2188" s="980" t="s">
        <v>150</v>
      </c>
      <c r="C2188" s="1664" t="s">
        <v>106</v>
      </c>
      <c r="D2188" s="1671" t="s">
        <v>128</v>
      </c>
      <c r="E2188" s="1682"/>
      <c r="F2188" s="982"/>
      <c r="G2188" s="1286"/>
      <c r="H2188" s="857"/>
      <c r="I2188" s="1005"/>
      <c r="J2188" s="1419"/>
      <c r="K2188" s="1420"/>
      <c r="L2188" s="1006"/>
      <c r="M2188" s="1327"/>
      <c r="N2188" s="898"/>
      <c r="O2188" s="1007"/>
      <c r="P2188" s="1008"/>
      <c r="Q2188" s="1360"/>
      <c r="R2188" s="899"/>
      <c r="S2188" s="899"/>
      <c r="T2188" s="1009">
        <f t="shared" si="4413"/>
        <v>0</v>
      </c>
      <c r="U2188" s="1010"/>
      <c r="V2188" s="983">
        <v>0</v>
      </c>
      <c r="W2188" s="1032"/>
      <c r="X2188" s="1033"/>
      <c r="Y2188" s="1034"/>
      <c r="Z2188" s="220"/>
      <c r="AA2188" s="15"/>
      <c r="AB2188" s="15"/>
      <c r="AC2188" s="15"/>
      <c r="AD2188" s="15"/>
      <c r="AE2188" s="15"/>
    </row>
    <row r="2189" spans="1:31" s="302" customFormat="1" ht="15.75" hidden="1" outlineLevel="1">
      <c r="A2189" s="979">
        <v>2406010300</v>
      </c>
      <c r="B2189" s="980" t="s">
        <v>151</v>
      </c>
      <c r="C2189" s="1664" t="s">
        <v>106</v>
      </c>
      <c r="D2189" s="1671" t="s">
        <v>128</v>
      </c>
      <c r="E2189" s="1682"/>
      <c r="F2189" s="982"/>
      <c r="G2189" s="1286"/>
      <c r="H2189" s="857"/>
      <c r="I2189" s="1005"/>
      <c r="J2189" s="1419"/>
      <c r="K2189" s="1420"/>
      <c r="L2189" s="1006"/>
      <c r="M2189" s="1327"/>
      <c r="N2189" s="898"/>
      <c r="O2189" s="1007"/>
      <c r="P2189" s="1008"/>
      <c r="Q2189" s="1360"/>
      <c r="R2189" s="899"/>
      <c r="S2189" s="899"/>
      <c r="T2189" s="1009">
        <f t="shared" si="4413"/>
        <v>0</v>
      </c>
      <c r="U2189" s="1010"/>
      <c r="V2189" s="983">
        <v>0</v>
      </c>
      <c r="W2189" s="1032"/>
      <c r="X2189" s="1033"/>
      <c r="Y2189" s="1034"/>
      <c r="Z2189" s="220"/>
      <c r="AA2189" s="15"/>
      <c r="AB2189" s="15"/>
      <c r="AC2189" s="15"/>
      <c r="AD2189" s="15"/>
      <c r="AE2189" s="15"/>
    </row>
    <row r="2190" spans="1:31" s="302" customFormat="1" ht="15.75" hidden="1" outlineLevel="1">
      <c r="A2190" s="979">
        <v>2406010300</v>
      </c>
      <c r="B2190" s="980" t="s">
        <v>152</v>
      </c>
      <c r="C2190" s="1664" t="s">
        <v>106</v>
      </c>
      <c r="D2190" s="1671" t="s">
        <v>128</v>
      </c>
      <c r="E2190" s="1682"/>
      <c r="F2190" s="982"/>
      <c r="G2190" s="1286"/>
      <c r="H2190" s="857"/>
      <c r="I2190" s="1005"/>
      <c r="J2190" s="1419"/>
      <c r="K2190" s="1420"/>
      <c r="L2190" s="1006"/>
      <c r="M2190" s="1327"/>
      <c r="N2190" s="898"/>
      <c r="O2190" s="1007"/>
      <c r="P2190" s="1008"/>
      <c r="Q2190" s="1360"/>
      <c r="R2190" s="899"/>
      <c r="S2190" s="899"/>
      <c r="T2190" s="1009">
        <f t="shared" si="4413"/>
        <v>0</v>
      </c>
      <c r="U2190" s="1010"/>
      <c r="V2190" s="983">
        <v>0</v>
      </c>
      <c r="W2190" s="1032"/>
      <c r="X2190" s="1033"/>
      <c r="Y2190" s="1034"/>
      <c r="Z2190" s="220"/>
      <c r="AA2190" s="15"/>
      <c r="AB2190" s="15"/>
      <c r="AC2190" s="15"/>
      <c r="AD2190" s="15"/>
      <c r="AE2190" s="15"/>
    </row>
    <row r="2191" spans="1:31" ht="15.75" hidden="1" outlineLevel="1">
      <c r="A2191" s="979">
        <v>2406010300</v>
      </c>
      <c r="B2191" s="980" t="s">
        <v>153</v>
      </c>
      <c r="C2191" s="1664" t="s">
        <v>106</v>
      </c>
      <c r="D2191" s="1671" t="s">
        <v>128</v>
      </c>
      <c r="E2191" s="1682"/>
      <c r="F2191" s="982"/>
      <c r="G2191" s="1286"/>
      <c r="H2191" s="857"/>
      <c r="I2191" s="1005"/>
      <c r="J2191" s="1419"/>
      <c r="K2191" s="1420"/>
      <c r="L2191" s="1006"/>
      <c r="M2191" s="1327"/>
      <c r="N2191" s="898"/>
      <c r="O2191" s="1007"/>
      <c r="P2191" s="1008"/>
      <c r="Q2191" s="1360"/>
      <c r="R2191" s="899"/>
      <c r="S2191" s="899"/>
      <c r="T2191" s="1009"/>
      <c r="U2191" s="1010"/>
      <c r="V2191" s="983">
        <v>0</v>
      </c>
      <c r="W2191" s="1032"/>
      <c r="X2191" s="1033"/>
      <c r="Y2191" s="1034"/>
      <c r="Z2191" s="220"/>
    </row>
    <row r="2192" spans="1:31" ht="15.75" collapsed="1" thickBot="1">
      <c r="A2192" s="55"/>
      <c r="B2192" s="509"/>
      <c r="C2192" s="1512"/>
      <c r="D2192" s="1538"/>
      <c r="E2192" s="1674"/>
      <c r="F2192" s="455"/>
      <c r="G2192" s="1280"/>
      <c r="H2192" s="456"/>
      <c r="I2192" s="457">
        <f>+F2192*H2192</f>
        <v>0</v>
      </c>
      <c r="J2192" s="1421"/>
      <c r="K2192" s="1422"/>
      <c r="L2192" s="458"/>
      <c r="M2192" s="1316"/>
      <c r="N2192" s="459"/>
      <c r="O2192" s="460">
        <f>+L2192*N2192</f>
        <v>0</v>
      </c>
      <c r="P2192" s="461"/>
      <c r="Q2192" s="1351"/>
      <c r="R2192" s="462"/>
      <c r="S2192" s="462"/>
      <c r="T2192" s="463">
        <f>+P2192*R2192</f>
        <v>0</v>
      </c>
      <c r="U2192" s="464">
        <f>+L2192+P2192+F2192</f>
        <v>0</v>
      </c>
      <c r="V2192" s="465">
        <f>+I2192+T2192+O2192</f>
        <v>0</v>
      </c>
      <c r="W2192" s="852"/>
      <c r="X2192" s="853"/>
      <c r="Y2192" s="854"/>
    </row>
    <row r="2193" spans="1:38" s="252" customFormat="1" ht="19.5" thickBot="1">
      <c r="A2193" s="900" t="s">
        <v>157</v>
      </c>
      <c r="B2193" s="901"/>
      <c r="C2193" s="902"/>
      <c r="D2193" s="1688"/>
      <c r="E2193" s="1689"/>
      <c r="F2193" s="904">
        <f>SUM(F2070:F2192)</f>
        <v>1772294.8599999999</v>
      </c>
      <c r="G2193" s="1292"/>
      <c r="H2193" s="905"/>
      <c r="I2193" s="906">
        <f>SUM(I2070:I2192)</f>
        <v>6801602380.1426716</v>
      </c>
      <c r="J2193" s="1373"/>
      <c r="K2193" s="1373"/>
      <c r="L2193" s="907">
        <f>SUM(L2070:L2192)</f>
        <v>319397.00000000012</v>
      </c>
      <c r="M2193" s="1328"/>
      <c r="N2193" s="908"/>
      <c r="O2193" s="909">
        <f ca="1">SUM(O2070:O2192)</f>
        <v>1493065941.4336021</v>
      </c>
      <c r="P2193" s="910">
        <f>SUM(P2070:P2192)</f>
        <v>-2013689.1199999996</v>
      </c>
      <c r="Q2193" s="910"/>
      <c r="R2193" s="910"/>
      <c r="S2193" s="910"/>
      <c r="T2193" s="912">
        <f ca="1">SUM(T2070:T2192)</f>
        <v>-9971523238.1604748</v>
      </c>
      <c r="U2193" s="913">
        <f>SUM(U2070:U2192)</f>
        <v>78002.739999999976</v>
      </c>
      <c r="V2193" s="914">
        <f ca="1">SUM(V2070:V2192)</f>
        <v>-1374704223.7592835</v>
      </c>
      <c r="W2193" s="915">
        <f ca="1">SUM(W2070:W2192)</f>
        <v>319530582.72599787</v>
      </c>
      <c r="X2193" s="916">
        <f ca="1">SUM(X2070:X2192)</f>
        <v>-17379889.901084952</v>
      </c>
      <c r="Y2193" s="917"/>
      <c r="Z2193" s="1073"/>
      <c r="AA2193" s="364"/>
      <c r="AB2193" s="376"/>
      <c r="AC2193" s="376"/>
      <c r="AD2193" s="376"/>
      <c r="AE2193" s="376"/>
    </row>
    <row r="2194" spans="1:38" ht="15.75" thickBot="1">
      <c r="V2194" s="410"/>
      <c r="W2194" s="9"/>
      <c r="X2194" s="9"/>
      <c r="Y2194" s="345"/>
    </row>
    <row r="2195" spans="1:38" s="370" customFormat="1" ht="19.5" thickBot="1">
      <c r="A2195" s="603"/>
      <c r="B2195" s="604" t="s">
        <v>158</v>
      </c>
      <c r="C2195" s="605"/>
      <c r="D2195" s="605"/>
      <c r="E2195" s="606"/>
      <c r="F2195" s="607"/>
      <c r="G2195" s="607"/>
      <c r="H2195" s="608"/>
      <c r="I2195" s="609"/>
      <c r="J2195" s="609"/>
      <c r="K2195" s="609"/>
      <c r="L2195" s="920"/>
      <c r="M2195" s="920"/>
      <c r="N2195" s="608"/>
      <c r="O2195" s="609"/>
      <c r="P2195" s="607"/>
      <c r="Q2195" s="607"/>
      <c r="R2195" s="608"/>
      <c r="S2195" s="608"/>
      <c r="T2195" s="609"/>
      <c r="U2195" s="607"/>
      <c r="V2195" s="609">
        <f ca="1">+V2193+V2065</f>
        <v>14919497926.418716</v>
      </c>
      <c r="W2195" s="609">
        <f ca="1">+W2193+W2065</f>
        <v>361372795.00279778</v>
      </c>
      <c r="X2195" s="609">
        <f ca="1">+X2193+X2065</f>
        <v>-42024520.370384961</v>
      </c>
      <c r="Y2195" s="921"/>
      <c r="Z2195" s="1075"/>
      <c r="AA2195" s="15"/>
      <c r="AB2195" s="15"/>
      <c r="AC2195" s="15"/>
      <c r="AD2195" s="15"/>
      <c r="AE2195" s="15"/>
    </row>
    <row r="2196" spans="1:38">
      <c r="F2196" s="444"/>
      <c r="G2196" s="444"/>
      <c r="H2196" s="442"/>
      <c r="I2196" s="443"/>
      <c r="L2196" s="441"/>
      <c r="M2196" s="441"/>
      <c r="N2196" s="442"/>
      <c r="O2196" s="443"/>
      <c r="P2196" s="444"/>
      <c r="Q2196" s="444"/>
      <c r="R2196" s="442"/>
      <c r="S2196" s="442"/>
      <c r="T2196" s="443"/>
      <c r="U2196" s="150"/>
      <c r="V2196" s="152"/>
      <c r="W2196" s="443"/>
      <c r="X2196" s="152"/>
      <c r="Y2196" s="345"/>
    </row>
    <row r="2197" spans="1:38" ht="15.75" thickBot="1"/>
    <row r="2198" spans="1:38" s="27" customFormat="1" ht="21">
      <c r="A2198" s="827" t="s">
        <v>159</v>
      </c>
      <c r="B2198" s="828"/>
      <c r="C2198" s="2581" t="s">
        <v>57</v>
      </c>
      <c r="D2198" s="2585" t="s">
        <v>59</v>
      </c>
      <c r="E2198" s="2583" t="s">
        <v>58</v>
      </c>
      <c r="F2198" s="2564" t="str">
        <f>+F6</f>
        <v>SALDO FISCAL 31/12/2022</v>
      </c>
      <c r="G2198" s="2565"/>
      <c r="H2198" s="2565"/>
      <c r="I2198" s="2566"/>
      <c r="J2198" s="2580" t="str">
        <f>J6</f>
        <v>Tasa Mon Extranj</v>
      </c>
      <c r="K2198" s="2568"/>
      <c r="L2198" s="2569" t="str">
        <f>+L6</f>
        <v>ENTRADAS</v>
      </c>
      <c r="M2198" s="2570"/>
      <c r="N2198" s="2570"/>
      <c r="O2198" s="2571"/>
      <c r="P2198" s="2572" t="str">
        <f>+P6</f>
        <v>SALIDAS</v>
      </c>
      <c r="Q2198" s="2573"/>
      <c r="R2198" s="2573"/>
      <c r="S2198" s="2573"/>
      <c r="T2198" s="2574"/>
      <c r="U2198" s="2575" t="s">
        <v>62</v>
      </c>
      <c r="V2198" s="2576"/>
      <c r="W2198" s="2577" t="s">
        <v>63</v>
      </c>
      <c r="X2198" s="2578"/>
      <c r="Y2198" s="2579"/>
      <c r="Z2198" s="44"/>
      <c r="AA2198" s="364"/>
      <c r="AB2198" s="364"/>
      <c r="AC2198" s="364"/>
      <c r="AD2198" s="364"/>
      <c r="AE2198" s="364"/>
    </row>
    <row r="2199" spans="1:38" s="216" customFormat="1" ht="15.75" thickBot="1">
      <c r="A2199" s="253" t="s">
        <v>87</v>
      </c>
      <c r="B2199" s="254" t="s">
        <v>88</v>
      </c>
      <c r="C2199" s="2582"/>
      <c r="D2199" s="2586"/>
      <c r="E2199" s="2584"/>
      <c r="F2199" s="30" t="str">
        <f>F7</f>
        <v>MON/EX</v>
      </c>
      <c r="G2199" s="1249" t="str">
        <f>G7</f>
        <v>USD</v>
      </c>
      <c r="H2199" s="31" t="str">
        <f>H7</f>
        <v>TRM CIERRE</v>
      </c>
      <c r="I2199" s="32" t="str">
        <f>I7</f>
        <v>SALDO PESOS</v>
      </c>
      <c r="J2199" s="1423" t="str">
        <f>J7</f>
        <v>Inicial</v>
      </c>
      <c r="K2199" s="1338" t="str">
        <f t="shared" ref="K2199:X2199" si="4416">K7</f>
        <v>Pago</v>
      </c>
      <c r="L2199" s="33" t="str">
        <f t="shared" si="4416"/>
        <v>ENTRADAS MON/EX</v>
      </c>
      <c r="M2199" s="1297" t="str">
        <f t="shared" si="4416"/>
        <v>USD</v>
      </c>
      <c r="N2199" s="34" t="str">
        <f t="shared" si="4416"/>
        <v>TRM INICIAL</v>
      </c>
      <c r="O2199" s="35" t="str">
        <f t="shared" si="4416"/>
        <v>ENTRADAS PESOS</v>
      </c>
      <c r="P2199" s="36" t="str">
        <f t="shared" si="4416"/>
        <v>PAGOS MON/EX</v>
      </c>
      <c r="Q2199" s="1338" t="str">
        <f t="shared" si="4416"/>
        <v>USD</v>
      </c>
      <c r="R2199" s="37" t="str">
        <f t="shared" si="4416"/>
        <v>TRM INICIAL</v>
      </c>
      <c r="S2199" s="37" t="str">
        <f t="shared" si="4416"/>
        <v>TRM PAGO</v>
      </c>
      <c r="T2199" s="38" t="str">
        <f t="shared" si="4416"/>
        <v>PAGO EN PESOS</v>
      </c>
      <c r="U2199" s="39" t="str">
        <f t="shared" si="4416"/>
        <v xml:space="preserve"> SALDO MON/EX</v>
      </c>
      <c r="V2199" s="40" t="str">
        <f t="shared" si="4416"/>
        <v>SALDO  PESOS</v>
      </c>
      <c r="W2199" s="41" t="str">
        <f t="shared" si="4416"/>
        <v>GASTO</v>
      </c>
      <c r="X2199" s="42" t="str">
        <f t="shared" si="4416"/>
        <v>INGRESO</v>
      </c>
      <c r="Y2199" s="43"/>
      <c r="Z2199" s="214"/>
      <c r="AA2199" s="366"/>
      <c r="AB2199" s="366"/>
      <c r="AC2199" s="366"/>
      <c r="AD2199" s="366"/>
      <c r="AE2199" s="366"/>
    </row>
    <row r="2200" spans="1:38" s="324" customFormat="1" ht="15.75">
      <c r="A2200" s="961">
        <v>2425080000</v>
      </c>
      <c r="B2200" s="962"/>
      <c r="C2200" s="1465" t="s">
        <v>64</v>
      </c>
      <c r="D2200" s="1467"/>
      <c r="E2200" s="1468"/>
      <c r="F2200" s="964"/>
      <c r="G2200" s="1250">
        <f t="shared" ref="G2200" si="4417">ROUND(F2200*J2200,2)</f>
        <v>0</v>
      </c>
      <c r="H2200" s="47"/>
      <c r="I2200" s="965">
        <f t="shared" ref="I2200" si="4418">+F2200*J2200*H2200</f>
        <v>0</v>
      </c>
      <c r="J2200" s="1407"/>
      <c r="K2200" s="1407"/>
      <c r="L2200" s="218"/>
      <c r="M2200" s="1309">
        <f t="shared" ref="M2200" si="4419">+L2200*J2200</f>
        <v>0</v>
      </c>
      <c r="N2200" s="47"/>
      <c r="O2200" s="965">
        <f t="shared" ref="O2200" si="4420">+L2200*J2200*N2200</f>
        <v>0</v>
      </c>
      <c r="P2200" s="964"/>
      <c r="Q2200" s="1250">
        <f t="shared" ref="Q2200" si="4421">+P2200*K2200</f>
        <v>0</v>
      </c>
      <c r="R2200" s="47"/>
      <c r="S2200" s="47"/>
      <c r="T2200" s="965">
        <f t="shared" ref="T2200" si="4422">+P2200*K2200*S2200</f>
        <v>0</v>
      </c>
      <c r="U2200" s="964">
        <f t="shared" ref="U2200" si="4423">+L2200+P2200+F2200</f>
        <v>0</v>
      </c>
      <c r="V2200" s="965">
        <f t="shared" ref="V2200" si="4424">+P2200*J2200*R2200+L2200*J2200*N2200+F2200*J2200*H2200</f>
        <v>0</v>
      </c>
      <c r="W2200" s="968">
        <f t="shared" ref="W2200:W2211" si="4425">-(IF(-P2200*J2200*R2200&lt;-P2200*K2200*S2200,(-P2200*J2200*R2200)-(-P2200*K2200*S2200),0))</f>
        <v>0</v>
      </c>
      <c r="X2200" s="966">
        <f t="shared" ref="X2200:X2211" si="4426">-(IF(-P2200*J2200*R2200&gt;-P2200*K2200*S2200,(-P2200*J2200*R2200)-(-P2200*K2200*S2200),0))</f>
        <v>0</v>
      </c>
      <c r="Y2200" s="967"/>
      <c r="Z2200" s="1070"/>
      <c r="AA2200" s="371"/>
      <c r="AB2200" s="371"/>
      <c r="AC2200" s="371"/>
      <c r="AD2200" s="371"/>
      <c r="AE2200" s="371"/>
      <c r="AL2200" s="1185"/>
    </row>
    <row r="2201" spans="1:38" s="401" customFormat="1" outlineLevel="1">
      <c r="A2201" s="984">
        <v>2425080000</v>
      </c>
      <c r="B2201" s="985"/>
      <c r="C2201" s="1662"/>
      <c r="D2201" s="1667"/>
      <c r="E2201" s="1668"/>
      <c r="F2201" s="988"/>
      <c r="G2201" s="1287"/>
      <c r="H2201" s="335"/>
      <c r="I2201" s="989"/>
      <c r="J2201" s="991">
        <v>1</v>
      </c>
      <c r="K2201" s="1460">
        <v>1</v>
      </c>
      <c r="L2201" s="336"/>
      <c r="M2201" s="1322">
        <f t="shared" ref="M2201:M2210" si="4427">+L2201*J2201</f>
        <v>0</v>
      </c>
      <c r="N2201" s="337"/>
      <c r="O2201" s="990">
        <f t="shared" ref="O2201:O2210" si="4428">+L2201*J2201*N2201</f>
        <v>0</v>
      </c>
      <c r="P2201" s="991"/>
      <c r="Q2201" s="1330">
        <f t="shared" ref="Q2201:Q2210" si="4429">+P2201*K2201</f>
        <v>0</v>
      </c>
      <c r="R2201" s="337"/>
      <c r="S2201" s="337"/>
      <c r="T2201" s="990">
        <f t="shared" ref="T2201:T2210" si="4430">+P2201*K2201*S2201</f>
        <v>0</v>
      </c>
      <c r="U2201" s="992">
        <f t="shared" ref="U2201:U2210" si="4431">+L2201+P2201+F2201</f>
        <v>0</v>
      </c>
      <c r="V2201" s="990">
        <f t="shared" ref="V2201:V2210" si="4432">+P2201*J2201*R2201+L2201*J2201*N2201+F2201*J2201*H2201</f>
        <v>0</v>
      </c>
      <c r="W2201" s="993">
        <f t="shared" si="4425"/>
        <v>0</v>
      </c>
      <c r="X2201" s="994">
        <f t="shared" si="4426"/>
        <v>0</v>
      </c>
      <c r="Y2201" s="995"/>
      <c r="Z2201" s="220"/>
      <c r="AA2201" s="15"/>
      <c r="AB2201" s="15"/>
      <c r="AC2201" s="15"/>
      <c r="AD2201" s="15"/>
      <c r="AE2201" s="15"/>
    </row>
    <row r="2202" spans="1:38" s="401" customFormat="1" outlineLevel="1">
      <c r="A2202" s="1011"/>
      <c r="B2202" s="1012"/>
      <c r="C2202" s="1661"/>
      <c r="D2202" s="1665"/>
      <c r="E2202" s="1666"/>
      <c r="F2202" s="1015"/>
      <c r="G2202" s="1293"/>
      <c r="H2202" s="346"/>
      <c r="I2202" s="1016"/>
      <c r="J2202" s="1402"/>
      <c r="K2202" s="1402"/>
      <c r="L2202" s="347"/>
      <c r="M2202" s="1329">
        <f t="shared" si="4427"/>
        <v>0</v>
      </c>
      <c r="N2202" s="348"/>
      <c r="O2202" s="996">
        <f t="shared" si="4428"/>
        <v>0</v>
      </c>
      <c r="P2202" s="1017"/>
      <c r="Q2202" s="1362">
        <f t="shared" si="4429"/>
        <v>0</v>
      </c>
      <c r="R2202" s="349"/>
      <c r="S2202" s="349"/>
      <c r="T2202" s="1031">
        <f t="shared" si="4430"/>
        <v>0</v>
      </c>
      <c r="U2202" s="977">
        <f t="shared" si="4431"/>
        <v>0</v>
      </c>
      <c r="V2202" s="978">
        <f t="shared" si="4432"/>
        <v>0</v>
      </c>
      <c r="W2202" s="428">
        <f t="shared" si="4425"/>
        <v>0</v>
      </c>
      <c r="X2202" s="429">
        <f t="shared" si="4426"/>
        <v>0</v>
      </c>
      <c r="Y2202" s="1018"/>
      <c r="Z2202" s="220"/>
      <c r="AA2202" s="15"/>
      <c r="AB2202" s="15"/>
      <c r="AC2202" s="15"/>
      <c r="AD2202" s="15"/>
      <c r="AE2202" s="15"/>
    </row>
    <row r="2203" spans="1:38" s="401" customFormat="1" outlineLevel="1">
      <c r="A2203" s="1019">
        <v>2425080000</v>
      </c>
      <c r="B2203" s="1020"/>
      <c r="C2203" s="1677" t="s">
        <v>64</v>
      </c>
      <c r="D2203" s="1680"/>
      <c r="E2203" s="1681"/>
      <c r="F2203" s="1023"/>
      <c r="G2203" s="1290"/>
      <c r="H2203" s="352"/>
      <c r="I2203" s="1024"/>
      <c r="J2203" s="1027">
        <v>1</v>
      </c>
      <c r="K2203" s="1459">
        <v>1</v>
      </c>
      <c r="L2203" s="1026"/>
      <c r="M2203" s="1324">
        <f t="shared" si="4427"/>
        <v>0</v>
      </c>
      <c r="N2203" s="353"/>
      <c r="O2203" s="1025">
        <f t="shared" si="4428"/>
        <v>0</v>
      </c>
      <c r="P2203" s="1026"/>
      <c r="Q2203" s="1324">
        <f t="shared" si="4429"/>
        <v>0</v>
      </c>
      <c r="R2203" s="353"/>
      <c r="S2203" s="353"/>
      <c r="T2203" s="1025">
        <f t="shared" si="4430"/>
        <v>0</v>
      </c>
      <c r="U2203" s="1027">
        <f t="shared" si="4431"/>
        <v>0</v>
      </c>
      <c r="V2203" s="1025">
        <f t="shared" si="4432"/>
        <v>0</v>
      </c>
      <c r="W2203" s="1028">
        <f t="shared" si="4425"/>
        <v>0</v>
      </c>
      <c r="X2203" s="1029">
        <f t="shared" si="4426"/>
        <v>0</v>
      </c>
      <c r="Y2203" s="1030"/>
      <c r="Z2203" s="220"/>
      <c r="AA2203" s="15"/>
      <c r="AB2203" s="15"/>
      <c r="AC2203" s="15"/>
      <c r="AD2203" s="15"/>
      <c r="AE2203" s="15"/>
    </row>
    <row r="2204" spans="1:38" s="401" customFormat="1" outlineLevel="1">
      <c r="A2204" s="1011">
        <v>2425080000</v>
      </c>
      <c r="B2204" s="1012"/>
      <c r="C2204" s="1661" t="s">
        <v>64</v>
      </c>
      <c r="D2204" s="1665"/>
      <c r="E2204" s="1666"/>
      <c r="F2204" s="1015"/>
      <c r="G2204" s="1293"/>
      <c r="H2204" s="346"/>
      <c r="I2204" s="1016"/>
      <c r="J2204" s="1457">
        <v>1</v>
      </c>
      <c r="K2204" s="1458">
        <v>1</v>
      </c>
      <c r="L2204" s="347"/>
      <c r="M2204" s="1329">
        <f t="shared" ref="M2204" si="4433">+L2204*J2204</f>
        <v>0</v>
      </c>
      <c r="N2204" s="348"/>
      <c r="O2204" s="996">
        <f t="shared" ref="O2204" si="4434">+L2204*J2204*N2204</f>
        <v>0</v>
      </c>
      <c r="P2204" s="1017"/>
      <c r="Q2204" s="1362">
        <f t="shared" ref="Q2204" si="4435">+P2204*K2204</f>
        <v>0</v>
      </c>
      <c r="R2204" s="349">
        <f>+N2203</f>
        <v>0</v>
      </c>
      <c r="S2204" s="349"/>
      <c r="T2204" s="1031">
        <f t="shared" ref="T2204" si="4436">+P2204*K2204*S2204</f>
        <v>0</v>
      </c>
      <c r="U2204" s="977">
        <f t="shared" ref="U2204" si="4437">+L2204+P2204+F2204</f>
        <v>0</v>
      </c>
      <c r="V2204" s="978">
        <f t="shared" ref="V2204" si="4438">+P2204*J2204*R2204+L2204*J2204*N2204+F2204*J2204*H2204</f>
        <v>0</v>
      </c>
      <c r="W2204" s="428">
        <f t="shared" ref="W2204" si="4439">-(IF(-P2204*J2204*R2204&lt;-P2204*K2204*S2204,(-P2204*J2204*R2204)-(-P2204*K2204*S2204),0))</f>
        <v>0</v>
      </c>
      <c r="X2204" s="429">
        <f t="shared" ref="X2204" si="4440">-(IF(-P2204*J2204*R2204&gt;-P2204*K2204*S2204,(-P2204*J2204*R2204)-(-P2204*K2204*S2204),0))</f>
        <v>0</v>
      </c>
      <c r="Y2204" s="1018"/>
      <c r="Z2204" s="220"/>
      <c r="AA2204" s="15"/>
      <c r="AB2204" s="15"/>
      <c r="AC2204" s="15"/>
      <c r="AD2204" s="15"/>
      <c r="AE2204" s="15"/>
    </row>
    <row r="2205" spans="1:38" s="401" customFormat="1">
      <c r="A2205" s="1011"/>
      <c r="B2205" s="1012"/>
      <c r="C2205" s="1661"/>
      <c r="D2205" s="1665"/>
      <c r="E2205" s="1666"/>
      <c r="F2205" s="1015"/>
      <c r="G2205" s="1293"/>
      <c r="H2205" s="346"/>
      <c r="I2205" s="1016"/>
      <c r="J2205" s="1402"/>
      <c r="K2205" s="1402"/>
      <c r="L2205" s="347"/>
      <c r="M2205" s="1329">
        <f t="shared" si="4427"/>
        <v>0</v>
      </c>
      <c r="N2205" s="348"/>
      <c r="O2205" s="996">
        <f t="shared" si="4428"/>
        <v>0</v>
      </c>
      <c r="P2205" s="1017"/>
      <c r="Q2205" s="1362">
        <f t="shared" si="4429"/>
        <v>0</v>
      </c>
      <c r="R2205" s="349"/>
      <c r="S2205" s="349"/>
      <c r="T2205" s="1031">
        <f t="shared" si="4430"/>
        <v>0</v>
      </c>
      <c r="U2205" s="977">
        <f t="shared" si="4431"/>
        <v>0</v>
      </c>
      <c r="V2205" s="978">
        <f t="shared" si="4432"/>
        <v>0</v>
      </c>
      <c r="W2205" s="428">
        <f t="shared" si="4425"/>
        <v>0</v>
      </c>
      <c r="X2205" s="429">
        <f t="shared" si="4426"/>
        <v>0</v>
      </c>
      <c r="Y2205" s="1018"/>
      <c r="Z2205" s="220"/>
      <c r="AA2205" s="15"/>
      <c r="AB2205" s="15"/>
      <c r="AC2205" s="15"/>
      <c r="AD2205" s="15"/>
      <c r="AE2205" s="15"/>
    </row>
    <row r="2206" spans="1:38" s="401" customFormat="1" outlineLevel="1">
      <c r="A2206" s="1011">
        <v>2425080000</v>
      </c>
      <c r="B2206" s="1012" t="s">
        <v>2368</v>
      </c>
      <c r="C2206" s="1661" t="s">
        <v>64</v>
      </c>
      <c r="D2206" s="1665">
        <v>100014036</v>
      </c>
      <c r="E2206" s="1666">
        <v>45002</v>
      </c>
      <c r="F2206" s="1015"/>
      <c r="G2206" s="1293"/>
      <c r="H2206" s="346"/>
      <c r="I2206" s="1016"/>
      <c r="J2206" s="1457">
        <v>1</v>
      </c>
      <c r="K2206" s="1458">
        <v>1</v>
      </c>
      <c r="L2206" s="347">
        <v>1144</v>
      </c>
      <c r="M2206" s="1329">
        <f t="shared" si="4427"/>
        <v>1144</v>
      </c>
      <c r="N2206" s="348">
        <f ca="1">IF(OR(E2206="",E2206&gt;TODAY()),0,IF(ISERROR(VLOOKUP($E2206,'TRM BanRep'!$A:$G,7,0)),0,VLOOKUP($E2206,'TRM BanRep'!$A:$G,7,0)))</f>
        <v>4866.5</v>
      </c>
      <c r="O2206" s="996">
        <f t="shared" ca="1" si="4428"/>
        <v>5567276</v>
      </c>
      <c r="P2206" s="1017"/>
      <c r="Q2206" s="1362">
        <f t="shared" si="4429"/>
        <v>0</v>
      </c>
      <c r="R2206" s="349"/>
      <c r="S2206" s="349">
        <f ca="1">IF(OR(E2206="",E2206&gt;TODAY()),0,IF(ISERROR(VLOOKUP($E2206,'TRM BanRep'!$A:$G,7,0)),0,VLOOKUP($E2206,'TRM BanRep'!$A:$G,7,0)))</f>
        <v>4866.5</v>
      </c>
      <c r="T2206" s="1031">
        <f t="shared" ca="1" si="4430"/>
        <v>0</v>
      </c>
      <c r="U2206" s="977">
        <f t="shared" si="4431"/>
        <v>1144</v>
      </c>
      <c r="V2206" s="978">
        <f t="shared" ca="1" si="4432"/>
        <v>5567276</v>
      </c>
      <c r="W2206" s="428">
        <f t="shared" ca="1" si="4425"/>
        <v>0</v>
      </c>
      <c r="X2206" s="429">
        <f t="shared" ca="1" si="4426"/>
        <v>0</v>
      </c>
      <c r="Y2206" s="1018"/>
      <c r="Z2206" s="220"/>
      <c r="AA2206" s="15"/>
      <c r="AB2206" s="15"/>
      <c r="AC2206" s="15"/>
      <c r="AD2206" s="15"/>
      <c r="AE2206" s="15"/>
    </row>
    <row r="2207" spans="1:38" s="401" customFormat="1" outlineLevel="1">
      <c r="A2207" s="1011">
        <v>2425080000</v>
      </c>
      <c r="B2207" s="1012" t="s">
        <v>1366</v>
      </c>
      <c r="C2207" s="1661" t="s">
        <v>64</v>
      </c>
      <c r="D2207" s="1665">
        <v>1500004176</v>
      </c>
      <c r="E2207" s="1666">
        <v>45006</v>
      </c>
      <c r="F2207" s="1015"/>
      <c r="G2207" s="1293"/>
      <c r="H2207" s="346"/>
      <c r="I2207" s="1016"/>
      <c r="J2207" s="1457">
        <v>1</v>
      </c>
      <c r="K2207" s="1458">
        <v>1</v>
      </c>
      <c r="L2207" s="347"/>
      <c r="M2207" s="1329">
        <f t="shared" si="4427"/>
        <v>0</v>
      </c>
      <c r="N2207" s="348">
        <f ca="1">IF(OR(E2207="",E2207&gt;TODAY()),0,IF(ISERROR(VLOOKUP($E2207,'TRM BanRep'!$A:$G,7,0)),0,VLOOKUP($E2207,'TRM BanRep'!$A:$G,7,0)))</f>
        <v>4824.25</v>
      </c>
      <c r="O2207" s="996">
        <f t="shared" ca="1" si="4428"/>
        <v>0</v>
      </c>
      <c r="P2207" s="1017">
        <f>-L2206</f>
        <v>-1144</v>
      </c>
      <c r="Q2207" s="1362">
        <f t="shared" si="4429"/>
        <v>-1144</v>
      </c>
      <c r="R2207" s="349">
        <f ca="1">+N2206</f>
        <v>4866.5</v>
      </c>
      <c r="S2207" s="349">
        <f ca="1">IF(OR(E2207="",E2207&gt;TODAY()),0,IF(ISERROR(VLOOKUP($E2207,'TRM BanRep'!$A:$G,7,0)),0,VLOOKUP($E2207,'TRM BanRep'!$A:$G,7,0)))</f>
        <v>4824.25</v>
      </c>
      <c r="T2207" s="1031">
        <f t="shared" ca="1" si="4430"/>
        <v>-5518942</v>
      </c>
      <c r="U2207" s="977">
        <f t="shared" si="4431"/>
        <v>-1144</v>
      </c>
      <c r="V2207" s="978">
        <f t="shared" ca="1" si="4432"/>
        <v>-5567276</v>
      </c>
      <c r="W2207" s="428">
        <f t="shared" ca="1" si="4425"/>
        <v>0</v>
      </c>
      <c r="X2207" s="429">
        <f t="shared" ca="1" si="4426"/>
        <v>-48334</v>
      </c>
      <c r="Y2207" s="1018"/>
      <c r="Z2207" s="220"/>
      <c r="AA2207" s="15"/>
      <c r="AB2207" s="15"/>
      <c r="AC2207" s="15"/>
      <c r="AD2207" s="15"/>
      <c r="AE2207" s="15"/>
    </row>
    <row r="2208" spans="1:38" s="401" customFormat="1" outlineLevel="1">
      <c r="A2208" s="1011">
        <v>2425080000</v>
      </c>
      <c r="B2208" s="1012" t="s">
        <v>2546</v>
      </c>
      <c r="C2208" s="1661" t="s">
        <v>64</v>
      </c>
      <c r="D2208" s="1665">
        <v>100021809</v>
      </c>
      <c r="E2208" s="1666">
        <v>45034</v>
      </c>
      <c r="F2208" s="1015"/>
      <c r="G2208" s="1293"/>
      <c r="H2208" s="346"/>
      <c r="I2208" s="1016"/>
      <c r="J2208" s="1457">
        <v>1</v>
      </c>
      <c r="K2208" s="1458">
        <v>1</v>
      </c>
      <c r="L2208" s="347">
        <v>869</v>
      </c>
      <c r="M2208" s="1329">
        <f t="shared" ref="M2208:M2209" si="4441">+L2208*J2208</f>
        <v>869</v>
      </c>
      <c r="N2208" s="348">
        <f ca="1">IF(OR(E2208="",E2208&gt;TODAY()),0,IF(ISERROR(VLOOKUP($E2208,'TRM BanRep'!$A:$G,7,0)),0,VLOOKUP($E2208,'TRM BanRep'!$A:$G,7,0)))</f>
        <v>4431.45</v>
      </c>
      <c r="O2208" s="996">
        <f t="shared" ref="O2208:O2209" ca="1" si="4442">+L2208*J2208*N2208</f>
        <v>3850930.05</v>
      </c>
      <c r="P2208" s="1017"/>
      <c r="Q2208" s="1362">
        <f t="shared" ref="Q2208:Q2209" si="4443">+P2208*K2208</f>
        <v>0</v>
      </c>
      <c r="R2208" s="349"/>
      <c r="S2208" s="349">
        <f ca="1">IF(OR(E2208="",E2208&gt;TODAY()),0,IF(ISERROR(VLOOKUP($E2208,'TRM BanRep'!$A:$G,7,0)),0,VLOOKUP($E2208,'TRM BanRep'!$A:$G,7,0)))</f>
        <v>4431.45</v>
      </c>
      <c r="T2208" s="1031">
        <f t="shared" ref="T2208:T2209" ca="1" si="4444">+P2208*K2208*S2208</f>
        <v>0</v>
      </c>
      <c r="U2208" s="977">
        <f t="shared" ref="U2208:U2209" si="4445">+L2208+P2208+F2208</f>
        <v>869</v>
      </c>
      <c r="V2208" s="978">
        <f t="shared" ref="V2208:V2209" ca="1" si="4446">+P2208*J2208*R2208+L2208*J2208*N2208+F2208*J2208*H2208</f>
        <v>3850930.05</v>
      </c>
      <c r="W2208" s="428">
        <f t="shared" ref="W2208:W2209" ca="1" si="4447">-(IF(-P2208*J2208*R2208&lt;-P2208*K2208*S2208,(-P2208*J2208*R2208)-(-P2208*K2208*S2208),0))</f>
        <v>0</v>
      </c>
      <c r="X2208" s="429">
        <f t="shared" ref="X2208:X2209" ca="1" si="4448">-(IF(-P2208*J2208*R2208&gt;-P2208*K2208*S2208,(-P2208*J2208*R2208)-(-P2208*K2208*S2208),0))</f>
        <v>0</v>
      </c>
      <c r="Y2208" s="1018"/>
      <c r="Z2208" s="220"/>
      <c r="AA2208" s="15"/>
      <c r="AB2208" s="15"/>
      <c r="AC2208" s="15"/>
      <c r="AD2208" s="15"/>
      <c r="AE2208" s="15"/>
    </row>
    <row r="2209" spans="1:31" s="401" customFormat="1" outlineLevel="1">
      <c r="A2209" s="1011">
        <v>2425080000</v>
      </c>
      <c r="B2209" s="1012" t="s">
        <v>2566</v>
      </c>
      <c r="C2209" s="1661" t="s">
        <v>64</v>
      </c>
      <c r="D2209" s="1665">
        <v>1500005773</v>
      </c>
      <c r="E2209" s="1666">
        <v>45036</v>
      </c>
      <c r="F2209" s="1015"/>
      <c r="G2209" s="1293"/>
      <c r="H2209" s="346"/>
      <c r="I2209" s="1016"/>
      <c r="J2209" s="1457">
        <v>1</v>
      </c>
      <c r="K2209" s="1458">
        <v>1</v>
      </c>
      <c r="L2209" s="347"/>
      <c r="M2209" s="1329">
        <f t="shared" si="4441"/>
        <v>0</v>
      </c>
      <c r="N2209" s="348">
        <f ca="1">IF(OR(E2209="",E2209&gt;TODAY()),0,IF(ISERROR(VLOOKUP($E2209,'TRM BanRep'!$A:$G,7,0)),0,VLOOKUP($E2209,'TRM BanRep'!$A:$G,7,0)))</f>
        <v>4532.43</v>
      </c>
      <c r="O2209" s="996">
        <f t="shared" ca="1" si="4442"/>
        <v>0</v>
      </c>
      <c r="P2209" s="1017">
        <f>-L2208</f>
        <v>-869</v>
      </c>
      <c r="Q2209" s="1362">
        <f t="shared" si="4443"/>
        <v>-869</v>
      </c>
      <c r="R2209" s="349">
        <f ca="1">+N2208</f>
        <v>4431.45</v>
      </c>
      <c r="S2209" s="349">
        <f ca="1">IF(OR(E2209="",E2209&gt;TODAY()),0,IF(ISERROR(VLOOKUP($E2209,'TRM BanRep'!$A:$G,7,0)),0,VLOOKUP($E2209,'TRM BanRep'!$A:$G,7,0)))</f>
        <v>4532.43</v>
      </c>
      <c r="T2209" s="1031">
        <f t="shared" ca="1" si="4444"/>
        <v>-3938681.6700000004</v>
      </c>
      <c r="U2209" s="977">
        <f t="shared" si="4445"/>
        <v>-869</v>
      </c>
      <c r="V2209" s="978">
        <f t="shared" ca="1" si="4446"/>
        <v>-3850930.05</v>
      </c>
      <c r="W2209" s="428">
        <f t="shared" ca="1" si="4447"/>
        <v>87751.620000000577</v>
      </c>
      <c r="X2209" s="429">
        <f t="shared" ca="1" si="4448"/>
        <v>0</v>
      </c>
      <c r="Y2209" s="1018"/>
      <c r="Z2209" s="220"/>
      <c r="AA2209" s="15"/>
      <c r="AB2209" s="15"/>
      <c r="AC2209" s="15"/>
      <c r="AD2209" s="15"/>
      <c r="AE2209" s="15"/>
    </row>
    <row r="2210" spans="1:31" s="401" customFormat="1" outlineLevel="1">
      <c r="A2210" s="1011">
        <v>2425080000</v>
      </c>
      <c r="B2210" s="1012"/>
      <c r="C2210" s="1661" t="s">
        <v>64</v>
      </c>
      <c r="D2210" s="1665"/>
      <c r="E2210" s="1666"/>
      <c r="F2210" s="1015"/>
      <c r="G2210" s="1293"/>
      <c r="H2210" s="346"/>
      <c r="I2210" s="1016"/>
      <c r="J2210" s="1457">
        <v>1</v>
      </c>
      <c r="K2210" s="1458">
        <v>1</v>
      </c>
      <c r="L2210" s="347"/>
      <c r="M2210" s="1329">
        <f t="shared" si="4427"/>
        <v>0</v>
      </c>
      <c r="N2210" s="348"/>
      <c r="O2210" s="996">
        <f t="shared" si="4428"/>
        <v>0</v>
      </c>
      <c r="P2210" s="1017"/>
      <c r="Q2210" s="1362">
        <f t="shared" si="4429"/>
        <v>0</v>
      </c>
      <c r="R2210" s="349"/>
      <c r="S2210" s="894"/>
      <c r="T2210" s="1031">
        <f t="shared" si="4430"/>
        <v>0</v>
      </c>
      <c r="U2210" s="977">
        <f t="shared" si="4431"/>
        <v>0</v>
      </c>
      <c r="V2210" s="978">
        <f t="shared" si="4432"/>
        <v>0</v>
      </c>
      <c r="W2210" s="428">
        <f t="shared" si="4425"/>
        <v>0</v>
      </c>
      <c r="X2210" s="429">
        <f t="shared" si="4426"/>
        <v>0</v>
      </c>
      <c r="Y2210" s="1018"/>
      <c r="Z2210" s="220"/>
      <c r="AA2210" s="15"/>
      <c r="AB2210" s="15"/>
      <c r="AC2210" s="15"/>
      <c r="AD2210" s="15"/>
      <c r="AE2210" s="15"/>
    </row>
    <row r="2211" spans="1:31" s="401" customFormat="1">
      <c r="A2211" s="1011"/>
      <c r="B2211" s="1012"/>
      <c r="C2211" s="1661"/>
      <c r="D2211" s="1665"/>
      <c r="E2211" s="1666"/>
      <c r="F2211" s="1015"/>
      <c r="G2211" s="1293"/>
      <c r="H2211" s="346"/>
      <c r="I2211" s="1016"/>
      <c r="J2211" s="1402"/>
      <c r="K2211" s="1402"/>
      <c r="L2211" s="347"/>
      <c r="M2211" s="1329"/>
      <c r="N2211" s="348"/>
      <c r="O2211" s="996">
        <f>+L2211*N2211</f>
        <v>0</v>
      </c>
      <c r="P2211" s="1017"/>
      <c r="Q2211" s="1362"/>
      <c r="R2211" s="349"/>
      <c r="S2211" s="349"/>
      <c r="T2211" s="1031"/>
      <c r="U2211" s="977"/>
      <c r="V2211" s="978"/>
      <c r="W2211" s="428">
        <f t="shared" si="4425"/>
        <v>0</v>
      </c>
      <c r="X2211" s="429">
        <f t="shared" si="4426"/>
        <v>0</v>
      </c>
      <c r="Y2211" s="1018"/>
      <c r="Z2211" s="220"/>
      <c r="AA2211" s="15"/>
      <c r="AB2211" s="15"/>
      <c r="AC2211" s="15"/>
      <c r="AD2211" s="15"/>
      <c r="AE2211" s="15"/>
    </row>
    <row r="2212" spans="1:31" s="344" customFormat="1" ht="15.75">
      <c r="A2212" s="997">
        <v>2425080000</v>
      </c>
      <c r="B2212" s="998" t="s">
        <v>77</v>
      </c>
      <c r="C2212" s="1663" t="s">
        <v>106</v>
      </c>
      <c r="D2212" s="1669" t="s">
        <v>128</v>
      </c>
      <c r="E2212" s="1670"/>
      <c r="F2212" s="1001"/>
      <c r="G2212" s="1291"/>
      <c r="H2212" s="343"/>
      <c r="I2212" s="1002">
        <v>15132700</v>
      </c>
      <c r="J2212" s="1372"/>
      <c r="K2212" s="1372"/>
      <c r="L2212" s="1003"/>
      <c r="M2212" s="1326"/>
      <c r="N2212" s="343"/>
      <c r="O2212" s="1002">
        <f>+L2212*N2212</f>
        <v>0</v>
      </c>
      <c r="P2212" s="1001"/>
      <c r="Q2212" s="1291"/>
      <c r="R2212" s="343"/>
      <c r="S2212" s="343"/>
      <c r="T2212" s="1002">
        <f>+P2212*R2212</f>
        <v>0</v>
      </c>
      <c r="U2212" s="1001">
        <f t="shared" ref="U2212:U2221" si="4449">+L2212+P2212+F2212</f>
        <v>0</v>
      </c>
      <c r="V2212" s="1002">
        <f>+I2212+T2212+O2212</f>
        <v>15132700</v>
      </c>
      <c r="W2212" s="1032"/>
      <c r="X2212" s="1033"/>
      <c r="Y2212" s="1034"/>
      <c r="Z2212" s="14"/>
      <c r="AA2212" s="364"/>
      <c r="AB2212" s="364"/>
      <c r="AC2212" s="364"/>
      <c r="AD2212" s="364"/>
      <c r="AE2212" s="364"/>
    </row>
    <row r="2213" spans="1:31" s="302" customFormat="1" ht="15.75" outlineLevel="1">
      <c r="A2213" s="979">
        <v>2425080000</v>
      </c>
      <c r="B2213" s="980" t="s">
        <v>129</v>
      </c>
      <c r="C2213" s="1664" t="s">
        <v>106</v>
      </c>
      <c r="D2213" s="1671" t="s">
        <v>128</v>
      </c>
      <c r="E2213" s="1682"/>
      <c r="F2213" s="982"/>
      <c r="G2213" s="1286"/>
      <c r="H2213" s="857"/>
      <c r="I2213" s="1005">
        <f t="shared" ref="I2213:I2221" si="4450">+F2213*H2213</f>
        <v>0</v>
      </c>
      <c r="J2213" s="1398"/>
      <c r="K2213" s="1398"/>
      <c r="L2213" s="1006"/>
      <c r="M2213" s="1327"/>
      <c r="N2213" s="898"/>
      <c r="O2213" s="1007"/>
      <c r="P2213" s="1008"/>
      <c r="Q2213" s="1360"/>
      <c r="R2213" s="899"/>
      <c r="S2213" s="899"/>
      <c r="T2213" s="1009">
        <f>+P2213*R2213</f>
        <v>0</v>
      </c>
      <c r="U2213" s="1010">
        <f t="shared" si="4449"/>
        <v>0</v>
      </c>
      <c r="V2213" s="983">
        <v>-14007700</v>
      </c>
      <c r="W2213" s="1032"/>
      <c r="X2213" s="1033"/>
      <c r="Y2213" s="1034"/>
      <c r="Z2213" s="14"/>
      <c r="AA2213" s="15"/>
      <c r="AB2213" s="15"/>
      <c r="AC2213" s="15"/>
      <c r="AD2213" s="15"/>
      <c r="AE2213" s="15"/>
    </row>
    <row r="2214" spans="1:31" s="302" customFormat="1" ht="15.75" outlineLevel="1">
      <c r="A2214" s="979">
        <v>2425080000</v>
      </c>
      <c r="B2214" s="980" t="s">
        <v>130</v>
      </c>
      <c r="C2214" s="1664" t="s">
        <v>106</v>
      </c>
      <c r="D2214" s="1671" t="s">
        <v>128</v>
      </c>
      <c r="E2214" s="1682"/>
      <c r="F2214" s="982"/>
      <c r="G2214" s="1286"/>
      <c r="H2214" s="857"/>
      <c r="I2214" s="1005">
        <f t="shared" si="4450"/>
        <v>0</v>
      </c>
      <c r="J2214" s="1398"/>
      <c r="K2214" s="1398"/>
      <c r="L2214" s="1006"/>
      <c r="M2214" s="1327"/>
      <c r="N2214" s="898"/>
      <c r="O2214" s="1007"/>
      <c r="P2214" s="1008"/>
      <c r="Q2214" s="1360"/>
      <c r="R2214" s="899"/>
      <c r="S2214" s="899"/>
      <c r="T2214" s="1009">
        <f>+P2214*R2214</f>
        <v>0</v>
      </c>
      <c r="U2214" s="1010">
        <f t="shared" si="4449"/>
        <v>0</v>
      </c>
      <c r="V2214" s="983">
        <v>-1274000</v>
      </c>
      <c r="W2214" s="1032"/>
      <c r="X2214" s="1033"/>
      <c r="Y2214" s="1034"/>
      <c r="Z2214" s="14"/>
      <c r="AA2214" s="15"/>
      <c r="AB2214" s="15"/>
      <c r="AC2214" s="15"/>
      <c r="AD2214" s="15"/>
      <c r="AE2214" s="15"/>
    </row>
    <row r="2215" spans="1:31" s="302" customFormat="1" ht="15.75" outlineLevel="1">
      <c r="A2215" s="979">
        <v>2425080000</v>
      </c>
      <c r="B2215" s="980" t="s">
        <v>131</v>
      </c>
      <c r="C2215" s="1664" t="s">
        <v>106</v>
      </c>
      <c r="D2215" s="1671" t="s">
        <v>128</v>
      </c>
      <c r="E2215" s="1682"/>
      <c r="F2215" s="982"/>
      <c r="G2215" s="1286"/>
      <c r="H2215" s="857"/>
      <c r="I2215" s="1005">
        <f t="shared" si="4450"/>
        <v>0</v>
      </c>
      <c r="J2215" s="1398"/>
      <c r="K2215" s="1398"/>
      <c r="L2215" s="1006"/>
      <c r="M2215" s="1327"/>
      <c r="N2215" s="898"/>
      <c r="O2215" s="1007"/>
      <c r="P2215" s="1008"/>
      <c r="Q2215" s="1360"/>
      <c r="R2215" s="899"/>
      <c r="S2215" s="899"/>
      <c r="T2215" s="1009">
        <f>+P2215*R2215</f>
        <v>0</v>
      </c>
      <c r="U2215" s="1010">
        <f t="shared" si="4449"/>
        <v>0</v>
      </c>
      <c r="V2215" s="983">
        <v>0</v>
      </c>
      <c r="W2215" s="1032"/>
      <c r="X2215" s="1033"/>
      <c r="Y2215" s="1034"/>
      <c r="Z2215" s="14"/>
      <c r="AA2215" s="15"/>
      <c r="AB2215" s="15"/>
      <c r="AC2215" s="15"/>
      <c r="AD2215" s="15"/>
      <c r="AE2215" s="15"/>
    </row>
    <row r="2216" spans="1:31" s="302" customFormat="1" ht="15.75" outlineLevel="1">
      <c r="A2216" s="979">
        <v>2425080000</v>
      </c>
      <c r="B2216" s="980" t="s">
        <v>132</v>
      </c>
      <c r="C2216" s="1664" t="s">
        <v>106</v>
      </c>
      <c r="D2216" s="1671" t="s">
        <v>128</v>
      </c>
      <c r="E2216" s="1682"/>
      <c r="F2216" s="982"/>
      <c r="G2216" s="1286"/>
      <c r="H2216" s="857"/>
      <c r="I2216" s="1005">
        <f t="shared" si="4450"/>
        <v>0</v>
      </c>
      <c r="J2216" s="1398"/>
      <c r="K2216" s="1398"/>
      <c r="L2216" s="1006"/>
      <c r="M2216" s="1327"/>
      <c r="N2216" s="898"/>
      <c r="O2216" s="1007"/>
      <c r="P2216" s="1008"/>
      <c r="Q2216" s="1360"/>
      <c r="R2216" s="899"/>
      <c r="S2216" s="899"/>
      <c r="T2216" s="1009"/>
      <c r="U2216" s="1010">
        <f t="shared" si="4449"/>
        <v>0</v>
      </c>
      <c r="V2216" s="983">
        <v>11427466</v>
      </c>
      <c r="W2216" s="1032"/>
      <c r="X2216" s="1033"/>
      <c r="Y2216" s="1034"/>
      <c r="Z2216" s="14"/>
      <c r="AA2216" s="15"/>
      <c r="AB2216" s="15"/>
      <c r="AC2216" s="15"/>
      <c r="AD2216" s="15"/>
      <c r="AE2216" s="15"/>
    </row>
    <row r="2217" spans="1:31" s="302" customFormat="1" ht="15.75" outlineLevel="1">
      <c r="A2217" s="979">
        <v>2425080000</v>
      </c>
      <c r="B2217" s="980" t="s">
        <v>133</v>
      </c>
      <c r="C2217" s="1664" t="s">
        <v>106</v>
      </c>
      <c r="D2217" s="1671" t="s">
        <v>128</v>
      </c>
      <c r="E2217" s="1682"/>
      <c r="F2217" s="982"/>
      <c r="G2217" s="1286"/>
      <c r="H2217" s="857"/>
      <c r="I2217" s="1005">
        <f t="shared" si="4450"/>
        <v>0</v>
      </c>
      <c r="J2217" s="1398"/>
      <c r="K2217" s="1398"/>
      <c r="L2217" s="1006"/>
      <c r="M2217" s="1327"/>
      <c r="N2217" s="898"/>
      <c r="O2217" s="1007"/>
      <c r="P2217" s="1008"/>
      <c r="Q2217" s="1360"/>
      <c r="R2217" s="899"/>
      <c r="S2217" s="899"/>
      <c r="T2217" s="1009"/>
      <c r="U2217" s="1010">
        <f t="shared" si="4449"/>
        <v>0</v>
      </c>
      <c r="V2217" s="983">
        <v>0</v>
      </c>
      <c r="W2217" s="1032"/>
      <c r="X2217" s="1033"/>
      <c r="Y2217" s="1034"/>
      <c r="Z2217" s="14"/>
      <c r="AA2217" s="15"/>
      <c r="AB2217" s="15"/>
      <c r="AC2217" s="15"/>
      <c r="AD2217" s="15"/>
      <c r="AE2217" s="15"/>
    </row>
    <row r="2218" spans="1:31" s="302" customFormat="1" ht="15.75" outlineLevel="1">
      <c r="A2218" s="979">
        <v>2425080000</v>
      </c>
      <c r="B2218" s="980" t="s">
        <v>134</v>
      </c>
      <c r="C2218" s="1664" t="s">
        <v>106</v>
      </c>
      <c r="D2218" s="1671" t="s">
        <v>128</v>
      </c>
      <c r="E2218" s="1682"/>
      <c r="F2218" s="982"/>
      <c r="G2218" s="1286"/>
      <c r="H2218" s="857"/>
      <c r="I2218" s="1005">
        <f t="shared" si="4450"/>
        <v>0</v>
      </c>
      <c r="J2218" s="1398"/>
      <c r="K2218" s="1398"/>
      <c r="L2218" s="1006"/>
      <c r="M2218" s="1327"/>
      <c r="N2218" s="898"/>
      <c r="O2218" s="1007">
        <f>+L2218*N2218</f>
        <v>0</v>
      </c>
      <c r="P2218" s="1008"/>
      <c r="Q2218" s="1360"/>
      <c r="R2218" s="899"/>
      <c r="S2218" s="899"/>
      <c r="T2218" s="1009">
        <f>+P2218*R2218</f>
        <v>0</v>
      </c>
      <c r="U2218" s="1010">
        <f t="shared" si="4449"/>
        <v>0</v>
      </c>
      <c r="V2218" s="983">
        <v>0</v>
      </c>
      <c r="W2218" s="1032"/>
      <c r="X2218" s="1033"/>
      <c r="Y2218" s="1034"/>
      <c r="Z2218" s="14"/>
      <c r="AA2218" s="15"/>
      <c r="AB2218" s="15"/>
      <c r="AC2218" s="15"/>
      <c r="AD2218" s="15"/>
      <c r="AE2218" s="15"/>
    </row>
    <row r="2219" spans="1:31" s="302" customFormat="1" ht="15.75" outlineLevel="1">
      <c r="A2219" s="979">
        <v>2425080000</v>
      </c>
      <c r="B2219" s="980" t="s">
        <v>135</v>
      </c>
      <c r="C2219" s="1664" t="s">
        <v>106</v>
      </c>
      <c r="D2219" s="1671" t="s">
        <v>128</v>
      </c>
      <c r="E2219" s="1682"/>
      <c r="F2219" s="982"/>
      <c r="G2219" s="1286"/>
      <c r="H2219" s="857"/>
      <c r="I2219" s="1005">
        <f t="shared" si="4450"/>
        <v>0</v>
      </c>
      <c r="J2219" s="1398"/>
      <c r="K2219" s="1398"/>
      <c r="L2219" s="1006"/>
      <c r="M2219" s="1327"/>
      <c r="N2219" s="898"/>
      <c r="O2219" s="1007">
        <f>+L2219*N2219</f>
        <v>0</v>
      </c>
      <c r="P2219" s="1008"/>
      <c r="Q2219" s="1360"/>
      <c r="R2219" s="899"/>
      <c r="S2219" s="899"/>
      <c r="T2219" s="1009">
        <f>+P2219*R2219</f>
        <v>0</v>
      </c>
      <c r="U2219" s="1010">
        <f t="shared" si="4449"/>
        <v>0</v>
      </c>
      <c r="V2219" s="983">
        <v>0</v>
      </c>
      <c r="W2219" s="1032"/>
      <c r="X2219" s="1033"/>
      <c r="Y2219" s="1034"/>
      <c r="Z2219" s="14"/>
      <c r="AA2219" s="15"/>
      <c r="AB2219" s="15"/>
      <c r="AC2219" s="15"/>
      <c r="AD2219" s="15"/>
      <c r="AE2219" s="15"/>
    </row>
    <row r="2220" spans="1:31" s="302" customFormat="1" ht="15.75" outlineLevel="1">
      <c r="A2220" s="979">
        <v>2425080000</v>
      </c>
      <c r="B2220" s="980" t="s">
        <v>136</v>
      </c>
      <c r="C2220" s="1664" t="s">
        <v>106</v>
      </c>
      <c r="D2220" s="1671" t="s">
        <v>128</v>
      </c>
      <c r="E2220" s="1682"/>
      <c r="F2220" s="982"/>
      <c r="G2220" s="1286"/>
      <c r="H2220" s="857"/>
      <c r="I2220" s="1005">
        <f t="shared" si="4450"/>
        <v>0</v>
      </c>
      <c r="J2220" s="1398"/>
      <c r="K2220" s="1398"/>
      <c r="L2220" s="1006"/>
      <c r="M2220" s="1327"/>
      <c r="N2220" s="898"/>
      <c r="O2220" s="1007">
        <f>+L2220*N2220</f>
        <v>0</v>
      </c>
      <c r="P2220" s="1008"/>
      <c r="Q2220" s="1360"/>
      <c r="R2220" s="899"/>
      <c r="S2220" s="899"/>
      <c r="T2220" s="1009">
        <f>+P2220*R2220</f>
        <v>0</v>
      </c>
      <c r="U2220" s="1010">
        <f t="shared" si="4449"/>
        <v>0</v>
      </c>
      <c r="V2220" s="983">
        <v>0</v>
      </c>
      <c r="W2220" s="1032"/>
      <c r="X2220" s="1033"/>
      <c r="Y2220" s="1034"/>
      <c r="Z2220" s="14"/>
      <c r="AA2220" s="15"/>
      <c r="AB2220" s="15"/>
      <c r="AC2220" s="15"/>
      <c r="AD2220" s="15"/>
      <c r="AE2220" s="15"/>
    </row>
    <row r="2221" spans="1:31" s="302" customFormat="1" ht="15.75" outlineLevel="1">
      <c r="A2221" s="979">
        <v>2425080000</v>
      </c>
      <c r="B2221" s="980" t="s">
        <v>143</v>
      </c>
      <c r="C2221" s="1664" t="s">
        <v>106</v>
      </c>
      <c r="D2221" s="1671" t="s">
        <v>128</v>
      </c>
      <c r="E2221" s="1682"/>
      <c r="F2221" s="982"/>
      <c r="G2221" s="1286"/>
      <c r="H2221" s="857"/>
      <c r="I2221" s="1005">
        <f t="shared" si="4450"/>
        <v>0</v>
      </c>
      <c r="J2221" s="1398"/>
      <c r="K2221" s="1398"/>
      <c r="L2221" s="1006"/>
      <c r="M2221" s="1327"/>
      <c r="N2221" s="898"/>
      <c r="O2221" s="1007">
        <f>+L2221*N2221</f>
        <v>0</v>
      </c>
      <c r="P2221" s="1008"/>
      <c r="Q2221" s="1360"/>
      <c r="R2221" s="899"/>
      <c r="S2221" s="899"/>
      <c r="T2221" s="1009">
        <f>+P2221*R2221</f>
        <v>0</v>
      </c>
      <c r="U2221" s="1010">
        <f t="shared" si="4449"/>
        <v>0</v>
      </c>
      <c r="V2221" s="983">
        <v>0</v>
      </c>
      <c r="W2221" s="1032"/>
      <c r="X2221" s="1033"/>
      <c r="Y2221" s="1034"/>
      <c r="Z2221" s="14"/>
      <c r="AA2221" s="15"/>
      <c r="AB2221" s="15"/>
      <c r="AC2221" s="15"/>
      <c r="AD2221" s="15"/>
      <c r="AE2221" s="15"/>
    </row>
    <row r="2222" spans="1:31" s="302" customFormat="1" ht="15.75" outlineLevel="1">
      <c r="A2222" s="979">
        <v>2425080000</v>
      </c>
      <c r="B2222" s="980" t="s">
        <v>138</v>
      </c>
      <c r="C2222" s="1664" t="s">
        <v>106</v>
      </c>
      <c r="D2222" s="1671" t="s">
        <v>128</v>
      </c>
      <c r="E2222" s="1682"/>
      <c r="F2222" s="982"/>
      <c r="G2222" s="1286"/>
      <c r="H2222" s="857"/>
      <c r="I2222" s="1005"/>
      <c r="J2222" s="1398"/>
      <c r="K2222" s="1398"/>
      <c r="L2222" s="1006"/>
      <c r="M2222" s="1327"/>
      <c r="N2222" s="898"/>
      <c r="O2222" s="1007"/>
      <c r="P2222" s="1008"/>
      <c r="Q2222" s="1360"/>
      <c r="R2222" s="899"/>
      <c r="S2222" s="899"/>
      <c r="T2222" s="1009"/>
      <c r="U2222" s="1010"/>
      <c r="V2222" s="983">
        <v>0</v>
      </c>
      <c r="W2222" s="1032"/>
      <c r="X2222" s="1033"/>
      <c r="Y2222" s="1034"/>
      <c r="Z2222" s="14"/>
      <c r="AA2222" s="15"/>
      <c r="AB2222" s="15"/>
      <c r="AC2222" s="15"/>
      <c r="AD2222" s="15"/>
      <c r="AE2222" s="15"/>
    </row>
    <row r="2223" spans="1:31" s="302" customFormat="1" ht="15.75" outlineLevel="1">
      <c r="A2223" s="979">
        <v>2425080000</v>
      </c>
      <c r="B2223" s="980" t="s">
        <v>139</v>
      </c>
      <c r="C2223" s="1664" t="s">
        <v>106</v>
      </c>
      <c r="D2223" s="1671" t="s">
        <v>128</v>
      </c>
      <c r="E2223" s="1682"/>
      <c r="F2223" s="982"/>
      <c r="G2223" s="1286"/>
      <c r="H2223" s="857"/>
      <c r="I2223" s="1005"/>
      <c r="J2223" s="1398"/>
      <c r="K2223" s="1398"/>
      <c r="L2223" s="1006"/>
      <c r="M2223" s="1327"/>
      <c r="N2223" s="898"/>
      <c r="O2223" s="1007"/>
      <c r="P2223" s="1008"/>
      <c r="Q2223" s="1360"/>
      <c r="R2223" s="899"/>
      <c r="S2223" s="899"/>
      <c r="T2223" s="1009"/>
      <c r="U2223" s="1010"/>
      <c r="V2223" s="983">
        <v>0</v>
      </c>
      <c r="W2223" s="1032"/>
      <c r="X2223" s="1033"/>
      <c r="Y2223" s="1034"/>
      <c r="Z2223" s="14"/>
      <c r="AA2223" s="15"/>
      <c r="AB2223" s="15"/>
      <c r="AC2223" s="15"/>
      <c r="AD2223" s="15"/>
      <c r="AE2223" s="15"/>
    </row>
    <row r="2224" spans="1:31" s="302" customFormat="1" ht="15.75" outlineLevel="1">
      <c r="A2224" s="979">
        <v>2425080000</v>
      </c>
      <c r="B2224" s="980" t="s">
        <v>140</v>
      </c>
      <c r="C2224" s="1664" t="s">
        <v>106</v>
      </c>
      <c r="D2224" s="1671" t="s">
        <v>128</v>
      </c>
      <c r="E2224" s="1682"/>
      <c r="F2224" s="982"/>
      <c r="G2224" s="1286"/>
      <c r="H2224" s="857"/>
      <c r="I2224" s="1005"/>
      <c r="J2224" s="1398"/>
      <c r="K2224" s="1398"/>
      <c r="L2224" s="1006"/>
      <c r="M2224" s="1327"/>
      <c r="N2224" s="898"/>
      <c r="O2224" s="1007"/>
      <c r="P2224" s="1008"/>
      <c r="Q2224" s="1360"/>
      <c r="R2224" s="899"/>
      <c r="S2224" s="899"/>
      <c r="T2224" s="1009"/>
      <c r="U2224" s="1010"/>
      <c r="V2224" s="983">
        <v>0</v>
      </c>
      <c r="W2224" s="1032"/>
      <c r="X2224" s="1033"/>
      <c r="Y2224" s="1034"/>
      <c r="Z2224" s="14"/>
      <c r="AA2224" s="15"/>
      <c r="AB2224" s="15"/>
      <c r="AC2224" s="15"/>
      <c r="AD2224" s="15"/>
      <c r="AE2224" s="15"/>
    </row>
    <row r="2225" spans="1:31" ht="15.75" thickBot="1">
      <c r="A2225" s="55"/>
      <c r="B2225" s="509"/>
      <c r="C2225" s="1512"/>
      <c r="D2225" s="1538"/>
      <c r="E2225" s="1674"/>
      <c r="F2225" s="455"/>
      <c r="G2225" s="1280"/>
      <c r="H2225" s="456"/>
      <c r="I2225" s="457">
        <f>+F2225*H2225</f>
        <v>0</v>
      </c>
      <c r="J2225" s="1395"/>
      <c r="K2225" s="1395"/>
      <c r="L2225" s="458"/>
      <c r="M2225" s="1316"/>
      <c r="N2225" s="459"/>
      <c r="O2225" s="460">
        <f>+L2225*N2225</f>
        <v>0</v>
      </c>
      <c r="P2225" s="461"/>
      <c r="Q2225" s="1351"/>
      <c r="R2225" s="462"/>
      <c r="S2225" s="462"/>
      <c r="T2225" s="463">
        <f>+P2225*R2225</f>
        <v>0</v>
      </c>
      <c r="U2225" s="464">
        <f>+L2225+P2225+F2225</f>
        <v>0</v>
      </c>
      <c r="V2225" s="465"/>
      <c r="W2225" s="852"/>
      <c r="X2225" s="853"/>
      <c r="Y2225" s="854"/>
    </row>
    <row r="2226" spans="1:31" s="252" customFormat="1" ht="19.5" thickBot="1">
      <c r="A2226" s="900" t="s">
        <v>160</v>
      </c>
      <c r="B2226" s="901"/>
      <c r="C2226" s="902"/>
      <c r="D2226" s="1688"/>
      <c r="E2226" s="1689"/>
      <c r="F2226" s="904">
        <f>SUM(F2200:F2225)</f>
        <v>0</v>
      </c>
      <c r="G2226" s="1292"/>
      <c r="H2226" s="905"/>
      <c r="I2226" s="906">
        <f>SUM(I2200:I2225)</f>
        <v>15132700</v>
      </c>
      <c r="J2226" s="1373"/>
      <c r="K2226" s="1373"/>
      <c r="L2226" s="907">
        <f>SUM(L2200:L2225)</f>
        <v>2013</v>
      </c>
      <c r="M2226" s="1328"/>
      <c r="N2226" s="908"/>
      <c r="O2226" s="909">
        <f ca="1">SUM(O2200:O2225)</f>
        <v>9418206.0500000007</v>
      </c>
      <c r="P2226" s="910">
        <f>SUM(P2200:P2225)</f>
        <v>-2013</v>
      </c>
      <c r="Q2226" s="1361"/>
      <c r="R2226" s="911"/>
      <c r="S2226" s="911"/>
      <c r="T2226" s="912">
        <f ca="1">SUM(T2200:T2225)</f>
        <v>-9457623.6699999999</v>
      </c>
      <c r="U2226" s="913">
        <f>SUM(U2200:U2225)</f>
        <v>0</v>
      </c>
      <c r="V2226" s="914">
        <f ca="1">SUM(V2200:V2225)</f>
        <v>11278466</v>
      </c>
      <c r="W2226" s="915">
        <f ca="1">SUM(W2200:W2225)</f>
        <v>87751.620000000577</v>
      </c>
      <c r="X2226" s="916">
        <f ca="1">SUM(X2200:X2225)</f>
        <v>-48334</v>
      </c>
      <c r="Y2226" s="917"/>
      <c r="Z2226" s="1074"/>
      <c r="AA2226" s="364"/>
      <c r="AB2226" s="365"/>
      <c r="AC2226" s="365"/>
      <c r="AD2226" s="365"/>
      <c r="AE2226" s="365"/>
    </row>
    <row r="2227" spans="1:31" ht="15.75" thickBot="1">
      <c r="V2227" s="478"/>
      <c r="W2227" s="9">
        <v>0</v>
      </c>
      <c r="X2227" s="9"/>
      <c r="Y2227" s="345"/>
    </row>
    <row r="2228" spans="1:31" s="27" customFormat="1" ht="21">
      <c r="A2228" s="827" t="s">
        <v>161</v>
      </c>
      <c r="B2228" s="828"/>
      <c r="C2228" s="2581" t="s">
        <v>57</v>
      </c>
      <c r="D2228" s="2585" t="s">
        <v>59</v>
      </c>
      <c r="E2228" s="2583" t="s">
        <v>58</v>
      </c>
      <c r="F2228" s="2564" t="str">
        <f>+F6</f>
        <v>SALDO FISCAL 31/12/2022</v>
      </c>
      <c r="G2228" s="2565"/>
      <c r="H2228" s="2565"/>
      <c r="I2228" s="2566"/>
      <c r="J2228" s="2580" t="str">
        <f>J6</f>
        <v>Tasa Mon Extranj</v>
      </c>
      <c r="K2228" s="2568"/>
      <c r="L2228" s="2569" t="str">
        <f>+L6</f>
        <v>ENTRADAS</v>
      </c>
      <c r="M2228" s="2570"/>
      <c r="N2228" s="2570"/>
      <c r="O2228" s="2571"/>
      <c r="P2228" s="2572" t="str">
        <f>+P6</f>
        <v>SALIDAS</v>
      </c>
      <c r="Q2228" s="2573"/>
      <c r="R2228" s="2573"/>
      <c r="S2228" s="2573"/>
      <c r="T2228" s="2574"/>
      <c r="U2228" s="2575" t="s">
        <v>62</v>
      </c>
      <c r="V2228" s="2576"/>
      <c r="W2228" s="2577" t="s">
        <v>63</v>
      </c>
      <c r="X2228" s="2578"/>
      <c r="Y2228" s="2579"/>
      <c r="Z2228" s="44"/>
      <c r="AA2228" s="364"/>
      <c r="AB2228" s="364"/>
      <c r="AC2228" s="364"/>
      <c r="AD2228" s="364"/>
      <c r="AE2228" s="364"/>
    </row>
    <row r="2229" spans="1:31" s="216" customFormat="1" ht="15.75" thickBot="1">
      <c r="A2229" s="253" t="s">
        <v>87</v>
      </c>
      <c r="B2229" s="254" t="s">
        <v>88</v>
      </c>
      <c r="C2229" s="2582"/>
      <c r="D2229" s="2586"/>
      <c r="E2229" s="2584"/>
      <c r="F2229" s="30" t="str">
        <f>F7</f>
        <v>MON/EX</v>
      </c>
      <c r="G2229" s="1249" t="str">
        <f>G7</f>
        <v>USD</v>
      </c>
      <c r="H2229" s="31" t="str">
        <f>H7</f>
        <v>TRM CIERRE</v>
      </c>
      <c r="I2229" s="32" t="str">
        <f>I7</f>
        <v>SALDO PESOS</v>
      </c>
      <c r="J2229" s="1423" t="str">
        <f>J7</f>
        <v>Inicial</v>
      </c>
      <c r="K2229" s="1338" t="str">
        <f t="shared" ref="K2229:X2229" si="4451">K7</f>
        <v>Pago</v>
      </c>
      <c r="L2229" s="33" t="str">
        <f t="shared" si="4451"/>
        <v>ENTRADAS MON/EX</v>
      </c>
      <c r="M2229" s="1297" t="str">
        <f t="shared" si="4451"/>
        <v>USD</v>
      </c>
      <c r="N2229" s="34" t="str">
        <f t="shared" si="4451"/>
        <v>TRM INICIAL</v>
      </c>
      <c r="O2229" s="35" t="str">
        <f t="shared" si="4451"/>
        <v>ENTRADAS PESOS</v>
      </c>
      <c r="P2229" s="36" t="str">
        <f t="shared" si="4451"/>
        <v>PAGOS MON/EX</v>
      </c>
      <c r="Q2229" s="1338" t="str">
        <f t="shared" si="4451"/>
        <v>USD</v>
      </c>
      <c r="R2229" s="37" t="str">
        <f t="shared" si="4451"/>
        <v>TRM INICIAL</v>
      </c>
      <c r="S2229" s="37" t="str">
        <f t="shared" si="4451"/>
        <v>TRM PAGO</v>
      </c>
      <c r="T2229" s="38" t="str">
        <f t="shared" si="4451"/>
        <v>PAGO EN PESOS</v>
      </c>
      <c r="U2229" s="39" t="str">
        <f t="shared" si="4451"/>
        <v xml:space="preserve"> SALDO MON/EX</v>
      </c>
      <c r="V2229" s="40" t="str">
        <f t="shared" si="4451"/>
        <v>SALDO  PESOS</v>
      </c>
      <c r="W2229" s="41" t="str">
        <f t="shared" si="4451"/>
        <v>GASTO</v>
      </c>
      <c r="X2229" s="42" t="str">
        <f t="shared" si="4451"/>
        <v>INGRESO</v>
      </c>
      <c r="Y2229" s="43"/>
      <c r="Z2229" s="214"/>
      <c r="AA2229" s="366"/>
      <c r="AB2229" s="366"/>
      <c r="AC2229" s="366"/>
      <c r="AD2229" s="366"/>
      <c r="AE2229" s="366"/>
    </row>
    <row r="2230" spans="1:31" ht="15.75">
      <c r="A2230" s="2349">
        <v>2425100000</v>
      </c>
      <c r="B2230" s="2350" t="s">
        <v>2347</v>
      </c>
      <c r="C2230" s="2351" t="s">
        <v>64</v>
      </c>
      <c r="D2230" s="2352">
        <v>5100010836</v>
      </c>
      <c r="E2230" s="2353">
        <v>44917</v>
      </c>
      <c r="F2230" s="2337">
        <v>247728.3</v>
      </c>
      <c r="G2230" s="2354">
        <f t="shared" ref="G2230" si="4452">ROUND(F2230*J2230,2)</f>
        <v>247728.3</v>
      </c>
      <c r="H2230" s="2355">
        <v>4761.6400000000003</v>
      </c>
      <c r="I2230" s="2356">
        <f t="shared" ref="I2230" si="4453">+F2230*J2230*H2230</f>
        <v>1179592982.4119999</v>
      </c>
      <c r="J2230" s="964">
        <v>1</v>
      </c>
      <c r="K2230" s="1454">
        <v>1</v>
      </c>
      <c r="L2230" s="2363"/>
      <c r="M2230" s="2364">
        <f t="shared" ref="M2230" si="4454">+L2230*J2230</f>
        <v>0</v>
      </c>
      <c r="N2230" s="2355"/>
      <c r="O2230" s="2356">
        <f t="shared" ref="O2230" si="4455">+L2230*J2230*N2230</f>
        <v>0</v>
      </c>
      <c r="P2230" s="2337"/>
      <c r="Q2230" s="2354">
        <f t="shared" ref="Q2230" si="4456">+P2230*K2230</f>
        <v>0</v>
      </c>
      <c r="R2230" s="2355"/>
      <c r="S2230" s="2355"/>
      <c r="T2230" s="2356">
        <f t="shared" ref="T2230" si="4457">+P2230*K2230*S2230</f>
        <v>0</v>
      </c>
      <c r="U2230" s="2337">
        <f t="shared" ref="U2230" si="4458">+L2230+P2230+F2230</f>
        <v>247728.3</v>
      </c>
      <c r="V2230" s="2356">
        <f t="shared" ref="V2230" si="4459">+P2230*J2230*R2230+L2230*J2230*N2230+F2230*J2230*H2230</f>
        <v>1179592982.4119999</v>
      </c>
      <c r="W2230" s="2358">
        <f t="shared" ref="W2230" si="4460">-(IF(-P2230*J2230*R2230&lt;-P2230*K2230*S2230,(-P2230*J2230*R2230)-(-P2230*K2230*S2230),0))</f>
        <v>0</v>
      </c>
      <c r="X2230" s="2359">
        <f t="shared" ref="X2230" si="4461">-(IF(-P2230*J2230*R2230&gt;-P2230*K2230*S2230,(-P2230*J2230*R2230)-(-P2230*K2230*S2230),0))</f>
        <v>0</v>
      </c>
      <c r="Y2230" s="2360"/>
      <c r="Z2230" s="2362"/>
      <c r="AA2230" s="355"/>
      <c r="AB2230" s="355"/>
      <c r="AC2230" s="355"/>
      <c r="AD2230" s="355"/>
      <c r="AE2230" s="355"/>
    </row>
    <row r="2231" spans="1:31" s="401" customFormat="1">
      <c r="A2231" s="984">
        <v>2425100000</v>
      </c>
      <c r="B2231" s="985"/>
      <c r="C2231" s="2361" t="s">
        <v>64</v>
      </c>
      <c r="D2231" s="1667">
        <v>2000000676</v>
      </c>
      <c r="E2231" s="1668">
        <v>44949</v>
      </c>
      <c r="F2231" s="988"/>
      <c r="G2231" s="2344"/>
      <c r="H2231" s="335"/>
      <c r="I2231" s="989">
        <f>+F2231*H2231</f>
        <v>0</v>
      </c>
      <c r="J2231" s="991">
        <v>1</v>
      </c>
      <c r="K2231" s="1460">
        <v>1</v>
      </c>
      <c r="L2231" s="336"/>
      <c r="M2231" s="2345">
        <f t="shared" ref="M2231:M2241" si="4462">+L2231*J2231</f>
        <v>0</v>
      </c>
      <c r="N2231" s="337"/>
      <c r="O2231" s="1507">
        <f t="shared" ref="O2231:O2241" si="4463">+L2231*J2231*N2231</f>
        <v>0</v>
      </c>
      <c r="P2231" s="991">
        <f>-F2230</f>
        <v>-247728.3</v>
      </c>
      <c r="Q2231" s="2346">
        <f t="shared" ref="Q2231:Q2241" si="4464">+P2231*K2231</f>
        <v>-247728.3</v>
      </c>
      <c r="R2231" s="337">
        <f>H2230</f>
        <v>4761.6400000000003</v>
      </c>
      <c r="S2231" s="337">
        <f ca="1">IF(OR(E2231="",E2231&gt;TODAY()),0,IF(ISERROR(VLOOKUP($E2231,'TRM BanRep'!$A:$G,7,0)),0,VLOOKUP($E2231,'TRM BanRep'!$A:$G,7,0)))</f>
        <v>4631.6400000000003</v>
      </c>
      <c r="T2231" s="1507">
        <f t="shared" ref="T2231:T2241" ca="1" si="4465">+P2231*K2231*S2231</f>
        <v>-1147388303.4119999</v>
      </c>
      <c r="U2231" s="2347">
        <f t="shared" ref="U2231:U2241" si="4466">+L2231+P2231+F2231</f>
        <v>-247728.3</v>
      </c>
      <c r="V2231" s="1507">
        <f t="shared" ref="V2231:V2241" si="4467">+P2231*J2231*R2231+L2231*J2231*N2231+F2231*J2231*H2231</f>
        <v>-1179592982.4119999</v>
      </c>
      <c r="W2231" s="1506">
        <f t="shared" ref="W2231:W2244" ca="1" si="4468">-(IF(-P2231*J2231*R2231&lt;-P2231*K2231*S2231,(-P2231*J2231*R2231)-(-P2231*K2231*S2231),0))</f>
        <v>0</v>
      </c>
      <c r="X2231" s="2348">
        <f t="shared" ref="X2231:X2244" ca="1" si="4469">-(IF(-P2231*J2231*R2231&gt;-P2231*K2231*S2231,(-P2231*J2231*R2231)-(-P2231*K2231*S2231),0))</f>
        <v>-32204679</v>
      </c>
      <c r="Y2231" s="995"/>
      <c r="Z2231" s="220"/>
      <c r="AA2231" s="15"/>
      <c r="AB2231" s="15"/>
      <c r="AC2231" s="15"/>
      <c r="AD2231" s="15"/>
      <c r="AE2231" s="15"/>
    </row>
    <row r="2232" spans="1:31" s="401" customFormat="1">
      <c r="A2232" s="1019"/>
      <c r="B2232" s="1020"/>
      <c r="C2232" s="1677"/>
      <c r="D2232" s="1680"/>
      <c r="E2232" s="1681"/>
      <c r="F2232" s="1023"/>
      <c r="G2232" s="1290"/>
      <c r="H2232" s="352"/>
      <c r="I2232" s="1024"/>
      <c r="J2232" s="1401"/>
      <c r="K2232" s="1401"/>
      <c r="L2232" s="356"/>
      <c r="M2232" s="1332">
        <f t="shared" si="4462"/>
        <v>0</v>
      </c>
      <c r="N2232" s="353"/>
      <c r="O2232" s="1025">
        <f t="shared" si="4463"/>
        <v>0</v>
      </c>
      <c r="P2232" s="1026"/>
      <c r="Q2232" s="1324">
        <f t="shared" si="4464"/>
        <v>0</v>
      </c>
      <c r="R2232" s="353"/>
      <c r="S2232" s="353"/>
      <c r="T2232" s="1025">
        <f t="shared" si="4465"/>
        <v>0</v>
      </c>
      <c r="U2232" s="1027">
        <f t="shared" si="4466"/>
        <v>0</v>
      </c>
      <c r="V2232" s="1025">
        <f t="shared" si="4467"/>
        <v>0</v>
      </c>
      <c r="W2232" s="1028">
        <f t="shared" si="4468"/>
        <v>0</v>
      </c>
      <c r="X2232" s="1029">
        <f t="shared" si="4469"/>
        <v>0</v>
      </c>
      <c r="Y2232" s="1030"/>
      <c r="Z2232" s="220"/>
      <c r="AA2232" s="15"/>
      <c r="AB2232" s="15"/>
      <c r="AC2232" s="15"/>
      <c r="AD2232" s="15"/>
      <c r="AE2232" s="15"/>
    </row>
    <row r="2233" spans="1:31" s="401" customFormat="1" outlineLevel="1">
      <c r="A2233" s="1019">
        <v>2425100000</v>
      </c>
      <c r="B2233" s="1020"/>
      <c r="C2233" s="1677" t="s">
        <v>64</v>
      </c>
      <c r="D2233" s="1680"/>
      <c r="E2233" s="1681"/>
      <c r="F2233" s="1023"/>
      <c r="G2233" s="1290"/>
      <c r="H2233" s="352"/>
      <c r="I2233" s="1024"/>
      <c r="J2233" s="1027">
        <v>1</v>
      </c>
      <c r="K2233" s="1459">
        <v>1</v>
      </c>
      <c r="L2233" s="1026"/>
      <c r="M2233" s="1324">
        <f t="shared" si="4462"/>
        <v>0</v>
      </c>
      <c r="N2233" s="353">
        <f ca="1">IF(OR(E2233="",E2233&gt;TODAY()),0,IF(ISERROR(VLOOKUP($E2233,'TRM BanRep'!$A:$G,7,0)),0,VLOOKUP($E2233,'TRM BanRep'!$A:$G,7,0)))</f>
        <v>0</v>
      </c>
      <c r="O2233" s="1025">
        <f t="shared" ca="1" si="4463"/>
        <v>0</v>
      </c>
      <c r="P2233" s="1026"/>
      <c r="Q2233" s="1324">
        <f t="shared" si="4464"/>
        <v>0</v>
      </c>
      <c r="R2233" s="353"/>
      <c r="S2233" s="353"/>
      <c r="T2233" s="1025">
        <f t="shared" si="4465"/>
        <v>0</v>
      </c>
      <c r="U2233" s="1027">
        <f t="shared" si="4466"/>
        <v>0</v>
      </c>
      <c r="V2233" s="1025">
        <f t="shared" ca="1" si="4467"/>
        <v>0</v>
      </c>
      <c r="W2233" s="1028">
        <f t="shared" si="4468"/>
        <v>0</v>
      </c>
      <c r="X2233" s="1029">
        <f t="shared" si="4469"/>
        <v>0</v>
      </c>
      <c r="Y2233" s="1030"/>
      <c r="Z2233" s="220"/>
      <c r="AA2233" s="15"/>
      <c r="AB2233" s="15"/>
      <c r="AC2233" s="15"/>
      <c r="AD2233" s="15"/>
      <c r="AE2233" s="15"/>
    </row>
    <row r="2234" spans="1:31" s="401" customFormat="1" outlineLevel="1">
      <c r="A2234" s="1019">
        <v>2425100000</v>
      </c>
      <c r="B2234" s="1020"/>
      <c r="C2234" s="1677" t="s">
        <v>64</v>
      </c>
      <c r="D2234" s="1680"/>
      <c r="E2234" s="1681"/>
      <c r="F2234" s="1023"/>
      <c r="G2234" s="1290"/>
      <c r="H2234" s="352"/>
      <c r="I2234" s="1024"/>
      <c r="J2234" s="1027">
        <v>1</v>
      </c>
      <c r="K2234" s="1459">
        <v>1</v>
      </c>
      <c r="L2234" s="1026"/>
      <c r="M2234" s="1324">
        <f t="shared" ref="M2234" si="4470">+L2234*J2234</f>
        <v>0</v>
      </c>
      <c r="N2234" s="353">
        <f ca="1">IF(OR(E2234="",E2234&gt;TODAY()),0,IF(ISERROR(VLOOKUP($E2234,'TRM BanRep'!$A:$G,7,0)),0,VLOOKUP($E2234,'TRM BanRep'!$A:$G,7,0)))</f>
        <v>0</v>
      </c>
      <c r="O2234" s="1025">
        <f t="shared" ref="O2234" ca="1" si="4471">+L2234*J2234*N2234</f>
        <v>0</v>
      </c>
      <c r="P2234" s="1026"/>
      <c r="Q2234" s="1324">
        <f t="shared" ref="Q2234" si="4472">+P2234*K2234</f>
        <v>0</v>
      </c>
      <c r="R2234" s="353"/>
      <c r="S2234" s="353"/>
      <c r="T2234" s="1025">
        <f t="shared" ref="T2234" si="4473">+P2234*K2234*S2234</f>
        <v>0</v>
      </c>
      <c r="U2234" s="1027">
        <f t="shared" ref="U2234" si="4474">+L2234+P2234+F2234</f>
        <v>0</v>
      </c>
      <c r="V2234" s="1025">
        <f t="shared" ref="V2234" ca="1" si="4475">+P2234*J2234*R2234+L2234*J2234*N2234+F2234*J2234*H2234</f>
        <v>0</v>
      </c>
      <c r="W2234" s="1028">
        <f t="shared" ref="W2234" si="4476">-(IF(-P2234*J2234*R2234&lt;-P2234*K2234*S2234,(-P2234*J2234*R2234)-(-P2234*K2234*S2234),0))</f>
        <v>0</v>
      </c>
      <c r="X2234" s="1029">
        <f t="shared" ref="X2234" si="4477">-(IF(-P2234*J2234*R2234&gt;-P2234*K2234*S2234,(-P2234*J2234*R2234)-(-P2234*K2234*S2234),0))</f>
        <v>0</v>
      </c>
      <c r="Y2234" s="1030"/>
      <c r="Z2234" s="220"/>
      <c r="AA2234" s="15"/>
      <c r="AB2234" s="15"/>
      <c r="AC2234" s="15"/>
      <c r="AD2234" s="15"/>
      <c r="AE2234" s="15"/>
    </row>
    <row r="2235" spans="1:31" s="401" customFormat="1">
      <c r="A2235" s="1019">
        <v>2425100000</v>
      </c>
      <c r="B2235" s="1020"/>
      <c r="C2235" s="1677"/>
      <c r="D2235" s="1680"/>
      <c r="E2235" s="1681"/>
      <c r="F2235" s="1023"/>
      <c r="G2235" s="1290"/>
      <c r="H2235" s="352"/>
      <c r="I2235" s="1024"/>
      <c r="J2235" s="1027">
        <v>1</v>
      </c>
      <c r="K2235" s="1459">
        <v>1</v>
      </c>
      <c r="L2235" s="356"/>
      <c r="M2235" s="1332">
        <f t="shared" ref="M2235" si="4478">+L2235*J2235</f>
        <v>0</v>
      </c>
      <c r="N2235" s="353"/>
      <c r="O2235" s="1025">
        <f t="shared" ref="O2235" si="4479">+L2235*J2235*N2235</f>
        <v>0</v>
      </c>
      <c r="P2235" s="1026"/>
      <c r="Q2235" s="1324">
        <f t="shared" ref="Q2235" si="4480">+P2235*K2235</f>
        <v>0</v>
      </c>
      <c r="R2235" s="353"/>
      <c r="S2235" s="353"/>
      <c r="T2235" s="1025">
        <f t="shared" ref="T2235" si="4481">+P2235*K2235*S2235</f>
        <v>0</v>
      </c>
      <c r="U2235" s="1027">
        <f t="shared" ref="U2235" si="4482">+L2235+P2235+F2235</f>
        <v>0</v>
      </c>
      <c r="V2235" s="1025">
        <f t="shared" ref="V2235" si="4483">+P2235*J2235*R2235+L2235*J2235*N2235+F2235*J2235*H2235</f>
        <v>0</v>
      </c>
      <c r="W2235" s="1028">
        <f t="shared" ref="W2235" si="4484">-(IF(-P2235*J2235*R2235&lt;-P2235*K2235*S2235,(-P2235*J2235*R2235)-(-P2235*K2235*S2235),0))</f>
        <v>0</v>
      </c>
      <c r="X2235" s="1029">
        <f t="shared" ref="X2235" si="4485">-(IF(-P2235*J2235*R2235&gt;-P2235*K2235*S2235,(-P2235*J2235*R2235)-(-P2235*K2235*S2235),0))</f>
        <v>0</v>
      </c>
      <c r="Y2235" s="1030"/>
      <c r="Z2235" s="220"/>
      <c r="AA2235" s="15"/>
      <c r="AB2235" s="15"/>
      <c r="AC2235" s="15"/>
      <c r="AD2235" s="15"/>
      <c r="AE2235" s="15"/>
    </row>
    <row r="2236" spans="1:31" s="401" customFormat="1">
      <c r="A2236" s="1011"/>
      <c r="B2236" s="1012"/>
      <c r="C2236" s="1661"/>
      <c r="D2236" s="1665"/>
      <c r="E2236" s="1666"/>
      <c r="F2236" s="1015"/>
      <c r="G2236" s="1293"/>
      <c r="H2236" s="346"/>
      <c r="I2236" s="1016"/>
      <c r="J2236" s="1457"/>
      <c r="K2236" s="1458"/>
      <c r="L2236" s="347"/>
      <c r="M2236" s="1329">
        <f t="shared" si="4462"/>
        <v>0</v>
      </c>
      <c r="N2236" s="348"/>
      <c r="O2236" s="996">
        <f t="shared" si="4463"/>
        <v>0</v>
      </c>
      <c r="P2236" s="1017"/>
      <c r="Q2236" s="1362">
        <f t="shared" si="4464"/>
        <v>0</v>
      </c>
      <c r="R2236" s="349"/>
      <c r="S2236" s="380"/>
      <c r="T2236" s="1031">
        <f t="shared" si="4465"/>
        <v>0</v>
      </c>
      <c r="U2236" s="977">
        <f t="shared" si="4466"/>
        <v>0</v>
      </c>
      <c r="V2236" s="978">
        <f t="shared" si="4467"/>
        <v>0</v>
      </c>
      <c r="W2236" s="428">
        <f t="shared" si="4468"/>
        <v>0</v>
      </c>
      <c r="X2236" s="429">
        <f t="shared" si="4469"/>
        <v>0</v>
      </c>
      <c r="Y2236" s="1018"/>
      <c r="Z2236" s="220"/>
      <c r="AA2236" s="15"/>
      <c r="AB2236" s="15"/>
      <c r="AC2236" s="15"/>
      <c r="AD2236" s="15"/>
      <c r="AE2236" s="15"/>
    </row>
    <row r="2237" spans="1:31" s="401" customFormat="1" outlineLevel="1">
      <c r="A2237" s="1011">
        <v>2425080000</v>
      </c>
      <c r="B2237" s="1012" t="s">
        <v>2348</v>
      </c>
      <c r="C2237" s="1661" t="s">
        <v>64</v>
      </c>
      <c r="D2237" s="1665">
        <v>5100000416</v>
      </c>
      <c r="E2237" s="1666">
        <v>44943</v>
      </c>
      <c r="F2237" s="1015"/>
      <c r="G2237" s="1293"/>
      <c r="H2237" s="346"/>
      <c r="I2237" s="1016"/>
      <c r="J2237" s="1457">
        <v>1</v>
      </c>
      <c r="K2237" s="1458">
        <v>1</v>
      </c>
      <c r="L2237" s="347">
        <v>319443.59999999998</v>
      </c>
      <c r="M2237" s="1329">
        <f t="shared" si="4462"/>
        <v>319443.59999999998</v>
      </c>
      <c r="N2237" s="348">
        <f ca="1">IF(OR(E2237="",E2237&gt;TODAY()),0,IF(ISERROR(VLOOKUP($E2237,'TRM BanRep'!$A:$G,7,0)),0,VLOOKUP($E2237,'TRM BanRep'!$A:$G,7,0)))</f>
        <v>4693.99</v>
      </c>
      <c r="O2237" s="996">
        <f t="shared" ca="1" si="4463"/>
        <v>1499465063.9639997</v>
      </c>
      <c r="P2237" s="1017"/>
      <c r="Q2237" s="1362">
        <f t="shared" si="4464"/>
        <v>0</v>
      </c>
      <c r="R2237" s="349"/>
      <c r="S2237" s="349">
        <f ca="1">IF(OR(E2237="",E2237&gt;TODAY()),0,IF(ISERROR(VLOOKUP($E2237,'TRM BanRep'!$A:$G,7,0)),0,VLOOKUP($E2237,'TRM BanRep'!$A:$G,7,0)))</f>
        <v>4693.99</v>
      </c>
      <c r="T2237" s="1031">
        <f t="shared" ca="1" si="4465"/>
        <v>0</v>
      </c>
      <c r="U2237" s="977">
        <f t="shared" si="4466"/>
        <v>319443.59999999998</v>
      </c>
      <c r="V2237" s="978">
        <f t="shared" ca="1" si="4467"/>
        <v>1499465063.9639997</v>
      </c>
      <c r="W2237" s="428">
        <f t="shared" ca="1" si="4468"/>
        <v>0</v>
      </c>
      <c r="X2237" s="429">
        <f t="shared" ca="1" si="4469"/>
        <v>0</v>
      </c>
      <c r="Y2237" s="1018"/>
      <c r="Z2237" s="220"/>
      <c r="AA2237" s="15"/>
      <c r="AB2237" s="15"/>
      <c r="AC2237" s="15"/>
      <c r="AD2237" s="15"/>
      <c r="AE2237" s="15"/>
    </row>
    <row r="2238" spans="1:31" s="401" customFormat="1" outlineLevel="1">
      <c r="A2238" s="1011">
        <v>2425080000</v>
      </c>
      <c r="B2238" s="1012" t="s">
        <v>2350</v>
      </c>
      <c r="C2238" s="2460" t="s">
        <v>106</v>
      </c>
      <c r="D2238" s="1665">
        <v>1500002563</v>
      </c>
      <c r="E2238" s="1666">
        <v>44973</v>
      </c>
      <c r="F2238" s="1015"/>
      <c r="G2238" s="1293"/>
      <c r="H2238" s="346"/>
      <c r="I2238" s="1016"/>
      <c r="J2238" s="1457">
        <v>1</v>
      </c>
      <c r="K2238" s="1458">
        <v>1</v>
      </c>
      <c r="L2238" s="347"/>
      <c r="M2238" s="1329">
        <f t="shared" si="4462"/>
        <v>0</v>
      </c>
      <c r="N2238" s="348">
        <f ca="1">IF(OR(E2238="",E2238&gt;TODAY()),0,IF(ISERROR(VLOOKUP($E2238,'TRM BanRep'!$A:$G,7,0)),0,VLOOKUP($E2238,'TRM BanRep'!$A:$G,7,0)))</f>
        <v>4878.24</v>
      </c>
      <c r="O2238" s="996">
        <f t="shared" ca="1" si="4463"/>
        <v>0</v>
      </c>
      <c r="P2238" s="1017">
        <f>-L2237</f>
        <v>-319443.59999999998</v>
      </c>
      <c r="Q2238" s="1362">
        <f t="shared" si="4464"/>
        <v>-319443.59999999998</v>
      </c>
      <c r="R2238" s="349">
        <f ca="1">+N2237</f>
        <v>4693.99</v>
      </c>
      <c r="S2238" s="349">
        <f ca="1">IF(OR(E2238="",E2238&gt;TODAY()),0,IF(ISERROR(VLOOKUP($E2238,'TRM BanRep'!$A:$G,7,0)),0,VLOOKUP($E2238,'TRM BanRep'!$A:$G,7,0)))</f>
        <v>4878.24</v>
      </c>
      <c r="T2238" s="1031">
        <f t="shared" ca="1" si="4465"/>
        <v>-1558322547.2639997</v>
      </c>
      <c r="U2238" s="977">
        <f t="shared" si="4466"/>
        <v>-319443.59999999998</v>
      </c>
      <c r="V2238" s="978">
        <f t="shared" ca="1" si="4467"/>
        <v>-1499465063.9639997</v>
      </c>
      <c r="W2238" s="428">
        <f t="shared" ca="1" si="4468"/>
        <v>58857483.299999952</v>
      </c>
      <c r="X2238" s="429">
        <f t="shared" ca="1" si="4469"/>
        <v>0</v>
      </c>
      <c r="Y2238" s="1018"/>
      <c r="Z2238" s="220"/>
      <c r="AA2238" s="15"/>
      <c r="AB2238" s="15"/>
      <c r="AC2238" s="15"/>
      <c r="AD2238" s="15"/>
      <c r="AE2238" s="15"/>
    </row>
    <row r="2239" spans="1:31" s="401" customFormat="1" outlineLevel="1">
      <c r="A2239" s="1011">
        <v>2425080000</v>
      </c>
      <c r="B2239" s="1012" t="s">
        <v>2438</v>
      </c>
      <c r="C2239" s="1661" t="s">
        <v>64</v>
      </c>
      <c r="D2239" s="1665">
        <v>5100002487</v>
      </c>
      <c r="E2239" s="1666">
        <v>44995</v>
      </c>
      <c r="F2239" s="1015"/>
      <c r="G2239" s="1293"/>
      <c r="H2239" s="346"/>
      <c r="I2239" s="1016"/>
      <c r="J2239" s="1457">
        <v>1</v>
      </c>
      <c r="K2239" s="1458">
        <v>1</v>
      </c>
      <c r="L2239" s="347">
        <v>9931.74</v>
      </c>
      <c r="M2239" s="1329">
        <f t="shared" ref="M2239:M2240" si="4486">+L2239*J2239</f>
        <v>9931.74</v>
      </c>
      <c r="N2239" s="348">
        <f ca="1">IF(OR(E2239="",E2239&gt;TODAY()),0,IF(ISERROR(VLOOKUP($E2239,'TRM BanRep'!$A:$G,7,0)),0,VLOOKUP($E2239,'TRM BanRep'!$A:$G,7,0)))</f>
        <v>4748.6099999999997</v>
      </c>
      <c r="O2239" s="996">
        <f t="shared" ref="O2239:O2240" ca="1" si="4487">+L2239*J2239*N2239</f>
        <v>47161959.881399997</v>
      </c>
      <c r="P2239" s="1017"/>
      <c r="Q2239" s="1362">
        <f t="shared" ref="Q2239:Q2240" si="4488">+P2239*K2239</f>
        <v>0</v>
      </c>
      <c r="R2239" s="349"/>
      <c r="S2239" s="349">
        <f ca="1">IF(OR(E2239="",E2239&gt;TODAY()),0,IF(ISERROR(VLOOKUP($E2239,'TRM BanRep'!$A:$G,7,0)),0,VLOOKUP($E2239,'TRM BanRep'!$A:$G,7,0)))</f>
        <v>4748.6099999999997</v>
      </c>
      <c r="T2239" s="1031">
        <f t="shared" ref="T2239:T2240" ca="1" si="4489">+P2239*K2239*S2239</f>
        <v>0</v>
      </c>
      <c r="U2239" s="977">
        <f t="shared" ref="U2239:U2240" si="4490">+L2239+P2239+F2239</f>
        <v>9931.74</v>
      </c>
      <c r="V2239" s="978">
        <f t="shared" ref="V2239:V2240" ca="1" si="4491">+P2239*J2239*R2239+L2239*J2239*N2239+F2239*J2239*H2239</f>
        <v>47161959.881399997</v>
      </c>
      <c r="W2239" s="428">
        <f t="shared" ref="W2239:W2240" ca="1" si="4492">-(IF(-P2239*J2239*R2239&lt;-P2239*K2239*S2239,(-P2239*J2239*R2239)-(-P2239*K2239*S2239),0))</f>
        <v>0</v>
      </c>
      <c r="X2239" s="429">
        <f t="shared" ref="X2239:X2240" ca="1" si="4493">-(IF(-P2239*J2239*R2239&gt;-P2239*K2239*S2239,(-P2239*J2239*R2239)-(-P2239*K2239*S2239),0))</f>
        <v>0</v>
      </c>
      <c r="Y2239" s="1018"/>
      <c r="Z2239" s="220"/>
      <c r="AA2239" s="15"/>
      <c r="AB2239" s="15"/>
      <c r="AC2239" s="15"/>
      <c r="AD2239" s="15"/>
      <c r="AE2239" s="15"/>
    </row>
    <row r="2240" spans="1:31" s="401" customFormat="1" outlineLevel="1">
      <c r="A2240" s="1011">
        <v>2425080000</v>
      </c>
      <c r="B2240" s="1012" t="s">
        <v>2612</v>
      </c>
      <c r="C2240" s="2460" t="s">
        <v>106</v>
      </c>
      <c r="D2240" s="1665">
        <v>1500005752</v>
      </c>
      <c r="E2240" s="1666">
        <v>45027</v>
      </c>
      <c r="F2240" s="1015"/>
      <c r="G2240" s="1293"/>
      <c r="H2240" s="346"/>
      <c r="I2240" s="1016"/>
      <c r="J2240" s="1457">
        <v>1</v>
      </c>
      <c r="K2240" s="1458">
        <v>1</v>
      </c>
      <c r="L2240" s="347"/>
      <c r="M2240" s="1329">
        <f t="shared" si="4486"/>
        <v>0</v>
      </c>
      <c r="N2240" s="348">
        <f ca="1">IF(OR(E2240="",E2240&gt;TODAY()),0,IF(ISERROR(VLOOKUP($E2240,'TRM BanRep'!$A:$G,7,0)),0,VLOOKUP($E2240,'TRM BanRep'!$A:$G,7,0)))</f>
        <v>4564.24</v>
      </c>
      <c r="O2240" s="996">
        <f t="shared" ca="1" si="4487"/>
        <v>0</v>
      </c>
      <c r="P2240" s="1017">
        <f>-L2239</f>
        <v>-9931.74</v>
      </c>
      <c r="Q2240" s="1362">
        <f t="shared" si="4488"/>
        <v>-9931.74</v>
      </c>
      <c r="R2240" s="349">
        <f ca="1">+N2239</f>
        <v>4748.6099999999997</v>
      </c>
      <c r="S2240" s="349">
        <f ca="1">IF(OR(E2240="",E2240&gt;TODAY()),0,IF(ISERROR(VLOOKUP($E2240,'TRM BanRep'!$A:$G,7,0)),0,VLOOKUP($E2240,'TRM BanRep'!$A:$G,7,0)))</f>
        <v>4564.24</v>
      </c>
      <c r="T2240" s="1031">
        <f t="shared" ca="1" si="4489"/>
        <v>-45330844.977599993</v>
      </c>
      <c r="U2240" s="977">
        <f t="shared" si="4490"/>
        <v>-9931.74</v>
      </c>
      <c r="V2240" s="978">
        <f t="shared" ca="1" si="4491"/>
        <v>-47161959.881399997</v>
      </c>
      <c r="W2240" s="428">
        <f t="shared" ca="1" si="4492"/>
        <v>0</v>
      </c>
      <c r="X2240" s="429">
        <f t="shared" ca="1" si="4493"/>
        <v>-1831114.9038000032</v>
      </c>
      <c r="Y2240" s="1018"/>
      <c r="Z2240" s="220"/>
      <c r="AA2240" s="15"/>
      <c r="AB2240" s="15"/>
      <c r="AC2240" s="15"/>
      <c r="AD2240" s="15"/>
      <c r="AE2240" s="15"/>
    </row>
    <row r="2241" spans="1:31" s="401" customFormat="1">
      <c r="A2241" s="1011"/>
      <c r="B2241" s="1012"/>
      <c r="C2241" s="1661"/>
      <c r="D2241" s="1665"/>
      <c r="E2241" s="1666"/>
      <c r="F2241" s="1015"/>
      <c r="G2241" s="1293"/>
      <c r="H2241" s="346"/>
      <c r="I2241" s="1016"/>
      <c r="J2241" s="1457"/>
      <c r="K2241" s="1458"/>
      <c r="L2241" s="347"/>
      <c r="M2241" s="1329">
        <f t="shared" si="4462"/>
        <v>0</v>
      </c>
      <c r="N2241" s="348"/>
      <c r="O2241" s="996">
        <f t="shared" si="4463"/>
        <v>0</v>
      </c>
      <c r="P2241" s="1017"/>
      <c r="Q2241" s="1362">
        <f t="shared" si="4464"/>
        <v>0</v>
      </c>
      <c r="R2241" s="349"/>
      <c r="S2241" s="349"/>
      <c r="T2241" s="1031">
        <f t="shared" si="4465"/>
        <v>0</v>
      </c>
      <c r="U2241" s="977">
        <f t="shared" si="4466"/>
        <v>0</v>
      </c>
      <c r="V2241" s="978">
        <f t="shared" si="4467"/>
        <v>0</v>
      </c>
      <c r="W2241" s="428">
        <f t="shared" si="4468"/>
        <v>0</v>
      </c>
      <c r="X2241" s="429">
        <f t="shared" si="4469"/>
        <v>0</v>
      </c>
      <c r="Y2241" s="1018"/>
      <c r="Z2241" s="220"/>
      <c r="AA2241" s="15"/>
      <c r="AB2241" s="15"/>
      <c r="AC2241" s="15"/>
      <c r="AD2241" s="15"/>
      <c r="AE2241" s="15"/>
    </row>
    <row r="2242" spans="1:31" s="401" customFormat="1" outlineLevel="1">
      <c r="A2242" s="1011">
        <v>2425100000</v>
      </c>
      <c r="B2242" s="1012"/>
      <c r="C2242" s="1661" t="s">
        <v>64</v>
      </c>
      <c r="D2242" s="1665"/>
      <c r="E2242" s="1666">
        <v>44701</v>
      </c>
      <c r="F2242" s="1015"/>
      <c r="G2242" s="1293"/>
      <c r="H2242" s="346"/>
      <c r="I2242" s="1016"/>
      <c r="J2242" s="1457">
        <v>1</v>
      </c>
      <c r="K2242" s="1458">
        <v>1</v>
      </c>
      <c r="L2242" s="347"/>
      <c r="M2242" s="1329">
        <f t="shared" ref="M2242:M2243" si="4494">+L2242*J2242</f>
        <v>0</v>
      </c>
      <c r="N2242" s="348">
        <f ca="1">IF(OR(E2242="",E2242&gt;TODAY()),0,IF(ISERROR(VLOOKUP($E2242,'TRM BanRep'!$A:$G,7,0)),0,VLOOKUP($E2242,'TRM BanRep'!$A:$G,7,0)))</f>
        <v>4050.88</v>
      </c>
      <c r="O2242" s="996">
        <f t="shared" ref="O2242:O2243" ca="1" si="4495">+L2242*J2242*N2242</f>
        <v>0</v>
      </c>
      <c r="P2242" s="1017"/>
      <c r="Q2242" s="1362">
        <f t="shared" ref="Q2242:Q2243" si="4496">+P2242*K2242</f>
        <v>0</v>
      </c>
      <c r="R2242" s="349"/>
      <c r="S2242" s="349">
        <f ca="1">IF(OR(E2242="",E2242&gt;TODAY()),0,IF(ISERROR(VLOOKUP($E2242,'TRM BanRep'!$A:$G,7,0)),0,VLOOKUP($E2242,'TRM BanRep'!$A:$G,7,0)))</f>
        <v>4050.88</v>
      </c>
      <c r="T2242" s="1031">
        <f t="shared" ref="T2242:T2243" ca="1" si="4497">+P2242*K2242*S2242</f>
        <v>0</v>
      </c>
      <c r="U2242" s="977">
        <f t="shared" ref="U2242:U2243" si="4498">+L2242+P2242+F2242</f>
        <v>0</v>
      </c>
      <c r="V2242" s="978">
        <f t="shared" ref="V2242:V2243" ca="1" si="4499">+P2242*J2242*R2242+L2242*J2242*N2242+F2242*J2242*H2242</f>
        <v>0</v>
      </c>
      <c r="W2242" s="428">
        <f t="shared" ref="W2242:W2243" ca="1" si="4500">-(IF(-P2242*J2242*R2242&lt;-P2242*K2242*S2242,(-P2242*J2242*R2242)-(-P2242*K2242*S2242),0))</f>
        <v>0</v>
      </c>
      <c r="X2242" s="429">
        <f t="shared" ref="X2242:X2243" ca="1" si="4501">-(IF(-P2242*J2242*R2242&gt;-P2242*K2242*S2242,(-P2242*J2242*R2242)-(-P2242*K2242*S2242),0))</f>
        <v>0</v>
      </c>
      <c r="Y2242" s="1018"/>
      <c r="Z2242" s="220"/>
      <c r="AA2242" s="15"/>
      <c r="AB2242" s="15"/>
      <c r="AC2242" s="15"/>
      <c r="AD2242" s="15"/>
      <c r="AE2242" s="15"/>
    </row>
    <row r="2243" spans="1:31" s="401" customFormat="1" outlineLevel="1">
      <c r="A2243" s="1011">
        <v>2425100000</v>
      </c>
      <c r="B2243" s="1012"/>
      <c r="C2243" s="1661" t="s">
        <v>64</v>
      </c>
      <c r="D2243" s="1665"/>
      <c r="E2243" s="1666">
        <v>44701</v>
      </c>
      <c r="F2243" s="1015"/>
      <c r="G2243" s="1293"/>
      <c r="H2243" s="346"/>
      <c r="I2243" s="1016"/>
      <c r="J2243" s="1457">
        <v>1</v>
      </c>
      <c r="K2243" s="1458">
        <v>1</v>
      </c>
      <c r="L2243" s="347"/>
      <c r="M2243" s="1329">
        <f t="shared" si="4494"/>
        <v>0</v>
      </c>
      <c r="N2243" s="348">
        <f ca="1">IF(OR(E2243="",E2243&gt;TODAY()),0,IF(ISERROR(VLOOKUP($E2243,'TRM BanRep'!$A:$G,7,0)),0,VLOOKUP($E2243,'TRM BanRep'!$A:$G,7,0)))</f>
        <v>4050.88</v>
      </c>
      <c r="O2243" s="996">
        <f t="shared" ca="1" si="4495"/>
        <v>0</v>
      </c>
      <c r="P2243" s="1017">
        <f>-L2242</f>
        <v>0</v>
      </c>
      <c r="Q2243" s="1362">
        <f t="shared" si="4496"/>
        <v>0</v>
      </c>
      <c r="R2243" s="349">
        <f ca="1">+N2242</f>
        <v>4050.88</v>
      </c>
      <c r="S2243" s="349">
        <f ca="1">IF(OR(E2243="",E2243&gt;TODAY()),0,IF(ISERROR(VLOOKUP($E2243,'TRM BanRep'!$A:$G,7,0)),0,VLOOKUP($E2243,'TRM BanRep'!$A:$G,7,0)))</f>
        <v>4050.88</v>
      </c>
      <c r="T2243" s="1031">
        <f t="shared" ca="1" si="4497"/>
        <v>0</v>
      </c>
      <c r="U2243" s="977">
        <f t="shared" si="4498"/>
        <v>0</v>
      </c>
      <c r="V2243" s="978">
        <f t="shared" ca="1" si="4499"/>
        <v>0</v>
      </c>
      <c r="W2243" s="428">
        <f t="shared" ca="1" si="4500"/>
        <v>0</v>
      </c>
      <c r="X2243" s="429">
        <f t="shared" ca="1" si="4501"/>
        <v>0</v>
      </c>
      <c r="Y2243" s="1018"/>
      <c r="Z2243" s="220"/>
      <c r="AA2243" s="15"/>
      <c r="AB2243" s="15"/>
      <c r="AC2243" s="15"/>
      <c r="AD2243" s="15"/>
      <c r="AE2243" s="15"/>
    </row>
    <row r="2244" spans="1:31" s="401" customFormat="1">
      <c r="A2244" s="1011"/>
      <c r="B2244" s="1012"/>
      <c r="C2244" s="1661"/>
      <c r="D2244" s="1665"/>
      <c r="E2244" s="1666"/>
      <c r="F2244" s="1015"/>
      <c r="G2244" s="1293"/>
      <c r="H2244" s="346"/>
      <c r="I2244" s="1016"/>
      <c r="J2244" s="1402"/>
      <c r="K2244" s="1402"/>
      <c r="L2244" s="347"/>
      <c r="M2244" s="1329"/>
      <c r="N2244" s="348"/>
      <c r="O2244" s="996"/>
      <c r="P2244" s="1017"/>
      <c r="Q2244" s="1362"/>
      <c r="R2244" s="349"/>
      <c r="S2244" s="349"/>
      <c r="T2244" s="1031"/>
      <c r="U2244" s="977"/>
      <c r="V2244" s="978"/>
      <c r="W2244" s="428">
        <f t="shared" si="4468"/>
        <v>0</v>
      </c>
      <c r="X2244" s="429">
        <f t="shared" si="4469"/>
        <v>0</v>
      </c>
      <c r="Y2244" s="1018"/>
      <c r="Z2244" s="220"/>
      <c r="AA2244" s="15"/>
      <c r="AB2244" s="15"/>
      <c r="AC2244" s="15"/>
      <c r="AD2244" s="15"/>
      <c r="AE2244" s="15"/>
    </row>
    <row r="2245" spans="1:31" s="344" customFormat="1" ht="15.75">
      <c r="A2245" s="997">
        <v>2425100000</v>
      </c>
      <c r="B2245" s="998" t="s">
        <v>77</v>
      </c>
      <c r="C2245" s="1663" t="s">
        <v>106</v>
      </c>
      <c r="D2245" s="1669" t="s">
        <v>128</v>
      </c>
      <c r="E2245" s="1670"/>
      <c r="F2245" s="1001"/>
      <c r="G2245" s="1291"/>
      <c r="H2245" s="343"/>
      <c r="I2245" s="1002">
        <v>8270016057</v>
      </c>
      <c r="J2245" s="1372"/>
      <c r="K2245" s="1372"/>
      <c r="L2245" s="1003"/>
      <c r="M2245" s="1326"/>
      <c r="N2245" s="343"/>
      <c r="O2245" s="1002">
        <f>+L2245*N2245</f>
        <v>0</v>
      </c>
      <c r="P2245" s="1001"/>
      <c r="Q2245" s="1291"/>
      <c r="R2245" s="343"/>
      <c r="S2245" s="343"/>
      <c r="T2245" s="1002">
        <f>+P2245*R2245</f>
        <v>0</v>
      </c>
      <c r="U2245" s="1001">
        <f t="shared" ref="U2245:U2254" si="4502">+L2245+P2245+F2245</f>
        <v>0</v>
      </c>
      <c r="V2245" s="1002">
        <f>+I2245+T2245+O2245</f>
        <v>8270016057</v>
      </c>
      <c r="W2245" s="1032"/>
      <c r="X2245" s="1033"/>
      <c r="Y2245" s="1034"/>
      <c r="Z2245" s="14"/>
      <c r="AA2245" s="364"/>
      <c r="AB2245" s="364"/>
      <c r="AC2245" s="364"/>
      <c r="AD2245" s="364"/>
      <c r="AE2245" s="364"/>
    </row>
    <row r="2246" spans="1:31" s="302" customFormat="1" ht="15.75" outlineLevel="1">
      <c r="A2246" s="979">
        <v>2425100000</v>
      </c>
      <c r="B2246" s="980" t="s">
        <v>129</v>
      </c>
      <c r="C2246" s="1664" t="s">
        <v>106</v>
      </c>
      <c r="D2246" s="1671" t="s">
        <v>128</v>
      </c>
      <c r="E2246" s="1682"/>
      <c r="F2246" s="982"/>
      <c r="G2246" s="1286"/>
      <c r="H2246" s="930"/>
      <c r="I2246" s="1005">
        <f t="shared" ref="I2246:I2254" si="4503">+F2246*H2246</f>
        <v>0</v>
      </c>
      <c r="J2246" s="1398"/>
      <c r="K2246" s="1398"/>
      <c r="L2246" s="1006"/>
      <c r="M2246" s="1327"/>
      <c r="N2246" s="931"/>
      <c r="O2246" s="1007"/>
      <c r="P2246" s="1008"/>
      <c r="Q2246" s="1360"/>
      <c r="R2246" s="932"/>
      <c r="S2246" s="932"/>
      <c r="T2246" s="1009">
        <f>+P2246*R2246</f>
        <v>0</v>
      </c>
      <c r="U2246" s="1010">
        <f t="shared" si="4502"/>
        <v>0</v>
      </c>
      <c r="V2246" s="983">
        <v>-8191277720</v>
      </c>
      <c r="W2246" s="1032"/>
      <c r="X2246" s="1033"/>
      <c r="Y2246" s="1034"/>
      <c r="Z2246" s="14"/>
      <c r="AA2246" s="15"/>
      <c r="AB2246" s="15"/>
      <c r="AC2246" s="15"/>
      <c r="AD2246" s="15"/>
      <c r="AE2246" s="15"/>
    </row>
    <row r="2247" spans="1:31" s="302" customFormat="1" ht="15.75" outlineLevel="1">
      <c r="A2247" s="979">
        <v>2425100000</v>
      </c>
      <c r="B2247" s="980" t="s">
        <v>130</v>
      </c>
      <c r="C2247" s="1664" t="s">
        <v>106</v>
      </c>
      <c r="D2247" s="1671" t="s">
        <v>128</v>
      </c>
      <c r="E2247" s="1682"/>
      <c r="F2247" s="982"/>
      <c r="G2247" s="1286"/>
      <c r="H2247" s="930"/>
      <c r="I2247" s="1005">
        <f t="shared" si="4503"/>
        <v>0</v>
      </c>
      <c r="J2247" s="1398"/>
      <c r="K2247" s="1398"/>
      <c r="L2247" s="1006"/>
      <c r="M2247" s="1327"/>
      <c r="N2247" s="931"/>
      <c r="O2247" s="1007"/>
      <c r="P2247" s="1008"/>
      <c r="Q2247" s="1360"/>
      <c r="R2247" s="932"/>
      <c r="S2247" s="932"/>
      <c r="T2247" s="1009">
        <f>+P2247*R2247</f>
        <v>0</v>
      </c>
      <c r="U2247" s="1010">
        <f t="shared" si="4502"/>
        <v>0</v>
      </c>
      <c r="V2247" s="983">
        <f>-1463613994+1499465065</f>
        <v>35851071</v>
      </c>
      <c r="W2247" s="1032"/>
      <c r="X2247" s="1033"/>
      <c r="Y2247" s="1034"/>
      <c r="Z2247" s="14"/>
      <c r="AA2247" s="15"/>
      <c r="AB2247" s="15"/>
      <c r="AC2247" s="15"/>
      <c r="AD2247" s="15"/>
      <c r="AE2247" s="15"/>
    </row>
    <row r="2248" spans="1:31" s="302" customFormat="1" ht="15.75" outlineLevel="1">
      <c r="A2248" s="979">
        <v>2425100000</v>
      </c>
      <c r="B2248" s="980" t="s">
        <v>131</v>
      </c>
      <c r="C2248" s="1664" t="s">
        <v>106</v>
      </c>
      <c r="D2248" s="1671" t="s">
        <v>128</v>
      </c>
      <c r="E2248" s="1682"/>
      <c r="F2248" s="982"/>
      <c r="G2248" s="1286"/>
      <c r="H2248" s="930"/>
      <c r="I2248" s="1005">
        <f t="shared" si="4503"/>
        <v>0</v>
      </c>
      <c r="J2248" s="1398"/>
      <c r="K2248" s="1398"/>
      <c r="L2248" s="1006"/>
      <c r="M2248" s="1327"/>
      <c r="N2248" s="931"/>
      <c r="O2248" s="1007"/>
      <c r="P2248" s="1008"/>
      <c r="Q2248" s="1360"/>
      <c r="R2248" s="932"/>
      <c r="S2248" s="932"/>
      <c r="T2248" s="1009">
        <f>+P2248*R2248</f>
        <v>0</v>
      </c>
      <c r="U2248" s="1010">
        <f t="shared" si="4502"/>
        <v>0</v>
      </c>
      <c r="V2248" s="983">
        <v>-135706832</v>
      </c>
      <c r="W2248" s="1032"/>
      <c r="X2248" s="1033"/>
      <c r="Y2248" s="1034"/>
      <c r="Z2248" s="14"/>
      <c r="AA2248" s="15"/>
      <c r="AB2248" s="15"/>
      <c r="AC2248" s="15"/>
      <c r="AD2248" s="15"/>
      <c r="AE2248" s="15"/>
    </row>
    <row r="2249" spans="1:31" s="302" customFormat="1" ht="15.75" outlineLevel="1">
      <c r="A2249" s="979">
        <v>2425100000</v>
      </c>
      <c r="B2249" s="980" t="s">
        <v>132</v>
      </c>
      <c r="C2249" s="1664" t="s">
        <v>106</v>
      </c>
      <c r="D2249" s="1671" t="s">
        <v>128</v>
      </c>
      <c r="E2249" s="1682"/>
      <c r="F2249" s="982"/>
      <c r="G2249" s="1286"/>
      <c r="H2249" s="930"/>
      <c r="I2249" s="1005">
        <f t="shared" si="4503"/>
        <v>0</v>
      </c>
      <c r="J2249" s="1398"/>
      <c r="K2249" s="1398"/>
      <c r="L2249" s="1006"/>
      <c r="M2249" s="1327"/>
      <c r="N2249" s="931"/>
      <c r="O2249" s="1007"/>
      <c r="P2249" s="1008"/>
      <c r="Q2249" s="1360"/>
      <c r="R2249" s="932"/>
      <c r="S2249" s="932"/>
      <c r="T2249" s="1009"/>
      <c r="U2249" s="1010">
        <f t="shared" si="4502"/>
        <v>0</v>
      </c>
      <c r="V2249" s="983">
        <v>1234411144</v>
      </c>
      <c r="W2249" s="1032"/>
      <c r="X2249" s="1033"/>
      <c r="Y2249" s="1034"/>
      <c r="Z2249" s="14"/>
      <c r="AA2249" s="15"/>
      <c r="AB2249" s="15"/>
      <c r="AC2249" s="15"/>
      <c r="AD2249" s="15"/>
      <c r="AE2249" s="15"/>
    </row>
    <row r="2250" spans="1:31" s="302" customFormat="1" ht="15.75" outlineLevel="1">
      <c r="A2250" s="979">
        <v>2425100000</v>
      </c>
      <c r="B2250" s="980" t="s">
        <v>133</v>
      </c>
      <c r="C2250" s="1664" t="s">
        <v>106</v>
      </c>
      <c r="D2250" s="1671" t="s">
        <v>128</v>
      </c>
      <c r="E2250" s="1682"/>
      <c r="F2250" s="982"/>
      <c r="G2250" s="1286"/>
      <c r="H2250" s="930"/>
      <c r="I2250" s="1005">
        <f t="shared" si="4503"/>
        <v>0</v>
      </c>
      <c r="J2250" s="1398"/>
      <c r="K2250" s="1398"/>
      <c r="L2250" s="1006"/>
      <c r="M2250" s="1327"/>
      <c r="N2250" s="931"/>
      <c r="O2250" s="1007"/>
      <c r="P2250" s="1008"/>
      <c r="Q2250" s="1360"/>
      <c r="R2250" s="932"/>
      <c r="S2250" s="932"/>
      <c r="T2250" s="1009"/>
      <c r="U2250" s="1010">
        <f t="shared" si="4502"/>
        <v>0</v>
      </c>
      <c r="V2250" s="983">
        <v>0</v>
      </c>
      <c r="W2250" s="1032"/>
      <c r="X2250" s="1033"/>
      <c r="Y2250" s="1034"/>
      <c r="Z2250" s="14"/>
      <c r="AA2250" s="15"/>
      <c r="AB2250" s="15"/>
      <c r="AC2250" s="15"/>
      <c r="AD2250" s="15"/>
      <c r="AE2250" s="15"/>
    </row>
    <row r="2251" spans="1:31" s="302" customFormat="1" ht="15.75" outlineLevel="1">
      <c r="A2251" s="979">
        <v>2425100000</v>
      </c>
      <c r="B2251" s="980" t="s">
        <v>134</v>
      </c>
      <c r="C2251" s="1664" t="s">
        <v>106</v>
      </c>
      <c r="D2251" s="1671" t="s">
        <v>128</v>
      </c>
      <c r="E2251" s="1682"/>
      <c r="F2251" s="982"/>
      <c r="G2251" s="1286"/>
      <c r="H2251" s="930"/>
      <c r="I2251" s="1005">
        <f t="shared" si="4503"/>
        <v>0</v>
      </c>
      <c r="J2251" s="1398"/>
      <c r="K2251" s="1398"/>
      <c r="L2251" s="1006"/>
      <c r="M2251" s="1327"/>
      <c r="N2251" s="931"/>
      <c r="O2251" s="1007">
        <f>+L2251*N2251</f>
        <v>0</v>
      </c>
      <c r="P2251" s="1008"/>
      <c r="Q2251" s="1360"/>
      <c r="R2251" s="932"/>
      <c r="S2251" s="932"/>
      <c r="T2251" s="1009">
        <f>+P2251*R2251</f>
        <v>0</v>
      </c>
      <c r="U2251" s="1010">
        <f t="shared" si="4502"/>
        <v>0</v>
      </c>
      <c r="V2251" s="983">
        <v>0</v>
      </c>
      <c r="W2251" s="1032"/>
      <c r="X2251" s="1033"/>
      <c r="Y2251" s="1034"/>
      <c r="Z2251" s="14"/>
      <c r="AA2251" s="15"/>
      <c r="AB2251" s="15"/>
      <c r="AC2251" s="15"/>
      <c r="AD2251" s="15"/>
      <c r="AE2251" s="15"/>
    </row>
    <row r="2252" spans="1:31" s="302" customFormat="1" ht="15.75" outlineLevel="1">
      <c r="A2252" s="979">
        <v>2425100000</v>
      </c>
      <c r="B2252" s="980" t="s">
        <v>135</v>
      </c>
      <c r="C2252" s="1664" t="s">
        <v>106</v>
      </c>
      <c r="D2252" s="1671" t="s">
        <v>128</v>
      </c>
      <c r="E2252" s="1682"/>
      <c r="F2252" s="982"/>
      <c r="G2252" s="1286"/>
      <c r="H2252" s="930"/>
      <c r="I2252" s="1005">
        <f t="shared" si="4503"/>
        <v>0</v>
      </c>
      <c r="J2252" s="1398"/>
      <c r="K2252" s="1398"/>
      <c r="L2252" s="1006"/>
      <c r="M2252" s="1327"/>
      <c r="N2252" s="931"/>
      <c r="O2252" s="1007">
        <f>+L2252*N2252</f>
        <v>0</v>
      </c>
      <c r="P2252" s="1008"/>
      <c r="Q2252" s="1360"/>
      <c r="R2252" s="932"/>
      <c r="S2252" s="932"/>
      <c r="T2252" s="1009">
        <f>+P2252*R2252</f>
        <v>0</v>
      </c>
      <c r="U2252" s="1010">
        <f t="shared" si="4502"/>
        <v>0</v>
      </c>
      <c r="V2252" s="983">
        <v>0</v>
      </c>
      <c r="W2252" s="1032"/>
      <c r="X2252" s="1033"/>
      <c r="Y2252" s="1034"/>
      <c r="Z2252" s="14"/>
      <c r="AA2252" s="15"/>
      <c r="AB2252" s="15"/>
      <c r="AC2252" s="15"/>
      <c r="AD2252" s="15"/>
      <c r="AE2252" s="15"/>
    </row>
    <row r="2253" spans="1:31" s="302" customFormat="1" ht="15.75" outlineLevel="1">
      <c r="A2253" s="979">
        <v>2425100000</v>
      </c>
      <c r="B2253" s="980" t="s">
        <v>136</v>
      </c>
      <c r="C2253" s="1664" t="s">
        <v>106</v>
      </c>
      <c r="D2253" s="1671" t="s">
        <v>128</v>
      </c>
      <c r="E2253" s="1682"/>
      <c r="F2253" s="982"/>
      <c r="G2253" s="1286"/>
      <c r="H2253" s="930"/>
      <c r="I2253" s="1005">
        <f t="shared" si="4503"/>
        <v>0</v>
      </c>
      <c r="J2253" s="1398"/>
      <c r="K2253" s="1398"/>
      <c r="L2253" s="1006"/>
      <c r="M2253" s="1327"/>
      <c r="N2253" s="931"/>
      <c r="O2253" s="1007">
        <f>+L2253*N2253</f>
        <v>0</v>
      </c>
      <c r="P2253" s="1008"/>
      <c r="Q2253" s="1360"/>
      <c r="R2253" s="932"/>
      <c r="S2253" s="932"/>
      <c r="T2253" s="1009">
        <f>+P2253*R2253</f>
        <v>0</v>
      </c>
      <c r="U2253" s="1010">
        <f t="shared" si="4502"/>
        <v>0</v>
      </c>
      <c r="V2253" s="983">
        <v>0</v>
      </c>
      <c r="W2253" s="1032"/>
      <c r="X2253" s="1033"/>
      <c r="Y2253" s="1034"/>
      <c r="Z2253" s="14"/>
      <c r="AA2253" s="15"/>
      <c r="AB2253" s="15"/>
      <c r="AC2253" s="15"/>
      <c r="AD2253" s="15"/>
      <c r="AE2253" s="15"/>
    </row>
    <row r="2254" spans="1:31" s="302" customFormat="1" ht="15.75" outlineLevel="1">
      <c r="A2254" s="979">
        <v>2425100000</v>
      </c>
      <c r="B2254" s="980" t="s">
        <v>143</v>
      </c>
      <c r="C2254" s="1664" t="s">
        <v>106</v>
      </c>
      <c r="D2254" s="1671" t="s">
        <v>128</v>
      </c>
      <c r="E2254" s="1682"/>
      <c r="F2254" s="982"/>
      <c r="G2254" s="1286"/>
      <c r="H2254" s="930"/>
      <c r="I2254" s="1005">
        <f t="shared" si="4503"/>
        <v>0</v>
      </c>
      <c r="J2254" s="1398"/>
      <c r="K2254" s="1398"/>
      <c r="L2254" s="1006"/>
      <c r="M2254" s="1327"/>
      <c r="N2254" s="931"/>
      <c r="O2254" s="1007">
        <f>+L2254*N2254</f>
        <v>0</v>
      </c>
      <c r="P2254" s="1008"/>
      <c r="Q2254" s="1360"/>
      <c r="R2254" s="932"/>
      <c r="S2254" s="932"/>
      <c r="T2254" s="1009">
        <f>+P2254*R2254</f>
        <v>0</v>
      </c>
      <c r="U2254" s="1010">
        <f t="shared" si="4502"/>
        <v>0</v>
      </c>
      <c r="V2254" s="983">
        <v>0</v>
      </c>
      <c r="W2254" s="1032"/>
      <c r="X2254" s="1033"/>
      <c r="Y2254" s="1034"/>
      <c r="Z2254" s="14"/>
      <c r="AA2254" s="15"/>
      <c r="AB2254" s="15"/>
      <c r="AC2254" s="15"/>
      <c r="AD2254" s="15"/>
      <c r="AE2254" s="15"/>
    </row>
    <row r="2255" spans="1:31" s="302" customFormat="1" ht="15.75" outlineLevel="1">
      <c r="A2255" s="979">
        <v>2425100000</v>
      </c>
      <c r="B2255" s="980" t="s">
        <v>138</v>
      </c>
      <c r="C2255" s="1664" t="s">
        <v>106</v>
      </c>
      <c r="D2255" s="1671" t="s">
        <v>128</v>
      </c>
      <c r="E2255" s="1682"/>
      <c r="F2255" s="982"/>
      <c r="G2255" s="1286"/>
      <c r="H2255" s="930"/>
      <c r="I2255" s="1005"/>
      <c r="J2255" s="1398"/>
      <c r="K2255" s="1398"/>
      <c r="L2255" s="1006"/>
      <c r="M2255" s="1327"/>
      <c r="N2255" s="931"/>
      <c r="O2255" s="1007"/>
      <c r="P2255" s="1008"/>
      <c r="Q2255" s="1360"/>
      <c r="R2255" s="932"/>
      <c r="S2255" s="932"/>
      <c r="T2255" s="1009"/>
      <c r="U2255" s="1010"/>
      <c r="V2255" s="983">
        <v>0</v>
      </c>
      <c r="W2255" s="367"/>
      <c r="X2255" s="368"/>
      <c r="Y2255" s="369"/>
      <c r="Z2255" s="14"/>
      <c r="AA2255" s="15"/>
      <c r="AB2255" s="15"/>
      <c r="AC2255" s="15"/>
      <c r="AD2255" s="15"/>
      <c r="AE2255" s="15"/>
    </row>
    <row r="2256" spans="1:31" s="302" customFormat="1" ht="15.75" outlineLevel="1">
      <c r="A2256" s="979">
        <v>2425100000</v>
      </c>
      <c r="B2256" s="980" t="s">
        <v>139</v>
      </c>
      <c r="C2256" s="1664" t="s">
        <v>106</v>
      </c>
      <c r="D2256" s="1671" t="s">
        <v>128</v>
      </c>
      <c r="E2256" s="1682"/>
      <c r="F2256" s="982"/>
      <c r="G2256" s="1286"/>
      <c r="H2256" s="930"/>
      <c r="I2256" s="1005"/>
      <c r="J2256" s="1398"/>
      <c r="K2256" s="1398"/>
      <c r="L2256" s="1006"/>
      <c r="M2256" s="1327"/>
      <c r="N2256" s="931"/>
      <c r="O2256" s="1007"/>
      <c r="P2256" s="1008"/>
      <c r="Q2256" s="1360"/>
      <c r="R2256" s="932"/>
      <c r="S2256" s="932"/>
      <c r="T2256" s="1009"/>
      <c r="U2256" s="1010"/>
      <c r="V2256" s="983">
        <v>0</v>
      </c>
      <c r="W2256" s="367"/>
      <c r="X2256" s="368"/>
      <c r="Y2256" s="369"/>
      <c r="Z2256" s="14"/>
      <c r="AA2256" s="15"/>
      <c r="AB2256" s="15"/>
      <c r="AC2256" s="15"/>
      <c r="AD2256" s="15"/>
      <c r="AE2256" s="15"/>
    </row>
    <row r="2257" spans="1:38" s="302" customFormat="1" ht="15.75" outlineLevel="1">
      <c r="A2257" s="979">
        <v>2425100000</v>
      </c>
      <c r="B2257" s="980" t="s">
        <v>140</v>
      </c>
      <c r="C2257" s="1664" t="s">
        <v>106</v>
      </c>
      <c r="D2257" s="1671" t="s">
        <v>128</v>
      </c>
      <c r="E2257" s="1682"/>
      <c r="F2257" s="982"/>
      <c r="G2257" s="1286"/>
      <c r="H2257" s="930"/>
      <c r="I2257" s="1005"/>
      <c r="J2257" s="1398"/>
      <c r="K2257" s="1398"/>
      <c r="L2257" s="1006"/>
      <c r="M2257" s="1327"/>
      <c r="N2257" s="931"/>
      <c r="O2257" s="1007"/>
      <c r="P2257" s="1008"/>
      <c r="Q2257" s="1360"/>
      <c r="R2257" s="932"/>
      <c r="S2257" s="932"/>
      <c r="T2257" s="1009"/>
      <c r="U2257" s="1010"/>
      <c r="V2257" s="983">
        <v>0</v>
      </c>
      <c r="W2257" s="367"/>
      <c r="X2257" s="368"/>
      <c r="Y2257" s="369"/>
      <c r="Z2257" s="14"/>
      <c r="AA2257" s="15"/>
      <c r="AB2257" s="15"/>
      <c r="AC2257" s="15"/>
      <c r="AD2257" s="15"/>
      <c r="AE2257" s="15"/>
    </row>
    <row r="2258" spans="1:38" ht="15.75" thickBot="1">
      <c r="A2258" s="55"/>
      <c r="B2258" s="509"/>
      <c r="C2258" s="1512"/>
      <c r="D2258" s="1538"/>
      <c r="E2258" s="1674"/>
      <c r="F2258" s="455"/>
      <c r="G2258" s="1280"/>
      <c r="H2258" s="456"/>
      <c r="I2258" s="457">
        <f>+F2258*H2258</f>
        <v>0</v>
      </c>
      <c r="J2258" s="1395"/>
      <c r="K2258" s="1395"/>
      <c r="L2258" s="458"/>
      <c r="M2258" s="1316"/>
      <c r="N2258" s="459"/>
      <c r="O2258" s="460">
        <f>+L2258*N2258</f>
        <v>0</v>
      </c>
      <c r="P2258" s="461"/>
      <c r="Q2258" s="1351"/>
      <c r="R2258" s="462"/>
      <c r="S2258" s="462"/>
      <c r="T2258" s="463">
        <f>+P2258*R2258</f>
        <v>0</v>
      </c>
      <c r="U2258" s="464">
        <f>+L2258+P2258+F2258</f>
        <v>0</v>
      </c>
      <c r="V2258" s="465"/>
      <c r="W2258" s="852"/>
      <c r="X2258" s="853"/>
      <c r="Y2258" s="854"/>
    </row>
    <row r="2259" spans="1:38" s="252" customFormat="1" ht="19.5" thickBot="1">
      <c r="A2259" s="900" t="s">
        <v>162</v>
      </c>
      <c r="B2259" s="901"/>
      <c r="C2259" s="902"/>
      <c r="D2259" s="1688"/>
      <c r="E2259" s="1689"/>
      <c r="F2259" s="904">
        <f>SUM(F2230:F2258)</f>
        <v>247728.3</v>
      </c>
      <c r="G2259" s="1292"/>
      <c r="H2259" s="905"/>
      <c r="I2259" s="906">
        <f>SUM(I2230:I2258)</f>
        <v>9449609039.4120007</v>
      </c>
      <c r="J2259" s="1373"/>
      <c r="K2259" s="1373"/>
      <c r="L2259" s="907">
        <f>SUM(L2230:L2258)</f>
        <v>329375.33999999997</v>
      </c>
      <c r="M2259" s="1328"/>
      <c r="N2259" s="908"/>
      <c r="O2259" s="909">
        <f ca="1">SUM(O2230:O2258)</f>
        <v>1546627023.8453999</v>
      </c>
      <c r="P2259" s="910">
        <f>SUM(P2231:P2258)</f>
        <v>-577103.6399999999</v>
      </c>
      <c r="Q2259" s="1361"/>
      <c r="R2259" s="911"/>
      <c r="S2259" s="911"/>
      <c r="T2259" s="912">
        <f ca="1">SUM(T2230:T2258)</f>
        <v>-2751041695.6535997</v>
      </c>
      <c r="U2259" s="913">
        <f>SUM(U2230:U2258)</f>
        <v>0</v>
      </c>
      <c r="V2259" s="914">
        <f ca="1">SUM(V2230:V2258)</f>
        <v>1213293720</v>
      </c>
      <c r="W2259" s="915">
        <f ca="1">SUM(W2230:W2258)</f>
        <v>58857483.299999952</v>
      </c>
      <c r="X2259" s="916">
        <f ca="1">SUM(X2230:X2258)</f>
        <v>-34035793.903800003</v>
      </c>
      <c r="Y2259" s="917"/>
      <c r="Z2259" s="1073"/>
      <c r="AA2259" s="364"/>
      <c r="AB2259" s="364"/>
      <c r="AC2259" s="364"/>
      <c r="AD2259" s="364"/>
      <c r="AE2259" s="364"/>
    </row>
    <row r="2260" spans="1:38">
      <c r="V2260" s="9"/>
      <c r="W2260" s="9"/>
      <c r="X2260" s="9"/>
      <c r="Y2260" s="345"/>
    </row>
    <row r="2261" spans="1:38" ht="15.75" thickBot="1">
      <c r="V2261" s="478"/>
      <c r="W2261" s="9">
        <v>0</v>
      </c>
      <c r="X2261" s="9"/>
      <c r="Y2261" s="345"/>
    </row>
    <row r="2262" spans="1:38" s="27" customFormat="1" ht="21">
      <c r="A2262" s="827" t="s">
        <v>289</v>
      </c>
      <c r="B2262" s="828"/>
      <c r="C2262" s="2581" t="s">
        <v>57</v>
      </c>
      <c r="D2262" s="2585" t="s">
        <v>59</v>
      </c>
      <c r="E2262" s="2583" t="s">
        <v>58</v>
      </c>
      <c r="F2262" s="2564" t="str">
        <f>+F6</f>
        <v>SALDO FISCAL 31/12/2022</v>
      </c>
      <c r="G2262" s="2565"/>
      <c r="H2262" s="2565"/>
      <c r="I2262" s="2566"/>
      <c r="J2262" s="2580" t="str">
        <f>J6</f>
        <v>Tasa Mon Extranj</v>
      </c>
      <c r="K2262" s="2568"/>
      <c r="L2262" s="2569" t="str">
        <f>+L6</f>
        <v>ENTRADAS</v>
      </c>
      <c r="M2262" s="2570"/>
      <c r="N2262" s="2570"/>
      <c r="O2262" s="2571"/>
      <c r="P2262" s="2572" t="str">
        <f>+P6</f>
        <v>SALIDAS</v>
      </c>
      <c r="Q2262" s="2573"/>
      <c r="R2262" s="2573"/>
      <c r="S2262" s="2573"/>
      <c r="T2262" s="2574"/>
      <c r="U2262" s="2575" t="s">
        <v>62</v>
      </c>
      <c r="V2262" s="2576"/>
      <c r="W2262" s="2577" t="s">
        <v>63</v>
      </c>
      <c r="X2262" s="2578"/>
      <c r="Y2262" s="2579"/>
      <c r="Z2262" s="44"/>
      <c r="AA2262" s="364"/>
      <c r="AB2262" s="364"/>
      <c r="AC2262" s="364"/>
      <c r="AD2262" s="364"/>
      <c r="AE2262" s="364"/>
    </row>
    <row r="2263" spans="1:38" s="216" customFormat="1" ht="15.75" thickBot="1">
      <c r="A2263" s="253" t="s">
        <v>87</v>
      </c>
      <c r="B2263" s="254" t="s">
        <v>88</v>
      </c>
      <c r="C2263" s="2582"/>
      <c r="D2263" s="2586"/>
      <c r="E2263" s="2584"/>
      <c r="F2263" s="30" t="str">
        <f>F7</f>
        <v>MON/EX</v>
      </c>
      <c r="G2263" s="1249" t="str">
        <f>G7</f>
        <v>USD</v>
      </c>
      <c r="H2263" s="31" t="str">
        <f>H7</f>
        <v>TRM CIERRE</v>
      </c>
      <c r="I2263" s="32" t="str">
        <f>I7</f>
        <v>SALDO PESOS</v>
      </c>
      <c r="J2263" s="1423" t="str">
        <f>J7</f>
        <v>Inicial</v>
      </c>
      <c r="K2263" s="1338" t="str">
        <f t="shared" ref="K2263:X2263" si="4504">K7</f>
        <v>Pago</v>
      </c>
      <c r="L2263" s="33" t="str">
        <f t="shared" si="4504"/>
        <v>ENTRADAS MON/EX</v>
      </c>
      <c r="M2263" s="1297" t="str">
        <f t="shared" si="4504"/>
        <v>USD</v>
      </c>
      <c r="N2263" s="34" t="str">
        <f t="shared" si="4504"/>
        <v>TRM INICIAL</v>
      </c>
      <c r="O2263" s="35" t="str">
        <f t="shared" si="4504"/>
        <v>ENTRADAS PESOS</v>
      </c>
      <c r="P2263" s="36" t="str">
        <f t="shared" si="4504"/>
        <v>PAGOS MON/EX</v>
      </c>
      <c r="Q2263" s="1338" t="str">
        <f t="shared" si="4504"/>
        <v>USD</v>
      </c>
      <c r="R2263" s="37" t="str">
        <f t="shared" si="4504"/>
        <v>TRM INICIAL</v>
      </c>
      <c r="S2263" s="37" t="str">
        <f t="shared" si="4504"/>
        <v>TRM PAGO</v>
      </c>
      <c r="T2263" s="38" t="str">
        <f t="shared" si="4504"/>
        <v>PAGO EN PESOS</v>
      </c>
      <c r="U2263" s="39" t="str">
        <f t="shared" si="4504"/>
        <v xml:space="preserve"> SALDO MON/EX</v>
      </c>
      <c r="V2263" s="40" t="str">
        <f t="shared" si="4504"/>
        <v>SALDO  PESOS</v>
      </c>
      <c r="W2263" s="41" t="str">
        <f t="shared" si="4504"/>
        <v>GASTO</v>
      </c>
      <c r="X2263" s="42" t="str">
        <f t="shared" si="4504"/>
        <v>INGRESO</v>
      </c>
      <c r="Y2263" s="43"/>
      <c r="Z2263" s="214"/>
      <c r="AA2263" s="366"/>
      <c r="AB2263" s="366"/>
      <c r="AC2263" s="366"/>
      <c r="AD2263" s="366"/>
      <c r="AE2263" s="366"/>
    </row>
    <row r="2264" spans="1:38" s="324" customFormat="1" ht="15.75">
      <c r="A2264" s="961">
        <v>2425530100</v>
      </c>
      <c r="B2264" s="962" t="s">
        <v>77</v>
      </c>
      <c r="C2264" s="1465" t="s">
        <v>64</v>
      </c>
      <c r="D2264" s="1467"/>
      <c r="E2264" s="1687"/>
      <c r="F2264" s="926"/>
      <c r="G2264" s="1282">
        <f t="shared" ref="G2264" si="4505">ROUND(F2264*J2264,2)</f>
        <v>0</v>
      </c>
      <c r="H2264" s="927"/>
      <c r="I2264" s="928">
        <f t="shared" ref="I2264" si="4506">+F2264*J2264*H2264</f>
        <v>0</v>
      </c>
      <c r="J2264" s="1407">
        <v>1</v>
      </c>
      <c r="K2264" s="1377">
        <v>1</v>
      </c>
      <c r="L2264" s="929"/>
      <c r="M2264" s="1318">
        <f t="shared" ref="M2264:M2281" si="4507">+L2264*J2264</f>
        <v>0</v>
      </c>
      <c r="N2264" s="927"/>
      <c r="O2264" s="928">
        <f t="shared" ref="O2264:O2281" si="4508">+L2264*J2264*N2264</f>
        <v>0</v>
      </c>
      <c r="P2264" s="926"/>
      <c r="Q2264" s="1282">
        <f t="shared" ref="Q2264:Q2281" si="4509">+P2264*K2264</f>
        <v>0</v>
      </c>
      <c r="R2264" s="927"/>
      <c r="S2264" s="927"/>
      <c r="T2264" s="928">
        <f t="shared" ref="T2264:T2281" si="4510">+P2264*K2264*S2264</f>
        <v>0</v>
      </c>
      <c r="U2264" s="926">
        <f t="shared" ref="U2264:U2281" si="4511">+L2264+P2264+F2264</f>
        <v>0</v>
      </c>
      <c r="V2264" s="928">
        <f t="shared" ref="V2264:V2281" si="4512">+P2264*J2264*R2264+L2264*J2264*N2264+F2264*J2264*H2264</f>
        <v>0</v>
      </c>
      <c r="W2264" s="377">
        <f t="shared" ref="W2264:W2282" si="4513">-(IF(-P2264*J2264*R2264&lt;-P2264*K2264*S2264,(-P2264*J2264*R2264)-(-P2264*K2264*S2264),0))</f>
        <v>0</v>
      </c>
      <c r="X2264" s="378">
        <f t="shared" ref="X2264:X2282" si="4514">-(IF(-P2264*J2264*R2264&gt;-P2264*K2264*S2264,(-P2264*J2264*R2264)-(-P2264*K2264*S2264),0))</f>
        <v>0</v>
      </c>
      <c r="Y2264" s="379"/>
      <c r="Z2264" s="1070"/>
      <c r="AA2264" s="371"/>
      <c r="AB2264" s="371"/>
      <c r="AC2264" s="371"/>
      <c r="AD2264" s="371"/>
      <c r="AE2264" s="371"/>
      <c r="AL2264" s="1185"/>
    </row>
    <row r="2265" spans="1:38" s="401" customFormat="1" outlineLevel="1">
      <c r="A2265" s="984">
        <v>2425530100</v>
      </c>
      <c r="B2265" s="985"/>
      <c r="C2265" s="1662" t="s">
        <v>64</v>
      </c>
      <c r="D2265" s="1667"/>
      <c r="E2265" s="1668"/>
      <c r="F2265" s="988"/>
      <c r="G2265" s="1287"/>
      <c r="H2265" s="335"/>
      <c r="I2265" s="989">
        <f>+F2265*H2265</f>
        <v>0</v>
      </c>
      <c r="J2265" s="1587">
        <v>1</v>
      </c>
      <c r="K2265" s="1589">
        <v>1</v>
      </c>
      <c r="L2265" s="1590"/>
      <c r="M2265" s="1590">
        <f t="shared" si="4507"/>
        <v>0</v>
      </c>
      <c r="N2265" s="1591"/>
      <c r="O2265" s="990">
        <f t="shared" si="4508"/>
        <v>0</v>
      </c>
      <c r="P2265" s="1455">
        <f>-F2264</f>
        <v>0</v>
      </c>
      <c r="Q2265" s="1592">
        <f t="shared" si="4509"/>
        <v>0</v>
      </c>
      <c r="R2265" s="1591">
        <f>+H2264</f>
        <v>0</v>
      </c>
      <c r="S2265" s="1591"/>
      <c r="T2265" s="990">
        <f t="shared" si="4510"/>
        <v>0</v>
      </c>
      <c r="U2265" s="992">
        <f t="shared" si="4511"/>
        <v>0</v>
      </c>
      <c r="V2265" s="990">
        <f t="shared" si="4512"/>
        <v>0</v>
      </c>
      <c r="W2265" s="993">
        <f t="shared" si="4513"/>
        <v>0</v>
      </c>
      <c r="X2265" s="994">
        <f t="shared" si="4514"/>
        <v>0</v>
      </c>
      <c r="Y2265" s="995"/>
      <c r="Z2265" s="220"/>
      <c r="AA2265" s="15"/>
      <c r="AB2265" s="15"/>
      <c r="AC2265" s="15"/>
      <c r="AD2265" s="15"/>
      <c r="AE2265" s="15"/>
    </row>
    <row r="2266" spans="1:38" s="401" customFormat="1" outlineLevel="1">
      <c r="A2266" s="1019"/>
      <c r="B2266" s="1020"/>
      <c r="C2266" s="1677"/>
      <c r="D2266" s="1680"/>
      <c r="E2266" s="1681"/>
      <c r="F2266" s="1023"/>
      <c r="G2266" s="1290"/>
      <c r="H2266" s="352"/>
      <c r="I2266" s="1024"/>
      <c r="J2266" s="1401"/>
      <c r="K2266" s="1401"/>
      <c r="L2266" s="356"/>
      <c r="M2266" s="1332">
        <f t="shared" si="4507"/>
        <v>0</v>
      </c>
      <c r="N2266" s="353"/>
      <c r="O2266" s="1025">
        <f t="shared" si="4508"/>
        <v>0</v>
      </c>
      <c r="P2266" s="1026"/>
      <c r="Q2266" s="1324">
        <f t="shared" si="4509"/>
        <v>0</v>
      </c>
      <c r="R2266" s="353"/>
      <c r="S2266" s="353"/>
      <c r="T2266" s="1025">
        <f t="shared" si="4510"/>
        <v>0</v>
      </c>
      <c r="U2266" s="1027">
        <f t="shared" si="4511"/>
        <v>0</v>
      </c>
      <c r="V2266" s="1025">
        <f t="shared" si="4512"/>
        <v>0</v>
      </c>
      <c r="W2266" s="1028">
        <f t="shared" si="4513"/>
        <v>0</v>
      </c>
      <c r="X2266" s="1029">
        <f t="shared" si="4514"/>
        <v>0</v>
      </c>
      <c r="Y2266" s="1030"/>
      <c r="Z2266" s="220"/>
      <c r="AA2266" s="15"/>
      <c r="AB2266" s="15"/>
      <c r="AC2266" s="15"/>
      <c r="AD2266" s="15"/>
      <c r="AE2266" s="15"/>
    </row>
    <row r="2267" spans="1:38" s="401" customFormat="1" outlineLevel="1">
      <c r="A2267" s="1019">
        <v>2425530100</v>
      </c>
      <c r="B2267" s="1020" t="s">
        <v>2613</v>
      </c>
      <c r="C2267" s="1677" t="s">
        <v>64</v>
      </c>
      <c r="D2267" s="1680">
        <v>5100003049</v>
      </c>
      <c r="E2267" s="1681">
        <v>45028</v>
      </c>
      <c r="F2267" s="1023"/>
      <c r="G2267" s="1290"/>
      <c r="H2267" s="352"/>
      <c r="I2267" s="1024"/>
      <c r="J2267" s="1027">
        <v>1</v>
      </c>
      <c r="K2267" s="1459">
        <v>1</v>
      </c>
      <c r="L2267" s="1026">
        <v>4310.99</v>
      </c>
      <c r="M2267" s="1324">
        <f t="shared" si="4507"/>
        <v>4310.99</v>
      </c>
      <c r="N2267" s="353">
        <f ca="1">IF(OR(E2267="",E2267&gt;TODAY()),0,IF(ISERROR(VLOOKUP($E2267,'TRM BanRep'!$A:$G,7,0)),0,VLOOKUP($E2267,'TRM BanRep'!$A:$G,7,0)))</f>
        <v>4516.76</v>
      </c>
      <c r="O2267" s="1025">
        <f t="shared" ca="1" si="4508"/>
        <v>19471707.192400001</v>
      </c>
      <c r="P2267" s="1026"/>
      <c r="Q2267" s="1324">
        <f t="shared" si="4509"/>
        <v>0</v>
      </c>
      <c r="R2267" s="353"/>
      <c r="S2267" s="353"/>
      <c r="T2267" s="1025">
        <f t="shared" si="4510"/>
        <v>0</v>
      </c>
      <c r="U2267" s="1027">
        <f t="shared" si="4511"/>
        <v>4310.99</v>
      </c>
      <c r="V2267" s="1025">
        <f t="shared" ca="1" si="4512"/>
        <v>19471707.192400001</v>
      </c>
      <c r="W2267" s="1028">
        <f t="shared" si="4513"/>
        <v>0</v>
      </c>
      <c r="X2267" s="1029">
        <f t="shared" si="4514"/>
        <v>0</v>
      </c>
      <c r="Y2267" s="1030"/>
      <c r="Z2267" s="220"/>
      <c r="AA2267" s="15"/>
      <c r="AB2267" s="15"/>
      <c r="AC2267" s="15"/>
      <c r="AD2267" s="15"/>
      <c r="AE2267" s="15"/>
    </row>
    <row r="2268" spans="1:38" s="401" customFormat="1" outlineLevel="1">
      <c r="A2268" s="1019">
        <v>2425530100</v>
      </c>
      <c r="B2268" s="1020" t="s">
        <v>2614</v>
      </c>
      <c r="C2268" s="1677" t="s">
        <v>64</v>
      </c>
      <c r="D2268" s="1680">
        <v>5100003051</v>
      </c>
      <c r="E2268" s="1681">
        <v>45028</v>
      </c>
      <c r="F2268" s="1023"/>
      <c r="G2268" s="1290"/>
      <c r="H2268" s="352"/>
      <c r="I2268" s="1024"/>
      <c r="J2268" s="1027">
        <v>1</v>
      </c>
      <c r="K2268" s="1459">
        <v>1</v>
      </c>
      <c r="L2268" s="1026">
        <v>28800</v>
      </c>
      <c r="M2268" s="1332">
        <f t="shared" si="4507"/>
        <v>28800</v>
      </c>
      <c r="N2268" s="353">
        <f ca="1">IF(OR(E2268="",E2268&gt;TODAY()),0,IF(ISERROR(VLOOKUP($E2268,'TRM BanRep'!$A:$G,7,0)),0,VLOOKUP($E2268,'TRM BanRep'!$A:$G,7,0)))</f>
        <v>4516.76</v>
      </c>
      <c r="O2268" s="1025">
        <f t="shared" ca="1" si="4508"/>
        <v>130082688</v>
      </c>
      <c r="P2268" s="1026"/>
      <c r="Q2268" s="1324">
        <f t="shared" si="4509"/>
        <v>0</v>
      </c>
      <c r="R2268" s="353"/>
      <c r="S2268" s="353"/>
      <c r="T2268" s="1025">
        <f t="shared" si="4510"/>
        <v>0</v>
      </c>
      <c r="U2268" s="1027">
        <f t="shared" si="4511"/>
        <v>28800</v>
      </c>
      <c r="V2268" s="1025">
        <f t="shared" ca="1" si="4512"/>
        <v>130082688</v>
      </c>
      <c r="W2268" s="1028">
        <f t="shared" si="4513"/>
        <v>0</v>
      </c>
      <c r="X2268" s="1029">
        <f t="shared" si="4514"/>
        <v>0</v>
      </c>
      <c r="Y2268" s="1030"/>
      <c r="Z2268" s="220"/>
      <c r="AA2268" s="15"/>
      <c r="AB2268" s="15"/>
      <c r="AC2268" s="15"/>
      <c r="AD2268" s="15"/>
      <c r="AE2268" s="15"/>
    </row>
    <row r="2269" spans="1:38" s="401" customFormat="1" outlineLevel="1">
      <c r="A2269" s="1019">
        <v>2425530100</v>
      </c>
      <c r="B2269" s="1020" t="s">
        <v>2615</v>
      </c>
      <c r="C2269" s="1677" t="s">
        <v>64</v>
      </c>
      <c r="D2269" s="1680">
        <v>5100003414</v>
      </c>
      <c r="E2269" s="1681">
        <v>45041</v>
      </c>
      <c r="F2269" s="1023"/>
      <c r="G2269" s="1290"/>
      <c r="H2269" s="352"/>
      <c r="I2269" s="1024"/>
      <c r="J2269" s="1027">
        <v>1</v>
      </c>
      <c r="K2269" s="1459">
        <v>1</v>
      </c>
      <c r="L2269" s="1026">
        <v>4310.99</v>
      </c>
      <c r="M2269" s="1324">
        <f t="shared" si="4507"/>
        <v>4310.99</v>
      </c>
      <c r="N2269" s="353">
        <f ca="1">IF(OR(E2269="",E2269&gt;TODAY()),0,IF(ISERROR(VLOOKUP($E2269,'TRM BanRep'!$A:$G,7,0)),0,VLOOKUP($E2269,'TRM BanRep'!$A:$G,7,0)))</f>
        <v>4482.45</v>
      </c>
      <c r="O2269" s="1025">
        <f t="shared" ca="1" si="4508"/>
        <v>19323797.125499997</v>
      </c>
      <c r="P2269" s="1026"/>
      <c r="Q2269" s="1324">
        <f t="shared" si="4509"/>
        <v>0</v>
      </c>
      <c r="R2269" s="353"/>
      <c r="S2269" s="353"/>
      <c r="T2269" s="1025">
        <f t="shared" si="4510"/>
        <v>0</v>
      </c>
      <c r="U2269" s="1027">
        <f t="shared" si="4511"/>
        <v>4310.99</v>
      </c>
      <c r="V2269" s="1025">
        <f t="shared" ca="1" si="4512"/>
        <v>19323797.125499997</v>
      </c>
      <c r="W2269" s="1028">
        <f t="shared" si="4513"/>
        <v>0</v>
      </c>
      <c r="X2269" s="1029">
        <f t="shared" si="4514"/>
        <v>0</v>
      </c>
      <c r="Y2269" s="1030"/>
      <c r="Z2269" s="220"/>
      <c r="AA2269" s="15"/>
      <c r="AB2269" s="15"/>
      <c r="AC2269" s="15"/>
      <c r="AD2269" s="15"/>
      <c r="AE2269" s="15"/>
    </row>
    <row r="2270" spans="1:38" s="401" customFormat="1" outlineLevel="1">
      <c r="A2270" s="1019">
        <v>2425530100</v>
      </c>
      <c r="B2270" s="1020" t="s">
        <v>2616</v>
      </c>
      <c r="C2270" s="1677" t="s">
        <v>64</v>
      </c>
      <c r="D2270" s="1680">
        <v>5100003416</v>
      </c>
      <c r="E2270" s="1681">
        <v>45041</v>
      </c>
      <c r="F2270" s="1023"/>
      <c r="G2270" s="1290"/>
      <c r="H2270" s="352"/>
      <c r="I2270" s="1024"/>
      <c r="J2270" s="1027">
        <v>1</v>
      </c>
      <c r="K2270" s="1459">
        <v>1</v>
      </c>
      <c r="L2270" s="1026">
        <v>28800.22</v>
      </c>
      <c r="M2270" s="1332">
        <f t="shared" si="4507"/>
        <v>28800.22</v>
      </c>
      <c r="N2270" s="353">
        <f ca="1">IF(OR(E2270="",E2270&gt;TODAY()),0,IF(ISERROR(VLOOKUP($E2270,'TRM BanRep'!$A:$G,7,0)),0,VLOOKUP($E2270,'TRM BanRep'!$A:$G,7,0)))</f>
        <v>4482.45</v>
      </c>
      <c r="O2270" s="1025">
        <f t="shared" ca="1" si="4508"/>
        <v>129095546.139</v>
      </c>
      <c r="P2270" s="1026"/>
      <c r="Q2270" s="1324">
        <f t="shared" si="4509"/>
        <v>0</v>
      </c>
      <c r="R2270" s="353"/>
      <c r="S2270" s="353"/>
      <c r="T2270" s="1025">
        <f t="shared" si="4510"/>
        <v>0</v>
      </c>
      <c r="U2270" s="1027">
        <f t="shared" si="4511"/>
        <v>28800.22</v>
      </c>
      <c r="V2270" s="1025">
        <f t="shared" ca="1" si="4512"/>
        <v>129095546.139</v>
      </c>
      <c r="W2270" s="1028">
        <f t="shared" si="4513"/>
        <v>0</v>
      </c>
      <c r="X2270" s="1029">
        <f t="shared" si="4514"/>
        <v>0</v>
      </c>
      <c r="Y2270" s="1030"/>
      <c r="Z2270" s="220"/>
      <c r="AA2270" s="15"/>
      <c r="AB2270" s="15"/>
      <c r="AC2270" s="15"/>
      <c r="AD2270" s="15"/>
      <c r="AE2270" s="15"/>
    </row>
    <row r="2271" spans="1:38" s="401" customFormat="1" outlineLevel="1">
      <c r="A2271" s="1019">
        <v>2425530100</v>
      </c>
      <c r="B2271" s="1020" t="s">
        <v>2617</v>
      </c>
      <c r="C2271" s="1677" t="s">
        <v>64</v>
      </c>
      <c r="D2271" s="1680">
        <v>5100003423</v>
      </c>
      <c r="E2271" s="1681">
        <v>45042</v>
      </c>
      <c r="F2271" s="1023"/>
      <c r="G2271" s="1290"/>
      <c r="H2271" s="352"/>
      <c r="I2271" s="1024"/>
      <c r="J2271" s="1027">
        <v>1</v>
      </c>
      <c r="K2271" s="1459">
        <v>1</v>
      </c>
      <c r="L2271" s="1026">
        <v>28800</v>
      </c>
      <c r="M2271" s="1324">
        <f t="shared" ref="M2271:M2272" si="4515">+L2271*J2271</f>
        <v>28800</v>
      </c>
      <c r="N2271" s="353">
        <f ca="1">IF(OR(E2271="",E2271&gt;TODAY()),0,IF(ISERROR(VLOOKUP($E2271,'TRM BanRep'!$A:$G,7,0)),0,VLOOKUP($E2271,'TRM BanRep'!$A:$G,7,0)))</f>
        <v>4486.6000000000004</v>
      </c>
      <c r="O2271" s="1025">
        <f t="shared" ref="O2271:O2272" ca="1" si="4516">+L2271*J2271*N2271</f>
        <v>129214080.00000001</v>
      </c>
      <c r="P2271" s="1026"/>
      <c r="Q2271" s="1324">
        <f t="shared" ref="Q2271:Q2272" si="4517">+P2271*K2271</f>
        <v>0</v>
      </c>
      <c r="R2271" s="353"/>
      <c r="S2271" s="353"/>
      <c r="T2271" s="1025">
        <f t="shared" ref="T2271:T2272" si="4518">+P2271*K2271*S2271</f>
        <v>0</v>
      </c>
      <c r="U2271" s="1027">
        <f t="shared" ref="U2271:U2272" si="4519">+L2271+P2271+F2271</f>
        <v>28800</v>
      </c>
      <c r="V2271" s="1025">
        <f t="shared" ref="V2271:V2272" ca="1" si="4520">+P2271*J2271*R2271+L2271*J2271*N2271+F2271*J2271*H2271</f>
        <v>129214080.00000001</v>
      </c>
      <c r="W2271" s="1028">
        <f t="shared" ref="W2271:W2272" si="4521">-(IF(-P2271*J2271*R2271&lt;-P2271*K2271*S2271,(-P2271*J2271*R2271)-(-P2271*K2271*S2271),0))</f>
        <v>0</v>
      </c>
      <c r="X2271" s="1029">
        <f t="shared" ref="X2271:X2272" si="4522">-(IF(-P2271*J2271*R2271&gt;-P2271*K2271*S2271,(-P2271*J2271*R2271)-(-P2271*K2271*S2271),0))</f>
        <v>0</v>
      </c>
      <c r="Y2271" s="1030"/>
      <c r="Z2271" s="220"/>
      <c r="AA2271" s="15"/>
      <c r="AB2271" s="15"/>
      <c r="AC2271" s="15"/>
      <c r="AD2271" s="15"/>
      <c r="AE2271" s="15"/>
    </row>
    <row r="2272" spans="1:38" s="401" customFormat="1" outlineLevel="1">
      <c r="A2272" s="1019">
        <v>2425530100</v>
      </c>
      <c r="B2272" s="1020" t="s">
        <v>2618</v>
      </c>
      <c r="C2272" s="1677" t="s">
        <v>64</v>
      </c>
      <c r="D2272" s="1680">
        <v>5100003424</v>
      </c>
      <c r="E2272" s="1681">
        <v>45042</v>
      </c>
      <c r="F2272" s="1023"/>
      <c r="G2272" s="1290"/>
      <c r="H2272" s="352"/>
      <c r="I2272" s="1024"/>
      <c r="J2272" s="1027">
        <v>1</v>
      </c>
      <c r="K2272" s="1459">
        <v>1</v>
      </c>
      <c r="L2272" s="1026">
        <v>4311</v>
      </c>
      <c r="M2272" s="1332">
        <f t="shared" si="4515"/>
        <v>4311</v>
      </c>
      <c r="N2272" s="353">
        <f ca="1">IF(OR(E2272="",E2272&gt;TODAY()),0,IF(ISERROR(VLOOKUP($E2272,'TRM BanRep'!$A:$G,7,0)),0,VLOOKUP($E2272,'TRM BanRep'!$A:$G,7,0)))</f>
        <v>4486.6000000000004</v>
      </c>
      <c r="O2272" s="1025">
        <f t="shared" ca="1" si="4516"/>
        <v>19341732.600000001</v>
      </c>
      <c r="P2272" s="1026"/>
      <c r="Q2272" s="1324">
        <f t="shared" si="4517"/>
        <v>0</v>
      </c>
      <c r="R2272" s="353"/>
      <c r="S2272" s="353"/>
      <c r="T2272" s="1025">
        <f t="shared" si="4518"/>
        <v>0</v>
      </c>
      <c r="U2272" s="1027">
        <f t="shared" si="4519"/>
        <v>4311</v>
      </c>
      <c r="V2272" s="1025">
        <f t="shared" ca="1" si="4520"/>
        <v>19341732.600000001</v>
      </c>
      <c r="W2272" s="1028">
        <f t="shared" si="4521"/>
        <v>0</v>
      </c>
      <c r="X2272" s="1029">
        <f t="shared" si="4522"/>
        <v>0</v>
      </c>
      <c r="Y2272" s="1030"/>
      <c r="Z2272" s="220"/>
      <c r="AA2272" s="15"/>
      <c r="AB2272" s="15"/>
      <c r="AC2272" s="15"/>
      <c r="AD2272" s="15"/>
      <c r="AE2272" s="15"/>
    </row>
    <row r="2273" spans="1:31" s="401" customFormat="1" outlineLevel="1">
      <c r="A2273" s="1019">
        <v>2425530100</v>
      </c>
      <c r="B2273" s="1020"/>
      <c r="C2273" s="1677" t="s">
        <v>64</v>
      </c>
      <c r="D2273" s="1680"/>
      <c r="E2273" s="1681"/>
      <c r="F2273" s="1023"/>
      <c r="G2273" s="1290"/>
      <c r="H2273" s="352"/>
      <c r="I2273" s="1024"/>
      <c r="J2273" s="1401"/>
      <c r="K2273" s="1401"/>
      <c r="L2273" s="356"/>
      <c r="M2273" s="1332">
        <f t="shared" ref="M2273" si="4523">+L2273*J2273</f>
        <v>0</v>
      </c>
      <c r="N2273" s="353"/>
      <c r="O2273" s="1025">
        <f t="shared" ref="O2273" si="4524">+L2273*J2273*N2273</f>
        <v>0</v>
      </c>
      <c r="P2273" s="1026"/>
      <c r="Q2273" s="1324">
        <f t="shared" ref="Q2273" si="4525">+P2273*K2273</f>
        <v>0</v>
      </c>
      <c r="R2273" s="353"/>
      <c r="S2273" s="353"/>
      <c r="T2273" s="1025">
        <f t="shared" ref="T2273" si="4526">+P2273*K2273*S2273</f>
        <v>0</v>
      </c>
      <c r="U2273" s="1027">
        <f t="shared" ref="U2273" si="4527">+L2273+P2273+F2273</f>
        <v>0</v>
      </c>
      <c r="V2273" s="1025">
        <f t="shared" ref="V2273" si="4528">+P2273*J2273*R2273+L2273*J2273*N2273+F2273*J2273*H2273</f>
        <v>0</v>
      </c>
      <c r="W2273" s="1028">
        <f t="shared" ref="W2273" si="4529">-(IF(-P2273*J2273*R2273&lt;-P2273*K2273*S2273,(-P2273*J2273*R2273)-(-P2273*K2273*S2273),0))</f>
        <v>0</v>
      </c>
      <c r="X2273" s="1029">
        <f t="shared" ref="X2273" si="4530">-(IF(-P2273*J2273*R2273&gt;-P2273*K2273*S2273,(-P2273*J2273*R2273)-(-P2273*K2273*S2273),0))</f>
        <v>0</v>
      </c>
      <c r="Y2273" s="1030"/>
      <c r="Z2273" s="220"/>
      <c r="AA2273" s="15"/>
      <c r="AB2273" s="15"/>
      <c r="AC2273" s="15"/>
      <c r="AD2273" s="15"/>
      <c r="AE2273" s="15"/>
    </row>
    <row r="2274" spans="1:31" s="401" customFormat="1">
      <c r="A2274" s="1011"/>
      <c r="B2274" s="1012"/>
      <c r="C2274" s="1661"/>
      <c r="D2274" s="1665"/>
      <c r="E2274" s="1666"/>
      <c r="F2274" s="1015"/>
      <c r="G2274" s="1293"/>
      <c r="H2274" s="346"/>
      <c r="I2274" s="1016"/>
      <c r="J2274" s="1402"/>
      <c r="K2274" s="1402"/>
      <c r="L2274" s="347"/>
      <c r="M2274" s="1329">
        <f t="shared" si="4507"/>
        <v>0</v>
      </c>
      <c r="N2274" s="348"/>
      <c r="O2274" s="996">
        <f t="shared" si="4508"/>
        <v>0</v>
      </c>
      <c r="P2274" s="1017"/>
      <c r="Q2274" s="1362">
        <f t="shared" si="4509"/>
        <v>0</v>
      </c>
      <c r="R2274" s="349"/>
      <c r="S2274" s="380"/>
      <c r="T2274" s="1031">
        <f t="shared" si="4510"/>
        <v>0</v>
      </c>
      <c r="U2274" s="977">
        <f t="shared" si="4511"/>
        <v>0</v>
      </c>
      <c r="V2274" s="978">
        <f t="shared" si="4512"/>
        <v>0</v>
      </c>
      <c r="W2274" s="428">
        <f t="shared" si="4513"/>
        <v>0</v>
      </c>
      <c r="X2274" s="429">
        <f t="shared" si="4514"/>
        <v>0</v>
      </c>
      <c r="Y2274" s="1018"/>
      <c r="Z2274" s="220"/>
      <c r="AA2274" s="15"/>
      <c r="AB2274" s="15"/>
      <c r="AC2274" s="15"/>
      <c r="AD2274" s="15"/>
      <c r="AE2274" s="15"/>
    </row>
    <row r="2275" spans="1:31" s="401" customFormat="1">
      <c r="A2275" s="1011"/>
      <c r="B2275" s="1012"/>
      <c r="C2275" s="1661"/>
      <c r="D2275" s="1665"/>
      <c r="E2275" s="1666"/>
      <c r="F2275" s="1015"/>
      <c r="G2275" s="1293"/>
      <c r="H2275" s="346"/>
      <c r="I2275" s="1016"/>
      <c r="J2275" s="1402"/>
      <c r="K2275" s="1402"/>
      <c r="L2275" s="347"/>
      <c r="M2275" s="1329">
        <f t="shared" si="4507"/>
        <v>0</v>
      </c>
      <c r="N2275" s="348"/>
      <c r="O2275" s="996">
        <f t="shared" si="4508"/>
        <v>0</v>
      </c>
      <c r="P2275" s="1017"/>
      <c r="Q2275" s="1362">
        <f t="shared" si="4509"/>
        <v>0</v>
      </c>
      <c r="R2275" s="349"/>
      <c r="S2275" s="349"/>
      <c r="T2275" s="1031">
        <f t="shared" si="4510"/>
        <v>0</v>
      </c>
      <c r="U2275" s="977">
        <f t="shared" si="4511"/>
        <v>0</v>
      </c>
      <c r="V2275" s="978">
        <f t="shared" si="4512"/>
        <v>0</v>
      </c>
      <c r="W2275" s="428">
        <f t="shared" si="4513"/>
        <v>0</v>
      </c>
      <c r="X2275" s="429">
        <f t="shared" si="4514"/>
        <v>0</v>
      </c>
      <c r="Y2275" s="1018"/>
      <c r="Z2275" s="220"/>
      <c r="AA2275" s="15"/>
      <c r="AB2275" s="15"/>
      <c r="AC2275" s="15"/>
      <c r="AD2275" s="15"/>
      <c r="AE2275" s="15"/>
    </row>
    <row r="2276" spans="1:31" s="401" customFormat="1" hidden="1" outlineLevel="1">
      <c r="A2276" s="1011">
        <v>2425530100</v>
      </c>
      <c r="B2276" s="1012"/>
      <c r="C2276" s="1661" t="s">
        <v>64</v>
      </c>
      <c r="D2276" s="1665"/>
      <c r="E2276" s="1666"/>
      <c r="F2276" s="1015"/>
      <c r="G2276" s="1293"/>
      <c r="H2276" s="346"/>
      <c r="I2276" s="1016"/>
      <c r="J2276" s="1402"/>
      <c r="K2276" s="1402"/>
      <c r="L2276" s="347"/>
      <c r="M2276" s="1329">
        <f t="shared" si="4507"/>
        <v>0</v>
      </c>
      <c r="N2276" s="348"/>
      <c r="O2276" s="996">
        <f t="shared" si="4508"/>
        <v>0</v>
      </c>
      <c r="P2276" s="1017"/>
      <c r="Q2276" s="1362">
        <f t="shared" si="4509"/>
        <v>0</v>
      </c>
      <c r="R2276" s="349"/>
      <c r="S2276" s="349"/>
      <c r="T2276" s="1031">
        <f t="shared" si="4510"/>
        <v>0</v>
      </c>
      <c r="U2276" s="977">
        <f t="shared" si="4511"/>
        <v>0</v>
      </c>
      <c r="V2276" s="978">
        <f t="shared" si="4512"/>
        <v>0</v>
      </c>
      <c r="W2276" s="428">
        <f t="shared" si="4513"/>
        <v>0</v>
      </c>
      <c r="X2276" s="429">
        <f t="shared" si="4514"/>
        <v>0</v>
      </c>
      <c r="Y2276" s="1018"/>
      <c r="Z2276" s="220"/>
      <c r="AA2276" s="15"/>
      <c r="AB2276" s="15"/>
      <c r="AC2276" s="15"/>
      <c r="AD2276" s="15"/>
      <c r="AE2276" s="15"/>
    </row>
    <row r="2277" spans="1:31" s="401" customFormat="1" hidden="1" outlineLevel="1">
      <c r="A2277" s="1011">
        <v>2425530100</v>
      </c>
      <c r="B2277" s="1012"/>
      <c r="C2277" s="1661" t="s">
        <v>64</v>
      </c>
      <c r="D2277" s="1665"/>
      <c r="E2277" s="1666"/>
      <c r="F2277" s="1015"/>
      <c r="G2277" s="1293"/>
      <c r="H2277" s="346"/>
      <c r="I2277" s="1016"/>
      <c r="J2277" s="1402"/>
      <c r="K2277" s="1402"/>
      <c r="L2277" s="347"/>
      <c r="M2277" s="1329">
        <f t="shared" si="4507"/>
        <v>0</v>
      </c>
      <c r="N2277" s="348"/>
      <c r="O2277" s="996">
        <f t="shared" si="4508"/>
        <v>0</v>
      </c>
      <c r="P2277" s="1017"/>
      <c r="Q2277" s="1362">
        <f t="shared" si="4509"/>
        <v>0</v>
      </c>
      <c r="R2277" s="349"/>
      <c r="S2277" s="349"/>
      <c r="T2277" s="1031">
        <f t="shared" si="4510"/>
        <v>0</v>
      </c>
      <c r="U2277" s="977">
        <f t="shared" si="4511"/>
        <v>0</v>
      </c>
      <c r="V2277" s="978">
        <f t="shared" si="4512"/>
        <v>0</v>
      </c>
      <c r="W2277" s="428">
        <f t="shared" si="4513"/>
        <v>0</v>
      </c>
      <c r="X2277" s="429">
        <f t="shared" si="4514"/>
        <v>0</v>
      </c>
      <c r="Y2277" s="1018"/>
      <c r="Z2277" s="220"/>
      <c r="AA2277" s="15"/>
      <c r="AB2277" s="15"/>
      <c r="AC2277" s="15"/>
      <c r="AD2277" s="15"/>
      <c r="AE2277" s="15"/>
    </row>
    <row r="2278" spans="1:31" s="401" customFormat="1" hidden="1" outlineLevel="1">
      <c r="A2278" s="1011">
        <v>2425530100</v>
      </c>
      <c r="B2278" s="1012"/>
      <c r="C2278" s="1661" t="s">
        <v>64</v>
      </c>
      <c r="D2278" s="1665"/>
      <c r="E2278" s="1666"/>
      <c r="F2278" s="1015"/>
      <c r="G2278" s="1293"/>
      <c r="H2278" s="346"/>
      <c r="I2278" s="1016"/>
      <c r="J2278" s="1402"/>
      <c r="K2278" s="1402"/>
      <c r="L2278" s="347"/>
      <c r="M2278" s="1329">
        <f t="shared" si="4507"/>
        <v>0</v>
      </c>
      <c r="N2278" s="348"/>
      <c r="O2278" s="996">
        <f t="shared" si="4508"/>
        <v>0</v>
      </c>
      <c r="P2278" s="1017"/>
      <c r="Q2278" s="1362">
        <f t="shared" si="4509"/>
        <v>0</v>
      </c>
      <c r="R2278" s="349"/>
      <c r="S2278" s="349"/>
      <c r="T2278" s="1031">
        <f t="shared" si="4510"/>
        <v>0</v>
      </c>
      <c r="U2278" s="977">
        <f t="shared" si="4511"/>
        <v>0</v>
      </c>
      <c r="V2278" s="978">
        <f t="shared" si="4512"/>
        <v>0</v>
      </c>
      <c r="W2278" s="428">
        <f t="shared" si="4513"/>
        <v>0</v>
      </c>
      <c r="X2278" s="429">
        <f t="shared" si="4514"/>
        <v>0</v>
      </c>
      <c r="Y2278" s="1018"/>
      <c r="Z2278" s="220"/>
      <c r="AA2278" s="15"/>
      <c r="AB2278" s="15"/>
      <c r="AC2278" s="15"/>
      <c r="AD2278" s="15"/>
      <c r="AE2278" s="15"/>
    </row>
    <row r="2279" spans="1:31" s="401" customFormat="1" hidden="1" outlineLevel="1">
      <c r="A2279" s="1011">
        <v>2425530100</v>
      </c>
      <c r="B2279" s="1012"/>
      <c r="C2279" s="1661" t="s">
        <v>64</v>
      </c>
      <c r="D2279" s="1665"/>
      <c r="E2279" s="1666"/>
      <c r="F2279" s="1015"/>
      <c r="G2279" s="1293"/>
      <c r="H2279" s="346"/>
      <c r="I2279" s="1016"/>
      <c r="J2279" s="1402"/>
      <c r="K2279" s="1402"/>
      <c r="L2279" s="347"/>
      <c r="M2279" s="1329">
        <f t="shared" si="4507"/>
        <v>0</v>
      </c>
      <c r="N2279" s="348"/>
      <c r="O2279" s="996">
        <f t="shared" si="4508"/>
        <v>0</v>
      </c>
      <c r="P2279" s="1017"/>
      <c r="Q2279" s="1362">
        <f t="shared" si="4509"/>
        <v>0</v>
      </c>
      <c r="R2279" s="349"/>
      <c r="S2279" s="349"/>
      <c r="T2279" s="1031">
        <f t="shared" si="4510"/>
        <v>0</v>
      </c>
      <c r="U2279" s="977">
        <f t="shared" si="4511"/>
        <v>0</v>
      </c>
      <c r="V2279" s="978">
        <f t="shared" si="4512"/>
        <v>0</v>
      </c>
      <c r="W2279" s="428">
        <f t="shared" si="4513"/>
        <v>0</v>
      </c>
      <c r="X2279" s="429">
        <f t="shared" si="4514"/>
        <v>0</v>
      </c>
      <c r="Y2279" s="1018"/>
      <c r="Z2279" s="220"/>
      <c r="AA2279" s="15"/>
      <c r="AB2279" s="15"/>
      <c r="AC2279" s="15"/>
      <c r="AD2279" s="15"/>
      <c r="AE2279" s="15"/>
    </row>
    <row r="2280" spans="1:31" s="401" customFormat="1" hidden="1" outlineLevel="1">
      <c r="A2280" s="1011">
        <v>2425530100</v>
      </c>
      <c r="B2280" s="1012"/>
      <c r="C2280" s="1661" t="s">
        <v>64</v>
      </c>
      <c r="D2280" s="1665"/>
      <c r="E2280" s="1666"/>
      <c r="F2280" s="1015"/>
      <c r="G2280" s="1293"/>
      <c r="H2280" s="346"/>
      <c r="I2280" s="1016"/>
      <c r="J2280" s="1402"/>
      <c r="K2280" s="1402"/>
      <c r="L2280" s="347"/>
      <c r="M2280" s="1329">
        <f t="shared" si="4507"/>
        <v>0</v>
      </c>
      <c r="N2280" s="348"/>
      <c r="O2280" s="996">
        <f t="shared" si="4508"/>
        <v>0</v>
      </c>
      <c r="P2280" s="1017"/>
      <c r="Q2280" s="1362">
        <f t="shared" si="4509"/>
        <v>0</v>
      </c>
      <c r="R2280" s="349"/>
      <c r="S2280" s="349"/>
      <c r="T2280" s="1031">
        <f t="shared" si="4510"/>
        <v>0</v>
      </c>
      <c r="U2280" s="977">
        <f t="shared" si="4511"/>
        <v>0</v>
      </c>
      <c r="V2280" s="978">
        <f t="shared" si="4512"/>
        <v>0</v>
      </c>
      <c r="W2280" s="428">
        <f t="shared" si="4513"/>
        <v>0</v>
      </c>
      <c r="X2280" s="429">
        <f t="shared" si="4514"/>
        <v>0</v>
      </c>
      <c r="Y2280" s="1018"/>
      <c r="Z2280" s="220"/>
      <c r="AA2280" s="15"/>
      <c r="AB2280" s="15"/>
      <c r="AC2280" s="15"/>
      <c r="AD2280" s="15"/>
      <c r="AE2280" s="15"/>
    </row>
    <row r="2281" spans="1:31" s="401" customFormat="1" hidden="1" outlineLevel="1">
      <c r="A2281" s="1011">
        <v>2425530100</v>
      </c>
      <c r="B2281" s="1012"/>
      <c r="C2281" s="1661" t="s">
        <v>64</v>
      </c>
      <c r="D2281" s="1665"/>
      <c r="E2281" s="1666"/>
      <c r="F2281" s="1015"/>
      <c r="G2281" s="1293"/>
      <c r="H2281" s="346"/>
      <c r="I2281" s="1016"/>
      <c r="J2281" s="1402"/>
      <c r="K2281" s="1402"/>
      <c r="L2281" s="347"/>
      <c r="M2281" s="1329">
        <f t="shared" si="4507"/>
        <v>0</v>
      </c>
      <c r="N2281" s="348"/>
      <c r="O2281" s="996">
        <f t="shared" si="4508"/>
        <v>0</v>
      </c>
      <c r="P2281" s="1017"/>
      <c r="Q2281" s="1362">
        <f t="shared" si="4509"/>
        <v>0</v>
      </c>
      <c r="R2281" s="349"/>
      <c r="S2281" s="349"/>
      <c r="T2281" s="1031">
        <f t="shared" si="4510"/>
        <v>0</v>
      </c>
      <c r="U2281" s="977">
        <f t="shared" si="4511"/>
        <v>0</v>
      </c>
      <c r="V2281" s="978">
        <f t="shared" si="4512"/>
        <v>0</v>
      </c>
      <c r="W2281" s="428">
        <f t="shared" si="4513"/>
        <v>0</v>
      </c>
      <c r="X2281" s="429">
        <f t="shared" si="4514"/>
        <v>0</v>
      </c>
      <c r="Y2281" s="1018"/>
      <c r="Z2281" s="220"/>
      <c r="AA2281" s="15"/>
      <c r="AB2281" s="15"/>
      <c r="AC2281" s="15"/>
      <c r="AD2281" s="15"/>
      <c r="AE2281" s="15"/>
    </row>
    <row r="2282" spans="1:31" s="401" customFormat="1" collapsed="1">
      <c r="A2282" s="1011"/>
      <c r="B2282" s="1012"/>
      <c r="C2282" s="1661"/>
      <c r="D2282" s="1665"/>
      <c r="E2282" s="1666"/>
      <c r="F2282" s="1015"/>
      <c r="G2282" s="1293"/>
      <c r="H2282" s="346"/>
      <c r="I2282" s="1016"/>
      <c r="J2282" s="1402"/>
      <c r="K2282" s="1402"/>
      <c r="L2282" s="347"/>
      <c r="M2282" s="1329"/>
      <c r="N2282" s="348"/>
      <c r="O2282" s="996"/>
      <c r="P2282" s="1017"/>
      <c r="Q2282" s="1362"/>
      <c r="R2282" s="349"/>
      <c r="S2282" s="349"/>
      <c r="T2282" s="1031"/>
      <c r="U2282" s="977"/>
      <c r="V2282" s="978"/>
      <c r="W2282" s="428">
        <f t="shared" si="4513"/>
        <v>0</v>
      </c>
      <c r="X2282" s="429">
        <f t="shared" si="4514"/>
        <v>0</v>
      </c>
      <c r="Y2282" s="1018"/>
      <c r="Z2282" s="220"/>
      <c r="AA2282" s="15"/>
      <c r="AB2282" s="15"/>
      <c r="AC2282" s="15"/>
      <c r="AD2282" s="15"/>
      <c r="AE2282" s="15"/>
    </row>
    <row r="2283" spans="1:31" s="344" customFormat="1" ht="15.75">
      <c r="A2283" s="997">
        <v>2425530100</v>
      </c>
      <c r="B2283" s="998" t="s">
        <v>77</v>
      </c>
      <c r="C2283" s="1663" t="s">
        <v>106</v>
      </c>
      <c r="D2283" s="1669" t="s">
        <v>128</v>
      </c>
      <c r="E2283" s="1670"/>
      <c r="F2283" s="1001"/>
      <c r="G2283" s="1291"/>
      <c r="H2283" s="343"/>
      <c r="I2283" s="1002"/>
      <c r="J2283" s="1372"/>
      <c r="K2283" s="1372"/>
      <c r="L2283" s="1003"/>
      <c r="M2283" s="1326"/>
      <c r="N2283" s="343"/>
      <c r="O2283" s="1002">
        <f>+L2283*N2283</f>
        <v>0</v>
      </c>
      <c r="P2283" s="1001"/>
      <c r="Q2283" s="1291"/>
      <c r="R2283" s="343"/>
      <c r="S2283" s="343"/>
      <c r="T2283" s="1002">
        <f>+P2283*R2283</f>
        <v>0</v>
      </c>
      <c r="U2283" s="1001">
        <f t="shared" ref="U2283:U2292" si="4531">+L2283+P2283+F2283</f>
        <v>0</v>
      </c>
      <c r="V2283" s="1002">
        <f>+I2283+T2283+O2283</f>
        <v>0</v>
      </c>
      <c r="W2283" s="1032"/>
      <c r="X2283" s="1033"/>
      <c r="Y2283" s="1034"/>
      <c r="Z2283" s="14"/>
      <c r="AA2283" s="364"/>
      <c r="AB2283" s="364"/>
      <c r="AC2283" s="364"/>
      <c r="AD2283" s="364"/>
      <c r="AE2283" s="364"/>
    </row>
    <row r="2284" spans="1:31" s="302" customFormat="1" ht="15.75" hidden="1" outlineLevel="1">
      <c r="A2284" s="979">
        <v>2425530100</v>
      </c>
      <c r="B2284" s="980" t="s">
        <v>129</v>
      </c>
      <c r="C2284" s="1664" t="s">
        <v>106</v>
      </c>
      <c r="D2284" s="1671" t="s">
        <v>128</v>
      </c>
      <c r="E2284" s="1682"/>
      <c r="F2284" s="982"/>
      <c r="G2284" s="1286"/>
      <c r="H2284" s="930"/>
      <c r="I2284" s="1005">
        <f t="shared" ref="I2284:I2292" si="4532">+F2284*H2284</f>
        <v>0</v>
      </c>
      <c r="J2284" s="1398"/>
      <c r="K2284" s="1398"/>
      <c r="L2284" s="1006"/>
      <c r="M2284" s="1327"/>
      <c r="N2284" s="931"/>
      <c r="O2284" s="1007"/>
      <c r="P2284" s="1008"/>
      <c r="Q2284" s="1360"/>
      <c r="R2284" s="932"/>
      <c r="S2284" s="932"/>
      <c r="T2284" s="1009">
        <f>+P2284*R2284</f>
        <v>0</v>
      </c>
      <c r="U2284" s="1010">
        <f t="shared" si="4531"/>
        <v>0</v>
      </c>
      <c r="V2284" s="983">
        <v>0</v>
      </c>
      <c r="W2284" s="1032"/>
      <c r="X2284" s="1033"/>
      <c r="Y2284" s="1034"/>
      <c r="Z2284" s="14"/>
      <c r="AA2284" s="15"/>
      <c r="AB2284" s="15"/>
      <c r="AC2284" s="15"/>
      <c r="AD2284" s="15"/>
      <c r="AE2284" s="15"/>
    </row>
    <row r="2285" spans="1:31" s="302" customFormat="1" ht="15.75" hidden="1" outlineLevel="1">
      <c r="A2285" s="979">
        <v>2425530100</v>
      </c>
      <c r="B2285" s="980" t="s">
        <v>130</v>
      </c>
      <c r="C2285" s="1664" t="s">
        <v>106</v>
      </c>
      <c r="D2285" s="1671" t="s">
        <v>128</v>
      </c>
      <c r="E2285" s="1682"/>
      <c r="F2285" s="982"/>
      <c r="G2285" s="1286"/>
      <c r="H2285" s="930"/>
      <c r="I2285" s="1005">
        <f t="shared" si="4532"/>
        <v>0</v>
      </c>
      <c r="J2285" s="1398"/>
      <c r="K2285" s="1398"/>
      <c r="L2285" s="1006"/>
      <c r="M2285" s="1327"/>
      <c r="N2285" s="931"/>
      <c r="O2285" s="1007"/>
      <c r="P2285" s="1008"/>
      <c r="Q2285" s="1360"/>
      <c r="R2285" s="932"/>
      <c r="S2285" s="932"/>
      <c r="T2285" s="1009">
        <f>+P2285*R2285</f>
        <v>0</v>
      </c>
      <c r="U2285" s="1010">
        <f t="shared" si="4531"/>
        <v>0</v>
      </c>
      <c r="V2285" s="983">
        <v>5336087</v>
      </c>
      <c r="W2285" s="1032"/>
      <c r="X2285" s="1033"/>
      <c r="Y2285" s="1034"/>
      <c r="Z2285" s="14"/>
      <c r="AA2285" s="15"/>
      <c r="AB2285" s="15"/>
      <c r="AC2285" s="15"/>
      <c r="AD2285" s="15"/>
      <c r="AE2285" s="15"/>
    </row>
    <row r="2286" spans="1:31" s="302" customFormat="1" ht="15.75" hidden="1" outlineLevel="1">
      <c r="A2286" s="979">
        <v>2425530100</v>
      </c>
      <c r="B2286" s="980" t="s">
        <v>131</v>
      </c>
      <c r="C2286" s="1664" t="s">
        <v>106</v>
      </c>
      <c r="D2286" s="1671" t="s">
        <v>128</v>
      </c>
      <c r="E2286" s="1682"/>
      <c r="F2286" s="982"/>
      <c r="G2286" s="1286"/>
      <c r="H2286" s="930"/>
      <c r="I2286" s="1005">
        <f t="shared" si="4532"/>
        <v>0</v>
      </c>
      <c r="J2286" s="1398"/>
      <c r="K2286" s="1398"/>
      <c r="L2286" s="1006"/>
      <c r="M2286" s="1327"/>
      <c r="N2286" s="931"/>
      <c r="O2286" s="1007"/>
      <c r="P2286" s="1008"/>
      <c r="Q2286" s="1360"/>
      <c r="R2286" s="932"/>
      <c r="S2286" s="932"/>
      <c r="T2286" s="1009">
        <f>+P2286*R2286</f>
        <v>0</v>
      </c>
      <c r="U2286" s="1010">
        <f t="shared" si="4531"/>
        <v>0</v>
      </c>
      <c r="V2286" s="983">
        <v>-5336087</v>
      </c>
      <c r="W2286" s="1032"/>
      <c r="X2286" s="1033"/>
      <c r="Y2286" s="1034"/>
      <c r="Z2286" s="14"/>
      <c r="AA2286" s="15"/>
      <c r="AB2286" s="15"/>
      <c r="AC2286" s="15"/>
      <c r="AD2286" s="15"/>
      <c r="AE2286" s="15"/>
    </row>
    <row r="2287" spans="1:31" s="302" customFormat="1" ht="15.75" hidden="1" outlineLevel="1">
      <c r="A2287" s="979">
        <v>2425530100</v>
      </c>
      <c r="B2287" s="980" t="s">
        <v>132</v>
      </c>
      <c r="C2287" s="1664" t="s">
        <v>106</v>
      </c>
      <c r="D2287" s="1671" t="s">
        <v>128</v>
      </c>
      <c r="E2287" s="1682"/>
      <c r="F2287" s="982"/>
      <c r="G2287" s="1286"/>
      <c r="H2287" s="930"/>
      <c r="I2287" s="1005">
        <f t="shared" si="4532"/>
        <v>0</v>
      </c>
      <c r="J2287" s="1398"/>
      <c r="K2287" s="1398"/>
      <c r="L2287" s="1006"/>
      <c r="M2287" s="1327"/>
      <c r="N2287" s="931"/>
      <c r="O2287" s="1007"/>
      <c r="P2287" s="1008"/>
      <c r="Q2287" s="1360"/>
      <c r="R2287" s="932"/>
      <c r="S2287" s="932"/>
      <c r="T2287" s="1009"/>
      <c r="U2287" s="1010">
        <f t="shared" si="4531"/>
        <v>0</v>
      </c>
      <c r="V2287" s="983">
        <v>1860199</v>
      </c>
      <c r="W2287" s="1032"/>
      <c r="X2287" s="1033"/>
      <c r="Y2287" s="1034"/>
      <c r="Z2287" s="14"/>
      <c r="AA2287" s="15"/>
      <c r="AB2287" s="15"/>
      <c r="AC2287" s="15"/>
      <c r="AD2287" s="15"/>
      <c r="AE2287" s="15"/>
    </row>
    <row r="2288" spans="1:31" s="302" customFormat="1" ht="15.75" hidden="1" outlineLevel="1">
      <c r="A2288" s="979">
        <v>2425530100</v>
      </c>
      <c r="B2288" s="980" t="s">
        <v>133</v>
      </c>
      <c r="C2288" s="1664" t="s">
        <v>106</v>
      </c>
      <c r="D2288" s="1671" t="s">
        <v>128</v>
      </c>
      <c r="E2288" s="1682"/>
      <c r="F2288" s="982"/>
      <c r="G2288" s="1286"/>
      <c r="H2288" s="930"/>
      <c r="I2288" s="1005">
        <f t="shared" si="4532"/>
        <v>0</v>
      </c>
      <c r="J2288" s="1398"/>
      <c r="K2288" s="1398"/>
      <c r="L2288" s="1006"/>
      <c r="M2288" s="1327"/>
      <c r="N2288" s="931"/>
      <c r="O2288" s="1007"/>
      <c r="P2288" s="1008"/>
      <c r="Q2288" s="1360"/>
      <c r="R2288" s="932"/>
      <c r="S2288" s="932"/>
      <c r="T2288" s="1009"/>
      <c r="U2288" s="1010">
        <f t="shared" si="4531"/>
        <v>0</v>
      </c>
      <c r="V2288" s="983">
        <v>0</v>
      </c>
      <c r="W2288" s="1032"/>
      <c r="X2288" s="1033"/>
      <c r="Y2288" s="1034"/>
      <c r="Z2288" s="14"/>
      <c r="AA2288" s="15"/>
      <c r="AB2288" s="15"/>
      <c r="AC2288" s="15"/>
      <c r="AD2288" s="15"/>
      <c r="AE2288" s="15"/>
    </row>
    <row r="2289" spans="1:38" s="302" customFormat="1" ht="15.75" hidden="1" outlineLevel="1">
      <c r="A2289" s="979">
        <v>2425530100</v>
      </c>
      <c r="B2289" s="980" t="s">
        <v>134</v>
      </c>
      <c r="C2289" s="1664" t="s">
        <v>106</v>
      </c>
      <c r="D2289" s="1671" t="s">
        <v>128</v>
      </c>
      <c r="E2289" s="1682"/>
      <c r="F2289" s="982"/>
      <c r="G2289" s="1286"/>
      <c r="H2289" s="930"/>
      <c r="I2289" s="1005">
        <f t="shared" si="4532"/>
        <v>0</v>
      </c>
      <c r="J2289" s="1398"/>
      <c r="K2289" s="1398"/>
      <c r="L2289" s="1006"/>
      <c r="M2289" s="1327"/>
      <c r="N2289" s="931"/>
      <c r="O2289" s="1007">
        <f>+L2289*N2289</f>
        <v>0</v>
      </c>
      <c r="P2289" s="1008"/>
      <c r="Q2289" s="1360"/>
      <c r="R2289" s="932"/>
      <c r="S2289" s="932"/>
      <c r="T2289" s="1009">
        <f>+P2289*R2289</f>
        <v>0</v>
      </c>
      <c r="U2289" s="1010">
        <f t="shared" si="4531"/>
        <v>0</v>
      </c>
      <c r="V2289" s="983">
        <v>0</v>
      </c>
      <c r="W2289" s="1032"/>
      <c r="X2289" s="1033"/>
      <c r="Y2289" s="1034"/>
      <c r="Z2289" s="14"/>
      <c r="AA2289" s="15"/>
      <c r="AB2289" s="15"/>
      <c r="AC2289" s="15"/>
      <c r="AD2289" s="15"/>
      <c r="AE2289" s="15"/>
    </row>
    <row r="2290" spans="1:38" s="302" customFormat="1" ht="15.75" hidden="1" outlineLevel="1">
      <c r="A2290" s="979">
        <v>2425530100</v>
      </c>
      <c r="B2290" s="980" t="s">
        <v>135</v>
      </c>
      <c r="C2290" s="1664" t="s">
        <v>106</v>
      </c>
      <c r="D2290" s="1671" t="s">
        <v>128</v>
      </c>
      <c r="E2290" s="1682"/>
      <c r="F2290" s="982"/>
      <c r="G2290" s="1286"/>
      <c r="H2290" s="930"/>
      <c r="I2290" s="1005">
        <f t="shared" si="4532"/>
        <v>0</v>
      </c>
      <c r="J2290" s="1398"/>
      <c r="K2290" s="1398"/>
      <c r="L2290" s="1006"/>
      <c r="M2290" s="1327"/>
      <c r="N2290" s="931"/>
      <c r="O2290" s="1007">
        <f>+L2290*N2290</f>
        <v>0</v>
      </c>
      <c r="P2290" s="1008"/>
      <c r="Q2290" s="1360"/>
      <c r="R2290" s="932"/>
      <c r="S2290" s="932"/>
      <c r="T2290" s="1009">
        <f>+P2290*R2290</f>
        <v>0</v>
      </c>
      <c r="U2290" s="1010">
        <f t="shared" si="4531"/>
        <v>0</v>
      </c>
      <c r="V2290" s="983">
        <v>0</v>
      </c>
      <c r="W2290" s="1032"/>
      <c r="X2290" s="1033"/>
      <c r="Y2290" s="1034"/>
      <c r="Z2290" s="14"/>
      <c r="AA2290" s="15"/>
      <c r="AB2290" s="15"/>
      <c r="AC2290" s="15"/>
      <c r="AD2290" s="15"/>
      <c r="AE2290" s="15"/>
    </row>
    <row r="2291" spans="1:38" s="302" customFormat="1" ht="15.75" hidden="1" outlineLevel="1">
      <c r="A2291" s="979">
        <v>2425530100</v>
      </c>
      <c r="B2291" s="980" t="s">
        <v>136</v>
      </c>
      <c r="C2291" s="1664" t="s">
        <v>106</v>
      </c>
      <c r="D2291" s="1671" t="s">
        <v>128</v>
      </c>
      <c r="E2291" s="1682"/>
      <c r="F2291" s="982"/>
      <c r="G2291" s="1286"/>
      <c r="H2291" s="930"/>
      <c r="I2291" s="1005">
        <f t="shared" si="4532"/>
        <v>0</v>
      </c>
      <c r="J2291" s="1398"/>
      <c r="K2291" s="1398"/>
      <c r="L2291" s="1006"/>
      <c r="M2291" s="1327"/>
      <c r="N2291" s="931"/>
      <c r="O2291" s="1007">
        <f>+L2291*N2291</f>
        <v>0</v>
      </c>
      <c r="P2291" s="1008"/>
      <c r="Q2291" s="1360"/>
      <c r="R2291" s="932"/>
      <c r="S2291" s="932"/>
      <c r="T2291" s="1009">
        <f>+P2291*R2291</f>
        <v>0</v>
      </c>
      <c r="U2291" s="1010">
        <f t="shared" si="4531"/>
        <v>0</v>
      </c>
      <c r="V2291" s="983">
        <v>0</v>
      </c>
      <c r="W2291" s="1032"/>
      <c r="X2291" s="1033"/>
      <c r="Y2291" s="1034"/>
      <c r="Z2291" s="14"/>
      <c r="AA2291" s="15"/>
      <c r="AB2291" s="15"/>
      <c r="AC2291" s="15"/>
      <c r="AD2291" s="15"/>
      <c r="AE2291" s="15"/>
    </row>
    <row r="2292" spans="1:38" s="302" customFormat="1" ht="15.75" hidden="1" outlineLevel="1">
      <c r="A2292" s="979">
        <v>2425530100</v>
      </c>
      <c r="B2292" s="980" t="s">
        <v>143</v>
      </c>
      <c r="C2292" s="1664" t="s">
        <v>106</v>
      </c>
      <c r="D2292" s="1671" t="s">
        <v>128</v>
      </c>
      <c r="E2292" s="1682"/>
      <c r="F2292" s="982"/>
      <c r="G2292" s="1286"/>
      <c r="H2292" s="930"/>
      <c r="I2292" s="1005">
        <f t="shared" si="4532"/>
        <v>0</v>
      </c>
      <c r="J2292" s="1398"/>
      <c r="K2292" s="1398"/>
      <c r="L2292" s="1006"/>
      <c r="M2292" s="1327"/>
      <c r="N2292" s="931"/>
      <c r="O2292" s="1007">
        <f>+L2292*N2292</f>
        <v>0</v>
      </c>
      <c r="P2292" s="1008"/>
      <c r="Q2292" s="1360"/>
      <c r="R2292" s="932"/>
      <c r="S2292" s="932"/>
      <c r="T2292" s="1009">
        <f>+P2292*R2292</f>
        <v>0</v>
      </c>
      <c r="U2292" s="1010">
        <f t="shared" si="4531"/>
        <v>0</v>
      </c>
      <c r="V2292" s="983">
        <v>0</v>
      </c>
      <c r="W2292" s="1032"/>
      <c r="X2292" s="1033"/>
      <c r="Y2292" s="1034"/>
      <c r="Z2292" s="14"/>
      <c r="AA2292" s="15"/>
      <c r="AB2292" s="15"/>
      <c r="AC2292" s="15"/>
      <c r="AD2292" s="15"/>
      <c r="AE2292" s="15"/>
    </row>
    <row r="2293" spans="1:38" s="302" customFormat="1" ht="15.75" hidden="1" outlineLevel="1">
      <c r="A2293" s="979">
        <v>2425530100</v>
      </c>
      <c r="B2293" s="980" t="s">
        <v>138</v>
      </c>
      <c r="C2293" s="1664" t="s">
        <v>106</v>
      </c>
      <c r="D2293" s="1671" t="s">
        <v>128</v>
      </c>
      <c r="E2293" s="1682"/>
      <c r="F2293" s="982"/>
      <c r="G2293" s="1286"/>
      <c r="H2293" s="930"/>
      <c r="I2293" s="1005"/>
      <c r="J2293" s="1398"/>
      <c r="K2293" s="1398"/>
      <c r="L2293" s="1006"/>
      <c r="M2293" s="1327"/>
      <c r="N2293" s="931"/>
      <c r="O2293" s="1007"/>
      <c r="P2293" s="1008"/>
      <c r="Q2293" s="1360"/>
      <c r="R2293" s="932"/>
      <c r="S2293" s="932"/>
      <c r="T2293" s="1009"/>
      <c r="U2293" s="1010"/>
      <c r="V2293" s="983">
        <v>0</v>
      </c>
      <c r="W2293" s="367"/>
      <c r="X2293" s="368"/>
      <c r="Y2293" s="369"/>
      <c r="Z2293" s="14"/>
      <c r="AA2293" s="15"/>
      <c r="AB2293" s="15"/>
      <c r="AC2293" s="15"/>
      <c r="AD2293" s="15"/>
      <c r="AE2293" s="15"/>
    </row>
    <row r="2294" spans="1:38" s="302" customFormat="1" ht="15.75" hidden="1" outlineLevel="1">
      <c r="A2294" s="979">
        <v>2425530100</v>
      </c>
      <c r="B2294" s="980" t="s">
        <v>139</v>
      </c>
      <c r="C2294" s="1664" t="s">
        <v>106</v>
      </c>
      <c r="D2294" s="1671" t="s">
        <v>128</v>
      </c>
      <c r="E2294" s="1682"/>
      <c r="F2294" s="982"/>
      <c r="G2294" s="1286"/>
      <c r="H2294" s="930"/>
      <c r="I2294" s="1005"/>
      <c r="J2294" s="1398"/>
      <c r="K2294" s="1398"/>
      <c r="L2294" s="1006"/>
      <c r="M2294" s="1327"/>
      <c r="N2294" s="931"/>
      <c r="O2294" s="1007"/>
      <c r="P2294" s="1008"/>
      <c r="Q2294" s="1360"/>
      <c r="R2294" s="932"/>
      <c r="S2294" s="932"/>
      <c r="T2294" s="1009"/>
      <c r="U2294" s="1010"/>
      <c r="V2294" s="983">
        <v>0</v>
      </c>
      <c r="W2294" s="367"/>
      <c r="X2294" s="368"/>
      <c r="Y2294" s="369"/>
      <c r="Z2294" s="14"/>
      <c r="AA2294" s="15"/>
      <c r="AB2294" s="15"/>
      <c r="AC2294" s="15"/>
      <c r="AD2294" s="15"/>
      <c r="AE2294" s="15"/>
    </row>
    <row r="2295" spans="1:38" s="302" customFormat="1" ht="15.75" hidden="1" outlineLevel="1">
      <c r="A2295" s="979">
        <v>2425530100</v>
      </c>
      <c r="B2295" s="980" t="s">
        <v>140</v>
      </c>
      <c r="C2295" s="1664" t="s">
        <v>106</v>
      </c>
      <c r="D2295" s="1671" t="s">
        <v>128</v>
      </c>
      <c r="E2295" s="1682"/>
      <c r="F2295" s="982"/>
      <c r="G2295" s="1286"/>
      <c r="H2295" s="930"/>
      <c r="I2295" s="1005"/>
      <c r="J2295" s="1398"/>
      <c r="K2295" s="1398"/>
      <c r="L2295" s="1006"/>
      <c r="M2295" s="1327"/>
      <c r="N2295" s="931"/>
      <c r="O2295" s="1007"/>
      <c r="P2295" s="1008"/>
      <c r="Q2295" s="1360"/>
      <c r="R2295" s="932"/>
      <c r="S2295" s="932"/>
      <c r="T2295" s="1009"/>
      <c r="U2295" s="1010"/>
      <c r="V2295" s="983">
        <v>0</v>
      </c>
      <c r="W2295" s="367"/>
      <c r="X2295" s="368"/>
      <c r="Y2295" s="369"/>
      <c r="Z2295" s="14"/>
      <c r="AA2295" s="15"/>
      <c r="AB2295" s="15"/>
      <c r="AC2295" s="15"/>
      <c r="AD2295" s="15"/>
      <c r="AE2295" s="15"/>
    </row>
    <row r="2296" spans="1:38" ht="15.75" collapsed="1" thickBot="1">
      <c r="A2296" s="55"/>
      <c r="B2296" s="509"/>
      <c r="C2296" s="1512"/>
      <c r="D2296" s="1538"/>
      <c r="E2296" s="1674"/>
      <c r="F2296" s="455"/>
      <c r="G2296" s="1280"/>
      <c r="H2296" s="456"/>
      <c r="I2296" s="457">
        <f>+F2296*H2296</f>
        <v>0</v>
      </c>
      <c r="J2296" s="1395"/>
      <c r="K2296" s="1395"/>
      <c r="L2296" s="458"/>
      <c r="M2296" s="1316"/>
      <c r="N2296" s="459"/>
      <c r="O2296" s="460">
        <f>+L2296*N2296</f>
        <v>0</v>
      </c>
      <c r="P2296" s="461"/>
      <c r="Q2296" s="1351"/>
      <c r="R2296" s="462"/>
      <c r="S2296" s="462"/>
      <c r="T2296" s="463">
        <f>+P2296*R2296</f>
        <v>0</v>
      </c>
      <c r="U2296" s="464">
        <f>+L2296+P2296+F2296</f>
        <v>0</v>
      </c>
      <c r="V2296" s="465"/>
      <c r="W2296" s="852"/>
      <c r="X2296" s="853"/>
      <c r="Y2296" s="854"/>
    </row>
    <row r="2297" spans="1:38" s="252" customFormat="1" ht="19.5" thickBot="1">
      <c r="A2297" s="900" t="s">
        <v>162</v>
      </c>
      <c r="B2297" s="901"/>
      <c r="C2297" s="902"/>
      <c r="D2297" s="1688"/>
      <c r="E2297" s="1689"/>
      <c r="F2297" s="904">
        <f>SUM(F2264:F2296)</f>
        <v>0</v>
      </c>
      <c r="G2297" s="1292"/>
      <c r="H2297" s="905"/>
      <c r="I2297" s="906">
        <f>SUM(I2264:I2296)</f>
        <v>0</v>
      </c>
      <c r="J2297" s="1373"/>
      <c r="K2297" s="1373"/>
      <c r="L2297" s="907">
        <f>SUM(L2264:L2296)</f>
        <v>99333.2</v>
      </c>
      <c r="M2297" s="1328"/>
      <c r="N2297" s="908"/>
      <c r="O2297" s="909">
        <f ca="1">SUM(O2264:O2296)</f>
        <v>446529551.05690002</v>
      </c>
      <c r="P2297" s="910">
        <f>SUM(P2265:P2296)</f>
        <v>0</v>
      </c>
      <c r="Q2297" s="1361"/>
      <c r="R2297" s="911"/>
      <c r="S2297" s="911"/>
      <c r="T2297" s="912">
        <f>SUM(T2264:T2296)</f>
        <v>0</v>
      </c>
      <c r="U2297" s="913">
        <f>SUM(U2264:U2296)</f>
        <v>99333.2</v>
      </c>
      <c r="V2297" s="914">
        <f ca="1">SUM(V2264:V2296)</f>
        <v>448389750.05690002</v>
      </c>
      <c r="W2297" s="915">
        <f>SUM(W2264:W2296)</f>
        <v>0</v>
      </c>
      <c r="X2297" s="916">
        <f>SUM(X2264:X2296)</f>
        <v>0</v>
      </c>
      <c r="Y2297" s="917"/>
      <c r="Z2297" s="1073"/>
      <c r="AA2297" s="364"/>
      <c r="AB2297" s="364"/>
      <c r="AC2297" s="364"/>
      <c r="AD2297" s="364"/>
      <c r="AE2297" s="364"/>
    </row>
    <row r="2298" spans="1:38" ht="15.75" thickBot="1">
      <c r="V2298" s="9"/>
      <c r="W2298" s="9"/>
      <c r="X2298" s="9"/>
      <c r="Y2298" s="345"/>
    </row>
    <row r="2299" spans="1:38" s="27" customFormat="1" ht="21.75" thickBot="1">
      <c r="A2299" s="827" t="s">
        <v>163</v>
      </c>
      <c r="B2299" s="828"/>
      <c r="C2299" s="933"/>
      <c r="D2299" s="1120"/>
      <c r="E2299" s="2587"/>
      <c r="F2299" s="2588"/>
      <c r="G2299" s="2588"/>
      <c r="H2299" s="2588"/>
      <c r="I2299" s="2588"/>
      <c r="J2299" s="2588"/>
      <c r="K2299" s="2588"/>
      <c r="L2299" s="2588"/>
      <c r="M2299" s="2588"/>
      <c r="N2299" s="2588"/>
      <c r="O2299" s="2588"/>
      <c r="P2299" s="2588"/>
      <c r="Q2299" s="2588"/>
      <c r="R2299" s="2588"/>
      <c r="S2299" s="2588"/>
      <c r="T2299" s="2588"/>
      <c r="U2299" s="2588"/>
      <c r="V2299" s="2588"/>
      <c r="W2299" s="2588"/>
      <c r="X2299" s="2588"/>
      <c r="Y2299" s="2589"/>
      <c r="Z2299" s="44"/>
      <c r="AA2299" s="364"/>
      <c r="AB2299" s="364"/>
      <c r="AC2299" s="364"/>
      <c r="AD2299" s="364"/>
      <c r="AE2299" s="364"/>
    </row>
    <row r="2300" spans="1:38" s="27" customFormat="1" ht="21">
      <c r="A2300" s="827" t="s">
        <v>164</v>
      </c>
      <c r="B2300" s="828"/>
      <c r="C2300" s="2581" t="s">
        <v>57</v>
      </c>
      <c r="D2300" s="2585" t="s">
        <v>59</v>
      </c>
      <c r="E2300" s="2583" t="s">
        <v>58</v>
      </c>
      <c r="F2300" s="2564" t="str">
        <f>+F6</f>
        <v>SALDO FISCAL 31/12/2022</v>
      </c>
      <c r="G2300" s="2565"/>
      <c r="H2300" s="2565"/>
      <c r="I2300" s="2566"/>
      <c r="J2300" s="2580" t="str">
        <f>J6</f>
        <v>Tasa Mon Extranj</v>
      </c>
      <c r="K2300" s="2568"/>
      <c r="L2300" s="2569" t="str">
        <f>+L6</f>
        <v>ENTRADAS</v>
      </c>
      <c r="M2300" s="2570"/>
      <c r="N2300" s="2570"/>
      <c r="O2300" s="2571"/>
      <c r="P2300" s="2572" t="str">
        <f>+P6</f>
        <v>SALIDAS</v>
      </c>
      <c r="Q2300" s="2573"/>
      <c r="R2300" s="2573"/>
      <c r="S2300" s="2573"/>
      <c r="T2300" s="2574"/>
      <c r="U2300" s="2575" t="s">
        <v>62</v>
      </c>
      <c r="V2300" s="2576"/>
      <c r="W2300" s="2577" t="s">
        <v>63</v>
      </c>
      <c r="X2300" s="2578"/>
      <c r="Y2300" s="2579"/>
      <c r="Z2300" s="44"/>
      <c r="AA2300" s="364"/>
      <c r="AB2300" s="364"/>
      <c r="AC2300" s="364"/>
      <c r="AD2300" s="364"/>
      <c r="AE2300" s="364"/>
    </row>
    <row r="2301" spans="1:38" s="216" customFormat="1" ht="15.75" thickBot="1">
      <c r="A2301" s="253" t="s">
        <v>87</v>
      </c>
      <c r="B2301" s="254" t="s">
        <v>88</v>
      </c>
      <c r="C2301" s="2582"/>
      <c r="D2301" s="2586"/>
      <c r="E2301" s="2584"/>
      <c r="F2301" s="30" t="str">
        <f>F7</f>
        <v>MON/EX</v>
      </c>
      <c r="G2301" s="1249" t="str">
        <f>G7</f>
        <v>USD</v>
      </c>
      <c r="H2301" s="31" t="str">
        <f>H7</f>
        <v>TRM CIERRE</v>
      </c>
      <c r="I2301" s="32" t="str">
        <f>I7</f>
        <v>SALDO PESOS</v>
      </c>
      <c r="J2301" s="1423" t="str">
        <f>J7</f>
        <v>Inicial</v>
      </c>
      <c r="K2301" s="1338" t="str">
        <f t="shared" ref="K2301:X2301" si="4533">K7</f>
        <v>Pago</v>
      </c>
      <c r="L2301" s="33" t="str">
        <f t="shared" si="4533"/>
        <v>ENTRADAS MON/EX</v>
      </c>
      <c r="M2301" s="1297" t="str">
        <f t="shared" si="4533"/>
        <v>USD</v>
      </c>
      <c r="N2301" s="34" t="str">
        <f t="shared" si="4533"/>
        <v>TRM INICIAL</v>
      </c>
      <c r="O2301" s="35" t="str">
        <f t="shared" si="4533"/>
        <v>ENTRADAS PESOS</v>
      </c>
      <c r="P2301" s="36" t="str">
        <f t="shared" si="4533"/>
        <v>PAGOS MON/EX</v>
      </c>
      <c r="Q2301" s="1338" t="str">
        <f t="shared" si="4533"/>
        <v>USD</v>
      </c>
      <c r="R2301" s="37" t="str">
        <f t="shared" si="4533"/>
        <v>TRM INICIAL</v>
      </c>
      <c r="S2301" s="37" t="str">
        <f t="shared" si="4533"/>
        <v>TRM PAGO</v>
      </c>
      <c r="T2301" s="38" t="str">
        <f t="shared" si="4533"/>
        <v>PAGO EN PESOS</v>
      </c>
      <c r="U2301" s="39" t="str">
        <f t="shared" si="4533"/>
        <v xml:space="preserve"> SALDO MON/EX</v>
      </c>
      <c r="V2301" s="40" t="str">
        <f t="shared" si="4533"/>
        <v>SALDO  PESOS</v>
      </c>
      <c r="W2301" s="41" t="str">
        <f t="shared" si="4533"/>
        <v>GASTO</v>
      </c>
      <c r="X2301" s="42" t="str">
        <f t="shared" si="4533"/>
        <v>INGRESO</v>
      </c>
      <c r="Y2301" s="43"/>
      <c r="Z2301" s="214"/>
      <c r="AA2301" s="366"/>
      <c r="AB2301" s="366"/>
      <c r="AC2301" s="366"/>
      <c r="AD2301" s="366"/>
      <c r="AE2301" s="366"/>
    </row>
    <row r="2302" spans="1:38" s="324" customFormat="1" ht="15.75">
      <c r="A2302" s="961">
        <v>2453010800</v>
      </c>
      <c r="B2302" s="962" t="s">
        <v>77</v>
      </c>
      <c r="C2302" s="1465" t="s">
        <v>64</v>
      </c>
      <c r="D2302" s="1467"/>
      <c r="E2302" s="1679"/>
      <c r="F2302" s="773"/>
      <c r="G2302" s="1273">
        <f t="shared" ref="G2302" si="4534">ROUND(F2302*J2302,2)</f>
        <v>0</v>
      </c>
      <c r="H2302" s="620"/>
      <c r="I2302" s="774">
        <f t="shared" ref="I2302" si="4535">+F2302*J2302*H2302</f>
        <v>0</v>
      </c>
      <c r="J2302" s="1407"/>
      <c r="K2302" s="1407"/>
      <c r="L2302" s="775"/>
      <c r="M2302" s="1303">
        <f t="shared" ref="M2302" si="4536">+L2302*J2302</f>
        <v>0</v>
      </c>
      <c r="N2302" s="620"/>
      <c r="O2302" s="774">
        <f t="shared" ref="O2302" si="4537">+L2302*J2302*N2302</f>
        <v>0</v>
      </c>
      <c r="P2302" s="773"/>
      <c r="Q2302" s="1273">
        <f t="shared" ref="Q2302" si="4538">+P2302*K2302</f>
        <v>0</v>
      </c>
      <c r="R2302" s="620"/>
      <c r="S2302" s="620"/>
      <c r="T2302" s="774">
        <f t="shared" ref="T2302" si="4539">+P2302*K2302*S2302</f>
        <v>0</v>
      </c>
      <c r="U2302" s="773">
        <f t="shared" ref="U2302" si="4540">+L2302+P2302+F2302</f>
        <v>0</v>
      </c>
      <c r="V2302" s="774">
        <f t="shared" ref="V2302" si="4541">+P2302*J2302*R2302+L2302*J2302*N2302+F2302*J2302*H2302</f>
        <v>0</v>
      </c>
      <c r="W2302" s="968">
        <f t="shared" ref="W2302:W2306" si="4542">-(IF(-P2302*J2302*R2302&lt;-P2302*K2302*S2302,(-P2302*J2302*R2302)-(-P2302*K2302*S2302),0))</f>
        <v>0</v>
      </c>
      <c r="X2302" s="966">
        <f t="shared" ref="X2302:X2306" si="4543">-(IF(-P2302*J2302*R2302&gt;-P2302*K2302*S2302,(-P2302*J2302*R2302)-(-P2302*K2302*S2302),0))</f>
        <v>0</v>
      </c>
      <c r="Y2302" s="967"/>
      <c r="Z2302" s="1070"/>
      <c r="AA2302" s="371"/>
      <c r="AB2302" s="371"/>
      <c r="AC2302" s="371"/>
      <c r="AD2302" s="371"/>
      <c r="AE2302" s="371"/>
      <c r="AL2302" s="1185"/>
    </row>
    <row r="2303" spans="1:38" s="13" customFormat="1" hidden="1" outlineLevel="1">
      <c r="A2303" s="934">
        <v>2453010800</v>
      </c>
      <c r="B2303" s="935"/>
      <c r="C2303" s="1683" t="s">
        <v>64</v>
      </c>
      <c r="D2303" s="1684"/>
      <c r="E2303" s="1685"/>
      <c r="F2303" s="936"/>
      <c r="G2303" s="1295"/>
      <c r="H2303" s="937"/>
      <c r="I2303" s="938"/>
      <c r="J2303" s="1403"/>
      <c r="K2303" s="1403"/>
      <c r="L2303" s="939"/>
      <c r="M2303" s="1333">
        <f t="shared" ref="M2303:M2305" si="4544">+L2303*J2303</f>
        <v>0</v>
      </c>
      <c r="N2303" s="940"/>
      <c r="O2303" s="941">
        <f t="shared" ref="O2303:O2305" si="4545">+L2303*J2303*N2303</f>
        <v>0</v>
      </c>
      <c r="P2303" s="942"/>
      <c r="Q2303" s="1363">
        <f t="shared" ref="Q2303:Q2305" si="4546">+P2303*K2303</f>
        <v>0</v>
      </c>
      <c r="R2303" s="943"/>
      <c r="S2303" s="943"/>
      <c r="T2303" s="944">
        <f t="shared" ref="T2303:T2305" si="4547">+P2303*K2303*S2303</f>
        <v>0</v>
      </c>
      <c r="U2303" s="945">
        <f t="shared" ref="U2303:U2305" si="4548">+L2303+P2303+F2303</f>
        <v>0</v>
      </c>
      <c r="V2303" s="946">
        <f t="shared" ref="V2303:V2305" si="4549">+P2303*J2303*R2303+L2303*J2303*N2303+F2303*J2303*H2303</f>
        <v>0</v>
      </c>
      <c r="W2303" s="144">
        <f t="shared" si="4542"/>
        <v>0</v>
      </c>
      <c r="X2303" s="145">
        <f t="shared" si="4543"/>
        <v>0</v>
      </c>
      <c r="Y2303" s="947"/>
      <c r="Z2303" s="1058"/>
      <c r="AA2303" s="289"/>
      <c r="AB2303" s="289"/>
      <c r="AC2303" s="289"/>
      <c r="AD2303" s="289"/>
      <c r="AE2303" s="289"/>
    </row>
    <row r="2304" spans="1:38" s="13" customFormat="1" hidden="1" outlineLevel="1">
      <c r="A2304" s="934">
        <v>2453010800</v>
      </c>
      <c r="B2304" s="935"/>
      <c r="C2304" s="1683" t="s">
        <v>64</v>
      </c>
      <c r="D2304" s="1684"/>
      <c r="E2304" s="1685"/>
      <c r="F2304" s="936"/>
      <c r="G2304" s="1295"/>
      <c r="H2304" s="937"/>
      <c r="I2304" s="938"/>
      <c r="J2304" s="1403"/>
      <c r="K2304" s="1403"/>
      <c r="L2304" s="939"/>
      <c r="M2304" s="1333">
        <f t="shared" si="4544"/>
        <v>0</v>
      </c>
      <c r="N2304" s="940"/>
      <c r="O2304" s="941">
        <f t="shared" si="4545"/>
        <v>0</v>
      </c>
      <c r="P2304" s="942"/>
      <c r="Q2304" s="1363">
        <f t="shared" si="4546"/>
        <v>0</v>
      </c>
      <c r="R2304" s="943"/>
      <c r="S2304" s="943"/>
      <c r="T2304" s="944">
        <f t="shared" si="4547"/>
        <v>0</v>
      </c>
      <c r="U2304" s="945">
        <f t="shared" si="4548"/>
        <v>0</v>
      </c>
      <c r="V2304" s="946">
        <f t="shared" si="4549"/>
        <v>0</v>
      </c>
      <c r="W2304" s="144">
        <f t="shared" si="4542"/>
        <v>0</v>
      </c>
      <c r="X2304" s="145">
        <f t="shared" si="4543"/>
        <v>0</v>
      </c>
      <c r="Y2304" s="947"/>
      <c r="Z2304" s="1058"/>
      <c r="AA2304" s="289"/>
      <c r="AB2304" s="289"/>
      <c r="AC2304" s="289"/>
      <c r="AD2304" s="289"/>
      <c r="AE2304" s="289"/>
    </row>
    <row r="2305" spans="1:38" s="302" customFormat="1" ht="15.75" hidden="1" outlineLevel="1">
      <c r="A2305" s="1011"/>
      <c r="B2305" s="1012"/>
      <c r="C2305" s="1661"/>
      <c r="D2305" s="1671"/>
      <c r="E2305" s="1682"/>
      <c r="F2305" s="982"/>
      <c r="G2305" s="1286"/>
      <c r="H2305" s="930"/>
      <c r="I2305" s="1005"/>
      <c r="J2305" s="1398"/>
      <c r="K2305" s="1398"/>
      <c r="L2305" s="1006"/>
      <c r="M2305" s="1327">
        <f t="shared" si="4544"/>
        <v>0</v>
      </c>
      <c r="N2305" s="931"/>
      <c r="O2305" s="1007">
        <f t="shared" si="4545"/>
        <v>0</v>
      </c>
      <c r="P2305" s="1008"/>
      <c r="Q2305" s="1360">
        <f t="shared" si="4546"/>
        <v>0</v>
      </c>
      <c r="R2305" s="932"/>
      <c r="S2305" s="932"/>
      <c r="T2305" s="1009">
        <f t="shared" si="4547"/>
        <v>0</v>
      </c>
      <c r="U2305" s="1010">
        <f t="shared" si="4548"/>
        <v>0</v>
      </c>
      <c r="V2305" s="1035">
        <f t="shared" si="4549"/>
        <v>0</v>
      </c>
      <c r="W2305" s="367">
        <f t="shared" si="4542"/>
        <v>0</v>
      </c>
      <c r="X2305" s="368">
        <f t="shared" si="4543"/>
        <v>0</v>
      </c>
      <c r="Y2305" s="369"/>
      <c r="Z2305" s="14"/>
      <c r="AA2305" s="15"/>
      <c r="AB2305" s="15"/>
      <c r="AC2305" s="15"/>
      <c r="AD2305" s="15"/>
      <c r="AE2305" s="15"/>
    </row>
    <row r="2306" spans="1:38" s="401" customFormat="1" collapsed="1">
      <c r="A2306" s="1011"/>
      <c r="B2306" s="1012"/>
      <c r="C2306" s="1661"/>
      <c r="D2306" s="1665"/>
      <c r="E2306" s="1666"/>
      <c r="F2306" s="1015"/>
      <c r="G2306" s="1293"/>
      <c r="H2306" s="346"/>
      <c r="I2306" s="1016"/>
      <c r="J2306" s="1402"/>
      <c r="K2306" s="1402"/>
      <c r="L2306" s="347"/>
      <c r="M2306" s="1329"/>
      <c r="N2306" s="348"/>
      <c r="O2306" s="996"/>
      <c r="P2306" s="1017"/>
      <c r="Q2306" s="1362"/>
      <c r="R2306" s="349"/>
      <c r="S2306" s="349"/>
      <c r="T2306" s="1031"/>
      <c r="U2306" s="977"/>
      <c r="V2306" s="978"/>
      <c r="W2306" s="428">
        <f t="shared" si="4542"/>
        <v>0</v>
      </c>
      <c r="X2306" s="429">
        <f t="shared" si="4543"/>
        <v>0</v>
      </c>
      <c r="Y2306" s="1018"/>
      <c r="Z2306" s="220"/>
      <c r="AA2306" s="15"/>
      <c r="AB2306" s="15"/>
      <c r="AC2306" s="15"/>
      <c r="AD2306" s="15"/>
      <c r="AE2306" s="15"/>
    </row>
    <row r="2307" spans="1:38" s="344" customFormat="1" ht="15.75">
      <c r="A2307" s="997">
        <v>2453010700</v>
      </c>
      <c r="B2307" s="998" t="s">
        <v>77</v>
      </c>
      <c r="C2307" s="1663" t="s">
        <v>106</v>
      </c>
      <c r="D2307" s="1669" t="s">
        <v>128</v>
      </c>
      <c r="E2307" s="1670"/>
      <c r="F2307" s="1001"/>
      <c r="G2307" s="1291"/>
      <c r="H2307" s="343"/>
      <c r="I2307" s="1002"/>
      <c r="J2307" s="1372"/>
      <c r="K2307" s="1372"/>
      <c r="L2307" s="1003"/>
      <c r="M2307" s="1326"/>
      <c r="N2307" s="343"/>
      <c r="O2307" s="1002">
        <f>+L2307*N2307</f>
        <v>0</v>
      </c>
      <c r="P2307" s="1001"/>
      <c r="Q2307" s="1291"/>
      <c r="R2307" s="343"/>
      <c r="S2307" s="343"/>
      <c r="T2307" s="1002">
        <f>+P2307*R2307</f>
        <v>0</v>
      </c>
      <c r="U2307" s="1001">
        <f>+L2307+P2307+F2307</f>
        <v>0</v>
      </c>
      <c r="V2307" s="1002">
        <f>+I2307+T2307+O2307</f>
        <v>0</v>
      </c>
      <c r="W2307" s="1032"/>
      <c r="X2307" s="1033"/>
      <c r="Y2307" s="1034"/>
      <c r="Z2307" s="220"/>
      <c r="AA2307" s="364"/>
      <c r="AB2307" s="364"/>
      <c r="AC2307" s="364"/>
      <c r="AD2307" s="364"/>
      <c r="AE2307" s="364"/>
    </row>
    <row r="2308" spans="1:38" s="302" customFormat="1" ht="15.75">
      <c r="A2308" s="979">
        <v>2453010700</v>
      </c>
      <c r="B2308" s="980" t="s">
        <v>129</v>
      </c>
      <c r="C2308" s="1664" t="s">
        <v>106</v>
      </c>
      <c r="D2308" s="1671" t="s">
        <v>128</v>
      </c>
      <c r="E2308" s="1682"/>
      <c r="F2308" s="982"/>
      <c r="G2308" s="1286"/>
      <c r="H2308" s="857"/>
      <c r="I2308" s="1005">
        <f>+F2308*H2308</f>
        <v>0</v>
      </c>
      <c r="J2308" s="1398"/>
      <c r="K2308" s="1398"/>
      <c r="L2308" s="1006"/>
      <c r="M2308" s="1327"/>
      <c r="N2308" s="898"/>
      <c r="O2308" s="1007"/>
      <c r="P2308" s="1008"/>
      <c r="Q2308" s="1360"/>
      <c r="R2308" s="899"/>
      <c r="S2308" s="899"/>
      <c r="T2308" s="1009">
        <f>+P2308*R2308</f>
        <v>0</v>
      </c>
      <c r="U2308" s="1010">
        <f>+L2308+P2308+F2308</f>
        <v>0</v>
      </c>
      <c r="V2308" s="983"/>
      <c r="W2308" s="1032"/>
      <c r="X2308" s="1033"/>
      <c r="Y2308" s="1034"/>
      <c r="Z2308" s="220"/>
      <c r="AA2308" s="15"/>
      <c r="AB2308" s="15"/>
      <c r="AC2308" s="15"/>
      <c r="AD2308" s="15"/>
      <c r="AE2308" s="15"/>
    </row>
    <row r="2309" spans="1:38" s="302" customFormat="1" ht="15.75">
      <c r="A2309" s="979">
        <v>2453010700</v>
      </c>
      <c r="B2309" s="980" t="s">
        <v>217</v>
      </c>
      <c r="C2309" s="1664" t="s">
        <v>106</v>
      </c>
      <c r="D2309" s="1671" t="s">
        <v>128</v>
      </c>
      <c r="E2309" s="1686"/>
      <c r="F2309" s="948"/>
      <c r="G2309" s="1296"/>
      <c r="H2309" s="949"/>
      <c r="I2309" s="950"/>
      <c r="J2309" s="1404"/>
      <c r="K2309" s="1404"/>
      <c r="L2309" s="951"/>
      <c r="M2309" s="1334"/>
      <c r="N2309" s="952"/>
      <c r="O2309" s="953"/>
      <c r="P2309" s="954"/>
      <c r="Q2309" s="1364"/>
      <c r="R2309" s="955"/>
      <c r="S2309" s="955"/>
      <c r="T2309" s="956"/>
      <c r="U2309" s="957"/>
      <c r="V2309" s="958"/>
      <c r="W2309" s="367"/>
      <c r="X2309" s="368"/>
      <c r="Y2309" s="369"/>
      <c r="Z2309" s="220"/>
      <c r="AA2309" s="15"/>
      <c r="AB2309" s="15"/>
      <c r="AC2309" s="15"/>
      <c r="AD2309" s="15"/>
      <c r="AE2309" s="15"/>
    </row>
    <row r="2310" spans="1:38" ht="15.75" thickBot="1">
      <c r="A2310" s="55"/>
      <c r="B2310" s="509"/>
      <c r="C2310" s="1512"/>
      <c r="D2310" s="1538"/>
      <c r="E2310" s="1674"/>
      <c r="F2310" s="455"/>
      <c r="G2310" s="1280"/>
      <c r="H2310" s="456"/>
      <c r="I2310" s="457">
        <f>+F2310*H2310</f>
        <v>0</v>
      </c>
      <c r="J2310" s="1395"/>
      <c r="K2310" s="1395"/>
      <c r="L2310" s="458"/>
      <c r="M2310" s="1316"/>
      <c r="N2310" s="459"/>
      <c r="O2310" s="460">
        <f>+L2310*N2310</f>
        <v>0</v>
      </c>
      <c r="P2310" s="461"/>
      <c r="Q2310" s="1351"/>
      <c r="R2310" s="462"/>
      <c r="S2310" s="462"/>
      <c r="T2310" s="463">
        <f>+P2310*R2310</f>
        <v>0</v>
      </c>
      <c r="U2310" s="464">
        <f>+L2310+P2310+F2310</f>
        <v>0</v>
      </c>
      <c r="V2310" s="465">
        <f>+I2310+T2310+O2310</f>
        <v>0</v>
      </c>
      <c r="W2310" s="852"/>
      <c r="X2310" s="853"/>
      <c r="Y2310" s="854"/>
      <c r="Z2310" s="220"/>
    </row>
    <row r="2311" spans="1:38" s="249" customFormat="1" ht="19.5" thickBot="1">
      <c r="A2311" s="799" t="s">
        <v>165</v>
      </c>
      <c r="B2311" s="800"/>
      <c r="C2311" s="801"/>
      <c r="D2311" s="1675"/>
      <c r="E2311" s="1676"/>
      <c r="F2311" s="803">
        <f>SUM(F2302:F2310)</f>
        <v>0</v>
      </c>
      <c r="G2311" s="1275"/>
      <c r="H2311" s="804"/>
      <c r="I2311" s="805">
        <f>SUM(I2302:I2310)</f>
        <v>0</v>
      </c>
      <c r="J2311" s="1368"/>
      <c r="K2311" s="1368"/>
      <c r="L2311" s="806">
        <f>SUM(L2302:L2310)</f>
        <v>0</v>
      </c>
      <c r="M2311" s="1308"/>
      <c r="N2311" s="807">
        <f>SUM(N2302:N2310)</f>
        <v>0</v>
      </c>
      <c r="O2311" s="808">
        <f>SUM(O2302:O2310)</f>
        <v>0</v>
      </c>
      <c r="P2311" s="809">
        <f>SUM(P2302:P2310)</f>
        <v>0</v>
      </c>
      <c r="Q2311" s="1349"/>
      <c r="R2311" s="810"/>
      <c r="S2311" s="810"/>
      <c r="T2311" s="811">
        <f>SUM(T2302:T2310)</f>
        <v>0</v>
      </c>
      <c r="U2311" s="812">
        <f>SUM(U2302:U2310)</f>
        <v>0</v>
      </c>
      <c r="V2311" s="812">
        <f>SUM(V2302:V2310)</f>
        <v>0</v>
      </c>
      <c r="W2311" s="814">
        <f>SUM(W2302:W2310)</f>
        <v>0</v>
      </c>
      <c r="X2311" s="815">
        <f>SUM(X2302:X2310)</f>
        <v>0</v>
      </c>
      <c r="Y2311" s="816"/>
      <c r="Z2311" s="1073"/>
      <c r="AA2311" s="364"/>
      <c r="AB2311" s="364"/>
      <c r="AC2311" s="364"/>
      <c r="AD2311" s="364"/>
      <c r="AE2311" s="364"/>
    </row>
    <row r="2312" spans="1:38" ht="15.75" thickBot="1">
      <c r="W2312" s="9">
        <v>0</v>
      </c>
      <c r="X2312" s="9"/>
      <c r="Y2312" s="345"/>
    </row>
    <row r="2313" spans="1:38" s="27" customFormat="1" ht="21">
      <c r="A2313" s="827" t="s">
        <v>166</v>
      </c>
      <c r="B2313" s="828"/>
      <c r="C2313" s="2558" t="s">
        <v>57</v>
      </c>
      <c r="D2313" s="2560" t="s">
        <v>59</v>
      </c>
      <c r="E2313" s="2562" t="s">
        <v>58</v>
      </c>
      <c r="F2313" s="2564" t="str">
        <f>+F6</f>
        <v>SALDO FISCAL 31/12/2022</v>
      </c>
      <c r="G2313" s="2565"/>
      <c r="H2313" s="2565"/>
      <c r="I2313" s="2566"/>
      <c r="J2313" s="2580" t="str">
        <f>J6</f>
        <v>Tasa Mon Extranj</v>
      </c>
      <c r="K2313" s="2568"/>
      <c r="L2313" s="2569" t="str">
        <f>+L6</f>
        <v>ENTRADAS</v>
      </c>
      <c r="M2313" s="2570"/>
      <c r="N2313" s="2570"/>
      <c r="O2313" s="2571"/>
      <c r="P2313" s="2572" t="str">
        <f>+P6</f>
        <v>SALIDAS</v>
      </c>
      <c r="Q2313" s="2573"/>
      <c r="R2313" s="2573"/>
      <c r="S2313" s="2573"/>
      <c r="T2313" s="2574"/>
      <c r="U2313" s="2575" t="s">
        <v>62</v>
      </c>
      <c r="V2313" s="2576"/>
      <c r="W2313" s="2577" t="s">
        <v>63</v>
      </c>
      <c r="X2313" s="2578"/>
      <c r="Y2313" s="2579"/>
      <c r="Z2313" s="44"/>
      <c r="AA2313" s="364"/>
      <c r="AB2313" s="364"/>
      <c r="AC2313" s="364"/>
      <c r="AD2313" s="364"/>
      <c r="AE2313" s="364"/>
    </row>
    <row r="2314" spans="1:38" s="216" customFormat="1" ht="15.75" thickBot="1">
      <c r="A2314" s="253" t="s">
        <v>87</v>
      </c>
      <c r="B2314" s="254" t="s">
        <v>88</v>
      </c>
      <c r="C2314" s="2559"/>
      <c r="D2314" s="2561"/>
      <c r="E2314" s="2563"/>
      <c r="F2314" s="30" t="str">
        <f>F7</f>
        <v>MON/EX</v>
      </c>
      <c r="G2314" s="1249" t="str">
        <f>G7</f>
        <v>USD</v>
      </c>
      <c r="H2314" s="31" t="str">
        <f>H7</f>
        <v>TRM CIERRE</v>
      </c>
      <c r="I2314" s="32" t="str">
        <f>I7</f>
        <v>SALDO PESOS</v>
      </c>
      <c r="J2314" s="1423" t="str">
        <f>J7</f>
        <v>Inicial</v>
      </c>
      <c r="K2314" s="1338" t="str">
        <f t="shared" ref="K2314:X2314" si="4550">K7</f>
        <v>Pago</v>
      </c>
      <c r="L2314" s="33" t="str">
        <f t="shared" si="4550"/>
        <v>ENTRADAS MON/EX</v>
      </c>
      <c r="M2314" s="1297" t="str">
        <f t="shared" si="4550"/>
        <v>USD</v>
      </c>
      <c r="N2314" s="34" t="str">
        <f t="shared" si="4550"/>
        <v>TRM INICIAL</v>
      </c>
      <c r="O2314" s="35" t="str">
        <f t="shared" si="4550"/>
        <v>ENTRADAS PESOS</v>
      </c>
      <c r="P2314" s="36" t="str">
        <f t="shared" si="4550"/>
        <v>PAGOS MON/EX</v>
      </c>
      <c r="Q2314" s="1338" t="str">
        <f t="shared" si="4550"/>
        <v>USD</v>
      </c>
      <c r="R2314" s="37" t="str">
        <f t="shared" si="4550"/>
        <v>TRM INICIAL</v>
      </c>
      <c r="S2314" s="37" t="str">
        <f t="shared" si="4550"/>
        <v>TRM PAGO</v>
      </c>
      <c r="T2314" s="38" t="str">
        <f t="shared" si="4550"/>
        <v>PAGO EN PESOS</v>
      </c>
      <c r="U2314" s="39" t="str">
        <f t="shared" si="4550"/>
        <v xml:space="preserve"> SALDO MON/EX</v>
      </c>
      <c r="V2314" s="40" t="str">
        <f t="shared" si="4550"/>
        <v>SALDO  PESOS</v>
      </c>
      <c r="W2314" s="41" t="str">
        <f t="shared" si="4550"/>
        <v>GASTO</v>
      </c>
      <c r="X2314" s="42" t="str">
        <f t="shared" si="4550"/>
        <v>INGRESO</v>
      </c>
      <c r="Y2314" s="43"/>
      <c r="Z2314" s="214"/>
      <c r="AA2314" s="366"/>
      <c r="AB2314" s="366"/>
      <c r="AC2314" s="366"/>
      <c r="AD2314" s="366"/>
      <c r="AE2314" s="366"/>
    </row>
    <row r="2315" spans="1:38" s="324" customFormat="1" ht="15.75">
      <c r="A2315" s="961">
        <v>2455070100</v>
      </c>
      <c r="B2315" s="962" t="s">
        <v>77</v>
      </c>
      <c r="C2315" s="1465" t="s">
        <v>64</v>
      </c>
      <c r="D2315" s="1678"/>
      <c r="E2315" s="1679"/>
      <c r="F2315" s="773">
        <v>107.15</v>
      </c>
      <c r="G2315" s="1273">
        <f t="shared" ref="G2315" si="4551">ROUND(F2315*J2315,2)</f>
        <v>107.15</v>
      </c>
      <c r="H2315" s="620">
        <v>3000.71</v>
      </c>
      <c r="I2315" s="774">
        <f t="shared" ref="I2315" si="4552">+F2315*J2315*H2315</f>
        <v>321526.07650000002</v>
      </c>
      <c r="J2315" s="1407">
        <v>1</v>
      </c>
      <c r="K2315" s="1407">
        <v>1</v>
      </c>
      <c r="L2315" s="775"/>
      <c r="M2315" s="1303">
        <f t="shared" ref="M2315:M2330" si="4553">+L2315*J2315</f>
        <v>0</v>
      </c>
      <c r="N2315" s="620"/>
      <c r="O2315" s="774">
        <f t="shared" ref="O2315:O2330" si="4554">+L2315*J2315*N2315</f>
        <v>0</v>
      </c>
      <c r="P2315" s="773"/>
      <c r="Q2315" s="1273">
        <f t="shared" ref="Q2315:Q2330" si="4555">+P2315*K2315</f>
        <v>0</v>
      </c>
      <c r="R2315" s="620"/>
      <c r="S2315" s="620"/>
      <c r="T2315" s="774">
        <f t="shared" ref="T2315:T2330" si="4556">+P2315*K2315*S2315</f>
        <v>0</v>
      </c>
      <c r="U2315" s="773">
        <f t="shared" ref="U2315:U2330" si="4557">+L2315+P2315+F2315</f>
        <v>107.15</v>
      </c>
      <c r="V2315" s="774">
        <f t="shared" ref="V2315:V2330" si="4558">+P2315*J2315*R2315+L2315*J2315*N2315+F2315*J2315*H2315</f>
        <v>321526.07650000002</v>
      </c>
      <c r="W2315" s="968">
        <f t="shared" ref="W2315:W2331" si="4559">-(IF(-P2315*J2315*R2315&lt;-P2315*K2315*S2315,(-P2315*J2315*R2315)-(-P2315*K2315*S2315),0))</f>
        <v>0</v>
      </c>
      <c r="X2315" s="966">
        <f t="shared" ref="X2315:X2331" si="4560">-(IF(-P2315*J2315*R2315&gt;-P2315*K2315*S2315,(-P2315*J2315*R2315)-(-P2315*K2315*S2315),0))</f>
        <v>0</v>
      </c>
      <c r="Y2315" s="967"/>
      <c r="Z2315" s="1070"/>
      <c r="AA2315" s="371"/>
      <c r="AB2315" s="371"/>
      <c r="AC2315" s="371"/>
      <c r="AD2315" s="333"/>
      <c r="AE2315" s="333"/>
      <c r="AL2315" s="1185"/>
    </row>
    <row r="2316" spans="1:38" s="401" customFormat="1" hidden="1" outlineLevel="1">
      <c r="A2316" s="984">
        <v>2455070100</v>
      </c>
      <c r="B2316" s="985"/>
      <c r="C2316" s="1662" t="s">
        <v>64</v>
      </c>
      <c r="D2316" s="1667"/>
      <c r="E2316" s="1668"/>
      <c r="F2316" s="988"/>
      <c r="G2316" s="1287"/>
      <c r="H2316" s="335"/>
      <c r="I2316" s="989"/>
      <c r="J2316" s="1399"/>
      <c r="K2316" s="1399"/>
      <c r="L2316" s="336"/>
      <c r="M2316" s="1322">
        <f t="shared" si="4553"/>
        <v>0</v>
      </c>
      <c r="N2316" s="337"/>
      <c r="O2316" s="990">
        <f t="shared" si="4554"/>
        <v>0</v>
      </c>
      <c r="P2316" s="991"/>
      <c r="Q2316" s="1330">
        <f t="shared" si="4555"/>
        <v>0</v>
      </c>
      <c r="R2316" s="337"/>
      <c r="S2316" s="337"/>
      <c r="T2316" s="990">
        <f t="shared" si="4556"/>
        <v>0</v>
      </c>
      <c r="U2316" s="992">
        <f t="shared" si="4557"/>
        <v>0</v>
      </c>
      <c r="V2316" s="990">
        <f t="shared" si="4558"/>
        <v>0</v>
      </c>
      <c r="W2316" s="993">
        <f t="shared" si="4559"/>
        <v>0</v>
      </c>
      <c r="X2316" s="994">
        <f t="shared" si="4560"/>
        <v>0</v>
      </c>
      <c r="Y2316" s="995"/>
      <c r="Z2316" s="220"/>
      <c r="AA2316" s="15"/>
      <c r="AB2316" s="15"/>
      <c r="AC2316" s="15"/>
      <c r="AD2316" s="15"/>
      <c r="AE2316" s="15"/>
    </row>
    <row r="2317" spans="1:38" ht="15.75" collapsed="1">
      <c r="A2317" s="961"/>
      <c r="B2317" s="962"/>
      <c r="C2317" s="1465"/>
      <c r="D2317" s="1467"/>
      <c r="E2317" s="1468"/>
      <c r="F2317" s="964"/>
      <c r="G2317" s="1250"/>
      <c r="H2317" s="47"/>
      <c r="I2317" s="965"/>
      <c r="J2317" s="1366"/>
      <c r="K2317" s="1366"/>
      <c r="L2317" s="218"/>
      <c r="M2317" s="1309">
        <f t="shared" si="4553"/>
        <v>0</v>
      </c>
      <c r="N2317" s="47"/>
      <c r="O2317" s="965">
        <f t="shared" si="4554"/>
        <v>0</v>
      </c>
      <c r="P2317" s="964"/>
      <c r="Q2317" s="1250">
        <f t="shared" si="4555"/>
        <v>0</v>
      </c>
      <c r="R2317" s="47"/>
      <c r="S2317" s="47"/>
      <c r="T2317" s="965">
        <f t="shared" si="4556"/>
        <v>0</v>
      </c>
      <c r="U2317" s="964">
        <f t="shared" si="4557"/>
        <v>0</v>
      </c>
      <c r="V2317" s="965">
        <f t="shared" si="4558"/>
        <v>0</v>
      </c>
      <c r="W2317" s="968">
        <f t="shared" si="4559"/>
        <v>0</v>
      </c>
      <c r="X2317" s="966">
        <f t="shared" si="4560"/>
        <v>0</v>
      </c>
      <c r="Y2317" s="967"/>
      <c r="Z2317" s="1071"/>
      <c r="AA2317" s="355"/>
      <c r="AB2317" s="355"/>
      <c r="AC2317" s="355"/>
      <c r="AD2317" s="355"/>
      <c r="AE2317" s="355"/>
    </row>
    <row r="2318" spans="1:38" s="401" customFormat="1" hidden="1" outlineLevel="1">
      <c r="A2318" s="1019">
        <v>2455070100</v>
      </c>
      <c r="B2318" s="1020"/>
      <c r="C2318" s="1677" t="s">
        <v>64</v>
      </c>
      <c r="D2318" s="1680"/>
      <c r="E2318" s="1681"/>
      <c r="F2318" s="1023"/>
      <c r="G2318" s="1290"/>
      <c r="H2318" s="352"/>
      <c r="I2318" s="1024"/>
      <c r="J2318" s="1401"/>
      <c r="K2318" s="1401"/>
      <c r="L2318" s="356"/>
      <c r="M2318" s="1332">
        <f t="shared" si="4553"/>
        <v>0</v>
      </c>
      <c r="N2318" s="353"/>
      <c r="O2318" s="1025">
        <f t="shared" si="4554"/>
        <v>0</v>
      </c>
      <c r="P2318" s="1026"/>
      <c r="Q2318" s="1324">
        <f t="shared" si="4555"/>
        <v>0</v>
      </c>
      <c r="R2318" s="353"/>
      <c r="S2318" s="353"/>
      <c r="T2318" s="1025">
        <f t="shared" si="4556"/>
        <v>0</v>
      </c>
      <c r="U2318" s="1027">
        <f t="shared" si="4557"/>
        <v>0</v>
      </c>
      <c r="V2318" s="1025">
        <f t="shared" si="4558"/>
        <v>0</v>
      </c>
      <c r="W2318" s="1028">
        <f t="shared" si="4559"/>
        <v>0</v>
      </c>
      <c r="X2318" s="1029">
        <f t="shared" si="4560"/>
        <v>0</v>
      </c>
      <c r="Y2318" s="1030"/>
      <c r="Z2318" s="220"/>
      <c r="AA2318" s="15"/>
      <c r="AB2318" s="15"/>
      <c r="AC2318" s="15"/>
      <c r="AD2318" s="15"/>
      <c r="AE2318" s="15"/>
    </row>
    <row r="2319" spans="1:38" s="61" customFormat="1" hidden="1" outlineLevel="1">
      <c r="A2319" s="381">
        <v>2455070100</v>
      </c>
      <c r="B2319" s="195"/>
      <c r="C2319" s="1634" t="s">
        <v>64</v>
      </c>
      <c r="D2319" s="1585"/>
      <c r="E2319" s="1586"/>
      <c r="F2319" s="382"/>
      <c r="G2319" s="1260"/>
      <c r="H2319" s="383"/>
      <c r="I2319" s="384"/>
      <c r="J2319" s="1405"/>
      <c r="K2319" s="1405"/>
      <c r="L2319" s="385"/>
      <c r="M2319" s="1335">
        <f t="shared" si="4553"/>
        <v>0</v>
      </c>
      <c r="N2319" s="386"/>
      <c r="O2319" s="387">
        <f t="shared" si="4554"/>
        <v>0</v>
      </c>
      <c r="P2319" s="388"/>
      <c r="Q2319" s="1239">
        <f t="shared" si="4555"/>
        <v>0</v>
      </c>
      <c r="R2319" s="389"/>
      <c r="S2319" s="389"/>
      <c r="T2319" s="390">
        <f t="shared" si="4556"/>
        <v>0</v>
      </c>
      <c r="U2319" s="391">
        <f t="shared" si="4557"/>
        <v>0</v>
      </c>
      <c r="V2319" s="392">
        <f t="shared" si="4558"/>
        <v>0</v>
      </c>
      <c r="W2319" s="393">
        <f t="shared" si="4559"/>
        <v>0</v>
      </c>
      <c r="X2319" s="394">
        <f t="shared" si="4560"/>
        <v>0</v>
      </c>
      <c r="Y2319" s="395"/>
      <c r="Z2319" s="1056"/>
      <c r="AA2319" s="15">
        <f>+N2319+S2319</f>
        <v>0</v>
      </c>
      <c r="AB2319" s="15"/>
      <c r="AC2319" s="15"/>
      <c r="AD2319" s="15"/>
      <c r="AE2319" s="15"/>
    </row>
    <row r="2320" spans="1:38" s="61" customFormat="1" hidden="1" outlineLevel="1">
      <c r="A2320" s="381">
        <v>2455070100</v>
      </c>
      <c r="B2320" s="195"/>
      <c r="C2320" s="1634" t="s">
        <v>64</v>
      </c>
      <c r="D2320" s="1585"/>
      <c r="E2320" s="1586"/>
      <c r="F2320" s="382"/>
      <c r="G2320" s="1260"/>
      <c r="H2320" s="383"/>
      <c r="I2320" s="384"/>
      <c r="J2320" s="1405"/>
      <c r="K2320" s="1405"/>
      <c r="L2320" s="385"/>
      <c r="M2320" s="1335">
        <f t="shared" si="4553"/>
        <v>0</v>
      </c>
      <c r="N2320" s="386"/>
      <c r="O2320" s="387">
        <f t="shared" si="4554"/>
        <v>0</v>
      </c>
      <c r="P2320" s="388"/>
      <c r="Q2320" s="1239">
        <f t="shared" si="4555"/>
        <v>0</v>
      </c>
      <c r="R2320" s="389"/>
      <c r="S2320" s="389"/>
      <c r="T2320" s="390">
        <f t="shared" si="4556"/>
        <v>0</v>
      </c>
      <c r="U2320" s="391">
        <f t="shared" si="4557"/>
        <v>0</v>
      </c>
      <c r="V2320" s="392">
        <f t="shared" si="4558"/>
        <v>0</v>
      </c>
      <c r="W2320" s="393">
        <f t="shared" si="4559"/>
        <v>0</v>
      </c>
      <c r="X2320" s="394">
        <f t="shared" si="4560"/>
        <v>0</v>
      </c>
      <c r="Y2320" s="395"/>
      <c r="Z2320" s="1056"/>
      <c r="AA2320" s="396"/>
      <c r="AB2320" s="396"/>
      <c r="AC2320" s="396"/>
      <c r="AD2320" s="396"/>
      <c r="AE2320" s="396"/>
    </row>
    <row r="2321" spans="1:38" s="398" customFormat="1" collapsed="1">
      <c r="A2321" s="1011"/>
      <c r="B2321" s="1012"/>
      <c r="C2321" s="1661"/>
      <c r="D2321" s="1665"/>
      <c r="E2321" s="1666"/>
      <c r="F2321" s="1015"/>
      <c r="G2321" s="1293"/>
      <c r="H2321" s="346"/>
      <c r="I2321" s="1016"/>
      <c r="J2321" s="1402"/>
      <c r="K2321" s="1402"/>
      <c r="L2321" s="347"/>
      <c r="M2321" s="1329">
        <f t="shared" ref="M2321" si="4561">+L2321*J2321</f>
        <v>0</v>
      </c>
      <c r="N2321" s="348"/>
      <c r="O2321" s="996">
        <f t="shared" ref="O2321" si="4562">+L2321*J2321*N2321</f>
        <v>0</v>
      </c>
      <c r="P2321" s="1017"/>
      <c r="Q2321" s="1362">
        <f t="shared" ref="Q2321" si="4563">+P2321*K2321</f>
        <v>0</v>
      </c>
      <c r="R2321" s="349"/>
      <c r="S2321" s="349"/>
      <c r="T2321" s="1031">
        <f t="shared" ref="T2321" si="4564">+P2321*K2321*S2321</f>
        <v>0</v>
      </c>
      <c r="U2321" s="977">
        <f t="shared" ref="U2321" si="4565">+L2321+P2321+F2321</f>
        <v>0</v>
      </c>
      <c r="V2321" s="978">
        <f t="shared" ref="V2321" si="4566">+P2321*J2321*R2321+L2321*J2321*N2321+F2321*J2321*H2321</f>
        <v>0</v>
      </c>
      <c r="W2321" s="428">
        <f t="shared" ref="W2321" si="4567">-(IF(-P2321*J2321*R2321&lt;-P2321*K2321*S2321,(-P2321*J2321*R2321)-(-P2321*K2321*S2321),0))</f>
        <v>0</v>
      </c>
      <c r="X2321" s="429">
        <f t="shared" ref="X2321" si="4568">-(IF(-P2321*J2321*R2321&gt;-P2321*K2321*S2321,(-P2321*J2321*R2321)-(-P2321*K2321*S2321),0))</f>
        <v>0</v>
      </c>
      <c r="Y2321" s="1018"/>
      <c r="Z2321" s="220"/>
      <c r="AA2321" s="397"/>
      <c r="AB2321" s="397"/>
      <c r="AC2321" s="397"/>
      <c r="AD2321" s="397"/>
      <c r="AE2321" s="397"/>
      <c r="AL2321" s="1186"/>
    </row>
    <row r="2322" spans="1:38" s="401" customFormat="1" hidden="1" outlineLevel="1">
      <c r="A2322" s="1019">
        <v>2455070100</v>
      </c>
      <c r="B2322" s="1020"/>
      <c r="C2322" s="1677" t="s">
        <v>206</v>
      </c>
      <c r="D2322" s="1680"/>
      <c r="E2322" s="1681"/>
      <c r="F2322" s="1023"/>
      <c r="G2322" s="1290"/>
      <c r="H2322" s="352"/>
      <c r="I2322" s="1024"/>
      <c r="J2322" s="1588"/>
      <c r="K2322" s="357"/>
      <c r="L2322" s="356"/>
      <c r="M2322" s="1332">
        <f t="shared" ref="M2322:M2323" si="4569">+L2322*J2322</f>
        <v>0</v>
      </c>
      <c r="N2322" s="353"/>
      <c r="O2322" s="1025">
        <f t="shared" ref="O2322:O2323" si="4570">+L2322*J2322*N2322</f>
        <v>0</v>
      </c>
      <c r="P2322" s="1026"/>
      <c r="Q2322" s="1324">
        <f t="shared" ref="Q2322:Q2323" si="4571">+P2322*K2322</f>
        <v>0</v>
      </c>
      <c r="R2322" s="353"/>
      <c r="S2322" s="353"/>
      <c r="T2322" s="1025">
        <f t="shared" ref="T2322:T2323" si="4572">+P2322*K2322*S2322</f>
        <v>0</v>
      </c>
      <c r="U2322" s="1027">
        <f t="shared" ref="U2322:U2323" si="4573">+L2322+P2322+F2322</f>
        <v>0</v>
      </c>
      <c r="V2322" s="1025">
        <f t="shared" ref="V2322:V2323" si="4574">+P2322*J2322*R2322+L2322*J2322*N2322+F2322*J2322*H2322</f>
        <v>0</v>
      </c>
      <c r="W2322" s="1028">
        <f t="shared" ref="W2322:W2323" si="4575">-(IF(-P2322*J2322*R2322&lt;-P2322*K2322*S2322,(-P2322*J2322*R2322)-(-P2322*K2322*S2322),0))</f>
        <v>0</v>
      </c>
      <c r="X2322" s="1029">
        <f t="shared" ref="X2322:X2323" si="4576">-(IF(-P2322*J2322*R2322&gt;-P2322*K2322*S2322,(-P2322*J2322*R2322)-(-P2322*K2322*S2322),0))</f>
        <v>0</v>
      </c>
      <c r="Y2322" s="1030"/>
      <c r="Z2322" s="220"/>
      <c r="AA2322" s="15"/>
      <c r="AB2322" s="15"/>
      <c r="AC2322" s="15"/>
      <c r="AD2322" s="15"/>
      <c r="AE2322" s="15"/>
    </row>
    <row r="2323" spans="1:38" s="401" customFormat="1" collapsed="1">
      <c r="A2323" s="1011">
        <v>2455070100</v>
      </c>
      <c r="B2323" s="1012"/>
      <c r="C2323" s="1661" t="s">
        <v>206</v>
      </c>
      <c r="D2323" s="1665"/>
      <c r="E2323" s="1666"/>
      <c r="F2323" s="1015"/>
      <c r="G2323" s="1293"/>
      <c r="H2323" s="346"/>
      <c r="I2323" s="1016"/>
      <c r="J2323" s="1581">
        <f>+J2322</f>
        <v>0</v>
      </c>
      <c r="K2323" s="1583"/>
      <c r="L2323" s="1036"/>
      <c r="M2323" s="1325">
        <f t="shared" si="4569"/>
        <v>0</v>
      </c>
      <c r="N2323" s="348"/>
      <c r="O2323" s="996">
        <f t="shared" si="4570"/>
        <v>0</v>
      </c>
      <c r="P2323" s="1017">
        <f>-L2322</f>
        <v>0</v>
      </c>
      <c r="Q2323" s="1362">
        <f t="shared" si="4571"/>
        <v>0</v>
      </c>
      <c r="R2323" s="349">
        <f>+N2322</f>
        <v>0</v>
      </c>
      <c r="S2323" s="349"/>
      <c r="T2323" s="1031">
        <f t="shared" si="4572"/>
        <v>0</v>
      </c>
      <c r="U2323" s="970">
        <f t="shared" si="4573"/>
        <v>0</v>
      </c>
      <c r="V2323" s="971">
        <f t="shared" si="4574"/>
        <v>0</v>
      </c>
      <c r="W2323" s="972">
        <f t="shared" si="4575"/>
        <v>0</v>
      </c>
      <c r="X2323" s="973">
        <f t="shared" si="4576"/>
        <v>0</v>
      </c>
      <c r="Y2323" s="1018"/>
      <c r="Z2323" s="220"/>
      <c r="AA2323" s="15"/>
      <c r="AB2323" s="15"/>
      <c r="AC2323" s="15"/>
      <c r="AD2323" s="15"/>
      <c r="AE2323" s="15"/>
    </row>
    <row r="2324" spans="1:38" s="398" customFormat="1" ht="15.75" thickBot="1">
      <c r="A2324" s="1011"/>
      <c r="B2324" s="1012"/>
      <c r="C2324" s="1661"/>
      <c r="D2324" s="1665"/>
      <c r="E2324" s="1666"/>
      <c r="F2324" s="1015"/>
      <c r="G2324" s="1293"/>
      <c r="H2324" s="346"/>
      <c r="I2324" s="1016"/>
      <c r="J2324" s="1402"/>
      <c r="K2324" s="1402"/>
      <c r="L2324" s="347"/>
      <c r="M2324" s="1329">
        <f t="shared" si="4553"/>
        <v>0</v>
      </c>
      <c r="N2324" s="348"/>
      <c r="O2324" s="996">
        <f t="shared" si="4554"/>
        <v>0</v>
      </c>
      <c r="P2324" s="1017"/>
      <c r="Q2324" s="1362">
        <f t="shared" si="4555"/>
        <v>0</v>
      </c>
      <c r="R2324" s="349"/>
      <c r="S2324" s="349"/>
      <c r="T2324" s="1031">
        <f t="shared" si="4556"/>
        <v>0</v>
      </c>
      <c r="U2324" s="977">
        <f t="shared" si="4557"/>
        <v>0</v>
      </c>
      <c r="V2324" s="978">
        <f t="shared" si="4558"/>
        <v>0</v>
      </c>
      <c r="W2324" s="428">
        <f t="shared" si="4559"/>
        <v>0</v>
      </c>
      <c r="X2324" s="429">
        <f t="shared" si="4560"/>
        <v>0</v>
      </c>
      <c r="Y2324" s="1018"/>
      <c r="Z2324" s="220"/>
      <c r="AA2324" s="397"/>
      <c r="AB2324" s="397"/>
      <c r="AC2324" s="397"/>
      <c r="AD2324" s="397"/>
      <c r="AE2324" s="397"/>
      <c r="AL2324" s="1186"/>
    </row>
    <row r="2325" spans="1:38" s="324" customFormat="1" ht="15.75">
      <c r="A2325" s="961">
        <v>2455070100</v>
      </c>
      <c r="B2325" s="962" t="s">
        <v>77</v>
      </c>
      <c r="C2325" s="1465" t="s">
        <v>146</v>
      </c>
      <c r="D2325" s="1467"/>
      <c r="E2325" s="1468"/>
      <c r="F2325" s="964"/>
      <c r="G2325" s="1273">
        <f t="shared" ref="G2325" si="4577">ROUND(F2325*J2325,2)</f>
        <v>0</v>
      </c>
      <c r="H2325" s="47"/>
      <c r="I2325" s="774">
        <f t="shared" ref="I2325" si="4578">+F2325*J2325*H2325</f>
        <v>0</v>
      </c>
      <c r="J2325" s="1366"/>
      <c r="K2325" s="1366"/>
      <c r="L2325" s="218"/>
      <c r="M2325" s="1309">
        <f t="shared" si="4553"/>
        <v>0</v>
      </c>
      <c r="N2325" s="47"/>
      <c r="O2325" s="965">
        <f t="shared" si="4554"/>
        <v>0</v>
      </c>
      <c r="P2325" s="964"/>
      <c r="Q2325" s="1250">
        <f t="shared" si="4555"/>
        <v>0</v>
      </c>
      <c r="R2325" s="47"/>
      <c r="S2325" s="47"/>
      <c r="T2325" s="965">
        <f t="shared" si="4556"/>
        <v>0</v>
      </c>
      <c r="U2325" s="964">
        <f t="shared" si="4557"/>
        <v>0</v>
      </c>
      <c r="V2325" s="965">
        <f t="shared" si="4558"/>
        <v>0</v>
      </c>
      <c r="W2325" s="968">
        <f t="shared" si="4559"/>
        <v>0</v>
      </c>
      <c r="X2325" s="966">
        <f t="shared" si="4560"/>
        <v>0</v>
      </c>
      <c r="Y2325" s="967"/>
      <c r="Z2325" s="220"/>
      <c r="AA2325" s="371"/>
      <c r="AB2325" s="371"/>
      <c r="AC2325" s="371"/>
      <c r="AD2325" s="371"/>
      <c r="AE2325" s="371"/>
      <c r="AL2325" s="1185"/>
    </row>
    <row r="2326" spans="1:38" s="61" customFormat="1" hidden="1" outlineLevel="1">
      <c r="A2326" s="381">
        <v>2455070100</v>
      </c>
      <c r="B2326" s="195"/>
      <c r="C2326" s="1634" t="s">
        <v>146</v>
      </c>
      <c r="D2326" s="1585"/>
      <c r="E2326" s="1586"/>
      <c r="F2326" s="382"/>
      <c r="G2326" s="1260"/>
      <c r="H2326" s="383"/>
      <c r="I2326" s="384"/>
      <c r="J2326" s="1405"/>
      <c r="K2326" s="1405"/>
      <c r="L2326" s="385"/>
      <c r="M2326" s="1335">
        <f t="shared" si="4553"/>
        <v>0</v>
      </c>
      <c r="N2326" s="386"/>
      <c r="O2326" s="387">
        <f t="shared" si="4554"/>
        <v>0</v>
      </c>
      <c r="P2326" s="388"/>
      <c r="Q2326" s="1239">
        <f t="shared" si="4555"/>
        <v>0</v>
      </c>
      <c r="R2326" s="389"/>
      <c r="S2326" s="389"/>
      <c r="T2326" s="390">
        <f t="shared" si="4556"/>
        <v>0</v>
      </c>
      <c r="U2326" s="391">
        <f t="shared" si="4557"/>
        <v>0</v>
      </c>
      <c r="V2326" s="392">
        <f t="shared" si="4558"/>
        <v>0</v>
      </c>
      <c r="W2326" s="393">
        <f t="shared" si="4559"/>
        <v>0</v>
      </c>
      <c r="X2326" s="394">
        <f t="shared" si="4560"/>
        <v>0</v>
      </c>
      <c r="Y2326" s="395"/>
      <c r="Z2326" s="1056"/>
      <c r="AA2326" s="396"/>
      <c r="AB2326" s="396"/>
      <c r="AC2326" s="396"/>
      <c r="AD2326" s="396"/>
      <c r="AE2326" s="396"/>
    </row>
    <row r="2327" spans="1:38" s="61" customFormat="1" hidden="1" outlineLevel="1">
      <c r="A2327" s="381">
        <v>2455070100</v>
      </c>
      <c r="B2327" s="195"/>
      <c r="C2327" s="1634" t="s">
        <v>146</v>
      </c>
      <c r="D2327" s="1585"/>
      <c r="E2327" s="1586"/>
      <c r="F2327" s="382"/>
      <c r="G2327" s="1260"/>
      <c r="H2327" s="383"/>
      <c r="I2327" s="384"/>
      <c r="J2327" s="1405"/>
      <c r="K2327" s="1405"/>
      <c r="L2327" s="385"/>
      <c r="M2327" s="1335">
        <f t="shared" si="4553"/>
        <v>0</v>
      </c>
      <c r="N2327" s="386"/>
      <c r="O2327" s="387">
        <f t="shared" si="4554"/>
        <v>0</v>
      </c>
      <c r="P2327" s="388"/>
      <c r="Q2327" s="1239">
        <f t="shared" si="4555"/>
        <v>0</v>
      </c>
      <c r="R2327" s="389"/>
      <c r="S2327" s="389"/>
      <c r="T2327" s="390">
        <f t="shared" si="4556"/>
        <v>0</v>
      </c>
      <c r="U2327" s="391">
        <f t="shared" si="4557"/>
        <v>0</v>
      </c>
      <c r="V2327" s="392">
        <f t="shared" si="4558"/>
        <v>0</v>
      </c>
      <c r="W2327" s="393">
        <f t="shared" si="4559"/>
        <v>0</v>
      </c>
      <c r="X2327" s="394">
        <f t="shared" si="4560"/>
        <v>0</v>
      </c>
      <c r="Y2327" s="395"/>
      <c r="Z2327" s="1056"/>
      <c r="AA2327" s="396"/>
      <c r="AB2327" s="396"/>
      <c r="AC2327" s="396"/>
      <c r="AD2327" s="396"/>
      <c r="AE2327" s="396"/>
    </row>
    <row r="2328" spans="1:38" s="61" customFormat="1" hidden="1" outlineLevel="1">
      <c r="A2328" s="381">
        <v>2455070100</v>
      </c>
      <c r="B2328" s="195"/>
      <c r="C2328" s="1634" t="s">
        <v>146</v>
      </c>
      <c r="D2328" s="1585"/>
      <c r="E2328" s="1586"/>
      <c r="F2328" s="382"/>
      <c r="G2328" s="1260"/>
      <c r="H2328" s="383"/>
      <c r="I2328" s="384"/>
      <c r="J2328" s="1405"/>
      <c r="K2328" s="1405"/>
      <c r="L2328" s="385"/>
      <c r="M2328" s="1335">
        <f t="shared" si="4553"/>
        <v>0</v>
      </c>
      <c r="N2328" s="386"/>
      <c r="O2328" s="387">
        <f t="shared" si="4554"/>
        <v>0</v>
      </c>
      <c r="P2328" s="388"/>
      <c r="Q2328" s="1239">
        <f t="shared" si="4555"/>
        <v>0</v>
      </c>
      <c r="R2328" s="389"/>
      <c r="S2328" s="389"/>
      <c r="T2328" s="390">
        <f t="shared" si="4556"/>
        <v>0</v>
      </c>
      <c r="U2328" s="391">
        <f t="shared" si="4557"/>
        <v>0</v>
      </c>
      <c r="V2328" s="392">
        <f t="shared" si="4558"/>
        <v>0</v>
      </c>
      <c r="W2328" s="393">
        <f t="shared" si="4559"/>
        <v>0</v>
      </c>
      <c r="X2328" s="394">
        <f t="shared" si="4560"/>
        <v>0</v>
      </c>
      <c r="Y2328" s="395"/>
      <c r="Z2328" s="1056"/>
      <c r="AA2328" s="396"/>
      <c r="AB2328" s="396"/>
      <c r="AC2328" s="396"/>
      <c r="AD2328" s="396"/>
      <c r="AE2328" s="396"/>
    </row>
    <row r="2329" spans="1:38" s="61" customFormat="1" hidden="1" outlineLevel="1">
      <c r="A2329" s="381">
        <v>2455070100</v>
      </c>
      <c r="B2329" s="195"/>
      <c r="C2329" s="1634" t="s">
        <v>146</v>
      </c>
      <c r="D2329" s="1585"/>
      <c r="E2329" s="1586"/>
      <c r="F2329" s="382"/>
      <c r="G2329" s="1260"/>
      <c r="H2329" s="383"/>
      <c r="I2329" s="384"/>
      <c r="J2329" s="1405"/>
      <c r="K2329" s="1405"/>
      <c r="L2329" s="385"/>
      <c r="M2329" s="1335">
        <f t="shared" si="4553"/>
        <v>0</v>
      </c>
      <c r="N2329" s="386"/>
      <c r="O2329" s="387">
        <f t="shared" si="4554"/>
        <v>0</v>
      </c>
      <c r="P2329" s="388"/>
      <c r="Q2329" s="1239">
        <f t="shared" si="4555"/>
        <v>0</v>
      </c>
      <c r="R2329" s="389"/>
      <c r="S2329" s="389"/>
      <c r="T2329" s="390">
        <f t="shared" si="4556"/>
        <v>0</v>
      </c>
      <c r="U2329" s="391">
        <f t="shared" si="4557"/>
        <v>0</v>
      </c>
      <c r="V2329" s="392">
        <f t="shared" si="4558"/>
        <v>0</v>
      </c>
      <c r="W2329" s="393">
        <f t="shared" si="4559"/>
        <v>0</v>
      </c>
      <c r="X2329" s="394">
        <f t="shared" si="4560"/>
        <v>0</v>
      </c>
      <c r="Y2329" s="395"/>
      <c r="Z2329" s="1056"/>
      <c r="AA2329" s="396"/>
      <c r="AB2329" s="396"/>
      <c r="AC2329" s="396"/>
      <c r="AD2329" s="396"/>
      <c r="AE2329" s="396"/>
    </row>
    <row r="2330" spans="1:38" s="61" customFormat="1" hidden="1" outlineLevel="1">
      <c r="A2330" s="381">
        <v>2455070100</v>
      </c>
      <c r="B2330" s="195"/>
      <c r="C2330" s="1634" t="s">
        <v>146</v>
      </c>
      <c r="D2330" s="1585"/>
      <c r="E2330" s="1586"/>
      <c r="F2330" s="382"/>
      <c r="G2330" s="1260"/>
      <c r="H2330" s="383"/>
      <c r="I2330" s="384"/>
      <c r="J2330" s="1405"/>
      <c r="K2330" s="1405"/>
      <c r="L2330" s="385"/>
      <c r="M2330" s="1335">
        <f t="shared" si="4553"/>
        <v>0</v>
      </c>
      <c r="N2330" s="386"/>
      <c r="O2330" s="387">
        <f t="shared" si="4554"/>
        <v>0</v>
      </c>
      <c r="P2330" s="388"/>
      <c r="Q2330" s="1239">
        <f t="shared" si="4555"/>
        <v>0</v>
      </c>
      <c r="R2330" s="389"/>
      <c r="S2330" s="389"/>
      <c r="T2330" s="390">
        <f t="shared" si="4556"/>
        <v>0</v>
      </c>
      <c r="U2330" s="391">
        <f t="shared" si="4557"/>
        <v>0</v>
      </c>
      <c r="V2330" s="392">
        <f t="shared" si="4558"/>
        <v>0</v>
      </c>
      <c r="W2330" s="393">
        <f t="shared" si="4559"/>
        <v>0</v>
      </c>
      <c r="X2330" s="394">
        <f t="shared" si="4560"/>
        <v>0</v>
      </c>
      <c r="Y2330" s="395"/>
      <c r="Z2330" s="1056"/>
      <c r="AA2330" s="396"/>
      <c r="AB2330" s="396"/>
      <c r="AC2330" s="396"/>
      <c r="AD2330" s="396"/>
      <c r="AE2330" s="396"/>
    </row>
    <row r="2331" spans="1:38" s="401" customFormat="1" collapsed="1">
      <c r="A2331" s="1011"/>
      <c r="B2331" s="1012"/>
      <c r="C2331" s="1661"/>
      <c r="D2331" s="1665"/>
      <c r="E2331" s="1666"/>
      <c r="F2331" s="1015"/>
      <c r="G2331" s="1293"/>
      <c r="H2331" s="346"/>
      <c r="I2331" s="1016"/>
      <c r="J2331" s="1402"/>
      <c r="K2331" s="1402"/>
      <c r="L2331" s="347"/>
      <c r="M2331" s="1329"/>
      <c r="N2331" s="348"/>
      <c r="O2331" s="996"/>
      <c r="P2331" s="1017"/>
      <c r="Q2331" s="1362"/>
      <c r="R2331" s="349"/>
      <c r="S2331" s="349"/>
      <c r="T2331" s="1031"/>
      <c r="U2331" s="977"/>
      <c r="V2331" s="978"/>
      <c r="W2331" s="393">
        <f t="shared" si="4559"/>
        <v>0</v>
      </c>
      <c r="X2331" s="394">
        <f t="shared" si="4560"/>
        <v>0</v>
      </c>
      <c r="Y2331" s="1018"/>
      <c r="Z2331" s="220"/>
      <c r="AA2331" s="15"/>
      <c r="AB2331" s="15"/>
      <c r="AC2331" s="15"/>
      <c r="AD2331" s="15"/>
      <c r="AE2331" s="15"/>
    </row>
    <row r="2332" spans="1:38" s="344" customFormat="1" ht="15.75">
      <c r="A2332" s="997">
        <v>2455070100</v>
      </c>
      <c r="B2332" s="998" t="s">
        <v>77</v>
      </c>
      <c r="C2332" s="1663" t="s">
        <v>106</v>
      </c>
      <c r="D2332" s="1669" t="s">
        <v>128</v>
      </c>
      <c r="E2332" s="1670"/>
      <c r="F2332" s="1001"/>
      <c r="G2332" s="1291"/>
      <c r="H2332" s="343"/>
      <c r="I2332" s="1002">
        <v>1607292058</v>
      </c>
      <c r="J2332" s="1372"/>
      <c r="K2332" s="1372"/>
      <c r="L2332" s="1003"/>
      <c r="M2332" s="1326"/>
      <c r="N2332" s="343"/>
      <c r="O2332" s="1002">
        <f>+L2332*N2332</f>
        <v>0</v>
      </c>
      <c r="P2332" s="1001"/>
      <c r="Q2332" s="1291"/>
      <c r="R2332" s="343"/>
      <c r="S2332" s="343"/>
      <c r="T2332" s="1002">
        <f>+P2332*R2332</f>
        <v>0</v>
      </c>
      <c r="U2332" s="1001">
        <f t="shared" ref="U2332:U2341" si="4579">+L2332+P2332+F2332</f>
        <v>0</v>
      </c>
      <c r="V2332" s="1002">
        <f>+I2332+T2332+O2332</f>
        <v>1607292058</v>
      </c>
      <c r="W2332" s="1032"/>
      <c r="X2332" s="1033"/>
      <c r="Y2332" s="1034"/>
      <c r="Z2332" s="220"/>
      <c r="AA2332" s="364"/>
      <c r="AB2332" s="364"/>
      <c r="AC2332" s="364"/>
      <c r="AD2332" s="364"/>
      <c r="AE2332" s="364"/>
    </row>
    <row r="2333" spans="1:38" s="302" customFormat="1" ht="15.75" outlineLevel="1">
      <c r="A2333" s="979">
        <v>2455070100</v>
      </c>
      <c r="B2333" s="980" t="s">
        <v>129</v>
      </c>
      <c r="C2333" s="1664" t="s">
        <v>106</v>
      </c>
      <c r="D2333" s="1671" t="s">
        <v>128</v>
      </c>
      <c r="E2333" s="1682"/>
      <c r="F2333" s="982"/>
      <c r="G2333" s="1286"/>
      <c r="H2333" s="857"/>
      <c r="I2333" s="1005">
        <f t="shared" ref="I2333:I2341" si="4580">+F2333*H2333</f>
        <v>0</v>
      </c>
      <c r="J2333" s="1398"/>
      <c r="K2333" s="1398"/>
      <c r="L2333" s="1006"/>
      <c r="M2333" s="1327"/>
      <c r="N2333" s="898"/>
      <c r="O2333" s="1007"/>
      <c r="P2333" s="1008"/>
      <c r="Q2333" s="1360"/>
      <c r="R2333" s="899"/>
      <c r="S2333" s="899"/>
      <c r="T2333" s="1009">
        <f>+P2333*R2333</f>
        <v>0</v>
      </c>
      <c r="U2333" s="1010">
        <f t="shared" si="4579"/>
        <v>0</v>
      </c>
      <c r="V2333" s="983">
        <v>1019000000</v>
      </c>
      <c r="W2333" s="1032"/>
      <c r="X2333" s="1033"/>
      <c r="Y2333" s="1034"/>
      <c r="Z2333" s="220"/>
      <c r="AA2333" s="15"/>
      <c r="AB2333" s="15"/>
      <c r="AC2333" s="15"/>
      <c r="AD2333" s="15"/>
      <c r="AE2333" s="15"/>
    </row>
    <row r="2334" spans="1:38" s="302" customFormat="1" ht="15.75" outlineLevel="1">
      <c r="A2334" s="979">
        <v>2455070100</v>
      </c>
      <c r="B2334" s="980" t="s">
        <v>130</v>
      </c>
      <c r="C2334" s="1664" t="s">
        <v>106</v>
      </c>
      <c r="D2334" s="1671" t="s">
        <v>128</v>
      </c>
      <c r="E2334" s="1682"/>
      <c r="F2334" s="982"/>
      <c r="G2334" s="1286"/>
      <c r="H2334" s="857"/>
      <c r="I2334" s="1005">
        <f t="shared" si="4580"/>
        <v>0</v>
      </c>
      <c r="J2334" s="1398"/>
      <c r="K2334" s="1398"/>
      <c r="L2334" s="1006"/>
      <c r="M2334" s="1327"/>
      <c r="N2334" s="898"/>
      <c r="O2334" s="1007"/>
      <c r="P2334" s="1008"/>
      <c r="Q2334" s="1360"/>
      <c r="R2334" s="899"/>
      <c r="S2334" s="899"/>
      <c r="T2334" s="1009">
        <f>+P2334*R2334</f>
        <v>0</v>
      </c>
      <c r="U2334" s="1010">
        <f t="shared" si="4579"/>
        <v>0</v>
      </c>
      <c r="V2334" s="983">
        <v>0</v>
      </c>
      <c r="W2334" s="1032"/>
      <c r="X2334" s="1033"/>
      <c r="Y2334" s="1034"/>
      <c r="Z2334" s="220"/>
      <c r="AA2334" s="15"/>
      <c r="AB2334" s="15"/>
      <c r="AC2334" s="15"/>
      <c r="AD2334" s="15"/>
      <c r="AE2334" s="15"/>
    </row>
    <row r="2335" spans="1:38" s="302" customFormat="1" ht="15.75" outlineLevel="1">
      <c r="A2335" s="979">
        <v>2455070100</v>
      </c>
      <c r="B2335" s="980" t="s">
        <v>131</v>
      </c>
      <c r="C2335" s="1664" t="s">
        <v>106</v>
      </c>
      <c r="D2335" s="1671" t="s">
        <v>128</v>
      </c>
      <c r="E2335" s="1682"/>
      <c r="F2335" s="982"/>
      <c r="G2335" s="1286"/>
      <c r="H2335" s="857"/>
      <c r="I2335" s="1005">
        <f t="shared" si="4580"/>
        <v>0</v>
      </c>
      <c r="J2335" s="1398"/>
      <c r="K2335" s="1398"/>
      <c r="L2335" s="1006"/>
      <c r="M2335" s="1327"/>
      <c r="N2335" s="898"/>
      <c r="O2335" s="1007"/>
      <c r="P2335" s="1008"/>
      <c r="Q2335" s="1360"/>
      <c r="R2335" s="899"/>
      <c r="S2335" s="899"/>
      <c r="T2335" s="1009">
        <f>+P2335*R2335</f>
        <v>0</v>
      </c>
      <c r="U2335" s="1010">
        <f t="shared" si="4579"/>
        <v>0</v>
      </c>
      <c r="V2335" s="983">
        <v>-15920903</v>
      </c>
      <c r="W2335" s="1032"/>
      <c r="X2335" s="1033"/>
      <c r="Y2335" s="1034"/>
      <c r="Z2335" s="220"/>
      <c r="AA2335" s="15"/>
      <c r="AB2335" s="15"/>
      <c r="AC2335" s="15"/>
      <c r="AD2335" s="15"/>
      <c r="AE2335" s="15"/>
    </row>
    <row r="2336" spans="1:38" s="302" customFormat="1" ht="15.75" outlineLevel="1">
      <c r="A2336" s="979">
        <v>2455070100</v>
      </c>
      <c r="B2336" s="980" t="s">
        <v>132</v>
      </c>
      <c r="C2336" s="1664" t="s">
        <v>106</v>
      </c>
      <c r="D2336" s="1671" t="s">
        <v>128</v>
      </c>
      <c r="E2336" s="1682"/>
      <c r="F2336" s="982"/>
      <c r="G2336" s="1286"/>
      <c r="H2336" s="857"/>
      <c r="I2336" s="1005">
        <f t="shared" si="4580"/>
        <v>0</v>
      </c>
      <c r="J2336" s="1398"/>
      <c r="K2336" s="1398"/>
      <c r="L2336" s="1006"/>
      <c r="M2336" s="1327"/>
      <c r="N2336" s="898"/>
      <c r="O2336" s="1007"/>
      <c r="P2336" s="1008"/>
      <c r="Q2336" s="1360"/>
      <c r="R2336" s="899"/>
      <c r="S2336" s="899"/>
      <c r="T2336" s="1009"/>
      <c r="U2336" s="1010">
        <f t="shared" si="4579"/>
        <v>0</v>
      </c>
      <c r="V2336" s="983">
        <v>0</v>
      </c>
      <c r="W2336" s="1032"/>
      <c r="X2336" s="1033"/>
      <c r="Y2336" s="1034"/>
      <c r="Z2336" s="220"/>
      <c r="AA2336" s="15"/>
      <c r="AB2336" s="15"/>
      <c r="AC2336" s="15"/>
      <c r="AD2336" s="15"/>
      <c r="AE2336" s="15"/>
    </row>
    <row r="2337" spans="1:31" s="302" customFormat="1" ht="15.75" outlineLevel="1">
      <c r="A2337" s="979">
        <v>2455070100</v>
      </c>
      <c r="B2337" s="980" t="s">
        <v>133</v>
      </c>
      <c r="C2337" s="1664" t="s">
        <v>106</v>
      </c>
      <c r="D2337" s="1671" t="s">
        <v>128</v>
      </c>
      <c r="E2337" s="1682"/>
      <c r="F2337" s="982"/>
      <c r="G2337" s="1286"/>
      <c r="H2337" s="857"/>
      <c r="I2337" s="1005">
        <f t="shared" si="4580"/>
        <v>0</v>
      </c>
      <c r="J2337" s="1398"/>
      <c r="K2337" s="1398"/>
      <c r="L2337" s="1006"/>
      <c r="M2337" s="1327"/>
      <c r="N2337" s="898"/>
      <c r="O2337" s="1007"/>
      <c r="P2337" s="1008"/>
      <c r="Q2337" s="1360"/>
      <c r="R2337" s="899"/>
      <c r="S2337" s="899"/>
      <c r="T2337" s="1009"/>
      <c r="U2337" s="1010">
        <f t="shared" si="4579"/>
        <v>0</v>
      </c>
      <c r="V2337" s="983">
        <v>0</v>
      </c>
      <c r="W2337" s="1032"/>
      <c r="X2337" s="1033"/>
      <c r="Y2337" s="1034"/>
      <c r="Z2337" s="220"/>
      <c r="AA2337" s="15"/>
      <c r="AB2337" s="15"/>
      <c r="AC2337" s="15"/>
      <c r="AD2337" s="15"/>
      <c r="AE2337" s="15"/>
    </row>
    <row r="2338" spans="1:31" s="302" customFormat="1" ht="15.75" outlineLevel="1">
      <c r="A2338" s="979">
        <v>2455070100</v>
      </c>
      <c r="B2338" s="980" t="s">
        <v>134</v>
      </c>
      <c r="C2338" s="1664" t="s">
        <v>106</v>
      </c>
      <c r="D2338" s="1671" t="s">
        <v>128</v>
      </c>
      <c r="E2338" s="1682"/>
      <c r="F2338" s="982"/>
      <c r="G2338" s="1286"/>
      <c r="H2338" s="857"/>
      <c r="I2338" s="1005">
        <f t="shared" si="4580"/>
        <v>0</v>
      </c>
      <c r="J2338" s="1398"/>
      <c r="K2338" s="1398"/>
      <c r="L2338" s="1006"/>
      <c r="M2338" s="1327"/>
      <c r="N2338" s="898"/>
      <c r="O2338" s="1007">
        <f>+L2338*N2338</f>
        <v>0</v>
      </c>
      <c r="P2338" s="1008"/>
      <c r="Q2338" s="1360"/>
      <c r="R2338" s="899"/>
      <c r="S2338" s="899"/>
      <c r="T2338" s="1009">
        <f>+P2338*R2338</f>
        <v>0</v>
      </c>
      <c r="U2338" s="1010">
        <f t="shared" si="4579"/>
        <v>0</v>
      </c>
      <c r="V2338" s="983">
        <v>0</v>
      </c>
      <c r="W2338" s="1032"/>
      <c r="X2338" s="1033"/>
      <c r="Y2338" s="1034"/>
      <c r="Z2338" s="220"/>
      <c r="AA2338" s="15"/>
      <c r="AB2338" s="15"/>
      <c r="AC2338" s="15"/>
      <c r="AD2338" s="15"/>
      <c r="AE2338" s="15"/>
    </row>
    <row r="2339" spans="1:31" s="302" customFormat="1" ht="15.75" outlineLevel="1">
      <c r="A2339" s="979">
        <v>2455070100</v>
      </c>
      <c r="B2339" s="980" t="s">
        <v>135</v>
      </c>
      <c r="C2339" s="1664" t="s">
        <v>106</v>
      </c>
      <c r="D2339" s="1671" t="s">
        <v>128</v>
      </c>
      <c r="E2339" s="1682"/>
      <c r="F2339" s="982"/>
      <c r="G2339" s="1286"/>
      <c r="H2339" s="857"/>
      <c r="I2339" s="1005">
        <f t="shared" si="4580"/>
        <v>0</v>
      </c>
      <c r="J2339" s="1398"/>
      <c r="K2339" s="1398"/>
      <c r="L2339" s="1006"/>
      <c r="M2339" s="1327"/>
      <c r="N2339" s="898"/>
      <c r="O2339" s="1007">
        <f>+L2339*N2339</f>
        <v>0</v>
      </c>
      <c r="P2339" s="1008"/>
      <c r="Q2339" s="1360"/>
      <c r="R2339" s="899"/>
      <c r="S2339" s="899"/>
      <c r="T2339" s="1009">
        <f>+P2339*R2339</f>
        <v>0</v>
      </c>
      <c r="U2339" s="1010">
        <f t="shared" si="4579"/>
        <v>0</v>
      </c>
      <c r="V2339" s="983">
        <v>0</v>
      </c>
      <c r="W2339" s="1032"/>
      <c r="X2339" s="1033"/>
      <c r="Y2339" s="1034"/>
      <c r="Z2339" s="220"/>
      <c r="AA2339" s="15"/>
      <c r="AB2339" s="15"/>
      <c r="AC2339" s="15"/>
      <c r="AD2339" s="15"/>
      <c r="AE2339" s="15"/>
    </row>
    <row r="2340" spans="1:31" s="302" customFormat="1" ht="15.75" outlineLevel="1">
      <c r="A2340" s="979">
        <v>2455070100</v>
      </c>
      <c r="B2340" s="980" t="s">
        <v>136</v>
      </c>
      <c r="C2340" s="1664" t="s">
        <v>106</v>
      </c>
      <c r="D2340" s="1671" t="s">
        <v>128</v>
      </c>
      <c r="E2340" s="1682"/>
      <c r="F2340" s="982"/>
      <c r="G2340" s="1286"/>
      <c r="H2340" s="857"/>
      <c r="I2340" s="1005">
        <f t="shared" si="4580"/>
        <v>0</v>
      </c>
      <c r="J2340" s="1398"/>
      <c r="K2340" s="1398"/>
      <c r="L2340" s="1006"/>
      <c r="M2340" s="1327"/>
      <c r="N2340" s="898"/>
      <c r="O2340" s="1007">
        <f>+L2340*N2340</f>
        <v>0</v>
      </c>
      <c r="P2340" s="1008"/>
      <c r="Q2340" s="1360"/>
      <c r="R2340" s="899"/>
      <c r="S2340" s="899"/>
      <c r="T2340" s="1009">
        <f>+P2340*R2340</f>
        <v>0</v>
      </c>
      <c r="U2340" s="1010">
        <f t="shared" si="4579"/>
        <v>0</v>
      </c>
      <c r="V2340" s="983">
        <v>0</v>
      </c>
      <c r="W2340" s="1032"/>
      <c r="X2340" s="1033"/>
      <c r="Y2340" s="1034"/>
      <c r="Z2340" s="220"/>
      <c r="AA2340" s="15"/>
      <c r="AB2340" s="15"/>
      <c r="AC2340" s="15"/>
      <c r="AD2340" s="15"/>
      <c r="AE2340" s="15"/>
    </row>
    <row r="2341" spans="1:31" s="302" customFormat="1" ht="15.75" outlineLevel="1">
      <c r="A2341" s="979">
        <v>2455070100</v>
      </c>
      <c r="B2341" s="980" t="s">
        <v>137</v>
      </c>
      <c r="C2341" s="1664" t="s">
        <v>106</v>
      </c>
      <c r="D2341" s="1671" t="s">
        <v>128</v>
      </c>
      <c r="E2341" s="1682"/>
      <c r="F2341" s="982"/>
      <c r="G2341" s="1286"/>
      <c r="H2341" s="857"/>
      <c r="I2341" s="1005">
        <f t="shared" si="4580"/>
        <v>0</v>
      </c>
      <c r="J2341" s="1398"/>
      <c r="K2341" s="1398"/>
      <c r="L2341" s="1006"/>
      <c r="M2341" s="1327"/>
      <c r="N2341" s="898"/>
      <c r="O2341" s="1007">
        <f>+L2341*N2341</f>
        <v>0</v>
      </c>
      <c r="P2341" s="1008"/>
      <c r="Q2341" s="1360"/>
      <c r="R2341" s="899"/>
      <c r="S2341" s="899"/>
      <c r="T2341" s="1009">
        <f>+P2341*R2341</f>
        <v>0</v>
      </c>
      <c r="U2341" s="1010">
        <f t="shared" si="4579"/>
        <v>0</v>
      </c>
      <c r="V2341" s="983">
        <v>0</v>
      </c>
      <c r="W2341" s="1032"/>
      <c r="X2341" s="1033"/>
      <c r="Y2341" s="1034"/>
      <c r="Z2341" s="220"/>
      <c r="AA2341" s="15"/>
      <c r="AB2341" s="15"/>
      <c r="AC2341" s="15"/>
      <c r="AD2341" s="15"/>
      <c r="AE2341" s="15"/>
    </row>
    <row r="2342" spans="1:31" s="302" customFormat="1" ht="15.75" outlineLevel="1">
      <c r="A2342" s="979">
        <v>2455070100</v>
      </c>
      <c r="B2342" s="980" t="s">
        <v>138</v>
      </c>
      <c r="C2342" s="1664" t="s">
        <v>106</v>
      </c>
      <c r="D2342" s="1671" t="s">
        <v>128</v>
      </c>
      <c r="E2342" s="1682"/>
      <c r="F2342" s="982"/>
      <c r="G2342" s="1286"/>
      <c r="H2342" s="857"/>
      <c r="I2342" s="1005"/>
      <c r="J2342" s="1398"/>
      <c r="K2342" s="1398"/>
      <c r="L2342" s="1006"/>
      <c r="M2342" s="1327"/>
      <c r="N2342" s="898"/>
      <c r="O2342" s="1007"/>
      <c r="P2342" s="1008"/>
      <c r="Q2342" s="1360"/>
      <c r="R2342" s="899"/>
      <c r="S2342" s="899"/>
      <c r="T2342" s="1009"/>
      <c r="U2342" s="1010"/>
      <c r="V2342" s="983">
        <v>0</v>
      </c>
      <c r="W2342" s="1032"/>
      <c r="X2342" s="1033"/>
      <c r="Y2342" s="1034"/>
      <c r="Z2342" s="220"/>
      <c r="AA2342" s="15"/>
      <c r="AB2342" s="15"/>
      <c r="AC2342" s="15"/>
      <c r="AD2342" s="15"/>
      <c r="AE2342" s="15"/>
    </row>
    <row r="2343" spans="1:31" s="302" customFormat="1" ht="15.75" outlineLevel="1">
      <c r="A2343" s="979">
        <v>2455070100</v>
      </c>
      <c r="B2343" s="980" t="s">
        <v>139</v>
      </c>
      <c r="C2343" s="1664" t="s">
        <v>106</v>
      </c>
      <c r="D2343" s="1671" t="s">
        <v>128</v>
      </c>
      <c r="E2343" s="1682"/>
      <c r="F2343" s="982"/>
      <c r="G2343" s="1286"/>
      <c r="H2343" s="857"/>
      <c r="I2343" s="1005"/>
      <c r="J2343" s="1398"/>
      <c r="K2343" s="1398"/>
      <c r="L2343" s="1006"/>
      <c r="M2343" s="1327"/>
      <c r="N2343" s="898"/>
      <c r="O2343" s="1007"/>
      <c r="P2343" s="1008"/>
      <c r="Q2343" s="1360"/>
      <c r="R2343" s="899"/>
      <c r="S2343" s="899"/>
      <c r="T2343" s="1009"/>
      <c r="U2343" s="1010"/>
      <c r="V2343" s="983">
        <v>0</v>
      </c>
      <c r="W2343" s="1032"/>
      <c r="X2343" s="1033"/>
      <c r="Y2343" s="1034"/>
      <c r="Z2343" s="220"/>
      <c r="AA2343" s="15"/>
      <c r="AB2343" s="15"/>
      <c r="AC2343" s="15"/>
      <c r="AD2343" s="15"/>
      <c r="AE2343" s="15"/>
    </row>
    <row r="2344" spans="1:31" ht="15.75" outlineLevel="1">
      <c r="A2344" s="979">
        <v>2455070100</v>
      </c>
      <c r="B2344" s="980" t="s">
        <v>140</v>
      </c>
      <c r="C2344" s="1664" t="s">
        <v>106</v>
      </c>
      <c r="D2344" s="1671" t="s">
        <v>128</v>
      </c>
      <c r="E2344" s="1682"/>
      <c r="F2344" s="416"/>
      <c r="G2344" s="1251"/>
      <c r="H2344" s="676"/>
      <c r="I2344" s="681">
        <f>+F2344*H2344</f>
        <v>0</v>
      </c>
      <c r="J2344" s="1386"/>
      <c r="K2344" s="1386"/>
      <c r="L2344" s="1006"/>
      <c r="M2344" s="1327"/>
      <c r="N2344" s="898"/>
      <c r="O2344" s="1007"/>
      <c r="P2344" s="1008"/>
      <c r="Q2344" s="1360"/>
      <c r="R2344" s="899"/>
      <c r="S2344" s="899"/>
      <c r="T2344" s="1009"/>
      <c r="U2344" s="1010"/>
      <c r="V2344" s="983">
        <v>0</v>
      </c>
      <c r="W2344" s="1032"/>
      <c r="X2344" s="1033"/>
      <c r="Y2344" s="1034"/>
    </row>
    <row r="2345" spans="1:31" ht="15.75" thickBot="1">
      <c r="A2345" s="55"/>
      <c r="B2345" s="509"/>
      <c r="C2345" s="1512"/>
      <c r="D2345" s="1538"/>
      <c r="E2345" s="1674"/>
      <c r="F2345" s="455"/>
      <c r="G2345" s="1280"/>
      <c r="H2345" s="456"/>
      <c r="I2345" s="457">
        <f>+F2345*H2345</f>
        <v>0</v>
      </c>
      <c r="J2345" s="1406"/>
      <c r="K2345" s="1406"/>
      <c r="L2345" s="1006"/>
      <c r="M2345" s="1327"/>
      <c r="N2345" s="898"/>
      <c r="O2345" s="1007"/>
      <c r="P2345" s="1008"/>
      <c r="Q2345" s="1360"/>
      <c r="R2345" s="899"/>
      <c r="S2345" s="899"/>
      <c r="T2345" s="1009"/>
      <c r="U2345" s="1010"/>
      <c r="V2345" s="465"/>
      <c r="W2345" s="852"/>
      <c r="X2345" s="853"/>
      <c r="Y2345" s="854"/>
    </row>
    <row r="2346" spans="1:31" s="249" customFormat="1" ht="19.5" thickBot="1">
      <c r="A2346" s="799" t="s">
        <v>167</v>
      </c>
      <c r="B2346" s="800"/>
      <c r="C2346" s="801"/>
      <c r="D2346" s="1675"/>
      <c r="E2346" s="1676"/>
      <c r="F2346" s="803">
        <f>SUM(F2315:F2345)</f>
        <v>107.15</v>
      </c>
      <c r="G2346" s="1275"/>
      <c r="H2346" s="804"/>
      <c r="I2346" s="805">
        <f>SUM(I2315:I2345)</f>
        <v>1607613584.0764999</v>
      </c>
      <c r="J2346" s="1368"/>
      <c r="K2346" s="1368"/>
      <c r="L2346" s="806">
        <f>SUM(L2315:L2345)</f>
        <v>0</v>
      </c>
      <c r="M2346" s="1308"/>
      <c r="N2346" s="807">
        <f>SUM(N2315:N2345)</f>
        <v>0</v>
      </c>
      <c r="O2346" s="808">
        <f>SUM(O2315:O2345)</f>
        <v>0</v>
      </c>
      <c r="P2346" s="809">
        <f>SUM(P2315:P2345)</f>
        <v>0</v>
      </c>
      <c r="Q2346" s="1349"/>
      <c r="R2346" s="810"/>
      <c r="S2346" s="810"/>
      <c r="T2346" s="811">
        <f>SUM(T2315:T2345)</f>
        <v>0</v>
      </c>
      <c r="U2346" s="812">
        <f>SUM(U2315:U2345)</f>
        <v>107.15</v>
      </c>
      <c r="V2346" s="847">
        <f>SUM(V2315:V2345)</f>
        <v>2610692681.0764999</v>
      </c>
      <c r="W2346" s="814">
        <f>SUM(W2315:W2345)</f>
        <v>0</v>
      </c>
      <c r="X2346" s="815">
        <f>SUM(X2315:X2345)</f>
        <v>0</v>
      </c>
      <c r="Y2346" s="816"/>
      <c r="Z2346" s="1074"/>
      <c r="AA2346" s="364"/>
      <c r="AB2346" s="365"/>
      <c r="AC2346" s="365"/>
      <c r="AD2346" s="365"/>
      <c r="AE2346" s="365"/>
    </row>
    <row r="2347" spans="1:31" s="4" customFormat="1">
      <c r="C2347" s="148"/>
      <c r="D2347" s="148"/>
      <c r="E2347" s="149"/>
      <c r="F2347" s="10"/>
      <c r="G2347" s="10"/>
      <c r="H2347" s="187"/>
      <c r="I2347" s="9"/>
      <c r="J2347" s="1385"/>
      <c r="K2347" s="1385"/>
      <c r="L2347" s="186"/>
      <c r="M2347" s="186"/>
      <c r="N2347" s="187"/>
      <c r="O2347" s="9"/>
      <c r="P2347" s="10"/>
      <c r="Q2347" s="10"/>
      <c r="R2347" s="187"/>
      <c r="S2347" s="187"/>
      <c r="T2347" s="9"/>
      <c r="U2347" s="12"/>
      <c r="V2347" s="12"/>
      <c r="W2347" s="9">
        <v>0</v>
      </c>
      <c r="X2347" s="9"/>
      <c r="Y2347" s="345"/>
      <c r="Z2347" s="14"/>
      <c r="AA2347" s="15"/>
      <c r="AB2347" s="15"/>
      <c r="AC2347" s="15"/>
      <c r="AD2347" s="15"/>
      <c r="AE2347" s="15"/>
    </row>
    <row r="2348" spans="1:31" ht="15.75" thickBot="1"/>
    <row r="2349" spans="1:31" s="370" customFormat="1" ht="19.5" thickBot="1">
      <c r="A2349" s="603"/>
      <c r="B2349" s="604" t="s">
        <v>23</v>
      </c>
      <c r="C2349" s="605"/>
      <c r="D2349" s="605"/>
      <c r="E2349" s="606"/>
      <c r="F2349" s="607">
        <f>+F2346+F2311+F2259+F2226</f>
        <v>247835.44999999998</v>
      </c>
      <c r="G2349" s="607"/>
      <c r="H2349" s="608"/>
      <c r="I2349" s="609">
        <f>+I2346+I2311+I2259+I2226</f>
        <v>11072355323.488501</v>
      </c>
      <c r="J2349" s="609"/>
      <c r="K2349" s="609"/>
      <c r="L2349" s="609">
        <f>+L2346+L2311+L2259+L2226</f>
        <v>331388.33999999997</v>
      </c>
      <c r="M2349" s="609"/>
      <c r="N2349" s="608"/>
      <c r="O2349" s="609">
        <f ca="1">+O2346+O2311+O2259+O2226</f>
        <v>1556045229.8953998</v>
      </c>
      <c r="P2349" s="609">
        <f>+P2346+P2311+P2259+P2226</f>
        <v>-579116.6399999999</v>
      </c>
      <c r="Q2349" s="609"/>
      <c r="R2349" s="608"/>
      <c r="S2349" s="609">
        <f>+S2346+S2311+S2259+S2226</f>
        <v>0</v>
      </c>
      <c r="T2349" s="609">
        <f ca="1">+T2346+T2311+T2259+T2226</f>
        <v>-2760499319.3235998</v>
      </c>
      <c r="U2349" s="607">
        <f>+U2346+U2311+U2259+U2297+U2226</f>
        <v>99440.349999999991</v>
      </c>
      <c r="V2349" s="609">
        <f ca="1">+V2346+V2311+V2259+V2297+V2226</f>
        <v>4283654617.1334</v>
      </c>
      <c r="W2349" s="609">
        <f ca="1">+W2346+W2311+W2259+W2297+W2226</f>
        <v>58945234.91999995</v>
      </c>
      <c r="X2349" s="609">
        <f ca="1">+X2346+X2311+X2259+X2297+X2226</f>
        <v>-34084127.903800003</v>
      </c>
      <c r="Y2349" s="921"/>
      <c r="Z2349" s="1075"/>
      <c r="AA2349" s="15"/>
      <c r="AB2349" s="15"/>
      <c r="AC2349" s="15"/>
      <c r="AD2349" s="15"/>
      <c r="AE2349" s="15"/>
    </row>
    <row r="2350" spans="1:31" ht="15.75" thickBot="1"/>
    <row r="2351" spans="1:31" s="252" customFormat="1" ht="19.5" thickBot="1">
      <c r="A2351" s="817" t="s">
        <v>168</v>
      </c>
      <c r="B2351" s="818"/>
      <c r="C2351" s="819"/>
      <c r="D2351" s="819"/>
      <c r="E2351" s="820"/>
      <c r="F2351" s="821">
        <f>+F2349+F1983</f>
        <v>247835.44999999998</v>
      </c>
      <c r="G2351" s="821"/>
      <c r="H2351" s="822"/>
      <c r="I2351" s="821">
        <f>+I2349+I1983</f>
        <v>11072355323.488501</v>
      </c>
      <c r="J2351" s="821"/>
      <c r="K2351" s="821"/>
      <c r="L2351" s="821">
        <f>+L2349+L1983</f>
        <v>331388.33999999997</v>
      </c>
      <c r="M2351" s="821"/>
      <c r="N2351" s="822"/>
      <c r="O2351" s="821">
        <f ca="1">+O2349+O1983</f>
        <v>1556045229.8953998</v>
      </c>
      <c r="P2351" s="821">
        <f>+P2349+P1983</f>
        <v>-579116.6399999999</v>
      </c>
      <c r="Q2351" s="821"/>
      <c r="R2351" s="822"/>
      <c r="S2351" s="822"/>
      <c r="T2351" s="821">
        <f ca="1">+T2349+T1983</f>
        <v>-2760499319.3235998</v>
      </c>
      <c r="U2351" s="821">
        <f>+U2349+U1983</f>
        <v>99440.349999999991</v>
      </c>
      <c r="V2351" s="824">
        <f ca="1">-V1459-V1534+V2349+V1983+V2195</f>
        <v>-6799979418.2736588</v>
      </c>
      <c r="W2351" s="823">
        <f ca="1">+W2346+W2311+W2297+W2259+W2226+W2193+W2065+W1915+W1779+W1534+W1459</f>
        <v>550418506.97594476</v>
      </c>
      <c r="X2351" s="825">
        <f ca="1">+X2346+X2311+X2297+X2259+X2226+X2193+X2065+X1915+X1779+X1534+X1459</f>
        <v>-453468704.73065275</v>
      </c>
      <c r="Y2351" s="826"/>
      <c r="Z2351" s="1078"/>
      <c r="AA2351" s="399"/>
      <c r="AB2351" s="399"/>
      <c r="AC2351" s="399"/>
      <c r="AD2351" s="399"/>
      <c r="AE2351" s="399"/>
    </row>
    <row r="2353" spans="1:31">
      <c r="U2353" s="410" t="s">
        <v>1300</v>
      </c>
      <c r="V2353" s="412">
        <f ca="1">-V1534-V1459</f>
        <v>-57817427021.261253</v>
      </c>
    </row>
    <row r="2354" spans="1:31">
      <c r="U2354" s="410" t="s">
        <v>1301</v>
      </c>
      <c r="V2354" s="412">
        <f ca="1">+V2349+V1983+V2195</f>
        <v>51017447602.987595</v>
      </c>
    </row>
    <row r="2355" spans="1:31" ht="15.75" thickBot="1"/>
    <row r="2356" spans="1:31" s="27" customFormat="1" ht="21">
      <c r="A2356" s="827" t="s">
        <v>169</v>
      </c>
      <c r="B2356" s="828"/>
      <c r="C2356" s="2581" t="s">
        <v>57</v>
      </c>
      <c r="D2356" s="2585" t="s">
        <v>59</v>
      </c>
      <c r="E2356" s="2583" t="s">
        <v>58</v>
      </c>
      <c r="F2356" s="2564" t="s">
        <v>84</v>
      </c>
      <c r="G2356" s="2565"/>
      <c r="H2356" s="2565"/>
      <c r="I2356" s="2566"/>
      <c r="J2356" s="2580" t="str">
        <f>J6</f>
        <v>Tasa Mon Extranj</v>
      </c>
      <c r="K2356" s="2568"/>
      <c r="L2356" s="2569" t="s">
        <v>60</v>
      </c>
      <c r="M2356" s="2570"/>
      <c r="N2356" s="2570"/>
      <c r="O2356" s="2571"/>
      <c r="P2356" s="2572" t="s">
        <v>61</v>
      </c>
      <c r="Q2356" s="2573"/>
      <c r="R2356" s="2573"/>
      <c r="S2356" s="2573"/>
      <c r="T2356" s="2574"/>
      <c r="U2356" s="2575" t="s">
        <v>62</v>
      </c>
      <c r="V2356" s="2576"/>
      <c r="W2356" s="2577" t="s">
        <v>63</v>
      </c>
      <c r="X2356" s="2578"/>
      <c r="Y2356" s="2579"/>
      <c r="Z2356" s="44"/>
      <c r="AA2356" s="364"/>
      <c r="AB2356" s="364"/>
      <c r="AC2356" s="364"/>
      <c r="AD2356" s="364"/>
      <c r="AE2356" s="364"/>
    </row>
    <row r="2357" spans="1:31" s="216" customFormat="1" ht="15.75" thickBot="1">
      <c r="A2357" s="253" t="s">
        <v>87</v>
      </c>
      <c r="B2357" s="254" t="s">
        <v>88</v>
      </c>
      <c r="C2357" s="2582"/>
      <c r="D2357" s="2586"/>
      <c r="E2357" s="2584"/>
      <c r="F2357" s="30" t="str">
        <f>F7</f>
        <v>MON/EX</v>
      </c>
      <c r="G2357" s="1249" t="str">
        <f>G7</f>
        <v>USD</v>
      </c>
      <c r="H2357" s="31" t="str">
        <f>H7</f>
        <v>TRM CIERRE</v>
      </c>
      <c r="I2357" s="32" t="str">
        <f>I7</f>
        <v>SALDO PESOS</v>
      </c>
      <c r="J2357" s="1423" t="str">
        <f>J7</f>
        <v>Inicial</v>
      </c>
      <c r="K2357" s="1338" t="str">
        <f t="shared" ref="K2357:X2357" si="4581">K7</f>
        <v>Pago</v>
      </c>
      <c r="L2357" s="33" t="str">
        <f t="shared" si="4581"/>
        <v>ENTRADAS MON/EX</v>
      </c>
      <c r="M2357" s="1297" t="str">
        <f t="shared" si="4581"/>
        <v>USD</v>
      </c>
      <c r="N2357" s="34" t="str">
        <f t="shared" si="4581"/>
        <v>TRM INICIAL</v>
      </c>
      <c r="O2357" s="35" t="str">
        <f t="shared" si="4581"/>
        <v>ENTRADAS PESOS</v>
      </c>
      <c r="P2357" s="36" t="str">
        <f t="shared" si="4581"/>
        <v>PAGOS MON/EX</v>
      </c>
      <c r="Q2357" s="1338" t="str">
        <f t="shared" si="4581"/>
        <v>USD</v>
      </c>
      <c r="R2357" s="37" t="str">
        <f t="shared" si="4581"/>
        <v>TRM INICIAL</v>
      </c>
      <c r="S2357" s="37" t="str">
        <f t="shared" si="4581"/>
        <v>TRM PAGO</v>
      </c>
      <c r="T2357" s="38" t="str">
        <f t="shared" si="4581"/>
        <v>PAGO EN PESOS</v>
      </c>
      <c r="U2357" s="39" t="str">
        <f t="shared" si="4581"/>
        <v xml:space="preserve"> SALDO MON/EX</v>
      </c>
      <c r="V2357" s="40" t="str">
        <f t="shared" si="4581"/>
        <v>SALDO  PESOS</v>
      </c>
      <c r="W2357" s="41" t="str">
        <f t="shared" si="4581"/>
        <v>GASTO</v>
      </c>
      <c r="X2357" s="42" t="str">
        <f t="shared" si="4581"/>
        <v>INGRESO</v>
      </c>
      <c r="Y2357" s="43"/>
      <c r="Z2357" s="214"/>
      <c r="AA2357" s="366"/>
      <c r="AB2357" s="366"/>
      <c r="AC2357" s="366"/>
      <c r="AD2357" s="366"/>
      <c r="AE2357" s="366"/>
    </row>
    <row r="2358" spans="1:31" ht="15.75">
      <c r="A2358" s="961">
        <v>2490030000</v>
      </c>
      <c r="B2358" s="962"/>
      <c r="C2358" s="1465" t="s">
        <v>64</v>
      </c>
      <c r="D2358" s="1467"/>
      <c r="E2358" s="1468"/>
      <c r="F2358" s="964"/>
      <c r="G2358" s="1250">
        <f t="shared" ref="G2358" si="4582">ROUND(F2358*J2358,2)</f>
        <v>0</v>
      </c>
      <c r="H2358" s="47"/>
      <c r="I2358" s="965">
        <f t="shared" ref="I2358" si="4583">+F2358*J2358*H2358</f>
        <v>0</v>
      </c>
      <c r="J2358" s="1407">
        <v>1</v>
      </c>
      <c r="K2358" s="1407">
        <v>1</v>
      </c>
      <c r="L2358" s="218"/>
      <c r="M2358" s="1309">
        <f t="shared" ref="M2358:M2362" si="4584">+L2358*J2358</f>
        <v>0</v>
      </c>
      <c r="N2358" s="47"/>
      <c r="O2358" s="965">
        <f t="shared" ref="O2358:O2362" si="4585">+L2358*J2358*N2358</f>
        <v>0</v>
      </c>
      <c r="P2358" s="964"/>
      <c r="Q2358" s="1250">
        <f t="shared" ref="Q2358:Q2362" si="4586">+P2358*K2358</f>
        <v>0</v>
      </c>
      <c r="R2358" s="47"/>
      <c r="S2358" s="47"/>
      <c r="T2358" s="965">
        <f t="shared" ref="T2358:T2362" si="4587">+P2358*K2358*S2358</f>
        <v>0</v>
      </c>
      <c r="U2358" s="964">
        <f t="shared" ref="U2358:U2362" si="4588">+L2358+P2358+F2358</f>
        <v>0</v>
      </c>
      <c r="V2358" s="965">
        <f t="shared" ref="V2358:V2362" si="4589">+P2358*J2358*R2358+L2358*J2358*N2358+F2358*J2358*H2358</f>
        <v>0</v>
      </c>
      <c r="W2358" s="968">
        <f t="shared" ref="W2358:W2363" si="4590">-(IF(-P2358*J2358*R2358&lt;-P2358*K2358*S2358,(-P2358*J2358*R2358)-(-P2358*K2358*S2358),0))</f>
        <v>0</v>
      </c>
      <c r="X2358" s="966">
        <f t="shared" ref="X2358:X2363" si="4591">-(IF(-P2358*J2358*R2358&gt;-P2358*K2358*S2358,(-P2358*J2358*R2358)-(-P2358*K2358*S2358),0))</f>
        <v>0</v>
      </c>
      <c r="Y2358" s="967"/>
      <c r="Z2358" s="1071"/>
      <c r="AA2358" s="355"/>
      <c r="AB2358" s="355"/>
      <c r="AC2358" s="355"/>
      <c r="AD2358" s="355"/>
      <c r="AE2358" s="355"/>
    </row>
    <row r="2359" spans="1:31" s="401" customFormat="1">
      <c r="A2359" s="1011"/>
      <c r="B2359" s="1012"/>
      <c r="C2359" s="1661"/>
      <c r="D2359" s="1665"/>
      <c r="E2359" s="1666"/>
      <c r="F2359" s="1015"/>
      <c r="G2359" s="1293"/>
      <c r="H2359" s="346"/>
      <c r="I2359" s="1016"/>
      <c r="J2359" s="1402"/>
      <c r="K2359" s="1402"/>
      <c r="L2359" s="347"/>
      <c r="M2359" s="1329">
        <f t="shared" si="4584"/>
        <v>0</v>
      </c>
      <c r="N2359" s="348"/>
      <c r="O2359" s="996">
        <f t="shared" si="4585"/>
        <v>0</v>
      </c>
      <c r="P2359" s="1017"/>
      <c r="Q2359" s="1362">
        <f t="shared" si="4586"/>
        <v>0</v>
      </c>
      <c r="R2359" s="349"/>
      <c r="S2359" s="349"/>
      <c r="T2359" s="1031">
        <f t="shared" si="4587"/>
        <v>0</v>
      </c>
      <c r="U2359" s="977">
        <f t="shared" si="4588"/>
        <v>0</v>
      </c>
      <c r="V2359" s="978">
        <f t="shared" si="4589"/>
        <v>0</v>
      </c>
      <c r="W2359" s="428">
        <f t="shared" si="4590"/>
        <v>0</v>
      </c>
      <c r="X2359" s="429">
        <f t="shared" si="4591"/>
        <v>0</v>
      </c>
      <c r="Y2359" s="1018"/>
      <c r="Z2359" s="220"/>
      <c r="AA2359" s="400"/>
      <c r="AB2359" s="400"/>
      <c r="AC2359" s="400"/>
      <c r="AD2359" s="400"/>
      <c r="AE2359" s="400"/>
    </row>
    <row r="2360" spans="1:31" s="401" customFormat="1" hidden="1" outlineLevel="1">
      <c r="A2360" s="984">
        <v>2490030000</v>
      </c>
      <c r="B2360" s="985"/>
      <c r="C2360" s="1662" t="s">
        <v>64</v>
      </c>
      <c r="D2360" s="1667"/>
      <c r="E2360" s="1668"/>
      <c r="F2360" s="988"/>
      <c r="G2360" s="1287"/>
      <c r="H2360" s="335"/>
      <c r="I2360" s="989"/>
      <c r="J2360" s="1457">
        <v>1</v>
      </c>
      <c r="K2360" s="1458">
        <v>1</v>
      </c>
      <c r="L2360" s="336"/>
      <c r="M2360" s="1322">
        <f t="shared" si="4584"/>
        <v>0</v>
      </c>
      <c r="N2360" s="337"/>
      <c r="O2360" s="990">
        <f t="shared" si="4585"/>
        <v>0</v>
      </c>
      <c r="P2360" s="991">
        <f>-F2358</f>
        <v>0</v>
      </c>
      <c r="Q2360" s="1330">
        <f t="shared" si="4586"/>
        <v>0</v>
      </c>
      <c r="R2360" s="337">
        <f>+H2358</f>
        <v>0</v>
      </c>
      <c r="S2360" s="337"/>
      <c r="T2360" s="990">
        <f t="shared" si="4587"/>
        <v>0</v>
      </c>
      <c r="U2360" s="992">
        <f t="shared" si="4588"/>
        <v>0</v>
      </c>
      <c r="V2360" s="990">
        <f t="shared" si="4589"/>
        <v>0</v>
      </c>
      <c r="W2360" s="993">
        <f t="shared" si="4590"/>
        <v>0</v>
      </c>
      <c r="X2360" s="994">
        <f t="shared" si="4591"/>
        <v>0</v>
      </c>
      <c r="Y2360" s="995"/>
      <c r="Z2360" s="220"/>
      <c r="AA2360" s="15"/>
      <c r="AB2360" s="15"/>
      <c r="AC2360" s="15"/>
      <c r="AD2360" s="15"/>
      <c r="AE2360" s="15"/>
    </row>
    <row r="2361" spans="1:31" s="401" customFormat="1" hidden="1" outlineLevel="1">
      <c r="A2361" s="1011">
        <v>2490030000</v>
      </c>
      <c r="B2361" s="1012"/>
      <c r="C2361" s="1661" t="s">
        <v>64</v>
      </c>
      <c r="D2361" s="1665"/>
      <c r="E2361" s="1666"/>
      <c r="F2361" s="1015"/>
      <c r="G2361" s="1293"/>
      <c r="H2361" s="346"/>
      <c r="I2361" s="1016"/>
      <c r="J2361" s="1457">
        <v>1</v>
      </c>
      <c r="K2361" s="1458">
        <v>1</v>
      </c>
      <c r="L2361" s="347"/>
      <c r="M2361" s="1329">
        <f t="shared" si="4584"/>
        <v>0</v>
      </c>
      <c r="N2361" s="348"/>
      <c r="O2361" s="996">
        <f t="shared" si="4585"/>
        <v>0</v>
      </c>
      <c r="P2361" s="1017"/>
      <c r="Q2361" s="1362">
        <f t="shared" si="4586"/>
        <v>0</v>
      </c>
      <c r="R2361" s="349"/>
      <c r="S2361" s="349"/>
      <c r="T2361" s="1031">
        <f t="shared" si="4587"/>
        <v>0</v>
      </c>
      <c r="U2361" s="977">
        <f t="shared" si="4588"/>
        <v>0</v>
      </c>
      <c r="V2361" s="978">
        <f t="shared" si="4589"/>
        <v>0</v>
      </c>
      <c r="W2361" s="428">
        <f t="shared" si="4590"/>
        <v>0</v>
      </c>
      <c r="X2361" s="429">
        <f t="shared" si="4591"/>
        <v>0</v>
      </c>
      <c r="Y2361" s="1018"/>
      <c r="Z2361" s="220"/>
      <c r="AA2361" s="15"/>
      <c r="AB2361" s="15"/>
      <c r="AC2361" s="15"/>
      <c r="AD2361" s="15"/>
      <c r="AE2361" s="15"/>
    </row>
    <row r="2362" spans="1:31" s="401" customFormat="1" hidden="1" outlineLevel="1">
      <c r="A2362" s="1011">
        <v>2490030000</v>
      </c>
      <c r="B2362" s="1012"/>
      <c r="C2362" s="1661" t="s">
        <v>64</v>
      </c>
      <c r="D2362" s="1665"/>
      <c r="E2362" s="1666"/>
      <c r="F2362" s="1015"/>
      <c r="G2362" s="1293"/>
      <c r="H2362" s="346"/>
      <c r="I2362" s="1016"/>
      <c r="J2362" s="1457">
        <v>1</v>
      </c>
      <c r="K2362" s="1458">
        <v>1</v>
      </c>
      <c r="L2362" s="347"/>
      <c r="M2362" s="1329">
        <f t="shared" si="4584"/>
        <v>0</v>
      </c>
      <c r="N2362" s="348"/>
      <c r="O2362" s="996">
        <f t="shared" si="4585"/>
        <v>0</v>
      </c>
      <c r="P2362" s="1017">
        <f>-L2361</f>
        <v>0</v>
      </c>
      <c r="Q2362" s="1362">
        <f t="shared" si="4586"/>
        <v>0</v>
      </c>
      <c r="R2362" s="349">
        <f>+N2361</f>
        <v>0</v>
      </c>
      <c r="S2362" s="349"/>
      <c r="T2362" s="1031">
        <f t="shared" si="4587"/>
        <v>0</v>
      </c>
      <c r="U2362" s="977">
        <f t="shared" si="4588"/>
        <v>0</v>
      </c>
      <c r="V2362" s="978">
        <f t="shared" si="4589"/>
        <v>0</v>
      </c>
      <c r="W2362" s="428">
        <f t="shared" si="4590"/>
        <v>0</v>
      </c>
      <c r="X2362" s="429">
        <f t="shared" si="4591"/>
        <v>0</v>
      </c>
      <c r="Y2362" s="1018"/>
      <c r="Z2362" s="220"/>
      <c r="AA2362" s="15"/>
      <c r="AB2362" s="15"/>
      <c r="AC2362" s="15"/>
      <c r="AD2362" s="15"/>
      <c r="AE2362" s="15"/>
    </row>
    <row r="2363" spans="1:31" s="401" customFormat="1" collapsed="1">
      <c r="A2363" s="1011"/>
      <c r="B2363" s="1012"/>
      <c r="C2363" s="1661"/>
      <c r="D2363" s="1665"/>
      <c r="E2363" s="1666"/>
      <c r="F2363" s="1015"/>
      <c r="G2363" s="1293"/>
      <c r="H2363" s="346"/>
      <c r="I2363" s="1016"/>
      <c r="J2363" s="1402"/>
      <c r="K2363" s="1402"/>
      <c r="L2363" s="347"/>
      <c r="M2363" s="1329"/>
      <c r="N2363" s="348"/>
      <c r="O2363" s="996">
        <f>+L2363*N2363</f>
        <v>0</v>
      </c>
      <c r="P2363" s="1017"/>
      <c r="Q2363" s="1362"/>
      <c r="R2363" s="349"/>
      <c r="S2363" s="349"/>
      <c r="T2363" s="1031">
        <f>+P2363*S2363</f>
        <v>0</v>
      </c>
      <c r="U2363" s="977">
        <f>+L2363+P2363+F2363</f>
        <v>0</v>
      </c>
      <c r="V2363" s="978">
        <f>+P2363*R2363+L2363*N2363+F2363*H2363</f>
        <v>0</v>
      </c>
      <c r="W2363" s="428">
        <f t="shared" si="4590"/>
        <v>0</v>
      </c>
      <c r="X2363" s="429">
        <f t="shared" si="4591"/>
        <v>0</v>
      </c>
      <c r="Y2363" s="1018"/>
      <c r="Z2363" s="220"/>
      <c r="AA2363" s="400"/>
      <c r="AB2363" s="400"/>
      <c r="AC2363" s="400"/>
      <c r="AD2363" s="400"/>
      <c r="AE2363" s="400"/>
    </row>
    <row r="2364" spans="1:31" s="344" customFormat="1" ht="15.75">
      <c r="A2364" s="997">
        <v>2490030000</v>
      </c>
      <c r="B2364" s="998" t="s">
        <v>77</v>
      </c>
      <c r="C2364" s="1663" t="s">
        <v>106</v>
      </c>
      <c r="D2364" s="1669" t="s">
        <v>128</v>
      </c>
      <c r="E2364" s="1670"/>
      <c r="F2364" s="1001"/>
      <c r="G2364" s="1291"/>
      <c r="H2364" s="343"/>
      <c r="I2364" s="1002">
        <v>0</v>
      </c>
      <c r="J2364" s="1372"/>
      <c r="K2364" s="1372"/>
      <c r="L2364" s="1003"/>
      <c r="M2364" s="1326"/>
      <c r="N2364" s="343"/>
      <c r="O2364" s="1002">
        <f>+L2364*N2364</f>
        <v>0</v>
      </c>
      <c r="P2364" s="1001"/>
      <c r="Q2364" s="1291"/>
      <c r="R2364" s="343"/>
      <c r="S2364" s="343"/>
      <c r="T2364" s="1002">
        <f>+P2364*R2364</f>
        <v>0</v>
      </c>
      <c r="U2364" s="1001">
        <f>+L2364+P2364+F2364</f>
        <v>0</v>
      </c>
      <c r="V2364" s="1002">
        <f>+I2364+T2364+O2364</f>
        <v>0</v>
      </c>
      <c r="W2364" s="1032"/>
      <c r="X2364" s="1033"/>
      <c r="Y2364" s="1034"/>
      <c r="Z2364" s="220"/>
      <c r="AA2364" s="364"/>
      <c r="AB2364" s="364"/>
      <c r="AC2364" s="364"/>
      <c r="AD2364" s="364"/>
      <c r="AE2364" s="364"/>
    </row>
    <row r="2365" spans="1:31" s="302" customFormat="1" ht="15.75" hidden="1" outlineLevel="1">
      <c r="A2365" s="979">
        <v>2490030000</v>
      </c>
      <c r="B2365" s="980"/>
      <c r="C2365" s="1664" t="s">
        <v>106</v>
      </c>
      <c r="D2365" s="1671"/>
      <c r="E2365" s="1672" t="s">
        <v>170</v>
      </c>
      <c r="F2365" s="982"/>
      <c r="G2365" s="1286"/>
      <c r="H2365" s="857"/>
      <c r="I2365" s="1005">
        <f>+F2365*H2365</f>
        <v>0</v>
      </c>
      <c r="J2365" s="1398"/>
      <c r="K2365" s="1398"/>
      <c r="L2365" s="1006"/>
      <c r="M2365" s="1327"/>
      <c r="N2365" s="898"/>
      <c r="O2365" s="1007"/>
      <c r="P2365" s="1008"/>
      <c r="Q2365" s="1360"/>
      <c r="R2365" s="899"/>
      <c r="S2365" s="899"/>
      <c r="T2365" s="1009">
        <f>+P2365*R2365</f>
        <v>0</v>
      </c>
      <c r="U2365" s="1010">
        <f>+L2365+P2365+F2365</f>
        <v>0</v>
      </c>
      <c r="V2365" s="983">
        <v>0</v>
      </c>
      <c r="W2365" s="1032"/>
      <c r="X2365" s="1033"/>
      <c r="Y2365" s="1034"/>
      <c r="Z2365" s="220"/>
      <c r="AA2365" s="15"/>
      <c r="AB2365" s="15"/>
      <c r="AC2365" s="15"/>
      <c r="AD2365" s="15"/>
      <c r="AE2365" s="15"/>
    </row>
    <row r="2366" spans="1:31" s="302" customFormat="1" ht="15.75" hidden="1" outlineLevel="1">
      <c r="A2366" s="979">
        <v>2490030000</v>
      </c>
      <c r="B2366" s="980"/>
      <c r="C2366" s="1664" t="s">
        <v>106</v>
      </c>
      <c r="D2366" s="1671"/>
      <c r="E2366" s="1672" t="s">
        <v>171</v>
      </c>
      <c r="F2366" s="982"/>
      <c r="G2366" s="1286"/>
      <c r="H2366" s="857"/>
      <c r="I2366" s="1005">
        <f>+F2366*H2366</f>
        <v>0</v>
      </c>
      <c r="J2366" s="1398"/>
      <c r="K2366" s="1398"/>
      <c r="L2366" s="1006"/>
      <c r="M2366" s="1327"/>
      <c r="N2366" s="898"/>
      <c r="O2366" s="1007">
        <f>+L2366*N2366</f>
        <v>0</v>
      </c>
      <c r="P2366" s="1008"/>
      <c r="Q2366" s="1360"/>
      <c r="R2366" s="899"/>
      <c r="S2366" s="899"/>
      <c r="T2366" s="1009">
        <f>+P2366*R2366</f>
        <v>0</v>
      </c>
      <c r="U2366" s="1010">
        <f>+L2366+P2366+F2366</f>
        <v>0</v>
      </c>
      <c r="V2366" s="983"/>
      <c r="W2366" s="1032"/>
      <c r="X2366" s="1033"/>
      <c r="Y2366" s="1034"/>
      <c r="Z2366" s="220"/>
      <c r="AA2366" s="15"/>
      <c r="AB2366" s="15"/>
      <c r="AC2366" s="15"/>
      <c r="AD2366" s="15"/>
      <c r="AE2366" s="15"/>
    </row>
    <row r="2367" spans="1:31" s="302" customFormat="1" ht="15.75" hidden="1" outlineLevel="1">
      <c r="A2367" s="979">
        <v>2490030000</v>
      </c>
      <c r="B2367" s="980"/>
      <c r="C2367" s="1664" t="s">
        <v>106</v>
      </c>
      <c r="D2367" s="1671"/>
      <c r="E2367" s="1672" t="s">
        <v>172</v>
      </c>
      <c r="F2367" s="982"/>
      <c r="G2367" s="1286"/>
      <c r="H2367" s="857"/>
      <c r="I2367" s="1005">
        <f>+F2367*H2367</f>
        <v>0</v>
      </c>
      <c r="J2367" s="1398"/>
      <c r="K2367" s="1398"/>
      <c r="L2367" s="1006"/>
      <c r="M2367" s="1327"/>
      <c r="N2367" s="898"/>
      <c r="O2367" s="1007"/>
      <c r="P2367" s="1008"/>
      <c r="Q2367" s="1360"/>
      <c r="R2367" s="899"/>
      <c r="S2367" s="899"/>
      <c r="T2367" s="1009"/>
      <c r="U2367" s="1010"/>
      <c r="V2367" s="983"/>
      <c r="W2367" s="1032"/>
      <c r="X2367" s="1033"/>
      <c r="Y2367" s="1034"/>
      <c r="Z2367" s="220"/>
      <c r="AA2367" s="15"/>
      <c r="AB2367" s="15"/>
      <c r="AC2367" s="15"/>
      <c r="AD2367" s="15"/>
      <c r="AE2367" s="15"/>
    </row>
    <row r="2368" spans="1:31" ht="15.75" collapsed="1" thickBot="1">
      <c r="A2368" s="55"/>
      <c r="B2368" s="509"/>
      <c r="C2368" s="1512"/>
      <c r="D2368" s="1673"/>
      <c r="E2368" s="1674"/>
      <c r="F2368" s="455"/>
      <c r="G2368" s="1280"/>
      <c r="H2368" s="456"/>
      <c r="I2368" s="457">
        <f>+F2368*H2368</f>
        <v>0</v>
      </c>
      <c r="J2368" s="1406"/>
      <c r="K2368" s="1406"/>
      <c r="L2368" s="1006"/>
      <c r="M2368" s="1327"/>
      <c r="N2368" s="898"/>
      <c r="O2368" s="1007"/>
      <c r="P2368" s="1008"/>
      <c r="Q2368" s="1360"/>
      <c r="R2368" s="899"/>
      <c r="S2368" s="899"/>
      <c r="T2368" s="1009"/>
      <c r="U2368" s="1010"/>
      <c r="V2368" s="465">
        <f>+I2368+T2368+O2368</f>
        <v>0</v>
      </c>
      <c r="W2368" s="852"/>
      <c r="X2368" s="853"/>
      <c r="Y2368" s="854"/>
    </row>
    <row r="2369" spans="1:120" s="249" customFormat="1" ht="19.5" thickBot="1">
      <c r="A2369" s="799" t="s">
        <v>173</v>
      </c>
      <c r="B2369" s="800"/>
      <c r="C2369" s="801"/>
      <c r="D2369" s="1675"/>
      <c r="E2369" s="1676"/>
      <c r="F2369" s="803">
        <f>SUM(F2358:F2368)</f>
        <v>0</v>
      </c>
      <c r="G2369" s="1275"/>
      <c r="H2369" s="804"/>
      <c r="I2369" s="805">
        <f>SUM(I2358:I2368)</f>
        <v>0</v>
      </c>
      <c r="J2369" s="1368"/>
      <c r="K2369" s="1368"/>
      <c r="L2369" s="806">
        <f>SUM(L2358:L2368)</f>
        <v>0</v>
      </c>
      <c r="M2369" s="1308"/>
      <c r="N2369" s="807"/>
      <c r="O2369" s="808">
        <f>SUM(O2358:O2368)</f>
        <v>0</v>
      </c>
      <c r="P2369" s="809">
        <f>SUM(P2358:P2368)</f>
        <v>0</v>
      </c>
      <c r="Q2369" s="1349"/>
      <c r="R2369" s="810"/>
      <c r="S2369" s="810"/>
      <c r="T2369" s="811">
        <f>SUM(T2358:T2368)</f>
        <v>0</v>
      </c>
      <c r="U2369" s="812">
        <f>SUM(U2358:U2368)</f>
        <v>0</v>
      </c>
      <c r="V2369" s="847">
        <f>SUM(V2358:V2368)</f>
        <v>0</v>
      </c>
      <c r="W2369" s="814">
        <f>SUM(W2358:W2368)</f>
        <v>0</v>
      </c>
      <c r="X2369" s="815">
        <f>SUM(X2358:X2368)</f>
        <v>0</v>
      </c>
      <c r="Y2369" s="816"/>
      <c r="Z2369" s="1073"/>
      <c r="AA2369" s="364"/>
      <c r="AB2369" s="364"/>
      <c r="AC2369" s="364"/>
      <c r="AD2369" s="364"/>
      <c r="AE2369" s="364"/>
    </row>
    <row r="2370" spans="1:120" s="15" customFormat="1">
      <c r="A2370"/>
      <c r="B2370"/>
      <c r="C2370" s="7"/>
      <c r="D2370" s="7"/>
      <c r="E2370" s="8"/>
      <c r="F2370" s="410"/>
      <c r="G2370" s="410"/>
      <c r="H2370" s="411"/>
      <c r="I2370" s="412"/>
      <c r="J2370" s="1380"/>
      <c r="K2370" s="1380"/>
      <c r="L2370" s="413"/>
      <c r="M2370" s="413"/>
      <c r="N2370" s="411"/>
      <c r="O2370" s="412"/>
      <c r="P2370" s="410"/>
      <c r="Q2370" s="410"/>
      <c r="R2370" s="411"/>
      <c r="S2370" s="411"/>
      <c r="T2370" s="412"/>
      <c r="U2370" s="410"/>
      <c r="V2370" s="412"/>
      <c r="W2370" s="412"/>
      <c r="X2370" s="412"/>
      <c r="Y2370" s="7"/>
      <c r="Z2370" s="14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</row>
    <row r="2371" spans="1:120" s="15" customFormat="1" ht="15.75" thickBot="1">
      <c r="A2371"/>
      <c r="B2371"/>
      <c r="C2371" s="7"/>
      <c r="D2371" s="7"/>
      <c r="E2371" s="8"/>
      <c r="F2371" s="410"/>
      <c r="G2371" s="410"/>
      <c r="H2371" s="411"/>
      <c r="I2371" s="412"/>
      <c r="J2371" s="1380"/>
      <c r="K2371" s="1380"/>
      <c r="L2371" s="413"/>
      <c r="M2371" s="413"/>
      <c r="N2371" s="411"/>
      <c r="O2371" s="412"/>
      <c r="P2371" s="410"/>
      <c r="Q2371" s="410"/>
      <c r="R2371" s="411"/>
      <c r="S2371" s="411"/>
      <c r="T2371" s="412"/>
      <c r="U2371" s="410"/>
      <c r="V2371" s="412"/>
      <c r="W2371" s="1123" t="s">
        <v>246</v>
      </c>
      <c r="X2371" s="1123" t="s">
        <v>247</v>
      </c>
      <c r="Y2371" s="7"/>
      <c r="Z2371" s="14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</row>
    <row r="2372" spans="1:120" s="15" customFormat="1" ht="19.5" thickBot="1">
      <c r="A2372"/>
      <c r="B2372"/>
      <c r="C2372" s="7"/>
      <c r="D2372" s="7"/>
      <c r="E2372" s="8"/>
      <c r="F2372" s="410"/>
      <c r="G2372" s="410"/>
      <c r="H2372" s="411"/>
      <c r="I2372" s="412"/>
      <c r="J2372" s="1380"/>
      <c r="K2372" s="1380"/>
      <c r="L2372" s="413"/>
      <c r="M2372" s="413"/>
      <c r="N2372" s="411"/>
      <c r="O2372" s="412"/>
      <c r="P2372" s="410"/>
      <c r="Q2372" s="410"/>
      <c r="R2372" s="411"/>
      <c r="S2372" s="411"/>
      <c r="T2372" s="412"/>
      <c r="U2372" s="1126" t="s">
        <v>249</v>
      </c>
      <c r="V2372" s="1124">
        <f ca="1">-V830-V857-V945+V1387+V2351+V2369</f>
        <v>273779109048.27371</v>
      </c>
      <c r="W2372" s="1124">
        <f ca="1">+W830+W857+W945+W1387+W2351+W2369</f>
        <v>15350044195.218819</v>
      </c>
      <c r="X2372" s="1124">
        <f ca="1">+X830+X857+X945+X1387+X2351+X2369</f>
        <v>-10621405584.211861</v>
      </c>
      <c r="Y2372" s="823"/>
      <c r="Z2372" s="14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</row>
    <row r="2373" spans="1:120" s="15" customFormat="1">
      <c r="A2373"/>
      <c r="B2373"/>
      <c r="C2373" s="7"/>
      <c r="D2373" s="7"/>
      <c r="E2373" s="8"/>
      <c r="F2373" s="410"/>
      <c r="G2373" s="410"/>
      <c r="H2373" s="411"/>
      <c r="I2373" s="412"/>
      <c r="J2373" s="1380"/>
      <c r="K2373" s="1380"/>
      <c r="L2373" s="413"/>
      <c r="M2373" s="413"/>
      <c r="N2373" s="411"/>
      <c r="O2373" s="412"/>
      <c r="P2373" s="410"/>
      <c r="Q2373" s="410"/>
      <c r="R2373" s="411"/>
      <c r="S2373" s="411"/>
      <c r="T2373" s="412"/>
      <c r="U2373" s="410"/>
      <c r="V2373" s="412"/>
      <c r="W2373" s="412"/>
      <c r="X2373" s="412"/>
      <c r="Y2373" s="7"/>
      <c r="Z2373" s="14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</row>
    <row r="2374" spans="1:120" s="15" customFormat="1">
      <c r="A2374"/>
      <c r="B2374"/>
      <c r="C2374" s="7"/>
      <c r="D2374" s="7"/>
      <c r="E2374" s="8"/>
      <c r="F2374" s="410"/>
      <c r="G2374" s="410"/>
      <c r="H2374" s="411"/>
      <c r="I2374" s="412"/>
      <c r="J2374" s="1380"/>
      <c r="K2374" s="1380"/>
      <c r="L2374" s="413"/>
      <c r="M2374" s="413"/>
      <c r="N2374" s="411"/>
      <c r="O2374" s="412"/>
      <c r="P2374" s="410"/>
      <c r="Q2374" s="410"/>
      <c r="R2374" s="411"/>
      <c r="S2374" s="411"/>
      <c r="T2374" s="412"/>
      <c r="U2374" s="1125" t="s">
        <v>248</v>
      </c>
      <c r="V2374" s="1119">
        <f ca="1">-V463-V558-V758-V827-V854-V942+V1043+V1088+V1149+V1185+V1220+V1254+V1287+V1318+V1352+V1384-V1459-V1534+V1779+V1915+V2065+V2193+V2226+V2259+V2297+V2311+V2346+V2369</f>
        <v>273779109048.27353</v>
      </c>
      <c r="W2374" s="1119">
        <f ca="1">+W463+W558+W758+W827+W854+W1043+W1088+W1149+W1185+W1220+W1254+W1287+W1318+W1352+W1384+W1459+W1534+W1779+W1915+W2065+W2193+W2226+W2259+W2297+W2311+W2346+W2369</f>
        <v>15350044195.218817</v>
      </c>
      <c r="X2374" s="1119">
        <f ca="1">+X463+X558+X758+X827+X854+X1043+X1088+X1149+X1185+X1220+X1254+X1287+X1318+X1352+X1384+X1459+X1534+X1779+X1915+X2065+X2193+X2226+X2259+X2297+X2311+X2346+X2369</f>
        <v>-10621405584.211859</v>
      </c>
      <c r="Y2374" s="7"/>
      <c r="Z2374" s="1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</row>
    <row r="2375" spans="1:120" s="15" customFormat="1">
      <c r="A2375"/>
      <c r="B2375"/>
      <c r="C2375" s="7"/>
      <c r="D2375" s="7"/>
      <c r="E2375" s="8"/>
      <c r="F2375" s="410"/>
      <c r="G2375" s="410"/>
      <c r="H2375" s="411"/>
      <c r="I2375" s="412"/>
      <c r="J2375" s="1380"/>
      <c r="K2375" s="1380"/>
      <c r="L2375" s="413"/>
      <c r="M2375" s="413"/>
      <c r="N2375" s="411"/>
      <c r="O2375" s="412"/>
      <c r="P2375" s="410"/>
      <c r="Q2375" s="410"/>
      <c r="R2375" s="411"/>
      <c r="S2375" s="411"/>
      <c r="T2375" s="412"/>
      <c r="U2375" s="1125" t="s">
        <v>257</v>
      </c>
      <c r="V2375" s="1119">
        <f ca="1">+V2372-V2374</f>
        <v>0</v>
      </c>
      <c r="W2375" s="1119">
        <f ca="1">+W2372-W2374</f>
        <v>0</v>
      </c>
      <c r="X2375" s="1119">
        <f ca="1">+X2372-X2374</f>
        <v>0</v>
      </c>
      <c r="Y2375" s="7"/>
      <c r="Z2375" s="14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</row>
    <row r="2376" spans="1:120" s="15" customFormat="1">
      <c r="A2376"/>
      <c r="B2376"/>
      <c r="C2376" s="7"/>
      <c r="D2376" s="7"/>
      <c r="E2376" s="8"/>
      <c r="F2376" s="410"/>
      <c r="G2376" s="410"/>
      <c r="H2376" s="411"/>
      <c r="I2376" s="412"/>
      <c r="J2376" s="1380"/>
      <c r="K2376" s="1380"/>
      <c r="L2376" s="413"/>
      <c r="M2376" s="413"/>
      <c r="N2376" s="411"/>
      <c r="O2376" s="412"/>
      <c r="P2376" s="410"/>
      <c r="Q2376" s="410"/>
      <c r="R2376" s="411"/>
      <c r="S2376" s="411"/>
      <c r="T2376" s="412"/>
      <c r="U2376" s="410"/>
      <c r="V2376" s="412"/>
      <c r="W2376" s="412"/>
      <c r="X2376" s="412"/>
      <c r="Y2376" s="7"/>
      <c r="Z2376" s="14" t="s">
        <v>290</v>
      </c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</row>
    <row r="2377" spans="1:120" s="15" customFormat="1">
      <c r="A2377"/>
      <c r="B2377"/>
      <c r="C2377" s="7"/>
      <c r="D2377" s="7"/>
      <c r="E2377" s="8"/>
      <c r="F2377" s="410"/>
      <c r="G2377" s="410"/>
      <c r="H2377" s="411"/>
      <c r="I2377" s="412"/>
      <c r="J2377" s="1380"/>
      <c r="K2377" s="1380"/>
      <c r="L2377" s="413"/>
      <c r="M2377" s="413"/>
      <c r="N2377" s="411"/>
      <c r="O2377" s="412"/>
      <c r="P2377" s="410"/>
      <c r="Q2377" s="410"/>
      <c r="R2377" s="411"/>
      <c r="S2377" s="411"/>
      <c r="T2377" s="412"/>
      <c r="U2377" s="410"/>
      <c r="W2377" s="412"/>
      <c r="X2377" s="412"/>
      <c r="Y2377" s="7"/>
      <c r="Z2377" s="14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</row>
    <row r="2378" spans="1:120" s="15" customFormat="1">
      <c r="A2378"/>
      <c r="B2378"/>
      <c r="C2378" s="7"/>
      <c r="D2378" s="7"/>
      <c r="E2378" s="8"/>
      <c r="F2378" s="410"/>
      <c r="G2378" s="410"/>
      <c r="H2378" s="411"/>
      <c r="I2378" s="412"/>
      <c r="J2378" s="1380"/>
      <c r="K2378" s="1380"/>
      <c r="L2378" s="413"/>
      <c r="M2378" s="413"/>
      <c r="N2378" s="411"/>
      <c r="O2378" s="412"/>
      <c r="P2378" s="410"/>
      <c r="Q2378" s="410"/>
      <c r="R2378" s="411"/>
      <c r="S2378" s="411"/>
      <c r="T2378" s="412"/>
      <c r="U2378" s="410"/>
      <c r="V2378" s="412"/>
      <c r="W2378" s="412"/>
      <c r="X2378" s="412"/>
      <c r="Y2378" s="7"/>
      <c r="Z2378" s="14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</row>
    <row r="2379" spans="1:120" s="15" customFormat="1">
      <c r="A2379"/>
      <c r="B2379"/>
      <c r="C2379" s="7"/>
      <c r="D2379" s="7"/>
      <c r="E2379" s="8"/>
      <c r="F2379" s="410"/>
      <c r="G2379" s="410"/>
      <c r="H2379" s="411"/>
      <c r="I2379" s="412"/>
      <c r="J2379" s="1380"/>
      <c r="K2379" s="1380"/>
      <c r="L2379" s="413"/>
      <c r="M2379" s="413"/>
      <c r="N2379" s="411"/>
      <c r="O2379" s="412"/>
      <c r="P2379" s="410"/>
      <c r="Q2379" s="410"/>
      <c r="R2379" s="411"/>
      <c r="S2379" s="411"/>
      <c r="T2379" s="412"/>
      <c r="U2379" s="410"/>
      <c r="V2379" s="412"/>
      <c r="W2379" s="412"/>
      <c r="X2379" s="412"/>
      <c r="Y2379" s="7"/>
      <c r="Z2379" s="14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</row>
    <row r="2380" spans="1:120" s="15" customFormat="1">
      <c r="A2380"/>
      <c r="B2380"/>
      <c r="C2380" s="7"/>
      <c r="D2380" s="7"/>
      <c r="E2380" s="8"/>
      <c r="F2380" s="410"/>
      <c r="G2380" s="410"/>
      <c r="H2380" s="411"/>
      <c r="I2380" s="412"/>
      <c r="J2380" s="1380"/>
      <c r="K2380" s="1380"/>
      <c r="L2380" s="413"/>
      <c r="M2380" s="413"/>
      <c r="N2380" s="411"/>
      <c r="O2380" s="412"/>
      <c r="P2380" s="410"/>
      <c r="Q2380" s="410"/>
      <c r="R2380" s="411"/>
      <c r="S2380" s="411"/>
      <c r="T2380" s="412"/>
      <c r="U2380" s="410"/>
      <c r="V2380" s="412"/>
      <c r="W2380" s="412"/>
      <c r="X2380" s="412"/>
      <c r="Y2380" s="7"/>
      <c r="Z2380" s="14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</row>
    <row r="2381" spans="1:120" s="15" customFormat="1">
      <c r="A2381"/>
      <c r="B2381"/>
      <c r="C2381" s="7"/>
      <c r="D2381" s="7"/>
      <c r="E2381" s="8"/>
      <c r="F2381" s="410"/>
      <c r="G2381" s="410"/>
      <c r="H2381" s="411"/>
      <c r="I2381" s="412"/>
      <c r="J2381" s="1380"/>
      <c r="K2381" s="1380"/>
      <c r="L2381" s="413"/>
      <c r="M2381" s="413"/>
      <c r="N2381" s="411"/>
      <c r="O2381" s="412"/>
      <c r="P2381" s="410"/>
      <c r="Q2381" s="410"/>
      <c r="R2381" s="411"/>
      <c r="S2381" s="411"/>
      <c r="T2381" s="412"/>
      <c r="U2381" s="410"/>
      <c r="V2381" s="412"/>
      <c r="W2381" s="412"/>
      <c r="X2381" s="412"/>
      <c r="Y2381" s="7"/>
      <c r="Z2381" s="14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</row>
    <row r="2382" spans="1:120" s="15" customFormat="1">
      <c r="A2382"/>
      <c r="B2382"/>
      <c r="C2382" s="7"/>
      <c r="D2382" s="7"/>
      <c r="E2382" s="8"/>
      <c r="F2382" s="410"/>
      <c r="G2382" s="410"/>
      <c r="H2382" s="411"/>
      <c r="I2382" s="412"/>
      <c r="J2382" s="1380"/>
      <c r="K2382" s="1380"/>
      <c r="L2382" s="413"/>
      <c r="M2382" s="413"/>
      <c r="N2382" s="411"/>
      <c r="O2382" s="412"/>
      <c r="P2382" s="410"/>
      <c r="Q2382" s="410"/>
      <c r="R2382" s="411"/>
      <c r="S2382" s="411"/>
      <c r="T2382" s="412"/>
      <c r="U2382" s="410"/>
      <c r="V2382" s="412"/>
      <c r="W2382" s="412"/>
      <c r="X2382" s="412"/>
      <c r="Y2382" s="7"/>
      <c r="Z2382" s="14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</row>
    <row r="2383" spans="1:120" s="15" customFormat="1">
      <c r="A2383"/>
      <c r="B2383"/>
      <c r="C2383" s="7"/>
      <c r="D2383" s="7"/>
      <c r="E2383" s="8"/>
      <c r="F2383" s="410"/>
      <c r="G2383" s="410"/>
      <c r="H2383" s="411"/>
      <c r="I2383" s="412"/>
      <c r="J2383" s="1380"/>
      <c r="K2383" s="1380"/>
      <c r="L2383" s="413"/>
      <c r="M2383" s="413"/>
      <c r="N2383" s="411"/>
      <c r="O2383" s="412"/>
      <c r="P2383" s="410"/>
      <c r="Q2383" s="410"/>
      <c r="R2383" s="411"/>
      <c r="S2383" s="411"/>
      <c r="T2383" s="412"/>
      <c r="U2383" s="410"/>
      <c r="V2383" s="412"/>
      <c r="W2383" s="412"/>
      <c r="X2383" s="412"/>
      <c r="Y2383" s="7"/>
      <c r="Z2383" s="14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</row>
    <row r="2384" spans="1:120" s="15" customFormat="1">
      <c r="A2384"/>
      <c r="B2384"/>
      <c r="C2384" s="7"/>
      <c r="D2384" s="7"/>
      <c r="E2384" s="8"/>
      <c r="F2384" s="410"/>
      <c r="G2384" s="410"/>
      <c r="H2384" s="411"/>
      <c r="I2384" s="412"/>
      <c r="J2384" s="1380"/>
      <c r="K2384" s="1380"/>
      <c r="L2384" s="413"/>
      <c r="M2384" s="413"/>
      <c r="N2384" s="411"/>
      <c r="O2384" s="412"/>
      <c r="P2384" s="410"/>
      <c r="Q2384" s="410"/>
      <c r="R2384" s="411"/>
      <c r="S2384" s="411"/>
      <c r="T2384" s="412"/>
      <c r="U2384" s="410"/>
      <c r="V2384" s="412"/>
      <c r="W2384" s="412"/>
      <c r="X2384" s="412"/>
      <c r="Y2384" s="7"/>
      <c r="Z2384" s="1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</row>
    <row r="2385" spans="1:120" s="15" customFormat="1">
      <c r="A2385"/>
      <c r="B2385"/>
      <c r="C2385" s="7"/>
      <c r="D2385" s="7"/>
      <c r="E2385" s="8"/>
      <c r="F2385" s="410"/>
      <c r="G2385" s="410"/>
      <c r="H2385" s="411"/>
      <c r="I2385" s="412"/>
      <c r="J2385" s="1380"/>
      <c r="K2385" s="1380"/>
      <c r="L2385" s="413"/>
      <c r="M2385" s="413"/>
      <c r="N2385" s="411"/>
      <c r="O2385" s="412"/>
      <c r="P2385" s="410"/>
      <c r="Q2385" s="410"/>
      <c r="R2385" s="411"/>
      <c r="S2385" s="411"/>
      <c r="T2385" s="412"/>
      <c r="U2385" s="410"/>
      <c r="V2385" s="412"/>
      <c r="W2385" s="412"/>
      <c r="X2385" s="412"/>
      <c r="Y2385" s="7"/>
      <c r="Z2385" s="14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</row>
    <row r="2386" spans="1:120" s="15" customFormat="1">
      <c r="A2386"/>
      <c r="B2386"/>
      <c r="C2386" s="7"/>
      <c r="D2386" s="7"/>
      <c r="E2386" s="8"/>
      <c r="F2386" s="410"/>
      <c r="G2386" s="410"/>
      <c r="H2386" s="411"/>
      <c r="I2386" s="412"/>
      <c r="J2386" s="1380"/>
      <c r="K2386" s="1380"/>
      <c r="L2386" s="413"/>
      <c r="M2386" s="413"/>
      <c r="N2386" s="411"/>
      <c r="O2386" s="412"/>
      <c r="P2386" s="410"/>
      <c r="Q2386" s="410"/>
      <c r="R2386" s="411"/>
      <c r="S2386" s="411"/>
      <c r="T2386" s="412"/>
      <c r="U2386" s="410"/>
      <c r="V2386" s="412"/>
      <c r="W2386" s="412"/>
      <c r="X2386" s="412"/>
      <c r="Y2386" s="7"/>
      <c r="Z2386" s="14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</row>
    <row r="2387" spans="1:120" s="15" customFormat="1">
      <c r="A2387"/>
      <c r="B2387"/>
      <c r="C2387" s="7"/>
      <c r="D2387" s="7"/>
      <c r="E2387" s="8"/>
      <c r="F2387" s="410"/>
      <c r="G2387" s="410"/>
      <c r="H2387" s="411"/>
      <c r="I2387" s="412"/>
      <c r="J2387" s="1380"/>
      <c r="K2387" s="1380"/>
      <c r="L2387" s="413"/>
      <c r="M2387" s="413"/>
      <c r="N2387" s="411"/>
      <c r="O2387" s="412"/>
      <c r="P2387" s="410"/>
      <c r="Q2387" s="410"/>
      <c r="R2387" s="411"/>
      <c r="S2387" s="411"/>
      <c r="T2387" s="412"/>
      <c r="U2387" s="410"/>
      <c r="V2387" s="412"/>
      <c r="W2387" s="412"/>
      <c r="X2387" s="412"/>
      <c r="Y2387" s="7"/>
      <c r="Z2387" s="14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</row>
    <row r="2388" spans="1:120" s="15" customFormat="1">
      <c r="A2388"/>
      <c r="B2388"/>
      <c r="C2388" s="7"/>
      <c r="D2388" s="7"/>
      <c r="E2388" s="8"/>
      <c r="F2388" s="410"/>
      <c r="G2388" s="410"/>
      <c r="H2388" s="411"/>
      <c r="I2388" s="412"/>
      <c r="J2388" s="1380"/>
      <c r="K2388" s="1380"/>
      <c r="L2388" s="413"/>
      <c r="M2388" s="413"/>
      <c r="N2388" s="411"/>
      <c r="O2388" s="412"/>
      <c r="P2388" s="410"/>
      <c r="Q2388" s="410"/>
      <c r="R2388" s="411"/>
      <c r="S2388" s="411"/>
      <c r="T2388" s="412"/>
      <c r="U2388" s="410"/>
      <c r="V2388" s="412"/>
      <c r="W2388" s="412"/>
      <c r="X2388" s="412"/>
      <c r="Y2388" s="7"/>
      <c r="Z2388" s="14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</row>
  </sheetData>
  <mergeCells count="275">
    <mergeCell ref="C761:C762"/>
    <mergeCell ref="D761:D762"/>
    <mergeCell ref="E761:E762"/>
    <mergeCell ref="F761:I761"/>
    <mergeCell ref="J761:K761"/>
    <mergeCell ref="L761:O761"/>
    <mergeCell ref="P761:T761"/>
    <mergeCell ref="U761:V761"/>
    <mergeCell ref="W761:Y761"/>
    <mergeCell ref="C1321:C1322"/>
    <mergeCell ref="D1321:D1322"/>
    <mergeCell ref="E1321:E1322"/>
    <mergeCell ref="F1321:I1321"/>
    <mergeCell ref="J1321:K1321"/>
    <mergeCell ref="L1321:O1321"/>
    <mergeCell ref="P1321:T1321"/>
    <mergeCell ref="U1321:V1321"/>
    <mergeCell ref="W1321:Y1321"/>
    <mergeCell ref="C1290:C1291"/>
    <mergeCell ref="D1290:D1291"/>
    <mergeCell ref="E1290:E1291"/>
    <mergeCell ref="F1290:I1290"/>
    <mergeCell ref="J1290:K1290"/>
    <mergeCell ref="L1290:O1290"/>
    <mergeCell ref="P1290:T1290"/>
    <mergeCell ref="U1290:V1290"/>
    <mergeCell ref="W1290:Y1290"/>
    <mergeCell ref="C1223:C1224"/>
    <mergeCell ref="D1223:D1224"/>
    <mergeCell ref="E1223:E1224"/>
    <mergeCell ref="F1223:I1223"/>
    <mergeCell ref="J1223:K1223"/>
    <mergeCell ref="L1223:O1223"/>
    <mergeCell ref="P1223:T1223"/>
    <mergeCell ref="U1223:V1223"/>
    <mergeCell ref="W1223:Y1223"/>
    <mergeCell ref="C1188:C1189"/>
    <mergeCell ref="D1188:D1189"/>
    <mergeCell ref="E1188:E1189"/>
    <mergeCell ref="F1188:I1188"/>
    <mergeCell ref="J1188:K1188"/>
    <mergeCell ref="L1188:O1188"/>
    <mergeCell ref="P1188:T1188"/>
    <mergeCell ref="U1188:V1188"/>
    <mergeCell ref="W1188:Y1188"/>
    <mergeCell ref="U2356:V2356"/>
    <mergeCell ref="W2356:Y2356"/>
    <mergeCell ref="C2356:C2357"/>
    <mergeCell ref="E2356:E2357"/>
    <mergeCell ref="F2356:I2356"/>
    <mergeCell ref="L2356:O2356"/>
    <mergeCell ref="P2356:T2356"/>
    <mergeCell ref="W2300:Y2300"/>
    <mergeCell ref="C2313:C2314"/>
    <mergeCell ref="E2313:E2314"/>
    <mergeCell ref="F2313:I2313"/>
    <mergeCell ref="L2313:O2313"/>
    <mergeCell ref="P2313:T2313"/>
    <mergeCell ref="U2313:V2313"/>
    <mergeCell ref="W2313:Y2313"/>
    <mergeCell ref="D2300:D2301"/>
    <mergeCell ref="D2313:D2314"/>
    <mergeCell ref="D2356:D2357"/>
    <mergeCell ref="J2313:K2313"/>
    <mergeCell ref="J2356:K2356"/>
    <mergeCell ref="E2299:Y2299"/>
    <mergeCell ref="C2300:C2301"/>
    <mergeCell ref="E2300:E2301"/>
    <mergeCell ref="F2300:I2300"/>
    <mergeCell ref="L2300:O2300"/>
    <mergeCell ref="P2300:T2300"/>
    <mergeCell ref="U2300:V2300"/>
    <mergeCell ref="C2228:C2229"/>
    <mergeCell ref="E2228:E2229"/>
    <mergeCell ref="F2228:I2228"/>
    <mergeCell ref="L2228:O2228"/>
    <mergeCell ref="P2228:T2228"/>
    <mergeCell ref="D2228:D2229"/>
    <mergeCell ref="J2228:K2228"/>
    <mergeCell ref="J2300:K2300"/>
    <mergeCell ref="C2262:C2263"/>
    <mergeCell ref="D2262:D2263"/>
    <mergeCell ref="E2262:E2263"/>
    <mergeCell ref="F2262:I2262"/>
    <mergeCell ref="J2262:K2262"/>
    <mergeCell ref="L2262:O2262"/>
    <mergeCell ref="P2262:T2262"/>
    <mergeCell ref="U2262:V2262"/>
    <mergeCell ref="W2262:Y2262"/>
    <mergeCell ref="C2198:C2199"/>
    <mergeCell ref="E2198:E2199"/>
    <mergeCell ref="F2198:I2198"/>
    <mergeCell ref="L2198:O2198"/>
    <mergeCell ref="P2198:T2198"/>
    <mergeCell ref="U2198:V2198"/>
    <mergeCell ref="W2198:Y2198"/>
    <mergeCell ref="C2068:C2069"/>
    <mergeCell ref="E2068:E2069"/>
    <mergeCell ref="F2068:I2068"/>
    <mergeCell ref="L2068:O2068"/>
    <mergeCell ref="P2068:T2068"/>
    <mergeCell ref="D2068:D2069"/>
    <mergeCell ref="D2198:D2199"/>
    <mergeCell ref="J2068:K2068"/>
    <mergeCell ref="J2198:K2198"/>
    <mergeCell ref="U2068:V2068"/>
    <mergeCell ref="W2068:Y2068"/>
    <mergeCell ref="C1986:C1987"/>
    <mergeCell ref="E1986:E1987"/>
    <mergeCell ref="F1986:I1986"/>
    <mergeCell ref="L1986:O1986"/>
    <mergeCell ref="P1986:T1986"/>
    <mergeCell ref="U1986:V1986"/>
    <mergeCell ref="W1986:Y1986"/>
    <mergeCell ref="C1782:C1783"/>
    <mergeCell ref="E1782:E1783"/>
    <mergeCell ref="F1782:I1782"/>
    <mergeCell ref="L1782:O1782"/>
    <mergeCell ref="P1782:T1782"/>
    <mergeCell ref="D1782:D1783"/>
    <mergeCell ref="D1986:D1987"/>
    <mergeCell ref="J1986:K1986"/>
    <mergeCell ref="U1782:V1782"/>
    <mergeCell ref="W1782:Y1782"/>
    <mergeCell ref="C1918:C1919"/>
    <mergeCell ref="D1918:D1919"/>
    <mergeCell ref="E1918:E1919"/>
    <mergeCell ref="F1918:I1918"/>
    <mergeCell ref="J1918:K1918"/>
    <mergeCell ref="L1918:O1918"/>
    <mergeCell ref="P1918:T1918"/>
    <mergeCell ref="C1536:C1537"/>
    <mergeCell ref="E1536:E1537"/>
    <mergeCell ref="F1536:I1536"/>
    <mergeCell ref="L1536:O1536"/>
    <mergeCell ref="P1536:T1536"/>
    <mergeCell ref="U1536:V1536"/>
    <mergeCell ref="W1536:Y1536"/>
    <mergeCell ref="C1462:C1463"/>
    <mergeCell ref="E1462:E1463"/>
    <mergeCell ref="F1462:I1462"/>
    <mergeCell ref="L1462:O1462"/>
    <mergeCell ref="P1462:T1462"/>
    <mergeCell ref="D1462:D1463"/>
    <mergeCell ref="D1536:D1537"/>
    <mergeCell ref="U1462:V1462"/>
    <mergeCell ref="W1462:Y1462"/>
    <mergeCell ref="C1356:C1357"/>
    <mergeCell ref="E1356:E1357"/>
    <mergeCell ref="F1356:I1356"/>
    <mergeCell ref="L1356:O1356"/>
    <mergeCell ref="P1356:T1356"/>
    <mergeCell ref="U1356:V1356"/>
    <mergeCell ref="W1356:Y1356"/>
    <mergeCell ref="C1153:C1154"/>
    <mergeCell ref="E1153:E1154"/>
    <mergeCell ref="F1153:I1153"/>
    <mergeCell ref="L1153:O1153"/>
    <mergeCell ref="P1153:T1153"/>
    <mergeCell ref="D1153:D1154"/>
    <mergeCell ref="D1356:D1357"/>
    <mergeCell ref="C1257:C1258"/>
    <mergeCell ref="D1257:D1258"/>
    <mergeCell ref="U1153:V1153"/>
    <mergeCell ref="W1153:Y1153"/>
    <mergeCell ref="U1257:V1257"/>
    <mergeCell ref="W1257:Y1257"/>
    <mergeCell ref="E1257:E1258"/>
    <mergeCell ref="F1257:I1257"/>
    <mergeCell ref="L1257:O1257"/>
    <mergeCell ref="P1257:T1257"/>
    <mergeCell ref="C1092:C1093"/>
    <mergeCell ref="E1092:E1093"/>
    <mergeCell ref="F1092:I1092"/>
    <mergeCell ref="L1092:O1092"/>
    <mergeCell ref="P1092:T1092"/>
    <mergeCell ref="U1092:V1092"/>
    <mergeCell ref="W1092:Y1092"/>
    <mergeCell ref="C999:C1000"/>
    <mergeCell ref="E999:E1000"/>
    <mergeCell ref="F999:I999"/>
    <mergeCell ref="L999:O999"/>
    <mergeCell ref="P999:T999"/>
    <mergeCell ref="D999:D1000"/>
    <mergeCell ref="D1092:D1093"/>
    <mergeCell ref="U999:V999"/>
    <mergeCell ref="W999:Y999"/>
    <mergeCell ref="C1046:C1047"/>
    <mergeCell ref="D1046:D1047"/>
    <mergeCell ref="E1046:E1047"/>
    <mergeCell ref="F1046:I1046"/>
    <mergeCell ref="L1046:O1046"/>
    <mergeCell ref="P1046:T1046"/>
    <mergeCell ref="U1046:V1046"/>
    <mergeCell ref="W1046:Y1046"/>
    <mergeCell ref="C949:C950"/>
    <mergeCell ref="E949:E950"/>
    <mergeCell ref="F949:I949"/>
    <mergeCell ref="L949:O949"/>
    <mergeCell ref="P949:T949"/>
    <mergeCell ref="U949:V949"/>
    <mergeCell ref="W949:Y949"/>
    <mergeCell ref="C902:C903"/>
    <mergeCell ref="E902:E903"/>
    <mergeCell ref="F902:I902"/>
    <mergeCell ref="L902:O902"/>
    <mergeCell ref="P902:T902"/>
    <mergeCell ref="D902:D903"/>
    <mergeCell ref="D949:D950"/>
    <mergeCell ref="U902:V902"/>
    <mergeCell ref="W902:Y902"/>
    <mergeCell ref="C562:C563"/>
    <mergeCell ref="E562:E563"/>
    <mergeCell ref="F562:I562"/>
    <mergeCell ref="L562:O562"/>
    <mergeCell ref="P562:T562"/>
    <mergeCell ref="U562:V562"/>
    <mergeCell ref="W562:Y562"/>
    <mergeCell ref="D562:D563"/>
    <mergeCell ref="C865:C866"/>
    <mergeCell ref="D865:D866"/>
    <mergeCell ref="E865:E866"/>
    <mergeCell ref="F865:I865"/>
    <mergeCell ref="L865:O865"/>
    <mergeCell ref="P865:T865"/>
    <mergeCell ref="U865:V865"/>
    <mergeCell ref="W865:Y865"/>
    <mergeCell ref="C837:C838"/>
    <mergeCell ref="D837:D838"/>
    <mergeCell ref="E837:E838"/>
    <mergeCell ref="F837:I837"/>
    <mergeCell ref="L837:O837"/>
    <mergeCell ref="P837:T837"/>
    <mergeCell ref="U837:V837"/>
    <mergeCell ref="W837:Y837"/>
    <mergeCell ref="C466:C467"/>
    <mergeCell ref="E466:E467"/>
    <mergeCell ref="F466:I466"/>
    <mergeCell ref="L466:O466"/>
    <mergeCell ref="P466:T466"/>
    <mergeCell ref="U466:V466"/>
    <mergeCell ref="W466:Y466"/>
    <mergeCell ref="C6:C7"/>
    <mergeCell ref="E6:E7"/>
    <mergeCell ref="F6:I6"/>
    <mergeCell ref="L6:O6"/>
    <mergeCell ref="P6:T6"/>
    <mergeCell ref="D6:D7"/>
    <mergeCell ref="D466:D467"/>
    <mergeCell ref="U2228:V2228"/>
    <mergeCell ref="W2228:Y2228"/>
    <mergeCell ref="J6:K6"/>
    <mergeCell ref="J466:K466"/>
    <mergeCell ref="J562:K562"/>
    <mergeCell ref="J1092:K1092"/>
    <mergeCell ref="J1153:K1153"/>
    <mergeCell ref="J1356:K1356"/>
    <mergeCell ref="J1462:K1462"/>
    <mergeCell ref="J1536:K1536"/>
    <mergeCell ref="J1782:K1782"/>
    <mergeCell ref="J1257:K1257"/>
    <mergeCell ref="U6:V6"/>
    <mergeCell ref="W6:Y6"/>
    <mergeCell ref="U1918:V1918"/>
    <mergeCell ref="W1918:Y1918"/>
    <mergeCell ref="J837:K837"/>
    <mergeCell ref="C1394:C1395"/>
    <mergeCell ref="D1394:D1395"/>
    <mergeCell ref="E1394:E1395"/>
    <mergeCell ref="F1394:I1394"/>
    <mergeCell ref="J1394:K1394"/>
    <mergeCell ref="L1394:O1394"/>
    <mergeCell ref="P1394:T1394"/>
    <mergeCell ref="U1394:V1394"/>
    <mergeCell ref="W1394:Y139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Q84"/>
  <sheetViews>
    <sheetView zoomScale="80" zoomScaleNormal="80" workbookViewId="0">
      <pane ySplit="5" topLeftCell="A56" activePane="bottomLeft" state="frozen"/>
      <selection activeCell="E504" sqref="E504"/>
      <selection pane="bottomLeft" activeCell="F63" sqref="F63"/>
    </sheetView>
  </sheetViews>
  <sheetFormatPr baseColWidth="10" defaultRowHeight="15"/>
  <cols>
    <col min="1" max="1" width="12.7109375" style="216" customWidth="1"/>
    <col min="2" max="2" width="20.28515625" style="216" customWidth="1"/>
    <col min="3" max="3" width="19.5703125" style="1764" bestFit="1" customWidth="1"/>
    <col min="4" max="4" width="18.85546875" style="1764" bestFit="1" customWidth="1"/>
    <col min="5" max="5" width="18.85546875" style="216" bestFit="1" customWidth="1"/>
    <col min="6" max="6" width="23.5703125" style="216" bestFit="1" customWidth="1"/>
    <col min="7" max="7" width="13.140625" style="216" customWidth="1"/>
    <col min="8" max="8" width="27.140625" style="216" hidden="1" customWidth="1"/>
    <col min="9" max="9" width="19.5703125" style="216" customWidth="1"/>
    <col min="10" max="10" width="18.7109375" style="216" customWidth="1"/>
    <col min="11" max="11" width="16.7109375" style="216" bestFit="1" customWidth="1"/>
    <col min="12" max="12" width="18.28515625" style="216" customWidth="1"/>
    <col min="13" max="13" width="18" style="216" customWidth="1"/>
    <col min="14" max="14" width="20.7109375" style="216" customWidth="1"/>
    <col min="15" max="15" width="13" style="216" customWidth="1"/>
    <col min="16" max="16384" width="11.42578125" style="216"/>
  </cols>
  <sheetData>
    <row r="1" spans="1:10">
      <c r="A1" s="216" t="s">
        <v>46</v>
      </c>
      <c r="J1" s="2269"/>
    </row>
    <row r="2" spans="1:10">
      <c r="A2" s="216" t="s">
        <v>178</v>
      </c>
      <c r="J2" s="2269"/>
    </row>
    <row r="3" spans="1:10" ht="15.75" thickBot="1">
      <c r="J3" s="2269"/>
    </row>
    <row r="4" spans="1:10" ht="15.75">
      <c r="A4" s="2596" t="s">
        <v>174</v>
      </c>
      <c r="B4" s="2598" t="s">
        <v>179</v>
      </c>
      <c r="C4" s="2600" t="s">
        <v>223</v>
      </c>
      <c r="D4" s="2602" t="s">
        <v>224</v>
      </c>
      <c r="E4" s="2603"/>
      <c r="F4" s="2604" t="s">
        <v>178</v>
      </c>
      <c r="J4" s="2269"/>
    </row>
    <row r="5" spans="1:10" ht="15.75" thickBot="1">
      <c r="A5" s="2597"/>
      <c r="B5" s="2599"/>
      <c r="C5" s="2601"/>
      <c r="D5" s="2375" t="s">
        <v>53</v>
      </c>
      <c r="E5" s="2375" t="s">
        <v>54</v>
      </c>
      <c r="F5" s="2605"/>
      <c r="J5" s="2269"/>
    </row>
    <row r="6" spans="1:10">
      <c r="A6" s="1765">
        <v>1110052010</v>
      </c>
      <c r="B6" s="1766" t="s">
        <v>3</v>
      </c>
      <c r="C6" s="1767">
        <f>IF(ISERROR(VLOOKUP(A6,Balance!E:K,7,0)),0,VLOOKUP(A6,Balance!E:K,7,0))</f>
        <v>6420775743</v>
      </c>
      <c r="D6" s="1768">
        <f ca="1">+MonExtranjera!V463</f>
        <v>6330014207.539978</v>
      </c>
      <c r="E6" s="1769">
        <f>+C6</f>
        <v>6420775743</v>
      </c>
      <c r="F6" s="2374">
        <f t="shared" ref="F6:F29" ca="1" si="0">+C6+D6-E6</f>
        <v>6330014207.539978</v>
      </c>
      <c r="G6" s="2590" t="s">
        <v>1174</v>
      </c>
      <c r="J6" s="2270">
        <f ca="1">SUM(F6:F9)-SUM(C6:C9)</f>
        <v>-90761535.460021973</v>
      </c>
    </row>
    <row r="7" spans="1:10">
      <c r="A7" s="1771">
        <v>1110052011</v>
      </c>
      <c r="B7" s="1772" t="s">
        <v>1170</v>
      </c>
      <c r="C7" s="1773">
        <f>IF(ISERROR(VLOOKUP(A7,Balance!E:K,7,0)),0,VLOOKUP(A7,Balance!E:K,7,0))</f>
        <v>0</v>
      </c>
      <c r="D7" s="1774"/>
      <c r="E7" s="1775">
        <f t="shared" ref="E7:E23" si="1">+C7</f>
        <v>0</v>
      </c>
      <c r="F7" s="1776">
        <f t="shared" si="0"/>
        <v>0</v>
      </c>
      <c r="G7" s="2591"/>
      <c r="J7" s="2269"/>
    </row>
    <row r="8" spans="1:10">
      <c r="A8" s="1771">
        <v>1110052015</v>
      </c>
      <c r="B8" s="1772" t="s">
        <v>4</v>
      </c>
      <c r="C8" s="1773">
        <f>IF(ISERROR(VLOOKUP(A8,Balance!E:K,7,0)),0,VLOOKUP(A8,Balance!E:K,7,0))</f>
        <v>0</v>
      </c>
      <c r="D8" s="1774"/>
      <c r="E8" s="1775">
        <f t="shared" si="1"/>
        <v>0</v>
      </c>
      <c r="F8" s="1776">
        <f t="shared" si="0"/>
        <v>0</v>
      </c>
      <c r="G8" s="2591"/>
      <c r="J8" s="2269"/>
    </row>
    <row r="9" spans="1:10">
      <c r="A9" s="1771">
        <v>1110052016</v>
      </c>
      <c r="B9" s="1772" t="s">
        <v>1171</v>
      </c>
      <c r="C9" s="1773">
        <f>IF(ISERROR(VLOOKUP(A9,Balance!E:K,7,0)),0,VLOOKUP(A9,Balance!E:K,7,0))</f>
        <v>0</v>
      </c>
      <c r="D9" s="1774"/>
      <c r="E9" s="1775">
        <f t="shared" si="1"/>
        <v>0</v>
      </c>
      <c r="F9" s="1776">
        <f t="shared" si="0"/>
        <v>0</v>
      </c>
      <c r="G9" s="2591"/>
      <c r="J9" s="2269"/>
    </row>
    <row r="10" spans="1:10">
      <c r="A10" s="1777">
        <v>1110052040</v>
      </c>
      <c r="B10" s="1778" t="s">
        <v>1169</v>
      </c>
      <c r="C10" s="1774">
        <f>IF(ISERROR(VLOOKUP(A10,Balance!E:K,7,0)),0,VLOOKUP(A10,Balance!E:K,7,0))</f>
        <v>0</v>
      </c>
      <c r="D10" s="1774"/>
      <c r="E10" s="1779">
        <f t="shared" si="1"/>
        <v>0</v>
      </c>
      <c r="F10" s="1776">
        <f t="shared" si="0"/>
        <v>0</v>
      </c>
      <c r="G10" s="2591"/>
      <c r="J10" s="2270">
        <f>SUM(F10:F19)-SUM(C10:C19)</f>
        <v>0</v>
      </c>
    </row>
    <row r="11" spans="1:10">
      <c r="A11" s="1777">
        <v>1110052050</v>
      </c>
      <c r="B11" s="1778" t="s">
        <v>1172</v>
      </c>
      <c r="C11" s="1774">
        <f>IF(ISERROR(VLOOKUP(A11,Balance!E:K,7,0)),0,VLOOKUP(A11,Balance!E:K,7,0))</f>
        <v>0</v>
      </c>
      <c r="D11" s="1774"/>
      <c r="E11" s="1779">
        <f t="shared" si="1"/>
        <v>0</v>
      </c>
      <c r="F11" s="1776">
        <f t="shared" si="0"/>
        <v>0</v>
      </c>
      <c r="G11" s="2591"/>
      <c r="J11" s="2269"/>
    </row>
    <row r="12" spans="1:10">
      <c r="A12" s="1777">
        <v>1110052051</v>
      </c>
      <c r="B12" s="1778" t="s">
        <v>180</v>
      </c>
      <c r="C12" s="1774">
        <f>IF(ISERROR(VLOOKUP(A12,Balance!E:K,7,0)),0,VLOOKUP(A12,Balance!E:K,7,0))</f>
        <v>0</v>
      </c>
      <c r="D12" s="1774"/>
      <c r="E12" s="1779">
        <f t="shared" si="1"/>
        <v>0</v>
      </c>
      <c r="F12" s="1776">
        <f t="shared" si="0"/>
        <v>0</v>
      </c>
      <c r="G12" s="2591"/>
      <c r="J12" s="2269"/>
    </row>
    <row r="13" spans="1:10">
      <c r="A13" s="1777">
        <v>1110052055</v>
      </c>
      <c r="B13" s="1778" t="s">
        <v>181</v>
      </c>
      <c r="C13" s="1774">
        <f>IF(ISERROR(VLOOKUP(A13,Balance!E:K,7,0)),0,VLOOKUP(A13,Balance!E:K,7,0))</f>
        <v>0</v>
      </c>
      <c r="D13" s="1774"/>
      <c r="E13" s="1779">
        <f t="shared" si="1"/>
        <v>0</v>
      </c>
      <c r="F13" s="1776">
        <f t="shared" si="0"/>
        <v>0</v>
      </c>
      <c r="G13" s="2591"/>
      <c r="J13" s="2269"/>
    </row>
    <row r="14" spans="1:10">
      <c r="A14" s="1777">
        <v>1110052060</v>
      </c>
      <c r="B14" s="1778" t="s">
        <v>182</v>
      </c>
      <c r="C14" s="1774">
        <f>IF(ISERROR(VLOOKUP(A14,Balance!E:K,7,0)),0,VLOOKUP(A14,Balance!E:K,7,0))</f>
        <v>0</v>
      </c>
      <c r="D14" s="1780">
        <v>0</v>
      </c>
      <c r="E14" s="1779">
        <f t="shared" si="1"/>
        <v>0</v>
      </c>
      <c r="F14" s="1776">
        <f t="shared" si="0"/>
        <v>0</v>
      </c>
      <c r="G14" s="2591"/>
      <c r="J14" s="2269"/>
    </row>
    <row r="15" spans="1:10">
      <c r="A15" s="1777">
        <v>1110052065</v>
      </c>
      <c r="B15" s="1778" t="s">
        <v>183</v>
      </c>
      <c r="C15" s="1774">
        <f>IF(ISERROR(VLOOKUP(A15,Balance!E:K,7,0)),0,VLOOKUP(A15,Balance!E:K,7,0))</f>
        <v>0</v>
      </c>
      <c r="D15" s="1774"/>
      <c r="E15" s="1779">
        <f t="shared" si="1"/>
        <v>0</v>
      </c>
      <c r="F15" s="1776">
        <f t="shared" si="0"/>
        <v>0</v>
      </c>
      <c r="G15" s="2591"/>
      <c r="J15" s="2269"/>
    </row>
    <row r="16" spans="1:10">
      <c r="A16" s="1777">
        <v>1110052070</v>
      </c>
      <c r="B16" s="1778" t="s">
        <v>5</v>
      </c>
      <c r="C16" s="1774">
        <f>IF(ISERROR(VLOOKUP(A16,Balance!E:K,7,0)),0,VLOOKUP(A16,Balance!E:K,7,0))</f>
        <v>0</v>
      </c>
      <c r="D16" s="1780">
        <v>0</v>
      </c>
      <c r="E16" s="1779">
        <f t="shared" si="1"/>
        <v>0</v>
      </c>
      <c r="F16" s="1776">
        <f t="shared" si="0"/>
        <v>0</v>
      </c>
      <c r="G16" s="2591"/>
      <c r="J16" s="2269"/>
    </row>
    <row r="17" spans="1:10">
      <c r="A17" s="1777">
        <v>1110052071</v>
      </c>
      <c r="B17" s="1778" t="s">
        <v>1173</v>
      </c>
      <c r="C17" s="1774">
        <f>IF(ISERROR(VLOOKUP(A17,Balance!E:K,7,0)),0,VLOOKUP(A17,Balance!E:K,7,0))</f>
        <v>0</v>
      </c>
      <c r="D17" s="1774"/>
      <c r="E17" s="1779">
        <f t="shared" si="1"/>
        <v>0</v>
      </c>
      <c r="F17" s="1776">
        <f t="shared" si="0"/>
        <v>0</v>
      </c>
      <c r="G17" s="2591"/>
      <c r="J17" s="2269"/>
    </row>
    <row r="18" spans="1:10">
      <c r="A18" s="1777">
        <v>1110052075</v>
      </c>
      <c r="B18" s="1778" t="s">
        <v>6</v>
      </c>
      <c r="C18" s="1774">
        <f>IF(ISERROR(VLOOKUP(A18,Balance!E:K,7,0)),0,VLOOKUP(A18,Balance!E:K,7,0))</f>
        <v>0</v>
      </c>
      <c r="D18" s="1774"/>
      <c r="E18" s="1779">
        <f t="shared" si="1"/>
        <v>0</v>
      </c>
      <c r="F18" s="1776">
        <f t="shared" si="0"/>
        <v>0</v>
      </c>
      <c r="G18" s="2591"/>
      <c r="J18" s="2269"/>
    </row>
    <row r="19" spans="1:10">
      <c r="A19" s="1777">
        <v>1110052076</v>
      </c>
      <c r="B19" s="1778"/>
      <c r="C19" s="1774">
        <f>IF(ISERROR(VLOOKUP(A19,Balance!E:K,7,0)),0,VLOOKUP(A19,Balance!E:K,7,0))</f>
        <v>0</v>
      </c>
      <c r="D19" s="1774"/>
      <c r="E19" s="1779">
        <f t="shared" si="1"/>
        <v>0</v>
      </c>
      <c r="F19" s="1776">
        <f t="shared" si="0"/>
        <v>0</v>
      </c>
      <c r="G19" s="2591"/>
      <c r="J19" s="2269"/>
    </row>
    <row r="20" spans="1:10">
      <c r="A20" s="1781">
        <v>1110052090</v>
      </c>
      <c r="B20" s="1782" t="s">
        <v>7</v>
      </c>
      <c r="C20" s="1783">
        <f>IF(ISERROR(VLOOKUP(A20,Balance!E:K,7,0)),0,VLOOKUP(A20,Balance!E:K,7,0))</f>
        <v>137344893654</v>
      </c>
      <c r="D20" s="1780">
        <f ca="1">+MonExtranjera!V758</f>
        <v>172418485075.79431</v>
      </c>
      <c r="E20" s="1784">
        <f t="shared" si="1"/>
        <v>137344893654</v>
      </c>
      <c r="F20" s="2373">
        <f t="shared" ca="1" si="0"/>
        <v>172418485075.79431</v>
      </c>
      <c r="G20" s="2591"/>
      <c r="J20" s="2270">
        <f ca="1">SUM(F20:F23)-SUM(C20:C23)</f>
        <v>35073591421.794312</v>
      </c>
    </row>
    <row r="21" spans="1:10">
      <c r="A21" s="1781">
        <v>1110052091</v>
      </c>
      <c r="B21" s="1782" t="s">
        <v>184</v>
      </c>
      <c r="C21" s="1783">
        <f>IF(ISERROR(VLOOKUP(A21,Balance!E:K,7,0)),0,VLOOKUP(A21,Balance!E:K,7,0))</f>
        <v>0</v>
      </c>
      <c r="D21" s="1774"/>
      <c r="E21" s="1784">
        <f t="shared" si="1"/>
        <v>0</v>
      </c>
      <c r="F21" s="1776">
        <f t="shared" si="0"/>
        <v>0</v>
      </c>
      <c r="G21" s="2591"/>
      <c r="J21" s="2269"/>
    </row>
    <row r="22" spans="1:10">
      <c r="A22" s="1781">
        <v>1110052095</v>
      </c>
      <c r="B22" s="1782" t="s">
        <v>8</v>
      </c>
      <c r="C22" s="1783">
        <f>IF(ISERROR(VLOOKUP(A22,Balance!E:K,7,0)),0,VLOOKUP(A22,Balance!E:K,7,0))</f>
        <v>0</v>
      </c>
      <c r="D22" s="1774"/>
      <c r="E22" s="1784">
        <f t="shared" si="1"/>
        <v>0</v>
      </c>
      <c r="F22" s="1776">
        <f t="shared" si="0"/>
        <v>0</v>
      </c>
      <c r="G22" s="2591"/>
      <c r="J22" s="2269"/>
    </row>
    <row r="23" spans="1:10">
      <c r="A23" s="1781">
        <v>1110052096</v>
      </c>
      <c r="B23" s="1782" t="s">
        <v>185</v>
      </c>
      <c r="C23" s="1783">
        <f>IF(ISERROR(VLOOKUP(A23,Balance!E:K,7,0)),0,VLOOKUP(A23,Balance!E:K,7,0))</f>
        <v>0</v>
      </c>
      <c r="D23" s="1774"/>
      <c r="E23" s="1784">
        <f t="shared" si="1"/>
        <v>0</v>
      </c>
      <c r="F23" s="1776">
        <f t="shared" si="0"/>
        <v>0</v>
      </c>
      <c r="G23" s="2591"/>
      <c r="H23" s="1785"/>
      <c r="J23" s="2269"/>
    </row>
    <row r="24" spans="1:10">
      <c r="A24" s="1786">
        <v>1110053030</v>
      </c>
      <c r="B24" s="1787" t="s">
        <v>264</v>
      </c>
      <c r="C24" s="1788">
        <f>IF(ISERROR(VLOOKUP(A24,Balance!E:K,7,0)),0,VLOOKUP(A24,Balance!E:K,7,0))</f>
        <v>0</v>
      </c>
      <c r="D24" s="1780">
        <f>MonExtranjera!V558</f>
        <v>0</v>
      </c>
      <c r="E24" s="1789">
        <f t="shared" ref="E24" si="2">+C24</f>
        <v>0</v>
      </c>
      <c r="F24" s="1776">
        <f t="shared" ref="F24" si="3">+C24+D24-E24</f>
        <v>0</v>
      </c>
      <c r="G24" s="2591"/>
      <c r="H24" s="1790"/>
      <c r="J24" s="2269"/>
    </row>
    <row r="25" spans="1:10">
      <c r="A25" s="1786">
        <v>1110053035</v>
      </c>
      <c r="B25" s="1787" t="s">
        <v>276</v>
      </c>
      <c r="C25" s="1788">
        <f>IF(ISERROR(VLOOKUP(A25,Balance!E:K,7,0)),0,VLOOKUP(A25,Balance!E:K,7,0))</f>
        <v>0</v>
      </c>
      <c r="D25" s="1774"/>
      <c r="E25" s="1789">
        <f t="shared" ref="E25" si="4">+C25</f>
        <v>0</v>
      </c>
      <c r="F25" s="1776">
        <f t="shared" ref="F25" si="5">+C25+D25-E25</f>
        <v>0</v>
      </c>
      <c r="G25" s="2591"/>
      <c r="H25" s="1790"/>
      <c r="J25" s="2269"/>
    </row>
    <row r="26" spans="1:10">
      <c r="A26" s="1771">
        <v>1110053038</v>
      </c>
      <c r="B26" s="1772" t="s">
        <v>555</v>
      </c>
      <c r="C26" s="1773">
        <f>IF(ISERROR(VLOOKUP(A26,Balance!E:K,7,0)),0,VLOOKUP(A26,Balance!E:K,7,0))</f>
        <v>40153899583</v>
      </c>
      <c r="D26" s="1774"/>
      <c r="E26" s="1775">
        <f t="shared" ref="E26:E27" si="6">+C26</f>
        <v>40153899583</v>
      </c>
      <c r="F26" s="1776">
        <f t="shared" ref="F26:F28" si="7">+C26+D26-E26</f>
        <v>0</v>
      </c>
      <c r="G26" s="2591"/>
      <c r="H26" s="1790"/>
      <c r="J26" s="2270">
        <f>SUM(F26:F27)-SUM(C26:C27)</f>
        <v>-40153899583</v>
      </c>
    </row>
    <row r="27" spans="1:10">
      <c r="A27" s="1781">
        <v>1110059600</v>
      </c>
      <c r="B27" s="1782" t="s">
        <v>9</v>
      </c>
      <c r="C27" s="1783">
        <f>IF(ISERROR(VLOOKUP(A27,Balance!E:K,7,0)),0,VLOOKUP(A27,Balance!E:K,7,0))</f>
        <v>0</v>
      </c>
      <c r="D27" s="1774"/>
      <c r="E27" s="1784">
        <f t="shared" si="6"/>
        <v>0</v>
      </c>
      <c r="F27" s="1776">
        <f t="shared" si="7"/>
        <v>0</v>
      </c>
      <c r="G27" s="2591"/>
      <c r="H27" s="1790"/>
      <c r="J27" s="2270"/>
    </row>
    <row r="28" spans="1:10">
      <c r="A28" s="2365">
        <v>1110061050</v>
      </c>
      <c r="B28" s="2366" t="s">
        <v>1409</v>
      </c>
      <c r="C28" s="2369">
        <f>IF(ISERROR(VLOOKUP(A28,Balance!E:K,7,0)),0,VLOOKUP(A28,Balance!E:K,7,0))</f>
        <v>0</v>
      </c>
      <c r="D28" s="1780">
        <f ca="1">MonExtranjera!V827</f>
        <v>5445094.0180000002</v>
      </c>
      <c r="E28" s="2371">
        <f t="shared" ref="E28:E29" si="8">+C28</f>
        <v>0</v>
      </c>
      <c r="F28" s="2372">
        <f t="shared" ca="1" si="7"/>
        <v>5445094.0180000002</v>
      </c>
      <c r="G28" s="2591"/>
      <c r="H28" s="1790"/>
      <c r="J28" s="2270">
        <f ca="1">SUM(F28:F29)-SUM(C28:C29)</f>
        <v>5445094.0180000002</v>
      </c>
    </row>
    <row r="29" spans="1:10" ht="15.75" thickBot="1">
      <c r="A29" s="2367">
        <v>1110061055</v>
      </c>
      <c r="B29" s="2368" t="s">
        <v>1475</v>
      </c>
      <c r="C29" s="2370">
        <f>IF(ISERROR(VLOOKUP(A29,Balance!E:K,7,0)),0,VLOOKUP(A29,Balance!E:K,7,0))</f>
        <v>0</v>
      </c>
      <c r="D29" s="1791"/>
      <c r="E29" s="2370">
        <f t="shared" si="8"/>
        <v>0</v>
      </c>
      <c r="F29" s="1792">
        <f t="shared" si="0"/>
        <v>0</v>
      </c>
      <c r="G29" s="2592"/>
      <c r="H29" s="1785">
        <f ca="1">SUM(C6:C29)-SUM(F6:F29)</f>
        <v>5165624602.6477051</v>
      </c>
      <c r="J29" s="2270"/>
    </row>
    <row r="30" spans="1:10">
      <c r="A30" s="2028">
        <v>1201060100</v>
      </c>
      <c r="B30" s="2029" t="s">
        <v>1265</v>
      </c>
      <c r="C30" s="2030">
        <f>IF(ISERROR(VLOOKUP(A30,Balance!E:K,7,0)),0,VLOOKUP(A30,Balance!E:K,7,0))</f>
        <v>0</v>
      </c>
      <c r="D30" s="2031">
        <f ca="1">MonExtranjera!V854</f>
        <v>0</v>
      </c>
      <c r="E30" s="2032">
        <f t="shared" ref="E30" si="9">+C30</f>
        <v>0</v>
      </c>
      <c r="F30" s="2033">
        <f t="shared" ref="F30" ca="1" si="10">+C30+D30-E30</f>
        <v>0</v>
      </c>
      <c r="G30" s="2606" t="s">
        <v>1275</v>
      </c>
      <c r="H30" s="1785"/>
      <c r="J30" s="2270">
        <f ca="1">SUM(F30:F31)-SUM(C30:C31)</f>
        <v>0</v>
      </c>
    </row>
    <row r="31" spans="1:10" ht="15.75" thickBot="1">
      <c r="A31" s="2028">
        <v>1201069600</v>
      </c>
      <c r="B31" s="2029" t="s">
        <v>1266</v>
      </c>
      <c r="C31" s="2030">
        <f>IF(ISERROR(VLOOKUP(A31,Balance!E:K,7,0)),0,VLOOKUP(A31,Balance!E:K,7,0))</f>
        <v>0</v>
      </c>
      <c r="D31" s="2031">
        <v>0</v>
      </c>
      <c r="E31" s="2032">
        <f t="shared" ref="E31" si="11">+C31</f>
        <v>0</v>
      </c>
      <c r="F31" s="2033">
        <f t="shared" ref="F31" si="12">+C31+D31-E31</f>
        <v>0</v>
      </c>
      <c r="G31" s="2607"/>
      <c r="H31" s="1785"/>
      <c r="J31" s="2269"/>
    </row>
    <row r="32" spans="1:10">
      <c r="A32" s="1793">
        <v>1420110000</v>
      </c>
      <c r="B32" s="1794" t="s">
        <v>491</v>
      </c>
      <c r="C32" s="1795">
        <f>IF(ISERROR(VLOOKUP(A32,Balance!E:K,7,0)),0,VLOOKUP(A32,Balance!E:K,7,0))</f>
        <v>15301330</v>
      </c>
      <c r="D32" s="1768">
        <f ca="1">MonExtranjera!V1459</f>
        <v>15301330.049999997</v>
      </c>
      <c r="E32" s="1796">
        <f>+C32</f>
        <v>15301330</v>
      </c>
      <c r="F32" s="1770">
        <f ca="1">+C32+D32-E32</f>
        <v>15301330.049999997</v>
      </c>
      <c r="G32" s="2608" t="s">
        <v>1177</v>
      </c>
      <c r="H32" s="1790"/>
      <c r="J32" s="2270">
        <f ca="1">SUM(F32:F34)-SUM(C32:C34)</f>
        <v>-3637255.7387542725</v>
      </c>
    </row>
    <row r="33" spans="1:10">
      <c r="A33" s="1797">
        <v>1420120200</v>
      </c>
      <c r="B33" s="1778" t="s">
        <v>0</v>
      </c>
      <c r="C33" s="1774">
        <f>IF(ISERROR(VLOOKUP(A33,Balance!E:K,7,0)),0,VLOOKUP(A33,Balance!E:K,7,0))</f>
        <v>57805782456</v>
      </c>
      <c r="D33" s="1774">
        <f ca="1">+MonExtranjera!V1534</f>
        <v>57802125691.21125</v>
      </c>
      <c r="E33" s="1779">
        <f>+C33</f>
        <v>57805782456</v>
      </c>
      <c r="F33" s="1776">
        <f t="shared" ref="F33:F34" ca="1" si="13">+C33+D33-E33</f>
        <v>57802125691.211243</v>
      </c>
      <c r="G33" s="2609"/>
      <c r="H33" s="1790"/>
      <c r="J33" s="2269"/>
    </row>
    <row r="34" spans="1:10">
      <c r="A34" s="1797">
        <v>1420909500</v>
      </c>
      <c r="B34" s="1778" t="s">
        <v>2</v>
      </c>
      <c r="C34" s="1774">
        <f>IF(ISERROR(VLOOKUP(A34,Balance!E:K,7,0)),0,VLOOKUP(A34,Balance!E:K,7,0))</f>
        <v>-19509</v>
      </c>
      <c r="D34" s="1774"/>
      <c r="E34" s="1779">
        <f>+C34</f>
        <v>-19509</v>
      </c>
      <c r="F34" s="1776">
        <f t="shared" si="13"/>
        <v>0</v>
      </c>
      <c r="G34" s="2609"/>
      <c r="H34" s="1790"/>
      <c r="J34" s="2269"/>
    </row>
    <row r="35" spans="1:10">
      <c r="A35" s="1798">
        <v>1470753000</v>
      </c>
      <c r="B35" s="1799" t="s">
        <v>1</v>
      </c>
      <c r="C35" s="1800">
        <f>IF(ISERROR(VLOOKUP(A35,Balance!E:K,7,0)),0,VLOOKUP(A35,Balance!E:K,7,0))</f>
        <v>2005562658665</v>
      </c>
      <c r="D35" s="1801">
        <f>+MonExtranjera!V945</f>
        <v>2161113158665</v>
      </c>
      <c r="E35" s="1802">
        <f t="shared" ref="E35:E37" si="14">+C35</f>
        <v>2005562658665</v>
      </c>
      <c r="F35" s="1803">
        <f t="shared" ref="F35:F37" si="15">+C35+D35-E35</f>
        <v>2161113158665</v>
      </c>
      <c r="G35" s="2609"/>
      <c r="J35" s="2270">
        <f>SUM(F35:F37)-SUM(C35:C37)</f>
        <v>0</v>
      </c>
    </row>
    <row r="36" spans="1:10">
      <c r="A36" s="1797">
        <v>1470753099</v>
      </c>
      <c r="B36" s="1778" t="s">
        <v>1363</v>
      </c>
      <c r="C36" s="1774">
        <f>IF(ISERROR(VLOOKUP(A36,Balance!E:K,7,0)),0,VLOOKUP(A36,Balance!E:K,7,0))</f>
        <v>155550500000</v>
      </c>
      <c r="D36" s="1774"/>
      <c r="E36" s="1779">
        <f t="shared" si="14"/>
        <v>155550500000</v>
      </c>
      <c r="F36" s="1776">
        <f t="shared" si="15"/>
        <v>0</v>
      </c>
      <c r="G36" s="2609"/>
      <c r="J36" s="2269"/>
    </row>
    <row r="37" spans="1:10" ht="15.75" thickBot="1">
      <c r="A37" s="1804">
        <v>1470754000</v>
      </c>
      <c r="B37" s="1805" t="s">
        <v>1</v>
      </c>
      <c r="C37" s="1791">
        <f>IF(ISERROR(VLOOKUP(A37,Balance!E:K,7,0)),0,VLOOKUP(A37,Balance!E:K,7,0))</f>
        <v>0</v>
      </c>
      <c r="D37" s="1791"/>
      <c r="E37" s="1805">
        <f t="shared" si="14"/>
        <v>0</v>
      </c>
      <c r="F37" s="1792">
        <f t="shared" si="15"/>
        <v>0</v>
      </c>
      <c r="G37" s="2610"/>
      <c r="H37" s="1785">
        <f ca="1">SUM(C33:C37)-SUM(F33:F37)</f>
        <v>3637255.7885742188</v>
      </c>
      <c r="J37" s="2269"/>
    </row>
    <row r="38" spans="1:10">
      <c r="A38" s="1793">
        <v>2309011000</v>
      </c>
      <c r="B38" s="1794" t="s">
        <v>10</v>
      </c>
      <c r="C38" s="1795">
        <f>IF(ISERROR(VLOOKUP(A38,Balance!E:K,7,0)),0,VLOOKUP(A38,Balance!E:K,7,0))</f>
        <v>-2685817606229</v>
      </c>
      <c r="D38" s="1795">
        <f>-C38</f>
        <v>2685817606229</v>
      </c>
      <c r="E38" s="1768">
        <f ca="1">+MonExtranjera!V1387</f>
        <v>2620446191508.8999</v>
      </c>
      <c r="F38" s="1806">
        <f t="shared" ref="F38:F39" ca="1" si="16">+C38+D38-E38</f>
        <v>-2620446191508.8999</v>
      </c>
      <c r="G38" s="2593" t="s">
        <v>1175</v>
      </c>
      <c r="J38" s="2270">
        <f ca="1">SUM(F38:F39)-SUM(C38:C39)</f>
        <v>155222168678.1001</v>
      </c>
    </row>
    <row r="39" spans="1:10" ht="15.75" thickBot="1">
      <c r="A39" s="1804">
        <v>2309011099</v>
      </c>
      <c r="B39" s="1805" t="s">
        <v>22</v>
      </c>
      <c r="C39" s="1791">
        <f>IF(ISERROR(VLOOKUP(A39,Balance!E:K,7,0)),0,VLOOKUP(A39,Balance!E:K,7,0))</f>
        <v>-89850753958</v>
      </c>
      <c r="D39" s="1791">
        <f>-C39</f>
        <v>89850753958</v>
      </c>
      <c r="E39" s="1791"/>
      <c r="F39" s="1807">
        <f t="shared" si="16"/>
        <v>0</v>
      </c>
      <c r="G39" s="2594"/>
      <c r="H39" s="1785">
        <f ca="1">SUM(C38:C39)-SUM(F38:F39)</f>
        <v>-155222168678.1001</v>
      </c>
      <c r="J39" s="2269"/>
    </row>
    <row r="40" spans="1:10">
      <c r="A40" s="1808">
        <v>2401011000</v>
      </c>
      <c r="B40" s="1794" t="s">
        <v>12</v>
      </c>
      <c r="C40" s="1795">
        <f>IF(ISERROR(VLOOKUP(A40,Balance!E:K,7,0)),0,VLOOKUP(A40,Balance!E:K,7,0))</f>
        <v>-870583519</v>
      </c>
      <c r="D40" s="1795">
        <f>-C40</f>
        <v>870583519</v>
      </c>
      <c r="E40" s="1768">
        <f ca="1">+MonExtranjera!V1779</f>
        <v>869614402.83067608</v>
      </c>
      <c r="F40" s="1806">
        <f t="shared" ref="F40:F59" ca="1" si="17">+C40+D40-E40</f>
        <v>-869614402.83067608</v>
      </c>
      <c r="G40" s="2593" t="s">
        <v>1176</v>
      </c>
      <c r="J40" s="2270">
        <f ca="1">SUM(F40:F42)-SUM(C40:C42)</f>
        <v>48985412.56452179</v>
      </c>
    </row>
    <row r="41" spans="1:10">
      <c r="A41" s="1809">
        <v>2401012000</v>
      </c>
      <c r="B41" s="1778" t="s">
        <v>13</v>
      </c>
      <c r="C41" s="1774">
        <f>IF(ISERROR(VLOOKUP(A41,Balance!E:K,7,0)),0,VLOOKUP(A41,Balance!E:K,7,0))</f>
        <v>-30951543804</v>
      </c>
      <c r="D41" s="1774">
        <f t="shared" ref="D41:D59" si="18">-C41</f>
        <v>30951543804</v>
      </c>
      <c r="E41" s="1780">
        <f ca="1">+MonExtranjera!V1915</f>
        <v>30944680656.604801</v>
      </c>
      <c r="F41" s="1810">
        <f t="shared" ca="1" si="17"/>
        <v>-30944680656.604801</v>
      </c>
      <c r="G41" s="2595"/>
      <c r="J41" s="2269"/>
    </row>
    <row r="42" spans="1:10">
      <c r="A42" s="1797">
        <v>2401019500</v>
      </c>
      <c r="B42" s="1778" t="s">
        <v>14</v>
      </c>
      <c r="C42" s="1774">
        <f>IF(ISERROR(VLOOKUP(A42,Balance!E:K,7,0)),0,VLOOKUP(A42,Balance!E:K,7,0))</f>
        <v>-41153149</v>
      </c>
      <c r="D42" s="1774">
        <f t="shared" si="18"/>
        <v>41153149</v>
      </c>
      <c r="E42" s="1774"/>
      <c r="F42" s="1810">
        <f t="shared" si="17"/>
        <v>0</v>
      </c>
      <c r="G42" s="2595"/>
      <c r="J42" s="2269"/>
    </row>
    <row r="43" spans="1:10">
      <c r="A43" s="1777"/>
      <c r="B43" s="1778"/>
      <c r="C43" s="1774">
        <f>IF(ISERROR(VLOOKUP(A43,Balance!E:K,7,0)),0,VLOOKUP(A43,Balance!E:K,7,0))</f>
        <v>0</v>
      </c>
      <c r="D43" s="1774">
        <f t="shared" ref="D43" si="19">-C43</f>
        <v>0</v>
      </c>
      <c r="E43" s="1780"/>
      <c r="F43" s="1810">
        <f t="shared" ref="F43" si="20">+C43+D43-E43</f>
        <v>0</v>
      </c>
      <c r="G43" s="2595"/>
      <c r="J43" s="2269"/>
    </row>
    <row r="44" spans="1:10">
      <c r="A44" s="1797">
        <v>2406010100</v>
      </c>
      <c r="B44" s="1778" t="s">
        <v>13</v>
      </c>
      <c r="C44" s="1774">
        <f>IF(ISERROR(VLOOKUP(A44,Balance!E:K,7,0)),0,VLOOKUP(A44,Balance!E:K,7,0))</f>
        <v>0</v>
      </c>
      <c r="D44" s="1774">
        <f t="shared" si="18"/>
        <v>0</v>
      </c>
      <c r="E44" s="1774"/>
      <c r="F44" s="1810">
        <f t="shared" si="17"/>
        <v>0</v>
      </c>
      <c r="G44" s="2595"/>
      <c r="J44" s="2269"/>
    </row>
    <row r="45" spans="1:10">
      <c r="A45" s="1809">
        <v>2406010200</v>
      </c>
      <c r="B45" s="1778" t="s">
        <v>15</v>
      </c>
      <c r="C45" s="1774">
        <f>IF(ISERROR(VLOOKUP(A45,Balance!E:K,7,0)),0,VLOOKUP(A45,Balance!E:K,7,0))</f>
        <v>-16677570106</v>
      </c>
      <c r="D45" s="1774">
        <f t="shared" si="18"/>
        <v>16677570106</v>
      </c>
      <c r="E45" s="1780">
        <f ca="1">+MonExtranjera!V2065</f>
        <v>16294202150.177999</v>
      </c>
      <c r="F45" s="1810">
        <f t="shared" ca="1" si="17"/>
        <v>-16294202150.177999</v>
      </c>
      <c r="G45" s="2595"/>
      <c r="J45" s="2270">
        <f ca="1">SUM(F45:F46)-SUM(C45:C46)</f>
        <v>2121078608.5812836</v>
      </c>
    </row>
    <row r="46" spans="1:10">
      <c r="A46" s="1809">
        <v>2406010300</v>
      </c>
      <c r="B46" s="1778" t="s">
        <v>15</v>
      </c>
      <c r="C46" s="1774">
        <f>IF(ISERROR(VLOOKUP(A46,Balance!E:K,7,0)),0,VLOOKUP(A46,Balance!E:K,7,0))</f>
        <v>-363006429</v>
      </c>
      <c r="D46" s="1774">
        <f t="shared" si="18"/>
        <v>363006429</v>
      </c>
      <c r="E46" s="1780">
        <f ca="1">+MonExtranjera!V2193</f>
        <v>-1374704223.7592835</v>
      </c>
      <c r="F46" s="1810">
        <f t="shared" ca="1" si="17"/>
        <v>1374704223.7592835</v>
      </c>
      <c r="G46" s="2595"/>
      <c r="J46" s="2269"/>
    </row>
    <row r="47" spans="1:10">
      <c r="A47" s="1797">
        <v>2406019501</v>
      </c>
      <c r="B47" s="1778" t="s">
        <v>15</v>
      </c>
      <c r="C47" s="1774">
        <f>IF(ISERROR(VLOOKUP(A47,Balance!E:K,7,0)),0,VLOOKUP(A47,Balance!E:K,7,0))</f>
        <v>0</v>
      </c>
      <c r="D47" s="1774">
        <f t="shared" si="18"/>
        <v>0</v>
      </c>
      <c r="E47" s="1774"/>
      <c r="F47" s="1810">
        <f t="shared" si="17"/>
        <v>0</v>
      </c>
      <c r="G47" s="2595"/>
      <c r="J47" s="2270">
        <f>SUM(F47:F48)-SUM(C47:C48)</f>
        <v>-539271620</v>
      </c>
    </row>
    <row r="48" spans="1:10">
      <c r="A48" s="1797">
        <v>2406019502</v>
      </c>
      <c r="B48" s="1778" t="s">
        <v>16</v>
      </c>
      <c r="C48" s="1774">
        <f>IF(ISERROR(VLOOKUP(A48,Balance!E:K,7,0)),0,VLOOKUP(A48,Balance!E:K,7,0))</f>
        <v>539271620</v>
      </c>
      <c r="D48" s="1774">
        <f t="shared" si="18"/>
        <v>-539271620</v>
      </c>
      <c r="E48" s="1774"/>
      <c r="F48" s="1810">
        <f t="shared" si="17"/>
        <v>0</v>
      </c>
      <c r="G48" s="2595"/>
      <c r="J48" s="2269"/>
    </row>
    <row r="49" spans="1:10">
      <c r="A49" s="1809">
        <v>2425080000</v>
      </c>
      <c r="B49" s="1778" t="s">
        <v>19</v>
      </c>
      <c r="C49" s="1774">
        <f>IF(ISERROR(VLOOKUP(A49,Balance!E:K,7,0)),0,VLOOKUP(A49,Balance!E:K,7,0))</f>
        <v>-11278466</v>
      </c>
      <c r="D49" s="1774">
        <f t="shared" si="18"/>
        <v>11278466</v>
      </c>
      <c r="E49" s="1780">
        <f ca="1">+MonExtranjera!V2226</f>
        <v>11278466</v>
      </c>
      <c r="F49" s="1810">
        <f t="shared" ca="1" si="17"/>
        <v>-11278466</v>
      </c>
      <c r="G49" s="2595"/>
      <c r="J49" s="2270">
        <f ca="1">SUM(F49:F50)-SUM(C49:C50)</f>
        <v>0</v>
      </c>
    </row>
    <row r="50" spans="1:10">
      <c r="A50" s="1809">
        <v>2425100000</v>
      </c>
      <c r="B50" s="1778" t="s">
        <v>20</v>
      </c>
      <c r="C50" s="1774">
        <f>IF(ISERROR(VLOOKUP(A50,Balance!E:K,7,0)),0,VLOOKUP(A50,Balance!E:K,7,0))</f>
        <v>-1213293720</v>
      </c>
      <c r="D50" s="1774">
        <f t="shared" si="18"/>
        <v>1213293720</v>
      </c>
      <c r="E50" s="1780">
        <f ca="1">+MonExtranjera!V2259</f>
        <v>1213293720</v>
      </c>
      <c r="F50" s="1810">
        <f t="shared" ca="1" si="17"/>
        <v>-1213293720</v>
      </c>
      <c r="G50" s="2595"/>
      <c r="J50" s="2269"/>
    </row>
    <row r="51" spans="1:10">
      <c r="A51" s="1811">
        <v>2425530100</v>
      </c>
      <c r="B51" s="1812" t="s">
        <v>288</v>
      </c>
      <c r="C51" s="1774">
        <f>IF(ISERROR(VLOOKUP(A51,Balance!E:K,7,0)),0,VLOOKUP(A51,Balance!E:K,7,0))</f>
        <v>-448389773</v>
      </c>
      <c r="D51" s="1813">
        <f t="shared" si="18"/>
        <v>448389773</v>
      </c>
      <c r="E51" s="1780">
        <f ca="1">+MonExtranjera!V2297</f>
        <v>448389750.05690002</v>
      </c>
      <c r="F51" s="1814">
        <f t="shared" ca="1" si="17"/>
        <v>-448389750.05690002</v>
      </c>
      <c r="G51" s="2595"/>
      <c r="J51" s="2270">
        <f ca="1">F51-C51</f>
        <v>22.943099975585938</v>
      </c>
    </row>
    <row r="52" spans="1:10">
      <c r="A52" s="1797">
        <v>2425909501</v>
      </c>
      <c r="B52" s="1778" t="s">
        <v>16</v>
      </c>
      <c r="C52" s="1774">
        <f>IF(ISERROR(VLOOKUP(A52,Balance!E:K,7,0)),0,VLOOKUP(A52,Balance!E:K,7,0))</f>
        <v>-17257136</v>
      </c>
      <c r="D52" s="1774">
        <f t="shared" si="18"/>
        <v>17257136</v>
      </c>
      <c r="E52" s="1774"/>
      <c r="F52" s="1810">
        <f t="shared" si="17"/>
        <v>0</v>
      </c>
      <c r="G52" s="2595"/>
      <c r="J52" s="2270">
        <f>SUM(F52:F53)-SUM(C52:C53)</f>
        <v>17257136</v>
      </c>
    </row>
    <row r="53" spans="1:10">
      <c r="A53" s="1797">
        <v>2453010700</v>
      </c>
      <c r="B53" s="1778" t="s">
        <v>20</v>
      </c>
      <c r="C53" s="1774">
        <f>IF(ISERROR(VLOOKUP(A53,Balance!E:K,7,0)),0,VLOOKUP(A53,Balance!E:K,7,0))</f>
        <v>0</v>
      </c>
      <c r="D53" s="1774">
        <f t="shared" si="18"/>
        <v>0</v>
      </c>
      <c r="E53" s="1774"/>
      <c r="F53" s="1810">
        <f t="shared" si="17"/>
        <v>0</v>
      </c>
      <c r="G53" s="2595"/>
      <c r="J53" s="2269"/>
    </row>
    <row r="54" spans="1:10">
      <c r="A54" s="1797">
        <v>2453010800</v>
      </c>
      <c r="B54" s="1778" t="s">
        <v>11</v>
      </c>
      <c r="C54" s="1774">
        <f>IF(ISERROR(VLOOKUP(A54,Balance!E:K,7,0)),0,VLOOKUP(A54,Balance!E:K,7,0))</f>
        <v>0</v>
      </c>
      <c r="D54" s="1774">
        <f t="shared" si="18"/>
        <v>0</v>
      </c>
      <c r="E54" s="1774"/>
      <c r="F54" s="1810">
        <f t="shared" si="17"/>
        <v>0</v>
      </c>
      <c r="G54" s="2595"/>
      <c r="J54" s="2269"/>
    </row>
    <row r="55" spans="1:10">
      <c r="A55" s="1797">
        <v>2453019501</v>
      </c>
      <c r="B55" s="1778" t="s">
        <v>186</v>
      </c>
      <c r="C55" s="1774">
        <f>IF(ISERROR(VLOOKUP(A55,Balance!E:K,7,0)),0,VLOOKUP(A55,Balance!E:K,7,0))</f>
        <v>0</v>
      </c>
      <c r="D55" s="1774">
        <f t="shared" si="18"/>
        <v>0</v>
      </c>
      <c r="E55" s="1774"/>
      <c r="F55" s="1810">
        <f t="shared" si="17"/>
        <v>0</v>
      </c>
      <c r="G55" s="2595"/>
      <c r="J55" s="2269"/>
    </row>
    <row r="56" spans="1:10">
      <c r="A56" s="1809">
        <v>2455070100</v>
      </c>
      <c r="B56" s="1778" t="s">
        <v>187</v>
      </c>
      <c r="C56" s="1774">
        <f>IF(ISERROR(VLOOKUP(A56,Balance!E:K,7,0)),0,VLOOKUP(A56,Balance!E:K,7,0))</f>
        <v>-2610691486</v>
      </c>
      <c r="D56" s="1774">
        <f t="shared" si="18"/>
        <v>2610691486</v>
      </c>
      <c r="E56" s="1780">
        <f>+MonExtranjera!V2346</f>
        <v>2610692681.0764999</v>
      </c>
      <c r="F56" s="1810">
        <f t="shared" si="17"/>
        <v>-2610692681.0764999</v>
      </c>
      <c r="G56" s="2595"/>
      <c r="J56" s="2270">
        <f>SUM(F56:F57)-SUM(C56:C57)</f>
        <v>178756.92350006104</v>
      </c>
    </row>
    <row r="57" spans="1:10">
      <c r="A57" s="1797">
        <v>2455070195</v>
      </c>
      <c r="B57" s="1778" t="s">
        <v>21</v>
      </c>
      <c r="C57" s="1774">
        <f>IF(ISERROR(VLOOKUP(A57,Balance!E:K,7,0)),0,VLOOKUP(A57,Balance!E:K,7,0))</f>
        <v>-179952</v>
      </c>
      <c r="D57" s="1774">
        <f t="shared" si="18"/>
        <v>179952</v>
      </c>
      <c r="E57" s="1774"/>
      <c r="F57" s="1810">
        <f t="shared" si="17"/>
        <v>0</v>
      </c>
      <c r="G57" s="2595"/>
      <c r="J57" s="2269"/>
    </row>
    <row r="58" spans="1:10">
      <c r="A58" s="1809">
        <v>2490030000</v>
      </c>
      <c r="B58" s="1778" t="s">
        <v>17</v>
      </c>
      <c r="C58" s="1774">
        <f>IF(ISERROR(VLOOKUP(A58,Balance!E:K,7,0)),0,VLOOKUP(A58,Balance!E:K,7,0))</f>
        <v>0</v>
      </c>
      <c r="D58" s="1774">
        <f t="shared" si="18"/>
        <v>0</v>
      </c>
      <c r="E58" s="1780">
        <f>+MonExtranjera!V2369</f>
        <v>0</v>
      </c>
      <c r="F58" s="1810">
        <f t="shared" si="17"/>
        <v>0</v>
      </c>
      <c r="G58" s="2595"/>
      <c r="J58" s="2269"/>
    </row>
    <row r="59" spans="1:10" ht="15.75" thickBot="1">
      <c r="A59" s="1804">
        <v>2490039501</v>
      </c>
      <c r="B59" s="1805" t="s">
        <v>18</v>
      </c>
      <c r="C59" s="1791">
        <f>IF(ISERROR(VLOOKUP(A59,Balance!E:K,7,0)),0,VLOOKUP(A59,Balance!E:K,7,0))</f>
        <v>0</v>
      </c>
      <c r="D59" s="1791">
        <f t="shared" si="18"/>
        <v>0</v>
      </c>
      <c r="E59" s="1791"/>
      <c r="F59" s="1807">
        <f t="shared" si="17"/>
        <v>0</v>
      </c>
      <c r="G59" s="2594"/>
      <c r="H59" s="1785">
        <f ca="1">SUM(C40:C59)-SUM(F40:F59)</f>
        <v>-1648228317.0124054</v>
      </c>
      <c r="J59" s="2269"/>
    </row>
    <row r="60" spans="1:10">
      <c r="J60" s="2269"/>
    </row>
    <row r="61" spans="1:10">
      <c r="C61" s="1764">
        <f>SUM(C6:C60)</f>
        <v>-425480244185</v>
      </c>
      <c r="E61" s="1764"/>
      <c r="F61" s="1764">
        <f ca="1">SUM(F6:F60)</f>
        <v>-273779109048.27426</v>
      </c>
      <c r="H61" s="1764">
        <f ca="1">SUM(H6:H60)</f>
        <v>-151701135136.67621</v>
      </c>
      <c r="J61" s="2271">
        <f ca="1">SUM(J6:J60)</f>
        <v>151701135136.72604</v>
      </c>
    </row>
    <row r="62" spans="1:10" ht="15.75" thickBot="1"/>
    <row r="63" spans="1:10" ht="16.5" thickBot="1">
      <c r="E63" s="2034" t="s">
        <v>252</v>
      </c>
      <c r="F63" s="2035">
        <f ca="1">+MonExtranjera!V2372</f>
        <v>273779109048.27371</v>
      </c>
    </row>
    <row r="65" spans="2:15">
      <c r="E65" s="1815" t="s">
        <v>251</v>
      </c>
      <c r="F65" s="1816">
        <f ca="1">+F61+F63</f>
        <v>-5.4931640625E-4</v>
      </c>
    </row>
    <row r="66" spans="2:15">
      <c r="E66" s="1785"/>
      <c r="F66" s="1785"/>
    </row>
    <row r="67" spans="2:15">
      <c r="F67" s="1785"/>
    </row>
    <row r="68" spans="2:15">
      <c r="F68" s="1785"/>
    </row>
    <row r="69" spans="2:15">
      <c r="F69" s="1785"/>
      <c r="I69" s="1817" t="s">
        <v>251</v>
      </c>
      <c r="J69" s="1818" t="s">
        <v>1192</v>
      </c>
      <c r="K69" s="1818" t="s">
        <v>1192</v>
      </c>
      <c r="L69" s="1832" t="s">
        <v>1212</v>
      </c>
      <c r="M69" s="1831" t="s">
        <v>1212</v>
      </c>
    </row>
    <row r="70" spans="2:15">
      <c r="B70" s="1778"/>
      <c r="C70" s="1841" t="s">
        <v>1199</v>
      </c>
      <c r="D70" s="1841"/>
      <c r="E70" s="1842"/>
      <c r="F70" s="1842" t="s">
        <v>1200</v>
      </c>
      <c r="I70" s="1817" t="s">
        <v>1197</v>
      </c>
      <c r="J70" s="1818" t="s">
        <v>1193</v>
      </c>
      <c r="K70" s="1818" t="s">
        <v>1195</v>
      </c>
      <c r="L70" s="1832" t="s">
        <v>1198</v>
      </c>
      <c r="M70" s="1831" t="s">
        <v>1194</v>
      </c>
    </row>
    <row r="71" spans="2:15">
      <c r="B71" s="1778" t="s">
        <v>1190</v>
      </c>
      <c r="C71" s="1774">
        <f>SUM(C6:C29)</f>
        <v>183919568980</v>
      </c>
      <c r="D71" s="1774">
        <f ca="1">SUM(D6:D29)</f>
        <v>178753944377.35229</v>
      </c>
      <c r="E71" s="1774">
        <f>SUM(E6:E29)</f>
        <v>183919568980</v>
      </c>
      <c r="F71" s="1774">
        <f ca="1">SUM(F6:F29)</f>
        <v>178753944377.35229</v>
      </c>
      <c r="G71" s="1844" t="s">
        <v>1190</v>
      </c>
      <c r="H71" s="1844"/>
      <c r="I71" s="1845">
        <f t="shared" ref="I71:I76" ca="1" si="21">+F71-C71</f>
        <v>-5165624602.6477051</v>
      </c>
      <c r="J71" s="1820">
        <f>' Depuración Renta'!C8+' Depuración Renta'!C9+' Depuración Renta'!C11+' Depuración Renta'!C36+' Depuración Renta'!C38+' Depuración Renta'!C40</f>
        <v>-8132165528</v>
      </c>
      <c r="K71" s="1820">
        <f>' Depuración Renta'!C6+' Depuración Renta'!C7+' Depuración Renta'!C10+' Depuración Renta'!C24+' Depuración Renta'!C25+' Depuración Renta'!C35+' Depuración Renta'!C37+' Depuración Renta'!C39+' Depuración Renta'!C51+' Depuración Renta'!C52</f>
        <v>-9858768075</v>
      </c>
      <c r="L71" s="2004">
        <f>+J71+K71</f>
        <v>-17990933603</v>
      </c>
      <c r="M71" s="1821">
        <f ca="1">'Ingreso-Gasto Mes'!Q6+'Ingreso-Gasto Mes'!Q7+'Ingreso-Gasto Mes'!Q10+'Ingreso-Gasto Mes'!Q35+'Ingreso-Gasto Mes'!Q37+'Ingreso-Gasto Mes'!Q39</f>
        <v>-3801968296.6720328</v>
      </c>
      <c r="N71" s="1785"/>
    </row>
    <row r="72" spans="2:15">
      <c r="B72" s="1778" t="s">
        <v>1214</v>
      </c>
      <c r="C72" s="1774">
        <f>+SUM(C32:C37)</f>
        <v>2218934222942</v>
      </c>
      <c r="D72" s="1774">
        <f t="shared" ref="D72:F72" ca="1" si="22">+SUM(D32:D37)</f>
        <v>2218930585686.2612</v>
      </c>
      <c r="E72" s="1774">
        <f t="shared" si="22"/>
        <v>2218934222942</v>
      </c>
      <c r="F72" s="1774">
        <f t="shared" ca="1" si="22"/>
        <v>2218930585686.2612</v>
      </c>
      <c r="G72" s="1819" t="s">
        <v>1214</v>
      </c>
      <c r="H72" s="1785"/>
      <c r="I72" s="1819">
        <f t="shared" ca="1" si="21"/>
        <v>-3637255.7387695313</v>
      </c>
      <c r="J72" s="1820">
        <f>' Depuración Renta'!C13+' Depuración Renta'!C15+' Depuración Renta'!C42+' Depuración Renta'!C43</f>
        <v>6522035</v>
      </c>
      <c r="K72" s="1820">
        <f>' Depuración Renta'!C12+' Depuración Renta'!C14+' Depuración Renta'!C41</f>
        <v>273000</v>
      </c>
      <c r="L72" s="2004">
        <f t="shared" ref="L72:L76" si="23">+J72+K72</f>
        <v>6795035</v>
      </c>
      <c r="M72" s="1821">
        <f ca="1">'Ingreso-Gasto Mes'!Q12+'Ingreso-Gasto Mes'!Q41</f>
        <v>7151936.0891999528</v>
      </c>
      <c r="N72" s="1785"/>
    </row>
    <row r="73" spans="2:15">
      <c r="B73" s="1778" t="s">
        <v>1191</v>
      </c>
      <c r="C73" s="1774">
        <f>SUM(C38:C39)</f>
        <v>-2775668360187</v>
      </c>
      <c r="D73" s="1774">
        <f t="shared" ref="D73:E73" si="24">SUM(D38:D39)</f>
        <v>2775668360187</v>
      </c>
      <c r="E73" s="1774">
        <f t="shared" ca="1" si="24"/>
        <v>2620446191508.8999</v>
      </c>
      <c r="F73" s="1774">
        <f ca="1">SUM(F38:F39)</f>
        <v>-2620446191508.8999</v>
      </c>
      <c r="G73" s="1844" t="s">
        <v>1191</v>
      </c>
      <c r="H73" s="1844"/>
      <c r="I73" s="1845">
        <f t="shared" ca="1" si="21"/>
        <v>155222168678.1001</v>
      </c>
      <c r="J73" s="1820">
        <f>' Depuración Renta'!C23+' Depuración Renta'!C50</f>
        <v>-22433618218</v>
      </c>
      <c r="K73" s="1820">
        <f>' Depuración Renta'!C26+' Depuración Renta'!C53</f>
        <v>6849388</v>
      </c>
      <c r="L73" s="2004">
        <f t="shared" si="23"/>
        <v>-22426768830</v>
      </c>
      <c r="M73" s="1821">
        <f ca="1">+'Ingreso-Gasto Mes'!Q26+'Ingreso-Gasto Mes'!Q51+'Ingreso-Gasto Mes'!Q52</f>
        <v>3165095136.9936986</v>
      </c>
      <c r="N73" s="1785"/>
    </row>
    <row r="74" spans="2:15">
      <c r="B74" s="1778" t="s">
        <v>1215</v>
      </c>
      <c r="C74" s="1774">
        <f>SUM(C40:C59)</f>
        <v>-52665675920</v>
      </c>
      <c r="D74" s="1774">
        <f t="shared" ref="D74:E74" si="25">SUM(D40:D59)</f>
        <v>52665675920</v>
      </c>
      <c r="E74" s="1774">
        <f t="shared" ca="1" si="25"/>
        <v>51017447602.987595</v>
      </c>
      <c r="F74" s="1774">
        <f ca="1">SUM(F40:F59)</f>
        <v>-51017447602.987595</v>
      </c>
      <c r="G74" s="1819" t="s">
        <v>1215</v>
      </c>
      <c r="H74" s="1785"/>
      <c r="I74" s="1819">
        <f t="shared" ca="1" si="21"/>
        <v>1648228317.0124054</v>
      </c>
      <c r="J74" s="1820">
        <f>+' Depuración Renta'!C17+' Depuración Renta'!C20+' Depuración Renta'!C30+' Depuración Renta'!C33+' Depuración Renta'!C34+' Depuración Renta'!C45+' Depuración Renta'!C47+' Depuración Renta'!C56+' Depuración Renta'!C59+' Depuración Renta'!C60</f>
        <v>-2126956880</v>
      </c>
      <c r="K74" s="1820">
        <f>+' Depuración Renta'!C16+' Depuración Renta'!C18+' Depuración Renta'!C19+' Depuración Renta'!C31+' Depuración Renta'!C32+' Depuración Renta'!C44+' Depuración Renta'!C46+' Depuración Renta'!C57+' Depuración Renta'!C58</f>
        <v>2240241228</v>
      </c>
      <c r="L74" s="2004">
        <f t="shared" si="23"/>
        <v>113284348</v>
      </c>
      <c r="M74" s="1821">
        <f ca="1">+'Ingreso-Gasto Mes'!Q16+'Ingreso-Gasto Mes'!Q18+'Ingreso-Gasto Mes'!Q31+'Ingreso-Gasto Mes'!Q44+'Ingreso-Gasto Mes'!Q46+'Ingreso-Gasto Mes'!Q56+'Ingreso-Gasto Mes'!Q57</f>
        <v>89797866.156091869</v>
      </c>
      <c r="N74" s="1785"/>
    </row>
    <row r="75" spans="2:15">
      <c r="B75" s="2046" t="s">
        <v>1196</v>
      </c>
      <c r="C75" s="2047">
        <v>0</v>
      </c>
      <c r="D75" s="2047">
        <v>0</v>
      </c>
      <c r="E75" s="2048">
        <v>0</v>
      </c>
      <c r="F75" s="2048">
        <v>0</v>
      </c>
      <c r="G75" s="2049" t="s">
        <v>1196</v>
      </c>
      <c r="H75" s="2049"/>
      <c r="I75" s="2049">
        <f t="shared" si="21"/>
        <v>0</v>
      </c>
      <c r="J75" s="2049">
        <f>' Depuración Renta'!C28+' Depuración Renta'!C29+' Depuración Renta'!C55</f>
        <v>23295532563</v>
      </c>
      <c r="K75" s="2049">
        <f>' Depuración Renta'!C54+' Depuración Renta'!C27</f>
        <v>183268529</v>
      </c>
      <c r="L75" s="2049">
        <f t="shared" si="23"/>
        <v>23478801092</v>
      </c>
      <c r="M75" s="2049">
        <f>+' Depuración Renta'!F28+' Depuración Renta'!F54</f>
        <v>0</v>
      </c>
    </row>
    <row r="76" spans="2:15">
      <c r="B76" s="1779" t="s">
        <v>1276</v>
      </c>
      <c r="C76" s="1774">
        <f>SUM(C30:C31)</f>
        <v>0</v>
      </c>
      <c r="D76" s="1774">
        <f ca="1">SUM(D30:D31)</f>
        <v>0</v>
      </c>
      <c r="E76" s="1774">
        <f>SUM(E30:E31)</f>
        <v>0</v>
      </c>
      <c r="F76" s="1774">
        <f ca="1">SUM(F30:F31)</f>
        <v>0</v>
      </c>
      <c r="G76" s="1844" t="s">
        <v>1273</v>
      </c>
      <c r="H76" s="1844"/>
      <c r="I76" s="1845">
        <f t="shared" ca="1" si="21"/>
        <v>0</v>
      </c>
      <c r="J76" s="1820">
        <f>' Depuración Renta'!C22+' Depuración Renta'!C49</f>
        <v>0</v>
      </c>
      <c r="K76" s="1820">
        <f>' Depuración Renta'!C21+' Depuración Renta'!C48</f>
        <v>5268561969</v>
      </c>
      <c r="L76" s="2004">
        <f t="shared" si="23"/>
        <v>5268561969</v>
      </c>
      <c r="M76" s="1821">
        <f ca="1">'Ingreso-Gasto Mes'!Q21+'Ingreso-Gasto Mes'!Q48</f>
        <v>5268561968.4400005</v>
      </c>
    </row>
    <row r="77" spans="2:15">
      <c r="C77" s="1843">
        <f>SUM(C71:C76)</f>
        <v>-425480244185</v>
      </c>
      <c r="D77" s="1774"/>
      <c r="E77" s="1778"/>
      <c r="F77" s="1843">
        <f ca="1">SUM(F71:F76)</f>
        <v>-273779109048.27423</v>
      </c>
      <c r="I77" s="1822">
        <f ca="1">SUM(I71:I76)</f>
        <v>151701135136.72601</v>
      </c>
      <c r="J77" s="1823">
        <f>SUM(J71:J76)</f>
        <v>-9390686028</v>
      </c>
      <c r="K77" s="1823">
        <f t="shared" ref="K77:M77" si="26">SUM(K71:K76)</f>
        <v>-2159573961</v>
      </c>
      <c r="L77" s="1833">
        <f t="shared" si="26"/>
        <v>-11550259989</v>
      </c>
      <c r="M77" s="1824">
        <f t="shared" ca="1" si="26"/>
        <v>4728638611.006958</v>
      </c>
      <c r="N77" s="1835">
        <f ca="1">+M77-L77</f>
        <v>16278898600.006958</v>
      </c>
      <c r="O77" s="1836" t="str">
        <f ca="1">IF(N77&gt;0,"Ajuste gasto","Ajuste ingreso")</f>
        <v>Ajuste gasto</v>
      </c>
    </row>
    <row r="78" spans="2:15">
      <c r="I78" s="1785"/>
      <c r="L78" s="1834" t="str">
        <f>IF(L77&lt;0,"Ingreso NIIF","Gasto NIIF")</f>
        <v>Ingreso NIIF</v>
      </c>
      <c r="M78" s="1830" t="str">
        <f ca="1">IF(M77&lt;0,"Ingreso Fiscal","Gasto Fiscal")</f>
        <v>Gasto Fiscal</v>
      </c>
    </row>
    <row r="79" spans="2:15">
      <c r="I79" s="1785"/>
      <c r="K79" s="1815" t="s">
        <v>1213</v>
      </c>
      <c r="L79" s="1816">
        <f>' Depuración Renta'!C62</f>
        <v>-11550259989</v>
      </c>
      <c r="M79" s="1816">
        <f ca="1">'Ingreso-Gasto Mes'!Q61</f>
        <v>4728638611.0069609</v>
      </c>
      <c r="N79" s="1835">
        <f ca="1">+M79-L79</f>
        <v>16278898600.006962</v>
      </c>
      <c r="O79" s="1836" t="str">
        <f ca="1">IF(N79&gt;0,"Ajuste gasto","Ajuste ingreso")</f>
        <v>Ajuste gasto</v>
      </c>
    </row>
    <row r="80" spans="2:15">
      <c r="D80" s="2166">
        <f ca="1">SUM(D71:D76)</f>
        <v>5226018566170.6133</v>
      </c>
      <c r="E80" s="2166">
        <f ca="1">SUM(E71:E76)</f>
        <v>5074317431033.8877</v>
      </c>
      <c r="I80" s="1785"/>
      <c r="K80" s="1815"/>
      <c r="L80" s="1816">
        <f>+L77-L79</f>
        <v>0</v>
      </c>
      <c r="M80" s="1816">
        <f ca="1">+M77-M79</f>
        <v>0</v>
      </c>
    </row>
    <row r="81" spans="1:17">
      <c r="D81" s="2166"/>
      <c r="E81" s="1835">
        <f ca="1">+D80-E80</f>
        <v>151701135136.72559</v>
      </c>
      <c r="L81" s="2081" t="s">
        <v>1278</v>
      </c>
      <c r="M81" s="2081"/>
      <c r="N81" s="2082">
        <f>'Ingreso-Gasto Mes'!Q63+'Ingreso-Gasto Mes'!Q64</f>
        <v>2319925909</v>
      </c>
      <c r="O81" s="2081" t="s">
        <v>1279</v>
      </c>
      <c r="P81" s="2083"/>
      <c r="Q81" s="2083"/>
    </row>
    <row r="82" spans="1:17">
      <c r="N82" s="2085" t="s">
        <v>1288</v>
      </c>
    </row>
    <row r="83" spans="1:17" ht="15.75">
      <c r="N83" s="2084">
        <f ca="1">+N79+N81</f>
        <v>18598824509.006962</v>
      </c>
    </row>
    <row r="84" spans="1:17" hidden="1">
      <c r="A84" s="1777">
        <v>2404010111</v>
      </c>
      <c r="B84" s="1778" t="s">
        <v>634</v>
      </c>
    </row>
  </sheetData>
  <mergeCells count="10">
    <mergeCell ref="G6:G29"/>
    <mergeCell ref="G38:G39"/>
    <mergeCell ref="G40:G59"/>
    <mergeCell ref="A4:A5"/>
    <mergeCell ref="B4:B5"/>
    <mergeCell ref="C4:C5"/>
    <mergeCell ref="D4:E4"/>
    <mergeCell ref="F4:F5"/>
    <mergeCell ref="G30:G31"/>
    <mergeCell ref="G32:G3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3E6E-57D4-4DBB-931A-BF32A98E32ED}">
  <sheetPr codeName="Hoja4" filterMode="1"/>
  <dimension ref="A1:AH1233"/>
  <sheetViews>
    <sheetView zoomScale="80" zoomScaleNormal="80" workbookViewId="0">
      <pane ySplit="5" topLeftCell="A1015" activePane="bottomLeft" state="frozen"/>
      <selection pane="bottomLeft" activeCell="M1113" sqref="M1113"/>
    </sheetView>
  </sheetViews>
  <sheetFormatPr baseColWidth="10" defaultRowHeight="15"/>
  <cols>
    <col min="1" max="2" width="3.5703125" customWidth="1"/>
    <col min="3" max="3" width="5.5703125" bestFit="1" customWidth="1"/>
    <col min="4" max="4" width="9.140625" customWidth="1"/>
    <col min="5" max="5" width="3" bestFit="1" customWidth="1"/>
    <col min="6" max="6" width="12" bestFit="1" customWidth="1"/>
    <col min="7" max="7" width="4.28515625" bestFit="1" customWidth="1"/>
    <col min="8" max="8" width="14.140625" bestFit="1" customWidth="1"/>
    <col min="9" max="9" width="22.7109375" customWidth="1"/>
    <col min="10" max="10" width="6.42578125" bestFit="1" customWidth="1"/>
    <col min="11" max="11" width="12" bestFit="1" customWidth="1"/>
    <col min="13" max="13" width="19.5703125" bestFit="1" customWidth="1"/>
    <col min="14" max="14" width="12.85546875" bestFit="1" customWidth="1"/>
    <col min="15" max="15" width="3.42578125" bestFit="1" customWidth="1"/>
    <col min="16" max="16" width="19.140625" bestFit="1" customWidth="1"/>
    <col min="17" max="17" width="4.85546875" bestFit="1" customWidth="1"/>
    <col min="18" max="18" width="11.42578125" style="2380"/>
    <col min="19" max="19" width="14.28515625" customWidth="1"/>
    <col min="21" max="22" width="23.140625" customWidth="1"/>
    <col min="23" max="23" width="5.5703125" customWidth="1"/>
    <col min="24" max="24" width="23.85546875" bestFit="1" customWidth="1"/>
    <col min="26" max="26" width="17.85546875" bestFit="1" customWidth="1"/>
  </cols>
  <sheetData>
    <row r="1" spans="1:24">
      <c r="A1" t="s">
        <v>1530</v>
      </c>
      <c r="F1" t="s">
        <v>1531</v>
      </c>
    </row>
    <row r="2" spans="1:24">
      <c r="A2" t="s">
        <v>1532</v>
      </c>
      <c r="F2" t="s">
        <v>297</v>
      </c>
    </row>
    <row r="3" spans="1:24">
      <c r="A3" t="s">
        <v>1533</v>
      </c>
      <c r="F3" t="s">
        <v>1534</v>
      </c>
    </row>
    <row r="4" spans="1:24">
      <c r="M4" s="1722"/>
    </row>
    <row r="5" spans="1:24">
      <c r="C5" t="s">
        <v>1535</v>
      </c>
      <c r="D5" t="s">
        <v>1536</v>
      </c>
      <c r="E5" t="s">
        <v>1537</v>
      </c>
      <c r="F5" t="s">
        <v>1538</v>
      </c>
      <c r="G5" t="s">
        <v>1539</v>
      </c>
      <c r="H5" t="s">
        <v>1540</v>
      </c>
      <c r="I5" t="s">
        <v>1541</v>
      </c>
      <c r="J5" t="s">
        <v>1542</v>
      </c>
      <c r="K5" t="s">
        <v>1543</v>
      </c>
      <c r="L5" t="s">
        <v>1544</v>
      </c>
      <c r="M5" s="1722" t="s">
        <v>1545</v>
      </c>
      <c r="N5" t="s">
        <v>1546</v>
      </c>
      <c r="O5" t="s">
        <v>1547</v>
      </c>
      <c r="P5" t="s">
        <v>1548</v>
      </c>
      <c r="Q5" t="s">
        <v>1549</v>
      </c>
      <c r="R5" s="2380" t="s">
        <v>1550</v>
      </c>
      <c r="S5" s="4" t="s">
        <v>1551</v>
      </c>
      <c r="T5" s="2380" t="s">
        <v>1552</v>
      </c>
      <c r="U5" s="2391" t="s">
        <v>1553</v>
      </c>
      <c r="V5" s="2391" t="s">
        <v>1554</v>
      </c>
      <c r="X5" t="s">
        <v>1555</v>
      </c>
    </row>
    <row r="6" spans="1:24" hidden="1">
      <c r="C6">
        <v>2022</v>
      </c>
      <c r="D6" t="s">
        <v>1556</v>
      </c>
      <c r="F6">
        <v>1202049905</v>
      </c>
      <c r="G6" t="s">
        <v>1557</v>
      </c>
      <c r="H6" t="s">
        <v>1558</v>
      </c>
      <c r="I6" t="s">
        <v>1559</v>
      </c>
      <c r="J6" t="s">
        <v>106</v>
      </c>
      <c r="K6">
        <v>7900000696</v>
      </c>
      <c r="L6" t="s">
        <v>1558</v>
      </c>
      <c r="M6" s="1633">
        <v>9255241522</v>
      </c>
      <c r="N6">
        <v>1</v>
      </c>
      <c r="O6">
        <v>40</v>
      </c>
      <c r="P6" s="1633">
        <v>9255241522</v>
      </c>
      <c r="Q6" t="s">
        <v>106</v>
      </c>
      <c r="R6" s="2392">
        <v>44564</v>
      </c>
      <c r="S6" s="2393">
        <f t="shared" ref="S6:S69" si="0">+ROUND(P6/M6,2)</f>
        <v>1</v>
      </c>
      <c r="T6" s="2394">
        <f>IF(OR(J6="COP",J6="EURO",J6="GBP"),0,IF(J6="USD",VLOOKUP(R6,'TRM BanRep'!$A:$G,7,0)))</f>
        <v>0</v>
      </c>
      <c r="U6" s="2395">
        <f>IF(F6=2422999997,-IF(T6=0,0,(T6-S6)*M6),IF(T6=0,0,(T6-S6)*M6))</f>
        <v>0</v>
      </c>
      <c r="V6" s="2395" t="str">
        <f>IF(U6=0,"",IF(U6&gt;0,"2-GASTO","1-INGRESO"))</f>
        <v/>
      </c>
    </row>
    <row r="7" spans="1:24" hidden="1">
      <c r="C7">
        <v>2022</v>
      </c>
      <c r="D7" t="s">
        <v>1556</v>
      </c>
      <c r="F7">
        <v>1202049905</v>
      </c>
      <c r="G7" t="s">
        <v>1557</v>
      </c>
      <c r="H7" t="s">
        <v>1560</v>
      </c>
      <c r="I7" t="s">
        <v>1561</v>
      </c>
      <c r="J7" t="s">
        <v>106</v>
      </c>
      <c r="K7">
        <v>7900000710</v>
      </c>
      <c r="L7" t="s">
        <v>1560</v>
      </c>
      <c r="M7" s="1633">
        <v>3679038446</v>
      </c>
      <c r="N7">
        <v>1</v>
      </c>
      <c r="O7">
        <v>40</v>
      </c>
      <c r="P7" s="1633">
        <v>3679038446</v>
      </c>
      <c r="Q7" t="s">
        <v>106</v>
      </c>
      <c r="R7" s="2392">
        <v>44580</v>
      </c>
      <c r="S7" s="2393">
        <f t="shared" si="0"/>
        <v>1</v>
      </c>
      <c r="T7" s="2394">
        <f>IF(OR(J7="COP",J7="EURO",J7="GBP"),0,IF(J7="USD",VLOOKUP(R7,'TRM BanRep'!$A:$G,7,0)))</f>
        <v>0</v>
      </c>
      <c r="U7" s="2395">
        <f>IF(F7=2422999997,-IF(T7=0,0,(T7-S7)*M7),IF(T7=0,0,(T7-S7)*M7))</f>
        <v>0</v>
      </c>
      <c r="V7" s="2395" t="str">
        <f t="shared" ref="V7:V70" si="1">IF(U7=0,"",IF(U7&gt;0,"2-GASTO","1-INGRESO"))</f>
        <v/>
      </c>
    </row>
    <row r="8" spans="1:24" hidden="1">
      <c r="C8">
        <v>2022</v>
      </c>
      <c r="D8" t="s">
        <v>1556</v>
      </c>
      <c r="F8">
        <v>1202049905</v>
      </c>
      <c r="G8" t="s">
        <v>1557</v>
      </c>
      <c r="H8" t="s">
        <v>1562</v>
      </c>
      <c r="I8" t="s">
        <v>1563</v>
      </c>
      <c r="J8" t="s">
        <v>106</v>
      </c>
      <c r="K8">
        <v>7900000718</v>
      </c>
      <c r="L8" t="s">
        <v>1562</v>
      </c>
      <c r="M8" s="1633">
        <v>30665250000</v>
      </c>
      <c r="N8">
        <v>1</v>
      </c>
      <c r="O8">
        <v>40</v>
      </c>
      <c r="P8" s="1633">
        <v>30665250000</v>
      </c>
      <c r="Q8" t="s">
        <v>106</v>
      </c>
      <c r="R8" s="2392">
        <v>44589</v>
      </c>
      <c r="S8" s="2393">
        <f t="shared" si="0"/>
        <v>1</v>
      </c>
      <c r="T8" s="2394">
        <f>IF(OR(J8="COP",J8="EURO",J8="GBP"),0,IF(J8="USD",VLOOKUP(R8,'TRM BanRep'!$A:$G,7,0)))</f>
        <v>0</v>
      </c>
      <c r="U8" s="2395">
        <f>IF(F8=2422999997,-IF(T8=0,0,(T8-S8)*M8),IF(T8=0,0,(T8-S8)*M8))</f>
        <v>0</v>
      </c>
      <c r="V8" s="2395" t="str">
        <f t="shared" si="1"/>
        <v/>
      </c>
    </row>
    <row r="9" spans="1:24" hidden="1">
      <c r="C9">
        <v>2022</v>
      </c>
      <c r="D9" t="s">
        <v>1556</v>
      </c>
      <c r="F9">
        <v>1202049905</v>
      </c>
      <c r="G9" t="s">
        <v>1557</v>
      </c>
      <c r="H9" t="s">
        <v>1564</v>
      </c>
      <c r="I9" t="s">
        <v>1565</v>
      </c>
      <c r="J9" t="s">
        <v>106</v>
      </c>
      <c r="K9">
        <v>7900001287</v>
      </c>
      <c r="L9" t="s">
        <v>1564</v>
      </c>
      <c r="M9" s="1633">
        <v>-30655716968</v>
      </c>
      <c r="N9">
        <v>1</v>
      </c>
      <c r="O9">
        <v>50</v>
      </c>
      <c r="P9" s="1633">
        <v>-30655716968</v>
      </c>
      <c r="Q9" t="s">
        <v>106</v>
      </c>
      <c r="R9" s="2392">
        <v>44592</v>
      </c>
      <c r="S9" s="2393">
        <f t="shared" si="0"/>
        <v>1</v>
      </c>
      <c r="T9" s="2394">
        <f>IF(OR(J9="COP",J9="EURO",J9="GBP"),0,IF(J9="USD",VLOOKUP(R9,'TRM BanRep'!$A:$G,7,0)))</f>
        <v>0</v>
      </c>
      <c r="U9" s="2395">
        <f>IF(T9=0,0,(T9-S9)*M9)</f>
        <v>0</v>
      </c>
      <c r="V9" s="2395" t="str">
        <f t="shared" si="1"/>
        <v/>
      </c>
    </row>
    <row r="10" spans="1:24" hidden="1">
      <c r="C10">
        <v>2022</v>
      </c>
      <c r="D10" t="s">
        <v>1556</v>
      </c>
      <c r="F10">
        <v>1202049905</v>
      </c>
      <c r="G10" t="s">
        <v>1557</v>
      </c>
      <c r="H10" t="s">
        <v>1566</v>
      </c>
      <c r="I10" t="s">
        <v>1567</v>
      </c>
      <c r="J10" s="2410" t="s">
        <v>146</v>
      </c>
      <c r="K10">
        <v>7900000660</v>
      </c>
      <c r="L10" t="s">
        <v>1568</v>
      </c>
      <c r="M10" s="2152">
        <v>-4800.6000000000004</v>
      </c>
      <c r="N10" s="1860">
        <v>4529.5977599999997</v>
      </c>
      <c r="O10">
        <v>50</v>
      </c>
      <c r="P10" s="1633">
        <v>-21744787</v>
      </c>
      <c r="Q10" t="s">
        <v>106</v>
      </c>
      <c r="R10" s="2392">
        <v>44585</v>
      </c>
      <c r="S10" s="2393">
        <f t="shared" si="0"/>
        <v>4529.6000000000004</v>
      </c>
      <c r="T10" s="2409">
        <f>IF(OR(J10="COP",J10="EURO",J10="GBP"),0,IF(J10="USD",VLOOKUP(R10,'TRM BanRep'!$A:$G,7,0)))</f>
        <v>0</v>
      </c>
      <c r="U10" s="2396">
        <f t="shared" ref="U10:U73" si="2">IF(F10=2422999997,-IF(T10=0,0,(T10-S10)*M10),IF(T10=0,0,(T10-S10)*M10))</f>
        <v>0</v>
      </c>
      <c r="V10" s="2396" t="str">
        <f t="shared" si="1"/>
        <v/>
      </c>
      <c r="W10" t="str">
        <f t="shared" ref="W10:W15" si="3">MID(I10,2,3)</f>
        <v>FX1</v>
      </c>
    </row>
    <row r="11" spans="1:24" hidden="1">
      <c r="C11">
        <v>2022</v>
      </c>
      <c r="D11" t="s">
        <v>1556</v>
      </c>
      <c r="F11">
        <v>1202049905</v>
      </c>
      <c r="G11" t="s">
        <v>1557</v>
      </c>
      <c r="H11" t="s">
        <v>1566</v>
      </c>
      <c r="I11" t="s">
        <v>1569</v>
      </c>
      <c r="J11" t="s">
        <v>64</v>
      </c>
      <c r="K11">
        <v>7900000661</v>
      </c>
      <c r="L11" t="s">
        <v>1568</v>
      </c>
      <c r="M11" s="2152">
        <v>5437.49</v>
      </c>
      <c r="N11" s="1860">
        <v>3999.04864</v>
      </c>
      <c r="O11">
        <v>40</v>
      </c>
      <c r="P11" s="1633">
        <v>21744787</v>
      </c>
      <c r="Q11" t="s">
        <v>106</v>
      </c>
      <c r="R11" s="2392">
        <v>44585</v>
      </c>
      <c r="S11" s="2393">
        <f t="shared" si="0"/>
        <v>3999.05</v>
      </c>
      <c r="T11" s="2394">
        <f>IF(OR(J11="COP",J11="EURO",J11="GBP"),0,IF(J11="USD",VLOOKUP(R11,'TRM BanRep'!$A:$G,7,0)))</f>
        <v>3964.3</v>
      </c>
      <c r="U11" s="2397">
        <f t="shared" si="2"/>
        <v>-188952.7775</v>
      </c>
      <c r="V11" s="2397" t="str">
        <f t="shared" si="1"/>
        <v>1-INGRESO</v>
      </c>
      <c r="W11" s="1858" t="str">
        <f t="shared" si="3"/>
        <v>FX2</v>
      </c>
    </row>
    <row r="12" spans="1:24" hidden="1">
      <c r="C12">
        <v>2022</v>
      </c>
      <c r="D12" t="s">
        <v>1556</v>
      </c>
      <c r="F12">
        <v>1202049905</v>
      </c>
      <c r="G12" t="s">
        <v>1557</v>
      </c>
      <c r="H12" t="s">
        <v>1558</v>
      </c>
      <c r="I12" t="s">
        <v>1570</v>
      </c>
      <c r="J12" t="s">
        <v>64</v>
      </c>
      <c r="K12">
        <v>7900000695</v>
      </c>
      <c r="L12" t="s">
        <v>1558</v>
      </c>
      <c r="M12" s="2152">
        <v>-2324760</v>
      </c>
      <c r="N12" s="1860">
        <v>3981.16</v>
      </c>
      <c r="O12">
        <v>50</v>
      </c>
      <c r="P12" s="1633">
        <v>-9255241522</v>
      </c>
      <c r="Q12" t="s">
        <v>106</v>
      </c>
      <c r="R12" s="2392">
        <v>44564</v>
      </c>
      <c r="S12" s="2393">
        <f t="shared" si="0"/>
        <v>3981.16</v>
      </c>
      <c r="T12" s="2394">
        <f>IF(OR(J12="COP",J12="EURO",J12="GBP"),0,IF(J12="USD",VLOOKUP(R12,'TRM BanRep'!$A:$G,7,0)))</f>
        <v>3981.16</v>
      </c>
      <c r="U12" s="2396">
        <f t="shared" si="2"/>
        <v>0</v>
      </c>
      <c r="V12" s="2396" t="str">
        <f t="shared" si="1"/>
        <v/>
      </c>
      <c r="W12" t="str">
        <f t="shared" si="3"/>
        <v>FX1</v>
      </c>
    </row>
    <row r="13" spans="1:24" hidden="1">
      <c r="C13">
        <v>2022</v>
      </c>
      <c r="D13" t="s">
        <v>1556</v>
      </c>
      <c r="F13">
        <v>1202049905</v>
      </c>
      <c r="G13" t="s">
        <v>1557</v>
      </c>
      <c r="H13" t="s">
        <v>1560</v>
      </c>
      <c r="I13" t="s">
        <v>1571</v>
      </c>
      <c r="J13" t="s">
        <v>64</v>
      </c>
      <c r="K13">
        <v>7900000709</v>
      </c>
      <c r="L13" t="s">
        <v>1560</v>
      </c>
      <c r="M13" s="2152">
        <v>-912150</v>
      </c>
      <c r="N13" s="1860">
        <v>4033.37</v>
      </c>
      <c r="O13">
        <v>50</v>
      </c>
      <c r="P13" s="1633">
        <v>-3679038446</v>
      </c>
      <c r="Q13" t="s">
        <v>106</v>
      </c>
      <c r="R13" s="2392">
        <v>44580</v>
      </c>
      <c r="S13" s="2393">
        <f t="shared" si="0"/>
        <v>4033.37</v>
      </c>
      <c r="T13" s="2394">
        <f>IF(OR(J13="COP",J13="EURO",J13="GBP"),0,IF(J13="USD",VLOOKUP(R13,'TRM BanRep'!$A:$G,7,0)))</f>
        <v>4033.37</v>
      </c>
      <c r="U13" s="2396">
        <f t="shared" si="2"/>
        <v>0</v>
      </c>
      <c r="V13" s="2396" t="str">
        <f t="shared" si="1"/>
        <v/>
      </c>
      <c r="W13" t="str">
        <f t="shared" si="3"/>
        <v>FX1</v>
      </c>
    </row>
    <row r="14" spans="1:24" hidden="1">
      <c r="C14">
        <v>2022</v>
      </c>
      <c r="D14" t="s">
        <v>1556</v>
      </c>
      <c r="F14">
        <v>1202049905</v>
      </c>
      <c r="G14" t="s">
        <v>1557</v>
      </c>
      <c r="H14" t="s">
        <v>1562</v>
      </c>
      <c r="I14" t="s">
        <v>1572</v>
      </c>
      <c r="J14" t="s">
        <v>64</v>
      </c>
      <c r="K14">
        <v>7900000717</v>
      </c>
      <c r="L14" t="s">
        <v>1562</v>
      </c>
      <c r="M14" s="2152">
        <v>-7700000</v>
      </c>
      <c r="N14" s="1860">
        <v>3982.5</v>
      </c>
      <c r="O14">
        <v>50</v>
      </c>
      <c r="P14" s="1633">
        <v>-30665250000</v>
      </c>
      <c r="Q14" t="s">
        <v>106</v>
      </c>
      <c r="R14" s="2392">
        <v>44589</v>
      </c>
      <c r="S14" s="2393">
        <f t="shared" si="0"/>
        <v>3982.5</v>
      </c>
      <c r="T14" s="2394">
        <f>IF(OR(J14="COP",J14="EURO",J14="GBP"),0,IF(J14="USD",VLOOKUP(R14,'TRM BanRep'!$A:$G,7,0)))</f>
        <v>3944.04</v>
      </c>
      <c r="U14" s="2398">
        <f t="shared" si="2"/>
        <v>296142000.0000003</v>
      </c>
      <c r="V14" s="2396" t="str">
        <f t="shared" si="1"/>
        <v>2-GASTO</v>
      </c>
      <c r="W14" t="str">
        <f t="shared" si="3"/>
        <v>FX1</v>
      </c>
      <c r="X14" t="s">
        <v>1573</v>
      </c>
    </row>
    <row r="15" spans="1:24" hidden="1">
      <c r="C15">
        <v>2022</v>
      </c>
      <c r="D15" t="s">
        <v>1556</v>
      </c>
      <c r="F15">
        <v>1202049905</v>
      </c>
      <c r="G15" t="s">
        <v>1557</v>
      </c>
      <c r="H15" t="s">
        <v>1564</v>
      </c>
      <c r="I15" t="s">
        <v>1574</v>
      </c>
      <c r="J15" t="s">
        <v>64</v>
      </c>
      <c r="K15">
        <v>7900001288</v>
      </c>
      <c r="L15" t="s">
        <v>1564</v>
      </c>
      <c r="M15" s="2152">
        <v>7765206.9500000002</v>
      </c>
      <c r="N15" s="1860">
        <v>3947.83</v>
      </c>
      <c r="O15">
        <v>40</v>
      </c>
      <c r="P15" s="1633">
        <v>30655716968</v>
      </c>
      <c r="Q15" t="s">
        <v>106</v>
      </c>
      <c r="R15" s="2392">
        <v>44592</v>
      </c>
      <c r="S15" s="2393">
        <f t="shared" si="0"/>
        <v>3947.83</v>
      </c>
      <c r="T15" s="2394">
        <f>IF(OR(J15="COP",J15="EURO",J15="GBP"),0,IF(J15="USD",VLOOKUP(R15,'TRM BanRep'!$A:$G,7,0)))</f>
        <v>3982.6</v>
      </c>
      <c r="U15" s="2399">
        <f t="shared" si="2"/>
        <v>269996245.65149987</v>
      </c>
      <c r="V15" s="2396" t="str">
        <f t="shared" si="1"/>
        <v>2-GASTO</v>
      </c>
      <c r="W15" s="1858" t="str">
        <f t="shared" si="3"/>
        <v>FX2</v>
      </c>
      <c r="X15">
        <v>5803451110</v>
      </c>
    </row>
    <row r="16" spans="1:24" hidden="1">
      <c r="C16">
        <v>2022</v>
      </c>
      <c r="D16" t="s">
        <v>1556</v>
      </c>
      <c r="F16">
        <v>2422999997</v>
      </c>
      <c r="G16" t="s">
        <v>1575</v>
      </c>
      <c r="H16" t="s">
        <v>1558</v>
      </c>
      <c r="I16" t="s">
        <v>1576</v>
      </c>
      <c r="J16" t="s">
        <v>106</v>
      </c>
      <c r="K16">
        <v>7900000504</v>
      </c>
      <c r="L16" t="s">
        <v>1558</v>
      </c>
      <c r="M16" s="1633">
        <v>-1994522662</v>
      </c>
      <c r="N16">
        <v>1</v>
      </c>
      <c r="O16">
        <v>50</v>
      </c>
      <c r="P16" s="1633">
        <v>-1994522662</v>
      </c>
      <c r="Q16" t="s">
        <v>106</v>
      </c>
      <c r="R16" s="2392">
        <v>44564</v>
      </c>
      <c r="S16" s="2393">
        <f t="shared" si="0"/>
        <v>1</v>
      </c>
      <c r="T16" s="2394">
        <f>IF(OR(J16="COP",J16="EURO",J16="GBP"),0,IF(J16="USD",VLOOKUP(R16,'TRM BanRep'!$A:$G,7,0)))</f>
        <v>0</v>
      </c>
      <c r="U16" s="2395">
        <f t="shared" si="2"/>
        <v>0</v>
      </c>
      <c r="V16" s="2395" t="str">
        <f t="shared" si="1"/>
        <v/>
      </c>
    </row>
    <row r="17" spans="3:22" hidden="1">
      <c r="C17">
        <v>2022</v>
      </c>
      <c r="D17" t="s">
        <v>1556</v>
      </c>
      <c r="F17">
        <v>2422999997</v>
      </c>
      <c r="G17" t="s">
        <v>1575</v>
      </c>
      <c r="H17" t="s">
        <v>1558</v>
      </c>
      <c r="I17" t="s">
        <v>1577</v>
      </c>
      <c r="J17" t="s">
        <v>106</v>
      </c>
      <c r="K17">
        <v>7900000505</v>
      </c>
      <c r="L17" t="s">
        <v>1558</v>
      </c>
      <c r="M17" s="1633">
        <v>958796468</v>
      </c>
      <c r="N17">
        <v>1</v>
      </c>
      <c r="O17">
        <v>40</v>
      </c>
      <c r="P17" s="1633">
        <v>958796468</v>
      </c>
      <c r="Q17" t="s">
        <v>106</v>
      </c>
      <c r="R17" s="2392">
        <v>44564</v>
      </c>
      <c r="S17" s="2393">
        <f t="shared" si="0"/>
        <v>1</v>
      </c>
      <c r="T17" s="2394">
        <f>IF(OR(J17="COP",J17="EURO",J17="GBP"),0,IF(J17="USD",VLOOKUP(R17,'TRM BanRep'!$A:$G,7,0)))</f>
        <v>0</v>
      </c>
      <c r="U17" s="2395">
        <f t="shared" si="2"/>
        <v>0</v>
      </c>
      <c r="V17" s="2395" t="str">
        <f t="shared" si="1"/>
        <v/>
      </c>
    </row>
    <row r="18" spans="3:22" hidden="1">
      <c r="C18">
        <v>2022</v>
      </c>
      <c r="D18" t="s">
        <v>1556</v>
      </c>
      <c r="F18">
        <v>2422999997</v>
      </c>
      <c r="G18" t="s">
        <v>1575</v>
      </c>
      <c r="H18" t="s">
        <v>1578</v>
      </c>
      <c r="I18" t="s">
        <v>1579</v>
      </c>
      <c r="J18" t="s">
        <v>106</v>
      </c>
      <c r="K18">
        <v>7900000516</v>
      </c>
      <c r="L18" t="s">
        <v>1578</v>
      </c>
      <c r="M18" s="1633">
        <v>-1426204444</v>
      </c>
      <c r="N18">
        <v>1</v>
      </c>
      <c r="O18">
        <v>50</v>
      </c>
      <c r="P18" s="1633">
        <v>-1426204444</v>
      </c>
      <c r="Q18" t="s">
        <v>106</v>
      </c>
      <c r="R18" s="2392">
        <v>44567</v>
      </c>
      <c r="S18" s="2393">
        <f t="shared" si="0"/>
        <v>1</v>
      </c>
      <c r="T18" s="2394">
        <f>IF(OR(J18="COP",J18="EURO",J18="GBP"),0,IF(J18="USD",VLOOKUP(R18,'TRM BanRep'!$A:$G,7,0)))</f>
        <v>0</v>
      </c>
      <c r="U18" s="2395">
        <f t="shared" si="2"/>
        <v>0</v>
      </c>
      <c r="V18" s="2395" t="str">
        <f t="shared" si="1"/>
        <v/>
      </c>
    </row>
    <row r="19" spans="3:22" hidden="1">
      <c r="C19">
        <v>2022</v>
      </c>
      <c r="D19" t="s">
        <v>1556</v>
      </c>
      <c r="F19">
        <v>2422999997</v>
      </c>
      <c r="G19" t="s">
        <v>1575</v>
      </c>
      <c r="H19" t="s">
        <v>1578</v>
      </c>
      <c r="I19" t="s">
        <v>1580</v>
      </c>
      <c r="J19" t="s">
        <v>106</v>
      </c>
      <c r="K19">
        <v>7900000517</v>
      </c>
      <c r="L19" t="s">
        <v>1578</v>
      </c>
      <c r="M19" s="1633">
        <v>993600000</v>
      </c>
      <c r="N19">
        <v>1</v>
      </c>
      <c r="O19">
        <v>40</v>
      </c>
      <c r="P19" s="1633">
        <v>993600000</v>
      </c>
      <c r="Q19" t="s">
        <v>106</v>
      </c>
      <c r="R19" s="2392">
        <v>44567</v>
      </c>
      <c r="S19" s="2393">
        <f t="shared" si="0"/>
        <v>1</v>
      </c>
      <c r="T19" s="2394">
        <f>IF(OR(J19="COP",J19="EURO",J19="GBP"),0,IF(J19="USD",VLOOKUP(R19,'TRM BanRep'!$A:$G,7,0)))</f>
        <v>0</v>
      </c>
      <c r="U19" s="2395">
        <f t="shared" si="2"/>
        <v>0</v>
      </c>
      <c r="V19" s="2395" t="str">
        <f t="shared" si="1"/>
        <v/>
      </c>
    </row>
    <row r="20" spans="3:22" hidden="1">
      <c r="C20">
        <v>2022</v>
      </c>
      <c r="D20" t="s">
        <v>1556</v>
      </c>
      <c r="F20">
        <v>2422999997</v>
      </c>
      <c r="G20" t="s">
        <v>1575</v>
      </c>
      <c r="H20" t="s">
        <v>1578</v>
      </c>
      <c r="I20" t="s">
        <v>1581</v>
      </c>
      <c r="J20" t="s">
        <v>106</v>
      </c>
      <c r="K20">
        <v>7900000524</v>
      </c>
      <c r="L20" t="s">
        <v>1578</v>
      </c>
      <c r="M20" s="1633">
        <v>-583420842</v>
      </c>
      <c r="N20">
        <v>1</v>
      </c>
      <c r="O20">
        <v>50</v>
      </c>
      <c r="P20" s="1633">
        <v>-583420842</v>
      </c>
      <c r="Q20" t="s">
        <v>106</v>
      </c>
      <c r="R20" s="2392">
        <v>44567</v>
      </c>
      <c r="S20" s="2393">
        <f t="shared" si="0"/>
        <v>1</v>
      </c>
      <c r="T20" s="2394">
        <f>IF(OR(J20="COP",J20="EURO",J20="GBP"),0,IF(J20="USD",VLOOKUP(R20,'TRM BanRep'!$A:$G,7,0)))</f>
        <v>0</v>
      </c>
      <c r="U20" s="2395">
        <f t="shared" si="2"/>
        <v>0</v>
      </c>
      <c r="V20" s="2395" t="str">
        <f t="shared" si="1"/>
        <v/>
      </c>
    </row>
    <row r="21" spans="3:22" hidden="1">
      <c r="C21">
        <v>2022</v>
      </c>
      <c r="D21" t="s">
        <v>1556</v>
      </c>
      <c r="F21">
        <v>2422999997</v>
      </c>
      <c r="G21" t="s">
        <v>1575</v>
      </c>
      <c r="H21" t="s">
        <v>1578</v>
      </c>
      <c r="I21" t="s">
        <v>1582</v>
      </c>
      <c r="J21" t="s">
        <v>106</v>
      </c>
      <c r="K21">
        <v>7900000525</v>
      </c>
      <c r="L21" t="s">
        <v>1578</v>
      </c>
      <c r="M21" s="1633">
        <v>415142795</v>
      </c>
      <c r="N21">
        <v>1</v>
      </c>
      <c r="O21">
        <v>40</v>
      </c>
      <c r="P21" s="1633">
        <v>415142795</v>
      </c>
      <c r="Q21" t="s">
        <v>106</v>
      </c>
      <c r="R21" s="2392">
        <v>44567</v>
      </c>
      <c r="S21" s="2393">
        <f t="shared" si="0"/>
        <v>1</v>
      </c>
      <c r="T21" s="2394">
        <f>IF(OR(J21="COP",J21="EURO",J21="GBP"),0,IF(J21="USD",VLOOKUP(R21,'TRM BanRep'!$A:$G,7,0)))</f>
        <v>0</v>
      </c>
      <c r="U21" s="2395">
        <f t="shared" si="2"/>
        <v>0</v>
      </c>
      <c r="V21" s="2395" t="str">
        <f t="shared" si="1"/>
        <v/>
      </c>
    </row>
    <row r="22" spans="3:22" hidden="1">
      <c r="C22">
        <v>2022</v>
      </c>
      <c r="D22" t="s">
        <v>1556</v>
      </c>
      <c r="F22">
        <v>2422999997</v>
      </c>
      <c r="G22" t="s">
        <v>1575</v>
      </c>
      <c r="H22" t="s">
        <v>1578</v>
      </c>
      <c r="I22" t="s">
        <v>1583</v>
      </c>
      <c r="J22" t="s">
        <v>106</v>
      </c>
      <c r="K22">
        <v>7900000532</v>
      </c>
      <c r="L22" t="s">
        <v>1578</v>
      </c>
      <c r="M22" s="1633">
        <v>-640652462</v>
      </c>
      <c r="N22">
        <v>1</v>
      </c>
      <c r="O22">
        <v>50</v>
      </c>
      <c r="P22" s="1633">
        <v>-640652462</v>
      </c>
      <c r="Q22" t="s">
        <v>106</v>
      </c>
      <c r="R22" s="2392">
        <v>44567</v>
      </c>
      <c r="S22" s="2393">
        <f t="shared" si="0"/>
        <v>1</v>
      </c>
      <c r="T22" s="2394">
        <f>IF(OR(J22="COP",J22="EURO",J22="GBP"),0,IF(J22="USD",VLOOKUP(R22,'TRM BanRep'!$A:$G,7,0)))</f>
        <v>0</v>
      </c>
      <c r="U22" s="2395">
        <f t="shared" si="2"/>
        <v>0</v>
      </c>
      <c r="V22" s="2395" t="str">
        <f t="shared" si="1"/>
        <v/>
      </c>
    </row>
    <row r="23" spans="3:22" hidden="1">
      <c r="C23">
        <v>2022</v>
      </c>
      <c r="D23" t="s">
        <v>1556</v>
      </c>
      <c r="F23">
        <v>2422999997</v>
      </c>
      <c r="G23" t="s">
        <v>1575</v>
      </c>
      <c r="H23" t="s">
        <v>1578</v>
      </c>
      <c r="I23" t="s">
        <v>1584</v>
      </c>
      <c r="J23" t="s">
        <v>106</v>
      </c>
      <c r="K23">
        <v>7900000533</v>
      </c>
      <c r="L23" t="s">
        <v>1578</v>
      </c>
      <c r="M23" s="1633">
        <v>415142795</v>
      </c>
      <c r="N23">
        <v>1</v>
      </c>
      <c r="O23">
        <v>40</v>
      </c>
      <c r="P23" s="1633">
        <v>415142795</v>
      </c>
      <c r="Q23" t="s">
        <v>106</v>
      </c>
      <c r="R23" s="2392">
        <v>44567</v>
      </c>
      <c r="S23" s="2393">
        <f t="shared" si="0"/>
        <v>1</v>
      </c>
      <c r="T23" s="2394">
        <f>IF(OR(J23="COP",J23="EURO",J23="GBP"),0,IF(J23="USD",VLOOKUP(R23,'TRM BanRep'!$A:$G,7,0)))</f>
        <v>0</v>
      </c>
      <c r="U23" s="2395">
        <f t="shared" si="2"/>
        <v>0</v>
      </c>
      <c r="V23" s="2395" t="str">
        <f t="shared" si="1"/>
        <v/>
      </c>
    </row>
    <row r="24" spans="3:22" hidden="1">
      <c r="C24">
        <v>2022</v>
      </c>
      <c r="D24" t="s">
        <v>1556</v>
      </c>
      <c r="F24">
        <v>2422999997</v>
      </c>
      <c r="G24" t="s">
        <v>1575</v>
      </c>
      <c r="H24" t="s">
        <v>1585</v>
      </c>
      <c r="I24" t="s">
        <v>1586</v>
      </c>
      <c r="J24" t="s">
        <v>106</v>
      </c>
      <c r="K24">
        <v>7900000548</v>
      </c>
      <c r="L24" t="s">
        <v>1585</v>
      </c>
      <c r="M24" s="1633">
        <v>-803850000</v>
      </c>
      <c r="N24">
        <v>1</v>
      </c>
      <c r="O24">
        <v>50</v>
      </c>
      <c r="P24" s="1633">
        <v>-803850000</v>
      </c>
      <c r="Q24" t="s">
        <v>106</v>
      </c>
      <c r="R24" s="2392">
        <v>44572</v>
      </c>
      <c r="S24" s="2393">
        <f t="shared" si="0"/>
        <v>1</v>
      </c>
      <c r="T24" s="2394">
        <f>IF(OR(J24="COP",J24="EURO",J24="GBP"),0,IF(J24="USD",VLOOKUP(R24,'TRM BanRep'!$A:$G,7,0)))</f>
        <v>0</v>
      </c>
      <c r="U24" s="2395">
        <f t="shared" si="2"/>
        <v>0</v>
      </c>
      <c r="V24" s="2395" t="str">
        <f t="shared" si="1"/>
        <v/>
      </c>
    </row>
    <row r="25" spans="3:22" hidden="1">
      <c r="C25">
        <v>2022</v>
      </c>
      <c r="D25" t="s">
        <v>1556</v>
      </c>
      <c r="F25">
        <v>2422999997</v>
      </c>
      <c r="G25" t="s">
        <v>1575</v>
      </c>
      <c r="H25" t="s">
        <v>1585</v>
      </c>
      <c r="I25" t="s">
        <v>1587</v>
      </c>
      <c r="J25" t="s">
        <v>106</v>
      </c>
      <c r="K25">
        <v>7900000549</v>
      </c>
      <c r="L25" t="s">
        <v>1585</v>
      </c>
      <c r="M25" s="1633">
        <v>562580000</v>
      </c>
      <c r="N25">
        <v>1</v>
      </c>
      <c r="O25">
        <v>40</v>
      </c>
      <c r="P25" s="1633">
        <v>562580000</v>
      </c>
      <c r="Q25" t="s">
        <v>106</v>
      </c>
      <c r="R25" s="2392">
        <v>44572</v>
      </c>
      <c r="S25" s="2393">
        <f t="shared" si="0"/>
        <v>1</v>
      </c>
      <c r="T25" s="2394">
        <f>IF(OR(J25="COP",J25="EURO",J25="GBP"),0,IF(J25="USD",VLOOKUP(R25,'TRM BanRep'!$A:$G,7,0)))</f>
        <v>0</v>
      </c>
      <c r="U25" s="2395">
        <f t="shared" si="2"/>
        <v>0</v>
      </c>
      <c r="V25" s="2395" t="str">
        <f t="shared" si="1"/>
        <v/>
      </c>
    </row>
    <row r="26" spans="3:22" hidden="1">
      <c r="C26">
        <v>2022</v>
      </c>
      <c r="D26" t="s">
        <v>1556</v>
      </c>
      <c r="F26">
        <v>2422999997</v>
      </c>
      <c r="G26" t="s">
        <v>1575</v>
      </c>
      <c r="H26" t="s">
        <v>1585</v>
      </c>
      <c r="I26" t="s">
        <v>1588</v>
      </c>
      <c r="J26" t="s">
        <v>106</v>
      </c>
      <c r="K26">
        <v>7900000556</v>
      </c>
      <c r="L26" t="s">
        <v>1585</v>
      </c>
      <c r="M26" s="1633">
        <v>-252411029</v>
      </c>
      <c r="N26">
        <v>1</v>
      </c>
      <c r="O26">
        <v>50</v>
      </c>
      <c r="P26" s="1633">
        <v>-252411029</v>
      </c>
      <c r="Q26" t="s">
        <v>106</v>
      </c>
      <c r="R26" s="2392">
        <v>44572</v>
      </c>
      <c r="S26" s="2393">
        <f t="shared" si="0"/>
        <v>1</v>
      </c>
      <c r="T26" s="2394">
        <f>IF(OR(J26="COP",J26="EURO",J26="GBP"),0,IF(J26="USD",VLOOKUP(R26,'TRM BanRep'!$A:$G,7,0)))</f>
        <v>0</v>
      </c>
      <c r="U26" s="2395">
        <f t="shared" si="2"/>
        <v>0</v>
      </c>
      <c r="V26" s="2395" t="str">
        <f t="shared" si="1"/>
        <v/>
      </c>
    </row>
    <row r="27" spans="3:22" hidden="1">
      <c r="C27">
        <v>2022</v>
      </c>
      <c r="D27" t="s">
        <v>1556</v>
      </c>
      <c r="F27">
        <v>2422999997</v>
      </c>
      <c r="G27" t="s">
        <v>1575</v>
      </c>
      <c r="H27" t="s">
        <v>1585</v>
      </c>
      <c r="I27" t="s">
        <v>1589</v>
      </c>
      <c r="J27" t="s">
        <v>106</v>
      </c>
      <c r="K27">
        <v>7900000557</v>
      </c>
      <c r="L27" t="s">
        <v>1585</v>
      </c>
      <c r="M27" s="1633">
        <v>193287013</v>
      </c>
      <c r="N27">
        <v>1</v>
      </c>
      <c r="O27">
        <v>40</v>
      </c>
      <c r="P27" s="1633">
        <v>193287013</v>
      </c>
      <c r="Q27" t="s">
        <v>106</v>
      </c>
      <c r="R27" s="2392">
        <v>44572</v>
      </c>
      <c r="S27" s="2393">
        <f t="shared" si="0"/>
        <v>1</v>
      </c>
      <c r="T27" s="2394">
        <f>IF(OR(J27="COP",J27="EURO",J27="GBP"),0,IF(J27="USD",VLOOKUP(R27,'TRM BanRep'!$A:$G,7,0)))</f>
        <v>0</v>
      </c>
      <c r="U27" s="2395">
        <f t="shared" si="2"/>
        <v>0</v>
      </c>
      <c r="V27" s="2395" t="str">
        <f t="shared" si="1"/>
        <v/>
      </c>
    </row>
    <row r="28" spans="3:22" hidden="1">
      <c r="C28">
        <v>2022</v>
      </c>
      <c r="D28" t="s">
        <v>1556</v>
      </c>
      <c r="F28">
        <v>2422999997</v>
      </c>
      <c r="G28" t="s">
        <v>1575</v>
      </c>
      <c r="H28" t="s">
        <v>1590</v>
      </c>
      <c r="I28" t="s">
        <v>1591</v>
      </c>
      <c r="J28" t="s">
        <v>106</v>
      </c>
      <c r="K28">
        <v>7900000572</v>
      </c>
      <c r="L28" t="s">
        <v>1590</v>
      </c>
      <c r="M28" s="1633">
        <v>-484735733</v>
      </c>
      <c r="N28">
        <v>1</v>
      </c>
      <c r="O28">
        <v>50</v>
      </c>
      <c r="P28" s="1633">
        <v>-484735733</v>
      </c>
      <c r="Q28" t="s">
        <v>106</v>
      </c>
      <c r="R28" s="2392">
        <v>44574</v>
      </c>
      <c r="S28" s="2393">
        <f t="shared" si="0"/>
        <v>1</v>
      </c>
      <c r="T28" s="2394">
        <f>IF(OR(J28="COP",J28="EURO",J28="GBP"),0,IF(J28="USD",VLOOKUP(R28,'TRM BanRep'!$A:$G,7,0)))</f>
        <v>0</v>
      </c>
      <c r="U28" s="2395">
        <f t="shared" si="2"/>
        <v>0</v>
      </c>
      <c r="V28" s="2395" t="str">
        <f t="shared" si="1"/>
        <v/>
      </c>
    </row>
    <row r="29" spans="3:22" hidden="1">
      <c r="C29">
        <v>2022</v>
      </c>
      <c r="D29" t="s">
        <v>1556</v>
      </c>
      <c r="F29">
        <v>2422999997</v>
      </c>
      <c r="G29" t="s">
        <v>1575</v>
      </c>
      <c r="H29" t="s">
        <v>1590</v>
      </c>
      <c r="I29" t="s">
        <v>1592</v>
      </c>
      <c r="J29" t="s">
        <v>106</v>
      </c>
      <c r="K29">
        <v>7900000573</v>
      </c>
      <c r="L29" t="s">
        <v>1590</v>
      </c>
      <c r="M29" s="1633">
        <v>347440641</v>
      </c>
      <c r="N29">
        <v>1</v>
      </c>
      <c r="O29">
        <v>40</v>
      </c>
      <c r="P29" s="1633">
        <v>347440641</v>
      </c>
      <c r="Q29" t="s">
        <v>106</v>
      </c>
      <c r="R29" s="2392">
        <v>44574</v>
      </c>
      <c r="S29" s="2393">
        <f t="shared" si="0"/>
        <v>1</v>
      </c>
      <c r="T29" s="2394">
        <f>IF(OR(J29="COP",J29="EURO",J29="GBP"),0,IF(J29="USD",VLOOKUP(R29,'TRM BanRep'!$A:$G,7,0)))</f>
        <v>0</v>
      </c>
      <c r="U29" s="2395">
        <f t="shared" si="2"/>
        <v>0</v>
      </c>
      <c r="V29" s="2395" t="str">
        <f t="shared" si="1"/>
        <v/>
      </c>
    </row>
    <row r="30" spans="3:22" hidden="1">
      <c r="C30">
        <v>2022</v>
      </c>
      <c r="D30" t="s">
        <v>1556</v>
      </c>
      <c r="F30">
        <v>2422999997</v>
      </c>
      <c r="G30" t="s">
        <v>1575</v>
      </c>
      <c r="H30" t="s">
        <v>1593</v>
      </c>
      <c r="I30" t="s">
        <v>1594</v>
      </c>
      <c r="J30" t="s">
        <v>106</v>
      </c>
      <c r="K30">
        <v>7900000628</v>
      </c>
      <c r="L30" t="s">
        <v>1593</v>
      </c>
      <c r="M30" s="1633">
        <v>-765531245</v>
      </c>
      <c r="N30">
        <v>1</v>
      </c>
      <c r="O30">
        <v>50</v>
      </c>
      <c r="P30" s="1633">
        <v>-765531245</v>
      </c>
      <c r="Q30" t="s">
        <v>106</v>
      </c>
      <c r="R30" s="2392">
        <v>44578</v>
      </c>
      <c r="S30" s="2393">
        <f t="shared" si="0"/>
        <v>1</v>
      </c>
      <c r="T30" s="2394">
        <f>IF(OR(J30="COP",J30="EURO",J30="GBP"),0,IF(J30="USD",VLOOKUP(R30,'TRM BanRep'!$A:$G,7,0)))</f>
        <v>0</v>
      </c>
      <c r="U30" s="2395">
        <f t="shared" si="2"/>
        <v>0</v>
      </c>
      <c r="V30" s="2395" t="str">
        <f t="shared" si="1"/>
        <v/>
      </c>
    </row>
    <row r="31" spans="3:22" hidden="1">
      <c r="C31">
        <v>2022</v>
      </c>
      <c r="D31" t="s">
        <v>1556</v>
      </c>
      <c r="F31">
        <v>2422999997</v>
      </c>
      <c r="G31" t="s">
        <v>1575</v>
      </c>
      <c r="H31" t="s">
        <v>1593</v>
      </c>
      <c r="I31" t="s">
        <v>1595</v>
      </c>
      <c r="J31" t="s">
        <v>106</v>
      </c>
      <c r="K31">
        <v>7900000629</v>
      </c>
      <c r="L31" t="s">
        <v>1593</v>
      </c>
      <c r="M31" s="1633">
        <v>365380466</v>
      </c>
      <c r="N31">
        <v>1</v>
      </c>
      <c r="O31">
        <v>40</v>
      </c>
      <c r="P31" s="1633">
        <v>365380466</v>
      </c>
      <c r="Q31" t="s">
        <v>106</v>
      </c>
      <c r="R31" s="2392">
        <v>44578</v>
      </c>
      <c r="S31" s="2393">
        <f t="shared" si="0"/>
        <v>1</v>
      </c>
      <c r="T31" s="2394">
        <f>IF(OR(J31="COP",J31="EURO",J31="GBP"),0,IF(J31="USD",VLOOKUP(R31,'TRM BanRep'!$A:$G,7,0)))</f>
        <v>0</v>
      </c>
      <c r="U31" s="2395">
        <f t="shared" si="2"/>
        <v>0</v>
      </c>
      <c r="V31" s="2395" t="str">
        <f t="shared" si="1"/>
        <v/>
      </c>
    </row>
    <row r="32" spans="3:22" hidden="1">
      <c r="C32">
        <v>2022</v>
      </c>
      <c r="D32" t="s">
        <v>1556</v>
      </c>
      <c r="F32">
        <v>2422999997</v>
      </c>
      <c r="G32" t="s">
        <v>1575</v>
      </c>
      <c r="H32" t="s">
        <v>1593</v>
      </c>
      <c r="I32" t="s">
        <v>1596</v>
      </c>
      <c r="J32" t="s">
        <v>106</v>
      </c>
      <c r="K32">
        <v>7900000636</v>
      </c>
      <c r="L32" t="s">
        <v>1593</v>
      </c>
      <c r="M32" s="1633">
        <v>-1643500000</v>
      </c>
      <c r="N32">
        <v>1</v>
      </c>
      <c r="O32">
        <v>50</v>
      </c>
      <c r="P32" s="1633">
        <v>-1643500000</v>
      </c>
      <c r="Q32" t="s">
        <v>106</v>
      </c>
      <c r="R32" s="2392">
        <v>44578</v>
      </c>
      <c r="S32" s="2393">
        <f t="shared" si="0"/>
        <v>1</v>
      </c>
      <c r="T32" s="2394">
        <f>IF(OR(J32="COP",J32="EURO",J32="GBP"),0,IF(J32="USD",VLOOKUP(R32,'TRM BanRep'!$A:$G,7,0)))</f>
        <v>0</v>
      </c>
      <c r="U32" s="2395">
        <f t="shared" si="2"/>
        <v>0</v>
      </c>
      <c r="V32" s="2395" t="str">
        <f t="shared" si="1"/>
        <v/>
      </c>
    </row>
    <row r="33" spans="3:22" hidden="1">
      <c r="C33">
        <v>2022</v>
      </c>
      <c r="D33" t="s">
        <v>1556</v>
      </c>
      <c r="F33">
        <v>2422999997</v>
      </c>
      <c r="G33" t="s">
        <v>1575</v>
      </c>
      <c r="H33" t="s">
        <v>1593</v>
      </c>
      <c r="I33" t="s">
        <v>1597</v>
      </c>
      <c r="J33" t="s">
        <v>106</v>
      </c>
      <c r="K33">
        <v>7900000637</v>
      </c>
      <c r="L33" t="s">
        <v>1593</v>
      </c>
      <c r="M33" s="1633">
        <v>1191775000</v>
      </c>
      <c r="N33">
        <v>1</v>
      </c>
      <c r="O33">
        <v>40</v>
      </c>
      <c r="P33" s="1633">
        <v>1191775000</v>
      </c>
      <c r="Q33" t="s">
        <v>106</v>
      </c>
      <c r="R33" s="2392">
        <v>44578</v>
      </c>
      <c r="S33" s="2393">
        <f t="shared" si="0"/>
        <v>1</v>
      </c>
      <c r="T33" s="2394">
        <f>IF(OR(J33="COP",J33="EURO",J33="GBP"),0,IF(J33="USD",VLOOKUP(R33,'TRM BanRep'!$A:$G,7,0)))</f>
        <v>0</v>
      </c>
      <c r="U33" s="2395">
        <f t="shared" si="2"/>
        <v>0</v>
      </c>
      <c r="V33" s="2395" t="str">
        <f t="shared" si="1"/>
        <v/>
      </c>
    </row>
    <row r="34" spans="3:22" hidden="1">
      <c r="C34">
        <v>2022</v>
      </c>
      <c r="D34" t="s">
        <v>1556</v>
      </c>
      <c r="F34">
        <v>2422999997</v>
      </c>
      <c r="G34" t="s">
        <v>1575</v>
      </c>
      <c r="H34" t="s">
        <v>1593</v>
      </c>
      <c r="I34" t="s">
        <v>1598</v>
      </c>
      <c r="J34" t="s">
        <v>106</v>
      </c>
      <c r="K34">
        <v>7900000644</v>
      </c>
      <c r="L34" t="s">
        <v>1593</v>
      </c>
      <c r="M34" s="1633">
        <v>-1281374991</v>
      </c>
      <c r="N34">
        <v>1</v>
      </c>
      <c r="O34">
        <v>50</v>
      </c>
      <c r="P34" s="1633">
        <v>-1281374991</v>
      </c>
      <c r="Q34" t="s">
        <v>106</v>
      </c>
      <c r="R34" s="2392">
        <v>44578</v>
      </c>
      <c r="S34" s="2393">
        <f t="shared" si="0"/>
        <v>1</v>
      </c>
      <c r="T34" s="2394">
        <f>IF(OR(J34="COP",J34="EURO",J34="GBP"),0,IF(J34="USD",VLOOKUP(R34,'TRM BanRep'!$A:$G,7,0)))</f>
        <v>0</v>
      </c>
      <c r="U34" s="2395">
        <f t="shared" si="2"/>
        <v>0</v>
      </c>
      <c r="V34" s="2395" t="str">
        <f t="shared" si="1"/>
        <v/>
      </c>
    </row>
    <row r="35" spans="3:22" hidden="1">
      <c r="C35">
        <v>2022</v>
      </c>
      <c r="D35" t="s">
        <v>1556</v>
      </c>
      <c r="F35">
        <v>2422999997</v>
      </c>
      <c r="G35" t="s">
        <v>1575</v>
      </c>
      <c r="H35" t="s">
        <v>1593</v>
      </c>
      <c r="I35" t="s">
        <v>1599</v>
      </c>
      <c r="J35" t="s">
        <v>106</v>
      </c>
      <c r="K35">
        <v>7900000645</v>
      </c>
      <c r="L35" t="s">
        <v>1593</v>
      </c>
      <c r="M35" s="1633">
        <v>595364787</v>
      </c>
      <c r="N35">
        <v>1</v>
      </c>
      <c r="O35">
        <v>40</v>
      </c>
      <c r="P35" s="1633">
        <v>595364787</v>
      </c>
      <c r="Q35" t="s">
        <v>106</v>
      </c>
      <c r="R35" s="2392">
        <v>44578</v>
      </c>
      <c r="S35" s="2393">
        <f t="shared" si="0"/>
        <v>1</v>
      </c>
      <c r="T35" s="2394">
        <f>IF(OR(J35="COP",J35="EURO",J35="GBP"),0,IF(J35="USD",VLOOKUP(R35,'TRM BanRep'!$A:$G,7,0)))</f>
        <v>0</v>
      </c>
      <c r="U35" s="2395">
        <f t="shared" si="2"/>
        <v>0</v>
      </c>
      <c r="V35" s="2395" t="str">
        <f t="shared" si="1"/>
        <v/>
      </c>
    </row>
    <row r="36" spans="3:22" hidden="1">
      <c r="C36">
        <v>2022</v>
      </c>
      <c r="D36" t="s">
        <v>1556</v>
      </c>
      <c r="F36">
        <v>2422999997</v>
      </c>
      <c r="G36" t="s">
        <v>1575</v>
      </c>
      <c r="H36" t="s">
        <v>1593</v>
      </c>
      <c r="I36" t="s">
        <v>1600</v>
      </c>
      <c r="J36" t="s">
        <v>106</v>
      </c>
      <c r="K36">
        <v>7900000652</v>
      </c>
      <c r="L36" t="s">
        <v>1593</v>
      </c>
      <c r="M36" s="1633">
        <v>-175142489</v>
      </c>
      <c r="N36">
        <v>1</v>
      </c>
      <c r="O36">
        <v>50</v>
      </c>
      <c r="P36" s="1633">
        <v>-175142489</v>
      </c>
      <c r="Q36" t="s">
        <v>106</v>
      </c>
      <c r="R36" s="2392">
        <v>44578</v>
      </c>
      <c r="S36" s="2393">
        <f t="shared" si="0"/>
        <v>1</v>
      </c>
      <c r="T36" s="2394">
        <f>IF(OR(J36="COP",J36="EURO",J36="GBP"),0,IF(J36="USD",VLOOKUP(R36,'TRM BanRep'!$A:$G,7,0)))</f>
        <v>0</v>
      </c>
      <c r="U36" s="2395">
        <f t="shared" si="2"/>
        <v>0</v>
      </c>
      <c r="V36" s="2395" t="str">
        <f t="shared" si="1"/>
        <v/>
      </c>
    </row>
    <row r="37" spans="3:22" hidden="1">
      <c r="C37">
        <v>2022</v>
      </c>
      <c r="D37" t="s">
        <v>1556</v>
      </c>
      <c r="F37">
        <v>2422999997</v>
      </c>
      <c r="G37" t="s">
        <v>1575</v>
      </c>
      <c r="H37" t="s">
        <v>1593</v>
      </c>
      <c r="I37" t="s">
        <v>1601</v>
      </c>
      <c r="J37" t="s">
        <v>106</v>
      </c>
      <c r="K37">
        <v>7900000653</v>
      </c>
      <c r="L37" t="s">
        <v>1593</v>
      </c>
      <c r="M37" s="1633">
        <v>129419450</v>
      </c>
      <c r="N37">
        <v>1</v>
      </c>
      <c r="O37">
        <v>40</v>
      </c>
      <c r="P37" s="1633">
        <v>129419450</v>
      </c>
      <c r="Q37" t="s">
        <v>106</v>
      </c>
      <c r="R37" s="2392">
        <v>44578</v>
      </c>
      <c r="S37" s="2393">
        <f t="shared" si="0"/>
        <v>1</v>
      </c>
      <c r="T37" s="2394">
        <f>IF(OR(J37="COP",J37="EURO",J37="GBP"),0,IF(J37="USD",VLOOKUP(R37,'TRM BanRep'!$A:$G,7,0)))</f>
        <v>0</v>
      </c>
      <c r="U37" s="2395">
        <f t="shared" si="2"/>
        <v>0</v>
      </c>
      <c r="V37" s="2395" t="str">
        <f t="shared" si="1"/>
        <v/>
      </c>
    </row>
    <row r="38" spans="3:22" hidden="1">
      <c r="C38">
        <v>2022</v>
      </c>
      <c r="D38" t="s">
        <v>1556</v>
      </c>
      <c r="F38">
        <v>2422999997</v>
      </c>
      <c r="G38" t="s">
        <v>1602</v>
      </c>
      <c r="H38" t="s">
        <v>1558</v>
      </c>
      <c r="I38" t="s">
        <v>1603</v>
      </c>
      <c r="J38" t="s">
        <v>106</v>
      </c>
      <c r="K38">
        <v>7900000669</v>
      </c>
      <c r="L38" t="s">
        <v>1558</v>
      </c>
      <c r="M38" s="1633">
        <v>-6000000000</v>
      </c>
      <c r="N38">
        <v>1</v>
      </c>
      <c r="O38">
        <v>50</v>
      </c>
      <c r="P38" s="1633">
        <v>-6000000000</v>
      </c>
      <c r="Q38" t="s">
        <v>106</v>
      </c>
      <c r="R38" s="2392">
        <v>44564</v>
      </c>
      <c r="S38" s="2393">
        <f t="shared" si="0"/>
        <v>1</v>
      </c>
      <c r="T38" s="2394">
        <f>IF(OR(J38="COP",J38="EURO",J38="GBP"),0,IF(J38="USD",VLOOKUP(R38,'TRM BanRep'!$A:$G,7,0)))</f>
        <v>0</v>
      </c>
      <c r="U38" s="2395">
        <f t="shared" si="2"/>
        <v>0</v>
      </c>
      <c r="V38" s="2395" t="str">
        <f t="shared" si="1"/>
        <v/>
      </c>
    </row>
    <row r="39" spans="3:22" hidden="1">
      <c r="C39">
        <v>2022</v>
      </c>
      <c r="D39" t="s">
        <v>1556</v>
      </c>
      <c r="F39">
        <v>2422999997</v>
      </c>
      <c r="G39" t="s">
        <v>1602</v>
      </c>
      <c r="H39" t="s">
        <v>1558</v>
      </c>
      <c r="I39" t="s">
        <v>1604</v>
      </c>
      <c r="J39" t="s">
        <v>106</v>
      </c>
      <c r="K39">
        <v>7900000677</v>
      </c>
      <c r="L39" t="s">
        <v>1558</v>
      </c>
      <c r="M39" s="1633">
        <v>-2815722396</v>
      </c>
      <c r="N39">
        <v>1</v>
      </c>
      <c r="O39">
        <v>50</v>
      </c>
      <c r="P39" s="1633">
        <v>-2815722396</v>
      </c>
      <c r="Q39" t="s">
        <v>106</v>
      </c>
      <c r="R39" s="2392">
        <v>44564</v>
      </c>
      <c r="S39" s="2393">
        <f t="shared" si="0"/>
        <v>1</v>
      </c>
      <c r="T39" s="2394">
        <f>IF(OR(J39="COP",J39="EURO",J39="GBP"),0,IF(J39="USD",VLOOKUP(R39,'TRM BanRep'!$A:$G,7,0)))</f>
        <v>0</v>
      </c>
      <c r="U39" s="2395">
        <f t="shared" si="2"/>
        <v>0</v>
      </c>
      <c r="V39" s="2395" t="str">
        <f t="shared" si="1"/>
        <v/>
      </c>
    </row>
    <row r="40" spans="3:22" hidden="1">
      <c r="C40">
        <v>2022</v>
      </c>
      <c r="D40" t="s">
        <v>1556</v>
      </c>
      <c r="F40">
        <v>2422999997</v>
      </c>
      <c r="G40" t="s">
        <v>1602</v>
      </c>
      <c r="H40" t="s">
        <v>1560</v>
      </c>
      <c r="I40" t="s">
        <v>1605</v>
      </c>
      <c r="J40" t="s">
        <v>106</v>
      </c>
      <c r="K40">
        <v>7900000685</v>
      </c>
      <c r="L40" t="s">
        <v>1560</v>
      </c>
      <c r="M40" s="1633">
        <v>-3522960459</v>
      </c>
      <c r="N40">
        <v>1</v>
      </c>
      <c r="O40">
        <v>50</v>
      </c>
      <c r="P40" s="1633">
        <v>-3522960459</v>
      </c>
      <c r="Q40" t="s">
        <v>106</v>
      </c>
      <c r="R40" s="2392">
        <v>44580</v>
      </c>
      <c r="S40" s="2393">
        <f t="shared" si="0"/>
        <v>1</v>
      </c>
      <c r="T40" s="2394">
        <f>IF(OR(J40="COP",J40="EURO",J40="GBP"),0,IF(J40="USD",VLOOKUP(R40,'TRM BanRep'!$A:$G,7,0)))</f>
        <v>0</v>
      </c>
      <c r="U40" s="2395">
        <f t="shared" si="2"/>
        <v>0</v>
      </c>
      <c r="V40" s="2395" t="str">
        <f t="shared" si="1"/>
        <v/>
      </c>
    </row>
    <row r="41" spans="3:22" hidden="1">
      <c r="C41">
        <v>2022</v>
      </c>
      <c r="D41" t="s">
        <v>1556</v>
      </c>
      <c r="F41">
        <v>2422999997</v>
      </c>
      <c r="G41" t="s">
        <v>1606</v>
      </c>
      <c r="H41" t="s">
        <v>1558</v>
      </c>
      <c r="I41" t="s">
        <v>1607</v>
      </c>
      <c r="J41" t="s">
        <v>106</v>
      </c>
      <c r="K41">
        <v>7900000495</v>
      </c>
      <c r="L41" t="s">
        <v>1558</v>
      </c>
      <c r="M41" s="1633">
        <v>-829484525</v>
      </c>
      <c r="N41">
        <v>1</v>
      </c>
      <c r="O41">
        <v>50</v>
      </c>
      <c r="P41" s="1633">
        <v>-829484525</v>
      </c>
      <c r="Q41" t="s">
        <v>106</v>
      </c>
      <c r="R41" s="2392">
        <v>44564</v>
      </c>
      <c r="S41" s="2393">
        <f t="shared" si="0"/>
        <v>1</v>
      </c>
      <c r="T41" s="2394">
        <f>IF(OR(J41="COP",J41="EURO",J41="GBP"),0,IF(J41="USD",VLOOKUP(R41,'TRM BanRep'!$A:$G,7,0)))</f>
        <v>0</v>
      </c>
      <c r="U41" s="2395">
        <f t="shared" si="2"/>
        <v>0</v>
      </c>
      <c r="V41" s="2395" t="str">
        <f t="shared" si="1"/>
        <v/>
      </c>
    </row>
    <row r="42" spans="3:22" hidden="1">
      <c r="C42">
        <v>2022</v>
      </c>
      <c r="D42" t="s">
        <v>1556</v>
      </c>
      <c r="F42">
        <v>2422999997</v>
      </c>
      <c r="G42" t="s">
        <v>1557</v>
      </c>
      <c r="H42" t="s">
        <v>1562</v>
      </c>
      <c r="I42" t="s">
        <v>1563</v>
      </c>
      <c r="J42" t="s">
        <v>106</v>
      </c>
      <c r="K42">
        <v>7900000718</v>
      </c>
      <c r="L42" t="s">
        <v>1562</v>
      </c>
      <c r="M42" s="1633">
        <v>-30665250000</v>
      </c>
      <c r="N42">
        <v>1</v>
      </c>
      <c r="O42">
        <v>50</v>
      </c>
      <c r="P42" s="1633">
        <v>-30665250000</v>
      </c>
      <c r="Q42" t="s">
        <v>106</v>
      </c>
      <c r="R42" s="2392">
        <v>44589</v>
      </c>
      <c r="S42" s="2393">
        <f t="shared" si="0"/>
        <v>1</v>
      </c>
      <c r="T42" s="2394">
        <f>IF(OR(J42="COP",J42="EURO",J42="GBP"),0,IF(J42="USD",VLOOKUP(R42,'TRM BanRep'!$A:$G,7,0)))</f>
        <v>0</v>
      </c>
      <c r="U42" s="2395">
        <f t="shared" si="2"/>
        <v>0</v>
      </c>
      <c r="V42" s="2395" t="str">
        <f t="shared" si="1"/>
        <v/>
      </c>
    </row>
    <row r="43" spans="3:22" hidden="1">
      <c r="C43">
        <v>2022</v>
      </c>
      <c r="D43" t="s">
        <v>1556</v>
      </c>
      <c r="F43">
        <v>2422999997</v>
      </c>
      <c r="G43" t="s">
        <v>1608</v>
      </c>
      <c r="H43" t="s">
        <v>1558</v>
      </c>
      <c r="J43" t="s">
        <v>106</v>
      </c>
      <c r="K43">
        <v>2000000002</v>
      </c>
      <c r="L43" t="s">
        <v>1558</v>
      </c>
      <c r="M43" s="1633">
        <v>3005248405</v>
      </c>
      <c r="N43">
        <v>1</v>
      </c>
      <c r="O43">
        <v>40</v>
      </c>
      <c r="P43" s="1633">
        <v>3005248405</v>
      </c>
      <c r="Q43" t="s">
        <v>106</v>
      </c>
      <c r="R43" s="2392">
        <v>44564</v>
      </c>
      <c r="S43" s="2393">
        <f t="shared" si="0"/>
        <v>1</v>
      </c>
      <c r="T43" s="2394">
        <f>IF(OR(J43="COP",J43="EURO",J43="GBP"),0,IF(J43="USD",VLOOKUP(R43,'TRM BanRep'!$A:$G,7,0)))</f>
        <v>0</v>
      </c>
      <c r="U43" s="2395">
        <f t="shared" si="2"/>
        <v>0</v>
      </c>
      <c r="V43" s="2395" t="str">
        <f t="shared" si="1"/>
        <v/>
      </c>
    </row>
    <row r="44" spans="3:22" hidden="1">
      <c r="C44">
        <v>2022</v>
      </c>
      <c r="D44" t="s">
        <v>1556</v>
      </c>
      <c r="F44">
        <v>2422999997</v>
      </c>
      <c r="G44" t="s">
        <v>1608</v>
      </c>
      <c r="H44" t="s">
        <v>1558</v>
      </c>
      <c r="J44" t="s">
        <v>106</v>
      </c>
      <c r="K44">
        <v>2000000003</v>
      </c>
      <c r="L44" t="s">
        <v>1558</v>
      </c>
      <c r="M44" s="1633">
        <v>1035726194</v>
      </c>
      <c r="N44">
        <v>1</v>
      </c>
      <c r="O44">
        <v>40</v>
      </c>
      <c r="P44" s="1633">
        <v>1035726194</v>
      </c>
      <c r="Q44" t="s">
        <v>106</v>
      </c>
      <c r="R44" s="2392">
        <v>44564</v>
      </c>
      <c r="S44" s="2393">
        <f t="shared" si="0"/>
        <v>1</v>
      </c>
      <c r="T44" s="2394">
        <f>IF(OR(J44="COP",J44="EURO",J44="GBP"),0,IF(J44="USD",VLOOKUP(R44,'TRM BanRep'!$A:$G,7,0)))</f>
        <v>0</v>
      </c>
      <c r="U44" s="2395">
        <f t="shared" si="2"/>
        <v>0</v>
      </c>
      <c r="V44" s="2395" t="str">
        <f t="shared" si="1"/>
        <v/>
      </c>
    </row>
    <row r="45" spans="3:22" hidden="1">
      <c r="C45">
        <v>2022</v>
      </c>
      <c r="D45" t="s">
        <v>1556</v>
      </c>
      <c r="F45">
        <v>2422999997</v>
      </c>
      <c r="G45" t="s">
        <v>1608</v>
      </c>
      <c r="H45" t="s">
        <v>1578</v>
      </c>
      <c r="J45" t="s">
        <v>106</v>
      </c>
      <c r="K45">
        <v>2000000078</v>
      </c>
      <c r="L45" t="s">
        <v>1578</v>
      </c>
      <c r="M45" s="1633">
        <v>4381707124</v>
      </c>
      <c r="N45">
        <v>1</v>
      </c>
      <c r="O45">
        <v>40</v>
      </c>
      <c r="P45" s="1633">
        <v>4381707124</v>
      </c>
      <c r="Q45" t="s">
        <v>106</v>
      </c>
      <c r="R45" s="2392">
        <v>44567</v>
      </c>
      <c r="S45" s="2393">
        <f t="shared" si="0"/>
        <v>1</v>
      </c>
      <c r="T45" s="2394">
        <f>IF(OR(J45="COP",J45="EURO",J45="GBP"),0,IF(J45="USD",VLOOKUP(R45,'TRM BanRep'!$A:$G,7,0)))</f>
        <v>0</v>
      </c>
      <c r="U45" s="2395">
        <f t="shared" si="2"/>
        <v>0</v>
      </c>
      <c r="V45" s="2395" t="str">
        <f t="shared" si="1"/>
        <v/>
      </c>
    </row>
    <row r="46" spans="3:22" hidden="1">
      <c r="C46">
        <v>2022</v>
      </c>
      <c r="D46" t="s">
        <v>1556</v>
      </c>
      <c r="F46">
        <v>2422999997</v>
      </c>
      <c r="G46" t="s">
        <v>1608</v>
      </c>
      <c r="H46" t="s">
        <v>1578</v>
      </c>
      <c r="J46" t="s">
        <v>106</v>
      </c>
      <c r="K46">
        <v>2000000103</v>
      </c>
      <c r="L46" t="s">
        <v>1578</v>
      </c>
      <c r="M46" s="1633">
        <v>432604444</v>
      </c>
      <c r="N46">
        <v>1</v>
      </c>
      <c r="O46">
        <v>40</v>
      </c>
      <c r="P46" s="1633">
        <v>432604444</v>
      </c>
      <c r="Q46" t="s">
        <v>106</v>
      </c>
      <c r="R46" s="2392">
        <v>44567</v>
      </c>
      <c r="S46" s="2393">
        <f t="shared" si="0"/>
        <v>1</v>
      </c>
      <c r="T46" s="2394">
        <f>IF(OR(J46="COP",J46="EURO",J46="GBP"),0,IF(J46="USD",VLOOKUP(R46,'TRM BanRep'!$A:$G,7,0)))</f>
        <v>0</v>
      </c>
      <c r="U46" s="2395">
        <f t="shared" si="2"/>
        <v>0</v>
      </c>
      <c r="V46" s="2395" t="str">
        <f t="shared" si="1"/>
        <v/>
      </c>
    </row>
    <row r="47" spans="3:22" hidden="1">
      <c r="C47">
        <v>2022</v>
      </c>
      <c r="D47" t="s">
        <v>1556</v>
      </c>
      <c r="F47">
        <v>2422999997</v>
      </c>
      <c r="G47" t="s">
        <v>1608</v>
      </c>
      <c r="H47" t="s">
        <v>1578</v>
      </c>
      <c r="J47" t="s">
        <v>106</v>
      </c>
      <c r="K47">
        <v>2000000124</v>
      </c>
      <c r="L47" t="s">
        <v>1578</v>
      </c>
      <c r="M47" s="1633">
        <v>393787714</v>
      </c>
      <c r="N47">
        <v>1</v>
      </c>
      <c r="O47">
        <v>40</v>
      </c>
      <c r="P47" s="1633">
        <v>393787714</v>
      </c>
      <c r="Q47" t="s">
        <v>106</v>
      </c>
      <c r="R47" s="2392">
        <v>44567</v>
      </c>
      <c r="S47" s="2393">
        <f t="shared" si="0"/>
        <v>1</v>
      </c>
      <c r="T47" s="2394">
        <f>IF(OR(J47="COP",J47="EURO",J47="GBP"),0,IF(J47="USD",VLOOKUP(R47,'TRM BanRep'!$A:$G,7,0)))</f>
        <v>0</v>
      </c>
      <c r="U47" s="2395">
        <f t="shared" si="2"/>
        <v>0</v>
      </c>
      <c r="V47" s="2395" t="str">
        <f t="shared" si="1"/>
        <v/>
      </c>
    </row>
    <row r="48" spans="3:22" hidden="1">
      <c r="C48">
        <v>2022</v>
      </c>
      <c r="D48" t="s">
        <v>1556</v>
      </c>
      <c r="F48">
        <v>2422999997</v>
      </c>
      <c r="G48" t="s">
        <v>1608</v>
      </c>
      <c r="H48" t="s">
        <v>1585</v>
      </c>
      <c r="J48" t="s">
        <v>106</v>
      </c>
      <c r="K48">
        <v>2000000380</v>
      </c>
      <c r="L48" t="s">
        <v>1585</v>
      </c>
      <c r="M48" s="1633">
        <v>59124016</v>
      </c>
      <c r="N48">
        <v>1</v>
      </c>
      <c r="O48">
        <v>40</v>
      </c>
      <c r="P48" s="1633">
        <v>59124016</v>
      </c>
      <c r="Q48" t="s">
        <v>106</v>
      </c>
      <c r="R48" s="2392">
        <v>44572</v>
      </c>
      <c r="S48" s="2393">
        <f t="shared" si="0"/>
        <v>1</v>
      </c>
      <c r="T48" s="2394">
        <f>IF(OR(J48="COP",J48="EURO",J48="GBP"),0,IF(J48="USD",VLOOKUP(R48,'TRM BanRep'!$A:$G,7,0)))</f>
        <v>0</v>
      </c>
      <c r="U48" s="2395">
        <f t="shared" si="2"/>
        <v>0</v>
      </c>
      <c r="V48" s="2395" t="str">
        <f t="shared" si="1"/>
        <v/>
      </c>
    </row>
    <row r="49" spans="3:22" hidden="1">
      <c r="C49">
        <v>2022</v>
      </c>
      <c r="D49" t="s">
        <v>1556</v>
      </c>
      <c r="F49">
        <v>2422999997</v>
      </c>
      <c r="G49" t="s">
        <v>1608</v>
      </c>
      <c r="H49" t="s">
        <v>1585</v>
      </c>
      <c r="J49" t="s">
        <v>106</v>
      </c>
      <c r="K49">
        <v>2000000381</v>
      </c>
      <c r="L49" t="s">
        <v>1585</v>
      </c>
      <c r="M49" s="1633">
        <v>642032270</v>
      </c>
      <c r="N49">
        <v>1</v>
      </c>
      <c r="O49">
        <v>40</v>
      </c>
      <c r="P49" s="1633">
        <v>642032270</v>
      </c>
      <c r="Q49" t="s">
        <v>106</v>
      </c>
      <c r="R49" s="2392">
        <v>44572</v>
      </c>
      <c r="S49" s="2393">
        <f t="shared" si="0"/>
        <v>1</v>
      </c>
      <c r="T49" s="2394">
        <f>IF(OR(J49="COP",J49="EURO",J49="GBP"),0,IF(J49="USD",VLOOKUP(R49,'TRM BanRep'!$A:$G,7,0)))</f>
        <v>0</v>
      </c>
      <c r="U49" s="2395">
        <f t="shared" si="2"/>
        <v>0</v>
      </c>
      <c r="V49" s="2395" t="str">
        <f t="shared" si="1"/>
        <v/>
      </c>
    </row>
    <row r="50" spans="3:22" hidden="1">
      <c r="C50">
        <v>2022</v>
      </c>
      <c r="D50" t="s">
        <v>1556</v>
      </c>
      <c r="F50">
        <v>2422999997</v>
      </c>
      <c r="G50" t="s">
        <v>1608</v>
      </c>
      <c r="H50" t="s">
        <v>1585</v>
      </c>
      <c r="J50" t="s">
        <v>106</v>
      </c>
      <c r="K50">
        <v>2000000382</v>
      </c>
      <c r="L50" t="s">
        <v>1585</v>
      </c>
      <c r="M50" s="1633">
        <v>1167331391</v>
      </c>
      <c r="N50">
        <v>1</v>
      </c>
      <c r="O50">
        <v>40</v>
      </c>
      <c r="P50" s="1633">
        <v>1167331391</v>
      </c>
      <c r="Q50" t="s">
        <v>106</v>
      </c>
      <c r="R50" s="2392">
        <v>44572</v>
      </c>
      <c r="S50" s="2393">
        <f t="shared" si="0"/>
        <v>1</v>
      </c>
      <c r="T50" s="2394">
        <f>IF(OR(J50="COP",J50="EURO",J50="GBP"),0,IF(J50="USD",VLOOKUP(R50,'TRM BanRep'!$A:$G,7,0)))</f>
        <v>0</v>
      </c>
      <c r="U50" s="2395">
        <f t="shared" si="2"/>
        <v>0</v>
      </c>
      <c r="V50" s="2395" t="str">
        <f t="shared" si="1"/>
        <v/>
      </c>
    </row>
    <row r="51" spans="3:22" hidden="1">
      <c r="C51">
        <v>2022</v>
      </c>
      <c r="D51" t="s">
        <v>1556</v>
      </c>
      <c r="F51">
        <v>2422999997</v>
      </c>
      <c r="G51" t="s">
        <v>1608</v>
      </c>
      <c r="H51" t="s">
        <v>1585</v>
      </c>
      <c r="J51" t="s">
        <v>106</v>
      </c>
      <c r="K51">
        <v>2000000385</v>
      </c>
      <c r="L51" t="s">
        <v>1585</v>
      </c>
      <c r="M51" s="1633">
        <v>241270000</v>
      </c>
      <c r="N51">
        <v>1</v>
      </c>
      <c r="O51">
        <v>40</v>
      </c>
      <c r="P51" s="1633">
        <v>241270000</v>
      </c>
      <c r="Q51" t="s">
        <v>106</v>
      </c>
      <c r="R51" s="2392">
        <v>44572</v>
      </c>
      <c r="S51" s="2393">
        <f t="shared" si="0"/>
        <v>1</v>
      </c>
      <c r="T51" s="2394">
        <f>IF(OR(J51="COP",J51="EURO",J51="GBP"),0,IF(J51="USD",VLOOKUP(R51,'TRM BanRep'!$A:$G,7,0)))</f>
        <v>0</v>
      </c>
      <c r="U51" s="2395">
        <f t="shared" si="2"/>
        <v>0</v>
      </c>
      <c r="V51" s="2395" t="str">
        <f t="shared" si="1"/>
        <v/>
      </c>
    </row>
    <row r="52" spans="3:22" hidden="1">
      <c r="C52">
        <v>2022</v>
      </c>
      <c r="D52" t="s">
        <v>1556</v>
      </c>
      <c r="F52">
        <v>2422999997</v>
      </c>
      <c r="G52" t="s">
        <v>1608</v>
      </c>
      <c r="H52" t="s">
        <v>1590</v>
      </c>
      <c r="J52" t="s">
        <v>106</v>
      </c>
      <c r="K52">
        <v>2000000424</v>
      </c>
      <c r="L52" t="s">
        <v>1590</v>
      </c>
      <c r="M52" s="1633">
        <v>137295092</v>
      </c>
      <c r="N52">
        <v>1</v>
      </c>
      <c r="O52">
        <v>40</v>
      </c>
      <c r="P52" s="1633">
        <v>137295092</v>
      </c>
      <c r="Q52" t="s">
        <v>106</v>
      </c>
      <c r="R52" s="2392">
        <v>44574</v>
      </c>
      <c r="S52" s="2393">
        <f t="shared" si="0"/>
        <v>1</v>
      </c>
      <c r="T52" s="2394">
        <f>IF(OR(J52="COP",J52="EURO",J52="GBP"),0,IF(J52="USD",VLOOKUP(R52,'TRM BanRep'!$A:$G,7,0)))</f>
        <v>0</v>
      </c>
      <c r="U52" s="2395">
        <f t="shared" si="2"/>
        <v>0</v>
      </c>
      <c r="V52" s="2395" t="str">
        <f t="shared" si="1"/>
        <v/>
      </c>
    </row>
    <row r="53" spans="3:22" hidden="1">
      <c r="C53">
        <v>2022</v>
      </c>
      <c r="D53" t="s">
        <v>1556</v>
      </c>
      <c r="F53">
        <v>2422999997</v>
      </c>
      <c r="G53" t="s">
        <v>1608</v>
      </c>
      <c r="H53" t="s">
        <v>1593</v>
      </c>
      <c r="J53" t="s">
        <v>106</v>
      </c>
      <c r="K53">
        <v>2000000456</v>
      </c>
      <c r="L53" t="s">
        <v>1593</v>
      </c>
      <c r="M53" s="1633">
        <v>6776626890</v>
      </c>
      <c r="N53">
        <v>1</v>
      </c>
      <c r="O53">
        <v>40</v>
      </c>
      <c r="P53" s="1633">
        <v>6776626890</v>
      </c>
      <c r="Q53" t="s">
        <v>106</v>
      </c>
      <c r="R53" s="2392">
        <v>44578</v>
      </c>
      <c r="S53" s="2393">
        <f t="shared" si="0"/>
        <v>1</v>
      </c>
      <c r="T53" s="2394">
        <f>IF(OR(J53="COP",J53="EURO",J53="GBP"),0,IF(J53="USD",VLOOKUP(R53,'TRM BanRep'!$A:$G,7,0)))</f>
        <v>0</v>
      </c>
      <c r="U53" s="2395">
        <f t="shared" si="2"/>
        <v>0</v>
      </c>
      <c r="V53" s="2395" t="str">
        <f t="shared" si="1"/>
        <v/>
      </c>
    </row>
    <row r="54" spans="3:22" hidden="1">
      <c r="C54">
        <v>2022</v>
      </c>
      <c r="D54" t="s">
        <v>1556</v>
      </c>
      <c r="F54">
        <v>2422999997</v>
      </c>
      <c r="G54" t="s">
        <v>1608</v>
      </c>
      <c r="H54" t="s">
        <v>1590</v>
      </c>
      <c r="J54" t="s">
        <v>106</v>
      </c>
      <c r="K54">
        <v>2000000457</v>
      </c>
      <c r="L54" t="s">
        <v>1590</v>
      </c>
      <c r="M54" s="1633">
        <v>1077955195</v>
      </c>
      <c r="N54">
        <v>1</v>
      </c>
      <c r="O54">
        <v>40</v>
      </c>
      <c r="P54" s="1633">
        <v>1077955195</v>
      </c>
      <c r="Q54" t="s">
        <v>106</v>
      </c>
      <c r="R54" s="2392">
        <v>44574</v>
      </c>
      <c r="S54" s="2393">
        <f t="shared" si="0"/>
        <v>1</v>
      </c>
      <c r="T54" s="2394">
        <f>IF(OR(J54="COP",J54="EURO",J54="GBP"),0,IF(J54="USD",VLOOKUP(R54,'TRM BanRep'!$A:$G,7,0)))</f>
        <v>0</v>
      </c>
      <c r="U54" s="2395">
        <f t="shared" si="2"/>
        <v>0</v>
      </c>
      <c r="V54" s="2395" t="str">
        <f t="shared" si="1"/>
        <v/>
      </c>
    </row>
    <row r="55" spans="3:22" hidden="1">
      <c r="C55">
        <v>2022</v>
      </c>
      <c r="D55" t="s">
        <v>1556</v>
      </c>
      <c r="F55">
        <v>2422999997</v>
      </c>
      <c r="G55" t="s">
        <v>1608</v>
      </c>
      <c r="H55" t="s">
        <v>1593</v>
      </c>
      <c r="J55" t="s">
        <v>106</v>
      </c>
      <c r="K55">
        <v>2000000458</v>
      </c>
      <c r="L55" t="s">
        <v>1593</v>
      </c>
      <c r="M55" s="1633">
        <v>851875779</v>
      </c>
      <c r="N55">
        <v>1</v>
      </c>
      <c r="O55">
        <v>40</v>
      </c>
      <c r="P55" s="1633">
        <v>851875779</v>
      </c>
      <c r="Q55" t="s">
        <v>106</v>
      </c>
      <c r="R55" s="2392">
        <v>44578</v>
      </c>
      <c r="S55" s="2393">
        <f t="shared" si="0"/>
        <v>1</v>
      </c>
      <c r="T55" s="2394">
        <f>IF(OR(J55="COP",J55="EURO",J55="GBP"),0,IF(J55="USD",VLOOKUP(R55,'TRM BanRep'!$A:$G,7,0)))</f>
        <v>0</v>
      </c>
      <c r="U55" s="2395">
        <f t="shared" si="2"/>
        <v>0</v>
      </c>
      <c r="V55" s="2395" t="str">
        <f t="shared" si="1"/>
        <v/>
      </c>
    </row>
    <row r="56" spans="3:22" hidden="1">
      <c r="C56">
        <v>2022</v>
      </c>
      <c r="D56" t="s">
        <v>1556</v>
      </c>
      <c r="F56">
        <v>2422999997</v>
      </c>
      <c r="G56" t="s">
        <v>1608</v>
      </c>
      <c r="H56" t="s">
        <v>1593</v>
      </c>
      <c r="J56" t="s">
        <v>106</v>
      </c>
      <c r="K56">
        <v>2000000509</v>
      </c>
      <c r="L56" t="s">
        <v>1593</v>
      </c>
      <c r="M56" s="1633">
        <v>731733243</v>
      </c>
      <c r="N56">
        <v>1</v>
      </c>
      <c r="O56">
        <v>40</v>
      </c>
      <c r="P56" s="1633">
        <v>731733243</v>
      </c>
      <c r="Q56" t="s">
        <v>106</v>
      </c>
      <c r="R56" s="2392">
        <v>44578</v>
      </c>
      <c r="S56" s="2393">
        <f t="shared" si="0"/>
        <v>1</v>
      </c>
      <c r="T56" s="2394">
        <f>IF(OR(J56="COP",J56="EURO",J56="GBP"),0,IF(J56="USD",VLOOKUP(R56,'TRM BanRep'!$A:$G,7,0)))</f>
        <v>0</v>
      </c>
      <c r="U56" s="2395">
        <f t="shared" si="2"/>
        <v>0</v>
      </c>
      <c r="V56" s="2395" t="str">
        <f t="shared" si="1"/>
        <v/>
      </c>
    </row>
    <row r="57" spans="3:22" hidden="1">
      <c r="C57">
        <v>2022</v>
      </c>
      <c r="D57" t="s">
        <v>1556</v>
      </c>
      <c r="F57">
        <v>2422999997</v>
      </c>
      <c r="G57" t="s">
        <v>1608</v>
      </c>
      <c r="H57" t="s">
        <v>1558</v>
      </c>
      <c r="J57" t="s">
        <v>106</v>
      </c>
      <c r="K57">
        <v>2000000777</v>
      </c>
      <c r="L57" t="s">
        <v>1558</v>
      </c>
      <c r="M57" s="1633">
        <v>6000000000</v>
      </c>
      <c r="N57">
        <v>1</v>
      </c>
      <c r="O57">
        <v>40</v>
      </c>
      <c r="P57" s="1633">
        <v>6000000000</v>
      </c>
      <c r="Q57" t="s">
        <v>106</v>
      </c>
      <c r="R57" s="2392">
        <v>44564</v>
      </c>
      <c r="S57" s="2393">
        <f t="shared" si="0"/>
        <v>1</v>
      </c>
      <c r="T57" s="2394">
        <f>IF(OR(J57="COP",J57="EURO",J57="GBP"),0,IF(J57="USD",VLOOKUP(R57,'TRM BanRep'!$A:$G,7,0)))</f>
        <v>0</v>
      </c>
      <c r="U57" s="2395">
        <f t="shared" si="2"/>
        <v>0</v>
      </c>
      <c r="V57" s="2395" t="str">
        <f t="shared" si="1"/>
        <v/>
      </c>
    </row>
    <row r="58" spans="3:22" hidden="1">
      <c r="C58">
        <v>2022</v>
      </c>
      <c r="D58" t="s">
        <v>1556</v>
      </c>
      <c r="F58">
        <v>2422999997</v>
      </c>
      <c r="G58" t="s">
        <v>1608</v>
      </c>
      <c r="H58" t="s">
        <v>1558</v>
      </c>
      <c r="J58" t="s">
        <v>106</v>
      </c>
      <c r="K58">
        <v>2000000778</v>
      </c>
      <c r="L58" t="s">
        <v>1558</v>
      </c>
      <c r="M58" s="1633">
        <v>2815722396</v>
      </c>
      <c r="N58">
        <v>1</v>
      </c>
      <c r="O58">
        <v>40</v>
      </c>
      <c r="P58" s="1633">
        <v>2815722396</v>
      </c>
      <c r="Q58" t="s">
        <v>106</v>
      </c>
      <c r="R58" s="2392">
        <v>44564</v>
      </c>
      <c r="S58" s="2393">
        <f t="shared" si="0"/>
        <v>1</v>
      </c>
      <c r="T58" s="2394">
        <f>IF(OR(J58="COP",J58="EURO",J58="GBP"),0,IF(J58="USD",VLOOKUP(R58,'TRM BanRep'!$A:$G,7,0)))</f>
        <v>0</v>
      </c>
      <c r="U58" s="2395">
        <f t="shared" si="2"/>
        <v>0</v>
      </c>
      <c r="V58" s="2395" t="str">
        <f t="shared" si="1"/>
        <v/>
      </c>
    </row>
    <row r="59" spans="3:22" hidden="1">
      <c r="C59">
        <v>2022</v>
      </c>
      <c r="D59" t="s">
        <v>1556</v>
      </c>
      <c r="F59">
        <v>2422999997</v>
      </c>
      <c r="G59" t="s">
        <v>1608</v>
      </c>
      <c r="H59" t="s">
        <v>1560</v>
      </c>
      <c r="J59" t="s">
        <v>106</v>
      </c>
      <c r="K59">
        <v>2000000779</v>
      </c>
      <c r="L59" t="s">
        <v>1560</v>
      </c>
      <c r="M59" s="1633">
        <v>3522960459</v>
      </c>
      <c r="N59">
        <v>1</v>
      </c>
      <c r="O59">
        <v>40</v>
      </c>
      <c r="P59" s="1633">
        <v>3522960459</v>
      </c>
      <c r="Q59" t="s">
        <v>106</v>
      </c>
      <c r="R59" s="2392">
        <v>44580</v>
      </c>
      <c r="S59" s="2393">
        <f t="shared" si="0"/>
        <v>1</v>
      </c>
      <c r="T59" s="2394">
        <f>IF(OR(J59="COP",J59="EURO",J59="GBP"),0,IF(J59="USD",VLOOKUP(R59,'TRM BanRep'!$A:$G,7,0)))</f>
        <v>0</v>
      </c>
      <c r="U59" s="2395">
        <f t="shared" si="2"/>
        <v>0</v>
      </c>
      <c r="V59" s="2395" t="str">
        <f t="shared" si="1"/>
        <v/>
      </c>
    </row>
    <row r="60" spans="3:22" hidden="1">
      <c r="C60">
        <v>2022</v>
      </c>
      <c r="D60" t="s">
        <v>1556</v>
      </c>
      <c r="F60">
        <v>2422999997</v>
      </c>
      <c r="G60" t="s">
        <v>1608</v>
      </c>
      <c r="H60" t="s">
        <v>1562</v>
      </c>
      <c r="J60" t="s">
        <v>106</v>
      </c>
      <c r="K60">
        <v>2000000810</v>
      </c>
      <c r="L60" t="s">
        <v>1562</v>
      </c>
      <c r="M60" s="1633">
        <v>30665250000</v>
      </c>
      <c r="N60">
        <v>1</v>
      </c>
      <c r="O60">
        <v>40</v>
      </c>
      <c r="P60" s="1633">
        <v>30665250000</v>
      </c>
      <c r="Q60" t="s">
        <v>106</v>
      </c>
      <c r="R60" s="2392">
        <v>44589</v>
      </c>
      <c r="S60" s="2393">
        <f t="shared" si="0"/>
        <v>1</v>
      </c>
      <c r="T60" s="2394">
        <f>IF(OR(J60="COP",J60="EURO",J60="GBP"),0,IF(J60="USD",VLOOKUP(R60,'TRM BanRep'!$A:$G,7,0)))</f>
        <v>0</v>
      </c>
      <c r="U60" s="2395">
        <f t="shared" si="2"/>
        <v>0</v>
      </c>
      <c r="V60" s="2395" t="str">
        <f t="shared" si="1"/>
        <v/>
      </c>
    </row>
    <row r="61" spans="3:22" hidden="1">
      <c r="C61">
        <v>2022</v>
      </c>
      <c r="D61" t="s">
        <v>1556</v>
      </c>
      <c r="F61">
        <v>2422999997</v>
      </c>
      <c r="G61" t="s">
        <v>1609</v>
      </c>
      <c r="H61" t="s">
        <v>1558</v>
      </c>
      <c r="I61" t="s">
        <v>1610</v>
      </c>
      <c r="J61" t="s">
        <v>106</v>
      </c>
      <c r="K61">
        <v>7900000494</v>
      </c>
      <c r="L61" t="s">
        <v>1558</v>
      </c>
      <c r="M61" s="1633">
        <v>-1747008822</v>
      </c>
      <c r="N61">
        <v>1</v>
      </c>
      <c r="O61">
        <v>50</v>
      </c>
      <c r="P61" s="1633">
        <v>-1747008822</v>
      </c>
      <c r="Q61" t="s">
        <v>106</v>
      </c>
      <c r="R61" s="2392">
        <v>44564</v>
      </c>
      <c r="S61" s="2393">
        <f t="shared" si="0"/>
        <v>1</v>
      </c>
      <c r="T61" s="2394">
        <f>IF(OR(J61="COP",J61="EURO",J61="GBP"),0,IF(J61="USD",VLOOKUP(R61,'TRM BanRep'!$A:$G,7,0)))</f>
        <v>0</v>
      </c>
      <c r="U61" s="2395">
        <f t="shared" si="2"/>
        <v>0</v>
      </c>
      <c r="V61" s="2395" t="str">
        <f t="shared" si="1"/>
        <v/>
      </c>
    </row>
    <row r="62" spans="3:22" hidden="1">
      <c r="C62">
        <v>2022</v>
      </c>
      <c r="D62" t="s">
        <v>1556</v>
      </c>
      <c r="F62">
        <v>2422999997</v>
      </c>
      <c r="G62" t="s">
        <v>1609</v>
      </c>
      <c r="H62" t="s">
        <v>1558</v>
      </c>
      <c r="I62" t="s">
        <v>1611</v>
      </c>
      <c r="J62" t="s">
        <v>106</v>
      </c>
      <c r="K62">
        <v>7900000496</v>
      </c>
      <c r="L62" t="s">
        <v>1558</v>
      </c>
      <c r="M62" s="1633">
        <v>-428755058</v>
      </c>
      <c r="N62">
        <v>1</v>
      </c>
      <c r="O62">
        <v>50</v>
      </c>
      <c r="P62" s="1633">
        <v>-428755058</v>
      </c>
      <c r="Q62" t="s">
        <v>106</v>
      </c>
      <c r="R62" s="2392">
        <v>44564</v>
      </c>
      <c r="S62" s="2393">
        <f t="shared" si="0"/>
        <v>1</v>
      </c>
      <c r="T62" s="2394">
        <f>IF(OR(J62="COP",J62="EURO",J62="GBP"),0,IF(J62="USD",VLOOKUP(R62,'TRM BanRep'!$A:$G,7,0)))</f>
        <v>0</v>
      </c>
      <c r="U62" s="2395">
        <f t="shared" si="2"/>
        <v>0</v>
      </c>
      <c r="V62" s="2395" t="str">
        <f t="shared" si="1"/>
        <v/>
      </c>
    </row>
    <row r="63" spans="3:22" hidden="1">
      <c r="C63">
        <v>2022</v>
      </c>
      <c r="D63" t="s">
        <v>1556</v>
      </c>
      <c r="F63">
        <v>2422999997</v>
      </c>
      <c r="G63" t="s">
        <v>1609</v>
      </c>
      <c r="H63" t="s">
        <v>1578</v>
      </c>
      <c r="I63" t="s">
        <v>1612</v>
      </c>
      <c r="J63" t="s">
        <v>106</v>
      </c>
      <c r="K63">
        <v>7900000510</v>
      </c>
      <c r="L63" t="s">
        <v>1578</v>
      </c>
      <c r="M63" s="1633">
        <v>-4381707124</v>
      </c>
      <c r="N63">
        <v>1</v>
      </c>
      <c r="O63">
        <v>50</v>
      </c>
      <c r="P63" s="1633">
        <v>-4381707124</v>
      </c>
      <c r="Q63" t="s">
        <v>106</v>
      </c>
      <c r="R63" s="2392">
        <v>44567</v>
      </c>
      <c r="S63" s="2393">
        <f t="shared" si="0"/>
        <v>1</v>
      </c>
      <c r="T63" s="2394">
        <f>IF(OR(J63="COP",J63="EURO",J63="GBP"),0,IF(J63="USD",VLOOKUP(R63,'TRM BanRep'!$A:$G,7,0)))</f>
        <v>0</v>
      </c>
      <c r="U63" s="2395">
        <f t="shared" si="2"/>
        <v>0</v>
      </c>
      <c r="V63" s="2395" t="str">
        <f t="shared" si="1"/>
        <v/>
      </c>
    </row>
    <row r="64" spans="3:22" hidden="1">
      <c r="C64">
        <v>2022</v>
      </c>
      <c r="D64" t="s">
        <v>1556</v>
      </c>
      <c r="F64">
        <v>2422999997</v>
      </c>
      <c r="G64" t="s">
        <v>1609</v>
      </c>
      <c r="H64" t="s">
        <v>1585</v>
      </c>
      <c r="I64" t="s">
        <v>1613</v>
      </c>
      <c r="J64" t="s">
        <v>106</v>
      </c>
      <c r="K64">
        <v>7900000538</v>
      </c>
      <c r="L64" t="s">
        <v>1585</v>
      </c>
      <c r="M64" s="1633">
        <v>-1167331391</v>
      </c>
      <c r="N64">
        <v>1</v>
      </c>
      <c r="O64">
        <v>50</v>
      </c>
      <c r="P64" s="1633">
        <v>-1167331391</v>
      </c>
      <c r="Q64" t="s">
        <v>106</v>
      </c>
      <c r="R64" s="2392">
        <v>44572</v>
      </c>
      <c r="S64" s="2393">
        <f t="shared" si="0"/>
        <v>1</v>
      </c>
      <c r="T64" s="2394">
        <f>IF(OR(J64="COP",J64="EURO",J64="GBP"),0,IF(J64="USD",VLOOKUP(R64,'TRM BanRep'!$A:$G,7,0)))</f>
        <v>0</v>
      </c>
      <c r="U64" s="2395">
        <f t="shared" si="2"/>
        <v>0</v>
      </c>
      <c r="V64" s="2395" t="str">
        <f t="shared" si="1"/>
        <v/>
      </c>
    </row>
    <row r="65" spans="3:23" hidden="1">
      <c r="C65">
        <v>2022</v>
      </c>
      <c r="D65" t="s">
        <v>1556</v>
      </c>
      <c r="F65">
        <v>2422999997</v>
      </c>
      <c r="G65" t="s">
        <v>1609</v>
      </c>
      <c r="H65" t="s">
        <v>1585</v>
      </c>
      <c r="I65" t="s">
        <v>1614</v>
      </c>
      <c r="J65" t="s">
        <v>106</v>
      </c>
      <c r="K65">
        <v>7900000542</v>
      </c>
      <c r="L65" t="s">
        <v>1585</v>
      </c>
      <c r="M65" s="1633">
        <v>-642032270</v>
      </c>
      <c r="N65">
        <v>1</v>
      </c>
      <c r="O65">
        <v>50</v>
      </c>
      <c r="P65" s="1633">
        <v>-642032270</v>
      </c>
      <c r="Q65" t="s">
        <v>106</v>
      </c>
      <c r="R65" s="2392">
        <v>44572</v>
      </c>
      <c r="S65" s="2393">
        <f t="shared" si="0"/>
        <v>1</v>
      </c>
      <c r="T65" s="2394">
        <f>IF(OR(J65="COP",J65="EURO",J65="GBP"),0,IF(J65="USD",VLOOKUP(R65,'TRM BanRep'!$A:$G,7,0)))</f>
        <v>0</v>
      </c>
      <c r="U65" s="2395">
        <f t="shared" si="2"/>
        <v>0</v>
      </c>
      <c r="V65" s="2395" t="str">
        <f t="shared" si="1"/>
        <v/>
      </c>
    </row>
    <row r="66" spans="3:23" hidden="1">
      <c r="C66">
        <v>2022</v>
      </c>
      <c r="D66" t="s">
        <v>1556</v>
      </c>
      <c r="F66">
        <v>2422999997</v>
      </c>
      <c r="G66" t="s">
        <v>1609</v>
      </c>
      <c r="H66" t="s">
        <v>1590</v>
      </c>
      <c r="I66" t="s">
        <v>1615</v>
      </c>
      <c r="J66" t="s">
        <v>106</v>
      </c>
      <c r="K66">
        <v>7900000562</v>
      </c>
      <c r="L66" t="s">
        <v>1590</v>
      </c>
      <c r="M66" s="1633">
        <v>-1077696320</v>
      </c>
      <c r="N66">
        <v>1</v>
      </c>
      <c r="O66">
        <v>50</v>
      </c>
      <c r="P66" s="1633">
        <v>-1077696320</v>
      </c>
      <c r="Q66" t="s">
        <v>106</v>
      </c>
      <c r="R66" s="2392">
        <v>44574</v>
      </c>
      <c r="S66" s="2393">
        <f t="shared" si="0"/>
        <v>1</v>
      </c>
      <c r="T66" s="2394">
        <f>IF(OR(J66="COP",J66="EURO",J66="GBP"),0,IF(J66="USD",VLOOKUP(R66,'TRM BanRep'!$A:$G,7,0)))</f>
        <v>0</v>
      </c>
      <c r="U66" s="2395">
        <f t="shared" si="2"/>
        <v>0</v>
      </c>
      <c r="V66" s="2395" t="str">
        <f t="shared" si="1"/>
        <v/>
      </c>
    </row>
    <row r="67" spans="3:23" hidden="1">
      <c r="C67">
        <v>2022</v>
      </c>
      <c r="D67" t="s">
        <v>1556</v>
      </c>
      <c r="F67">
        <v>2422999997</v>
      </c>
      <c r="G67" t="s">
        <v>1609</v>
      </c>
      <c r="H67" t="s">
        <v>1590</v>
      </c>
      <c r="I67" t="s">
        <v>1615</v>
      </c>
      <c r="J67" t="s">
        <v>106</v>
      </c>
      <c r="K67">
        <v>7900000566</v>
      </c>
      <c r="L67" t="s">
        <v>1590</v>
      </c>
      <c r="M67" s="1633">
        <v>1077696320</v>
      </c>
      <c r="N67">
        <v>1</v>
      </c>
      <c r="O67">
        <v>40</v>
      </c>
      <c r="P67" s="1633">
        <v>1077696320</v>
      </c>
      <c r="Q67" t="s">
        <v>106</v>
      </c>
      <c r="R67" s="2392">
        <v>44574</v>
      </c>
      <c r="S67" s="2393">
        <f t="shared" si="0"/>
        <v>1</v>
      </c>
      <c r="T67" s="2394">
        <f>IF(OR(J67="COP",J67="EURO",J67="GBP"),0,IF(J67="USD",VLOOKUP(R67,'TRM BanRep'!$A:$G,7,0)))</f>
        <v>0</v>
      </c>
      <c r="U67" s="2395">
        <f t="shared" si="2"/>
        <v>0</v>
      </c>
      <c r="V67" s="2395" t="str">
        <f t="shared" si="1"/>
        <v/>
      </c>
    </row>
    <row r="68" spans="3:23" hidden="1">
      <c r="C68">
        <v>2022</v>
      </c>
      <c r="D68" t="s">
        <v>1556</v>
      </c>
      <c r="F68">
        <v>2422999997</v>
      </c>
      <c r="G68" t="s">
        <v>1609</v>
      </c>
      <c r="H68" t="s">
        <v>1593</v>
      </c>
      <c r="I68" t="s">
        <v>1616</v>
      </c>
      <c r="J68" t="s">
        <v>106</v>
      </c>
      <c r="K68">
        <v>7900000578</v>
      </c>
      <c r="L68" t="s">
        <v>1593</v>
      </c>
      <c r="M68" s="1633">
        <v>-6776626890</v>
      </c>
      <c r="N68">
        <v>1</v>
      </c>
      <c r="O68">
        <v>50</v>
      </c>
      <c r="P68" s="1633">
        <v>-6776626890</v>
      </c>
      <c r="Q68" t="s">
        <v>106</v>
      </c>
      <c r="R68" s="2392">
        <v>44578</v>
      </c>
      <c r="S68" s="2393">
        <f t="shared" si="0"/>
        <v>1</v>
      </c>
      <c r="T68" s="2394">
        <f>IF(OR(J68="COP",J68="EURO",J68="GBP"),0,IF(J68="USD",VLOOKUP(R68,'TRM BanRep'!$A:$G,7,0)))</f>
        <v>0</v>
      </c>
      <c r="U68" s="2395">
        <f t="shared" si="2"/>
        <v>0</v>
      </c>
      <c r="V68" s="2395" t="str">
        <f t="shared" si="1"/>
        <v/>
      </c>
    </row>
    <row r="69" spans="3:23" hidden="1">
      <c r="C69">
        <v>2022</v>
      </c>
      <c r="D69" t="s">
        <v>1556</v>
      </c>
      <c r="F69">
        <v>2422999997</v>
      </c>
      <c r="G69" t="s">
        <v>1609</v>
      </c>
      <c r="H69" t="s">
        <v>1590</v>
      </c>
      <c r="I69" t="s">
        <v>1615</v>
      </c>
      <c r="J69" t="s">
        <v>106</v>
      </c>
      <c r="K69">
        <v>7900000586</v>
      </c>
      <c r="L69" t="s">
        <v>1590</v>
      </c>
      <c r="M69" s="1633">
        <v>-1077955195</v>
      </c>
      <c r="N69">
        <v>1</v>
      </c>
      <c r="O69">
        <v>50</v>
      </c>
      <c r="P69" s="1633">
        <v>-1077955195</v>
      </c>
      <c r="Q69" t="s">
        <v>106</v>
      </c>
      <c r="R69" s="2392">
        <v>44574</v>
      </c>
      <c r="S69" s="2393">
        <f t="shared" si="0"/>
        <v>1</v>
      </c>
      <c r="T69" s="2394">
        <f>IF(OR(J69="COP",J69="EURO",J69="GBP"),0,IF(J69="USD",VLOOKUP(R69,'TRM BanRep'!$A:$G,7,0)))</f>
        <v>0</v>
      </c>
      <c r="U69" s="2395">
        <f t="shared" si="2"/>
        <v>0</v>
      </c>
      <c r="V69" s="2395" t="str">
        <f t="shared" si="1"/>
        <v/>
      </c>
    </row>
    <row r="70" spans="3:23" hidden="1">
      <c r="C70">
        <v>2022</v>
      </c>
      <c r="D70" t="s">
        <v>1556</v>
      </c>
      <c r="F70" s="4">
        <v>2422999997</v>
      </c>
      <c r="G70" t="s">
        <v>1557</v>
      </c>
      <c r="H70" t="s">
        <v>1564</v>
      </c>
      <c r="I70" t="s">
        <v>1574</v>
      </c>
      <c r="J70" t="s">
        <v>64</v>
      </c>
      <c r="K70">
        <v>7900001288</v>
      </c>
      <c r="L70" t="s">
        <v>1564</v>
      </c>
      <c r="M70" s="1860">
        <v>-7765206.9500000002</v>
      </c>
      <c r="N70" s="1860">
        <v>3947.83</v>
      </c>
      <c r="O70">
        <v>50</v>
      </c>
      <c r="P70" s="1633">
        <v>-30655716968</v>
      </c>
      <c r="Q70" t="s">
        <v>106</v>
      </c>
      <c r="R70" s="2392">
        <v>44592</v>
      </c>
      <c r="S70" s="2393">
        <f t="shared" ref="S70:S133" si="4">+ROUND(P70/M70,2)</f>
        <v>3947.83</v>
      </c>
      <c r="T70" s="2394">
        <f>IF(OR(J70="COP",J70="EURO",J70="GBP"),0,IF(J70="USD",VLOOKUP(R70,'TRM BanRep'!$A:$G,7,0)))</f>
        <v>3982.6</v>
      </c>
      <c r="U70" s="2400">
        <f t="shared" si="2"/>
        <v>269996245.65149987</v>
      </c>
      <c r="V70" s="2396" t="str">
        <f t="shared" si="1"/>
        <v>2-GASTO</v>
      </c>
      <c r="W70" t="str">
        <f>MID(I70,2,3)</f>
        <v>FX2</v>
      </c>
    </row>
    <row r="71" spans="3:23" hidden="1">
      <c r="C71">
        <v>2022</v>
      </c>
      <c r="D71" t="s">
        <v>1556</v>
      </c>
      <c r="F71" s="4">
        <v>2422999997</v>
      </c>
      <c r="G71" s="4" t="s">
        <v>1608</v>
      </c>
      <c r="H71" t="s">
        <v>1564</v>
      </c>
      <c r="J71" t="s">
        <v>64</v>
      </c>
      <c r="K71">
        <v>2000000812</v>
      </c>
      <c r="L71" t="s">
        <v>1564</v>
      </c>
      <c r="M71" s="1860">
        <v>7765206.9500000002</v>
      </c>
      <c r="N71" s="1860">
        <v>3947.83</v>
      </c>
      <c r="O71">
        <v>40</v>
      </c>
      <c r="P71" s="1633">
        <v>30655716968</v>
      </c>
      <c r="Q71" t="s">
        <v>106</v>
      </c>
      <c r="R71" s="2392">
        <v>44592</v>
      </c>
      <c r="S71" s="2393">
        <f t="shared" si="4"/>
        <v>3947.83</v>
      </c>
      <c r="T71" s="2394">
        <f>IF(OR(J71="COP",J71="EURO",J71="GBP"),0,IF(J71="USD",VLOOKUP(R71,'TRM BanRep'!$A:$G,7,0)))</f>
        <v>3982.6</v>
      </c>
      <c r="U71" s="2400">
        <f t="shared" si="2"/>
        <v>-269996245.65149987</v>
      </c>
      <c r="V71" s="2397" t="str">
        <f t="shared" ref="V71:V134" si="5">IF(U71=0,"",IF(U71&gt;0,"2-GASTO","1-INGRESO"))</f>
        <v>1-INGRESO</v>
      </c>
      <c r="W71" t="str">
        <f>MID(I71,2,3)</f>
        <v/>
      </c>
    </row>
    <row r="72" spans="3:23" hidden="1">
      <c r="C72">
        <v>2022</v>
      </c>
      <c r="D72" t="s">
        <v>1617</v>
      </c>
      <c r="F72">
        <v>1202049905</v>
      </c>
      <c r="G72" t="s">
        <v>1557</v>
      </c>
      <c r="H72" t="s">
        <v>1618</v>
      </c>
      <c r="I72" t="s">
        <v>1619</v>
      </c>
      <c r="J72" t="s">
        <v>106</v>
      </c>
      <c r="K72">
        <v>7900001454</v>
      </c>
      <c r="L72" t="s">
        <v>1618</v>
      </c>
      <c r="M72" s="1633">
        <v>59355000000</v>
      </c>
      <c r="N72">
        <v>1</v>
      </c>
      <c r="O72">
        <v>40</v>
      </c>
      <c r="P72" s="1633">
        <v>59355000000</v>
      </c>
      <c r="Q72" t="s">
        <v>106</v>
      </c>
      <c r="R72" s="2392">
        <v>44609</v>
      </c>
      <c r="S72" s="2393">
        <f t="shared" si="4"/>
        <v>1</v>
      </c>
      <c r="T72" s="2394">
        <f>IF(OR(J72="COP",J72="EURO",J72="GBP"),0,IF(J72="USD",VLOOKUP(R72,'TRM BanRep'!$A:$G,7,0)))</f>
        <v>0</v>
      </c>
      <c r="U72" s="2395">
        <f t="shared" si="2"/>
        <v>0</v>
      </c>
      <c r="V72" s="2395" t="str">
        <f t="shared" si="5"/>
        <v/>
      </c>
    </row>
    <row r="73" spans="3:23" hidden="1">
      <c r="C73">
        <v>2022</v>
      </c>
      <c r="D73" t="s">
        <v>1617</v>
      </c>
      <c r="F73">
        <v>1202049905</v>
      </c>
      <c r="G73" t="s">
        <v>1557</v>
      </c>
      <c r="H73" t="s">
        <v>1618</v>
      </c>
      <c r="I73" t="s">
        <v>1620</v>
      </c>
      <c r="J73" t="s">
        <v>106</v>
      </c>
      <c r="K73">
        <v>7900001462</v>
      </c>
      <c r="L73" t="s">
        <v>1618</v>
      </c>
      <c r="M73" s="1633">
        <v>59362500000</v>
      </c>
      <c r="N73">
        <v>1</v>
      </c>
      <c r="O73">
        <v>40</v>
      </c>
      <c r="P73" s="1633">
        <v>59362500000</v>
      </c>
      <c r="Q73" t="s">
        <v>106</v>
      </c>
      <c r="R73" s="2392">
        <v>44609</v>
      </c>
      <c r="S73" s="2393">
        <f t="shared" si="4"/>
        <v>1</v>
      </c>
      <c r="T73" s="2394">
        <f>IF(OR(J73="COP",J73="EURO",J73="GBP"),0,IF(J73="USD",VLOOKUP(R73,'TRM BanRep'!$A:$G,7,0)))</f>
        <v>0</v>
      </c>
      <c r="U73" s="2395">
        <f t="shared" si="2"/>
        <v>0</v>
      </c>
      <c r="V73" s="2395" t="str">
        <f t="shared" si="5"/>
        <v/>
      </c>
    </row>
    <row r="74" spans="3:23" hidden="1">
      <c r="C74">
        <v>2022</v>
      </c>
      <c r="D74" t="s">
        <v>1617</v>
      </c>
      <c r="F74">
        <v>1202049905</v>
      </c>
      <c r="G74" t="s">
        <v>1557</v>
      </c>
      <c r="H74" t="s">
        <v>1618</v>
      </c>
      <c r="I74" t="s">
        <v>1621</v>
      </c>
      <c r="J74" t="s">
        <v>106</v>
      </c>
      <c r="K74">
        <v>7900001470</v>
      </c>
      <c r="L74" t="s">
        <v>1618</v>
      </c>
      <c r="M74" s="1633">
        <v>39533000000</v>
      </c>
      <c r="N74">
        <v>1</v>
      </c>
      <c r="O74">
        <v>40</v>
      </c>
      <c r="P74" s="1633">
        <v>39533000000</v>
      </c>
      <c r="Q74" t="s">
        <v>106</v>
      </c>
      <c r="R74" s="2392">
        <v>44609</v>
      </c>
      <c r="S74" s="2393">
        <f t="shared" si="4"/>
        <v>1</v>
      </c>
      <c r="T74" s="2394">
        <f>IF(OR(J74="COP",J74="EURO",J74="GBP"),0,IF(J74="USD",VLOOKUP(R74,'TRM BanRep'!$A:$G,7,0)))</f>
        <v>0</v>
      </c>
      <c r="U74" s="2395">
        <f t="shared" ref="U74:U93" si="6">IF(F74=2422999997,-IF(T74=0,0,(T74-S74)*M74),IF(T74=0,0,(T74-S74)*M74))</f>
        <v>0</v>
      </c>
      <c r="V74" s="2395" t="str">
        <f t="shared" si="5"/>
        <v/>
      </c>
    </row>
    <row r="75" spans="3:23" hidden="1">
      <c r="C75">
        <v>2022</v>
      </c>
      <c r="D75" t="s">
        <v>1617</v>
      </c>
      <c r="F75">
        <v>1202049905</v>
      </c>
      <c r="G75" t="s">
        <v>1557</v>
      </c>
      <c r="H75" t="s">
        <v>1622</v>
      </c>
      <c r="I75" t="s">
        <v>1623</v>
      </c>
      <c r="J75" t="s">
        <v>106</v>
      </c>
      <c r="K75">
        <v>7900001534</v>
      </c>
      <c r="L75" t="s">
        <v>1622</v>
      </c>
      <c r="M75" s="1633">
        <v>44206800000</v>
      </c>
      <c r="N75">
        <v>1</v>
      </c>
      <c r="O75">
        <v>40</v>
      </c>
      <c r="P75" s="1633">
        <v>44206800000</v>
      </c>
      <c r="Q75" t="s">
        <v>106</v>
      </c>
      <c r="R75" s="2392">
        <v>44610</v>
      </c>
      <c r="S75" s="2393">
        <f t="shared" si="4"/>
        <v>1</v>
      </c>
      <c r="T75" s="2394">
        <f>IF(OR(J75="COP",J75="EURO",J75="GBP"),0,IF(J75="USD",VLOOKUP(R75,'TRM BanRep'!$A:$G,7,0)))</f>
        <v>0</v>
      </c>
      <c r="U75" s="2395">
        <f t="shared" si="6"/>
        <v>0</v>
      </c>
      <c r="V75" s="2395" t="str">
        <f t="shared" si="5"/>
        <v/>
      </c>
    </row>
    <row r="76" spans="3:23" hidden="1">
      <c r="C76">
        <v>2022</v>
      </c>
      <c r="D76" t="s">
        <v>1617</v>
      </c>
      <c r="F76">
        <v>1202049905</v>
      </c>
      <c r="G76" t="s">
        <v>1557</v>
      </c>
      <c r="H76" t="s">
        <v>1622</v>
      </c>
      <c r="I76" t="s">
        <v>1624</v>
      </c>
      <c r="J76" t="s">
        <v>106</v>
      </c>
      <c r="K76">
        <v>7900001542</v>
      </c>
      <c r="L76" t="s">
        <v>1622</v>
      </c>
      <c r="M76" s="1633">
        <v>39321000000</v>
      </c>
      <c r="N76">
        <v>1</v>
      </c>
      <c r="O76">
        <v>40</v>
      </c>
      <c r="P76" s="1633">
        <v>39321000000</v>
      </c>
      <c r="Q76" t="s">
        <v>106</v>
      </c>
      <c r="R76" s="2392">
        <v>44610</v>
      </c>
      <c r="S76" s="2393">
        <f t="shared" si="4"/>
        <v>1</v>
      </c>
      <c r="T76" s="2394">
        <f>IF(OR(J76="COP",J76="EURO",J76="GBP"),0,IF(J76="USD",VLOOKUP(R76,'TRM BanRep'!$A:$G,7,0)))</f>
        <v>0</v>
      </c>
      <c r="U76" s="2395">
        <f t="shared" si="6"/>
        <v>0</v>
      </c>
      <c r="V76" s="2395" t="str">
        <f t="shared" si="5"/>
        <v/>
      </c>
    </row>
    <row r="77" spans="3:23" hidden="1">
      <c r="C77">
        <v>2022</v>
      </c>
      <c r="D77" t="s">
        <v>1617</v>
      </c>
      <c r="F77">
        <v>1202049905</v>
      </c>
      <c r="G77" t="s">
        <v>1557</v>
      </c>
      <c r="H77" t="s">
        <v>1622</v>
      </c>
      <c r="I77" t="s">
        <v>1625</v>
      </c>
      <c r="J77" t="s">
        <v>106</v>
      </c>
      <c r="K77">
        <v>7900001550</v>
      </c>
      <c r="L77" t="s">
        <v>1622</v>
      </c>
      <c r="M77" s="1633">
        <v>39347500000</v>
      </c>
      <c r="N77">
        <v>1</v>
      </c>
      <c r="O77">
        <v>40</v>
      </c>
      <c r="P77" s="1633">
        <v>39347500000</v>
      </c>
      <c r="Q77" t="s">
        <v>106</v>
      </c>
      <c r="R77" s="2392">
        <v>44610</v>
      </c>
      <c r="S77" s="2393">
        <f t="shared" si="4"/>
        <v>1</v>
      </c>
      <c r="T77" s="2394">
        <f>IF(OR(J77="COP",J77="EURO",J77="GBP"),0,IF(J77="USD",VLOOKUP(R77,'TRM BanRep'!$A:$G,7,0)))</f>
        <v>0</v>
      </c>
      <c r="U77" s="2395">
        <f t="shared" si="6"/>
        <v>0</v>
      </c>
      <c r="V77" s="2395" t="str">
        <f t="shared" si="5"/>
        <v/>
      </c>
    </row>
    <row r="78" spans="3:23" hidden="1">
      <c r="C78">
        <v>2022</v>
      </c>
      <c r="D78" t="s">
        <v>1617</v>
      </c>
      <c r="F78">
        <v>1202049905</v>
      </c>
      <c r="G78" t="s">
        <v>1557</v>
      </c>
      <c r="H78" t="s">
        <v>1626</v>
      </c>
      <c r="I78" t="s">
        <v>1627</v>
      </c>
      <c r="J78" t="s">
        <v>106</v>
      </c>
      <c r="K78">
        <v>7900001558</v>
      </c>
      <c r="L78" t="s">
        <v>1626</v>
      </c>
      <c r="M78" s="1633">
        <v>44000000000</v>
      </c>
      <c r="N78">
        <v>1</v>
      </c>
      <c r="O78">
        <v>40</v>
      </c>
      <c r="P78" s="1633">
        <v>44000000000</v>
      </c>
      <c r="Q78" t="s">
        <v>106</v>
      </c>
      <c r="R78" s="2392">
        <v>44616</v>
      </c>
      <c r="S78" s="2393">
        <f t="shared" si="4"/>
        <v>1</v>
      </c>
      <c r="T78" s="2394">
        <f>IF(OR(J78="COP",J78="EURO",J78="GBP"),0,IF(J78="USD",VLOOKUP(R78,'TRM BanRep'!$A:$G,7,0)))</f>
        <v>0</v>
      </c>
      <c r="U78" s="2395">
        <f t="shared" si="6"/>
        <v>0</v>
      </c>
      <c r="V78" s="2395" t="str">
        <f t="shared" si="5"/>
        <v/>
      </c>
    </row>
    <row r="79" spans="3:23" hidden="1">
      <c r="C79">
        <v>2022</v>
      </c>
      <c r="D79" t="s">
        <v>1617</v>
      </c>
      <c r="F79">
        <v>1202049905</v>
      </c>
      <c r="G79" t="s">
        <v>1557</v>
      </c>
      <c r="H79" t="s">
        <v>1628</v>
      </c>
      <c r="I79" t="s">
        <v>1629</v>
      </c>
      <c r="J79" t="s">
        <v>106</v>
      </c>
      <c r="K79">
        <v>7900001582</v>
      </c>
      <c r="L79" t="s">
        <v>1628</v>
      </c>
      <c r="M79" s="1633">
        <v>8599800000</v>
      </c>
      <c r="N79">
        <v>1</v>
      </c>
      <c r="O79">
        <v>40</v>
      </c>
      <c r="P79" s="1633">
        <v>8599800000</v>
      </c>
      <c r="Q79" t="s">
        <v>106</v>
      </c>
      <c r="R79" s="2392">
        <v>44617</v>
      </c>
      <c r="S79" s="2393">
        <f t="shared" si="4"/>
        <v>1</v>
      </c>
      <c r="T79" s="2394">
        <f>IF(OR(J79="COP",J79="EURO",J79="GBP"),0,IF(J79="USD",VLOOKUP(R79,'TRM BanRep'!$A:$G,7,0)))</f>
        <v>0</v>
      </c>
      <c r="U79" s="2395">
        <f t="shared" si="6"/>
        <v>0</v>
      </c>
      <c r="V79" s="2395" t="str">
        <f t="shared" si="5"/>
        <v/>
      </c>
    </row>
    <row r="80" spans="3:23" hidden="1">
      <c r="C80">
        <v>2022</v>
      </c>
      <c r="D80" t="s">
        <v>1617</v>
      </c>
      <c r="F80">
        <v>1202049905</v>
      </c>
      <c r="G80" t="s">
        <v>1557</v>
      </c>
      <c r="H80" t="s">
        <v>1630</v>
      </c>
      <c r="I80" t="s">
        <v>1631</v>
      </c>
      <c r="J80" t="s">
        <v>106</v>
      </c>
      <c r="K80">
        <v>7900001613</v>
      </c>
      <c r="L80" t="s">
        <v>1630</v>
      </c>
      <c r="M80" s="1633">
        <v>-278674055102</v>
      </c>
      <c r="N80">
        <v>1</v>
      </c>
      <c r="O80">
        <v>50</v>
      </c>
      <c r="P80" s="1633">
        <v>-278674055102</v>
      </c>
      <c r="Q80" t="s">
        <v>106</v>
      </c>
      <c r="R80" s="2392">
        <v>44620</v>
      </c>
      <c r="S80" s="2393">
        <f t="shared" si="4"/>
        <v>1</v>
      </c>
      <c r="T80" s="2394">
        <f>IF(OR(J80="COP",J80="EURO",J80="GBP"),0,IF(J80="USD",VLOOKUP(R80,'TRM BanRep'!$A:$G,7,0)))</f>
        <v>0</v>
      </c>
      <c r="U80" s="2395">
        <f t="shared" si="6"/>
        <v>0</v>
      </c>
      <c r="V80" s="2395" t="str">
        <f t="shared" si="5"/>
        <v/>
      </c>
    </row>
    <row r="81" spans="3:24" hidden="1">
      <c r="C81">
        <v>2022</v>
      </c>
      <c r="D81" t="s">
        <v>1617</v>
      </c>
      <c r="F81">
        <v>1202049905</v>
      </c>
      <c r="G81" t="s">
        <v>1557</v>
      </c>
      <c r="H81" t="s">
        <v>1630</v>
      </c>
      <c r="I81" t="s">
        <v>1632</v>
      </c>
      <c r="J81" t="s">
        <v>106</v>
      </c>
      <c r="K81">
        <v>7900002066</v>
      </c>
      <c r="L81" t="s">
        <v>1630</v>
      </c>
      <c r="M81" s="1633">
        <v>-43986107549</v>
      </c>
      <c r="N81">
        <v>1</v>
      </c>
      <c r="O81">
        <v>50</v>
      </c>
      <c r="P81" s="1633">
        <v>-43986107549</v>
      </c>
      <c r="Q81" t="s">
        <v>106</v>
      </c>
      <c r="R81" s="2392">
        <v>44620</v>
      </c>
      <c r="S81" s="2393">
        <f t="shared" si="4"/>
        <v>1</v>
      </c>
      <c r="T81" s="2394">
        <f>IF(OR(J81="COP",J81="EURO",J81="GBP"),0,IF(J81="USD",VLOOKUP(R81,'TRM BanRep'!$A:$G,7,0)))</f>
        <v>0</v>
      </c>
      <c r="U81" s="2395">
        <f t="shared" si="6"/>
        <v>0</v>
      </c>
      <c r="V81" s="2395" t="str">
        <f t="shared" si="5"/>
        <v/>
      </c>
    </row>
    <row r="82" spans="3:24" hidden="1">
      <c r="C82">
        <v>2022</v>
      </c>
      <c r="D82" t="s">
        <v>1617</v>
      </c>
      <c r="F82">
        <v>1202049905</v>
      </c>
      <c r="G82" t="s">
        <v>1557</v>
      </c>
      <c r="H82" t="s">
        <v>1630</v>
      </c>
      <c r="I82" t="s">
        <v>1633</v>
      </c>
      <c r="J82" t="s">
        <v>106</v>
      </c>
      <c r="K82">
        <v>7900002404</v>
      </c>
      <c r="L82" t="s">
        <v>1630</v>
      </c>
      <c r="M82" s="1633">
        <v>-225124125</v>
      </c>
      <c r="N82">
        <v>1</v>
      </c>
      <c r="O82">
        <v>50</v>
      </c>
      <c r="P82" s="1633">
        <v>-225124125</v>
      </c>
      <c r="Q82" t="s">
        <v>106</v>
      </c>
      <c r="R82" s="2392">
        <v>44620</v>
      </c>
      <c r="S82" s="2393">
        <f t="shared" si="4"/>
        <v>1</v>
      </c>
      <c r="T82" s="2394">
        <f>IF(OR(J82="COP",J82="EURO",J82="GBP"),0,IF(J82="USD",VLOOKUP(R82,'TRM BanRep'!$A:$G,7,0)))</f>
        <v>0</v>
      </c>
      <c r="U82" s="2395">
        <f t="shared" si="6"/>
        <v>0</v>
      </c>
      <c r="V82" s="2395" t="str">
        <f t="shared" si="5"/>
        <v/>
      </c>
    </row>
    <row r="83" spans="3:24" hidden="1">
      <c r="C83">
        <v>2022</v>
      </c>
      <c r="D83" t="s">
        <v>1617</v>
      </c>
      <c r="F83">
        <v>1202049905</v>
      </c>
      <c r="G83" t="s">
        <v>1557</v>
      </c>
      <c r="H83" t="s">
        <v>1618</v>
      </c>
      <c r="I83" t="s">
        <v>1634</v>
      </c>
      <c r="J83" t="s">
        <v>64</v>
      </c>
      <c r="K83">
        <v>7900001453</v>
      </c>
      <c r="L83" t="s">
        <v>1618</v>
      </c>
      <c r="M83" s="2152">
        <v>-15000000</v>
      </c>
      <c r="N83" s="1860">
        <v>3957</v>
      </c>
      <c r="O83">
        <v>50</v>
      </c>
      <c r="P83" s="1633">
        <v>-59355000000</v>
      </c>
      <c r="Q83" t="s">
        <v>106</v>
      </c>
      <c r="R83" s="2392">
        <v>44609</v>
      </c>
      <c r="S83" s="2393">
        <f t="shared" si="4"/>
        <v>3957</v>
      </c>
      <c r="T83" s="2394">
        <f>IF(OR(J83="COP",J83="EURO",J83="GBP"),0,IF(J83="USD",VLOOKUP(R83,'TRM BanRep'!$A:$G,7,0)))</f>
        <v>3963.72</v>
      </c>
      <c r="U83" s="2396">
        <f t="shared" si="6"/>
        <v>-100799999.999997</v>
      </c>
      <c r="V83" s="2397" t="str">
        <f t="shared" si="5"/>
        <v>1-INGRESO</v>
      </c>
      <c r="W83" t="str">
        <f t="shared" ref="W83:W93" si="7">MID(I83,2,3)</f>
        <v>FX1</v>
      </c>
      <c r="X83">
        <v>4806010300</v>
      </c>
    </row>
    <row r="84" spans="3:24" hidden="1">
      <c r="C84">
        <v>2022</v>
      </c>
      <c r="D84" t="s">
        <v>1617</v>
      </c>
      <c r="F84">
        <v>1202049905</v>
      </c>
      <c r="G84" t="s">
        <v>1557</v>
      </c>
      <c r="H84" t="s">
        <v>1618</v>
      </c>
      <c r="I84" t="s">
        <v>1635</v>
      </c>
      <c r="J84" t="s">
        <v>64</v>
      </c>
      <c r="K84">
        <v>7900001461</v>
      </c>
      <c r="L84" t="s">
        <v>1618</v>
      </c>
      <c r="M84" s="2152">
        <v>-15000000</v>
      </c>
      <c r="N84" s="1860">
        <v>3957.5</v>
      </c>
      <c r="O84">
        <v>50</v>
      </c>
      <c r="P84" s="1633">
        <v>-59362500000</v>
      </c>
      <c r="Q84" t="s">
        <v>106</v>
      </c>
      <c r="R84" s="2392">
        <v>44609</v>
      </c>
      <c r="S84" s="2393">
        <f t="shared" si="4"/>
        <v>3957.5</v>
      </c>
      <c r="T84" s="2394">
        <f>IF(OR(J84="COP",J84="EURO",J84="GBP"),0,IF(J84="USD",VLOOKUP(R84,'TRM BanRep'!$A:$G,7,0)))</f>
        <v>3963.72</v>
      </c>
      <c r="U84" s="2396">
        <f t="shared" si="6"/>
        <v>-93299999.999997005</v>
      </c>
      <c r="V84" s="2397" t="str">
        <f t="shared" si="5"/>
        <v>1-INGRESO</v>
      </c>
      <c r="W84" t="str">
        <f t="shared" si="7"/>
        <v>FX1</v>
      </c>
      <c r="X84">
        <v>4806010300</v>
      </c>
    </row>
    <row r="85" spans="3:24" hidden="1">
      <c r="C85">
        <v>2022</v>
      </c>
      <c r="D85" t="s">
        <v>1617</v>
      </c>
      <c r="F85">
        <v>1202049905</v>
      </c>
      <c r="G85" t="s">
        <v>1557</v>
      </c>
      <c r="H85" t="s">
        <v>1618</v>
      </c>
      <c r="I85" t="s">
        <v>1636</v>
      </c>
      <c r="J85" t="s">
        <v>64</v>
      </c>
      <c r="K85">
        <v>7900001469</v>
      </c>
      <c r="L85" t="s">
        <v>1618</v>
      </c>
      <c r="M85" s="2152">
        <v>-10000000</v>
      </c>
      <c r="N85" s="1860">
        <v>3953.3</v>
      </c>
      <c r="O85">
        <v>50</v>
      </c>
      <c r="P85" s="1633">
        <v>-39533000000</v>
      </c>
      <c r="Q85" t="s">
        <v>106</v>
      </c>
      <c r="R85" s="2392">
        <v>44609</v>
      </c>
      <c r="S85" s="2393">
        <f t="shared" si="4"/>
        <v>3953.3</v>
      </c>
      <c r="T85" s="2394">
        <f>IF(OR(J85="COP",J85="EURO",J85="GBP"),0,IF(J85="USD",VLOOKUP(R85,'TRM BanRep'!$A:$G,7,0)))</f>
        <v>3963.72</v>
      </c>
      <c r="U85" s="2396">
        <f t="shared" si="6"/>
        <v>-104199999.99999619</v>
      </c>
      <c r="V85" s="2397" t="str">
        <f t="shared" si="5"/>
        <v>1-INGRESO</v>
      </c>
      <c r="W85" t="str">
        <f t="shared" si="7"/>
        <v>FX1</v>
      </c>
      <c r="X85">
        <v>4806010300</v>
      </c>
    </row>
    <row r="86" spans="3:24" hidden="1">
      <c r="C86">
        <v>2022</v>
      </c>
      <c r="D86" t="s">
        <v>1617</v>
      </c>
      <c r="F86">
        <v>1202049905</v>
      </c>
      <c r="G86" t="s">
        <v>1557</v>
      </c>
      <c r="H86" t="s">
        <v>1622</v>
      </c>
      <c r="I86" t="s">
        <v>1637</v>
      </c>
      <c r="J86" t="s">
        <v>64</v>
      </c>
      <c r="K86">
        <v>7900001533</v>
      </c>
      <c r="L86" t="s">
        <v>1622</v>
      </c>
      <c r="M86" s="2152">
        <v>-11220000</v>
      </c>
      <c r="N86" s="1860">
        <v>3940</v>
      </c>
      <c r="O86">
        <v>50</v>
      </c>
      <c r="P86" s="1633">
        <v>-44206800000</v>
      </c>
      <c r="Q86" t="s">
        <v>106</v>
      </c>
      <c r="R86" s="2392">
        <v>44610</v>
      </c>
      <c r="S86" s="2393">
        <f t="shared" si="4"/>
        <v>3940</v>
      </c>
      <c r="T86" s="2394">
        <f>IF(OR(J86="COP",J86="EURO",J86="GBP"),0,IF(J86="USD",VLOOKUP(R86,'TRM BanRep'!$A:$G,7,0)))</f>
        <v>3953.26</v>
      </c>
      <c r="U86" s="2396">
        <f t="shared" si="6"/>
        <v>-148777200.00000244</v>
      </c>
      <c r="V86" s="2397" t="str">
        <f t="shared" si="5"/>
        <v>1-INGRESO</v>
      </c>
      <c r="W86" t="str">
        <f t="shared" si="7"/>
        <v>FX1</v>
      </c>
      <c r="X86">
        <v>4806010300</v>
      </c>
    </row>
    <row r="87" spans="3:24" hidden="1">
      <c r="C87">
        <v>2022</v>
      </c>
      <c r="D87" t="s">
        <v>1617</v>
      </c>
      <c r="F87">
        <v>1202049905</v>
      </c>
      <c r="G87" t="s">
        <v>1557</v>
      </c>
      <c r="H87" t="s">
        <v>1622</v>
      </c>
      <c r="I87" t="s">
        <v>1638</v>
      </c>
      <c r="J87" t="s">
        <v>64</v>
      </c>
      <c r="K87">
        <v>7900001541</v>
      </c>
      <c r="L87" t="s">
        <v>1622</v>
      </c>
      <c r="M87" s="2152">
        <v>-10000000</v>
      </c>
      <c r="N87" s="1860">
        <v>3932.1</v>
      </c>
      <c r="O87">
        <v>50</v>
      </c>
      <c r="P87" s="1633">
        <v>-39321000000</v>
      </c>
      <c r="Q87" t="s">
        <v>106</v>
      </c>
      <c r="R87" s="2392">
        <v>44610</v>
      </c>
      <c r="S87" s="2393">
        <f t="shared" si="4"/>
        <v>3932.1</v>
      </c>
      <c r="T87" s="2394">
        <f>IF(OR(J87="COP",J87="EURO",J87="GBP"),0,IF(J87="USD",VLOOKUP(R87,'TRM BanRep'!$A:$G,7,0)))</f>
        <v>3953.26</v>
      </c>
      <c r="U87" s="2396">
        <f t="shared" si="6"/>
        <v>-211600000.0000031</v>
      </c>
      <c r="V87" s="2397" t="str">
        <f t="shared" si="5"/>
        <v>1-INGRESO</v>
      </c>
      <c r="W87" t="str">
        <f t="shared" si="7"/>
        <v>FX1</v>
      </c>
      <c r="X87">
        <v>4806010300</v>
      </c>
    </row>
    <row r="88" spans="3:24" hidden="1">
      <c r="C88">
        <v>2022</v>
      </c>
      <c r="D88" t="s">
        <v>1617</v>
      </c>
      <c r="F88">
        <v>1202049905</v>
      </c>
      <c r="G88" t="s">
        <v>1557</v>
      </c>
      <c r="H88" t="s">
        <v>1622</v>
      </c>
      <c r="I88" t="s">
        <v>1639</v>
      </c>
      <c r="J88" t="s">
        <v>64</v>
      </c>
      <c r="K88">
        <v>7900001549</v>
      </c>
      <c r="L88" t="s">
        <v>1622</v>
      </c>
      <c r="M88" s="2152">
        <v>-10000000</v>
      </c>
      <c r="N88" s="1860">
        <v>3934.75</v>
      </c>
      <c r="O88">
        <v>50</v>
      </c>
      <c r="P88" s="1633">
        <v>-39347500000</v>
      </c>
      <c r="Q88" t="s">
        <v>106</v>
      </c>
      <c r="R88" s="2392">
        <v>44610</v>
      </c>
      <c r="S88" s="2393">
        <f t="shared" si="4"/>
        <v>3934.75</v>
      </c>
      <c r="T88" s="2394">
        <f>IF(OR(J88="COP",J88="EURO",J88="GBP"),0,IF(J88="USD",VLOOKUP(R88,'TRM BanRep'!$A:$G,7,0)))</f>
        <v>3953.26</v>
      </c>
      <c r="U88" s="2396">
        <f t="shared" si="6"/>
        <v>-185100000.00000218</v>
      </c>
      <c r="V88" s="2397" t="str">
        <f t="shared" si="5"/>
        <v>1-INGRESO</v>
      </c>
      <c r="W88" t="str">
        <f t="shared" si="7"/>
        <v>FX1</v>
      </c>
      <c r="X88">
        <v>4806010300</v>
      </c>
    </row>
    <row r="89" spans="3:24" hidden="1">
      <c r="C89">
        <v>2022</v>
      </c>
      <c r="D89" t="s">
        <v>1617</v>
      </c>
      <c r="F89">
        <v>1202049905</v>
      </c>
      <c r="G89" t="s">
        <v>1557</v>
      </c>
      <c r="H89" t="s">
        <v>1626</v>
      </c>
      <c r="I89" t="s">
        <v>1640</v>
      </c>
      <c r="J89" t="s">
        <v>64</v>
      </c>
      <c r="K89">
        <v>7900001557</v>
      </c>
      <c r="L89" t="s">
        <v>1626</v>
      </c>
      <c r="M89" s="2152">
        <v>-11166860.82</v>
      </c>
      <c r="N89" s="1860">
        <v>3940.23</v>
      </c>
      <c r="O89">
        <v>50</v>
      </c>
      <c r="P89" s="1633">
        <v>-44000000000</v>
      </c>
      <c r="Q89" t="s">
        <v>106</v>
      </c>
      <c r="R89" s="2392">
        <v>44616</v>
      </c>
      <c r="S89" s="2393">
        <f t="shared" si="4"/>
        <v>3940.23</v>
      </c>
      <c r="T89" s="2394">
        <f>IF(OR(J89="COP",J89="EURO",J89="GBP"),0,IF(J89="USD",VLOOKUP(R89,'TRM BanRep'!$A:$G,7,0)))</f>
        <v>3913.79</v>
      </c>
      <c r="U89" s="2398">
        <f t="shared" si="6"/>
        <v>295251800.08080059</v>
      </c>
      <c r="V89" s="2396" t="str">
        <f t="shared" si="5"/>
        <v>2-GASTO</v>
      </c>
      <c r="W89" t="str">
        <f t="shared" si="7"/>
        <v>FX1</v>
      </c>
      <c r="X89">
        <v>5803010300</v>
      </c>
    </row>
    <row r="90" spans="3:24" hidden="1">
      <c r="C90">
        <v>2022</v>
      </c>
      <c r="D90" t="s">
        <v>1617</v>
      </c>
      <c r="F90">
        <v>1202049905</v>
      </c>
      <c r="G90" t="s">
        <v>1557</v>
      </c>
      <c r="H90" t="s">
        <v>1628</v>
      </c>
      <c r="I90" t="s">
        <v>1641</v>
      </c>
      <c r="J90" t="s">
        <v>64</v>
      </c>
      <c r="K90">
        <v>7900001581</v>
      </c>
      <c r="L90" t="s">
        <v>1628</v>
      </c>
      <c r="M90" s="2152">
        <v>-2200000</v>
      </c>
      <c r="N90" s="1860">
        <v>3909</v>
      </c>
      <c r="O90">
        <v>50</v>
      </c>
      <c r="P90" s="1633">
        <v>-8599800000</v>
      </c>
      <c r="Q90" t="s">
        <v>106</v>
      </c>
      <c r="R90" s="2392">
        <v>44617</v>
      </c>
      <c r="S90" s="2393">
        <f t="shared" si="4"/>
        <v>3909</v>
      </c>
      <c r="T90" s="2394">
        <f>IF(OR(J90="COP",J90="EURO",J90="GBP"),0,IF(J90="USD",VLOOKUP(R90,'TRM BanRep'!$A:$G,7,0)))</f>
        <v>3940.2</v>
      </c>
      <c r="U90" s="2396">
        <f t="shared" si="6"/>
        <v>-68639999.999999598</v>
      </c>
      <c r="V90" s="2397" t="str">
        <f t="shared" si="5"/>
        <v>1-INGRESO</v>
      </c>
      <c r="W90" t="str">
        <f t="shared" si="7"/>
        <v>FX1</v>
      </c>
      <c r="X90">
        <v>4806010300</v>
      </c>
    </row>
    <row r="91" spans="3:24" hidden="1">
      <c r="C91">
        <v>2022</v>
      </c>
      <c r="D91" t="s">
        <v>1617</v>
      </c>
      <c r="F91">
        <v>1202049905</v>
      </c>
      <c r="G91" t="s">
        <v>1557</v>
      </c>
      <c r="H91" t="s">
        <v>1630</v>
      </c>
      <c r="I91" t="s">
        <v>1642</v>
      </c>
      <c r="J91" t="s">
        <v>64</v>
      </c>
      <c r="K91">
        <v>7900001614</v>
      </c>
      <c r="L91" t="s">
        <v>1630</v>
      </c>
      <c r="M91" s="2152">
        <v>71203119</v>
      </c>
      <c r="N91" s="1860">
        <v>3913.79</v>
      </c>
      <c r="O91">
        <v>40</v>
      </c>
      <c r="P91" s="1633">
        <v>278674055102</v>
      </c>
      <c r="Q91" t="s">
        <v>106</v>
      </c>
      <c r="R91" s="2392">
        <v>44620</v>
      </c>
      <c r="S91" s="2393">
        <f t="shared" si="4"/>
        <v>3913.79</v>
      </c>
      <c r="T91" s="2394">
        <f>IF(OR(J91="COP",J91="EURO",J91="GBP"),0,IF(J91="USD",VLOOKUP(R91,'TRM BanRep'!$A:$G,7,0)))</f>
        <v>3910.64</v>
      </c>
      <c r="U91" s="2399">
        <f t="shared" si="6"/>
        <v>-224289824.85000646</v>
      </c>
      <c r="V91" s="2397" t="str">
        <f t="shared" si="5"/>
        <v>1-INGRESO</v>
      </c>
      <c r="W91" s="1858" t="str">
        <f t="shared" si="7"/>
        <v>FX2</v>
      </c>
      <c r="X91">
        <v>4806451110</v>
      </c>
    </row>
    <row r="92" spans="3:24" hidden="1">
      <c r="C92">
        <v>2022</v>
      </c>
      <c r="D92" t="s">
        <v>1617</v>
      </c>
      <c r="F92">
        <v>1202049905</v>
      </c>
      <c r="G92" t="s">
        <v>1557</v>
      </c>
      <c r="H92" t="s">
        <v>1630</v>
      </c>
      <c r="I92" t="s">
        <v>1643</v>
      </c>
      <c r="J92" t="s">
        <v>64</v>
      </c>
      <c r="K92">
        <v>7900002067</v>
      </c>
      <c r="L92" t="s">
        <v>1630</v>
      </c>
      <c r="M92" s="2152">
        <v>11163420.02</v>
      </c>
      <c r="N92" s="1860">
        <v>3940.2</v>
      </c>
      <c r="O92">
        <v>40</v>
      </c>
      <c r="P92" s="1633">
        <v>43986107549</v>
      </c>
      <c r="Q92" t="s">
        <v>106</v>
      </c>
      <c r="R92" s="2392">
        <v>44620</v>
      </c>
      <c r="S92" s="2393">
        <f t="shared" si="4"/>
        <v>3940.2</v>
      </c>
      <c r="T92" s="2394">
        <f>IF(OR(J92="COP",J92="EURO",J92="GBP"),0,IF(J92="USD",VLOOKUP(R92,'TRM BanRep'!$A:$G,7,0)))</f>
        <v>3910.64</v>
      </c>
      <c r="U92" s="2399">
        <f t="shared" si="6"/>
        <v>-329990695.79119939</v>
      </c>
      <c r="V92" s="2397" t="str">
        <f t="shared" si="5"/>
        <v>1-INGRESO</v>
      </c>
      <c r="W92" s="1858" t="str">
        <f t="shared" si="7"/>
        <v>FX2</v>
      </c>
      <c r="X92">
        <v>4806451110</v>
      </c>
    </row>
    <row r="93" spans="3:24" hidden="1">
      <c r="C93">
        <v>2022</v>
      </c>
      <c r="D93" t="s">
        <v>1617</v>
      </c>
      <c r="F93">
        <v>1202049905</v>
      </c>
      <c r="G93" t="s">
        <v>1557</v>
      </c>
      <c r="H93" t="s">
        <v>1630</v>
      </c>
      <c r="I93" t="s">
        <v>1644</v>
      </c>
      <c r="J93" t="s">
        <v>64</v>
      </c>
      <c r="K93">
        <v>7900002405</v>
      </c>
      <c r="L93" t="s">
        <v>1630</v>
      </c>
      <c r="M93" s="2152">
        <v>57520.75</v>
      </c>
      <c r="N93" s="1860">
        <v>3913.7898100000002</v>
      </c>
      <c r="O93">
        <v>40</v>
      </c>
      <c r="P93" s="1633">
        <v>225124125</v>
      </c>
      <c r="Q93" t="s">
        <v>106</v>
      </c>
      <c r="R93" s="2392">
        <v>44620</v>
      </c>
      <c r="S93" s="2393">
        <f t="shared" si="4"/>
        <v>3913.79</v>
      </c>
      <c r="T93" s="2394">
        <f>IF(OR(J93="COP",J93="EURO",J93="GBP"),0,IF(J93="USD",VLOOKUP(R93,'TRM BanRep'!$A:$G,7,0)))</f>
        <v>3910.64</v>
      </c>
      <c r="U93" s="2399">
        <f t="shared" si="6"/>
        <v>-181190.36250000523</v>
      </c>
      <c r="V93" s="2397" t="str">
        <f t="shared" si="5"/>
        <v>1-INGRESO</v>
      </c>
      <c r="W93" s="1858" t="str">
        <f t="shared" si="7"/>
        <v>FX2</v>
      </c>
      <c r="X93">
        <v>4806451110</v>
      </c>
    </row>
    <row r="94" spans="3:24" hidden="1">
      <c r="C94">
        <v>2022</v>
      </c>
      <c r="D94" t="s">
        <v>1617</v>
      </c>
      <c r="F94">
        <v>2422999997</v>
      </c>
      <c r="G94" t="s">
        <v>1575</v>
      </c>
      <c r="H94" t="s">
        <v>1630</v>
      </c>
      <c r="I94" t="s">
        <v>1645</v>
      </c>
      <c r="J94" t="s">
        <v>106</v>
      </c>
      <c r="K94">
        <v>7900001621</v>
      </c>
      <c r="L94" t="s">
        <v>1630</v>
      </c>
      <c r="M94" s="1633">
        <v>1919861111</v>
      </c>
      <c r="N94">
        <v>1</v>
      </c>
      <c r="O94">
        <v>40</v>
      </c>
      <c r="P94" s="1633">
        <v>1919861111</v>
      </c>
      <c r="Q94" t="s">
        <v>106</v>
      </c>
      <c r="R94" s="2392">
        <v>44620</v>
      </c>
      <c r="S94" s="2393">
        <f t="shared" si="4"/>
        <v>1</v>
      </c>
      <c r="T94" s="2394">
        <f>IF(OR(J94="COP",J94="EURO",J94="GBP"),0,IF(J94="USD",VLOOKUP(R94,'TRM BanRep'!$A:$G,7,0)))</f>
        <v>0</v>
      </c>
      <c r="U94" s="2395">
        <f t="shared" ref="U94:U99" si="8">IF(T94=0,0,(T94-S94)*M94)</f>
        <v>0</v>
      </c>
      <c r="V94" s="2395" t="str">
        <f t="shared" si="5"/>
        <v/>
      </c>
    </row>
    <row r="95" spans="3:24" hidden="1">
      <c r="C95">
        <v>2022</v>
      </c>
      <c r="D95" t="s">
        <v>1617</v>
      </c>
      <c r="F95">
        <v>2422999997</v>
      </c>
      <c r="G95" t="s">
        <v>1575</v>
      </c>
      <c r="H95" t="s">
        <v>1630</v>
      </c>
      <c r="I95" t="s">
        <v>1646</v>
      </c>
      <c r="J95" t="s">
        <v>106</v>
      </c>
      <c r="K95">
        <v>7900001622</v>
      </c>
      <c r="L95" t="s">
        <v>1630</v>
      </c>
      <c r="M95" s="1633">
        <v>-2392638889</v>
      </c>
      <c r="N95">
        <v>1</v>
      </c>
      <c r="O95">
        <v>50</v>
      </c>
      <c r="P95" s="1633">
        <v>-2392638889</v>
      </c>
      <c r="Q95" t="s">
        <v>106</v>
      </c>
      <c r="R95" s="2392">
        <v>44620</v>
      </c>
      <c r="S95" s="2393">
        <f t="shared" si="4"/>
        <v>1</v>
      </c>
      <c r="T95" s="2394">
        <f>IF(OR(J95="COP",J95="EURO",J95="GBP"),0,IF(J95="USD",VLOOKUP(R95,'TRM BanRep'!$A:$G,7,0)))</f>
        <v>0</v>
      </c>
      <c r="U95" s="2395">
        <f t="shared" si="8"/>
        <v>0</v>
      </c>
      <c r="V95" s="2395" t="str">
        <f t="shared" si="5"/>
        <v/>
      </c>
    </row>
    <row r="96" spans="3:24" hidden="1">
      <c r="C96">
        <v>2022</v>
      </c>
      <c r="D96" t="s">
        <v>1617</v>
      </c>
      <c r="F96">
        <v>2422999997</v>
      </c>
      <c r="G96" t="s">
        <v>1575</v>
      </c>
      <c r="H96" t="s">
        <v>1630</v>
      </c>
      <c r="I96" t="s">
        <v>1647</v>
      </c>
      <c r="J96" t="s">
        <v>106</v>
      </c>
      <c r="K96">
        <v>7900001629</v>
      </c>
      <c r="L96" t="s">
        <v>1630</v>
      </c>
      <c r="M96" s="1633">
        <v>-816759145</v>
      </c>
      <c r="N96">
        <v>1</v>
      </c>
      <c r="O96">
        <v>50</v>
      </c>
      <c r="P96" s="1633">
        <v>-816759145</v>
      </c>
      <c r="Q96" t="s">
        <v>106</v>
      </c>
      <c r="R96" s="2392">
        <v>44620</v>
      </c>
      <c r="S96" s="2393">
        <f t="shared" si="4"/>
        <v>1</v>
      </c>
      <c r="T96" s="2394">
        <f>IF(OR(J96="COP",J96="EURO",J96="GBP"),0,IF(J96="USD",VLOOKUP(R96,'TRM BanRep'!$A:$G,7,0)))</f>
        <v>0</v>
      </c>
      <c r="U96" s="2395">
        <f t="shared" si="8"/>
        <v>0</v>
      </c>
      <c r="V96" s="2395" t="str">
        <f t="shared" si="5"/>
        <v/>
      </c>
    </row>
    <row r="97" spans="3:22" hidden="1">
      <c r="C97">
        <v>2022</v>
      </c>
      <c r="D97" t="s">
        <v>1617</v>
      </c>
      <c r="F97">
        <v>2422999997</v>
      </c>
      <c r="G97" t="s">
        <v>1575</v>
      </c>
      <c r="H97" t="s">
        <v>1630</v>
      </c>
      <c r="I97" t="s">
        <v>1648</v>
      </c>
      <c r="J97" t="s">
        <v>106</v>
      </c>
      <c r="K97">
        <v>7900001630</v>
      </c>
      <c r="L97" t="s">
        <v>1630</v>
      </c>
      <c r="M97" s="1633">
        <v>739443610</v>
      </c>
      <c r="N97">
        <v>1</v>
      </c>
      <c r="O97">
        <v>40</v>
      </c>
      <c r="P97" s="1633">
        <v>739443610</v>
      </c>
      <c r="Q97" t="s">
        <v>106</v>
      </c>
      <c r="R97" s="2392">
        <v>44620</v>
      </c>
      <c r="S97" s="2393">
        <f t="shared" si="4"/>
        <v>1</v>
      </c>
      <c r="T97" s="2394">
        <f>IF(OR(J97="COP",J97="EURO",J97="GBP"),0,IF(J97="USD",VLOOKUP(R97,'TRM BanRep'!$A:$G,7,0)))</f>
        <v>0</v>
      </c>
      <c r="U97" s="2395">
        <f t="shared" si="8"/>
        <v>0</v>
      </c>
      <c r="V97" s="2395" t="str">
        <f t="shared" si="5"/>
        <v/>
      </c>
    </row>
    <row r="98" spans="3:22" hidden="1">
      <c r="C98">
        <v>2022</v>
      </c>
      <c r="D98" t="s">
        <v>1617</v>
      </c>
      <c r="F98">
        <v>2422999997</v>
      </c>
      <c r="G98" t="s">
        <v>1575</v>
      </c>
      <c r="H98" t="s">
        <v>1630</v>
      </c>
      <c r="I98" t="s">
        <v>1649</v>
      </c>
      <c r="J98" t="s">
        <v>106</v>
      </c>
      <c r="K98">
        <v>7900001637</v>
      </c>
      <c r="L98" t="s">
        <v>1630</v>
      </c>
      <c r="M98" s="1633">
        <v>-755389523</v>
      </c>
      <c r="N98">
        <v>1</v>
      </c>
      <c r="O98">
        <v>50</v>
      </c>
      <c r="P98" s="1633">
        <v>-755389523</v>
      </c>
      <c r="Q98" t="s">
        <v>106</v>
      </c>
      <c r="R98" s="2392">
        <v>44620</v>
      </c>
      <c r="S98" s="2393">
        <f t="shared" si="4"/>
        <v>1</v>
      </c>
      <c r="T98" s="2394">
        <f>IF(OR(J98="COP",J98="EURO",J98="GBP"),0,IF(J98="USD",VLOOKUP(R98,'TRM BanRep'!$A:$G,7,0)))</f>
        <v>0</v>
      </c>
      <c r="U98" s="2395">
        <f t="shared" si="8"/>
        <v>0</v>
      </c>
      <c r="V98" s="2395" t="str">
        <f t="shared" si="5"/>
        <v/>
      </c>
    </row>
    <row r="99" spans="3:22" hidden="1">
      <c r="C99">
        <v>2022</v>
      </c>
      <c r="D99" t="s">
        <v>1617</v>
      </c>
      <c r="F99">
        <v>2422999997</v>
      </c>
      <c r="G99" t="s">
        <v>1575</v>
      </c>
      <c r="H99" t="s">
        <v>1630</v>
      </c>
      <c r="I99" t="s">
        <v>1650</v>
      </c>
      <c r="J99" t="s">
        <v>106</v>
      </c>
      <c r="K99">
        <v>7900001638</v>
      </c>
      <c r="L99" t="s">
        <v>1630</v>
      </c>
      <c r="M99" s="1633">
        <v>561409125</v>
      </c>
      <c r="N99">
        <v>1</v>
      </c>
      <c r="O99">
        <v>40</v>
      </c>
      <c r="P99" s="1633">
        <v>561409125</v>
      </c>
      <c r="Q99" t="s">
        <v>106</v>
      </c>
      <c r="R99" s="2392">
        <v>44620</v>
      </c>
      <c r="S99" s="2393">
        <f t="shared" si="4"/>
        <v>1</v>
      </c>
      <c r="T99" s="2394">
        <f>IF(OR(J99="COP",J99="EURO",J99="GBP"),0,IF(J99="USD",VLOOKUP(R99,'TRM BanRep'!$A:$G,7,0)))</f>
        <v>0</v>
      </c>
      <c r="U99" s="2395">
        <f t="shared" si="8"/>
        <v>0</v>
      </c>
      <c r="V99" s="2395" t="str">
        <f t="shared" si="5"/>
        <v/>
      </c>
    </row>
    <row r="100" spans="3:22" hidden="1">
      <c r="C100">
        <v>2022</v>
      </c>
      <c r="D100" t="s">
        <v>1617</v>
      </c>
      <c r="F100">
        <v>2422999997</v>
      </c>
      <c r="G100" t="s">
        <v>1575</v>
      </c>
      <c r="H100" t="s">
        <v>1630</v>
      </c>
      <c r="I100" t="s">
        <v>1648</v>
      </c>
      <c r="J100" t="s">
        <v>106</v>
      </c>
      <c r="K100">
        <v>7900001686</v>
      </c>
      <c r="L100" t="s">
        <v>1630</v>
      </c>
      <c r="M100" s="1633">
        <v>-739443610</v>
      </c>
      <c r="N100">
        <v>1</v>
      </c>
      <c r="O100">
        <v>50</v>
      </c>
      <c r="P100" s="1633">
        <v>-739443610</v>
      </c>
      <c r="Q100" t="s">
        <v>106</v>
      </c>
      <c r="R100" s="2392">
        <v>44620</v>
      </c>
      <c r="S100" s="2393">
        <f t="shared" si="4"/>
        <v>1</v>
      </c>
      <c r="T100" s="2394">
        <f>IF(OR(J100="COP",J100="EURO",J100="GBP"),0,IF(J100="USD",VLOOKUP(R100,'TRM BanRep'!$A:$G,7,0)))</f>
        <v>0</v>
      </c>
      <c r="U100" s="2395">
        <f>IF(F100=2422999997,-IF(T100=0,0,(T100-S100)*M100),IF(T100=0,0,(T100-S100)*M100))</f>
        <v>0</v>
      </c>
      <c r="V100" s="2395" t="str">
        <f t="shared" si="5"/>
        <v/>
      </c>
    </row>
    <row r="101" spans="3:22" hidden="1">
      <c r="C101">
        <v>2022</v>
      </c>
      <c r="D101" t="s">
        <v>1617</v>
      </c>
      <c r="F101">
        <v>2422999997</v>
      </c>
      <c r="G101" t="s">
        <v>1575</v>
      </c>
      <c r="H101" t="s">
        <v>1630</v>
      </c>
      <c r="I101" t="s">
        <v>1647</v>
      </c>
      <c r="J101" t="s">
        <v>106</v>
      </c>
      <c r="K101">
        <v>7900001687</v>
      </c>
      <c r="L101" t="s">
        <v>1630</v>
      </c>
      <c r="M101" s="1633">
        <v>816759145</v>
      </c>
      <c r="N101">
        <v>1</v>
      </c>
      <c r="O101">
        <v>40</v>
      </c>
      <c r="P101" s="1633">
        <v>816759145</v>
      </c>
      <c r="Q101" t="s">
        <v>106</v>
      </c>
      <c r="R101" s="2392">
        <v>44620</v>
      </c>
      <c r="S101" s="2393">
        <f t="shared" si="4"/>
        <v>1</v>
      </c>
      <c r="T101" s="2394">
        <f>IF(OR(J101="COP",J101="EURO",J101="GBP"),0,IF(J101="USD",VLOOKUP(R101,'TRM BanRep'!$A:$G,7,0)))</f>
        <v>0</v>
      </c>
      <c r="U101" s="2395">
        <f>IF(F101=2422999997,-IF(T101=0,0,(T101-S101)*M101),IF(T101=0,0,(T101-S101)*M101))</f>
        <v>0</v>
      </c>
      <c r="V101" s="2395" t="str">
        <f t="shared" si="5"/>
        <v/>
      </c>
    </row>
    <row r="102" spans="3:22" hidden="1">
      <c r="C102">
        <v>2022</v>
      </c>
      <c r="D102" t="s">
        <v>1617</v>
      </c>
      <c r="F102">
        <v>2422999997</v>
      </c>
      <c r="G102" t="s">
        <v>1575</v>
      </c>
      <c r="H102" t="s">
        <v>1630</v>
      </c>
      <c r="I102" t="s">
        <v>1650</v>
      </c>
      <c r="J102" t="s">
        <v>106</v>
      </c>
      <c r="K102">
        <v>7900001694</v>
      </c>
      <c r="L102" t="s">
        <v>1630</v>
      </c>
      <c r="M102" s="1633">
        <v>-561409125</v>
      </c>
      <c r="N102">
        <v>1</v>
      </c>
      <c r="O102">
        <v>50</v>
      </c>
      <c r="P102" s="1633">
        <v>-561409125</v>
      </c>
      <c r="Q102" t="s">
        <v>106</v>
      </c>
      <c r="R102" s="2392">
        <v>44620</v>
      </c>
      <c r="S102" s="2393">
        <f t="shared" si="4"/>
        <v>1</v>
      </c>
      <c r="T102" s="2394">
        <f>IF(OR(J102="COP",J102="EURO",J102="GBP"),0,IF(J102="USD",VLOOKUP(R102,'TRM BanRep'!$A:$G,7,0)))</f>
        <v>0</v>
      </c>
      <c r="U102" s="2395">
        <f t="shared" ref="U102:U107" si="9">IF(T102=0,0,(T102-S102)*M102)</f>
        <v>0</v>
      </c>
      <c r="V102" s="2395" t="str">
        <f t="shared" si="5"/>
        <v/>
      </c>
    </row>
    <row r="103" spans="3:22" hidden="1">
      <c r="C103">
        <v>2022</v>
      </c>
      <c r="D103" t="s">
        <v>1617</v>
      </c>
      <c r="F103">
        <v>2422999997</v>
      </c>
      <c r="G103" t="s">
        <v>1575</v>
      </c>
      <c r="H103" t="s">
        <v>1630</v>
      </c>
      <c r="I103" t="s">
        <v>1649</v>
      </c>
      <c r="J103" t="s">
        <v>106</v>
      </c>
      <c r="K103">
        <v>7900001695</v>
      </c>
      <c r="L103" t="s">
        <v>1630</v>
      </c>
      <c r="M103" s="1633">
        <v>755389523</v>
      </c>
      <c r="N103">
        <v>1</v>
      </c>
      <c r="O103">
        <v>40</v>
      </c>
      <c r="P103" s="1633">
        <v>755389523</v>
      </c>
      <c r="Q103" t="s">
        <v>106</v>
      </c>
      <c r="R103" s="2392">
        <v>44620</v>
      </c>
      <c r="S103" s="2393">
        <f t="shared" si="4"/>
        <v>1</v>
      </c>
      <c r="T103" s="2394">
        <f>IF(OR(J103="COP",J103="EURO",J103="GBP"),0,IF(J103="USD",VLOOKUP(R103,'TRM BanRep'!$A:$G,7,0)))</f>
        <v>0</v>
      </c>
      <c r="U103" s="2395">
        <f t="shared" si="9"/>
        <v>0</v>
      </c>
      <c r="V103" s="2395" t="str">
        <f t="shared" si="5"/>
        <v/>
      </c>
    </row>
    <row r="104" spans="3:22" hidden="1">
      <c r="C104">
        <v>2022</v>
      </c>
      <c r="D104" t="s">
        <v>1617</v>
      </c>
      <c r="F104">
        <v>2422999997</v>
      </c>
      <c r="G104" t="s">
        <v>1575</v>
      </c>
      <c r="H104" t="s">
        <v>1630</v>
      </c>
      <c r="I104" t="s">
        <v>1648</v>
      </c>
      <c r="J104" t="s">
        <v>106</v>
      </c>
      <c r="K104">
        <v>7900001702</v>
      </c>
      <c r="L104" t="s">
        <v>1630</v>
      </c>
      <c r="M104" s="1633">
        <v>739443610</v>
      </c>
      <c r="N104">
        <v>1</v>
      </c>
      <c r="O104">
        <v>40</v>
      </c>
      <c r="P104" s="1633">
        <v>739443610</v>
      </c>
      <c r="Q104" t="s">
        <v>106</v>
      </c>
      <c r="R104" s="2392">
        <v>44620</v>
      </c>
      <c r="S104" s="2393">
        <f t="shared" si="4"/>
        <v>1</v>
      </c>
      <c r="T104" s="2394">
        <f>IF(OR(J104="COP",J104="EURO",J104="GBP"),0,IF(J104="USD",VLOOKUP(R104,'TRM BanRep'!$A:$G,7,0)))</f>
        <v>0</v>
      </c>
      <c r="U104" s="2395">
        <f t="shared" si="9"/>
        <v>0</v>
      </c>
      <c r="V104" s="2395" t="str">
        <f t="shared" si="5"/>
        <v/>
      </c>
    </row>
    <row r="105" spans="3:22" hidden="1">
      <c r="C105">
        <v>2022</v>
      </c>
      <c r="D105" t="s">
        <v>1617</v>
      </c>
      <c r="F105">
        <v>2422999997</v>
      </c>
      <c r="G105" t="s">
        <v>1575</v>
      </c>
      <c r="H105" t="s">
        <v>1630</v>
      </c>
      <c r="I105" t="s">
        <v>1647</v>
      </c>
      <c r="J105" t="s">
        <v>106</v>
      </c>
      <c r="K105">
        <v>7900001703</v>
      </c>
      <c r="L105" t="s">
        <v>1630</v>
      </c>
      <c r="M105" s="1633">
        <v>-816759145</v>
      </c>
      <c r="N105">
        <v>1</v>
      </c>
      <c r="O105">
        <v>50</v>
      </c>
      <c r="P105" s="1633">
        <v>-816759145</v>
      </c>
      <c r="Q105" t="s">
        <v>106</v>
      </c>
      <c r="R105" s="2392">
        <v>44620</v>
      </c>
      <c r="S105" s="2393">
        <f t="shared" si="4"/>
        <v>1</v>
      </c>
      <c r="T105" s="2394">
        <f>IF(OR(J105="COP",J105="EURO",J105="GBP"),0,IF(J105="USD",VLOOKUP(R105,'TRM BanRep'!$A:$G,7,0)))</f>
        <v>0</v>
      </c>
      <c r="U105" s="2395">
        <f t="shared" si="9"/>
        <v>0</v>
      </c>
      <c r="V105" s="2395" t="str">
        <f t="shared" si="5"/>
        <v/>
      </c>
    </row>
    <row r="106" spans="3:22" hidden="1">
      <c r="C106">
        <v>2022</v>
      </c>
      <c r="D106" t="s">
        <v>1617</v>
      </c>
      <c r="F106">
        <v>2422999997</v>
      </c>
      <c r="G106" t="s">
        <v>1575</v>
      </c>
      <c r="H106" t="s">
        <v>1630</v>
      </c>
      <c r="I106" t="s">
        <v>1650</v>
      </c>
      <c r="J106" t="s">
        <v>106</v>
      </c>
      <c r="K106">
        <v>7900001710</v>
      </c>
      <c r="L106" t="s">
        <v>1630</v>
      </c>
      <c r="M106" s="1633">
        <v>561409125</v>
      </c>
      <c r="N106">
        <v>1</v>
      </c>
      <c r="O106">
        <v>40</v>
      </c>
      <c r="P106" s="1633">
        <v>561409125</v>
      </c>
      <c r="Q106" t="s">
        <v>106</v>
      </c>
      <c r="R106" s="2392">
        <v>44620</v>
      </c>
      <c r="S106" s="2393">
        <f t="shared" si="4"/>
        <v>1</v>
      </c>
      <c r="T106" s="2394">
        <f>IF(OR(J106="COP",J106="EURO",J106="GBP"),0,IF(J106="USD",VLOOKUP(R106,'TRM BanRep'!$A:$G,7,0)))</f>
        <v>0</v>
      </c>
      <c r="U106" s="2395">
        <f t="shared" si="9"/>
        <v>0</v>
      </c>
      <c r="V106" s="2395" t="str">
        <f t="shared" si="5"/>
        <v/>
      </c>
    </row>
    <row r="107" spans="3:22" hidden="1">
      <c r="C107">
        <v>2022</v>
      </c>
      <c r="D107" t="s">
        <v>1617</v>
      </c>
      <c r="F107">
        <v>2422999997</v>
      </c>
      <c r="G107" t="s">
        <v>1575</v>
      </c>
      <c r="H107" t="s">
        <v>1630</v>
      </c>
      <c r="I107" t="s">
        <v>1649</v>
      </c>
      <c r="J107" t="s">
        <v>106</v>
      </c>
      <c r="K107">
        <v>7900001711</v>
      </c>
      <c r="L107" t="s">
        <v>1630</v>
      </c>
      <c r="M107" s="1633">
        <v>-755389523</v>
      </c>
      <c r="N107">
        <v>1</v>
      </c>
      <c r="O107">
        <v>50</v>
      </c>
      <c r="P107" s="1633">
        <v>-755389523</v>
      </c>
      <c r="Q107" t="s">
        <v>106</v>
      </c>
      <c r="R107" s="2392">
        <v>44620</v>
      </c>
      <c r="S107" s="2393">
        <f t="shared" si="4"/>
        <v>1</v>
      </c>
      <c r="T107" s="2394">
        <f>IF(OR(J107="COP",J107="EURO",J107="GBP"),0,IF(J107="USD",VLOOKUP(R107,'TRM BanRep'!$A:$G,7,0)))</f>
        <v>0</v>
      </c>
      <c r="U107" s="2395">
        <f t="shared" si="9"/>
        <v>0</v>
      </c>
      <c r="V107" s="2395" t="str">
        <f t="shared" si="5"/>
        <v/>
      </c>
    </row>
    <row r="108" spans="3:22" hidden="1">
      <c r="C108">
        <v>2022</v>
      </c>
      <c r="D108" t="s">
        <v>1617</v>
      </c>
      <c r="F108">
        <v>2422999997</v>
      </c>
      <c r="G108" t="s">
        <v>1557</v>
      </c>
      <c r="H108" t="s">
        <v>1618</v>
      </c>
      <c r="I108" t="s">
        <v>1619</v>
      </c>
      <c r="J108" t="s">
        <v>106</v>
      </c>
      <c r="K108">
        <v>7900001454</v>
      </c>
      <c r="L108" t="s">
        <v>1618</v>
      </c>
      <c r="M108" s="1633">
        <v>-59355000000</v>
      </c>
      <c r="N108">
        <v>1</v>
      </c>
      <c r="O108">
        <v>50</v>
      </c>
      <c r="P108" s="1633">
        <v>-59355000000</v>
      </c>
      <c r="Q108" t="s">
        <v>106</v>
      </c>
      <c r="R108" s="2392">
        <v>44609</v>
      </c>
      <c r="S108" s="2393">
        <f t="shared" si="4"/>
        <v>1</v>
      </c>
      <c r="T108" s="2394">
        <f>IF(OR(J108="COP",J108="EURO",J108="GBP"),0,IF(J108="USD",VLOOKUP(R108,'TRM BanRep'!$A:$G,7,0)))</f>
        <v>0</v>
      </c>
      <c r="U108" s="2395">
        <f t="shared" ref="U108:U115" si="10">IF(F108=2422999997,-IF(T108=0,0,(T108-S108)*M108),IF(T108=0,0,(T108-S108)*M108))</f>
        <v>0</v>
      </c>
      <c r="V108" s="2395" t="str">
        <f t="shared" si="5"/>
        <v/>
      </c>
    </row>
    <row r="109" spans="3:22" hidden="1">
      <c r="C109">
        <v>2022</v>
      </c>
      <c r="D109" t="s">
        <v>1617</v>
      </c>
      <c r="F109">
        <v>2422999997</v>
      </c>
      <c r="G109" t="s">
        <v>1557</v>
      </c>
      <c r="H109" t="s">
        <v>1618</v>
      </c>
      <c r="I109" t="s">
        <v>1620</v>
      </c>
      <c r="J109" t="s">
        <v>106</v>
      </c>
      <c r="K109">
        <v>7900001462</v>
      </c>
      <c r="L109" t="s">
        <v>1618</v>
      </c>
      <c r="M109" s="1633">
        <v>-59362500000</v>
      </c>
      <c r="N109">
        <v>1</v>
      </c>
      <c r="O109">
        <v>50</v>
      </c>
      <c r="P109" s="1633">
        <v>-59362500000</v>
      </c>
      <c r="Q109" t="s">
        <v>106</v>
      </c>
      <c r="R109" s="2392">
        <v>44609</v>
      </c>
      <c r="S109" s="2393">
        <f t="shared" si="4"/>
        <v>1</v>
      </c>
      <c r="T109" s="2394">
        <f>IF(OR(J109="COP",J109="EURO",J109="GBP"),0,IF(J109="USD",VLOOKUP(R109,'TRM BanRep'!$A:$G,7,0)))</f>
        <v>0</v>
      </c>
      <c r="U109" s="2395">
        <f t="shared" si="10"/>
        <v>0</v>
      </c>
      <c r="V109" s="2395" t="str">
        <f t="shared" si="5"/>
        <v/>
      </c>
    </row>
    <row r="110" spans="3:22" hidden="1">
      <c r="C110">
        <v>2022</v>
      </c>
      <c r="D110" t="s">
        <v>1617</v>
      </c>
      <c r="F110">
        <v>2422999997</v>
      </c>
      <c r="G110" t="s">
        <v>1557</v>
      </c>
      <c r="H110" t="s">
        <v>1618</v>
      </c>
      <c r="I110" t="s">
        <v>1621</v>
      </c>
      <c r="J110" t="s">
        <v>106</v>
      </c>
      <c r="K110">
        <v>7900001470</v>
      </c>
      <c r="L110" t="s">
        <v>1618</v>
      </c>
      <c r="M110" s="1633">
        <v>-39533000000</v>
      </c>
      <c r="N110">
        <v>1</v>
      </c>
      <c r="O110">
        <v>50</v>
      </c>
      <c r="P110" s="1633">
        <v>-39533000000</v>
      </c>
      <c r="Q110" t="s">
        <v>106</v>
      </c>
      <c r="R110" s="2392">
        <v>44609</v>
      </c>
      <c r="S110" s="2393">
        <f t="shared" si="4"/>
        <v>1</v>
      </c>
      <c r="T110" s="2394">
        <f>IF(OR(J110="COP",J110="EURO",J110="GBP"),0,IF(J110="USD",VLOOKUP(R110,'TRM BanRep'!$A:$G,7,0)))</f>
        <v>0</v>
      </c>
      <c r="U110" s="2395">
        <f t="shared" si="10"/>
        <v>0</v>
      </c>
      <c r="V110" s="2395" t="str">
        <f t="shared" si="5"/>
        <v/>
      </c>
    </row>
    <row r="111" spans="3:22" hidden="1">
      <c r="C111">
        <v>2022</v>
      </c>
      <c r="D111" t="s">
        <v>1617</v>
      </c>
      <c r="F111">
        <v>2422999997</v>
      </c>
      <c r="G111" t="s">
        <v>1557</v>
      </c>
      <c r="H111" t="s">
        <v>1622</v>
      </c>
      <c r="I111" t="s">
        <v>1623</v>
      </c>
      <c r="J111" t="s">
        <v>106</v>
      </c>
      <c r="K111">
        <v>7900001534</v>
      </c>
      <c r="L111" t="s">
        <v>1622</v>
      </c>
      <c r="M111" s="1633">
        <v>-44206800000</v>
      </c>
      <c r="N111">
        <v>1</v>
      </c>
      <c r="O111">
        <v>50</v>
      </c>
      <c r="P111" s="1633">
        <v>-44206800000</v>
      </c>
      <c r="Q111" t="s">
        <v>106</v>
      </c>
      <c r="R111" s="2392">
        <v>44610</v>
      </c>
      <c r="S111" s="2393">
        <f t="shared" si="4"/>
        <v>1</v>
      </c>
      <c r="T111" s="2394">
        <f>IF(OR(J111="COP",J111="EURO",J111="GBP"),0,IF(J111="USD",VLOOKUP(R111,'TRM BanRep'!$A:$G,7,0)))</f>
        <v>0</v>
      </c>
      <c r="U111" s="2395">
        <f t="shared" si="10"/>
        <v>0</v>
      </c>
      <c r="V111" s="2395" t="str">
        <f t="shared" si="5"/>
        <v/>
      </c>
    </row>
    <row r="112" spans="3:22" hidden="1">
      <c r="C112">
        <v>2022</v>
      </c>
      <c r="D112" t="s">
        <v>1617</v>
      </c>
      <c r="F112">
        <v>2422999997</v>
      </c>
      <c r="G112" t="s">
        <v>1557</v>
      </c>
      <c r="H112" t="s">
        <v>1622</v>
      </c>
      <c r="I112" t="s">
        <v>1624</v>
      </c>
      <c r="J112" t="s">
        <v>106</v>
      </c>
      <c r="K112">
        <v>7900001542</v>
      </c>
      <c r="L112" t="s">
        <v>1622</v>
      </c>
      <c r="M112" s="1633">
        <v>-39321000000</v>
      </c>
      <c r="N112">
        <v>1</v>
      </c>
      <c r="O112">
        <v>50</v>
      </c>
      <c r="P112" s="1633">
        <v>-39321000000</v>
      </c>
      <c r="Q112" t="s">
        <v>106</v>
      </c>
      <c r="R112" s="2392">
        <v>44610</v>
      </c>
      <c r="S112" s="2393">
        <f t="shared" si="4"/>
        <v>1</v>
      </c>
      <c r="T112" s="2394">
        <f>IF(OR(J112="COP",J112="EURO",J112="GBP"),0,IF(J112="USD",VLOOKUP(R112,'TRM BanRep'!$A:$G,7,0)))</f>
        <v>0</v>
      </c>
      <c r="U112" s="2395">
        <f t="shared" si="10"/>
        <v>0</v>
      </c>
      <c r="V112" s="2395" t="str">
        <f t="shared" si="5"/>
        <v/>
      </c>
    </row>
    <row r="113" spans="3:22" hidden="1">
      <c r="C113">
        <v>2022</v>
      </c>
      <c r="D113" t="s">
        <v>1617</v>
      </c>
      <c r="F113">
        <v>2422999997</v>
      </c>
      <c r="G113" t="s">
        <v>1557</v>
      </c>
      <c r="H113" t="s">
        <v>1622</v>
      </c>
      <c r="I113" t="s">
        <v>1625</v>
      </c>
      <c r="J113" t="s">
        <v>106</v>
      </c>
      <c r="K113">
        <v>7900001550</v>
      </c>
      <c r="L113" t="s">
        <v>1622</v>
      </c>
      <c r="M113" s="1633">
        <v>-39347500000</v>
      </c>
      <c r="N113">
        <v>1</v>
      </c>
      <c r="O113">
        <v>50</v>
      </c>
      <c r="P113" s="1633">
        <v>-39347500000</v>
      </c>
      <c r="Q113" t="s">
        <v>106</v>
      </c>
      <c r="R113" s="2392">
        <v>44610</v>
      </c>
      <c r="S113" s="2393">
        <f t="shared" si="4"/>
        <v>1</v>
      </c>
      <c r="T113" s="2394">
        <f>IF(OR(J113="COP",J113="EURO",J113="GBP"),0,IF(J113="USD",VLOOKUP(R113,'TRM BanRep'!$A:$G,7,0)))</f>
        <v>0</v>
      </c>
      <c r="U113" s="2395">
        <f t="shared" si="10"/>
        <v>0</v>
      </c>
      <c r="V113" s="2395" t="str">
        <f t="shared" si="5"/>
        <v/>
      </c>
    </row>
    <row r="114" spans="3:22" hidden="1">
      <c r="C114">
        <v>2022</v>
      </c>
      <c r="D114" t="s">
        <v>1617</v>
      </c>
      <c r="F114">
        <v>2422999997</v>
      </c>
      <c r="G114" t="s">
        <v>1557</v>
      </c>
      <c r="H114" t="s">
        <v>1626</v>
      </c>
      <c r="I114" t="s">
        <v>1627</v>
      </c>
      <c r="J114" t="s">
        <v>106</v>
      </c>
      <c r="K114">
        <v>7900001558</v>
      </c>
      <c r="L114" t="s">
        <v>1626</v>
      </c>
      <c r="M114" s="1633">
        <v>-44000000000</v>
      </c>
      <c r="N114">
        <v>1</v>
      </c>
      <c r="O114">
        <v>50</v>
      </c>
      <c r="P114" s="1633">
        <v>-44000000000</v>
      </c>
      <c r="Q114" t="s">
        <v>106</v>
      </c>
      <c r="R114" s="2392">
        <v>44616</v>
      </c>
      <c r="S114" s="2393">
        <f t="shared" si="4"/>
        <v>1</v>
      </c>
      <c r="T114" s="2394">
        <f>IF(OR(J114="COP",J114="EURO",J114="GBP"),0,IF(J114="USD",VLOOKUP(R114,'TRM BanRep'!$A:$G,7,0)))</f>
        <v>0</v>
      </c>
      <c r="U114" s="2395">
        <f t="shared" si="10"/>
        <v>0</v>
      </c>
      <c r="V114" s="2395" t="str">
        <f t="shared" si="5"/>
        <v/>
      </c>
    </row>
    <row r="115" spans="3:22" hidden="1">
      <c r="C115">
        <v>2022</v>
      </c>
      <c r="D115" t="s">
        <v>1617</v>
      </c>
      <c r="F115">
        <v>2422999997</v>
      </c>
      <c r="G115" t="s">
        <v>1557</v>
      </c>
      <c r="H115" t="s">
        <v>1628</v>
      </c>
      <c r="I115" t="s">
        <v>1629</v>
      </c>
      <c r="J115" t="s">
        <v>106</v>
      </c>
      <c r="K115">
        <v>7900001582</v>
      </c>
      <c r="L115" t="s">
        <v>1628</v>
      </c>
      <c r="M115" s="1633">
        <v>-8599800000</v>
      </c>
      <c r="N115">
        <v>1</v>
      </c>
      <c r="O115">
        <v>50</v>
      </c>
      <c r="P115" s="1633">
        <v>-8599800000</v>
      </c>
      <c r="Q115" t="s">
        <v>106</v>
      </c>
      <c r="R115" s="2392">
        <v>44617</v>
      </c>
      <c r="S115" s="2393">
        <f t="shared" si="4"/>
        <v>1</v>
      </c>
      <c r="T115" s="2394">
        <f>IF(OR(J115="COP",J115="EURO",J115="GBP"),0,IF(J115="USD",VLOOKUP(R115,'TRM BanRep'!$A:$G,7,0)))</f>
        <v>0</v>
      </c>
      <c r="U115" s="2395">
        <f t="shared" si="10"/>
        <v>0</v>
      </c>
      <c r="V115" s="2395" t="str">
        <f t="shared" si="5"/>
        <v/>
      </c>
    </row>
    <row r="116" spans="3:22" hidden="1">
      <c r="C116">
        <v>2022</v>
      </c>
      <c r="D116" t="s">
        <v>1617</v>
      </c>
      <c r="F116">
        <v>2422999997</v>
      </c>
      <c r="G116" t="s">
        <v>1608</v>
      </c>
      <c r="H116" t="s">
        <v>1651</v>
      </c>
      <c r="J116" t="s">
        <v>106</v>
      </c>
      <c r="K116">
        <v>2000001483</v>
      </c>
      <c r="L116" t="s">
        <v>1651</v>
      </c>
      <c r="M116" s="1633">
        <v>11418025300</v>
      </c>
      <c r="N116">
        <v>1</v>
      </c>
      <c r="O116">
        <v>40</v>
      </c>
      <c r="P116" s="1633">
        <v>11418025300</v>
      </c>
      <c r="Q116" t="s">
        <v>106</v>
      </c>
      <c r="R116" s="2392">
        <v>44613</v>
      </c>
      <c r="S116" s="2393">
        <f t="shared" si="4"/>
        <v>1</v>
      </c>
      <c r="T116" s="2394">
        <f>IF(OR(J116="COP",J116="EURO",J116="GBP"),0,IF(J116="USD",VLOOKUP(R116,'TRM BanRep'!$A:$G,7,0)))</f>
        <v>0</v>
      </c>
      <c r="U116" s="2395">
        <f t="shared" ref="U116:U131" si="11">IF(T116=0,0,(T116-S116)*M116)</f>
        <v>0</v>
      </c>
      <c r="V116" s="2395" t="str">
        <f t="shared" si="5"/>
        <v/>
      </c>
    </row>
    <row r="117" spans="3:22" hidden="1">
      <c r="C117">
        <v>2022</v>
      </c>
      <c r="D117" t="s">
        <v>1617</v>
      </c>
      <c r="F117">
        <v>2422999997</v>
      </c>
      <c r="G117" t="s">
        <v>1608</v>
      </c>
      <c r="H117" t="s">
        <v>1618</v>
      </c>
      <c r="J117" t="s">
        <v>106</v>
      </c>
      <c r="K117">
        <v>2000001531</v>
      </c>
      <c r="L117" t="s">
        <v>1618</v>
      </c>
      <c r="M117" s="1633">
        <v>59355000000</v>
      </c>
      <c r="N117">
        <v>1</v>
      </c>
      <c r="O117">
        <v>40</v>
      </c>
      <c r="P117" s="1633">
        <v>59355000000</v>
      </c>
      <c r="Q117" t="s">
        <v>106</v>
      </c>
      <c r="R117" s="2392">
        <v>44609</v>
      </c>
      <c r="S117" s="2393">
        <f t="shared" si="4"/>
        <v>1</v>
      </c>
      <c r="T117" s="2394">
        <f>IF(OR(J117="COP",J117="EURO",J117="GBP"),0,IF(J117="USD",VLOOKUP(R117,'TRM BanRep'!$A:$G,7,0)))</f>
        <v>0</v>
      </c>
      <c r="U117" s="2395">
        <f t="shared" si="11"/>
        <v>0</v>
      </c>
      <c r="V117" s="2395" t="str">
        <f t="shared" si="5"/>
        <v/>
      </c>
    </row>
    <row r="118" spans="3:22" hidden="1">
      <c r="C118">
        <v>2022</v>
      </c>
      <c r="D118" t="s">
        <v>1617</v>
      </c>
      <c r="F118">
        <v>2422999997</v>
      </c>
      <c r="G118" t="s">
        <v>1608</v>
      </c>
      <c r="H118" t="s">
        <v>1618</v>
      </c>
      <c r="J118" t="s">
        <v>106</v>
      </c>
      <c r="K118">
        <v>2000001532</v>
      </c>
      <c r="L118" t="s">
        <v>1618</v>
      </c>
      <c r="M118" s="1633">
        <v>59362500000</v>
      </c>
      <c r="N118">
        <v>1</v>
      </c>
      <c r="O118">
        <v>40</v>
      </c>
      <c r="P118" s="1633">
        <v>59362500000</v>
      </c>
      <c r="Q118" t="s">
        <v>106</v>
      </c>
      <c r="R118" s="2392">
        <v>44609</v>
      </c>
      <c r="S118" s="2393">
        <f t="shared" si="4"/>
        <v>1</v>
      </c>
      <c r="T118" s="2394">
        <f>IF(OR(J118="COP",J118="EURO",J118="GBP"),0,IF(J118="USD",VLOOKUP(R118,'TRM BanRep'!$A:$G,7,0)))</f>
        <v>0</v>
      </c>
      <c r="U118" s="2395">
        <f t="shared" si="11"/>
        <v>0</v>
      </c>
      <c r="V118" s="2395" t="str">
        <f t="shared" si="5"/>
        <v/>
      </c>
    </row>
    <row r="119" spans="3:22" hidden="1">
      <c r="C119">
        <v>2022</v>
      </c>
      <c r="D119" t="s">
        <v>1617</v>
      </c>
      <c r="F119">
        <v>2422999997</v>
      </c>
      <c r="G119" t="s">
        <v>1608</v>
      </c>
      <c r="H119" t="s">
        <v>1618</v>
      </c>
      <c r="J119" t="s">
        <v>106</v>
      </c>
      <c r="K119">
        <v>2000001533</v>
      </c>
      <c r="L119" t="s">
        <v>1618</v>
      </c>
      <c r="M119" s="1633">
        <v>39533000000</v>
      </c>
      <c r="N119">
        <v>1</v>
      </c>
      <c r="O119">
        <v>40</v>
      </c>
      <c r="P119" s="1633">
        <v>39533000000</v>
      </c>
      <c r="Q119" t="s">
        <v>106</v>
      </c>
      <c r="R119" s="2392">
        <v>44609</v>
      </c>
      <c r="S119" s="2393">
        <f t="shared" si="4"/>
        <v>1</v>
      </c>
      <c r="T119" s="2394">
        <f>IF(OR(J119="COP",J119="EURO",J119="GBP"),0,IF(J119="USD",VLOOKUP(R119,'TRM BanRep'!$A:$G,7,0)))</f>
        <v>0</v>
      </c>
      <c r="U119" s="2395">
        <f t="shared" si="11"/>
        <v>0</v>
      </c>
      <c r="V119" s="2395" t="str">
        <f t="shared" si="5"/>
        <v/>
      </c>
    </row>
    <row r="120" spans="3:22" hidden="1">
      <c r="C120">
        <v>2022</v>
      </c>
      <c r="D120" t="s">
        <v>1617</v>
      </c>
      <c r="F120">
        <v>2422999997</v>
      </c>
      <c r="G120" t="s">
        <v>1608</v>
      </c>
      <c r="H120" t="s">
        <v>1622</v>
      </c>
      <c r="J120" t="s">
        <v>106</v>
      </c>
      <c r="K120">
        <v>2000001640</v>
      </c>
      <c r="L120" t="s">
        <v>1622</v>
      </c>
      <c r="M120" s="1633">
        <v>44206800000</v>
      </c>
      <c r="N120">
        <v>1</v>
      </c>
      <c r="O120">
        <v>40</v>
      </c>
      <c r="P120" s="1633">
        <v>44206800000</v>
      </c>
      <c r="Q120" t="s">
        <v>106</v>
      </c>
      <c r="R120" s="2392">
        <v>44610</v>
      </c>
      <c r="S120" s="2393">
        <f t="shared" si="4"/>
        <v>1</v>
      </c>
      <c r="T120" s="2394">
        <f>IF(OR(J120="COP",J120="EURO",J120="GBP"),0,IF(J120="USD",VLOOKUP(R120,'TRM BanRep'!$A:$G,7,0)))</f>
        <v>0</v>
      </c>
      <c r="U120" s="2395">
        <f t="shared" si="11"/>
        <v>0</v>
      </c>
      <c r="V120" s="2395" t="str">
        <f t="shared" si="5"/>
        <v/>
      </c>
    </row>
    <row r="121" spans="3:22" hidden="1">
      <c r="C121">
        <v>2022</v>
      </c>
      <c r="D121" t="s">
        <v>1617</v>
      </c>
      <c r="F121">
        <v>2422999997</v>
      </c>
      <c r="G121" t="s">
        <v>1608</v>
      </c>
      <c r="H121" t="s">
        <v>1622</v>
      </c>
      <c r="J121" t="s">
        <v>106</v>
      </c>
      <c r="K121">
        <v>2000001641</v>
      </c>
      <c r="L121" t="s">
        <v>1622</v>
      </c>
      <c r="M121" s="1633">
        <v>39321000000</v>
      </c>
      <c r="N121">
        <v>1</v>
      </c>
      <c r="O121">
        <v>40</v>
      </c>
      <c r="P121" s="1633">
        <v>39321000000</v>
      </c>
      <c r="Q121" t="s">
        <v>106</v>
      </c>
      <c r="R121" s="2392">
        <v>44610</v>
      </c>
      <c r="S121" s="2393">
        <f t="shared" si="4"/>
        <v>1</v>
      </c>
      <c r="T121" s="2394">
        <f>IF(OR(J121="COP",J121="EURO",J121="GBP"),0,IF(J121="USD",VLOOKUP(R121,'TRM BanRep'!$A:$G,7,0)))</f>
        <v>0</v>
      </c>
      <c r="U121" s="2395">
        <f t="shared" si="11"/>
        <v>0</v>
      </c>
      <c r="V121" s="2395" t="str">
        <f t="shared" si="5"/>
        <v/>
      </c>
    </row>
    <row r="122" spans="3:22" hidden="1">
      <c r="C122">
        <v>2022</v>
      </c>
      <c r="D122" t="s">
        <v>1617</v>
      </c>
      <c r="F122">
        <v>2422999997</v>
      </c>
      <c r="G122" t="s">
        <v>1608</v>
      </c>
      <c r="H122" t="s">
        <v>1622</v>
      </c>
      <c r="J122" t="s">
        <v>106</v>
      </c>
      <c r="K122">
        <v>2000001642</v>
      </c>
      <c r="L122" t="s">
        <v>1622</v>
      </c>
      <c r="M122" s="1633">
        <v>39347500000</v>
      </c>
      <c r="N122">
        <v>1</v>
      </c>
      <c r="O122">
        <v>40</v>
      </c>
      <c r="P122" s="1633">
        <v>39347500000</v>
      </c>
      <c r="Q122" t="s">
        <v>106</v>
      </c>
      <c r="R122" s="2392">
        <v>44610</v>
      </c>
      <c r="S122" s="2393">
        <f t="shared" si="4"/>
        <v>1</v>
      </c>
      <c r="T122" s="2394">
        <f>IF(OR(J122="COP",J122="EURO",J122="GBP"),0,IF(J122="USD",VLOOKUP(R122,'TRM BanRep'!$A:$G,7,0)))</f>
        <v>0</v>
      </c>
      <c r="U122" s="2395">
        <f t="shared" si="11"/>
        <v>0</v>
      </c>
      <c r="V122" s="2395" t="str">
        <f t="shared" si="5"/>
        <v/>
      </c>
    </row>
    <row r="123" spans="3:22" hidden="1">
      <c r="C123">
        <v>2022</v>
      </c>
      <c r="D123" t="s">
        <v>1617</v>
      </c>
      <c r="F123">
        <v>2422999997</v>
      </c>
      <c r="G123" t="s">
        <v>1608</v>
      </c>
      <c r="H123" t="s">
        <v>1626</v>
      </c>
      <c r="J123" t="s">
        <v>106</v>
      </c>
      <c r="K123">
        <v>2000001643</v>
      </c>
      <c r="L123" t="s">
        <v>1626</v>
      </c>
      <c r="M123" s="1633">
        <v>44000000000</v>
      </c>
      <c r="N123">
        <v>1</v>
      </c>
      <c r="O123">
        <v>40</v>
      </c>
      <c r="P123" s="1633">
        <v>44000000000</v>
      </c>
      <c r="Q123" t="s">
        <v>106</v>
      </c>
      <c r="R123" s="2392">
        <v>44616</v>
      </c>
      <c r="S123" s="2393">
        <f t="shared" si="4"/>
        <v>1</v>
      </c>
      <c r="T123" s="2394">
        <f>IF(OR(J123="COP",J123="EURO",J123="GBP"),0,IF(J123="USD",VLOOKUP(R123,'TRM BanRep'!$A:$G,7,0)))</f>
        <v>0</v>
      </c>
      <c r="U123" s="2395">
        <f t="shared" si="11"/>
        <v>0</v>
      </c>
      <c r="V123" s="2395" t="str">
        <f t="shared" si="5"/>
        <v/>
      </c>
    </row>
    <row r="124" spans="3:22" hidden="1">
      <c r="C124">
        <v>2022</v>
      </c>
      <c r="D124" t="s">
        <v>1617</v>
      </c>
      <c r="F124">
        <v>2422999997</v>
      </c>
      <c r="G124" t="s">
        <v>1608</v>
      </c>
      <c r="H124" t="s">
        <v>1628</v>
      </c>
      <c r="J124" t="s">
        <v>106</v>
      </c>
      <c r="K124">
        <v>2000001681</v>
      </c>
      <c r="L124" t="s">
        <v>1628</v>
      </c>
      <c r="M124" s="1633">
        <v>8599800000</v>
      </c>
      <c r="N124">
        <v>1</v>
      </c>
      <c r="O124">
        <v>40</v>
      </c>
      <c r="P124" s="1633">
        <v>8599800000</v>
      </c>
      <c r="Q124" t="s">
        <v>106</v>
      </c>
      <c r="R124" s="2392">
        <v>44617</v>
      </c>
      <c r="S124" s="2393">
        <f t="shared" si="4"/>
        <v>1</v>
      </c>
      <c r="T124" s="2394">
        <f>IF(OR(J124="COP",J124="EURO",J124="GBP"),0,IF(J124="USD",VLOOKUP(R124,'TRM BanRep'!$A:$G,7,0)))</f>
        <v>0</v>
      </c>
      <c r="U124" s="2395">
        <f t="shared" si="11"/>
        <v>0</v>
      </c>
      <c r="V124" s="2395" t="str">
        <f t="shared" si="5"/>
        <v/>
      </c>
    </row>
    <row r="125" spans="3:22" hidden="1">
      <c r="C125">
        <v>2022</v>
      </c>
      <c r="D125" t="s">
        <v>1617</v>
      </c>
      <c r="F125">
        <v>2422999997</v>
      </c>
      <c r="G125" t="s">
        <v>1608</v>
      </c>
      <c r="H125" t="s">
        <v>1630</v>
      </c>
      <c r="J125" t="s">
        <v>106</v>
      </c>
      <c r="K125">
        <v>2000001682</v>
      </c>
      <c r="L125" t="s">
        <v>1630</v>
      </c>
      <c r="M125" s="1633">
        <v>8023105547</v>
      </c>
      <c r="N125">
        <v>1</v>
      </c>
      <c r="O125">
        <v>40</v>
      </c>
      <c r="P125" s="1633">
        <v>8023105547</v>
      </c>
      <c r="Q125" t="s">
        <v>106</v>
      </c>
      <c r="R125" s="2392">
        <v>44620</v>
      </c>
      <c r="S125" s="2393">
        <f t="shared" si="4"/>
        <v>1</v>
      </c>
      <c r="T125" s="2394">
        <f>IF(OR(J125="COP",J125="EURO",J125="GBP"),0,IF(J125="USD",VLOOKUP(R125,'TRM BanRep'!$A:$G,7,0)))</f>
        <v>0</v>
      </c>
      <c r="U125" s="2395">
        <f t="shared" si="11"/>
        <v>0</v>
      </c>
      <c r="V125" s="2395" t="str">
        <f t="shared" si="5"/>
        <v/>
      </c>
    </row>
    <row r="126" spans="3:22" hidden="1">
      <c r="C126">
        <v>2022</v>
      </c>
      <c r="D126" t="s">
        <v>1617</v>
      </c>
      <c r="F126">
        <v>2422999997</v>
      </c>
      <c r="G126" t="s">
        <v>1608</v>
      </c>
      <c r="H126" t="s">
        <v>1630</v>
      </c>
      <c r="J126" t="s">
        <v>106</v>
      </c>
      <c r="K126">
        <v>2000001684</v>
      </c>
      <c r="L126" t="s">
        <v>1630</v>
      </c>
      <c r="M126" s="1633">
        <v>22502325000</v>
      </c>
      <c r="N126">
        <v>1</v>
      </c>
      <c r="O126">
        <v>40</v>
      </c>
      <c r="P126" s="1633">
        <v>22502325000</v>
      </c>
      <c r="Q126" t="s">
        <v>106</v>
      </c>
      <c r="R126" s="2392">
        <v>44620</v>
      </c>
      <c r="S126" s="2393">
        <f t="shared" si="4"/>
        <v>1</v>
      </c>
      <c r="T126" s="2394">
        <f>IF(OR(J126="COP",J126="EURO",J126="GBP"),0,IF(J126="USD",VLOOKUP(R126,'TRM BanRep'!$A:$G,7,0)))</f>
        <v>0</v>
      </c>
      <c r="U126" s="2395">
        <f t="shared" si="11"/>
        <v>0</v>
      </c>
      <c r="V126" s="2395" t="str">
        <f t="shared" si="5"/>
        <v/>
      </c>
    </row>
    <row r="127" spans="3:22" hidden="1">
      <c r="C127">
        <v>2022</v>
      </c>
      <c r="D127" t="s">
        <v>1617</v>
      </c>
      <c r="F127">
        <v>2422999997</v>
      </c>
      <c r="G127" t="s">
        <v>1608</v>
      </c>
      <c r="H127" t="s">
        <v>1630</v>
      </c>
      <c r="J127" t="s">
        <v>106</v>
      </c>
      <c r="K127">
        <v>2000001685</v>
      </c>
      <c r="L127" t="s">
        <v>1630</v>
      </c>
      <c r="M127" s="1633">
        <v>472777778</v>
      </c>
      <c r="N127">
        <v>1</v>
      </c>
      <c r="O127">
        <v>40</v>
      </c>
      <c r="P127" s="1633">
        <v>472777778</v>
      </c>
      <c r="Q127" t="s">
        <v>106</v>
      </c>
      <c r="R127" s="2392">
        <v>44620</v>
      </c>
      <c r="S127" s="2393">
        <f t="shared" si="4"/>
        <v>1</v>
      </c>
      <c r="T127" s="2394">
        <f>IF(OR(J127="COP",J127="EURO",J127="GBP"),0,IF(J127="USD",VLOOKUP(R127,'TRM BanRep'!$A:$G,7,0)))</f>
        <v>0</v>
      </c>
      <c r="U127" s="2395">
        <f t="shared" si="11"/>
        <v>0</v>
      </c>
      <c r="V127" s="2395" t="str">
        <f t="shared" si="5"/>
        <v/>
      </c>
    </row>
    <row r="128" spans="3:22" hidden="1">
      <c r="C128">
        <v>2022</v>
      </c>
      <c r="D128" t="s">
        <v>1617</v>
      </c>
      <c r="F128">
        <v>2422999997</v>
      </c>
      <c r="G128" t="s">
        <v>1608</v>
      </c>
      <c r="H128" t="s">
        <v>1630</v>
      </c>
      <c r="J128" t="s">
        <v>106</v>
      </c>
      <c r="K128">
        <v>2000001744</v>
      </c>
      <c r="L128" t="s">
        <v>1630</v>
      </c>
      <c r="M128" s="1633">
        <v>271295933</v>
      </c>
      <c r="N128">
        <v>1</v>
      </c>
      <c r="O128">
        <v>40</v>
      </c>
      <c r="P128" s="1633">
        <v>271295933</v>
      </c>
      <c r="Q128" t="s">
        <v>106</v>
      </c>
      <c r="R128" s="2392">
        <v>44620</v>
      </c>
      <c r="S128" s="2393">
        <f t="shared" si="4"/>
        <v>1</v>
      </c>
      <c r="T128" s="2394">
        <f>IF(OR(J128="COP",J128="EURO",J128="GBP"),0,IF(J128="USD",VLOOKUP(R128,'TRM BanRep'!$A:$G,7,0)))</f>
        <v>0</v>
      </c>
      <c r="U128" s="2395">
        <f t="shared" si="11"/>
        <v>0</v>
      </c>
      <c r="V128" s="2395" t="str">
        <f t="shared" si="5"/>
        <v/>
      </c>
    </row>
    <row r="129" spans="3:23" hidden="1">
      <c r="C129">
        <v>2022</v>
      </c>
      <c r="D129" t="s">
        <v>1617</v>
      </c>
      <c r="F129">
        <v>2422999997</v>
      </c>
      <c r="G129" t="s">
        <v>1609</v>
      </c>
      <c r="H129" t="s">
        <v>1651</v>
      </c>
      <c r="I129" t="s">
        <v>1652</v>
      </c>
      <c r="J129" t="s">
        <v>106</v>
      </c>
      <c r="K129">
        <v>7900001418</v>
      </c>
      <c r="L129" t="s">
        <v>1651</v>
      </c>
      <c r="M129" s="1633">
        <v>-3765138240</v>
      </c>
      <c r="N129">
        <v>1</v>
      </c>
      <c r="O129">
        <v>50</v>
      </c>
      <c r="P129" s="1633">
        <v>-3765138240</v>
      </c>
      <c r="Q129" t="s">
        <v>106</v>
      </c>
      <c r="R129" s="2392">
        <v>44613</v>
      </c>
      <c r="S129" s="2393">
        <f t="shared" si="4"/>
        <v>1</v>
      </c>
      <c r="T129" s="2394">
        <f>IF(OR(J129="COP",J129="EURO",J129="GBP"),0,IF(J129="USD",VLOOKUP(R129,'TRM BanRep'!$A:$G,7,0)))</f>
        <v>0</v>
      </c>
      <c r="U129" s="2395">
        <f t="shared" si="11"/>
        <v>0</v>
      </c>
      <c r="V129" s="2395" t="str">
        <f t="shared" si="5"/>
        <v/>
      </c>
    </row>
    <row r="130" spans="3:23" hidden="1">
      <c r="C130">
        <v>2022</v>
      </c>
      <c r="D130" t="s">
        <v>1617</v>
      </c>
      <c r="F130">
        <v>2422999997</v>
      </c>
      <c r="G130" t="s">
        <v>1609</v>
      </c>
      <c r="H130" t="s">
        <v>1651</v>
      </c>
      <c r="I130" t="s">
        <v>1653</v>
      </c>
      <c r="J130" t="s">
        <v>106</v>
      </c>
      <c r="K130">
        <v>7900001419</v>
      </c>
      <c r="L130" t="s">
        <v>1651</v>
      </c>
      <c r="M130" s="1633">
        <v>-3836703260</v>
      </c>
      <c r="N130">
        <v>1</v>
      </c>
      <c r="O130">
        <v>50</v>
      </c>
      <c r="P130" s="1633">
        <v>-3836703260</v>
      </c>
      <c r="Q130" t="s">
        <v>106</v>
      </c>
      <c r="R130" s="2392">
        <v>44613</v>
      </c>
      <c r="S130" s="2393">
        <f t="shared" si="4"/>
        <v>1</v>
      </c>
      <c r="T130" s="2394">
        <f>IF(OR(J130="COP",J130="EURO",J130="GBP"),0,IF(J130="USD",VLOOKUP(R130,'TRM BanRep'!$A:$G,7,0)))</f>
        <v>0</v>
      </c>
      <c r="U130" s="2395">
        <f t="shared" si="11"/>
        <v>0</v>
      </c>
      <c r="V130" s="2395" t="str">
        <f t="shared" si="5"/>
        <v/>
      </c>
    </row>
    <row r="131" spans="3:23" hidden="1">
      <c r="C131">
        <v>2022</v>
      </c>
      <c r="D131" t="s">
        <v>1617</v>
      </c>
      <c r="F131">
        <v>2422999997</v>
      </c>
      <c r="G131" t="s">
        <v>1609</v>
      </c>
      <c r="H131" t="s">
        <v>1651</v>
      </c>
      <c r="I131" t="s">
        <v>1654</v>
      </c>
      <c r="J131" t="s">
        <v>106</v>
      </c>
      <c r="K131">
        <v>7900001420</v>
      </c>
      <c r="L131" t="s">
        <v>1651</v>
      </c>
      <c r="M131" s="1633">
        <v>-3816183800</v>
      </c>
      <c r="N131">
        <v>1</v>
      </c>
      <c r="O131">
        <v>50</v>
      </c>
      <c r="P131" s="1633">
        <v>-3816183800</v>
      </c>
      <c r="Q131" t="s">
        <v>106</v>
      </c>
      <c r="R131" s="2392">
        <v>44613</v>
      </c>
      <c r="S131" s="2393">
        <f t="shared" si="4"/>
        <v>1</v>
      </c>
      <c r="T131" s="2394">
        <f>IF(OR(J131="COP",J131="EURO",J131="GBP"),0,IF(J131="USD",VLOOKUP(R131,'TRM BanRep'!$A:$G,7,0)))</f>
        <v>0</v>
      </c>
      <c r="U131" s="2395">
        <f t="shared" si="11"/>
        <v>0</v>
      </c>
      <c r="V131" s="2395" t="str">
        <f t="shared" si="5"/>
        <v/>
      </c>
    </row>
    <row r="132" spans="3:23" hidden="1">
      <c r="C132">
        <v>2022</v>
      </c>
      <c r="D132" t="s">
        <v>1617</v>
      </c>
      <c r="F132">
        <v>2422999997</v>
      </c>
      <c r="G132" t="s">
        <v>1609</v>
      </c>
      <c r="H132" t="s">
        <v>1651</v>
      </c>
      <c r="I132" t="s">
        <v>1654</v>
      </c>
      <c r="J132" t="s">
        <v>106</v>
      </c>
      <c r="K132">
        <v>7900001427</v>
      </c>
      <c r="L132" t="s">
        <v>1651</v>
      </c>
      <c r="M132" s="1633">
        <v>3816183800</v>
      </c>
      <c r="N132">
        <v>1</v>
      </c>
      <c r="O132">
        <v>40</v>
      </c>
      <c r="P132" s="1633">
        <v>3816183800</v>
      </c>
      <c r="Q132" t="s">
        <v>106</v>
      </c>
      <c r="R132" s="2392">
        <v>44613</v>
      </c>
      <c r="S132" s="2393">
        <f t="shared" si="4"/>
        <v>1</v>
      </c>
      <c r="T132" s="2394">
        <f>IF(OR(J132="COP",J132="EURO",J132="GBP"),0,IF(J132="USD",VLOOKUP(R132,'TRM BanRep'!$A:$G,7,0)))</f>
        <v>0</v>
      </c>
      <c r="U132" s="2395">
        <f>IF(F132=2422999997,-IF(T132=0,0,(T132-S132)*M132),IF(T132=0,0,(T132-S132)*M132))</f>
        <v>0</v>
      </c>
      <c r="V132" s="2395" t="str">
        <f t="shared" si="5"/>
        <v/>
      </c>
    </row>
    <row r="133" spans="3:23" hidden="1">
      <c r="C133">
        <v>2022</v>
      </c>
      <c r="D133" t="s">
        <v>1617</v>
      </c>
      <c r="F133">
        <v>2422999997</v>
      </c>
      <c r="G133" t="s">
        <v>1609</v>
      </c>
      <c r="H133" t="s">
        <v>1651</v>
      </c>
      <c r="I133" t="s">
        <v>1653</v>
      </c>
      <c r="J133" t="s">
        <v>106</v>
      </c>
      <c r="K133">
        <v>7900001431</v>
      </c>
      <c r="L133" t="s">
        <v>1651</v>
      </c>
      <c r="M133" s="1633">
        <v>3836703260</v>
      </c>
      <c r="N133">
        <v>1</v>
      </c>
      <c r="O133">
        <v>40</v>
      </c>
      <c r="P133" s="1633">
        <v>3836703260</v>
      </c>
      <c r="Q133" t="s">
        <v>106</v>
      </c>
      <c r="R133" s="2392">
        <v>44613</v>
      </c>
      <c r="S133" s="2393">
        <f t="shared" si="4"/>
        <v>1</v>
      </c>
      <c r="T133" s="2394">
        <f>IF(OR(J133="COP",J133="EURO",J133="GBP"),0,IF(J133="USD",VLOOKUP(R133,'TRM BanRep'!$A:$G,7,0)))</f>
        <v>0</v>
      </c>
      <c r="U133" s="2395">
        <f t="shared" ref="U133:U143" si="12">IF(T133=0,0,(T133-S133)*M133)</f>
        <v>0</v>
      </c>
      <c r="V133" s="2395" t="str">
        <f t="shared" si="5"/>
        <v/>
      </c>
    </row>
    <row r="134" spans="3:23" hidden="1">
      <c r="C134">
        <v>2022</v>
      </c>
      <c r="D134" t="s">
        <v>1617</v>
      </c>
      <c r="F134">
        <v>2422999997</v>
      </c>
      <c r="G134" t="s">
        <v>1609</v>
      </c>
      <c r="H134" t="s">
        <v>1651</v>
      </c>
      <c r="I134" t="s">
        <v>1652</v>
      </c>
      <c r="J134" t="s">
        <v>106</v>
      </c>
      <c r="K134">
        <v>7900001435</v>
      </c>
      <c r="L134" t="s">
        <v>1651</v>
      </c>
      <c r="M134" s="1633">
        <v>3765138240</v>
      </c>
      <c r="N134">
        <v>1</v>
      </c>
      <c r="O134">
        <v>40</v>
      </c>
      <c r="P134" s="1633">
        <v>3765138240</v>
      </c>
      <c r="Q134" t="s">
        <v>106</v>
      </c>
      <c r="R134" s="2392">
        <v>44613</v>
      </c>
      <c r="S134" s="2393">
        <f t="shared" ref="S134:S197" si="13">+ROUND(P134/M134,2)</f>
        <v>1</v>
      </c>
      <c r="T134" s="2394">
        <f>IF(OR(J134="COP",J134="EURO",J134="GBP"),0,IF(J134="USD",VLOOKUP(R134,'TRM BanRep'!$A:$G,7,0)))</f>
        <v>0</v>
      </c>
      <c r="U134" s="2395">
        <f t="shared" si="12"/>
        <v>0</v>
      </c>
      <c r="V134" s="2395" t="str">
        <f t="shared" si="5"/>
        <v/>
      </c>
    </row>
    <row r="135" spans="3:23" hidden="1">
      <c r="C135">
        <v>2022</v>
      </c>
      <c r="D135" t="s">
        <v>1617</v>
      </c>
      <c r="F135">
        <v>2422999997</v>
      </c>
      <c r="G135" t="s">
        <v>1609</v>
      </c>
      <c r="H135" t="s">
        <v>1651</v>
      </c>
      <c r="I135" t="s">
        <v>1653</v>
      </c>
      <c r="J135" t="s">
        <v>106</v>
      </c>
      <c r="K135">
        <v>7900001443</v>
      </c>
      <c r="L135" t="s">
        <v>1651</v>
      </c>
      <c r="M135" s="1633">
        <v>-3836703260</v>
      </c>
      <c r="N135">
        <v>1</v>
      </c>
      <c r="O135">
        <v>50</v>
      </c>
      <c r="P135" s="1633">
        <v>-3836703260</v>
      </c>
      <c r="Q135" t="s">
        <v>106</v>
      </c>
      <c r="R135" s="2392">
        <v>44613</v>
      </c>
      <c r="S135" s="2393">
        <f t="shared" si="13"/>
        <v>1</v>
      </c>
      <c r="T135" s="2394">
        <f>IF(OR(J135="COP",J135="EURO",J135="GBP"),0,IF(J135="USD",VLOOKUP(R135,'TRM BanRep'!$A:$G,7,0)))</f>
        <v>0</v>
      </c>
      <c r="U135" s="2395">
        <f t="shared" si="12"/>
        <v>0</v>
      </c>
      <c r="V135" s="2395" t="str">
        <f t="shared" ref="V135:V198" si="14">IF(U135=0,"",IF(U135&gt;0,"2-GASTO","1-INGRESO"))</f>
        <v/>
      </c>
    </row>
    <row r="136" spans="3:23" hidden="1">
      <c r="C136">
        <v>2022</v>
      </c>
      <c r="D136" t="s">
        <v>1617</v>
      </c>
      <c r="F136">
        <v>2422999997</v>
      </c>
      <c r="G136" t="s">
        <v>1609</v>
      </c>
      <c r="H136" t="s">
        <v>1651</v>
      </c>
      <c r="I136" t="s">
        <v>1654</v>
      </c>
      <c r="J136" t="s">
        <v>106</v>
      </c>
      <c r="K136">
        <v>7900001444</v>
      </c>
      <c r="L136" t="s">
        <v>1651</v>
      </c>
      <c r="M136" s="1633">
        <v>-3816183800</v>
      </c>
      <c r="N136">
        <v>1</v>
      </c>
      <c r="O136">
        <v>50</v>
      </c>
      <c r="P136" s="1633">
        <v>-3816183800</v>
      </c>
      <c r="Q136" t="s">
        <v>106</v>
      </c>
      <c r="R136" s="2392">
        <v>44613</v>
      </c>
      <c r="S136" s="2393">
        <f t="shared" si="13"/>
        <v>1</v>
      </c>
      <c r="T136" s="2394">
        <f>IF(OR(J136="COP",J136="EURO",J136="GBP"),0,IF(J136="USD",VLOOKUP(R136,'TRM BanRep'!$A:$G,7,0)))</f>
        <v>0</v>
      </c>
      <c r="U136" s="2395">
        <f t="shared" si="12"/>
        <v>0</v>
      </c>
      <c r="V136" s="2395" t="str">
        <f t="shared" si="14"/>
        <v/>
      </c>
    </row>
    <row r="137" spans="3:23" hidden="1">
      <c r="C137">
        <v>2022</v>
      </c>
      <c r="D137" t="s">
        <v>1617</v>
      </c>
      <c r="F137">
        <v>2422999997</v>
      </c>
      <c r="G137" t="s">
        <v>1609</v>
      </c>
      <c r="H137" t="s">
        <v>1651</v>
      </c>
      <c r="I137" t="s">
        <v>1652</v>
      </c>
      <c r="J137" t="s">
        <v>106</v>
      </c>
      <c r="K137">
        <v>7900001445</v>
      </c>
      <c r="L137" t="s">
        <v>1651</v>
      </c>
      <c r="M137" s="1633">
        <v>-3765138240</v>
      </c>
      <c r="N137">
        <v>1</v>
      </c>
      <c r="O137">
        <v>50</v>
      </c>
      <c r="P137" s="1633">
        <v>-3765138240</v>
      </c>
      <c r="Q137" t="s">
        <v>106</v>
      </c>
      <c r="R137" s="2392">
        <v>44613</v>
      </c>
      <c r="S137" s="2393">
        <f t="shared" si="13"/>
        <v>1</v>
      </c>
      <c r="T137" s="2394">
        <f>IF(OR(J137="COP",J137="EURO",J137="GBP"),0,IF(J137="USD",VLOOKUP(R137,'TRM BanRep'!$A:$G,7,0)))</f>
        <v>0</v>
      </c>
      <c r="U137" s="2395">
        <f t="shared" si="12"/>
        <v>0</v>
      </c>
      <c r="V137" s="2395" t="str">
        <f t="shared" si="14"/>
        <v/>
      </c>
    </row>
    <row r="138" spans="3:23" hidden="1">
      <c r="C138">
        <v>2022</v>
      </c>
      <c r="D138" t="s">
        <v>1617</v>
      </c>
      <c r="F138">
        <v>2422999997</v>
      </c>
      <c r="G138" t="s">
        <v>1609</v>
      </c>
      <c r="H138" t="s">
        <v>1630</v>
      </c>
      <c r="I138" t="s">
        <v>1655</v>
      </c>
      <c r="J138" t="s">
        <v>106</v>
      </c>
      <c r="K138">
        <v>7900001571</v>
      </c>
      <c r="L138" t="s">
        <v>1630</v>
      </c>
      <c r="M138" s="1633">
        <v>-8023105547</v>
      </c>
      <c r="N138">
        <v>1</v>
      </c>
      <c r="O138">
        <v>50</v>
      </c>
      <c r="P138" s="1633">
        <v>-8023105547</v>
      </c>
      <c r="Q138" t="s">
        <v>106</v>
      </c>
      <c r="R138" s="2392">
        <v>44620</v>
      </c>
      <c r="S138" s="2393">
        <f t="shared" si="13"/>
        <v>1</v>
      </c>
      <c r="T138" s="2394">
        <f>IF(OR(J138="COP",J138="EURO",J138="GBP"),0,IF(J138="USD",VLOOKUP(R138,'TRM BanRep'!$A:$G,7,0)))</f>
        <v>0</v>
      </c>
      <c r="U138" s="2395">
        <f t="shared" si="12"/>
        <v>0</v>
      </c>
      <c r="V138" s="2395" t="str">
        <f t="shared" si="14"/>
        <v/>
      </c>
    </row>
    <row r="139" spans="3:23" hidden="1">
      <c r="C139">
        <v>2022</v>
      </c>
      <c r="D139" t="s">
        <v>1617</v>
      </c>
      <c r="F139">
        <v>2422999997</v>
      </c>
      <c r="G139" t="s">
        <v>1609</v>
      </c>
      <c r="H139" t="s">
        <v>1630</v>
      </c>
      <c r="I139" t="s">
        <v>1656</v>
      </c>
      <c r="J139" t="s">
        <v>106</v>
      </c>
      <c r="K139">
        <v>7900001599</v>
      </c>
      <c r="L139" t="s">
        <v>1630</v>
      </c>
      <c r="M139" s="1633">
        <v>-6559875000</v>
      </c>
      <c r="N139">
        <v>1</v>
      </c>
      <c r="O139">
        <v>50</v>
      </c>
      <c r="P139" s="1633">
        <v>-6559875000</v>
      </c>
      <c r="Q139" t="s">
        <v>106</v>
      </c>
      <c r="R139" s="2392">
        <v>44620</v>
      </c>
      <c r="S139" s="2393">
        <f t="shared" si="13"/>
        <v>1</v>
      </c>
      <c r="T139" s="2394">
        <f>IF(OR(J139="COP",J139="EURO",J139="GBP"),0,IF(J139="USD",VLOOKUP(R139,'TRM BanRep'!$A:$G,7,0)))</f>
        <v>0</v>
      </c>
      <c r="U139" s="2395">
        <f t="shared" si="12"/>
        <v>0</v>
      </c>
      <c r="V139" s="2395" t="str">
        <f t="shared" si="14"/>
        <v/>
      </c>
    </row>
    <row r="140" spans="3:23" hidden="1">
      <c r="C140">
        <v>2022</v>
      </c>
      <c r="D140" t="s">
        <v>1617</v>
      </c>
      <c r="F140">
        <v>2422999997</v>
      </c>
      <c r="G140" t="s">
        <v>1609</v>
      </c>
      <c r="H140" t="s">
        <v>1630</v>
      </c>
      <c r="I140" t="s">
        <v>1657</v>
      </c>
      <c r="J140" t="s">
        <v>106</v>
      </c>
      <c r="K140">
        <v>7900001600</v>
      </c>
      <c r="L140" t="s">
        <v>1630</v>
      </c>
      <c r="M140" s="1633">
        <v>-4229400000</v>
      </c>
      <c r="N140">
        <v>1</v>
      </c>
      <c r="O140">
        <v>50</v>
      </c>
      <c r="P140" s="1633">
        <v>-4229400000</v>
      </c>
      <c r="Q140" t="s">
        <v>106</v>
      </c>
      <c r="R140" s="2392">
        <v>44620</v>
      </c>
      <c r="S140" s="2393">
        <f t="shared" si="13"/>
        <v>1</v>
      </c>
      <c r="T140" s="2394">
        <f>IF(OR(J140="COP",J140="EURO",J140="GBP"),0,IF(J140="USD",VLOOKUP(R140,'TRM BanRep'!$A:$G,7,0)))</f>
        <v>0</v>
      </c>
      <c r="U140" s="2395">
        <f t="shared" si="12"/>
        <v>0</v>
      </c>
      <c r="V140" s="2395" t="str">
        <f t="shared" si="14"/>
        <v/>
      </c>
    </row>
    <row r="141" spans="3:23" hidden="1">
      <c r="C141">
        <v>2022</v>
      </c>
      <c r="D141" t="s">
        <v>1617</v>
      </c>
      <c r="F141">
        <v>2422999997</v>
      </c>
      <c r="G141" t="s">
        <v>1609</v>
      </c>
      <c r="H141" t="s">
        <v>1630</v>
      </c>
      <c r="I141" t="s">
        <v>1658</v>
      </c>
      <c r="J141" t="s">
        <v>106</v>
      </c>
      <c r="K141">
        <v>7900001601</v>
      </c>
      <c r="L141" t="s">
        <v>1630</v>
      </c>
      <c r="M141" s="1633">
        <v>-3047400000</v>
      </c>
      <c r="N141">
        <v>1</v>
      </c>
      <c r="O141">
        <v>50</v>
      </c>
      <c r="P141" s="1633">
        <v>-3047400000</v>
      </c>
      <c r="Q141" t="s">
        <v>106</v>
      </c>
      <c r="R141" s="2392">
        <v>44620</v>
      </c>
      <c r="S141" s="2393">
        <f t="shared" si="13"/>
        <v>1</v>
      </c>
      <c r="T141" s="2394">
        <f>IF(OR(J141="COP",J141="EURO",J141="GBP"),0,IF(J141="USD",VLOOKUP(R141,'TRM BanRep'!$A:$G,7,0)))</f>
        <v>0</v>
      </c>
      <c r="U141" s="2395">
        <f t="shared" si="12"/>
        <v>0</v>
      </c>
      <c r="V141" s="2395" t="str">
        <f t="shared" si="14"/>
        <v/>
      </c>
    </row>
    <row r="142" spans="3:23" hidden="1">
      <c r="C142">
        <v>2022</v>
      </c>
      <c r="D142" t="s">
        <v>1617</v>
      </c>
      <c r="F142">
        <v>2422999997</v>
      </c>
      <c r="G142" t="s">
        <v>1609</v>
      </c>
      <c r="H142" t="s">
        <v>1630</v>
      </c>
      <c r="I142" t="s">
        <v>1659</v>
      </c>
      <c r="J142" t="s">
        <v>106</v>
      </c>
      <c r="K142">
        <v>7900001602</v>
      </c>
      <c r="L142" t="s">
        <v>1630</v>
      </c>
      <c r="M142" s="1633">
        <v>-4809150000</v>
      </c>
      <c r="N142">
        <v>1</v>
      </c>
      <c r="O142">
        <v>50</v>
      </c>
      <c r="P142" s="1633">
        <v>-4809150000</v>
      </c>
      <c r="Q142" t="s">
        <v>106</v>
      </c>
      <c r="R142" s="2392">
        <v>44620</v>
      </c>
      <c r="S142" s="2393">
        <f t="shared" si="13"/>
        <v>1</v>
      </c>
      <c r="T142" s="2394">
        <f>IF(OR(J142="COP",J142="EURO",J142="GBP"),0,IF(J142="USD",VLOOKUP(R142,'TRM BanRep'!$A:$G,7,0)))</f>
        <v>0</v>
      </c>
      <c r="U142" s="2395">
        <f t="shared" si="12"/>
        <v>0</v>
      </c>
      <c r="V142" s="2395" t="str">
        <f t="shared" si="14"/>
        <v/>
      </c>
    </row>
    <row r="143" spans="3:23" hidden="1">
      <c r="C143">
        <v>2022</v>
      </c>
      <c r="D143" t="s">
        <v>1617</v>
      </c>
      <c r="F143">
        <v>2422999997</v>
      </c>
      <c r="G143" t="s">
        <v>1609</v>
      </c>
      <c r="H143" t="s">
        <v>1630</v>
      </c>
      <c r="I143" t="s">
        <v>1660</v>
      </c>
      <c r="J143" t="s">
        <v>106</v>
      </c>
      <c r="K143">
        <v>7900001603</v>
      </c>
      <c r="L143" t="s">
        <v>1630</v>
      </c>
      <c r="M143" s="1633">
        <v>-3856500000</v>
      </c>
      <c r="N143">
        <v>1</v>
      </c>
      <c r="O143">
        <v>50</v>
      </c>
      <c r="P143" s="1633">
        <v>-3856500000</v>
      </c>
      <c r="Q143" t="s">
        <v>106</v>
      </c>
      <c r="R143" s="2392">
        <v>44620</v>
      </c>
      <c r="S143" s="2393">
        <f t="shared" si="13"/>
        <v>1</v>
      </c>
      <c r="T143" s="2394">
        <f>IF(OR(J143="COP",J143="EURO",J143="GBP"),0,IF(J143="USD",VLOOKUP(R143,'TRM BanRep'!$A:$G,7,0)))</f>
        <v>0</v>
      </c>
      <c r="U143" s="2395">
        <f t="shared" si="12"/>
        <v>0</v>
      </c>
      <c r="V143" s="2395" t="str">
        <f t="shared" si="14"/>
        <v/>
      </c>
    </row>
    <row r="144" spans="3:23" hidden="1">
      <c r="C144">
        <v>2022</v>
      </c>
      <c r="D144" t="s">
        <v>1617</v>
      </c>
      <c r="F144" s="4">
        <v>2422999997</v>
      </c>
      <c r="G144" t="s">
        <v>1557</v>
      </c>
      <c r="H144" t="s">
        <v>1630</v>
      </c>
      <c r="I144" t="s">
        <v>1642</v>
      </c>
      <c r="J144" t="s">
        <v>64</v>
      </c>
      <c r="K144">
        <v>7900001614</v>
      </c>
      <c r="L144" t="s">
        <v>1630</v>
      </c>
      <c r="M144" s="1860">
        <v>-71203119</v>
      </c>
      <c r="N144" s="1860">
        <v>3913.79</v>
      </c>
      <c r="O144">
        <v>50</v>
      </c>
      <c r="P144" s="1633">
        <v>-278674055102</v>
      </c>
      <c r="Q144" t="s">
        <v>106</v>
      </c>
      <c r="R144" s="2392">
        <v>44620</v>
      </c>
      <c r="S144" s="2393">
        <f t="shared" si="13"/>
        <v>3913.79</v>
      </c>
      <c r="T144" s="2394">
        <f>IF(OR(J144="COP",J144="EURO",J144="GBP"),0,IF(J144="USD",VLOOKUP(R144,'TRM BanRep'!$A:$G,7,0)))</f>
        <v>3910.64</v>
      </c>
      <c r="U144" s="2400">
        <f t="shared" ref="U144:U207" si="15">IF(F144=2422999997,-IF(T144=0,0,(T144-S144)*M144),IF(T144=0,0,(T144-S144)*M144))</f>
        <v>-224289824.85000646</v>
      </c>
      <c r="V144" s="2397" t="str">
        <f t="shared" si="14"/>
        <v>1-INGRESO</v>
      </c>
      <c r="W144" t="str">
        <f t="shared" ref="W144:W149" si="16">MID(I144,2,3)</f>
        <v>FX2</v>
      </c>
    </row>
    <row r="145" spans="3:23" hidden="1">
      <c r="C145">
        <v>2022</v>
      </c>
      <c r="D145" t="s">
        <v>1617</v>
      </c>
      <c r="F145" s="4">
        <v>2422999997</v>
      </c>
      <c r="G145" t="s">
        <v>1557</v>
      </c>
      <c r="H145" t="s">
        <v>1630</v>
      </c>
      <c r="I145" t="s">
        <v>1643</v>
      </c>
      <c r="J145" t="s">
        <v>64</v>
      </c>
      <c r="K145">
        <v>7900002067</v>
      </c>
      <c r="L145" t="s">
        <v>1630</v>
      </c>
      <c r="M145" s="1860">
        <v>-11163420.02</v>
      </c>
      <c r="N145" s="1860">
        <v>3940.2</v>
      </c>
      <c r="O145">
        <v>50</v>
      </c>
      <c r="P145" s="1633">
        <v>-43986107549</v>
      </c>
      <c r="Q145" t="s">
        <v>106</v>
      </c>
      <c r="R145" s="2392">
        <v>44620</v>
      </c>
      <c r="S145" s="2393">
        <f t="shared" si="13"/>
        <v>3940.2</v>
      </c>
      <c r="T145" s="2394">
        <f>IF(OR(J145="COP",J145="EURO",J145="GBP"),0,IF(J145="USD",VLOOKUP(R145,'TRM BanRep'!$A:$G,7,0)))</f>
        <v>3910.64</v>
      </c>
      <c r="U145" s="2400">
        <f t="shared" si="15"/>
        <v>-329990695.79119939</v>
      </c>
      <c r="V145" s="2397" t="str">
        <f t="shared" si="14"/>
        <v>1-INGRESO</v>
      </c>
      <c r="W145" t="str">
        <f t="shared" si="16"/>
        <v>FX2</v>
      </c>
    </row>
    <row r="146" spans="3:23" hidden="1">
      <c r="C146">
        <v>2022</v>
      </c>
      <c r="D146" t="s">
        <v>1617</v>
      </c>
      <c r="F146" s="4">
        <v>2422999997</v>
      </c>
      <c r="G146" t="s">
        <v>1557</v>
      </c>
      <c r="H146" t="s">
        <v>1630</v>
      </c>
      <c r="I146" t="s">
        <v>1644</v>
      </c>
      <c r="J146" t="s">
        <v>64</v>
      </c>
      <c r="K146">
        <v>7900002405</v>
      </c>
      <c r="L146" t="s">
        <v>1630</v>
      </c>
      <c r="M146" s="1860">
        <v>-57520.75</v>
      </c>
      <c r="N146" s="1860">
        <v>3913.7898100000002</v>
      </c>
      <c r="O146">
        <v>50</v>
      </c>
      <c r="P146" s="1633">
        <v>-225124125</v>
      </c>
      <c r="Q146" t="s">
        <v>106</v>
      </c>
      <c r="R146" s="2392">
        <v>44620</v>
      </c>
      <c r="S146" s="2393">
        <f t="shared" si="13"/>
        <v>3913.79</v>
      </c>
      <c r="T146" s="2394">
        <f>IF(OR(J146="COP",J146="EURO",J146="GBP"),0,IF(J146="USD",VLOOKUP(R146,'TRM BanRep'!$A:$G,7,0)))</f>
        <v>3910.64</v>
      </c>
      <c r="U146" s="2400">
        <f t="shared" si="15"/>
        <v>-181190.36250000523</v>
      </c>
      <c r="V146" s="2397" t="str">
        <f t="shared" si="14"/>
        <v>1-INGRESO</v>
      </c>
      <c r="W146" t="str">
        <f t="shared" si="16"/>
        <v>FX2</v>
      </c>
    </row>
    <row r="147" spans="3:23" hidden="1">
      <c r="C147">
        <v>2022</v>
      </c>
      <c r="D147" t="s">
        <v>1617</v>
      </c>
      <c r="F147" s="4">
        <v>2422999997</v>
      </c>
      <c r="G147" s="4" t="s">
        <v>1608</v>
      </c>
      <c r="H147" t="s">
        <v>1630</v>
      </c>
      <c r="J147" t="s">
        <v>64</v>
      </c>
      <c r="K147">
        <v>2000001686</v>
      </c>
      <c r="L147" t="s">
        <v>1630</v>
      </c>
      <c r="M147" s="1860">
        <v>71203119</v>
      </c>
      <c r="N147" s="1860">
        <v>3913.79</v>
      </c>
      <c r="O147">
        <v>40</v>
      </c>
      <c r="P147" s="1633">
        <v>278674055102</v>
      </c>
      <c r="Q147" t="s">
        <v>106</v>
      </c>
      <c r="R147" s="2392">
        <v>44620</v>
      </c>
      <c r="S147" s="2393">
        <f t="shared" si="13"/>
        <v>3913.79</v>
      </c>
      <c r="T147" s="2394">
        <f>IF(OR(J147="COP",J147="EURO",J147="GBP"),0,IF(J147="USD",VLOOKUP(R147,'TRM BanRep'!$A:$G,7,0)))</f>
        <v>3910.64</v>
      </c>
      <c r="U147" s="2400">
        <f t="shared" si="15"/>
        <v>224289824.85000646</v>
      </c>
      <c r="V147" s="2396" t="str">
        <f t="shared" si="14"/>
        <v>2-GASTO</v>
      </c>
      <c r="W147" t="str">
        <f t="shared" si="16"/>
        <v/>
      </c>
    </row>
    <row r="148" spans="3:23" hidden="1">
      <c r="C148">
        <v>2022</v>
      </c>
      <c r="D148" t="s">
        <v>1617</v>
      </c>
      <c r="F148" s="4">
        <v>2422999997</v>
      </c>
      <c r="G148" s="4" t="s">
        <v>1608</v>
      </c>
      <c r="H148" t="s">
        <v>1630</v>
      </c>
      <c r="J148" t="s">
        <v>64</v>
      </c>
      <c r="K148">
        <v>2000001745</v>
      </c>
      <c r="L148" t="s">
        <v>1630</v>
      </c>
      <c r="M148" s="1860">
        <v>11163420.02</v>
      </c>
      <c r="N148" s="1860">
        <v>3940.2</v>
      </c>
      <c r="O148">
        <v>40</v>
      </c>
      <c r="P148" s="1633">
        <v>43986107549</v>
      </c>
      <c r="Q148" t="s">
        <v>106</v>
      </c>
      <c r="R148" s="2392">
        <v>44620</v>
      </c>
      <c r="S148" s="2393">
        <f t="shared" si="13"/>
        <v>3940.2</v>
      </c>
      <c r="T148" s="2394">
        <f>IF(OR(J148="COP",J148="EURO",J148="GBP"),0,IF(J148="USD",VLOOKUP(R148,'TRM BanRep'!$A:$G,7,0)))</f>
        <v>3910.64</v>
      </c>
      <c r="U148" s="2400">
        <f t="shared" si="15"/>
        <v>329990695.79119939</v>
      </c>
      <c r="V148" s="2396" t="str">
        <f t="shared" si="14"/>
        <v>2-GASTO</v>
      </c>
      <c r="W148" t="str">
        <f t="shared" si="16"/>
        <v/>
      </c>
    </row>
    <row r="149" spans="3:23" hidden="1">
      <c r="C149">
        <v>2022</v>
      </c>
      <c r="D149" t="s">
        <v>1617</v>
      </c>
      <c r="F149" s="4">
        <v>2422999997</v>
      </c>
      <c r="G149" s="4" t="s">
        <v>1608</v>
      </c>
      <c r="H149" t="s">
        <v>1630</v>
      </c>
      <c r="J149" t="s">
        <v>64</v>
      </c>
      <c r="K149">
        <v>2000001747</v>
      </c>
      <c r="L149" t="s">
        <v>1630</v>
      </c>
      <c r="M149" s="1860">
        <v>57520.75</v>
      </c>
      <c r="N149" s="1860">
        <v>3913.7898100000002</v>
      </c>
      <c r="O149">
        <v>40</v>
      </c>
      <c r="P149" s="1633">
        <v>225124125</v>
      </c>
      <c r="Q149" t="s">
        <v>106</v>
      </c>
      <c r="R149" s="2392">
        <v>44620</v>
      </c>
      <c r="S149" s="2393">
        <f t="shared" si="13"/>
        <v>3913.79</v>
      </c>
      <c r="T149" s="2394">
        <f>IF(OR(J149="COP",J149="EURO",J149="GBP"),0,IF(J149="USD",VLOOKUP(R149,'TRM BanRep'!$A:$G,7,0)))</f>
        <v>3910.64</v>
      </c>
      <c r="U149" s="2400">
        <f t="shared" si="15"/>
        <v>181190.36250000523</v>
      </c>
      <c r="V149" s="2396" t="str">
        <f t="shared" si="14"/>
        <v>2-GASTO</v>
      </c>
      <c r="W149" t="str">
        <f t="shared" si="16"/>
        <v/>
      </c>
    </row>
    <row r="150" spans="3:23" hidden="1">
      <c r="C150">
        <v>2022</v>
      </c>
      <c r="D150" t="s">
        <v>1661</v>
      </c>
      <c r="F150">
        <v>1202049905</v>
      </c>
      <c r="G150" t="s">
        <v>1557</v>
      </c>
      <c r="H150" t="s">
        <v>1662</v>
      </c>
      <c r="I150" t="s">
        <v>1663</v>
      </c>
      <c r="J150" t="s">
        <v>106</v>
      </c>
      <c r="K150">
        <v>7900002468</v>
      </c>
      <c r="L150" t="s">
        <v>1662</v>
      </c>
      <c r="M150" s="1633">
        <v>4718323019</v>
      </c>
      <c r="N150">
        <v>1</v>
      </c>
      <c r="O150">
        <v>40</v>
      </c>
      <c r="P150" s="1633">
        <v>4718323019</v>
      </c>
      <c r="Q150" t="s">
        <v>106</v>
      </c>
      <c r="R150" s="2392">
        <v>44623</v>
      </c>
      <c r="S150" s="2393">
        <f t="shared" si="13"/>
        <v>1</v>
      </c>
      <c r="T150" s="2394">
        <f>IF(OR(J150="COP",J150="EURO",J150="GBP"),0,IF(J150="USD",VLOOKUP(R150,'TRM BanRep'!$A:$G,7,0)))</f>
        <v>0</v>
      </c>
      <c r="U150" s="2395">
        <f t="shared" si="15"/>
        <v>0</v>
      </c>
      <c r="V150" s="2395" t="str">
        <f t="shared" si="14"/>
        <v/>
      </c>
    </row>
    <row r="151" spans="3:23" hidden="1">
      <c r="C151">
        <v>2022</v>
      </c>
      <c r="D151" t="s">
        <v>1661</v>
      </c>
      <c r="F151">
        <v>1202049905</v>
      </c>
      <c r="G151" t="s">
        <v>1557</v>
      </c>
      <c r="H151" t="s">
        <v>1664</v>
      </c>
      <c r="I151" t="s">
        <v>1665</v>
      </c>
      <c r="J151" t="s">
        <v>106</v>
      </c>
      <c r="K151">
        <v>7900002556</v>
      </c>
      <c r="L151" t="s">
        <v>1664</v>
      </c>
      <c r="M151" s="1633">
        <v>38390000000</v>
      </c>
      <c r="N151">
        <v>1</v>
      </c>
      <c r="O151">
        <v>40</v>
      </c>
      <c r="P151" s="1633">
        <v>38390000000</v>
      </c>
      <c r="Q151" t="s">
        <v>106</v>
      </c>
      <c r="R151" s="2392">
        <v>44631</v>
      </c>
      <c r="S151" s="2393">
        <f t="shared" si="13"/>
        <v>1</v>
      </c>
      <c r="T151" s="2394">
        <f>IF(OR(J151="COP",J151="EURO",J151="GBP"),0,IF(J151="USD",VLOOKUP(R151,'TRM BanRep'!$A:$G,7,0)))</f>
        <v>0</v>
      </c>
      <c r="U151" s="2395">
        <f t="shared" si="15"/>
        <v>0</v>
      </c>
      <c r="V151" s="2395" t="str">
        <f t="shared" si="14"/>
        <v/>
      </c>
    </row>
    <row r="152" spans="3:23" hidden="1">
      <c r="C152">
        <v>2022</v>
      </c>
      <c r="D152" t="s">
        <v>1661</v>
      </c>
      <c r="F152">
        <v>1202049905</v>
      </c>
      <c r="G152" t="s">
        <v>1557</v>
      </c>
      <c r="H152" t="s">
        <v>1664</v>
      </c>
      <c r="I152" t="s">
        <v>1666</v>
      </c>
      <c r="J152" t="s">
        <v>106</v>
      </c>
      <c r="K152">
        <v>7900002564</v>
      </c>
      <c r="L152" t="s">
        <v>1664</v>
      </c>
      <c r="M152" s="1633">
        <v>57367500000</v>
      </c>
      <c r="N152">
        <v>1</v>
      </c>
      <c r="O152">
        <v>40</v>
      </c>
      <c r="P152" s="1633">
        <v>57367500000</v>
      </c>
      <c r="Q152" t="s">
        <v>106</v>
      </c>
      <c r="R152" s="2392">
        <v>44631</v>
      </c>
      <c r="S152" s="2393">
        <f t="shared" si="13"/>
        <v>1</v>
      </c>
      <c r="T152" s="2394">
        <f>IF(OR(J152="COP",J152="EURO",J152="GBP"),0,IF(J152="USD",VLOOKUP(R152,'TRM BanRep'!$A:$G,7,0)))</f>
        <v>0</v>
      </c>
      <c r="U152" s="2395">
        <f t="shared" si="15"/>
        <v>0</v>
      </c>
      <c r="V152" s="2395" t="str">
        <f t="shared" si="14"/>
        <v/>
      </c>
    </row>
    <row r="153" spans="3:23" hidden="1">
      <c r="C153">
        <v>2022</v>
      </c>
      <c r="D153" t="s">
        <v>1661</v>
      </c>
      <c r="F153">
        <v>1202049905</v>
      </c>
      <c r="G153" t="s">
        <v>1557</v>
      </c>
      <c r="H153" t="s">
        <v>1664</v>
      </c>
      <c r="I153" t="s">
        <v>1667</v>
      </c>
      <c r="J153" t="s">
        <v>106</v>
      </c>
      <c r="K153">
        <v>7900002572</v>
      </c>
      <c r="L153" t="s">
        <v>1664</v>
      </c>
      <c r="M153" s="1633">
        <v>19087500000</v>
      </c>
      <c r="N153">
        <v>1</v>
      </c>
      <c r="O153">
        <v>40</v>
      </c>
      <c r="P153" s="1633">
        <v>19087500000</v>
      </c>
      <c r="Q153" t="s">
        <v>106</v>
      </c>
      <c r="R153" s="2392">
        <v>44631</v>
      </c>
      <c r="S153" s="2393">
        <f t="shared" si="13"/>
        <v>1</v>
      </c>
      <c r="T153" s="2394">
        <f>IF(OR(J153="COP",J153="EURO",J153="GBP"),0,IF(J153="USD",VLOOKUP(R153,'TRM BanRep'!$A:$G,7,0)))</f>
        <v>0</v>
      </c>
      <c r="U153" s="2395">
        <f t="shared" si="15"/>
        <v>0</v>
      </c>
      <c r="V153" s="2395" t="str">
        <f t="shared" si="14"/>
        <v/>
      </c>
    </row>
    <row r="154" spans="3:23" hidden="1">
      <c r="C154">
        <v>2022</v>
      </c>
      <c r="D154" t="s">
        <v>1661</v>
      </c>
      <c r="F154">
        <v>1202049905</v>
      </c>
      <c r="G154" t="s">
        <v>1557</v>
      </c>
      <c r="H154" t="s">
        <v>1668</v>
      </c>
      <c r="I154" t="s">
        <v>1669</v>
      </c>
      <c r="J154" t="s">
        <v>106</v>
      </c>
      <c r="K154">
        <v>7900002580</v>
      </c>
      <c r="L154" t="s">
        <v>1668</v>
      </c>
      <c r="M154" s="1633">
        <v>18914000000</v>
      </c>
      <c r="N154">
        <v>1</v>
      </c>
      <c r="O154">
        <v>40</v>
      </c>
      <c r="P154" s="1633">
        <v>18914000000</v>
      </c>
      <c r="Q154" t="s">
        <v>106</v>
      </c>
      <c r="R154" s="2392">
        <v>44634</v>
      </c>
      <c r="S154" s="2393">
        <f t="shared" si="13"/>
        <v>1</v>
      </c>
      <c r="T154" s="2394">
        <f>IF(OR(J154="COP",J154="EURO",J154="GBP"),0,IF(J154="USD",VLOOKUP(R154,'TRM BanRep'!$A:$G,7,0)))</f>
        <v>0</v>
      </c>
      <c r="U154" s="2395">
        <f t="shared" si="15"/>
        <v>0</v>
      </c>
      <c r="V154" s="2395" t="str">
        <f t="shared" si="14"/>
        <v/>
      </c>
    </row>
    <row r="155" spans="3:23" hidden="1">
      <c r="C155">
        <v>2022</v>
      </c>
      <c r="D155" t="s">
        <v>1661</v>
      </c>
      <c r="F155">
        <v>1202049905</v>
      </c>
      <c r="G155" t="s">
        <v>1557</v>
      </c>
      <c r="H155" t="s">
        <v>1668</v>
      </c>
      <c r="I155" t="s">
        <v>1670</v>
      </c>
      <c r="J155" t="s">
        <v>106</v>
      </c>
      <c r="K155">
        <v>7900002588</v>
      </c>
      <c r="L155" t="s">
        <v>1668</v>
      </c>
      <c r="M155" s="1633">
        <v>18922500000</v>
      </c>
      <c r="N155">
        <v>1</v>
      </c>
      <c r="O155">
        <v>40</v>
      </c>
      <c r="P155" s="1633">
        <v>18922500000</v>
      </c>
      <c r="Q155" t="s">
        <v>106</v>
      </c>
      <c r="R155" s="2392">
        <v>44634</v>
      </c>
      <c r="S155" s="2393">
        <f t="shared" si="13"/>
        <v>1</v>
      </c>
      <c r="T155" s="2394">
        <f>IF(OR(J155="COP",J155="EURO",J155="GBP"),0,IF(J155="USD",VLOOKUP(R155,'TRM BanRep'!$A:$G,7,0)))</f>
        <v>0</v>
      </c>
      <c r="U155" s="2395">
        <f t="shared" si="15"/>
        <v>0</v>
      </c>
      <c r="V155" s="2395" t="str">
        <f t="shared" si="14"/>
        <v/>
      </c>
    </row>
    <row r="156" spans="3:23" hidden="1">
      <c r="C156">
        <v>2022</v>
      </c>
      <c r="D156" t="s">
        <v>1661</v>
      </c>
      <c r="F156">
        <v>1202049905</v>
      </c>
      <c r="G156" t="s">
        <v>1557</v>
      </c>
      <c r="H156" t="s">
        <v>1668</v>
      </c>
      <c r="I156" t="s">
        <v>1671</v>
      </c>
      <c r="J156" t="s">
        <v>106</v>
      </c>
      <c r="K156">
        <v>7900002596</v>
      </c>
      <c r="L156" t="s">
        <v>1668</v>
      </c>
      <c r="M156" s="1633">
        <v>38037900000</v>
      </c>
      <c r="N156">
        <v>1</v>
      </c>
      <c r="O156">
        <v>40</v>
      </c>
      <c r="P156" s="1633">
        <v>38037900000</v>
      </c>
      <c r="Q156" t="s">
        <v>106</v>
      </c>
      <c r="R156" s="2392">
        <v>44634</v>
      </c>
      <c r="S156" s="2393">
        <f t="shared" si="13"/>
        <v>1</v>
      </c>
      <c r="T156" s="2394">
        <f>IF(OR(J156="COP",J156="EURO",J156="GBP"),0,IF(J156="USD",VLOOKUP(R156,'TRM BanRep'!$A:$G,7,0)))</f>
        <v>0</v>
      </c>
      <c r="U156" s="2395">
        <f t="shared" si="15"/>
        <v>0</v>
      </c>
      <c r="V156" s="2395" t="str">
        <f t="shared" si="14"/>
        <v/>
      </c>
    </row>
    <row r="157" spans="3:23" hidden="1">
      <c r="C157">
        <v>2022</v>
      </c>
      <c r="D157" t="s">
        <v>1661</v>
      </c>
      <c r="F157">
        <v>1202049905</v>
      </c>
      <c r="G157" t="s">
        <v>1557</v>
      </c>
      <c r="H157" t="s">
        <v>1672</v>
      </c>
      <c r="I157" t="s">
        <v>1673</v>
      </c>
      <c r="J157" t="s">
        <v>106</v>
      </c>
      <c r="K157">
        <v>7900002604</v>
      </c>
      <c r="L157" t="s">
        <v>1672</v>
      </c>
      <c r="M157" s="1633">
        <v>3305900010</v>
      </c>
      <c r="N157">
        <v>1</v>
      </c>
      <c r="O157">
        <v>40</v>
      </c>
      <c r="P157" s="1633">
        <v>3305900010</v>
      </c>
      <c r="Q157" t="s">
        <v>106</v>
      </c>
      <c r="R157" s="2392">
        <v>44636</v>
      </c>
      <c r="S157" s="2393">
        <f t="shared" si="13"/>
        <v>1</v>
      </c>
      <c r="T157" s="2394">
        <f>IF(OR(J157="COP",J157="EURO",J157="GBP"),0,IF(J157="USD",VLOOKUP(R157,'TRM BanRep'!$A:$G,7,0)))</f>
        <v>0</v>
      </c>
      <c r="U157" s="2395">
        <f t="shared" si="15"/>
        <v>0</v>
      </c>
      <c r="V157" s="2395" t="str">
        <f t="shared" si="14"/>
        <v/>
      </c>
    </row>
    <row r="158" spans="3:23" hidden="1">
      <c r="C158">
        <v>2022</v>
      </c>
      <c r="D158" t="s">
        <v>1661</v>
      </c>
      <c r="F158">
        <v>1202049905</v>
      </c>
      <c r="G158" t="s">
        <v>1557</v>
      </c>
      <c r="H158" t="s">
        <v>1672</v>
      </c>
      <c r="I158" t="s">
        <v>1674</v>
      </c>
      <c r="J158" t="s">
        <v>106</v>
      </c>
      <c r="K158">
        <v>7900002612</v>
      </c>
      <c r="L158" t="s">
        <v>1672</v>
      </c>
      <c r="M158" s="1633">
        <v>4699999986</v>
      </c>
      <c r="N158">
        <v>1</v>
      </c>
      <c r="O158">
        <v>40</v>
      </c>
      <c r="P158" s="1633">
        <v>4699999986</v>
      </c>
      <c r="Q158" t="s">
        <v>106</v>
      </c>
      <c r="R158" s="2392">
        <v>44636</v>
      </c>
      <c r="S158" s="2393">
        <f t="shared" si="13"/>
        <v>1</v>
      </c>
      <c r="T158" s="2394">
        <f>IF(OR(J158="COP",J158="EURO",J158="GBP"),0,IF(J158="USD",VLOOKUP(R158,'TRM BanRep'!$A:$G,7,0)))</f>
        <v>0</v>
      </c>
      <c r="U158" s="2395">
        <f t="shared" si="15"/>
        <v>0</v>
      </c>
      <c r="V158" s="2395" t="str">
        <f t="shared" si="14"/>
        <v/>
      </c>
    </row>
    <row r="159" spans="3:23" hidden="1">
      <c r="C159">
        <v>2022</v>
      </c>
      <c r="D159" t="s">
        <v>1661</v>
      </c>
      <c r="F159">
        <v>1202049905</v>
      </c>
      <c r="G159" t="s">
        <v>1557</v>
      </c>
      <c r="H159" t="s">
        <v>1672</v>
      </c>
      <c r="I159" t="s">
        <v>1675</v>
      </c>
      <c r="J159" t="s">
        <v>106</v>
      </c>
      <c r="K159">
        <v>7900002620</v>
      </c>
      <c r="L159" t="s">
        <v>1672</v>
      </c>
      <c r="M159" s="1633">
        <v>6890400000</v>
      </c>
      <c r="N159">
        <v>1</v>
      </c>
      <c r="O159">
        <v>40</v>
      </c>
      <c r="P159" s="1633">
        <v>6890400000</v>
      </c>
      <c r="Q159" t="s">
        <v>106</v>
      </c>
      <c r="R159" s="2392">
        <v>44636</v>
      </c>
      <c r="S159" s="2393">
        <f t="shared" si="13"/>
        <v>1</v>
      </c>
      <c r="T159" s="2394">
        <f>IF(OR(J159="COP",J159="EURO",J159="GBP"),0,IF(J159="USD",VLOOKUP(R159,'TRM BanRep'!$A:$G,7,0)))</f>
        <v>0</v>
      </c>
      <c r="U159" s="2395">
        <f t="shared" si="15"/>
        <v>0</v>
      </c>
      <c r="V159" s="2395" t="str">
        <f t="shared" si="14"/>
        <v/>
      </c>
    </row>
    <row r="160" spans="3:23" hidden="1">
      <c r="C160">
        <v>2022</v>
      </c>
      <c r="D160" t="s">
        <v>1661</v>
      </c>
      <c r="F160">
        <v>1202049905</v>
      </c>
      <c r="G160" t="s">
        <v>1557</v>
      </c>
      <c r="H160" t="s">
        <v>1672</v>
      </c>
      <c r="I160" t="s">
        <v>1676</v>
      </c>
      <c r="J160" t="s">
        <v>106</v>
      </c>
      <c r="K160">
        <v>7900002628</v>
      </c>
      <c r="L160" t="s">
        <v>1672</v>
      </c>
      <c r="M160" s="1633">
        <v>5355000000</v>
      </c>
      <c r="N160">
        <v>1</v>
      </c>
      <c r="O160">
        <v>40</v>
      </c>
      <c r="P160" s="1633">
        <v>5355000000</v>
      </c>
      <c r="Q160" t="s">
        <v>106</v>
      </c>
      <c r="R160" s="2392">
        <v>44636</v>
      </c>
      <c r="S160" s="2393">
        <f t="shared" si="13"/>
        <v>1</v>
      </c>
      <c r="T160" s="2394">
        <f>IF(OR(J160="COP",J160="EURO",J160="GBP"),0,IF(J160="USD",VLOOKUP(R160,'TRM BanRep'!$A:$G,7,0)))</f>
        <v>0</v>
      </c>
      <c r="U160" s="2395">
        <f t="shared" si="15"/>
        <v>0</v>
      </c>
      <c r="V160" s="2395" t="str">
        <f t="shared" si="14"/>
        <v/>
      </c>
    </row>
    <row r="161" spans="3:22" hidden="1">
      <c r="C161">
        <v>2022</v>
      </c>
      <c r="D161" t="s">
        <v>1661</v>
      </c>
      <c r="F161">
        <v>1202049905</v>
      </c>
      <c r="G161" t="s">
        <v>1557</v>
      </c>
      <c r="H161" t="s">
        <v>1672</v>
      </c>
      <c r="I161" t="s">
        <v>1677</v>
      </c>
      <c r="J161" t="s">
        <v>106</v>
      </c>
      <c r="K161">
        <v>7900002636</v>
      </c>
      <c r="L161" t="s">
        <v>1672</v>
      </c>
      <c r="M161" s="1633">
        <v>22975200000</v>
      </c>
      <c r="N161">
        <v>1</v>
      </c>
      <c r="O161">
        <v>40</v>
      </c>
      <c r="P161" s="1633">
        <v>22975200000</v>
      </c>
      <c r="Q161" t="s">
        <v>106</v>
      </c>
      <c r="R161" s="2392">
        <v>44636</v>
      </c>
      <c r="S161" s="2393">
        <f t="shared" si="13"/>
        <v>1</v>
      </c>
      <c r="T161" s="2394">
        <f>IF(OR(J161="COP",J161="EURO",J161="GBP"),0,IF(J161="USD",VLOOKUP(R161,'TRM BanRep'!$A:$G,7,0)))</f>
        <v>0</v>
      </c>
      <c r="U161" s="2395">
        <f t="shared" si="15"/>
        <v>0</v>
      </c>
      <c r="V161" s="2395" t="str">
        <f t="shared" si="14"/>
        <v/>
      </c>
    </row>
    <row r="162" spans="3:22" hidden="1">
      <c r="C162">
        <v>2022</v>
      </c>
      <c r="D162" t="s">
        <v>1661</v>
      </c>
      <c r="F162">
        <v>1202049905</v>
      </c>
      <c r="G162" t="s">
        <v>1557</v>
      </c>
      <c r="H162" t="s">
        <v>1672</v>
      </c>
      <c r="I162" t="s">
        <v>1678</v>
      </c>
      <c r="J162" t="s">
        <v>106</v>
      </c>
      <c r="K162">
        <v>7900002644</v>
      </c>
      <c r="L162" t="s">
        <v>1672</v>
      </c>
      <c r="M162" s="1633">
        <v>3827600000</v>
      </c>
      <c r="N162">
        <v>1</v>
      </c>
      <c r="O162">
        <v>40</v>
      </c>
      <c r="P162" s="1633">
        <v>3827600000</v>
      </c>
      <c r="Q162" t="s">
        <v>106</v>
      </c>
      <c r="R162" s="2392">
        <v>44636</v>
      </c>
      <c r="S162" s="2393">
        <f t="shared" si="13"/>
        <v>1</v>
      </c>
      <c r="T162" s="2394">
        <f>IF(OR(J162="COP",J162="EURO",J162="GBP"),0,IF(J162="USD",VLOOKUP(R162,'TRM BanRep'!$A:$G,7,0)))</f>
        <v>0</v>
      </c>
      <c r="U162" s="2395">
        <f t="shared" si="15"/>
        <v>0</v>
      </c>
      <c r="V162" s="2395" t="str">
        <f t="shared" si="14"/>
        <v/>
      </c>
    </row>
    <row r="163" spans="3:22" hidden="1">
      <c r="C163">
        <v>2022</v>
      </c>
      <c r="D163" t="s">
        <v>1661</v>
      </c>
      <c r="F163">
        <v>1202049905</v>
      </c>
      <c r="G163" t="s">
        <v>1557</v>
      </c>
      <c r="H163" t="s">
        <v>1664</v>
      </c>
      <c r="I163" t="s">
        <v>1679</v>
      </c>
      <c r="J163" t="s">
        <v>106</v>
      </c>
      <c r="K163">
        <v>7900002676</v>
      </c>
      <c r="L163" t="s">
        <v>1664</v>
      </c>
      <c r="M163" s="1633">
        <v>57517500000</v>
      </c>
      <c r="N163">
        <v>1</v>
      </c>
      <c r="O163">
        <v>40</v>
      </c>
      <c r="P163" s="1633">
        <v>57517500000</v>
      </c>
      <c r="Q163" t="s">
        <v>106</v>
      </c>
      <c r="R163" s="2392">
        <v>44631</v>
      </c>
      <c r="S163" s="2393">
        <f t="shared" si="13"/>
        <v>1</v>
      </c>
      <c r="T163" s="2394">
        <f>IF(OR(J163="COP",J163="EURO",J163="GBP"),0,IF(J163="USD",VLOOKUP(R163,'TRM BanRep'!$A:$G,7,0)))</f>
        <v>0</v>
      </c>
      <c r="U163" s="2395">
        <f t="shared" si="15"/>
        <v>0</v>
      </c>
      <c r="V163" s="2395" t="str">
        <f t="shared" si="14"/>
        <v/>
      </c>
    </row>
    <row r="164" spans="3:22" hidden="1">
      <c r="C164">
        <v>2022</v>
      </c>
      <c r="D164" t="s">
        <v>1661</v>
      </c>
      <c r="F164">
        <v>1202049905</v>
      </c>
      <c r="G164" t="s">
        <v>1557</v>
      </c>
      <c r="H164" t="s">
        <v>1664</v>
      </c>
      <c r="I164" t="s">
        <v>1680</v>
      </c>
      <c r="J164" t="s">
        <v>106</v>
      </c>
      <c r="K164">
        <v>7900002684</v>
      </c>
      <c r="L164" t="s">
        <v>1664</v>
      </c>
      <c r="M164" s="1633">
        <v>57487500000</v>
      </c>
      <c r="N164">
        <v>1</v>
      </c>
      <c r="O164">
        <v>40</v>
      </c>
      <c r="P164" s="1633">
        <v>57487500000</v>
      </c>
      <c r="Q164" t="s">
        <v>106</v>
      </c>
      <c r="R164" s="2392">
        <v>44631</v>
      </c>
      <c r="S164" s="2393">
        <f t="shared" si="13"/>
        <v>1</v>
      </c>
      <c r="T164" s="2394">
        <f>IF(OR(J164="COP",J164="EURO",J164="GBP"),0,IF(J164="USD",VLOOKUP(R164,'TRM BanRep'!$A:$G,7,0)))</f>
        <v>0</v>
      </c>
      <c r="U164" s="2395">
        <f t="shared" si="15"/>
        <v>0</v>
      </c>
      <c r="V164" s="2395" t="str">
        <f t="shared" si="14"/>
        <v/>
      </c>
    </row>
    <row r="165" spans="3:22" hidden="1">
      <c r="C165">
        <v>2022</v>
      </c>
      <c r="D165" t="s">
        <v>1661</v>
      </c>
      <c r="F165">
        <v>1202049905</v>
      </c>
      <c r="G165" t="s">
        <v>1557</v>
      </c>
      <c r="H165" t="s">
        <v>1664</v>
      </c>
      <c r="I165" t="s">
        <v>1681</v>
      </c>
      <c r="J165" t="s">
        <v>106</v>
      </c>
      <c r="K165">
        <v>7900002692</v>
      </c>
      <c r="L165" t="s">
        <v>1664</v>
      </c>
      <c r="M165" s="1633">
        <v>19050000000</v>
      </c>
      <c r="N165">
        <v>1</v>
      </c>
      <c r="O165">
        <v>40</v>
      </c>
      <c r="P165" s="1633">
        <v>19050000000</v>
      </c>
      <c r="Q165" t="s">
        <v>106</v>
      </c>
      <c r="R165" s="2392">
        <v>44631</v>
      </c>
      <c r="S165" s="2393">
        <f t="shared" si="13"/>
        <v>1</v>
      </c>
      <c r="T165" s="2394">
        <f>IF(OR(J165="COP",J165="EURO",J165="GBP"),0,IF(J165="USD",VLOOKUP(R165,'TRM BanRep'!$A:$G,7,0)))</f>
        <v>0</v>
      </c>
      <c r="U165" s="2395">
        <f t="shared" si="15"/>
        <v>0</v>
      </c>
      <c r="V165" s="2395" t="str">
        <f t="shared" si="14"/>
        <v/>
      </c>
    </row>
    <row r="166" spans="3:22" hidden="1">
      <c r="C166">
        <v>2022</v>
      </c>
      <c r="D166" t="s">
        <v>1661</v>
      </c>
      <c r="F166">
        <v>1202049905</v>
      </c>
      <c r="G166" t="s">
        <v>1557</v>
      </c>
      <c r="H166" t="s">
        <v>1668</v>
      </c>
      <c r="I166" t="s">
        <v>1682</v>
      </c>
      <c r="J166" t="s">
        <v>106</v>
      </c>
      <c r="K166">
        <v>7900002700</v>
      </c>
      <c r="L166" t="s">
        <v>1668</v>
      </c>
      <c r="M166" s="1633">
        <v>37888000000</v>
      </c>
      <c r="N166">
        <v>1</v>
      </c>
      <c r="O166">
        <v>40</v>
      </c>
      <c r="P166" s="1633">
        <v>37888000000</v>
      </c>
      <c r="Q166" t="s">
        <v>106</v>
      </c>
      <c r="R166" s="2392">
        <v>44634</v>
      </c>
      <c r="S166" s="2393">
        <f t="shared" si="13"/>
        <v>1</v>
      </c>
      <c r="T166" s="2394">
        <f>IF(OR(J166="COP",J166="EURO",J166="GBP"),0,IF(J166="USD",VLOOKUP(R166,'TRM BanRep'!$A:$G,7,0)))</f>
        <v>0</v>
      </c>
      <c r="U166" s="2395">
        <f t="shared" si="15"/>
        <v>0</v>
      </c>
      <c r="V166" s="2395" t="str">
        <f t="shared" si="14"/>
        <v/>
      </c>
    </row>
    <row r="167" spans="3:22" hidden="1">
      <c r="C167">
        <v>2022</v>
      </c>
      <c r="D167" t="s">
        <v>1661</v>
      </c>
      <c r="F167">
        <v>1202049905</v>
      </c>
      <c r="G167" t="s">
        <v>1557</v>
      </c>
      <c r="H167" t="s">
        <v>1668</v>
      </c>
      <c r="I167" t="s">
        <v>1683</v>
      </c>
      <c r="J167" t="s">
        <v>106</v>
      </c>
      <c r="K167">
        <v>7900002708</v>
      </c>
      <c r="L167" t="s">
        <v>1668</v>
      </c>
      <c r="M167" s="1633">
        <v>37929000000</v>
      </c>
      <c r="N167">
        <v>1</v>
      </c>
      <c r="O167">
        <v>40</v>
      </c>
      <c r="P167" s="1633">
        <v>37929000000</v>
      </c>
      <c r="Q167" t="s">
        <v>106</v>
      </c>
      <c r="R167" s="2392">
        <v>44634</v>
      </c>
      <c r="S167" s="2393">
        <f t="shared" si="13"/>
        <v>1</v>
      </c>
      <c r="T167" s="2394">
        <f>IF(OR(J167="COP",J167="EURO",J167="GBP"),0,IF(J167="USD",VLOOKUP(R167,'TRM BanRep'!$A:$G,7,0)))</f>
        <v>0</v>
      </c>
      <c r="U167" s="2395">
        <f t="shared" si="15"/>
        <v>0</v>
      </c>
      <c r="V167" s="2395" t="str">
        <f t="shared" si="14"/>
        <v/>
      </c>
    </row>
    <row r="168" spans="3:22" hidden="1">
      <c r="C168">
        <v>2022</v>
      </c>
      <c r="D168" t="s">
        <v>1661</v>
      </c>
      <c r="F168">
        <v>1202049905</v>
      </c>
      <c r="G168" t="s">
        <v>1557</v>
      </c>
      <c r="H168" t="s">
        <v>1668</v>
      </c>
      <c r="I168" t="s">
        <v>1684</v>
      </c>
      <c r="J168" t="s">
        <v>106</v>
      </c>
      <c r="K168">
        <v>7900002716</v>
      </c>
      <c r="L168" t="s">
        <v>1668</v>
      </c>
      <c r="M168" s="1633">
        <v>38080000000</v>
      </c>
      <c r="N168">
        <v>1</v>
      </c>
      <c r="O168">
        <v>40</v>
      </c>
      <c r="P168" s="1633">
        <v>38080000000</v>
      </c>
      <c r="Q168" t="s">
        <v>106</v>
      </c>
      <c r="R168" s="2392">
        <v>44634</v>
      </c>
      <c r="S168" s="2393">
        <f t="shared" si="13"/>
        <v>1</v>
      </c>
      <c r="T168" s="2394">
        <f>IF(OR(J168="COP",J168="EURO",J168="GBP"),0,IF(J168="USD",VLOOKUP(R168,'TRM BanRep'!$A:$G,7,0)))</f>
        <v>0</v>
      </c>
      <c r="U168" s="2395">
        <f t="shared" si="15"/>
        <v>0</v>
      </c>
      <c r="V168" s="2395" t="str">
        <f t="shared" si="14"/>
        <v/>
      </c>
    </row>
    <row r="169" spans="3:22" hidden="1">
      <c r="C169">
        <v>2022</v>
      </c>
      <c r="D169" t="s">
        <v>1661</v>
      </c>
      <c r="F169">
        <v>1202049905</v>
      </c>
      <c r="G169" t="s">
        <v>1557</v>
      </c>
      <c r="H169" t="s">
        <v>1668</v>
      </c>
      <c r="I169" t="s">
        <v>1685</v>
      </c>
      <c r="J169" t="s">
        <v>106</v>
      </c>
      <c r="K169">
        <v>7900002724</v>
      </c>
      <c r="L169" t="s">
        <v>1668</v>
      </c>
      <c r="M169" s="1633">
        <v>38050000000</v>
      </c>
      <c r="N169">
        <v>1</v>
      </c>
      <c r="O169">
        <v>40</v>
      </c>
      <c r="P169" s="1633">
        <v>38050000000</v>
      </c>
      <c r="Q169" t="s">
        <v>106</v>
      </c>
      <c r="R169" s="2392">
        <v>44634</v>
      </c>
      <c r="S169" s="2393">
        <f t="shared" si="13"/>
        <v>1</v>
      </c>
      <c r="T169" s="2394">
        <f>IF(OR(J169="COP",J169="EURO",J169="GBP"),0,IF(J169="USD",VLOOKUP(R169,'TRM BanRep'!$A:$G,7,0)))</f>
        <v>0</v>
      </c>
      <c r="U169" s="2395">
        <f t="shared" si="15"/>
        <v>0</v>
      </c>
      <c r="V169" s="2395" t="str">
        <f t="shared" si="14"/>
        <v/>
      </c>
    </row>
    <row r="170" spans="3:22" hidden="1">
      <c r="C170">
        <v>2022</v>
      </c>
      <c r="D170" t="s">
        <v>1661</v>
      </c>
      <c r="F170">
        <v>1202049905</v>
      </c>
      <c r="G170" t="s">
        <v>1557</v>
      </c>
      <c r="H170" t="s">
        <v>1668</v>
      </c>
      <c r="I170" t="s">
        <v>1686</v>
      </c>
      <c r="J170" t="s">
        <v>106</v>
      </c>
      <c r="K170">
        <v>7900002732</v>
      </c>
      <c r="L170" t="s">
        <v>1668</v>
      </c>
      <c r="M170" s="1633">
        <v>38080000000</v>
      </c>
      <c r="N170">
        <v>1</v>
      </c>
      <c r="O170">
        <v>40</v>
      </c>
      <c r="P170" s="1633">
        <v>38080000000</v>
      </c>
      <c r="Q170" t="s">
        <v>106</v>
      </c>
      <c r="R170" s="2392">
        <v>44634</v>
      </c>
      <c r="S170" s="2393">
        <f t="shared" si="13"/>
        <v>1</v>
      </c>
      <c r="T170" s="2394">
        <f>IF(OR(J170="COP",J170="EURO",J170="GBP"),0,IF(J170="USD",VLOOKUP(R170,'TRM BanRep'!$A:$G,7,0)))</f>
        <v>0</v>
      </c>
      <c r="U170" s="2395">
        <f t="shared" si="15"/>
        <v>0</v>
      </c>
      <c r="V170" s="2395" t="str">
        <f t="shared" si="14"/>
        <v/>
      </c>
    </row>
    <row r="171" spans="3:22" hidden="1">
      <c r="C171">
        <v>2022</v>
      </c>
      <c r="D171" t="s">
        <v>1661</v>
      </c>
      <c r="F171">
        <v>1202049905</v>
      </c>
      <c r="G171" t="s">
        <v>1557</v>
      </c>
      <c r="H171" t="s">
        <v>1672</v>
      </c>
      <c r="I171" t="s">
        <v>1687</v>
      </c>
      <c r="J171" t="s">
        <v>106</v>
      </c>
      <c r="K171">
        <v>7900002740</v>
      </c>
      <c r="L171" t="s">
        <v>1672</v>
      </c>
      <c r="M171" s="1633">
        <v>32362147461</v>
      </c>
      <c r="N171">
        <v>1</v>
      </c>
      <c r="O171">
        <v>40</v>
      </c>
      <c r="P171" s="1633">
        <v>32362147461</v>
      </c>
      <c r="Q171" t="s">
        <v>106</v>
      </c>
      <c r="R171" s="2392">
        <v>44636</v>
      </c>
      <c r="S171" s="2393">
        <f t="shared" si="13"/>
        <v>1</v>
      </c>
      <c r="T171" s="2394">
        <f>IF(OR(J171="COP",J171="EURO",J171="GBP"),0,IF(J171="USD",VLOOKUP(R171,'TRM BanRep'!$A:$G,7,0)))</f>
        <v>0</v>
      </c>
      <c r="U171" s="2395">
        <f t="shared" si="15"/>
        <v>0</v>
      </c>
      <c r="V171" s="2395" t="str">
        <f t="shared" si="14"/>
        <v/>
      </c>
    </row>
    <row r="172" spans="3:22" hidden="1">
      <c r="C172">
        <v>2022</v>
      </c>
      <c r="D172" t="s">
        <v>1661</v>
      </c>
      <c r="F172">
        <v>1202049905</v>
      </c>
      <c r="G172" t="s">
        <v>1557</v>
      </c>
      <c r="H172" t="s">
        <v>1672</v>
      </c>
      <c r="I172" t="s">
        <v>1688</v>
      </c>
      <c r="J172" t="s">
        <v>106</v>
      </c>
      <c r="K172">
        <v>7900002748</v>
      </c>
      <c r="L172" t="s">
        <v>1672</v>
      </c>
      <c r="M172" s="1633">
        <v>5837852539</v>
      </c>
      <c r="N172">
        <v>1</v>
      </c>
      <c r="O172">
        <v>40</v>
      </c>
      <c r="P172" s="1633">
        <v>5837852539</v>
      </c>
      <c r="Q172" t="s">
        <v>106</v>
      </c>
      <c r="R172" s="2392">
        <v>44636</v>
      </c>
      <c r="S172" s="2393">
        <f t="shared" si="13"/>
        <v>1</v>
      </c>
      <c r="T172" s="2394">
        <f>IF(OR(J172="COP",J172="EURO",J172="GBP"),0,IF(J172="USD",VLOOKUP(R172,'TRM BanRep'!$A:$G,7,0)))</f>
        <v>0</v>
      </c>
      <c r="U172" s="2395">
        <f t="shared" si="15"/>
        <v>0</v>
      </c>
      <c r="V172" s="2395" t="str">
        <f t="shared" si="14"/>
        <v/>
      </c>
    </row>
    <row r="173" spans="3:22" hidden="1">
      <c r="C173">
        <v>2022</v>
      </c>
      <c r="D173" t="s">
        <v>1661</v>
      </c>
      <c r="F173">
        <v>1202049905</v>
      </c>
      <c r="G173" t="s">
        <v>1557</v>
      </c>
      <c r="H173" t="s">
        <v>1672</v>
      </c>
      <c r="I173" t="s">
        <v>1689</v>
      </c>
      <c r="J173" t="s">
        <v>106</v>
      </c>
      <c r="K173">
        <v>7900002756</v>
      </c>
      <c r="L173" t="s">
        <v>1672</v>
      </c>
      <c r="M173" s="1633">
        <v>5731800000</v>
      </c>
      <c r="N173">
        <v>1</v>
      </c>
      <c r="O173">
        <v>40</v>
      </c>
      <c r="P173" s="1633">
        <v>5731800000</v>
      </c>
      <c r="Q173" t="s">
        <v>106</v>
      </c>
      <c r="R173" s="2392">
        <v>44636</v>
      </c>
      <c r="S173" s="2393">
        <f t="shared" si="13"/>
        <v>1</v>
      </c>
      <c r="T173" s="2394">
        <f>IF(OR(J173="COP",J173="EURO",J173="GBP"),0,IF(J173="USD",VLOOKUP(R173,'TRM BanRep'!$A:$G,7,0)))</f>
        <v>0</v>
      </c>
      <c r="U173" s="2395">
        <f t="shared" si="15"/>
        <v>0</v>
      </c>
      <c r="V173" s="2395" t="str">
        <f t="shared" si="14"/>
        <v/>
      </c>
    </row>
    <row r="174" spans="3:22" hidden="1">
      <c r="C174">
        <v>2022</v>
      </c>
      <c r="D174" t="s">
        <v>1661</v>
      </c>
      <c r="F174">
        <v>1202049905</v>
      </c>
      <c r="G174" t="s">
        <v>1557</v>
      </c>
      <c r="H174" t="s">
        <v>1672</v>
      </c>
      <c r="I174" t="s">
        <v>1690</v>
      </c>
      <c r="J174" t="s">
        <v>106</v>
      </c>
      <c r="K174">
        <v>7900002786</v>
      </c>
      <c r="L174" t="s">
        <v>1672</v>
      </c>
      <c r="M174" s="1633">
        <v>1930000004</v>
      </c>
      <c r="N174">
        <v>1</v>
      </c>
      <c r="O174">
        <v>40</v>
      </c>
      <c r="P174" s="1633">
        <v>1930000004</v>
      </c>
      <c r="Q174" t="s">
        <v>106</v>
      </c>
      <c r="R174" s="2392">
        <v>44636</v>
      </c>
      <c r="S174" s="2393">
        <f t="shared" si="13"/>
        <v>1</v>
      </c>
      <c r="T174" s="2394">
        <f>IF(OR(J174="COP",J174="EURO",J174="GBP"),0,IF(J174="USD",VLOOKUP(R174,'TRM BanRep'!$A:$G,7,0)))</f>
        <v>0</v>
      </c>
      <c r="U174" s="2395">
        <f t="shared" si="15"/>
        <v>0</v>
      </c>
      <c r="V174" s="2395" t="str">
        <f t="shared" si="14"/>
        <v/>
      </c>
    </row>
    <row r="175" spans="3:22" hidden="1">
      <c r="C175">
        <v>2022</v>
      </c>
      <c r="D175" t="s">
        <v>1661</v>
      </c>
      <c r="F175">
        <v>1202049905</v>
      </c>
      <c r="G175" t="s">
        <v>1557</v>
      </c>
      <c r="H175" t="s">
        <v>1691</v>
      </c>
      <c r="I175" t="s">
        <v>1692</v>
      </c>
      <c r="J175" t="s">
        <v>106</v>
      </c>
      <c r="K175">
        <v>7900002794</v>
      </c>
      <c r="L175" t="s">
        <v>1691</v>
      </c>
      <c r="M175" s="1633">
        <v>6824700000</v>
      </c>
      <c r="N175">
        <v>1</v>
      </c>
      <c r="O175">
        <v>40</v>
      </c>
      <c r="P175" s="1633">
        <v>6824700000</v>
      </c>
      <c r="Q175" t="s">
        <v>106</v>
      </c>
      <c r="R175" s="2392">
        <v>44644</v>
      </c>
      <c r="S175" s="2393">
        <f t="shared" si="13"/>
        <v>1</v>
      </c>
      <c r="T175" s="2394">
        <f>IF(OR(J175="COP",J175="EURO",J175="GBP"),0,IF(J175="USD",VLOOKUP(R175,'TRM BanRep'!$A:$G,7,0)))</f>
        <v>0</v>
      </c>
      <c r="U175" s="2395">
        <f t="shared" si="15"/>
        <v>0</v>
      </c>
      <c r="V175" s="2395" t="str">
        <f t="shared" si="14"/>
        <v/>
      </c>
    </row>
    <row r="176" spans="3:22" hidden="1">
      <c r="C176">
        <v>2022</v>
      </c>
      <c r="D176" t="s">
        <v>1661</v>
      </c>
      <c r="F176">
        <v>1202049905</v>
      </c>
      <c r="G176" t="s">
        <v>1557</v>
      </c>
      <c r="H176" t="s">
        <v>1691</v>
      </c>
      <c r="I176" t="s">
        <v>1693</v>
      </c>
      <c r="J176" t="s">
        <v>106</v>
      </c>
      <c r="K176">
        <v>7900002802</v>
      </c>
      <c r="L176" t="s">
        <v>1691</v>
      </c>
      <c r="M176" s="1633">
        <v>764746718</v>
      </c>
      <c r="N176">
        <v>1</v>
      </c>
      <c r="O176">
        <v>40</v>
      </c>
      <c r="P176" s="1633">
        <v>764746718</v>
      </c>
      <c r="Q176" t="s">
        <v>106</v>
      </c>
      <c r="R176" s="2392">
        <v>44644</v>
      </c>
      <c r="S176" s="2393">
        <f t="shared" si="13"/>
        <v>1</v>
      </c>
      <c r="T176" s="2394">
        <f>IF(OR(J176="COP",J176="EURO",J176="GBP"),0,IF(J176="USD",VLOOKUP(R176,'TRM BanRep'!$A:$G,7,0)))</f>
        <v>0</v>
      </c>
      <c r="U176" s="2395">
        <f t="shared" si="15"/>
        <v>0</v>
      </c>
      <c r="V176" s="2395" t="str">
        <f t="shared" si="14"/>
        <v/>
      </c>
    </row>
    <row r="177" spans="3:26" hidden="1">
      <c r="C177">
        <v>2022</v>
      </c>
      <c r="D177" t="s">
        <v>1661</v>
      </c>
      <c r="F177">
        <v>1202049905</v>
      </c>
      <c r="G177" t="s">
        <v>1557</v>
      </c>
      <c r="H177" t="s">
        <v>1694</v>
      </c>
      <c r="I177" t="s">
        <v>1695</v>
      </c>
      <c r="J177" t="s">
        <v>106</v>
      </c>
      <c r="K177">
        <v>7900002828</v>
      </c>
      <c r="L177" t="s">
        <v>1694</v>
      </c>
      <c r="M177" s="1633">
        <v>-2209822074</v>
      </c>
      <c r="N177">
        <v>1</v>
      </c>
      <c r="O177">
        <v>50</v>
      </c>
      <c r="P177" s="1633">
        <v>-2209822074</v>
      </c>
      <c r="Q177" t="s">
        <v>106</v>
      </c>
      <c r="R177" s="2392">
        <v>44627</v>
      </c>
      <c r="S177" s="2393">
        <f t="shared" si="13"/>
        <v>1</v>
      </c>
      <c r="T177" s="2394">
        <f>IF(OR(J177="COP",J177="EURO",J177="GBP"),0,IF(J177="USD",VLOOKUP(R177,'TRM BanRep'!$A:$G,7,0)))</f>
        <v>0</v>
      </c>
      <c r="U177" s="2395">
        <f t="shared" si="15"/>
        <v>0</v>
      </c>
      <c r="V177" s="2395" t="str">
        <f t="shared" si="14"/>
        <v/>
      </c>
    </row>
    <row r="178" spans="3:26" hidden="1">
      <c r="C178">
        <v>2022</v>
      </c>
      <c r="D178" t="s">
        <v>1661</v>
      </c>
      <c r="F178">
        <v>1202049905</v>
      </c>
      <c r="G178" t="s">
        <v>1557</v>
      </c>
      <c r="H178" t="s">
        <v>1696</v>
      </c>
      <c r="I178" t="s">
        <v>1697</v>
      </c>
      <c r="J178" t="s">
        <v>106</v>
      </c>
      <c r="K178">
        <v>7900002845</v>
      </c>
      <c r="L178" t="s">
        <v>1696</v>
      </c>
      <c r="M178" s="1633">
        <v>3836806950</v>
      </c>
      <c r="N178">
        <v>1</v>
      </c>
      <c r="O178">
        <v>40</v>
      </c>
      <c r="P178" s="1633">
        <v>3836806950</v>
      </c>
      <c r="Q178" t="s">
        <v>106</v>
      </c>
      <c r="R178" s="2392">
        <v>44649</v>
      </c>
      <c r="S178" s="2393">
        <f t="shared" si="13"/>
        <v>1</v>
      </c>
      <c r="T178" s="2394">
        <f>IF(OR(J178="COP",J178="EURO",J178="GBP"),0,IF(J178="USD",VLOOKUP(R178,'TRM BanRep'!$A:$G,7,0)))</f>
        <v>0</v>
      </c>
      <c r="U178" s="2395">
        <f t="shared" si="15"/>
        <v>0</v>
      </c>
      <c r="V178" s="2395" t="str">
        <f t="shared" si="14"/>
        <v/>
      </c>
    </row>
    <row r="179" spans="3:26" hidden="1">
      <c r="C179">
        <v>2022</v>
      </c>
      <c r="D179" t="s">
        <v>1661</v>
      </c>
      <c r="F179">
        <v>1202049905</v>
      </c>
      <c r="G179" t="s">
        <v>1557</v>
      </c>
      <c r="H179" t="s">
        <v>1698</v>
      </c>
      <c r="I179" t="s">
        <v>1699</v>
      </c>
      <c r="J179" t="s">
        <v>106</v>
      </c>
      <c r="K179">
        <v>7900003194</v>
      </c>
      <c r="L179" t="s">
        <v>1698</v>
      </c>
      <c r="M179" s="1633">
        <v>-6638794173</v>
      </c>
      <c r="N179">
        <v>1</v>
      </c>
      <c r="O179">
        <v>50</v>
      </c>
      <c r="P179" s="1633">
        <v>-6638794173</v>
      </c>
      <c r="Q179" t="s">
        <v>106</v>
      </c>
      <c r="R179" s="2392">
        <v>44648</v>
      </c>
      <c r="S179" s="2393">
        <f t="shared" si="13"/>
        <v>1</v>
      </c>
      <c r="T179" s="2394">
        <f>IF(OR(J179="COP",J179="EURO",J179="GBP"),0,IF(J179="USD",VLOOKUP(R179,'TRM BanRep'!$A:$G,7,0)))</f>
        <v>0</v>
      </c>
      <c r="U179" s="2395">
        <f t="shared" si="15"/>
        <v>0</v>
      </c>
      <c r="V179" s="2395" t="str">
        <f t="shared" si="14"/>
        <v/>
      </c>
    </row>
    <row r="180" spans="3:26" hidden="1">
      <c r="C180">
        <v>2022</v>
      </c>
      <c r="D180" t="s">
        <v>1661</v>
      </c>
      <c r="F180">
        <v>1202049905</v>
      </c>
      <c r="G180" t="s">
        <v>1557</v>
      </c>
      <c r="H180" t="s">
        <v>1698</v>
      </c>
      <c r="I180" t="s">
        <v>1700</v>
      </c>
      <c r="J180" t="s">
        <v>106</v>
      </c>
      <c r="K180">
        <v>7900003202</v>
      </c>
      <c r="L180" t="s">
        <v>1698</v>
      </c>
      <c r="M180" s="1633">
        <v>-378859767</v>
      </c>
      <c r="N180">
        <v>1</v>
      </c>
      <c r="O180">
        <v>50</v>
      </c>
      <c r="P180" s="1633">
        <v>-378859767</v>
      </c>
      <c r="Q180" t="s">
        <v>106</v>
      </c>
      <c r="R180" s="2392">
        <v>44648</v>
      </c>
      <c r="S180" s="2393">
        <f t="shared" si="13"/>
        <v>1</v>
      </c>
      <c r="T180" s="2394">
        <f>IF(OR(J180="COP",J180="EURO",J180="GBP"),0,IF(J180="USD",VLOOKUP(R180,'TRM BanRep'!$A:$G,7,0)))</f>
        <v>0</v>
      </c>
      <c r="U180" s="2395">
        <f t="shared" si="15"/>
        <v>0</v>
      </c>
      <c r="V180" s="2395" t="str">
        <f t="shared" si="14"/>
        <v/>
      </c>
    </row>
    <row r="181" spans="3:26" hidden="1">
      <c r="C181">
        <v>2022</v>
      </c>
      <c r="D181" t="s">
        <v>1661</v>
      </c>
      <c r="F181">
        <v>1202049905</v>
      </c>
      <c r="G181" t="s">
        <v>1557</v>
      </c>
      <c r="H181" t="s">
        <v>1701</v>
      </c>
      <c r="I181" t="s">
        <v>1702</v>
      </c>
      <c r="J181" t="s">
        <v>106</v>
      </c>
      <c r="K181">
        <v>7900003488</v>
      </c>
      <c r="L181" t="s">
        <v>1701</v>
      </c>
      <c r="M181" s="1633">
        <v>-31923288362</v>
      </c>
      <c r="N181">
        <v>1</v>
      </c>
      <c r="O181">
        <v>50</v>
      </c>
      <c r="P181" s="1633">
        <v>-31923288362</v>
      </c>
      <c r="Q181" t="s">
        <v>106</v>
      </c>
      <c r="R181" s="2392">
        <v>44651</v>
      </c>
      <c r="S181" s="2393">
        <f t="shared" si="13"/>
        <v>1</v>
      </c>
      <c r="T181" s="2394">
        <f>IF(OR(J181="COP",J181="EURO",J181="GBP"),0,IF(J181="USD",VLOOKUP(R181,'TRM BanRep'!$A:$G,7,0)))</f>
        <v>0</v>
      </c>
      <c r="U181" s="2395">
        <f t="shared" si="15"/>
        <v>0</v>
      </c>
      <c r="V181" s="2395" t="str">
        <f t="shared" si="14"/>
        <v/>
      </c>
    </row>
    <row r="182" spans="3:26" hidden="1">
      <c r="C182">
        <v>2022</v>
      </c>
      <c r="D182" t="s">
        <v>1661</v>
      </c>
      <c r="F182">
        <v>1202049905</v>
      </c>
      <c r="G182" t="s">
        <v>1557</v>
      </c>
      <c r="H182" t="s">
        <v>1696</v>
      </c>
      <c r="I182" t="s">
        <v>1703</v>
      </c>
      <c r="J182" s="2410" t="s">
        <v>146</v>
      </c>
      <c r="K182">
        <v>7900002836</v>
      </c>
      <c r="L182" t="s">
        <v>1696</v>
      </c>
      <c r="M182" s="1633">
        <v>-2055.2399999999998</v>
      </c>
      <c r="N182">
        <v>4152.11168</v>
      </c>
      <c r="O182">
        <v>50</v>
      </c>
      <c r="P182" s="1633">
        <v>-8533586</v>
      </c>
      <c r="Q182" t="s">
        <v>106</v>
      </c>
      <c r="R182" s="2392">
        <v>44649</v>
      </c>
      <c r="S182" s="2393">
        <f t="shared" si="13"/>
        <v>4152.1099999999997</v>
      </c>
      <c r="T182" s="2409">
        <f>IF(OR(J182="COP",J182="EURO",J182="GBP"),0,IF(J182="USD",VLOOKUP(R182,'TRM BanRep'!$A:$G,7,0)))</f>
        <v>0</v>
      </c>
      <c r="U182" s="2395">
        <f t="shared" si="15"/>
        <v>0</v>
      </c>
      <c r="V182" s="2397" t="str">
        <f t="shared" si="14"/>
        <v/>
      </c>
      <c r="W182" t="str">
        <f t="shared" ref="W182:W215" si="17">MID(I182,2,3)</f>
        <v>FX1</v>
      </c>
      <c r="Z182" s="2401"/>
    </row>
    <row r="183" spans="3:26" hidden="1">
      <c r="C183">
        <v>2022</v>
      </c>
      <c r="D183" t="s">
        <v>1661</v>
      </c>
      <c r="F183">
        <v>1202049905</v>
      </c>
      <c r="G183" t="s">
        <v>1557</v>
      </c>
      <c r="H183" t="s">
        <v>1662</v>
      </c>
      <c r="I183" t="s">
        <v>1704</v>
      </c>
      <c r="J183" t="s">
        <v>64</v>
      </c>
      <c r="K183">
        <v>7900002467</v>
      </c>
      <c r="L183" t="s">
        <v>1662</v>
      </c>
      <c r="M183" s="1633">
        <v>-1221430</v>
      </c>
      <c r="N183">
        <v>3862.95</v>
      </c>
      <c r="O183">
        <v>50</v>
      </c>
      <c r="P183" s="1633">
        <v>-4718323019</v>
      </c>
      <c r="Q183" t="s">
        <v>106</v>
      </c>
      <c r="R183" s="2392">
        <v>44623</v>
      </c>
      <c r="S183" s="2393">
        <f t="shared" si="13"/>
        <v>3862.95</v>
      </c>
      <c r="T183" s="2394">
        <f>IF(OR(J183="COP",J183="EURO",J183="GBP"),0,IF(J183="USD",VLOOKUP(R183,'TRM BanRep'!$A:$G,7,0)))</f>
        <v>3862.95</v>
      </c>
      <c r="U183" s="2395">
        <f t="shared" si="15"/>
        <v>0</v>
      </c>
      <c r="V183" s="2395" t="str">
        <f t="shared" si="14"/>
        <v/>
      </c>
      <c r="W183" t="str">
        <f t="shared" si="17"/>
        <v>FX1</v>
      </c>
      <c r="Z183" s="2401"/>
    </row>
    <row r="184" spans="3:26" hidden="1">
      <c r="C184">
        <v>2022</v>
      </c>
      <c r="D184" t="s">
        <v>1661</v>
      </c>
      <c r="F184">
        <v>1202049905</v>
      </c>
      <c r="G184" t="s">
        <v>1557</v>
      </c>
      <c r="H184" t="s">
        <v>1664</v>
      </c>
      <c r="I184" t="s">
        <v>1705</v>
      </c>
      <c r="J184" t="s">
        <v>64</v>
      </c>
      <c r="K184">
        <v>7900002555</v>
      </c>
      <c r="L184" t="s">
        <v>1664</v>
      </c>
      <c r="M184" s="2402">
        <v>-10000000</v>
      </c>
      <c r="N184">
        <v>3839</v>
      </c>
      <c r="O184">
        <v>50</v>
      </c>
      <c r="P184" s="1633">
        <v>-38390000000</v>
      </c>
      <c r="Q184" t="s">
        <v>106</v>
      </c>
      <c r="R184" s="2392">
        <v>44631</v>
      </c>
      <c r="S184" s="2393">
        <f t="shared" si="13"/>
        <v>3839</v>
      </c>
      <c r="T184" s="2394">
        <f>IF(OR(J184="COP",J184="EURO",J184="GBP"),0,IF(J184="USD",VLOOKUP(R184,'TRM BanRep'!$A:$G,7,0)))</f>
        <v>3786</v>
      </c>
      <c r="U184" s="2395">
        <f t="shared" si="15"/>
        <v>530000000</v>
      </c>
      <c r="V184" s="2396" t="str">
        <f t="shared" si="14"/>
        <v>2-GASTO</v>
      </c>
      <c r="W184" t="str">
        <f t="shared" si="17"/>
        <v>FX1</v>
      </c>
      <c r="Y184">
        <v>3748.15</v>
      </c>
      <c r="Z184" s="2401">
        <f t="shared" ref="Z184:Z207" si="18">(Y184-S184)*M184</f>
        <v>908499999.99999905</v>
      </c>
    </row>
    <row r="185" spans="3:26" hidden="1">
      <c r="C185">
        <v>2022</v>
      </c>
      <c r="D185" t="s">
        <v>1661</v>
      </c>
      <c r="F185">
        <v>1202049905</v>
      </c>
      <c r="G185" t="s">
        <v>1557</v>
      </c>
      <c r="H185" t="s">
        <v>1664</v>
      </c>
      <c r="I185" t="s">
        <v>1706</v>
      </c>
      <c r="J185" t="s">
        <v>64</v>
      </c>
      <c r="K185">
        <v>7900002563</v>
      </c>
      <c r="L185" t="s">
        <v>1664</v>
      </c>
      <c r="M185" s="2402">
        <v>-15000000</v>
      </c>
      <c r="N185">
        <v>3824.5</v>
      </c>
      <c r="O185">
        <v>50</v>
      </c>
      <c r="P185" s="1633">
        <v>-57367500000</v>
      </c>
      <c r="Q185" t="s">
        <v>106</v>
      </c>
      <c r="R185" s="2392">
        <v>44631</v>
      </c>
      <c r="S185" s="2393">
        <f t="shared" si="13"/>
        <v>3824.5</v>
      </c>
      <c r="T185" s="2394">
        <f>IF(OR(J185="COP",J185="EURO",J185="GBP"),0,IF(J185="USD",VLOOKUP(R185,'TRM BanRep'!$A:$G,7,0)))</f>
        <v>3786</v>
      </c>
      <c r="U185" s="2395">
        <f t="shared" si="15"/>
        <v>577500000</v>
      </c>
      <c r="V185" s="2396" t="str">
        <f t="shared" si="14"/>
        <v>2-GASTO</v>
      </c>
      <c r="W185" t="str">
        <f t="shared" si="17"/>
        <v>FX1</v>
      </c>
      <c r="Y185">
        <v>3748.15</v>
      </c>
      <c r="Z185" s="2401">
        <f t="shared" si="18"/>
        <v>1145249999.9999986</v>
      </c>
    </row>
    <row r="186" spans="3:26" hidden="1">
      <c r="C186">
        <v>2022</v>
      </c>
      <c r="D186" t="s">
        <v>1661</v>
      </c>
      <c r="F186">
        <v>1202049905</v>
      </c>
      <c r="G186" t="s">
        <v>1557</v>
      </c>
      <c r="H186" t="s">
        <v>1664</v>
      </c>
      <c r="I186" t="s">
        <v>1707</v>
      </c>
      <c r="J186" t="s">
        <v>64</v>
      </c>
      <c r="K186">
        <v>7900002571</v>
      </c>
      <c r="L186" t="s">
        <v>1664</v>
      </c>
      <c r="M186" s="2402">
        <v>-5000000</v>
      </c>
      <c r="N186">
        <v>3817.5</v>
      </c>
      <c r="O186">
        <v>50</v>
      </c>
      <c r="P186" s="1633">
        <v>-19087500000</v>
      </c>
      <c r="Q186" t="s">
        <v>106</v>
      </c>
      <c r="R186" s="2392">
        <v>44631</v>
      </c>
      <c r="S186" s="2393">
        <f t="shared" si="13"/>
        <v>3817.5</v>
      </c>
      <c r="T186" s="2394">
        <f>IF(OR(J186="COP",J186="EURO",J186="GBP"),0,IF(J186="USD",VLOOKUP(R186,'TRM BanRep'!$A:$G,7,0)))</f>
        <v>3786</v>
      </c>
      <c r="U186" s="2395">
        <f t="shared" si="15"/>
        <v>157500000</v>
      </c>
      <c r="V186" s="2396" t="str">
        <f t="shared" si="14"/>
        <v>2-GASTO</v>
      </c>
      <c r="W186" t="str">
        <f t="shared" si="17"/>
        <v>FX1</v>
      </c>
      <c r="Y186">
        <v>3748.15</v>
      </c>
      <c r="Z186" s="2401">
        <f t="shared" si="18"/>
        <v>346749999.99999952</v>
      </c>
    </row>
    <row r="187" spans="3:26" hidden="1">
      <c r="C187">
        <v>2022</v>
      </c>
      <c r="D187" t="s">
        <v>1661</v>
      </c>
      <c r="F187">
        <v>1202049905</v>
      </c>
      <c r="G187" t="s">
        <v>1557</v>
      </c>
      <c r="H187" t="s">
        <v>1668</v>
      </c>
      <c r="I187" t="s">
        <v>1708</v>
      </c>
      <c r="J187" t="s">
        <v>64</v>
      </c>
      <c r="K187">
        <v>7900002579</v>
      </c>
      <c r="L187" t="s">
        <v>1668</v>
      </c>
      <c r="M187" s="2403">
        <v>-5000000</v>
      </c>
      <c r="N187">
        <v>3782.8</v>
      </c>
      <c r="O187">
        <v>50</v>
      </c>
      <c r="P187" s="1633">
        <v>-18914000000</v>
      </c>
      <c r="Q187" t="s">
        <v>106</v>
      </c>
      <c r="R187" s="2392">
        <v>44634</v>
      </c>
      <c r="S187" s="2393">
        <f t="shared" si="13"/>
        <v>3782.8</v>
      </c>
      <c r="T187" s="2394">
        <f>IF(OR(J187="COP",J187="EURO",J187="GBP"),0,IF(J187="USD",VLOOKUP(R187,'TRM BanRep'!$A:$G,7,0)))</f>
        <v>3827.64</v>
      </c>
      <c r="U187" s="2395">
        <f t="shared" si="15"/>
        <v>-224199999.99999845</v>
      </c>
      <c r="V187" s="2397" t="str">
        <f t="shared" si="14"/>
        <v>1-INGRESO</v>
      </c>
      <c r="W187" t="str">
        <f t="shared" si="17"/>
        <v>FX1</v>
      </c>
      <c r="Y187">
        <v>3748.15</v>
      </c>
      <c r="Z187" s="2401">
        <f t="shared" si="18"/>
        <v>173250000.00000045</v>
      </c>
    </row>
    <row r="188" spans="3:26" hidden="1">
      <c r="C188">
        <v>2022</v>
      </c>
      <c r="D188" t="s">
        <v>1661</v>
      </c>
      <c r="F188">
        <v>1202049905</v>
      </c>
      <c r="G188" t="s">
        <v>1557</v>
      </c>
      <c r="H188" t="s">
        <v>1668</v>
      </c>
      <c r="I188" t="s">
        <v>1709</v>
      </c>
      <c r="J188" t="s">
        <v>64</v>
      </c>
      <c r="K188">
        <v>7900002587</v>
      </c>
      <c r="L188" t="s">
        <v>1668</v>
      </c>
      <c r="M188" s="2403">
        <v>-5000000</v>
      </c>
      <c r="N188">
        <v>3784.5</v>
      </c>
      <c r="O188">
        <v>50</v>
      </c>
      <c r="P188" s="1633">
        <v>-18922500000</v>
      </c>
      <c r="Q188" t="s">
        <v>106</v>
      </c>
      <c r="R188" s="2392">
        <v>44634</v>
      </c>
      <c r="S188" s="2393">
        <f t="shared" si="13"/>
        <v>3784.5</v>
      </c>
      <c r="T188" s="2394">
        <f>IF(OR(J188="COP",J188="EURO",J188="GBP"),0,IF(J188="USD",VLOOKUP(R188,'TRM BanRep'!$A:$G,7,0)))</f>
        <v>3827.64</v>
      </c>
      <c r="U188" s="2395">
        <f t="shared" si="15"/>
        <v>-215699999.99999937</v>
      </c>
      <c r="V188" s="2397" t="str">
        <f t="shared" si="14"/>
        <v>1-INGRESO</v>
      </c>
      <c r="W188" t="str">
        <f t="shared" si="17"/>
        <v>FX1</v>
      </c>
      <c r="Y188">
        <v>3748.15</v>
      </c>
      <c r="Z188" s="2401">
        <f t="shared" si="18"/>
        <v>181749999.99999955</v>
      </c>
    </row>
    <row r="189" spans="3:26" hidden="1">
      <c r="C189">
        <v>2022</v>
      </c>
      <c r="D189" t="s">
        <v>1661</v>
      </c>
      <c r="F189">
        <v>1202049905</v>
      </c>
      <c r="G189" t="s">
        <v>1557</v>
      </c>
      <c r="H189" t="s">
        <v>1668</v>
      </c>
      <c r="I189" t="s">
        <v>1710</v>
      </c>
      <c r="J189" t="s">
        <v>64</v>
      </c>
      <c r="K189">
        <v>7900002595</v>
      </c>
      <c r="L189" t="s">
        <v>1668</v>
      </c>
      <c r="M189" s="2403">
        <v>-10000000</v>
      </c>
      <c r="N189">
        <v>3803.79</v>
      </c>
      <c r="O189">
        <v>50</v>
      </c>
      <c r="P189" s="1633">
        <v>-38037900000</v>
      </c>
      <c r="Q189" t="s">
        <v>106</v>
      </c>
      <c r="R189" s="2392">
        <v>44634</v>
      </c>
      <c r="S189" s="2393">
        <f t="shared" si="13"/>
        <v>3803.79</v>
      </c>
      <c r="T189" s="2394">
        <f>IF(OR(J189="COP",J189="EURO",J189="GBP"),0,IF(J189="USD",VLOOKUP(R189,'TRM BanRep'!$A:$G,7,0)))</f>
        <v>3827.64</v>
      </c>
      <c r="U189" s="2395">
        <f t="shared" si="15"/>
        <v>-238499999.99999908</v>
      </c>
      <c r="V189" s="2397" t="str">
        <f t="shared" si="14"/>
        <v>1-INGRESO</v>
      </c>
      <c r="W189" t="str">
        <f t="shared" si="17"/>
        <v>FX1</v>
      </c>
      <c r="Y189">
        <v>3748.15</v>
      </c>
      <c r="Z189" s="2401">
        <f t="shared" si="18"/>
        <v>556399999.99999869</v>
      </c>
    </row>
    <row r="190" spans="3:26" hidden="1">
      <c r="C190">
        <v>2022</v>
      </c>
      <c r="D190" t="s">
        <v>1661</v>
      </c>
      <c r="F190">
        <v>1202049905</v>
      </c>
      <c r="G190" t="s">
        <v>1557</v>
      </c>
      <c r="H190" t="s">
        <v>1672</v>
      </c>
      <c r="I190" t="s">
        <v>1711</v>
      </c>
      <c r="J190" t="s">
        <v>64</v>
      </c>
      <c r="K190">
        <v>7900002603</v>
      </c>
      <c r="L190" t="s">
        <v>1672</v>
      </c>
      <c r="M190" s="2404">
        <v>-865079.16</v>
      </c>
      <c r="N190">
        <v>3821.5</v>
      </c>
      <c r="O190">
        <v>50</v>
      </c>
      <c r="P190" s="1633">
        <v>-3305900010</v>
      </c>
      <c r="Q190" t="s">
        <v>106</v>
      </c>
      <c r="R190" s="2392">
        <v>44636</v>
      </c>
      <c r="S190" s="2393">
        <f t="shared" si="13"/>
        <v>3821.5</v>
      </c>
      <c r="T190" s="2394">
        <f>IF(OR(J190="COP",J190="EURO",J190="GBP"),0,IF(J190="USD",VLOOKUP(R190,'TRM BanRep'!$A:$G,7,0)))</f>
        <v>3836.56</v>
      </c>
      <c r="U190" s="2395">
        <f t="shared" si="15"/>
        <v>-13028092.149599953</v>
      </c>
      <c r="V190" s="2397" t="str">
        <f t="shared" si="14"/>
        <v>1-INGRESO</v>
      </c>
      <c r="W190" t="str">
        <f t="shared" si="17"/>
        <v>FX1</v>
      </c>
      <c r="Y190">
        <v>3748.15</v>
      </c>
      <c r="Z190" s="2401">
        <f t="shared" si="18"/>
        <v>63453556.385999925</v>
      </c>
    </row>
    <row r="191" spans="3:26" hidden="1">
      <c r="C191">
        <v>2022</v>
      </c>
      <c r="D191" t="s">
        <v>1661</v>
      </c>
      <c r="F191">
        <v>1202049905</v>
      </c>
      <c r="G191" t="s">
        <v>1557</v>
      </c>
      <c r="H191" t="s">
        <v>1672</v>
      </c>
      <c r="I191" t="s">
        <v>1712</v>
      </c>
      <c r="J191" t="s">
        <v>64</v>
      </c>
      <c r="K191">
        <v>7900002611</v>
      </c>
      <c r="L191" t="s">
        <v>1672</v>
      </c>
      <c r="M191" s="2404">
        <v>-1229883.55</v>
      </c>
      <c r="N191">
        <v>3821.5</v>
      </c>
      <c r="O191">
        <v>50</v>
      </c>
      <c r="P191" s="1633">
        <v>-4699999986</v>
      </c>
      <c r="Q191" t="s">
        <v>106</v>
      </c>
      <c r="R191" s="2392">
        <v>44636</v>
      </c>
      <c r="S191" s="2393">
        <f t="shared" si="13"/>
        <v>3821.5</v>
      </c>
      <c r="T191" s="2394">
        <f>IF(OR(J191="COP",J191="EURO",J191="GBP"),0,IF(J191="USD",VLOOKUP(R191,'TRM BanRep'!$A:$G,7,0)))</f>
        <v>3836.56</v>
      </c>
      <c r="U191" s="2395">
        <f t="shared" si="15"/>
        <v>-18522046.262999933</v>
      </c>
      <c r="V191" s="2397" t="str">
        <f t="shared" si="14"/>
        <v>1-INGRESO</v>
      </c>
      <c r="W191" t="str">
        <f t="shared" si="17"/>
        <v>FX1</v>
      </c>
      <c r="Y191">
        <v>3748.15</v>
      </c>
      <c r="Z191" s="2401">
        <f t="shared" si="18"/>
        <v>90211958.392499894</v>
      </c>
    </row>
    <row r="192" spans="3:26" hidden="1">
      <c r="C192">
        <v>2022</v>
      </c>
      <c r="D192" t="s">
        <v>1661</v>
      </c>
      <c r="F192">
        <v>1202049905</v>
      </c>
      <c r="G192" t="s">
        <v>1557</v>
      </c>
      <c r="H192" t="s">
        <v>1672</v>
      </c>
      <c r="I192" t="s">
        <v>1713</v>
      </c>
      <c r="J192" t="s">
        <v>64</v>
      </c>
      <c r="K192">
        <v>7900002619</v>
      </c>
      <c r="L192" t="s">
        <v>1672</v>
      </c>
      <c r="M192" s="2404">
        <v>-1800000</v>
      </c>
      <c r="N192">
        <v>3828</v>
      </c>
      <c r="O192">
        <v>50</v>
      </c>
      <c r="P192" s="1633">
        <v>-6890400000</v>
      </c>
      <c r="Q192" t="s">
        <v>106</v>
      </c>
      <c r="R192" s="2392">
        <v>44636</v>
      </c>
      <c r="S192" s="2393">
        <f t="shared" si="13"/>
        <v>3828</v>
      </c>
      <c r="T192" s="2394">
        <f>IF(OR(J192="COP",J192="EURO",J192="GBP"),0,IF(J192="USD",VLOOKUP(R192,'TRM BanRep'!$A:$G,7,0)))</f>
        <v>3836.56</v>
      </c>
      <c r="U192" s="2395">
        <f t="shared" si="15"/>
        <v>-15407999.999999901</v>
      </c>
      <c r="V192" s="2397" t="str">
        <f t="shared" si="14"/>
        <v>1-INGRESO</v>
      </c>
      <c r="W192" t="str">
        <f t="shared" si="17"/>
        <v>FX1</v>
      </c>
      <c r="Y192">
        <v>3748.15</v>
      </c>
      <c r="Z192" s="2401">
        <f t="shared" si="18"/>
        <v>143729999.99999985</v>
      </c>
    </row>
    <row r="193" spans="3:26" hidden="1">
      <c r="C193">
        <v>2022</v>
      </c>
      <c r="D193" t="s">
        <v>1661</v>
      </c>
      <c r="F193">
        <v>1202049905</v>
      </c>
      <c r="G193" t="s">
        <v>1557</v>
      </c>
      <c r="H193" t="s">
        <v>1672</v>
      </c>
      <c r="I193" t="s">
        <v>1714</v>
      </c>
      <c r="J193" t="s">
        <v>64</v>
      </c>
      <c r="K193">
        <v>7900002627</v>
      </c>
      <c r="L193" t="s">
        <v>1672</v>
      </c>
      <c r="M193" s="2404">
        <v>-1400000</v>
      </c>
      <c r="N193">
        <v>3825</v>
      </c>
      <c r="O193">
        <v>50</v>
      </c>
      <c r="P193" s="1633">
        <v>-5355000000</v>
      </c>
      <c r="Q193" t="s">
        <v>106</v>
      </c>
      <c r="R193" s="2392">
        <v>44636</v>
      </c>
      <c r="S193" s="2393">
        <f t="shared" si="13"/>
        <v>3825</v>
      </c>
      <c r="T193" s="2394">
        <f>IF(OR(J193="COP",J193="EURO",J193="GBP"),0,IF(J193="USD",VLOOKUP(R193,'TRM BanRep'!$A:$G,7,0)))</f>
        <v>3836.56</v>
      </c>
      <c r="U193" s="2395">
        <f t="shared" si="15"/>
        <v>-16183999.999999924</v>
      </c>
      <c r="V193" s="2397" t="str">
        <f t="shared" si="14"/>
        <v>1-INGRESO</v>
      </c>
      <c r="W193" t="str">
        <f t="shared" si="17"/>
        <v>FX1</v>
      </c>
      <c r="Y193">
        <v>3748.15</v>
      </c>
      <c r="Z193" s="2401">
        <f t="shared" si="18"/>
        <v>107589999.99999987</v>
      </c>
    </row>
    <row r="194" spans="3:26" hidden="1">
      <c r="C194">
        <v>2022</v>
      </c>
      <c r="D194" t="s">
        <v>1661</v>
      </c>
      <c r="F194">
        <v>1202049905</v>
      </c>
      <c r="G194" t="s">
        <v>1557</v>
      </c>
      <c r="H194" t="s">
        <v>1672</v>
      </c>
      <c r="I194" t="s">
        <v>1715</v>
      </c>
      <c r="J194" t="s">
        <v>64</v>
      </c>
      <c r="K194">
        <v>7900002635</v>
      </c>
      <c r="L194" t="s">
        <v>1672</v>
      </c>
      <c r="M194" s="2404">
        <v>-6000000</v>
      </c>
      <c r="N194">
        <v>3829.2</v>
      </c>
      <c r="O194">
        <v>50</v>
      </c>
      <c r="P194" s="1633">
        <v>-22975200000</v>
      </c>
      <c r="Q194" t="s">
        <v>106</v>
      </c>
      <c r="R194" s="2392">
        <v>44636</v>
      </c>
      <c r="S194" s="2393">
        <f t="shared" si="13"/>
        <v>3829.2</v>
      </c>
      <c r="T194" s="2394">
        <f>IF(OR(J194="COP",J194="EURO",J194="GBP"),0,IF(J194="USD",VLOOKUP(R194,'TRM BanRep'!$A:$G,7,0)))</f>
        <v>3836.56</v>
      </c>
      <c r="U194" s="2395">
        <f t="shared" si="15"/>
        <v>-44160000.000000767</v>
      </c>
      <c r="V194" s="2397" t="str">
        <f t="shared" si="14"/>
        <v>1-INGRESO</v>
      </c>
      <c r="W194" t="str">
        <f t="shared" si="17"/>
        <v>FX1</v>
      </c>
      <c r="Y194">
        <v>3748.15</v>
      </c>
      <c r="Z194" s="2401">
        <f t="shared" si="18"/>
        <v>486299999.99999839</v>
      </c>
    </row>
    <row r="195" spans="3:26" hidden="1">
      <c r="C195">
        <v>2022</v>
      </c>
      <c r="D195" t="s">
        <v>1661</v>
      </c>
      <c r="F195">
        <v>1202049905</v>
      </c>
      <c r="G195" t="s">
        <v>1557</v>
      </c>
      <c r="H195" t="s">
        <v>1672</v>
      </c>
      <c r="I195" t="s">
        <v>1716</v>
      </c>
      <c r="J195" t="s">
        <v>64</v>
      </c>
      <c r="K195">
        <v>7900002643</v>
      </c>
      <c r="L195" t="s">
        <v>1672</v>
      </c>
      <c r="M195" s="2404">
        <v>-1000000</v>
      </c>
      <c r="N195">
        <v>3827.6</v>
      </c>
      <c r="O195">
        <v>50</v>
      </c>
      <c r="P195" s="1633">
        <v>-3827600000</v>
      </c>
      <c r="Q195" t="s">
        <v>106</v>
      </c>
      <c r="R195" s="2392">
        <v>44636</v>
      </c>
      <c r="S195" s="2393">
        <f t="shared" si="13"/>
        <v>3827.6</v>
      </c>
      <c r="T195" s="2394">
        <f>IF(OR(J195="COP",J195="EURO",J195="GBP"),0,IF(J195="USD",VLOOKUP(R195,'TRM BanRep'!$A:$G,7,0)))</f>
        <v>3836.56</v>
      </c>
      <c r="U195" s="2395">
        <f t="shared" si="15"/>
        <v>-8960000.0000000373</v>
      </c>
      <c r="V195" s="2397" t="str">
        <f t="shared" si="14"/>
        <v>1-INGRESO</v>
      </c>
      <c r="W195" t="str">
        <f t="shared" si="17"/>
        <v>FX1</v>
      </c>
      <c r="Y195">
        <v>3748.15</v>
      </c>
      <c r="Z195" s="2401">
        <f t="shared" si="18"/>
        <v>79449999.999999821</v>
      </c>
    </row>
    <row r="196" spans="3:26" hidden="1">
      <c r="C196">
        <v>2022</v>
      </c>
      <c r="D196" t="s">
        <v>1661</v>
      </c>
      <c r="F196">
        <v>1202049905</v>
      </c>
      <c r="G196" t="s">
        <v>1557</v>
      </c>
      <c r="H196" t="s">
        <v>1664</v>
      </c>
      <c r="I196" t="s">
        <v>1717</v>
      </c>
      <c r="J196" t="s">
        <v>64</v>
      </c>
      <c r="K196">
        <v>7900002675</v>
      </c>
      <c r="L196" t="s">
        <v>1664</v>
      </c>
      <c r="M196" s="2402">
        <v>-15000000</v>
      </c>
      <c r="N196">
        <v>3834.5</v>
      </c>
      <c r="O196">
        <v>50</v>
      </c>
      <c r="P196" s="1633">
        <v>-57517500000</v>
      </c>
      <c r="Q196" t="s">
        <v>106</v>
      </c>
      <c r="R196" s="2392">
        <v>44631</v>
      </c>
      <c r="S196" s="2393">
        <f t="shared" si="13"/>
        <v>3834.5</v>
      </c>
      <c r="T196" s="2394">
        <f>IF(OR(J196="COP",J196="EURO",J196="GBP"),0,IF(J196="USD",VLOOKUP(R196,'TRM BanRep'!$A:$G,7,0)))</f>
        <v>3786</v>
      </c>
      <c r="U196" s="2395">
        <f t="shared" si="15"/>
        <v>727500000</v>
      </c>
      <c r="V196" s="2396" t="str">
        <f t="shared" si="14"/>
        <v>2-GASTO</v>
      </c>
      <c r="W196" t="str">
        <f t="shared" si="17"/>
        <v>FX1</v>
      </c>
      <c r="Y196">
        <v>3748.15</v>
      </c>
      <c r="Z196" s="2401">
        <f t="shared" si="18"/>
        <v>1295249999.9999986</v>
      </c>
    </row>
    <row r="197" spans="3:26" hidden="1">
      <c r="C197">
        <v>2022</v>
      </c>
      <c r="D197" t="s">
        <v>1661</v>
      </c>
      <c r="F197">
        <v>1202049905</v>
      </c>
      <c r="G197" t="s">
        <v>1557</v>
      </c>
      <c r="H197" t="s">
        <v>1664</v>
      </c>
      <c r="I197" t="s">
        <v>1718</v>
      </c>
      <c r="J197" t="s">
        <v>64</v>
      </c>
      <c r="K197">
        <v>7900002683</v>
      </c>
      <c r="L197" t="s">
        <v>1664</v>
      </c>
      <c r="M197" s="2402">
        <v>-15000000</v>
      </c>
      <c r="N197">
        <v>3832.5</v>
      </c>
      <c r="O197">
        <v>50</v>
      </c>
      <c r="P197" s="1633">
        <v>-57487500000</v>
      </c>
      <c r="Q197" t="s">
        <v>106</v>
      </c>
      <c r="R197" s="2392">
        <v>44631</v>
      </c>
      <c r="S197" s="2393">
        <f t="shared" si="13"/>
        <v>3832.5</v>
      </c>
      <c r="T197" s="2394">
        <f>IF(OR(J197="COP",J197="EURO",J197="GBP"),0,IF(J197="USD",VLOOKUP(R197,'TRM BanRep'!$A:$G,7,0)))</f>
        <v>3786</v>
      </c>
      <c r="U197" s="2395">
        <f t="shared" si="15"/>
        <v>697500000</v>
      </c>
      <c r="V197" s="2396" t="str">
        <f t="shared" si="14"/>
        <v>2-GASTO</v>
      </c>
      <c r="W197" t="str">
        <f t="shared" si="17"/>
        <v>FX1</v>
      </c>
      <c r="Y197">
        <v>3748.15</v>
      </c>
      <c r="Z197" s="2401">
        <f t="shared" si="18"/>
        <v>1265249999.9999986</v>
      </c>
    </row>
    <row r="198" spans="3:26" hidden="1">
      <c r="C198">
        <v>2022</v>
      </c>
      <c r="D198" t="s">
        <v>1661</v>
      </c>
      <c r="F198">
        <v>1202049905</v>
      </c>
      <c r="G198" t="s">
        <v>1557</v>
      </c>
      <c r="H198" t="s">
        <v>1664</v>
      </c>
      <c r="I198" t="s">
        <v>1719</v>
      </c>
      <c r="J198" t="s">
        <v>64</v>
      </c>
      <c r="K198">
        <v>7900002691</v>
      </c>
      <c r="L198" t="s">
        <v>1664</v>
      </c>
      <c r="M198" s="2402">
        <v>-5000000</v>
      </c>
      <c r="N198">
        <v>3810</v>
      </c>
      <c r="O198">
        <v>50</v>
      </c>
      <c r="P198" s="1633">
        <v>-19050000000</v>
      </c>
      <c r="Q198" t="s">
        <v>106</v>
      </c>
      <c r="R198" s="2392">
        <v>44631</v>
      </c>
      <c r="S198" s="2393">
        <f t="shared" ref="S198:S261" si="19">+ROUND(P198/M198,2)</f>
        <v>3810</v>
      </c>
      <c r="T198" s="2394">
        <f>IF(OR(J198="COP",J198="EURO",J198="GBP"),0,IF(J198="USD",VLOOKUP(R198,'TRM BanRep'!$A:$G,7,0)))</f>
        <v>3786</v>
      </c>
      <c r="U198" s="2395">
        <f t="shared" si="15"/>
        <v>120000000</v>
      </c>
      <c r="V198" s="2396" t="str">
        <f t="shared" si="14"/>
        <v>2-GASTO</v>
      </c>
      <c r="W198" t="str">
        <f t="shared" si="17"/>
        <v>FX1</v>
      </c>
      <c r="Y198">
        <v>3748.15</v>
      </c>
      <c r="Z198" s="2401">
        <f t="shared" si="18"/>
        <v>309249999.99999952</v>
      </c>
    </row>
    <row r="199" spans="3:26" hidden="1">
      <c r="C199">
        <v>2022</v>
      </c>
      <c r="D199" t="s">
        <v>1661</v>
      </c>
      <c r="F199">
        <v>1202049905</v>
      </c>
      <c r="G199" t="s">
        <v>1557</v>
      </c>
      <c r="H199" t="s">
        <v>1668</v>
      </c>
      <c r="I199" t="s">
        <v>1720</v>
      </c>
      <c r="J199" t="s">
        <v>64</v>
      </c>
      <c r="K199">
        <v>7900002699</v>
      </c>
      <c r="L199" t="s">
        <v>1668</v>
      </c>
      <c r="M199" s="2403">
        <v>-10000000</v>
      </c>
      <c r="N199">
        <v>3788.8</v>
      </c>
      <c r="O199">
        <v>50</v>
      </c>
      <c r="P199" s="1633">
        <v>-37888000000</v>
      </c>
      <c r="Q199" t="s">
        <v>106</v>
      </c>
      <c r="R199" s="2392">
        <v>44634</v>
      </c>
      <c r="S199" s="2393">
        <f t="shared" si="19"/>
        <v>3788.8</v>
      </c>
      <c r="T199" s="2394">
        <f>IF(OR(J199="COP",J199="EURO",J199="GBP"),0,IF(J199="USD",VLOOKUP(R199,'TRM BanRep'!$A:$G,7,0)))</f>
        <v>3827.64</v>
      </c>
      <c r="U199" s="2395">
        <f t="shared" si="15"/>
        <v>-388399999.9999969</v>
      </c>
      <c r="V199" s="2397" t="str">
        <f t="shared" ref="V199:V262" si="20">IF(U199=0,"",IF(U199&gt;0,"2-GASTO","1-INGRESO"))</f>
        <v>1-INGRESO</v>
      </c>
      <c r="W199" t="str">
        <f t="shared" si="17"/>
        <v>FX1</v>
      </c>
      <c r="Y199">
        <v>3748.15</v>
      </c>
      <c r="Z199" s="2401">
        <f t="shared" si="18"/>
        <v>406500000.00000089</v>
      </c>
    </row>
    <row r="200" spans="3:26" hidden="1">
      <c r="C200">
        <v>2022</v>
      </c>
      <c r="D200" t="s">
        <v>1661</v>
      </c>
      <c r="F200">
        <v>1202049905</v>
      </c>
      <c r="G200" t="s">
        <v>1557</v>
      </c>
      <c r="H200" t="s">
        <v>1668</v>
      </c>
      <c r="I200" t="s">
        <v>1721</v>
      </c>
      <c r="J200" t="s">
        <v>64</v>
      </c>
      <c r="K200">
        <v>7900002707</v>
      </c>
      <c r="L200" t="s">
        <v>1668</v>
      </c>
      <c r="M200" s="2403">
        <v>-10000000</v>
      </c>
      <c r="N200">
        <v>3792.9</v>
      </c>
      <c r="O200">
        <v>50</v>
      </c>
      <c r="P200" s="1633">
        <v>-37929000000</v>
      </c>
      <c r="Q200" t="s">
        <v>106</v>
      </c>
      <c r="R200" s="2392">
        <v>44634</v>
      </c>
      <c r="S200" s="2393">
        <f t="shared" si="19"/>
        <v>3792.9</v>
      </c>
      <c r="T200" s="2394">
        <f>IF(OR(J200="COP",J200="EURO",J200="GBP"),0,IF(J200="USD",VLOOKUP(R200,'TRM BanRep'!$A:$G,7,0)))</f>
        <v>3827.64</v>
      </c>
      <c r="U200" s="2395">
        <f t="shared" si="15"/>
        <v>-347399999.99999779</v>
      </c>
      <c r="V200" s="2397" t="str">
        <f t="shared" si="20"/>
        <v>1-INGRESO</v>
      </c>
      <c r="W200" t="str">
        <f t="shared" si="17"/>
        <v>FX1</v>
      </c>
      <c r="Y200">
        <v>3748.15</v>
      </c>
      <c r="Z200" s="2401">
        <f t="shared" si="18"/>
        <v>447500000</v>
      </c>
    </row>
    <row r="201" spans="3:26" hidden="1">
      <c r="C201">
        <v>2022</v>
      </c>
      <c r="D201" t="s">
        <v>1661</v>
      </c>
      <c r="F201">
        <v>1202049905</v>
      </c>
      <c r="G201" t="s">
        <v>1557</v>
      </c>
      <c r="H201" t="s">
        <v>1668</v>
      </c>
      <c r="I201" t="s">
        <v>1722</v>
      </c>
      <c r="J201" t="s">
        <v>64</v>
      </c>
      <c r="K201">
        <v>7900002715</v>
      </c>
      <c r="L201" t="s">
        <v>1668</v>
      </c>
      <c r="M201" s="2403">
        <v>-10000000</v>
      </c>
      <c r="N201">
        <v>3808</v>
      </c>
      <c r="O201">
        <v>50</v>
      </c>
      <c r="P201" s="1633">
        <v>-38080000000</v>
      </c>
      <c r="Q201" t="s">
        <v>106</v>
      </c>
      <c r="R201" s="2392">
        <v>44634</v>
      </c>
      <c r="S201" s="2393">
        <f t="shared" si="19"/>
        <v>3808</v>
      </c>
      <c r="T201" s="2394">
        <f>IF(OR(J201="COP",J201="EURO",J201="GBP"),0,IF(J201="USD",VLOOKUP(R201,'TRM BanRep'!$A:$G,7,0)))</f>
        <v>3827.64</v>
      </c>
      <c r="U201" s="2395">
        <f t="shared" si="15"/>
        <v>-196399999.99999872</v>
      </c>
      <c r="V201" s="2397" t="str">
        <f t="shared" si="20"/>
        <v>1-INGRESO</v>
      </c>
      <c r="W201" t="str">
        <f t="shared" si="17"/>
        <v>FX1</v>
      </c>
      <c r="Y201">
        <v>3748.15</v>
      </c>
      <c r="Z201" s="2401">
        <f t="shared" si="18"/>
        <v>598499999.99999905</v>
      </c>
    </row>
    <row r="202" spans="3:26" hidden="1">
      <c r="C202">
        <v>2022</v>
      </c>
      <c r="D202" t="s">
        <v>1661</v>
      </c>
      <c r="F202">
        <v>1202049905</v>
      </c>
      <c r="G202" t="s">
        <v>1557</v>
      </c>
      <c r="H202" t="s">
        <v>1668</v>
      </c>
      <c r="I202" t="s">
        <v>1723</v>
      </c>
      <c r="J202" t="s">
        <v>64</v>
      </c>
      <c r="K202">
        <v>7900002723</v>
      </c>
      <c r="L202" t="s">
        <v>1668</v>
      </c>
      <c r="M202" s="2403">
        <v>-10000000</v>
      </c>
      <c r="N202">
        <v>3805</v>
      </c>
      <c r="O202">
        <v>50</v>
      </c>
      <c r="P202" s="1633">
        <v>-38050000000</v>
      </c>
      <c r="Q202" t="s">
        <v>106</v>
      </c>
      <c r="R202" s="2392">
        <v>44634</v>
      </c>
      <c r="S202" s="2393">
        <f t="shared" si="19"/>
        <v>3805</v>
      </c>
      <c r="T202" s="2394">
        <f>IF(OR(J202="COP",J202="EURO",J202="GBP"),0,IF(J202="USD",VLOOKUP(R202,'TRM BanRep'!$A:$G,7,0)))</f>
        <v>3827.64</v>
      </c>
      <c r="U202" s="2395">
        <f t="shared" si="15"/>
        <v>-226399999.99999872</v>
      </c>
      <c r="V202" s="2397" t="str">
        <f t="shared" si="20"/>
        <v>1-INGRESO</v>
      </c>
      <c r="W202" t="str">
        <f t="shared" si="17"/>
        <v>FX1</v>
      </c>
      <c r="Y202">
        <v>3748.15</v>
      </c>
      <c r="Z202" s="2401">
        <f t="shared" si="18"/>
        <v>568499999.99999905</v>
      </c>
    </row>
    <row r="203" spans="3:26" hidden="1">
      <c r="C203">
        <v>2022</v>
      </c>
      <c r="D203" t="s">
        <v>1661</v>
      </c>
      <c r="F203">
        <v>1202049905</v>
      </c>
      <c r="G203" t="s">
        <v>1557</v>
      </c>
      <c r="H203" t="s">
        <v>1668</v>
      </c>
      <c r="I203" t="s">
        <v>1724</v>
      </c>
      <c r="J203" t="s">
        <v>64</v>
      </c>
      <c r="K203">
        <v>7900002731</v>
      </c>
      <c r="L203" t="s">
        <v>1668</v>
      </c>
      <c r="M203" s="2403">
        <v>-10000000</v>
      </c>
      <c r="N203">
        <v>3808</v>
      </c>
      <c r="O203">
        <v>50</v>
      </c>
      <c r="P203" s="1633">
        <v>-38080000000</v>
      </c>
      <c r="Q203" t="s">
        <v>106</v>
      </c>
      <c r="R203" s="2392">
        <v>44634</v>
      </c>
      <c r="S203" s="2393">
        <f t="shared" si="19"/>
        <v>3808</v>
      </c>
      <c r="T203" s="2394">
        <f>IF(OR(J203="COP",J203="EURO",J203="GBP"),0,IF(J203="USD",VLOOKUP(R203,'TRM BanRep'!$A:$G,7,0)))</f>
        <v>3827.64</v>
      </c>
      <c r="U203" s="2395">
        <f t="shared" si="15"/>
        <v>-196399999.99999872</v>
      </c>
      <c r="V203" s="2397" t="str">
        <f t="shared" si="20"/>
        <v>1-INGRESO</v>
      </c>
      <c r="W203" t="str">
        <f t="shared" si="17"/>
        <v>FX1</v>
      </c>
      <c r="Y203">
        <v>3748.15</v>
      </c>
      <c r="Z203" s="2401">
        <f t="shared" si="18"/>
        <v>598499999.99999905</v>
      </c>
    </row>
    <row r="204" spans="3:26" hidden="1">
      <c r="C204">
        <v>2022</v>
      </c>
      <c r="D204" t="s">
        <v>1661</v>
      </c>
      <c r="F204">
        <v>1202049905</v>
      </c>
      <c r="G204" t="s">
        <v>1557</v>
      </c>
      <c r="H204" t="s">
        <v>1672</v>
      </c>
      <c r="I204" t="s">
        <v>1725</v>
      </c>
      <c r="J204" t="s">
        <v>64</v>
      </c>
      <c r="K204">
        <v>7900002739</v>
      </c>
      <c r="L204" t="s">
        <v>1672</v>
      </c>
      <c r="M204" s="2404">
        <v>-8471766.3499999996</v>
      </c>
      <c r="N204">
        <v>3820</v>
      </c>
      <c r="O204">
        <v>50</v>
      </c>
      <c r="P204" s="1633">
        <v>-32362147461</v>
      </c>
      <c r="Q204" t="s">
        <v>106</v>
      </c>
      <c r="R204" s="2392">
        <v>44636</v>
      </c>
      <c r="S204" s="2393">
        <f t="shared" si="19"/>
        <v>3820</v>
      </c>
      <c r="T204" s="2394">
        <f>IF(OR(J204="COP",J204="EURO",J204="GBP"),0,IF(J204="USD",VLOOKUP(R204,'TRM BanRep'!$A:$G,7,0)))</f>
        <v>3836.56</v>
      </c>
      <c r="U204" s="2395">
        <f t="shared" si="15"/>
        <v>-140292450.75599954</v>
      </c>
      <c r="V204" s="2397" t="str">
        <f t="shared" si="20"/>
        <v>1-INGRESO</v>
      </c>
      <c r="W204" t="str">
        <f t="shared" si="17"/>
        <v>FX1</v>
      </c>
      <c r="Y204">
        <v>3748.15</v>
      </c>
      <c r="Z204" s="2401">
        <f t="shared" si="18"/>
        <v>608696412.24749923</v>
      </c>
    </row>
    <row r="205" spans="3:26" hidden="1">
      <c r="C205">
        <v>2022</v>
      </c>
      <c r="D205" t="s">
        <v>1661</v>
      </c>
      <c r="F205">
        <v>1202049905</v>
      </c>
      <c r="G205" t="s">
        <v>1557</v>
      </c>
      <c r="H205" t="s">
        <v>1672</v>
      </c>
      <c r="I205" t="s">
        <v>1726</v>
      </c>
      <c r="J205" t="s">
        <v>64</v>
      </c>
      <c r="K205">
        <v>7900002747</v>
      </c>
      <c r="L205" t="s">
        <v>1672</v>
      </c>
      <c r="M205" s="2404">
        <v>-1528233.65</v>
      </c>
      <c r="N205">
        <v>3820</v>
      </c>
      <c r="O205">
        <v>50</v>
      </c>
      <c r="P205" s="1633">
        <v>-5837852539</v>
      </c>
      <c r="Q205" t="s">
        <v>106</v>
      </c>
      <c r="R205" s="2392">
        <v>44636</v>
      </c>
      <c r="S205" s="2393">
        <f t="shared" si="19"/>
        <v>3820</v>
      </c>
      <c r="T205" s="2394">
        <f>IF(OR(J205="COP",J205="EURO",J205="GBP"),0,IF(J205="USD",VLOOKUP(R205,'TRM BanRep'!$A:$G,7,0)))</f>
        <v>3836.56</v>
      </c>
      <c r="U205" s="2395">
        <f t="shared" si="15"/>
        <v>-25307549.243999913</v>
      </c>
      <c r="V205" s="2397" t="str">
        <f t="shared" si="20"/>
        <v>1-INGRESO</v>
      </c>
      <c r="W205" t="str">
        <f t="shared" si="17"/>
        <v>FX1</v>
      </c>
      <c r="Y205">
        <v>3748.15</v>
      </c>
      <c r="Z205" s="2401">
        <f t="shared" si="18"/>
        <v>109803587.75249985</v>
      </c>
    </row>
    <row r="206" spans="3:26" hidden="1">
      <c r="C206">
        <v>2022</v>
      </c>
      <c r="D206" t="s">
        <v>1661</v>
      </c>
      <c r="F206">
        <v>1202049905</v>
      </c>
      <c r="G206" t="s">
        <v>1557</v>
      </c>
      <c r="H206" t="s">
        <v>1672</v>
      </c>
      <c r="I206" t="s">
        <v>1727</v>
      </c>
      <c r="J206" t="s">
        <v>64</v>
      </c>
      <c r="K206">
        <v>7900002755</v>
      </c>
      <c r="L206" t="s">
        <v>1672</v>
      </c>
      <c r="M206" s="2404">
        <v>-1500000</v>
      </c>
      <c r="N206">
        <v>3821.2</v>
      </c>
      <c r="O206">
        <v>50</v>
      </c>
      <c r="P206" s="1633">
        <v>-5731800000</v>
      </c>
      <c r="Q206" t="s">
        <v>106</v>
      </c>
      <c r="R206" s="2392">
        <v>44636</v>
      </c>
      <c r="S206" s="2393">
        <f t="shared" si="19"/>
        <v>3821.2</v>
      </c>
      <c r="T206" s="2394">
        <f>IF(OR(J206="COP",J206="EURO",J206="GBP"),0,IF(J206="USD",VLOOKUP(R206,'TRM BanRep'!$A:$G,7,0)))</f>
        <v>3836.56</v>
      </c>
      <c r="U206" s="2395">
        <f t="shared" si="15"/>
        <v>-23040000.00000019</v>
      </c>
      <c r="V206" s="2397" t="str">
        <f t="shared" si="20"/>
        <v>1-INGRESO</v>
      </c>
      <c r="W206" t="str">
        <f t="shared" si="17"/>
        <v>FX1</v>
      </c>
      <c r="Y206">
        <v>3748.15</v>
      </c>
      <c r="Z206" s="2401">
        <f t="shared" si="18"/>
        <v>109574999.9999996</v>
      </c>
    </row>
    <row r="207" spans="3:26" hidden="1">
      <c r="C207">
        <v>2022</v>
      </c>
      <c r="D207" t="s">
        <v>1661</v>
      </c>
      <c r="F207">
        <v>1202049905</v>
      </c>
      <c r="G207" t="s">
        <v>1557</v>
      </c>
      <c r="H207" t="s">
        <v>1672</v>
      </c>
      <c r="I207" t="s">
        <v>1728</v>
      </c>
      <c r="J207" t="s">
        <v>64</v>
      </c>
      <c r="K207">
        <v>7900002785</v>
      </c>
      <c r="L207" t="s">
        <v>1672</v>
      </c>
      <c r="M207" s="2404">
        <v>-505037.29</v>
      </c>
      <c r="N207">
        <v>3821.5</v>
      </c>
      <c r="O207">
        <v>50</v>
      </c>
      <c r="P207" s="1633">
        <v>-1930000004</v>
      </c>
      <c r="Q207" t="s">
        <v>106</v>
      </c>
      <c r="R207" s="2392">
        <v>44636</v>
      </c>
      <c r="S207" s="2393">
        <f t="shared" si="19"/>
        <v>3821.5</v>
      </c>
      <c r="T207" s="2394">
        <f>IF(OR(J207="COP",J207="EURO",J207="GBP"),0,IF(J207="USD",VLOOKUP(R207,'TRM BanRep'!$A:$G,7,0)))</f>
        <v>3836.56</v>
      </c>
      <c r="U207" s="2395">
        <f t="shared" si="15"/>
        <v>-7605861.5873999717</v>
      </c>
      <c r="V207" s="2397" t="str">
        <f t="shared" si="20"/>
        <v>1-INGRESO</v>
      </c>
      <c r="W207" t="str">
        <f t="shared" si="17"/>
        <v>FX1</v>
      </c>
      <c r="Y207">
        <v>3748.15</v>
      </c>
      <c r="Z207" s="2401">
        <f t="shared" si="18"/>
        <v>37044485.22149995</v>
      </c>
    </row>
    <row r="208" spans="3:26" hidden="1">
      <c r="C208">
        <v>2022</v>
      </c>
      <c r="D208" t="s">
        <v>1661</v>
      </c>
      <c r="F208">
        <v>1202049905</v>
      </c>
      <c r="G208" t="s">
        <v>1557</v>
      </c>
      <c r="H208" t="s">
        <v>1691</v>
      </c>
      <c r="I208" t="s">
        <v>1729</v>
      </c>
      <c r="J208" t="s">
        <v>64</v>
      </c>
      <c r="K208">
        <v>7900002793</v>
      </c>
      <c r="L208" t="s">
        <v>1691</v>
      </c>
      <c r="M208" s="1633">
        <v>-1800000</v>
      </c>
      <c r="N208">
        <v>3791.5</v>
      </c>
      <c r="O208">
        <v>50</v>
      </c>
      <c r="P208" s="1633">
        <v>-6824700000</v>
      </c>
      <c r="Q208" t="s">
        <v>106</v>
      </c>
      <c r="R208" s="2392">
        <v>44644</v>
      </c>
      <c r="S208" s="2393">
        <f t="shared" si="19"/>
        <v>3791.5</v>
      </c>
      <c r="T208" s="2394">
        <f>IF(OR(J208="COP",J208="EURO",J208="GBP"),0,IF(J208="USD",VLOOKUP(R208,'TRM BanRep'!$A:$G,7,0)))</f>
        <v>3756.64</v>
      </c>
      <c r="U208" s="2398">
        <f t="shared" ref="U208:U271" si="21">IF(F208=2422999997,-IF(T208=0,0,(T208-S208)*M208),IF(T208=0,0,(T208-S208)*M208))</f>
        <v>62748000.000000231</v>
      </c>
      <c r="V208" s="2396" t="str">
        <f t="shared" si="20"/>
        <v>2-GASTO</v>
      </c>
      <c r="W208" t="str">
        <f t="shared" si="17"/>
        <v>FX1</v>
      </c>
      <c r="X208">
        <v>5803010300</v>
      </c>
    </row>
    <row r="209" spans="3:26" hidden="1">
      <c r="C209">
        <v>2022</v>
      </c>
      <c r="D209" t="s">
        <v>1661</v>
      </c>
      <c r="F209">
        <v>1202049905</v>
      </c>
      <c r="G209" t="s">
        <v>1557</v>
      </c>
      <c r="H209" t="s">
        <v>1691</v>
      </c>
      <c r="I209" t="s">
        <v>1730</v>
      </c>
      <c r="J209" t="s">
        <v>64</v>
      </c>
      <c r="K209">
        <v>7900002801</v>
      </c>
      <c r="L209" t="s">
        <v>1691</v>
      </c>
      <c r="M209" s="1633">
        <v>-203572</v>
      </c>
      <c r="N209">
        <v>3756.64</v>
      </c>
      <c r="O209">
        <v>50</v>
      </c>
      <c r="P209" s="1633">
        <v>-764746718</v>
      </c>
      <c r="Q209" t="s">
        <v>106</v>
      </c>
      <c r="R209" s="2392">
        <v>44644</v>
      </c>
      <c r="S209" s="2393">
        <f t="shared" si="19"/>
        <v>3756.64</v>
      </c>
      <c r="T209" s="2394">
        <f>IF(OR(J209="COP",J209="EURO",J209="GBP"),0,IF(J209="USD",VLOOKUP(R209,'TRM BanRep'!$A:$G,7,0)))</f>
        <v>3756.64</v>
      </c>
      <c r="U209" s="2395">
        <f t="shared" si="21"/>
        <v>0</v>
      </c>
      <c r="V209" s="2395" t="str">
        <f t="shared" si="20"/>
        <v/>
      </c>
      <c r="W209" t="str">
        <f t="shared" si="17"/>
        <v>FX1</v>
      </c>
      <c r="Z209" s="2401"/>
    </row>
    <row r="210" spans="3:26" hidden="1">
      <c r="C210">
        <v>2022</v>
      </c>
      <c r="D210" t="s">
        <v>1661</v>
      </c>
      <c r="F210">
        <v>1202049905</v>
      </c>
      <c r="G210" t="s">
        <v>1557</v>
      </c>
      <c r="H210" t="s">
        <v>1694</v>
      </c>
      <c r="I210" t="s">
        <v>1731</v>
      </c>
      <c r="J210" t="s">
        <v>64</v>
      </c>
      <c r="K210">
        <v>7900002829</v>
      </c>
      <c r="L210" t="s">
        <v>1694</v>
      </c>
      <c r="M210" s="1633">
        <v>585884.64</v>
      </c>
      <c r="N210">
        <v>3771.7699400000001</v>
      </c>
      <c r="O210">
        <v>40</v>
      </c>
      <c r="P210" s="1633">
        <v>2209822074</v>
      </c>
      <c r="Q210" t="s">
        <v>106</v>
      </c>
      <c r="R210" s="2392">
        <v>44627</v>
      </c>
      <c r="S210" s="2393">
        <f t="shared" si="19"/>
        <v>3771.77</v>
      </c>
      <c r="T210" s="2394">
        <f>IF(OR(J210="COP",J210="EURO",J210="GBP"),0,IF(J210="USD",VLOOKUP(R210,'TRM BanRep'!$A:$G,7,0)))</f>
        <v>3806.11</v>
      </c>
      <c r="U210" s="2399">
        <f t="shared" si="21"/>
        <v>20119278.537600085</v>
      </c>
      <c r="V210" s="2396" t="str">
        <f t="shared" si="20"/>
        <v>2-GASTO</v>
      </c>
      <c r="W210" t="str">
        <f t="shared" si="17"/>
        <v>FX2</v>
      </c>
      <c r="X210">
        <v>5803451110</v>
      </c>
    </row>
    <row r="211" spans="3:26" hidden="1">
      <c r="C211">
        <v>2022</v>
      </c>
      <c r="D211" t="s">
        <v>1661</v>
      </c>
      <c r="F211">
        <v>1202049905</v>
      </c>
      <c r="G211" t="s">
        <v>1557</v>
      </c>
      <c r="H211" t="s">
        <v>1696</v>
      </c>
      <c r="I211" t="s">
        <v>1732</v>
      </c>
      <c r="J211" t="s">
        <v>64</v>
      </c>
      <c r="K211">
        <v>7900002837</v>
      </c>
      <c r="L211" t="s">
        <v>1696</v>
      </c>
      <c r="M211" s="1633">
        <v>2347.5</v>
      </c>
      <c r="N211">
        <v>3635.1804000000002</v>
      </c>
      <c r="O211">
        <v>40</v>
      </c>
      <c r="P211" s="1633">
        <v>8533586</v>
      </c>
      <c r="Q211" t="s">
        <v>106</v>
      </c>
      <c r="R211" s="2392">
        <v>44649</v>
      </c>
      <c r="S211" s="2393">
        <f t="shared" si="19"/>
        <v>3635.18</v>
      </c>
      <c r="T211" s="2394">
        <f>IF(OR(J211="COP",J211="EURO",J211="GBP"),0,IF(J211="USD",VLOOKUP(R211,'TRM BanRep'!$A:$G,7,0)))</f>
        <v>3785.7</v>
      </c>
      <c r="U211" s="2398">
        <f t="shared" si="21"/>
        <v>353345.69999999995</v>
      </c>
      <c r="V211" s="2396" t="str">
        <f t="shared" si="20"/>
        <v>2-GASTO</v>
      </c>
      <c r="W211" t="str">
        <f t="shared" si="17"/>
        <v>FX2</v>
      </c>
      <c r="X211">
        <v>5803010300</v>
      </c>
    </row>
    <row r="212" spans="3:26" hidden="1">
      <c r="C212">
        <v>2022</v>
      </c>
      <c r="D212" t="s">
        <v>1661</v>
      </c>
      <c r="F212">
        <v>1202049905</v>
      </c>
      <c r="G212" t="s">
        <v>1557</v>
      </c>
      <c r="H212" t="s">
        <v>1696</v>
      </c>
      <c r="I212" t="s">
        <v>1733</v>
      </c>
      <c r="J212" t="s">
        <v>64</v>
      </c>
      <c r="K212">
        <v>7900002844</v>
      </c>
      <c r="L212" t="s">
        <v>1696</v>
      </c>
      <c r="M212" s="1633">
        <v>-1013500</v>
      </c>
      <c r="N212">
        <v>3785.7</v>
      </c>
      <c r="O212">
        <v>50</v>
      </c>
      <c r="P212" s="1633">
        <v>-3836806950</v>
      </c>
      <c r="Q212" t="s">
        <v>106</v>
      </c>
      <c r="R212" s="2392">
        <v>44649</v>
      </c>
      <c r="S212" s="2393">
        <f t="shared" si="19"/>
        <v>3785.7</v>
      </c>
      <c r="T212" s="2394">
        <f>IF(OR(J212="COP",J212="EURO",J212="GBP"),0,IF(J212="USD",VLOOKUP(R212,'TRM BanRep'!$A:$G,7,0)))</f>
        <v>3785.7</v>
      </c>
      <c r="U212" s="2395">
        <f t="shared" si="21"/>
        <v>0</v>
      </c>
      <c r="V212" s="2395" t="str">
        <f t="shared" si="20"/>
        <v/>
      </c>
      <c r="W212" t="str">
        <f t="shared" si="17"/>
        <v>FX1</v>
      </c>
      <c r="Z212" s="2401"/>
    </row>
    <row r="213" spans="3:26" hidden="1">
      <c r="C213">
        <v>2022</v>
      </c>
      <c r="D213" t="s">
        <v>1661</v>
      </c>
      <c r="F213">
        <v>1202049905</v>
      </c>
      <c r="G213" t="s">
        <v>1557</v>
      </c>
      <c r="H213" t="s">
        <v>1698</v>
      </c>
      <c r="I213" t="s">
        <v>1734</v>
      </c>
      <c r="J213" t="s">
        <v>64</v>
      </c>
      <c r="K213">
        <v>7900003195</v>
      </c>
      <c r="L213" t="s">
        <v>1698</v>
      </c>
      <c r="M213" s="1633">
        <v>1747556.97</v>
      </c>
      <c r="N213">
        <v>3798.9</v>
      </c>
      <c r="O213">
        <v>40</v>
      </c>
      <c r="P213" s="1633">
        <v>6638794173</v>
      </c>
      <c r="Q213" t="s">
        <v>106</v>
      </c>
      <c r="R213" s="2392">
        <v>44648</v>
      </c>
      <c r="S213" s="2393">
        <f t="shared" si="19"/>
        <v>3798.9</v>
      </c>
      <c r="T213" s="2394">
        <f>IF(OR(J213="COP",J213="EURO",J213="GBP"),0,IF(J213="USD",VLOOKUP(R213,'TRM BanRep'!$A:$G,7,0)))</f>
        <v>3785.66</v>
      </c>
      <c r="U213" s="2395">
        <f t="shared" si="21"/>
        <v>-23137654.282800414</v>
      </c>
      <c r="V213" s="2397" t="str">
        <f t="shared" si="20"/>
        <v>1-INGRESO</v>
      </c>
      <c r="W213" t="str">
        <f t="shared" si="17"/>
        <v>FX2</v>
      </c>
      <c r="Z213" s="2401"/>
    </row>
    <row r="214" spans="3:26" hidden="1">
      <c r="C214">
        <v>2022</v>
      </c>
      <c r="D214" t="s">
        <v>1661</v>
      </c>
      <c r="F214">
        <v>1202049905</v>
      </c>
      <c r="G214" t="s">
        <v>1557</v>
      </c>
      <c r="H214" t="s">
        <v>1698</v>
      </c>
      <c r="I214" t="s">
        <v>1735</v>
      </c>
      <c r="J214" t="s">
        <v>64</v>
      </c>
      <c r="K214">
        <v>7900003203</v>
      </c>
      <c r="L214" t="s">
        <v>1698</v>
      </c>
      <c r="M214" s="1633">
        <v>100077.6</v>
      </c>
      <c r="N214">
        <v>3785.66</v>
      </c>
      <c r="O214">
        <v>40</v>
      </c>
      <c r="P214" s="1633">
        <v>378859767</v>
      </c>
      <c r="Q214" t="s">
        <v>106</v>
      </c>
      <c r="R214" s="2392">
        <v>44648</v>
      </c>
      <c r="S214" s="2393">
        <f t="shared" si="19"/>
        <v>3785.66</v>
      </c>
      <c r="T214" s="2394">
        <f>IF(OR(J214="COP",J214="EURO",J214="GBP"),0,IF(J214="USD",VLOOKUP(R214,'TRM BanRep'!$A:$G,7,0)))</f>
        <v>3785.66</v>
      </c>
      <c r="U214" s="2395">
        <f t="shared" si="21"/>
        <v>0</v>
      </c>
      <c r="V214" s="2395" t="str">
        <f t="shared" si="20"/>
        <v/>
      </c>
      <c r="W214" t="str">
        <f t="shared" si="17"/>
        <v>FX2</v>
      </c>
      <c r="Z214" s="2401"/>
    </row>
    <row r="215" spans="3:26" hidden="1">
      <c r="C215">
        <v>2022</v>
      </c>
      <c r="D215" t="s">
        <v>1661</v>
      </c>
      <c r="F215">
        <v>1202049905</v>
      </c>
      <c r="G215" t="s">
        <v>1557</v>
      </c>
      <c r="H215" t="s">
        <v>1701</v>
      </c>
      <c r="I215" t="s">
        <v>1736</v>
      </c>
      <c r="J215" t="s">
        <v>64</v>
      </c>
      <c r="K215">
        <v>7900003489</v>
      </c>
      <c r="L215" t="s">
        <v>1701</v>
      </c>
      <c r="M215" s="1633">
        <v>8432598.5600000005</v>
      </c>
      <c r="N215">
        <v>3785.7</v>
      </c>
      <c r="O215">
        <v>40</v>
      </c>
      <c r="P215" s="1633">
        <v>31923288362</v>
      </c>
      <c r="Q215" t="s">
        <v>106</v>
      </c>
      <c r="R215" s="2392">
        <v>44651</v>
      </c>
      <c r="S215" s="2393">
        <f t="shared" si="19"/>
        <v>3785.7</v>
      </c>
      <c r="T215" s="2394">
        <f>IF(OR(J215="COP",J215="EURO",J215="GBP"),0,IF(J215="USD",VLOOKUP(R215,'TRM BanRep'!$A:$G,7,0)))</f>
        <v>3748.15</v>
      </c>
      <c r="U215" s="2395">
        <f t="shared" si="21"/>
        <v>-316644075.92799771</v>
      </c>
      <c r="V215" s="2397" t="str">
        <f t="shared" si="20"/>
        <v>1-INGRESO</v>
      </c>
      <c r="W215" t="str">
        <f t="shared" si="17"/>
        <v>FX2</v>
      </c>
      <c r="Z215" s="2401"/>
    </row>
    <row r="216" spans="3:26" hidden="1">
      <c r="C216">
        <v>2022</v>
      </c>
      <c r="D216" t="s">
        <v>1661</v>
      </c>
      <c r="F216">
        <v>2422999997</v>
      </c>
      <c r="G216" t="s">
        <v>1575</v>
      </c>
      <c r="H216" t="s">
        <v>1694</v>
      </c>
      <c r="I216" t="s">
        <v>1737</v>
      </c>
      <c r="J216" t="s">
        <v>106</v>
      </c>
      <c r="K216">
        <v>7900002448</v>
      </c>
      <c r="L216" t="s">
        <v>1694</v>
      </c>
      <c r="M216" s="1633">
        <v>-1581504957</v>
      </c>
      <c r="N216">
        <v>1</v>
      </c>
      <c r="O216">
        <v>50</v>
      </c>
      <c r="P216" s="1633">
        <v>-1581504957</v>
      </c>
      <c r="Q216" t="s">
        <v>106</v>
      </c>
      <c r="R216" s="2392">
        <v>44627</v>
      </c>
      <c r="S216" s="2393">
        <f t="shared" si="19"/>
        <v>1</v>
      </c>
      <c r="T216" s="2394">
        <f>IF(OR(J216="COP",J216="EURO",J216="GBP"),0,IF(J216="USD",VLOOKUP(R216,'TRM BanRep'!$A:$G,7,0)))</f>
        <v>0</v>
      </c>
      <c r="U216" s="2395">
        <f t="shared" si="21"/>
        <v>0</v>
      </c>
      <c r="V216" s="2395" t="str">
        <f t="shared" si="20"/>
        <v/>
      </c>
    </row>
    <row r="217" spans="3:26" hidden="1">
      <c r="C217">
        <v>2022</v>
      </c>
      <c r="D217" t="s">
        <v>1661</v>
      </c>
      <c r="F217">
        <v>2422999997</v>
      </c>
      <c r="G217" t="s">
        <v>1575</v>
      </c>
      <c r="H217" t="s">
        <v>1694</v>
      </c>
      <c r="I217" t="s">
        <v>1738</v>
      </c>
      <c r="J217" t="s">
        <v>106</v>
      </c>
      <c r="K217">
        <v>7900002449</v>
      </c>
      <c r="L217" t="s">
        <v>1694</v>
      </c>
      <c r="M217" s="1633">
        <v>1197035648</v>
      </c>
      <c r="N217">
        <v>1</v>
      </c>
      <c r="O217">
        <v>40</v>
      </c>
      <c r="P217" s="1633">
        <v>1197035648</v>
      </c>
      <c r="Q217" t="s">
        <v>106</v>
      </c>
      <c r="R217" s="2392">
        <v>44627</v>
      </c>
      <c r="S217" s="2393">
        <f t="shared" si="19"/>
        <v>1</v>
      </c>
      <c r="T217" s="2394">
        <f>IF(OR(J217="COP",J217="EURO",J217="GBP"),0,IF(J217="USD",VLOOKUP(R217,'TRM BanRep'!$A:$G,7,0)))</f>
        <v>0</v>
      </c>
      <c r="U217" s="2395">
        <f t="shared" si="21"/>
        <v>0</v>
      </c>
      <c r="V217" s="2395" t="str">
        <f t="shared" si="20"/>
        <v/>
      </c>
    </row>
    <row r="218" spans="3:26" hidden="1">
      <c r="C218">
        <v>2022</v>
      </c>
      <c r="D218" t="s">
        <v>1661</v>
      </c>
      <c r="F218">
        <v>2422999997</v>
      </c>
      <c r="G218" t="s">
        <v>1739</v>
      </c>
      <c r="H218" t="s">
        <v>1694</v>
      </c>
      <c r="I218" t="s">
        <v>1740</v>
      </c>
      <c r="J218" t="s">
        <v>106</v>
      </c>
      <c r="K218">
        <v>100012244</v>
      </c>
      <c r="L218" t="s">
        <v>1694</v>
      </c>
      <c r="M218" s="1633">
        <v>416528666</v>
      </c>
      <c r="N218">
        <v>1</v>
      </c>
      <c r="O218">
        <v>40</v>
      </c>
      <c r="P218" s="1633">
        <v>416528666</v>
      </c>
      <c r="Q218" t="s">
        <v>106</v>
      </c>
      <c r="R218" s="2392">
        <v>44627</v>
      </c>
      <c r="S218" s="2393">
        <f t="shared" si="19"/>
        <v>1</v>
      </c>
      <c r="T218" s="2394">
        <f>IF(OR(J218="COP",J218="EURO",J218="GBP"),0,IF(J218="USD",VLOOKUP(R218,'TRM BanRep'!$A:$G,7,0)))</f>
        <v>0</v>
      </c>
      <c r="U218" s="2395">
        <f t="shared" si="21"/>
        <v>0</v>
      </c>
      <c r="V218" s="2395" t="str">
        <f t="shared" si="20"/>
        <v/>
      </c>
    </row>
    <row r="219" spans="3:26" hidden="1">
      <c r="C219">
        <v>2022</v>
      </c>
      <c r="D219" t="s">
        <v>1661</v>
      </c>
      <c r="F219">
        <v>2422999997</v>
      </c>
      <c r="G219" t="s">
        <v>1602</v>
      </c>
      <c r="H219" t="s">
        <v>1662</v>
      </c>
      <c r="I219" t="s">
        <v>1741</v>
      </c>
      <c r="J219" t="s">
        <v>106</v>
      </c>
      <c r="K219">
        <v>7900002457</v>
      </c>
      <c r="L219" t="s">
        <v>1662</v>
      </c>
      <c r="M219" s="1633">
        <v>-4732320606</v>
      </c>
      <c r="N219">
        <v>1</v>
      </c>
      <c r="O219">
        <v>50</v>
      </c>
      <c r="P219" s="1633">
        <v>-4732320606</v>
      </c>
      <c r="Q219" t="s">
        <v>106</v>
      </c>
      <c r="R219" s="2392">
        <v>44623</v>
      </c>
      <c r="S219" s="2393">
        <f t="shared" si="19"/>
        <v>1</v>
      </c>
      <c r="T219" s="2394">
        <f>IF(OR(J219="COP",J219="EURO",J219="GBP"),0,IF(J219="USD",VLOOKUP(R219,'TRM BanRep'!$A:$G,7,0)))</f>
        <v>0</v>
      </c>
      <c r="U219" s="2395">
        <f t="shared" si="21"/>
        <v>0</v>
      </c>
      <c r="V219" s="2395" t="str">
        <f t="shared" si="20"/>
        <v/>
      </c>
    </row>
    <row r="220" spans="3:26" hidden="1">
      <c r="C220">
        <v>2022</v>
      </c>
      <c r="D220" t="s">
        <v>1661</v>
      </c>
      <c r="F220">
        <v>2422999997</v>
      </c>
      <c r="G220" t="s">
        <v>1602</v>
      </c>
      <c r="H220" t="s">
        <v>1662</v>
      </c>
      <c r="I220" t="s">
        <v>1741</v>
      </c>
      <c r="J220" t="s">
        <v>106</v>
      </c>
      <c r="K220">
        <v>7900002766</v>
      </c>
      <c r="L220" t="s">
        <v>1662</v>
      </c>
      <c r="M220" s="1633">
        <v>4732320606</v>
      </c>
      <c r="N220">
        <v>1</v>
      </c>
      <c r="O220">
        <v>40</v>
      </c>
      <c r="P220" s="1633">
        <v>4732320606</v>
      </c>
      <c r="Q220" t="s">
        <v>106</v>
      </c>
      <c r="R220" s="2392">
        <v>44623</v>
      </c>
      <c r="S220" s="2393">
        <f t="shared" si="19"/>
        <v>1</v>
      </c>
      <c r="T220" s="2394">
        <f>IF(OR(J220="COP",J220="EURO",J220="GBP"),0,IF(J220="USD",VLOOKUP(R220,'TRM BanRep'!$A:$G,7,0)))</f>
        <v>0</v>
      </c>
      <c r="U220" s="2395">
        <f t="shared" si="21"/>
        <v>0</v>
      </c>
      <c r="V220" s="2395" t="str">
        <f t="shared" si="20"/>
        <v/>
      </c>
    </row>
    <row r="221" spans="3:26" hidden="1">
      <c r="C221">
        <v>2022</v>
      </c>
      <c r="D221" t="s">
        <v>1661</v>
      </c>
      <c r="F221">
        <v>2422999997</v>
      </c>
      <c r="G221" t="s">
        <v>1602</v>
      </c>
      <c r="H221" t="s">
        <v>1662</v>
      </c>
      <c r="I221" t="s">
        <v>1741</v>
      </c>
      <c r="J221" t="s">
        <v>106</v>
      </c>
      <c r="K221">
        <v>7900002775</v>
      </c>
      <c r="L221" t="s">
        <v>1662</v>
      </c>
      <c r="M221" s="1633">
        <v>-4732320606</v>
      </c>
      <c r="N221">
        <v>1</v>
      </c>
      <c r="O221">
        <v>50</v>
      </c>
      <c r="P221" s="1633">
        <v>-4732320606</v>
      </c>
      <c r="Q221" t="s">
        <v>106</v>
      </c>
      <c r="R221" s="2392">
        <v>44623</v>
      </c>
      <c r="S221" s="2393">
        <f t="shared" si="19"/>
        <v>1</v>
      </c>
      <c r="T221" s="2394">
        <f>IF(OR(J221="COP",J221="EURO",J221="GBP"),0,IF(J221="USD",VLOOKUP(R221,'TRM BanRep'!$A:$G,7,0)))</f>
        <v>0</v>
      </c>
      <c r="U221" s="2395">
        <f t="shared" si="21"/>
        <v>0</v>
      </c>
      <c r="V221" s="2395" t="str">
        <f t="shared" si="20"/>
        <v/>
      </c>
    </row>
    <row r="222" spans="3:26" hidden="1">
      <c r="C222">
        <v>2022</v>
      </c>
      <c r="D222" t="s">
        <v>1661</v>
      </c>
      <c r="F222">
        <v>2422999997</v>
      </c>
      <c r="G222" t="s">
        <v>1602</v>
      </c>
      <c r="H222" t="s">
        <v>1691</v>
      </c>
      <c r="I222" t="s">
        <v>1742</v>
      </c>
      <c r="J222" t="s">
        <v>106</v>
      </c>
      <c r="K222">
        <v>7900002814</v>
      </c>
      <c r="L222" t="s">
        <v>1691</v>
      </c>
      <c r="M222" s="1633">
        <v>-790032396</v>
      </c>
      <c r="N222">
        <v>1</v>
      </c>
      <c r="O222">
        <v>50</v>
      </c>
      <c r="P222" s="1633">
        <v>-790032396</v>
      </c>
      <c r="Q222" t="s">
        <v>106</v>
      </c>
      <c r="R222" s="2392">
        <v>44644</v>
      </c>
      <c r="S222" s="2393">
        <f t="shared" si="19"/>
        <v>1</v>
      </c>
      <c r="T222" s="2394">
        <f>IF(OR(J222="COP",J222="EURO",J222="GBP"),0,IF(J222="USD",VLOOKUP(R222,'TRM BanRep'!$A:$G,7,0)))</f>
        <v>0</v>
      </c>
      <c r="U222" s="2395">
        <f t="shared" si="21"/>
        <v>0</v>
      </c>
      <c r="V222" s="2395" t="str">
        <f t="shared" si="20"/>
        <v/>
      </c>
    </row>
    <row r="223" spans="3:26" hidden="1">
      <c r="C223">
        <v>2022</v>
      </c>
      <c r="D223" t="s">
        <v>1661</v>
      </c>
      <c r="F223">
        <v>2422999997</v>
      </c>
      <c r="G223" t="s">
        <v>1602</v>
      </c>
      <c r="H223" t="s">
        <v>1696</v>
      </c>
      <c r="I223" t="s">
        <v>1743</v>
      </c>
      <c r="J223" t="s">
        <v>106</v>
      </c>
      <c r="K223">
        <v>7900002853</v>
      </c>
      <c r="L223" t="s">
        <v>1696</v>
      </c>
      <c r="M223" s="1633">
        <v>-3934792130</v>
      </c>
      <c r="N223">
        <v>1</v>
      </c>
      <c r="O223">
        <v>50</v>
      </c>
      <c r="P223" s="1633">
        <v>-3934792130</v>
      </c>
      <c r="Q223" t="s">
        <v>106</v>
      </c>
      <c r="R223" s="2392">
        <v>44649</v>
      </c>
      <c r="S223" s="2393">
        <f t="shared" si="19"/>
        <v>1</v>
      </c>
      <c r="T223" s="2394">
        <f>IF(OR(J223="COP",J223="EURO",J223="GBP"),0,IF(J223="USD",VLOOKUP(R223,'TRM BanRep'!$A:$G,7,0)))</f>
        <v>0</v>
      </c>
      <c r="U223" s="2395">
        <f t="shared" si="21"/>
        <v>0</v>
      </c>
      <c r="V223" s="2395" t="str">
        <f t="shared" si="20"/>
        <v/>
      </c>
    </row>
    <row r="224" spans="3:26" hidden="1">
      <c r="C224">
        <v>2022</v>
      </c>
      <c r="D224" t="s">
        <v>1661</v>
      </c>
      <c r="F224">
        <v>2422999997</v>
      </c>
      <c r="G224" t="s">
        <v>1557</v>
      </c>
      <c r="H224" t="s">
        <v>1664</v>
      </c>
      <c r="I224" t="s">
        <v>1665</v>
      </c>
      <c r="J224" t="s">
        <v>106</v>
      </c>
      <c r="K224">
        <v>7900002556</v>
      </c>
      <c r="L224" t="s">
        <v>1664</v>
      </c>
      <c r="M224" s="1633">
        <v>-38390000000</v>
      </c>
      <c r="N224">
        <v>1</v>
      </c>
      <c r="O224">
        <v>50</v>
      </c>
      <c r="P224" s="1633">
        <v>-38390000000</v>
      </c>
      <c r="Q224" t="s">
        <v>106</v>
      </c>
      <c r="R224" s="2392">
        <v>44631</v>
      </c>
      <c r="S224" s="2393">
        <f t="shared" si="19"/>
        <v>1</v>
      </c>
      <c r="T224" s="2394">
        <f>IF(OR(J224="COP",J224="EURO",J224="GBP"),0,IF(J224="USD",VLOOKUP(R224,'TRM BanRep'!$A:$G,7,0)))</f>
        <v>0</v>
      </c>
      <c r="U224" s="2395">
        <f t="shared" si="21"/>
        <v>0</v>
      </c>
      <c r="V224" s="2395" t="str">
        <f t="shared" si="20"/>
        <v/>
      </c>
    </row>
    <row r="225" spans="3:22" hidden="1">
      <c r="C225">
        <v>2022</v>
      </c>
      <c r="D225" t="s">
        <v>1661</v>
      </c>
      <c r="F225">
        <v>2422999997</v>
      </c>
      <c r="G225" t="s">
        <v>1557</v>
      </c>
      <c r="H225" t="s">
        <v>1664</v>
      </c>
      <c r="I225" t="s">
        <v>1666</v>
      </c>
      <c r="J225" t="s">
        <v>106</v>
      </c>
      <c r="K225">
        <v>7900002564</v>
      </c>
      <c r="L225" t="s">
        <v>1664</v>
      </c>
      <c r="M225" s="1633">
        <v>-57367500000</v>
      </c>
      <c r="N225">
        <v>1</v>
      </c>
      <c r="O225">
        <v>50</v>
      </c>
      <c r="P225" s="1633">
        <v>-57367500000</v>
      </c>
      <c r="Q225" t="s">
        <v>106</v>
      </c>
      <c r="R225" s="2392">
        <v>44631</v>
      </c>
      <c r="S225" s="2393">
        <f t="shared" si="19"/>
        <v>1</v>
      </c>
      <c r="T225" s="2394">
        <f>IF(OR(J225="COP",J225="EURO",J225="GBP"),0,IF(J225="USD",VLOOKUP(R225,'TRM BanRep'!$A:$G,7,0)))</f>
        <v>0</v>
      </c>
      <c r="U225" s="2395">
        <f t="shared" si="21"/>
        <v>0</v>
      </c>
      <c r="V225" s="2395" t="str">
        <f t="shared" si="20"/>
        <v/>
      </c>
    </row>
    <row r="226" spans="3:22" hidden="1">
      <c r="C226">
        <v>2022</v>
      </c>
      <c r="D226" t="s">
        <v>1661</v>
      </c>
      <c r="F226">
        <v>2422999997</v>
      </c>
      <c r="G226" t="s">
        <v>1557</v>
      </c>
      <c r="H226" t="s">
        <v>1664</v>
      </c>
      <c r="I226" t="s">
        <v>1667</v>
      </c>
      <c r="J226" t="s">
        <v>106</v>
      </c>
      <c r="K226">
        <v>7900002572</v>
      </c>
      <c r="L226" t="s">
        <v>1664</v>
      </c>
      <c r="M226" s="1633">
        <v>-19087500000</v>
      </c>
      <c r="N226">
        <v>1</v>
      </c>
      <c r="O226">
        <v>50</v>
      </c>
      <c r="P226" s="1633">
        <v>-19087500000</v>
      </c>
      <c r="Q226" t="s">
        <v>106</v>
      </c>
      <c r="R226" s="2392">
        <v>44631</v>
      </c>
      <c r="S226" s="2393">
        <f t="shared" si="19"/>
        <v>1</v>
      </c>
      <c r="T226" s="2394">
        <f>IF(OR(J226="COP",J226="EURO",J226="GBP"),0,IF(J226="USD",VLOOKUP(R226,'TRM BanRep'!$A:$G,7,0)))</f>
        <v>0</v>
      </c>
      <c r="U226" s="2395">
        <f t="shared" si="21"/>
        <v>0</v>
      </c>
      <c r="V226" s="2395" t="str">
        <f t="shared" si="20"/>
        <v/>
      </c>
    </row>
    <row r="227" spans="3:22" hidden="1">
      <c r="C227">
        <v>2022</v>
      </c>
      <c r="D227" t="s">
        <v>1661</v>
      </c>
      <c r="F227">
        <v>2422999997</v>
      </c>
      <c r="G227" t="s">
        <v>1557</v>
      </c>
      <c r="H227" t="s">
        <v>1668</v>
      </c>
      <c r="I227" t="s">
        <v>1669</v>
      </c>
      <c r="J227" t="s">
        <v>106</v>
      </c>
      <c r="K227">
        <v>7900002580</v>
      </c>
      <c r="L227" t="s">
        <v>1668</v>
      </c>
      <c r="M227" s="1633">
        <v>-18914000000</v>
      </c>
      <c r="N227">
        <v>1</v>
      </c>
      <c r="O227">
        <v>50</v>
      </c>
      <c r="P227" s="1633">
        <v>-18914000000</v>
      </c>
      <c r="Q227" t="s">
        <v>106</v>
      </c>
      <c r="R227" s="2392">
        <v>44634</v>
      </c>
      <c r="S227" s="2393">
        <f t="shared" si="19"/>
        <v>1</v>
      </c>
      <c r="T227" s="2394">
        <f>IF(OR(J227="COP",J227="EURO",J227="GBP"),0,IF(J227="USD",VLOOKUP(R227,'TRM BanRep'!$A:$G,7,0)))</f>
        <v>0</v>
      </c>
      <c r="U227" s="2395">
        <f t="shared" si="21"/>
        <v>0</v>
      </c>
      <c r="V227" s="2395" t="str">
        <f t="shared" si="20"/>
        <v/>
      </c>
    </row>
    <row r="228" spans="3:22" hidden="1">
      <c r="C228">
        <v>2022</v>
      </c>
      <c r="D228" t="s">
        <v>1661</v>
      </c>
      <c r="F228">
        <v>2422999997</v>
      </c>
      <c r="G228" t="s">
        <v>1557</v>
      </c>
      <c r="H228" t="s">
        <v>1668</v>
      </c>
      <c r="I228" t="s">
        <v>1670</v>
      </c>
      <c r="J228" t="s">
        <v>106</v>
      </c>
      <c r="K228">
        <v>7900002588</v>
      </c>
      <c r="L228" t="s">
        <v>1668</v>
      </c>
      <c r="M228" s="1633">
        <v>-18922500000</v>
      </c>
      <c r="N228">
        <v>1</v>
      </c>
      <c r="O228">
        <v>50</v>
      </c>
      <c r="P228" s="1633">
        <v>-18922500000</v>
      </c>
      <c r="Q228" t="s">
        <v>106</v>
      </c>
      <c r="R228" s="2392">
        <v>44634</v>
      </c>
      <c r="S228" s="2393">
        <f t="shared" si="19"/>
        <v>1</v>
      </c>
      <c r="T228" s="2394">
        <f>IF(OR(J228="COP",J228="EURO",J228="GBP"),0,IF(J228="USD",VLOOKUP(R228,'TRM BanRep'!$A:$G,7,0)))</f>
        <v>0</v>
      </c>
      <c r="U228" s="2395">
        <f t="shared" si="21"/>
        <v>0</v>
      </c>
      <c r="V228" s="2395" t="str">
        <f t="shared" si="20"/>
        <v/>
      </c>
    </row>
    <row r="229" spans="3:22" hidden="1">
      <c r="C229">
        <v>2022</v>
      </c>
      <c r="D229" t="s">
        <v>1661</v>
      </c>
      <c r="F229">
        <v>2422999997</v>
      </c>
      <c r="G229" t="s">
        <v>1557</v>
      </c>
      <c r="H229" t="s">
        <v>1668</v>
      </c>
      <c r="I229" t="s">
        <v>1671</v>
      </c>
      <c r="J229" t="s">
        <v>106</v>
      </c>
      <c r="K229">
        <v>7900002596</v>
      </c>
      <c r="L229" t="s">
        <v>1668</v>
      </c>
      <c r="M229" s="1633">
        <v>-38037900000</v>
      </c>
      <c r="N229">
        <v>1</v>
      </c>
      <c r="O229">
        <v>50</v>
      </c>
      <c r="P229" s="1633">
        <v>-38037900000</v>
      </c>
      <c r="Q229" t="s">
        <v>106</v>
      </c>
      <c r="R229" s="2392">
        <v>44634</v>
      </c>
      <c r="S229" s="2393">
        <f t="shared" si="19"/>
        <v>1</v>
      </c>
      <c r="T229" s="2394">
        <f>IF(OR(J229="COP",J229="EURO",J229="GBP"),0,IF(J229="USD",VLOOKUP(R229,'TRM BanRep'!$A:$G,7,0)))</f>
        <v>0</v>
      </c>
      <c r="U229" s="2395">
        <f t="shared" si="21"/>
        <v>0</v>
      </c>
      <c r="V229" s="2395" t="str">
        <f t="shared" si="20"/>
        <v/>
      </c>
    </row>
    <row r="230" spans="3:22" hidden="1">
      <c r="C230">
        <v>2022</v>
      </c>
      <c r="D230" t="s">
        <v>1661</v>
      </c>
      <c r="F230">
        <v>2422999997</v>
      </c>
      <c r="G230" t="s">
        <v>1557</v>
      </c>
      <c r="H230" t="s">
        <v>1672</v>
      </c>
      <c r="I230" t="s">
        <v>1673</v>
      </c>
      <c r="J230" t="s">
        <v>106</v>
      </c>
      <c r="K230">
        <v>7900002604</v>
      </c>
      <c r="L230" t="s">
        <v>1672</v>
      </c>
      <c r="M230" s="1633">
        <v>-3305900010</v>
      </c>
      <c r="N230">
        <v>1</v>
      </c>
      <c r="O230">
        <v>50</v>
      </c>
      <c r="P230" s="1633">
        <v>-3305900010</v>
      </c>
      <c r="Q230" t="s">
        <v>106</v>
      </c>
      <c r="R230" s="2392">
        <v>44636</v>
      </c>
      <c r="S230" s="2393">
        <f t="shared" si="19"/>
        <v>1</v>
      </c>
      <c r="T230" s="2394">
        <f>IF(OR(J230="COP",J230="EURO",J230="GBP"),0,IF(J230="USD",VLOOKUP(R230,'TRM BanRep'!$A:$G,7,0)))</f>
        <v>0</v>
      </c>
      <c r="U230" s="2395">
        <f t="shared" si="21"/>
        <v>0</v>
      </c>
      <c r="V230" s="2395" t="str">
        <f t="shared" si="20"/>
        <v/>
      </c>
    </row>
    <row r="231" spans="3:22" hidden="1">
      <c r="C231">
        <v>2022</v>
      </c>
      <c r="D231" t="s">
        <v>1661</v>
      </c>
      <c r="F231">
        <v>2422999997</v>
      </c>
      <c r="G231" t="s">
        <v>1557</v>
      </c>
      <c r="H231" t="s">
        <v>1672</v>
      </c>
      <c r="I231" t="s">
        <v>1674</v>
      </c>
      <c r="J231" t="s">
        <v>106</v>
      </c>
      <c r="K231">
        <v>7900002612</v>
      </c>
      <c r="L231" t="s">
        <v>1672</v>
      </c>
      <c r="M231" s="1633">
        <v>-4699999986</v>
      </c>
      <c r="N231">
        <v>1</v>
      </c>
      <c r="O231">
        <v>50</v>
      </c>
      <c r="P231" s="1633">
        <v>-4699999986</v>
      </c>
      <c r="Q231" t="s">
        <v>106</v>
      </c>
      <c r="R231" s="2392">
        <v>44636</v>
      </c>
      <c r="S231" s="2393">
        <f t="shared" si="19"/>
        <v>1</v>
      </c>
      <c r="T231" s="2394">
        <f>IF(OR(J231="COP",J231="EURO",J231="GBP"),0,IF(J231="USD",VLOOKUP(R231,'TRM BanRep'!$A:$G,7,0)))</f>
        <v>0</v>
      </c>
      <c r="U231" s="2395">
        <f t="shared" si="21"/>
        <v>0</v>
      </c>
      <c r="V231" s="2395" t="str">
        <f t="shared" si="20"/>
        <v/>
      </c>
    </row>
    <row r="232" spans="3:22" hidden="1">
      <c r="C232">
        <v>2022</v>
      </c>
      <c r="D232" t="s">
        <v>1661</v>
      </c>
      <c r="F232">
        <v>2422999997</v>
      </c>
      <c r="G232" t="s">
        <v>1557</v>
      </c>
      <c r="H232" t="s">
        <v>1672</v>
      </c>
      <c r="I232" t="s">
        <v>1675</v>
      </c>
      <c r="J232" t="s">
        <v>106</v>
      </c>
      <c r="K232">
        <v>7900002620</v>
      </c>
      <c r="L232" t="s">
        <v>1672</v>
      </c>
      <c r="M232" s="1633">
        <v>-6890400000</v>
      </c>
      <c r="N232">
        <v>1</v>
      </c>
      <c r="O232">
        <v>50</v>
      </c>
      <c r="P232" s="1633">
        <v>-6890400000</v>
      </c>
      <c r="Q232" t="s">
        <v>106</v>
      </c>
      <c r="R232" s="2392">
        <v>44636</v>
      </c>
      <c r="S232" s="2393">
        <f t="shared" si="19"/>
        <v>1</v>
      </c>
      <c r="T232" s="2394">
        <f>IF(OR(J232="COP",J232="EURO",J232="GBP"),0,IF(J232="USD",VLOOKUP(R232,'TRM BanRep'!$A:$G,7,0)))</f>
        <v>0</v>
      </c>
      <c r="U232" s="2395">
        <f t="shared" si="21"/>
        <v>0</v>
      </c>
      <c r="V232" s="2395" t="str">
        <f t="shared" si="20"/>
        <v/>
      </c>
    </row>
    <row r="233" spans="3:22" hidden="1">
      <c r="C233">
        <v>2022</v>
      </c>
      <c r="D233" t="s">
        <v>1661</v>
      </c>
      <c r="F233">
        <v>2422999997</v>
      </c>
      <c r="G233" t="s">
        <v>1557</v>
      </c>
      <c r="H233" t="s">
        <v>1672</v>
      </c>
      <c r="I233" t="s">
        <v>1676</v>
      </c>
      <c r="J233" t="s">
        <v>106</v>
      </c>
      <c r="K233">
        <v>7900002628</v>
      </c>
      <c r="L233" t="s">
        <v>1672</v>
      </c>
      <c r="M233" s="1633">
        <v>-5355000000</v>
      </c>
      <c r="N233">
        <v>1</v>
      </c>
      <c r="O233">
        <v>50</v>
      </c>
      <c r="P233" s="1633">
        <v>-5355000000</v>
      </c>
      <c r="Q233" t="s">
        <v>106</v>
      </c>
      <c r="R233" s="2392">
        <v>44636</v>
      </c>
      <c r="S233" s="2393">
        <f t="shared" si="19"/>
        <v>1</v>
      </c>
      <c r="T233" s="2394">
        <f>IF(OR(J233="COP",J233="EURO",J233="GBP"),0,IF(J233="USD",VLOOKUP(R233,'TRM BanRep'!$A:$G,7,0)))</f>
        <v>0</v>
      </c>
      <c r="U233" s="2395">
        <f t="shared" si="21"/>
        <v>0</v>
      </c>
      <c r="V233" s="2395" t="str">
        <f t="shared" si="20"/>
        <v/>
      </c>
    </row>
    <row r="234" spans="3:22" hidden="1">
      <c r="C234">
        <v>2022</v>
      </c>
      <c r="D234" t="s">
        <v>1661</v>
      </c>
      <c r="F234">
        <v>2422999997</v>
      </c>
      <c r="G234" t="s">
        <v>1557</v>
      </c>
      <c r="H234" t="s">
        <v>1672</v>
      </c>
      <c r="I234" t="s">
        <v>1677</v>
      </c>
      <c r="J234" t="s">
        <v>106</v>
      </c>
      <c r="K234">
        <v>7900002636</v>
      </c>
      <c r="L234" t="s">
        <v>1672</v>
      </c>
      <c r="M234" s="1633">
        <v>-22975200000</v>
      </c>
      <c r="N234">
        <v>1</v>
      </c>
      <c r="O234">
        <v>50</v>
      </c>
      <c r="P234" s="1633">
        <v>-22975200000</v>
      </c>
      <c r="Q234" t="s">
        <v>106</v>
      </c>
      <c r="R234" s="2392">
        <v>44636</v>
      </c>
      <c r="S234" s="2393">
        <f t="shared" si="19"/>
        <v>1</v>
      </c>
      <c r="T234" s="2394">
        <f>IF(OR(J234="COP",J234="EURO",J234="GBP"),0,IF(J234="USD",VLOOKUP(R234,'TRM BanRep'!$A:$G,7,0)))</f>
        <v>0</v>
      </c>
      <c r="U234" s="2395">
        <f t="shared" si="21"/>
        <v>0</v>
      </c>
      <c r="V234" s="2395" t="str">
        <f t="shared" si="20"/>
        <v/>
      </c>
    </row>
    <row r="235" spans="3:22" hidden="1">
      <c r="C235">
        <v>2022</v>
      </c>
      <c r="D235" t="s">
        <v>1661</v>
      </c>
      <c r="F235">
        <v>2422999997</v>
      </c>
      <c r="G235" t="s">
        <v>1557</v>
      </c>
      <c r="H235" t="s">
        <v>1672</v>
      </c>
      <c r="I235" t="s">
        <v>1678</v>
      </c>
      <c r="J235" t="s">
        <v>106</v>
      </c>
      <c r="K235">
        <v>7900002644</v>
      </c>
      <c r="L235" t="s">
        <v>1672</v>
      </c>
      <c r="M235" s="1633">
        <v>-3827600000</v>
      </c>
      <c r="N235">
        <v>1</v>
      </c>
      <c r="O235">
        <v>50</v>
      </c>
      <c r="P235" s="1633">
        <v>-3827600000</v>
      </c>
      <c r="Q235" t="s">
        <v>106</v>
      </c>
      <c r="R235" s="2392">
        <v>44636</v>
      </c>
      <c r="S235" s="2393">
        <f t="shared" si="19"/>
        <v>1</v>
      </c>
      <c r="T235" s="2394">
        <f>IF(OR(J235="COP",J235="EURO",J235="GBP"),0,IF(J235="USD",VLOOKUP(R235,'TRM BanRep'!$A:$G,7,0)))</f>
        <v>0</v>
      </c>
      <c r="U235" s="2395">
        <f t="shared" si="21"/>
        <v>0</v>
      </c>
      <c r="V235" s="2395" t="str">
        <f t="shared" si="20"/>
        <v/>
      </c>
    </row>
    <row r="236" spans="3:22" hidden="1">
      <c r="C236">
        <v>2022</v>
      </c>
      <c r="D236" t="s">
        <v>1661</v>
      </c>
      <c r="F236">
        <v>2422999997</v>
      </c>
      <c r="G236" t="s">
        <v>1557</v>
      </c>
      <c r="H236" t="s">
        <v>1664</v>
      </c>
      <c r="I236" t="s">
        <v>1679</v>
      </c>
      <c r="J236" t="s">
        <v>106</v>
      </c>
      <c r="K236">
        <v>7900002676</v>
      </c>
      <c r="L236" t="s">
        <v>1664</v>
      </c>
      <c r="M236" s="1633">
        <v>-57517500000</v>
      </c>
      <c r="N236">
        <v>1</v>
      </c>
      <c r="O236">
        <v>50</v>
      </c>
      <c r="P236" s="1633">
        <v>-57517500000</v>
      </c>
      <c r="Q236" t="s">
        <v>106</v>
      </c>
      <c r="R236" s="2392">
        <v>44631</v>
      </c>
      <c r="S236" s="2393">
        <f t="shared" si="19"/>
        <v>1</v>
      </c>
      <c r="T236" s="2394">
        <f>IF(OR(J236="COP",J236="EURO",J236="GBP"),0,IF(J236="USD",VLOOKUP(R236,'TRM BanRep'!$A:$G,7,0)))</f>
        <v>0</v>
      </c>
      <c r="U236" s="2395">
        <f t="shared" si="21"/>
        <v>0</v>
      </c>
      <c r="V236" s="2395" t="str">
        <f t="shared" si="20"/>
        <v/>
      </c>
    </row>
    <row r="237" spans="3:22" hidden="1">
      <c r="C237">
        <v>2022</v>
      </c>
      <c r="D237" t="s">
        <v>1661</v>
      </c>
      <c r="F237">
        <v>2422999997</v>
      </c>
      <c r="G237" t="s">
        <v>1557</v>
      </c>
      <c r="H237" t="s">
        <v>1664</v>
      </c>
      <c r="I237" t="s">
        <v>1680</v>
      </c>
      <c r="J237" t="s">
        <v>106</v>
      </c>
      <c r="K237">
        <v>7900002684</v>
      </c>
      <c r="L237" t="s">
        <v>1664</v>
      </c>
      <c r="M237" s="1633">
        <v>-57487500000</v>
      </c>
      <c r="N237">
        <v>1</v>
      </c>
      <c r="O237">
        <v>50</v>
      </c>
      <c r="P237" s="1633">
        <v>-57487500000</v>
      </c>
      <c r="Q237" t="s">
        <v>106</v>
      </c>
      <c r="R237" s="2392">
        <v>44631</v>
      </c>
      <c r="S237" s="2393">
        <f t="shared" si="19"/>
        <v>1</v>
      </c>
      <c r="T237" s="2394">
        <f>IF(OR(J237="COP",J237="EURO",J237="GBP"),0,IF(J237="USD",VLOOKUP(R237,'TRM BanRep'!$A:$G,7,0)))</f>
        <v>0</v>
      </c>
      <c r="U237" s="2395">
        <f t="shared" si="21"/>
        <v>0</v>
      </c>
      <c r="V237" s="2395" t="str">
        <f t="shared" si="20"/>
        <v/>
      </c>
    </row>
    <row r="238" spans="3:22" hidden="1">
      <c r="C238">
        <v>2022</v>
      </c>
      <c r="D238" t="s">
        <v>1661</v>
      </c>
      <c r="F238">
        <v>2422999997</v>
      </c>
      <c r="G238" t="s">
        <v>1557</v>
      </c>
      <c r="H238" t="s">
        <v>1664</v>
      </c>
      <c r="I238" t="s">
        <v>1681</v>
      </c>
      <c r="J238" t="s">
        <v>106</v>
      </c>
      <c r="K238">
        <v>7900002692</v>
      </c>
      <c r="L238" t="s">
        <v>1664</v>
      </c>
      <c r="M238" s="1633">
        <v>-19050000000</v>
      </c>
      <c r="N238">
        <v>1</v>
      </c>
      <c r="O238">
        <v>50</v>
      </c>
      <c r="P238" s="1633">
        <v>-19050000000</v>
      </c>
      <c r="Q238" t="s">
        <v>106</v>
      </c>
      <c r="R238" s="2392">
        <v>44631</v>
      </c>
      <c r="S238" s="2393">
        <f t="shared" si="19"/>
        <v>1</v>
      </c>
      <c r="T238" s="2394">
        <f>IF(OR(J238="COP",J238="EURO",J238="GBP"),0,IF(J238="USD",VLOOKUP(R238,'TRM BanRep'!$A:$G,7,0)))</f>
        <v>0</v>
      </c>
      <c r="U238" s="2395">
        <f t="shared" si="21"/>
        <v>0</v>
      </c>
      <c r="V238" s="2395" t="str">
        <f t="shared" si="20"/>
        <v/>
      </c>
    </row>
    <row r="239" spans="3:22" hidden="1">
      <c r="C239">
        <v>2022</v>
      </c>
      <c r="D239" t="s">
        <v>1661</v>
      </c>
      <c r="F239">
        <v>2422999997</v>
      </c>
      <c r="G239" t="s">
        <v>1557</v>
      </c>
      <c r="H239" t="s">
        <v>1668</v>
      </c>
      <c r="I239" t="s">
        <v>1682</v>
      </c>
      <c r="J239" t="s">
        <v>106</v>
      </c>
      <c r="K239">
        <v>7900002700</v>
      </c>
      <c r="L239" t="s">
        <v>1668</v>
      </c>
      <c r="M239" s="1633">
        <v>-37888000000</v>
      </c>
      <c r="N239">
        <v>1</v>
      </c>
      <c r="O239">
        <v>50</v>
      </c>
      <c r="P239" s="1633">
        <v>-37888000000</v>
      </c>
      <c r="Q239" t="s">
        <v>106</v>
      </c>
      <c r="R239" s="2392">
        <v>44634</v>
      </c>
      <c r="S239" s="2393">
        <f t="shared" si="19"/>
        <v>1</v>
      </c>
      <c r="T239" s="2394">
        <f>IF(OR(J239="COP",J239="EURO",J239="GBP"),0,IF(J239="USD",VLOOKUP(R239,'TRM BanRep'!$A:$G,7,0)))</f>
        <v>0</v>
      </c>
      <c r="U239" s="2395">
        <f t="shared" si="21"/>
        <v>0</v>
      </c>
      <c r="V239" s="2395" t="str">
        <f t="shared" si="20"/>
        <v/>
      </c>
    </row>
    <row r="240" spans="3:22" hidden="1">
      <c r="C240">
        <v>2022</v>
      </c>
      <c r="D240" t="s">
        <v>1661</v>
      </c>
      <c r="F240">
        <v>2422999997</v>
      </c>
      <c r="G240" t="s">
        <v>1557</v>
      </c>
      <c r="H240" t="s">
        <v>1668</v>
      </c>
      <c r="I240" t="s">
        <v>1683</v>
      </c>
      <c r="J240" t="s">
        <v>106</v>
      </c>
      <c r="K240">
        <v>7900002708</v>
      </c>
      <c r="L240" t="s">
        <v>1668</v>
      </c>
      <c r="M240" s="1633">
        <v>-37929000000</v>
      </c>
      <c r="N240">
        <v>1</v>
      </c>
      <c r="O240">
        <v>50</v>
      </c>
      <c r="P240" s="1633">
        <v>-37929000000</v>
      </c>
      <c r="Q240" t="s">
        <v>106</v>
      </c>
      <c r="R240" s="2392">
        <v>44634</v>
      </c>
      <c r="S240" s="2393">
        <f t="shared" si="19"/>
        <v>1</v>
      </c>
      <c r="T240" s="2394">
        <f>IF(OR(J240="COP",J240="EURO",J240="GBP"),0,IF(J240="USD",VLOOKUP(R240,'TRM BanRep'!$A:$G,7,0)))</f>
        <v>0</v>
      </c>
      <c r="U240" s="2395">
        <f t="shared" si="21"/>
        <v>0</v>
      </c>
      <c r="V240" s="2395" t="str">
        <f t="shared" si="20"/>
        <v/>
      </c>
    </row>
    <row r="241" spans="3:22" hidden="1">
      <c r="C241">
        <v>2022</v>
      </c>
      <c r="D241" t="s">
        <v>1661</v>
      </c>
      <c r="F241">
        <v>2422999997</v>
      </c>
      <c r="G241" t="s">
        <v>1557</v>
      </c>
      <c r="H241" t="s">
        <v>1668</v>
      </c>
      <c r="I241" t="s">
        <v>1684</v>
      </c>
      <c r="J241" t="s">
        <v>106</v>
      </c>
      <c r="K241">
        <v>7900002716</v>
      </c>
      <c r="L241" t="s">
        <v>1668</v>
      </c>
      <c r="M241" s="1633">
        <v>-38080000000</v>
      </c>
      <c r="N241">
        <v>1</v>
      </c>
      <c r="O241">
        <v>50</v>
      </c>
      <c r="P241" s="1633">
        <v>-38080000000</v>
      </c>
      <c r="Q241" t="s">
        <v>106</v>
      </c>
      <c r="R241" s="2392">
        <v>44634</v>
      </c>
      <c r="S241" s="2393">
        <f t="shared" si="19"/>
        <v>1</v>
      </c>
      <c r="T241" s="2394">
        <f>IF(OR(J241="COP",J241="EURO",J241="GBP"),0,IF(J241="USD",VLOOKUP(R241,'TRM BanRep'!$A:$G,7,0)))</f>
        <v>0</v>
      </c>
      <c r="U241" s="2395">
        <f t="shared" si="21"/>
        <v>0</v>
      </c>
      <c r="V241" s="2395" t="str">
        <f t="shared" si="20"/>
        <v/>
      </c>
    </row>
    <row r="242" spans="3:22" hidden="1">
      <c r="C242">
        <v>2022</v>
      </c>
      <c r="D242" t="s">
        <v>1661</v>
      </c>
      <c r="F242">
        <v>2422999997</v>
      </c>
      <c r="G242" t="s">
        <v>1557</v>
      </c>
      <c r="H242" t="s">
        <v>1668</v>
      </c>
      <c r="I242" t="s">
        <v>1685</v>
      </c>
      <c r="J242" t="s">
        <v>106</v>
      </c>
      <c r="K242">
        <v>7900002724</v>
      </c>
      <c r="L242" t="s">
        <v>1668</v>
      </c>
      <c r="M242" s="1633">
        <v>-38050000000</v>
      </c>
      <c r="N242">
        <v>1</v>
      </c>
      <c r="O242">
        <v>50</v>
      </c>
      <c r="P242" s="1633">
        <v>-38050000000</v>
      </c>
      <c r="Q242" t="s">
        <v>106</v>
      </c>
      <c r="R242" s="2392">
        <v>44634</v>
      </c>
      <c r="S242" s="2393">
        <f t="shared" si="19"/>
        <v>1</v>
      </c>
      <c r="T242" s="2394">
        <f>IF(OR(J242="COP",J242="EURO",J242="GBP"),0,IF(J242="USD",VLOOKUP(R242,'TRM BanRep'!$A:$G,7,0)))</f>
        <v>0</v>
      </c>
      <c r="U242" s="2395">
        <f t="shared" si="21"/>
        <v>0</v>
      </c>
      <c r="V242" s="2395" t="str">
        <f t="shared" si="20"/>
        <v/>
      </c>
    </row>
    <row r="243" spans="3:22" hidden="1">
      <c r="C243">
        <v>2022</v>
      </c>
      <c r="D243" t="s">
        <v>1661</v>
      </c>
      <c r="F243">
        <v>2422999997</v>
      </c>
      <c r="G243" t="s">
        <v>1557</v>
      </c>
      <c r="H243" t="s">
        <v>1668</v>
      </c>
      <c r="I243" t="s">
        <v>1686</v>
      </c>
      <c r="J243" t="s">
        <v>106</v>
      </c>
      <c r="K243">
        <v>7900002732</v>
      </c>
      <c r="L243" t="s">
        <v>1668</v>
      </c>
      <c r="M243" s="1633">
        <v>-38080000000</v>
      </c>
      <c r="N243">
        <v>1</v>
      </c>
      <c r="O243">
        <v>50</v>
      </c>
      <c r="P243" s="1633">
        <v>-38080000000</v>
      </c>
      <c r="Q243" t="s">
        <v>106</v>
      </c>
      <c r="R243" s="2392">
        <v>44634</v>
      </c>
      <c r="S243" s="2393">
        <f t="shared" si="19"/>
        <v>1</v>
      </c>
      <c r="T243" s="2394">
        <f>IF(OR(J243="COP",J243="EURO",J243="GBP"),0,IF(J243="USD",VLOOKUP(R243,'TRM BanRep'!$A:$G,7,0)))</f>
        <v>0</v>
      </c>
      <c r="U243" s="2395">
        <f t="shared" si="21"/>
        <v>0</v>
      </c>
      <c r="V243" s="2395" t="str">
        <f t="shared" si="20"/>
        <v/>
      </c>
    </row>
    <row r="244" spans="3:22" hidden="1">
      <c r="C244">
        <v>2022</v>
      </c>
      <c r="D244" t="s">
        <v>1661</v>
      </c>
      <c r="F244">
        <v>2422999997</v>
      </c>
      <c r="G244" t="s">
        <v>1557</v>
      </c>
      <c r="H244" t="s">
        <v>1672</v>
      </c>
      <c r="I244" t="s">
        <v>1687</v>
      </c>
      <c r="J244" t="s">
        <v>106</v>
      </c>
      <c r="K244">
        <v>7900002740</v>
      </c>
      <c r="L244" t="s">
        <v>1672</v>
      </c>
      <c r="M244" s="1633">
        <v>-32362147461</v>
      </c>
      <c r="N244">
        <v>1</v>
      </c>
      <c r="O244">
        <v>50</v>
      </c>
      <c r="P244" s="1633">
        <v>-32362147461</v>
      </c>
      <c r="Q244" t="s">
        <v>106</v>
      </c>
      <c r="R244" s="2392">
        <v>44636</v>
      </c>
      <c r="S244" s="2393">
        <f t="shared" si="19"/>
        <v>1</v>
      </c>
      <c r="T244" s="2394">
        <f>IF(OR(J244="COP",J244="EURO",J244="GBP"),0,IF(J244="USD",VLOOKUP(R244,'TRM BanRep'!$A:$G,7,0)))</f>
        <v>0</v>
      </c>
      <c r="U244" s="2395">
        <f t="shared" si="21"/>
        <v>0</v>
      </c>
      <c r="V244" s="2395" t="str">
        <f t="shared" si="20"/>
        <v/>
      </c>
    </row>
    <row r="245" spans="3:22" hidden="1">
      <c r="C245">
        <v>2022</v>
      </c>
      <c r="D245" t="s">
        <v>1661</v>
      </c>
      <c r="F245">
        <v>2422999997</v>
      </c>
      <c r="G245" t="s">
        <v>1557</v>
      </c>
      <c r="H245" t="s">
        <v>1672</v>
      </c>
      <c r="I245" t="s">
        <v>1688</v>
      </c>
      <c r="J245" t="s">
        <v>106</v>
      </c>
      <c r="K245">
        <v>7900002748</v>
      </c>
      <c r="L245" t="s">
        <v>1672</v>
      </c>
      <c r="M245" s="1633">
        <v>-5837852539</v>
      </c>
      <c r="N245">
        <v>1</v>
      </c>
      <c r="O245">
        <v>50</v>
      </c>
      <c r="P245" s="1633">
        <v>-5837852539</v>
      </c>
      <c r="Q245" t="s">
        <v>106</v>
      </c>
      <c r="R245" s="2392">
        <v>44636</v>
      </c>
      <c r="S245" s="2393">
        <f t="shared" si="19"/>
        <v>1</v>
      </c>
      <c r="T245" s="2394">
        <f>IF(OR(J245="COP",J245="EURO",J245="GBP"),0,IF(J245="USD",VLOOKUP(R245,'TRM BanRep'!$A:$G,7,0)))</f>
        <v>0</v>
      </c>
      <c r="U245" s="2395">
        <f t="shared" si="21"/>
        <v>0</v>
      </c>
      <c r="V245" s="2395" t="str">
        <f t="shared" si="20"/>
        <v/>
      </c>
    </row>
    <row r="246" spans="3:22" hidden="1">
      <c r="C246">
        <v>2022</v>
      </c>
      <c r="D246" t="s">
        <v>1661</v>
      </c>
      <c r="F246">
        <v>2422999997</v>
      </c>
      <c r="G246" t="s">
        <v>1557</v>
      </c>
      <c r="H246" t="s">
        <v>1672</v>
      </c>
      <c r="I246" t="s">
        <v>1689</v>
      </c>
      <c r="J246" t="s">
        <v>106</v>
      </c>
      <c r="K246">
        <v>7900002756</v>
      </c>
      <c r="L246" t="s">
        <v>1672</v>
      </c>
      <c r="M246" s="1633">
        <v>-5731800000</v>
      </c>
      <c r="N246">
        <v>1</v>
      </c>
      <c r="O246">
        <v>50</v>
      </c>
      <c r="P246" s="1633">
        <v>-5731800000</v>
      </c>
      <c r="Q246" t="s">
        <v>106</v>
      </c>
      <c r="R246" s="2392">
        <v>44636</v>
      </c>
      <c r="S246" s="2393">
        <f t="shared" si="19"/>
        <v>1</v>
      </c>
      <c r="T246" s="2394">
        <f>IF(OR(J246="COP",J246="EURO",J246="GBP"),0,IF(J246="USD",VLOOKUP(R246,'TRM BanRep'!$A:$G,7,0)))</f>
        <v>0</v>
      </c>
      <c r="U246" s="2395">
        <f t="shared" si="21"/>
        <v>0</v>
      </c>
      <c r="V246" s="2395" t="str">
        <f t="shared" si="20"/>
        <v/>
      </c>
    </row>
    <row r="247" spans="3:22" hidden="1">
      <c r="C247">
        <v>2022</v>
      </c>
      <c r="D247" t="s">
        <v>1661</v>
      </c>
      <c r="F247">
        <v>2422999997</v>
      </c>
      <c r="G247" t="s">
        <v>1557</v>
      </c>
      <c r="H247" t="s">
        <v>1672</v>
      </c>
      <c r="I247" t="s">
        <v>1690</v>
      </c>
      <c r="J247" t="s">
        <v>106</v>
      </c>
      <c r="K247">
        <v>7900002786</v>
      </c>
      <c r="L247" t="s">
        <v>1672</v>
      </c>
      <c r="M247" s="1633">
        <v>-1930000004</v>
      </c>
      <c r="N247">
        <v>1</v>
      </c>
      <c r="O247">
        <v>50</v>
      </c>
      <c r="P247" s="1633">
        <v>-1930000004</v>
      </c>
      <c r="Q247" t="s">
        <v>106</v>
      </c>
      <c r="R247" s="2392">
        <v>44636</v>
      </c>
      <c r="S247" s="2393">
        <f t="shared" si="19"/>
        <v>1</v>
      </c>
      <c r="T247" s="2394">
        <f>IF(OR(J247="COP",J247="EURO",J247="GBP"),0,IF(J247="USD",VLOOKUP(R247,'TRM BanRep'!$A:$G,7,0)))</f>
        <v>0</v>
      </c>
      <c r="U247" s="2395">
        <f t="shared" si="21"/>
        <v>0</v>
      </c>
      <c r="V247" s="2395" t="str">
        <f t="shared" si="20"/>
        <v/>
      </c>
    </row>
    <row r="248" spans="3:22" hidden="1">
      <c r="C248">
        <v>2022</v>
      </c>
      <c r="D248" t="s">
        <v>1661</v>
      </c>
      <c r="F248">
        <v>2422999997</v>
      </c>
      <c r="G248" t="s">
        <v>1557</v>
      </c>
      <c r="H248" t="s">
        <v>1691</v>
      </c>
      <c r="I248" t="s">
        <v>1692</v>
      </c>
      <c r="J248" t="s">
        <v>106</v>
      </c>
      <c r="K248">
        <v>7900002794</v>
      </c>
      <c r="L248" t="s">
        <v>1691</v>
      </c>
      <c r="M248" s="1633">
        <v>-6824700000</v>
      </c>
      <c r="N248">
        <v>1</v>
      </c>
      <c r="O248">
        <v>50</v>
      </c>
      <c r="P248" s="1633">
        <v>-6824700000</v>
      </c>
      <c r="Q248" t="s">
        <v>106</v>
      </c>
      <c r="R248" s="2392">
        <v>44644</v>
      </c>
      <c r="S248" s="2393">
        <f t="shared" si="19"/>
        <v>1</v>
      </c>
      <c r="T248" s="2394">
        <f>IF(OR(J248="COP",J248="EURO",J248="GBP"),0,IF(J248="USD",VLOOKUP(R248,'TRM BanRep'!$A:$G,7,0)))</f>
        <v>0</v>
      </c>
      <c r="U248" s="2395">
        <f t="shared" si="21"/>
        <v>0</v>
      </c>
      <c r="V248" s="2395" t="str">
        <f t="shared" si="20"/>
        <v/>
      </c>
    </row>
    <row r="249" spans="3:22" hidden="1">
      <c r="C249">
        <v>2022</v>
      </c>
      <c r="D249" t="s">
        <v>1661</v>
      </c>
      <c r="F249">
        <v>2422999997</v>
      </c>
      <c r="G249" t="s">
        <v>1608</v>
      </c>
      <c r="H249" t="s">
        <v>1694</v>
      </c>
      <c r="J249" t="s">
        <v>106</v>
      </c>
      <c r="K249">
        <v>2000001910</v>
      </c>
      <c r="L249" t="s">
        <v>1694</v>
      </c>
      <c r="M249" s="1633">
        <v>21191886826</v>
      </c>
      <c r="N249">
        <v>1</v>
      </c>
      <c r="O249">
        <v>40</v>
      </c>
      <c r="P249" s="1633">
        <v>21191886826</v>
      </c>
      <c r="Q249" t="s">
        <v>106</v>
      </c>
      <c r="R249" s="2392">
        <v>44627</v>
      </c>
      <c r="S249" s="2393">
        <f t="shared" si="19"/>
        <v>1</v>
      </c>
      <c r="T249" s="2394">
        <f>IF(OR(J249="COP",J249="EURO",J249="GBP"),0,IF(J249="USD",VLOOKUP(R249,'TRM BanRep'!$A:$G,7,0)))</f>
        <v>0</v>
      </c>
      <c r="U249" s="2395">
        <f t="shared" si="21"/>
        <v>0</v>
      </c>
      <c r="V249" s="2395" t="str">
        <f t="shared" si="20"/>
        <v/>
      </c>
    </row>
    <row r="250" spans="3:22" hidden="1">
      <c r="C250">
        <v>2022</v>
      </c>
      <c r="D250" t="s">
        <v>1661</v>
      </c>
      <c r="F250">
        <v>2422999997</v>
      </c>
      <c r="G250" t="s">
        <v>1608</v>
      </c>
      <c r="H250" t="s">
        <v>1668</v>
      </c>
      <c r="J250" t="s">
        <v>106</v>
      </c>
      <c r="K250">
        <v>2000002267</v>
      </c>
      <c r="L250" t="s">
        <v>1668</v>
      </c>
      <c r="M250" s="1633">
        <v>1300000000</v>
      </c>
      <c r="N250">
        <v>1</v>
      </c>
      <c r="O250">
        <v>40</v>
      </c>
      <c r="P250" s="1633">
        <v>1300000000</v>
      </c>
      <c r="Q250" t="s">
        <v>106</v>
      </c>
      <c r="R250" s="2392">
        <v>44634</v>
      </c>
      <c r="S250" s="2393">
        <f t="shared" si="19"/>
        <v>1</v>
      </c>
      <c r="T250" s="2394">
        <f>IF(OR(J250="COP",J250="EURO",J250="GBP"),0,IF(J250="USD",VLOOKUP(R250,'TRM BanRep'!$A:$G,7,0)))</f>
        <v>0</v>
      </c>
      <c r="U250" s="2395">
        <f t="shared" si="21"/>
        <v>0</v>
      </c>
      <c r="V250" s="2395" t="str">
        <f t="shared" si="20"/>
        <v/>
      </c>
    </row>
    <row r="251" spans="3:22" hidden="1">
      <c r="C251">
        <v>2022</v>
      </c>
      <c r="D251" t="s">
        <v>1661</v>
      </c>
      <c r="F251">
        <v>2422999997</v>
      </c>
      <c r="G251" t="s">
        <v>1608</v>
      </c>
      <c r="H251" t="s">
        <v>1668</v>
      </c>
      <c r="J251" t="s">
        <v>106</v>
      </c>
      <c r="K251">
        <v>2000002268</v>
      </c>
      <c r="L251" t="s">
        <v>1668</v>
      </c>
      <c r="M251" s="1633">
        <v>6117699408</v>
      </c>
      <c r="N251">
        <v>1</v>
      </c>
      <c r="O251">
        <v>40</v>
      </c>
      <c r="P251" s="1633">
        <v>6117699408</v>
      </c>
      <c r="Q251" t="s">
        <v>106</v>
      </c>
      <c r="R251" s="2392">
        <v>44634</v>
      </c>
      <c r="S251" s="2393">
        <f t="shared" si="19"/>
        <v>1</v>
      </c>
      <c r="T251" s="2394">
        <f>IF(OR(J251="COP",J251="EURO",J251="GBP"),0,IF(J251="USD",VLOOKUP(R251,'TRM BanRep'!$A:$G,7,0)))</f>
        <v>0</v>
      </c>
      <c r="U251" s="2395">
        <f t="shared" si="21"/>
        <v>0</v>
      </c>
      <c r="V251" s="2395" t="str">
        <f t="shared" si="20"/>
        <v/>
      </c>
    </row>
    <row r="252" spans="3:22" hidden="1">
      <c r="C252">
        <v>2022</v>
      </c>
      <c r="D252" t="s">
        <v>1661</v>
      </c>
      <c r="F252">
        <v>2422999997</v>
      </c>
      <c r="G252" t="s">
        <v>1608</v>
      </c>
      <c r="H252" t="s">
        <v>1744</v>
      </c>
      <c r="J252" t="s">
        <v>106</v>
      </c>
      <c r="K252">
        <v>2000002290</v>
      </c>
      <c r="L252" t="s">
        <v>1744</v>
      </c>
      <c r="M252" s="1633">
        <v>27639240750</v>
      </c>
      <c r="N252">
        <v>1</v>
      </c>
      <c r="O252">
        <v>40</v>
      </c>
      <c r="P252" s="1633">
        <v>27639240750</v>
      </c>
      <c r="Q252" t="s">
        <v>106</v>
      </c>
      <c r="R252" s="2392">
        <v>44635</v>
      </c>
      <c r="S252" s="2393">
        <f t="shared" si="19"/>
        <v>1</v>
      </c>
      <c r="T252" s="2394">
        <f>IF(OR(J252="COP",J252="EURO",J252="GBP"),0,IF(J252="USD",VLOOKUP(R252,'TRM BanRep'!$A:$G,7,0)))</f>
        <v>0</v>
      </c>
      <c r="U252" s="2395">
        <f t="shared" si="21"/>
        <v>0</v>
      </c>
      <c r="V252" s="2395" t="str">
        <f t="shared" si="20"/>
        <v/>
      </c>
    </row>
    <row r="253" spans="3:22" hidden="1">
      <c r="C253">
        <v>2022</v>
      </c>
      <c r="D253" t="s">
        <v>1661</v>
      </c>
      <c r="F253">
        <v>2422999997</v>
      </c>
      <c r="G253" t="s">
        <v>1608</v>
      </c>
      <c r="H253" t="s">
        <v>1745</v>
      </c>
      <c r="J253" t="s">
        <v>106</v>
      </c>
      <c r="K253">
        <v>2000002535</v>
      </c>
      <c r="L253" t="s">
        <v>1745</v>
      </c>
      <c r="M253" s="1633">
        <v>1728146749</v>
      </c>
      <c r="N253">
        <v>1</v>
      </c>
      <c r="O253">
        <v>40</v>
      </c>
      <c r="P253" s="1633">
        <v>1728146749</v>
      </c>
      <c r="Q253" t="s">
        <v>106</v>
      </c>
      <c r="R253" s="2392">
        <v>44643</v>
      </c>
      <c r="S253" s="2393">
        <f t="shared" si="19"/>
        <v>1</v>
      </c>
      <c r="T253" s="2394">
        <f>IF(OR(J253="COP",J253="EURO",J253="GBP"),0,IF(J253="USD",VLOOKUP(R253,'TRM BanRep'!$A:$G,7,0)))</f>
        <v>0</v>
      </c>
      <c r="U253" s="2395">
        <f t="shared" si="21"/>
        <v>0</v>
      </c>
      <c r="V253" s="2395" t="str">
        <f t="shared" si="20"/>
        <v/>
      </c>
    </row>
    <row r="254" spans="3:22" hidden="1">
      <c r="C254">
        <v>2022</v>
      </c>
      <c r="D254" t="s">
        <v>1661</v>
      </c>
      <c r="F254">
        <v>2422999997</v>
      </c>
      <c r="G254" t="s">
        <v>1608</v>
      </c>
      <c r="H254" t="s">
        <v>1664</v>
      </c>
      <c r="J254" t="s">
        <v>106</v>
      </c>
      <c r="K254">
        <v>2000002581</v>
      </c>
      <c r="L254" t="s">
        <v>1664</v>
      </c>
      <c r="M254" s="1633">
        <v>38390000000</v>
      </c>
      <c r="N254">
        <v>1</v>
      </c>
      <c r="O254">
        <v>40</v>
      </c>
      <c r="P254" s="1633">
        <v>38390000000</v>
      </c>
      <c r="Q254" t="s">
        <v>106</v>
      </c>
      <c r="R254" s="2392">
        <v>44631</v>
      </c>
      <c r="S254" s="2393">
        <f t="shared" si="19"/>
        <v>1</v>
      </c>
      <c r="T254" s="2394">
        <f>IF(OR(J254="COP",J254="EURO",J254="GBP"),0,IF(J254="USD",VLOOKUP(R254,'TRM BanRep'!$A:$G,7,0)))</f>
        <v>0</v>
      </c>
      <c r="U254" s="2395">
        <f t="shared" si="21"/>
        <v>0</v>
      </c>
      <c r="V254" s="2395" t="str">
        <f t="shared" si="20"/>
        <v/>
      </c>
    </row>
    <row r="255" spans="3:22" hidden="1">
      <c r="C255">
        <v>2022</v>
      </c>
      <c r="D255" t="s">
        <v>1661</v>
      </c>
      <c r="F255">
        <v>2422999997</v>
      </c>
      <c r="G255" t="s">
        <v>1608</v>
      </c>
      <c r="H255" t="s">
        <v>1664</v>
      </c>
      <c r="J255" t="s">
        <v>106</v>
      </c>
      <c r="K255">
        <v>2000002582</v>
      </c>
      <c r="L255" t="s">
        <v>1664</v>
      </c>
      <c r="M255" s="1633">
        <v>57367500000</v>
      </c>
      <c r="N255">
        <v>1</v>
      </c>
      <c r="O255">
        <v>40</v>
      </c>
      <c r="P255" s="1633">
        <v>57367500000</v>
      </c>
      <c r="Q255" t="s">
        <v>106</v>
      </c>
      <c r="R255" s="2392">
        <v>44631</v>
      </c>
      <c r="S255" s="2393">
        <f t="shared" si="19"/>
        <v>1</v>
      </c>
      <c r="T255" s="2394">
        <f>IF(OR(J255="COP",J255="EURO",J255="GBP"),0,IF(J255="USD",VLOOKUP(R255,'TRM BanRep'!$A:$G,7,0)))</f>
        <v>0</v>
      </c>
      <c r="U255" s="2395">
        <f t="shared" si="21"/>
        <v>0</v>
      </c>
      <c r="V255" s="2395" t="str">
        <f t="shared" si="20"/>
        <v/>
      </c>
    </row>
    <row r="256" spans="3:22" hidden="1">
      <c r="C256">
        <v>2022</v>
      </c>
      <c r="D256" t="s">
        <v>1661</v>
      </c>
      <c r="F256">
        <v>2422999997</v>
      </c>
      <c r="G256" t="s">
        <v>1608</v>
      </c>
      <c r="H256" t="s">
        <v>1664</v>
      </c>
      <c r="J256" t="s">
        <v>106</v>
      </c>
      <c r="K256">
        <v>2000002603</v>
      </c>
      <c r="L256" t="s">
        <v>1664</v>
      </c>
      <c r="M256" s="1633">
        <v>19087500000</v>
      </c>
      <c r="N256">
        <v>1</v>
      </c>
      <c r="O256">
        <v>40</v>
      </c>
      <c r="P256" s="1633">
        <v>19087500000</v>
      </c>
      <c r="Q256" t="s">
        <v>106</v>
      </c>
      <c r="R256" s="2392">
        <v>44631</v>
      </c>
      <c r="S256" s="2393">
        <f t="shared" si="19"/>
        <v>1</v>
      </c>
      <c r="T256" s="2394">
        <f>IF(OR(J256="COP",J256="EURO",J256="GBP"),0,IF(J256="USD",VLOOKUP(R256,'TRM BanRep'!$A:$G,7,0)))</f>
        <v>0</v>
      </c>
      <c r="U256" s="2395">
        <f t="shared" si="21"/>
        <v>0</v>
      </c>
      <c r="V256" s="2395" t="str">
        <f t="shared" si="20"/>
        <v/>
      </c>
    </row>
    <row r="257" spans="3:22" hidden="1">
      <c r="C257">
        <v>2022</v>
      </c>
      <c r="D257" t="s">
        <v>1661</v>
      </c>
      <c r="F257">
        <v>2422999997</v>
      </c>
      <c r="G257" t="s">
        <v>1608</v>
      </c>
      <c r="H257" t="s">
        <v>1668</v>
      </c>
      <c r="J257" t="s">
        <v>106</v>
      </c>
      <c r="K257">
        <v>2000002605</v>
      </c>
      <c r="L257" t="s">
        <v>1668</v>
      </c>
      <c r="M257" s="1633">
        <v>18914000000</v>
      </c>
      <c r="N257">
        <v>1</v>
      </c>
      <c r="O257">
        <v>40</v>
      </c>
      <c r="P257" s="1633">
        <v>18914000000</v>
      </c>
      <c r="Q257" t="s">
        <v>106</v>
      </c>
      <c r="R257" s="2392">
        <v>44634</v>
      </c>
      <c r="S257" s="2393">
        <f t="shared" si="19"/>
        <v>1</v>
      </c>
      <c r="T257" s="2394">
        <f>IF(OR(J257="COP",J257="EURO",J257="GBP"),0,IF(J257="USD",VLOOKUP(R257,'TRM BanRep'!$A:$G,7,0)))</f>
        <v>0</v>
      </c>
      <c r="U257" s="2395">
        <f t="shared" si="21"/>
        <v>0</v>
      </c>
      <c r="V257" s="2395" t="str">
        <f t="shared" si="20"/>
        <v/>
      </c>
    </row>
    <row r="258" spans="3:22" hidden="1">
      <c r="C258">
        <v>2022</v>
      </c>
      <c r="D258" t="s">
        <v>1661</v>
      </c>
      <c r="F258">
        <v>2422999997</v>
      </c>
      <c r="G258" t="s">
        <v>1608</v>
      </c>
      <c r="H258" t="s">
        <v>1668</v>
      </c>
      <c r="J258" t="s">
        <v>106</v>
      </c>
      <c r="K258">
        <v>2000002606</v>
      </c>
      <c r="L258" t="s">
        <v>1668</v>
      </c>
      <c r="M258" s="1633">
        <v>18922500000</v>
      </c>
      <c r="N258">
        <v>1</v>
      </c>
      <c r="O258">
        <v>40</v>
      </c>
      <c r="P258" s="1633">
        <v>18922500000</v>
      </c>
      <c r="Q258" t="s">
        <v>106</v>
      </c>
      <c r="R258" s="2392">
        <v>44634</v>
      </c>
      <c r="S258" s="2393">
        <f t="shared" si="19"/>
        <v>1</v>
      </c>
      <c r="T258" s="2394">
        <f>IF(OR(J258="COP",J258="EURO",J258="GBP"),0,IF(J258="USD",VLOOKUP(R258,'TRM BanRep'!$A:$G,7,0)))</f>
        <v>0</v>
      </c>
      <c r="U258" s="2395">
        <f t="shared" si="21"/>
        <v>0</v>
      </c>
      <c r="V258" s="2395" t="str">
        <f t="shared" si="20"/>
        <v/>
      </c>
    </row>
    <row r="259" spans="3:22" hidden="1">
      <c r="C259">
        <v>2022</v>
      </c>
      <c r="D259" t="s">
        <v>1661</v>
      </c>
      <c r="F259">
        <v>2422999997</v>
      </c>
      <c r="G259" t="s">
        <v>1608</v>
      </c>
      <c r="H259" t="s">
        <v>1668</v>
      </c>
      <c r="J259" t="s">
        <v>106</v>
      </c>
      <c r="K259">
        <v>2000002607</v>
      </c>
      <c r="L259" t="s">
        <v>1668</v>
      </c>
      <c r="M259" s="1633">
        <v>38037900000</v>
      </c>
      <c r="N259">
        <v>1</v>
      </c>
      <c r="O259">
        <v>40</v>
      </c>
      <c r="P259" s="1633">
        <v>38037900000</v>
      </c>
      <c r="Q259" t="s">
        <v>106</v>
      </c>
      <c r="R259" s="2392">
        <v>44634</v>
      </c>
      <c r="S259" s="2393">
        <f t="shared" si="19"/>
        <v>1</v>
      </c>
      <c r="T259" s="2394">
        <f>IF(OR(J259="COP",J259="EURO",J259="GBP"),0,IF(J259="USD",VLOOKUP(R259,'TRM BanRep'!$A:$G,7,0)))</f>
        <v>0</v>
      </c>
      <c r="U259" s="2395">
        <f t="shared" si="21"/>
        <v>0</v>
      </c>
      <c r="V259" s="2395" t="str">
        <f t="shared" si="20"/>
        <v/>
      </c>
    </row>
    <row r="260" spans="3:22" hidden="1">
      <c r="C260">
        <v>2022</v>
      </c>
      <c r="D260" t="s">
        <v>1661</v>
      </c>
      <c r="F260">
        <v>2422999997</v>
      </c>
      <c r="G260" t="s">
        <v>1608</v>
      </c>
      <c r="H260" t="s">
        <v>1672</v>
      </c>
      <c r="J260" t="s">
        <v>106</v>
      </c>
      <c r="K260">
        <v>2000002608</v>
      </c>
      <c r="L260" t="s">
        <v>1672</v>
      </c>
      <c r="M260" s="1633">
        <v>3305900010</v>
      </c>
      <c r="N260">
        <v>1</v>
      </c>
      <c r="O260">
        <v>40</v>
      </c>
      <c r="P260" s="1633">
        <v>3305900010</v>
      </c>
      <c r="Q260" t="s">
        <v>106</v>
      </c>
      <c r="R260" s="2392">
        <v>44636</v>
      </c>
      <c r="S260" s="2393">
        <f t="shared" si="19"/>
        <v>1</v>
      </c>
      <c r="T260" s="2394">
        <f>IF(OR(J260="COP",J260="EURO",J260="GBP"),0,IF(J260="USD",VLOOKUP(R260,'TRM BanRep'!$A:$G,7,0)))</f>
        <v>0</v>
      </c>
      <c r="U260" s="2395">
        <f t="shared" si="21"/>
        <v>0</v>
      </c>
      <c r="V260" s="2395" t="str">
        <f t="shared" si="20"/>
        <v/>
      </c>
    </row>
    <row r="261" spans="3:22" hidden="1">
      <c r="C261">
        <v>2022</v>
      </c>
      <c r="D261" t="s">
        <v>1661</v>
      </c>
      <c r="F261">
        <v>2422999997</v>
      </c>
      <c r="G261" t="s">
        <v>1608</v>
      </c>
      <c r="H261" t="s">
        <v>1672</v>
      </c>
      <c r="J261" t="s">
        <v>106</v>
      </c>
      <c r="K261">
        <v>2000002609</v>
      </c>
      <c r="L261" t="s">
        <v>1672</v>
      </c>
      <c r="M261" s="1633">
        <v>4699999986</v>
      </c>
      <c r="N261">
        <v>1</v>
      </c>
      <c r="O261">
        <v>40</v>
      </c>
      <c r="P261" s="1633">
        <v>4699999986</v>
      </c>
      <c r="Q261" t="s">
        <v>106</v>
      </c>
      <c r="R261" s="2392">
        <v>44636</v>
      </c>
      <c r="S261" s="2393">
        <f t="shared" si="19"/>
        <v>1</v>
      </c>
      <c r="T261" s="2394">
        <f>IF(OR(J261="COP",J261="EURO",J261="GBP"),0,IF(J261="USD",VLOOKUP(R261,'TRM BanRep'!$A:$G,7,0)))</f>
        <v>0</v>
      </c>
      <c r="U261" s="2395">
        <f t="shared" si="21"/>
        <v>0</v>
      </c>
      <c r="V261" s="2395" t="str">
        <f t="shared" si="20"/>
        <v/>
      </c>
    </row>
    <row r="262" spans="3:22" hidden="1">
      <c r="C262">
        <v>2022</v>
      </c>
      <c r="D262" t="s">
        <v>1661</v>
      </c>
      <c r="F262">
        <v>2422999997</v>
      </c>
      <c r="G262" t="s">
        <v>1608</v>
      </c>
      <c r="H262" t="s">
        <v>1672</v>
      </c>
      <c r="J262" t="s">
        <v>106</v>
      </c>
      <c r="K262">
        <v>2000002610</v>
      </c>
      <c r="L262" t="s">
        <v>1672</v>
      </c>
      <c r="M262" s="1633">
        <v>6890400000</v>
      </c>
      <c r="N262">
        <v>1</v>
      </c>
      <c r="O262">
        <v>40</v>
      </c>
      <c r="P262" s="1633">
        <v>6890400000</v>
      </c>
      <c r="Q262" t="s">
        <v>106</v>
      </c>
      <c r="R262" s="2392">
        <v>44636</v>
      </c>
      <c r="S262" s="2393">
        <f t="shared" ref="S262:S308" si="22">+ROUND(P262/M262,2)</f>
        <v>1</v>
      </c>
      <c r="T262" s="2394">
        <f>IF(OR(J262="COP",J262="EURO",J262="GBP"),0,IF(J262="USD",VLOOKUP(R262,'TRM BanRep'!$A:$G,7,0)))</f>
        <v>0</v>
      </c>
      <c r="U262" s="2395">
        <f t="shared" si="21"/>
        <v>0</v>
      </c>
      <c r="V262" s="2395" t="str">
        <f t="shared" si="20"/>
        <v/>
      </c>
    </row>
    <row r="263" spans="3:22" hidden="1">
      <c r="C263">
        <v>2022</v>
      </c>
      <c r="D263" t="s">
        <v>1661</v>
      </c>
      <c r="F263">
        <v>2422999997</v>
      </c>
      <c r="G263" t="s">
        <v>1608</v>
      </c>
      <c r="H263" t="s">
        <v>1672</v>
      </c>
      <c r="J263" t="s">
        <v>106</v>
      </c>
      <c r="K263">
        <v>2000002611</v>
      </c>
      <c r="L263" t="s">
        <v>1672</v>
      </c>
      <c r="M263" s="1633">
        <v>5355000000</v>
      </c>
      <c r="N263">
        <v>1</v>
      </c>
      <c r="O263">
        <v>40</v>
      </c>
      <c r="P263" s="1633">
        <v>5355000000</v>
      </c>
      <c r="Q263" t="s">
        <v>106</v>
      </c>
      <c r="R263" s="2392">
        <v>44636</v>
      </c>
      <c r="S263" s="2393">
        <f t="shared" si="22"/>
        <v>1</v>
      </c>
      <c r="T263" s="2394">
        <f>IF(OR(J263="COP",J263="EURO",J263="GBP"),0,IF(J263="USD",VLOOKUP(R263,'TRM BanRep'!$A:$G,7,0)))</f>
        <v>0</v>
      </c>
      <c r="U263" s="2395">
        <f t="shared" si="21"/>
        <v>0</v>
      </c>
      <c r="V263" s="2395" t="str">
        <f t="shared" ref="V263:V326" si="23">IF(U263=0,"",IF(U263&gt;0,"2-GASTO","1-INGRESO"))</f>
        <v/>
      </c>
    </row>
    <row r="264" spans="3:22" hidden="1">
      <c r="C264">
        <v>2022</v>
      </c>
      <c r="D264" t="s">
        <v>1661</v>
      </c>
      <c r="F264">
        <v>2422999997</v>
      </c>
      <c r="G264" t="s">
        <v>1608</v>
      </c>
      <c r="H264" t="s">
        <v>1672</v>
      </c>
      <c r="J264" t="s">
        <v>106</v>
      </c>
      <c r="K264">
        <v>2000002612</v>
      </c>
      <c r="L264" t="s">
        <v>1672</v>
      </c>
      <c r="M264" s="1633">
        <v>22975200000</v>
      </c>
      <c r="N264">
        <v>1</v>
      </c>
      <c r="O264">
        <v>40</v>
      </c>
      <c r="P264" s="1633">
        <v>22975200000</v>
      </c>
      <c r="Q264" t="s">
        <v>106</v>
      </c>
      <c r="R264" s="2392">
        <v>44636</v>
      </c>
      <c r="S264" s="2393">
        <f t="shared" si="22"/>
        <v>1</v>
      </c>
      <c r="T264" s="2394">
        <f>IF(OR(J264="COP",J264="EURO",J264="GBP"),0,IF(J264="USD",VLOOKUP(R264,'TRM BanRep'!$A:$G,7,0)))</f>
        <v>0</v>
      </c>
      <c r="U264" s="2395">
        <f t="shared" si="21"/>
        <v>0</v>
      </c>
      <c r="V264" s="2395" t="str">
        <f t="shared" si="23"/>
        <v/>
      </c>
    </row>
    <row r="265" spans="3:22" hidden="1">
      <c r="C265">
        <v>2022</v>
      </c>
      <c r="D265" t="s">
        <v>1661</v>
      </c>
      <c r="F265">
        <v>2422999997</v>
      </c>
      <c r="G265" t="s">
        <v>1608</v>
      </c>
      <c r="H265" t="s">
        <v>1672</v>
      </c>
      <c r="J265" t="s">
        <v>106</v>
      </c>
      <c r="K265">
        <v>2000002613</v>
      </c>
      <c r="L265" t="s">
        <v>1672</v>
      </c>
      <c r="M265" s="1633">
        <v>3827600000</v>
      </c>
      <c r="N265">
        <v>1</v>
      </c>
      <c r="O265">
        <v>40</v>
      </c>
      <c r="P265" s="1633">
        <v>3827600000</v>
      </c>
      <c r="Q265" t="s">
        <v>106</v>
      </c>
      <c r="R265" s="2392">
        <v>44636</v>
      </c>
      <c r="S265" s="2393">
        <f t="shared" si="22"/>
        <v>1</v>
      </c>
      <c r="T265" s="2394">
        <f>IF(OR(J265="COP",J265="EURO",J265="GBP"),0,IF(J265="USD",VLOOKUP(R265,'TRM BanRep'!$A:$G,7,0)))</f>
        <v>0</v>
      </c>
      <c r="U265" s="2395">
        <f t="shared" si="21"/>
        <v>0</v>
      </c>
      <c r="V265" s="2395" t="str">
        <f t="shared" si="23"/>
        <v/>
      </c>
    </row>
    <row r="266" spans="3:22" hidden="1">
      <c r="C266">
        <v>2022</v>
      </c>
      <c r="D266" t="s">
        <v>1661</v>
      </c>
      <c r="F266">
        <v>2422999997</v>
      </c>
      <c r="G266" t="s">
        <v>1608</v>
      </c>
      <c r="H266" t="s">
        <v>1694</v>
      </c>
      <c r="J266" t="s">
        <v>106</v>
      </c>
      <c r="K266">
        <v>2000002614</v>
      </c>
      <c r="L266" t="s">
        <v>1694</v>
      </c>
      <c r="M266" s="1633">
        <v>384469309</v>
      </c>
      <c r="N266">
        <v>1</v>
      </c>
      <c r="O266">
        <v>40</v>
      </c>
      <c r="P266" s="1633">
        <v>384469309</v>
      </c>
      <c r="Q266" t="s">
        <v>106</v>
      </c>
      <c r="R266" s="2392">
        <v>44627</v>
      </c>
      <c r="S266" s="2393">
        <f t="shared" si="22"/>
        <v>1</v>
      </c>
      <c r="T266" s="2394">
        <f>IF(OR(J266="COP",J266="EURO",J266="GBP"),0,IF(J266="USD",VLOOKUP(R266,'TRM BanRep'!$A:$G,7,0)))</f>
        <v>0</v>
      </c>
      <c r="U266" s="2395">
        <f t="shared" si="21"/>
        <v>0</v>
      </c>
      <c r="V266" s="2395" t="str">
        <f t="shared" si="23"/>
        <v/>
      </c>
    </row>
    <row r="267" spans="3:22" hidden="1">
      <c r="C267">
        <v>2022</v>
      </c>
      <c r="D267" t="s">
        <v>1661</v>
      </c>
      <c r="F267">
        <v>2422999997</v>
      </c>
      <c r="G267" t="s">
        <v>1608</v>
      </c>
      <c r="H267" t="s">
        <v>1746</v>
      </c>
      <c r="J267" t="s">
        <v>106</v>
      </c>
      <c r="K267">
        <v>2000002615</v>
      </c>
      <c r="L267" t="s">
        <v>1746</v>
      </c>
      <c r="M267" s="1633">
        <v>1523750000</v>
      </c>
      <c r="N267">
        <v>1</v>
      </c>
      <c r="O267">
        <v>40</v>
      </c>
      <c r="P267" s="1633">
        <v>1523750000</v>
      </c>
      <c r="Q267" t="s">
        <v>106</v>
      </c>
      <c r="R267" s="2392">
        <v>44645</v>
      </c>
      <c r="S267" s="2393">
        <f t="shared" si="22"/>
        <v>1</v>
      </c>
      <c r="T267" s="2394">
        <f>IF(OR(J267="COP",J267="EURO",J267="GBP"),0,IF(J267="USD",VLOOKUP(R267,'TRM BanRep'!$A:$G,7,0)))</f>
        <v>0</v>
      </c>
      <c r="U267" s="2395">
        <f t="shared" si="21"/>
        <v>0</v>
      </c>
      <c r="V267" s="2395" t="str">
        <f t="shared" si="23"/>
        <v/>
      </c>
    </row>
    <row r="268" spans="3:22" hidden="1">
      <c r="C268">
        <v>2022</v>
      </c>
      <c r="D268" t="s">
        <v>1661</v>
      </c>
      <c r="F268">
        <v>2422999997</v>
      </c>
      <c r="G268" t="s">
        <v>1608</v>
      </c>
      <c r="H268" t="s">
        <v>1664</v>
      </c>
      <c r="J268" t="s">
        <v>106</v>
      </c>
      <c r="K268">
        <v>2000002705</v>
      </c>
      <c r="L268" t="s">
        <v>1664</v>
      </c>
      <c r="M268" s="1633">
        <v>19050000000</v>
      </c>
      <c r="N268">
        <v>1</v>
      </c>
      <c r="O268">
        <v>40</v>
      </c>
      <c r="P268" s="1633">
        <v>19050000000</v>
      </c>
      <c r="Q268" t="s">
        <v>106</v>
      </c>
      <c r="R268" s="2392">
        <v>44631</v>
      </c>
      <c r="S268" s="2393">
        <f t="shared" si="22"/>
        <v>1</v>
      </c>
      <c r="T268" s="2394">
        <f>IF(OR(J268="COP",J268="EURO",J268="GBP"),0,IF(J268="USD",VLOOKUP(R268,'TRM BanRep'!$A:$G,7,0)))</f>
        <v>0</v>
      </c>
      <c r="U268" s="2395">
        <f t="shared" si="21"/>
        <v>0</v>
      </c>
      <c r="V268" s="2395" t="str">
        <f t="shared" si="23"/>
        <v/>
      </c>
    </row>
    <row r="269" spans="3:22" hidden="1">
      <c r="C269">
        <v>2022</v>
      </c>
      <c r="D269" t="s">
        <v>1661</v>
      </c>
      <c r="F269">
        <v>2422999997</v>
      </c>
      <c r="G269" t="s">
        <v>1608</v>
      </c>
      <c r="H269" t="s">
        <v>1668</v>
      </c>
      <c r="J269" t="s">
        <v>106</v>
      </c>
      <c r="K269">
        <v>2000002706</v>
      </c>
      <c r="L269" t="s">
        <v>1668</v>
      </c>
      <c r="M269" s="1633">
        <v>37888000000</v>
      </c>
      <c r="N269">
        <v>1</v>
      </c>
      <c r="O269">
        <v>40</v>
      </c>
      <c r="P269" s="1633">
        <v>37888000000</v>
      </c>
      <c r="Q269" t="s">
        <v>106</v>
      </c>
      <c r="R269" s="2392">
        <v>44634</v>
      </c>
      <c r="S269" s="2393">
        <f t="shared" si="22"/>
        <v>1</v>
      </c>
      <c r="T269" s="2394">
        <f>IF(OR(J269="COP",J269="EURO",J269="GBP"),0,IF(J269="USD",VLOOKUP(R269,'TRM BanRep'!$A:$G,7,0)))</f>
        <v>0</v>
      </c>
      <c r="U269" s="2395">
        <f t="shared" si="21"/>
        <v>0</v>
      </c>
      <c r="V269" s="2395" t="str">
        <f t="shared" si="23"/>
        <v/>
      </c>
    </row>
    <row r="270" spans="3:22" hidden="1">
      <c r="C270">
        <v>2022</v>
      </c>
      <c r="D270" t="s">
        <v>1661</v>
      </c>
      <c r="F270">
        <v>2422999997</v>
      </c>
      <c r="G270" t="s">
        <v>1608</v>
      </c>
      <c r="H270" t="s">
        <v>1668</v>
      </c>
      <c r="J270" t="s">
        <v>106</v>
      </c>
      <c r="K270">
        <v>2000002707</v>
      </c>
      <c r="L270" t="s">
        <v>1668</v>
      </c>
      <c r="M270" s="1633">
        <v>37929000000</v>
      </c>
      <c r="N270">
        <v>1</v>
      </c>
      <c r="O270">
        <v>40</v>
      </c>
      <c r="P270" s="1633">
        <v>37929000000</v>
      </c>
      <c r="Q270" t="s">
        <v>106</v>
      </c>
      <c r="R270" s="2392">
        <v>44634</v>
      </c>
      <c r="S270" s="2393">
        <f t="shared" si="22"/>
        <v>1</v>
      </c>
      <c r="T270" s="2394">
        <f>IF(OR(J270="COP",J270="EURO",J270="GBP"),0,IF(J270="USD",VLOOKUP(R270,'TRM BanRep'!$A:$G,7,0)))</f>
        <v>0</v>
      </c>
      <c r="U270" s="2395">
        <f t="shared" si="21"/>
        <v>0</v>
      </c>
      <c r="V270" s="2395" t="str">
        <f t="shared" si="23"/>
        <v/>
      </c>
    </row>
    <row r="271" spans="3:22" hidden="1">
      <c r="C271">
        <v>2022</v>
      </c>
      <c r="D271" t="s">
        <v>1661</v>
      </c>
      <c r="F271">
        <v>2422999997</v>
      </c>
      <c r="G271" t="s">
        <v>1608</v>
      </c>
      <c r="H271" t="s">
        <v>1668</v>
      </c>
      <c r="J271" t="s">
        <v>106</v>
      </c>
      <c r="K271">
        <v>2000002708</v>
      </c>
      <c r="L271" t="s">
        <v>1668</v>
      </c>
      <c r="M271" s="1633">
        <v>38080000000</v>
      </c>
      <c r="N271">
        <v>1</v>
      </c>
      <c r="O271">
        <v>40</v>
      </c>
      <c r="P271" s="1633">
        <v>38080000000</v>
      </c>
      <c r="Q271" t="s">
        <v>106</v>
      </c>
      <c r="R271" s="2392">
        <v>44634</v>
      </c>
      <c r="S271" s="2393">
        <f t="shared" si="22"/>
        <v>1</v>
      </c>
      <c r="T271" s="2394">
        <f>IF(OR(J271="COP",J271="EURO",J271="GBP"),0,IF(J271="USD",VLOOKUP(R271,'TRM BanRep'!$A:$G,7,0)))</f>
        <v>0</v>
      </c>
      <c r="U271" s="2395">
        <f t="shared" si="21"/>
        <v>0</v>
      </c>
      <c r="V271" s="2395" t="str">
        <f t="shared" si="23"/>
        <v/>
      </c>
    </row>
    <row r="272" spans="3:22" hidden="1">
      <c r="C272">
        <v>2022</v>
      </c>
      <c r="D272" t="s">
        <v>1661</v>
      </c>
      <c r="F272">
        <v>2422999997</v>
      </c>
      <c r="G272" t="s">
        <v>1608</v>
      </c>
      <c r="H272" t="s">
        <v>1668</v>
      </c>
      <c r="J272" t="s">
        <v>106</v>
      </c>
      <c r="K272">
        <v>2000002709</v>
      </c>
      <c r="L272" t="s">
        <v>1668</v>
      </c>
      <c r="M272" s="1633">
        <v>38050000000</v>
      </c>
      <c r="N272">
        <v>1</v>
      </c>
      <c r="O272">
        <v>40</v>
      </c>
      <c r="P272" s="1633">
        <v>38050000000</v>
      </c>
      <c r="Q272" t="s">
        <v>106</v>
      </c>
      <c r="R272" s="2392">
        <v>44634</v>
      </c>
      <c r="S272" s="2393">
        <f t="shared" si="22"/>
        <v>1</v>
      </c>
      <c r="T272" s="2394">
        <f>IF(OR(J272="COP",J272="EURO",J272="GBP"),0,IF(J272="USD",VLOOKUP(R272,'TRM BanRep'!$A:$G,7,0)))</f>
        <v>0</v>
      </c>
      <c r="U272" s="2395">
        <f t="shared" ref="U272:U308" si="24">IF(F272=2422999997,-IF(T272=0,0,(T272-S272)*M272),IF(T272=0,0,(T272-S272)*M272))</f>
        <v>0</v>
      </c>
      <c r="V272" s="2395" t="str">
        <f t="shared" si="23"/>
        <v/>
      </c>
    </row>
    <row r="273" spans="3:22" hidden="1">
      <c r="C273">
        <v>2022</v>
      </c>
      <c r="D273" t="s">
        <v>1661</v>
      </c>
      <c r="F273">
        <v>2422999997</v>
      </c>
      <c r="G273" t="s">
        <v>1608</v>
      </c>
      <c r="H273" t="s">
        <v>1668</v>
      </c>
      <c r="J273" t="s">
        <v>106</v>
      </c>
      <c r="K273">
        <v>2000002710</v>
      </c>
      <c r="L273" t="s">
        <v>1668</v>
      </c>
      <c r="M273" s="1633">
        <v>38080000000</v>
      </c>
      <c r="N273">
        <v>1</v>
      </c>
      <c r="O273">
        <v>40</v>
      </c>
      <c r="P273" s="1633">
        <v>38080000000</v>
      </c>
      <c r="Q273" t="s">
        <v>106</v>
      </c>
      <c r="R273" s="2392">
        <v>44634</v>
      </c>
      <c r="S273" s="2393">
        <f t="shared" si="22"/>
        <v>1</v>
      </c>
      <c r="T273" s="2394">
        <f>IF(OR(J273="COP",J273="EURO",J273="GBP"),0,IF(J273="USD",VLOOKUP(R273,'TRM BanRep'!$A:$G,7,0)))</f>
        <v>0</v>
      </c>
      <c r="U273" s="2395">
        <f t="shared" si="24"/>
        <v>0</v>
      </c>
      <c r="V273" s="2395" t="str">
        <f t="shared" si="23"/>
        <v/>
      </c>
    </row>
    <row r="274" spans="3:22" hidden="1">
      <c r="C274">
        <v>2022</v>
      </c>
      <c r="D274" t="s">
        <v>1661</v>
      </c>
      <c r="F274">
        <v>2422999997</v>
      </c>
      <c r="G274" t="s">
        <v>1608</v>
      </c>
      <c r="H274" t="s">
        <v>1672</v>
      </c>
      <c r="J274" t="s">
        <v>106</v>
      </c>
      <c r="K274">
        <v>2000002711</v>
      </c>
      <c r="L274" t="s">
        <v>1672</v>
      </c>
      <c r="M274" s="1633">
        <v>32362147461</v>
      </c>
      <c r="N274">
        <v>1</v>
      </c>
      <c r="O274">
        <v>40</v>
      </c>
      <c r="P274" s="1633">
        <v>32362147461</v>
      </c>
      <c r="Q274" t="s">
        <v>106</v>
      </c>
      <c r="R274" s="2392">
        <v>44636</v>
      </c>
      <c r="S274" s="2393">
        <f t="shared" si="22"/>
        <v>1</v>
      </c>
      <c r="T274" s="2394">
        <f>IF(OR(J274="COP",J274="EURO",J274="GBP"),0,IF(J274="USD",VLOOKUP(R274,'TRM BanRep'!$A:$G,7,0)))</f>
        <v>0</v>
      </c>
      <c r="U274" s="2395">
        <f t="shared" si="24"/>
        <v>0</v>
      </c>
      <c r="V274" s="2395" t="str">
        <f t="shared" si="23"/>
        <v/>
      </c>
    </row>
    <row r="275" spans="3:22" hidden="1">
      <c r="C275">
        <v>2022</v>
      </c>
      <c r="D275" t="s">
        <v>1661</v>
      </c>
      <c r="F275">
        <v>2422999997</v>
      </c>
      <c r="G275" t="s">
        <v>1608</v>
      </c>
      <c r="H275" t="s">
        <v>1672</v>
      </c>
      <c r="J275" t="s">
        <v>106</v>
      </c>
      <c r="K275">
        <v>2000002712</v>
      </c>
      <c r="L275" t="s">
        <v>1672</v>
      </c>
      <c r="M275" s="1633">
        <v>5837852539</v>
      </c>
      <c r="N275">
        <v>1</v>
      </c>
      <c r="O275">
        <v>40</v>
      </c>
      <c r="P275" s="1633">
        <v>5837852539</v>
      </c>
      <c r="Q275" t="s">
        <v>106</v>
      </c>
      <c r="R275" s="2392">
        <v>44636</v>
      </c>
      <c r="S275" s="2393">
        <f t="shared" si="22"/>
        <v>1</v>
      </c>
      <c r="T275" s="2394">
        <f>IF(OR(J275="COP",J275="EURO",J275="GBP"),0,IF(J275="USD",VLOOKUP(R275,'TRM BanRep'!$A:$G,7,0)))</f>
        <v>0</v>
      </c>
      <c r="U275" s="2395">
        <f t="shared" si="24"/>
        <v>0</v>
      </c>
      <c r="V275" s="2395" t="str">
        <f t="shared" si="23"/>
        <v/>
      </c>
    </row>
    <row r="276" spans="3:22" hidden="1">
      <c r="C276">
        <v>2022</v>
      </c>
      <c r="D276" t="s">
        <v>1661</v>
      </c>
      <c r="F276">
        <v>2422999997</v>
      </c>
      <c r="G276" t="s">
        <v>1608</v>
      </c>
      <c r="H276" t="s">
        <v>1672</v>
      </c>
      <c r="J276" t="s">
        <v>106</v>
      </c>
      <c r="K276">
        <v>2000002713</v>
      </c>
      <c r="L276" t="s">
        <v>1672</v>
      </c>
      <c r="M276" s="1633">
        <v>5731800000</v>
      </c>
      <c r="N276">
        <v>1</v>
      </c>
      <c r="O276">
        <v>40</v>
      </c>
      <c r="P276" s="1633">
        <v>5731800000</v>
      </c>
      <c r="Q276" t="s">
        <v>106</v>
      </c>
      <c r="R276" s="2392">
        <v>44636</v>
      </c>
      <c r="S276" s="2393">
        <f t="shared" si="22"/>
        <v>1</v>
      </c>
      <c r="T276" s="2394">
        <f>IF(OR(J276="COP",J276="EURO",J276="GBP"),0,IF(J276="USD",VLOOKUP(R276,'TRM BanRep'!$A:$G,7,0)))</f>
        <v>0</v>
      </c>
      <c r="U276" s="2395">
        <f t="shared" si="24"/>
        <v>0</v>
      </c>
      <c r="V276" s="2395" t="str">
        <f t="shared" si="23"/>
        <v/>
      </c>
    </row>
    <row r="277" spans="3:22" hidden="1">
      <c r="C277">
        <v>2022</v>
      </c>
      <c r="D277" t="s">
        <v>1661</v>
      </c>
      <c r="F277">
        <v>2422999997</v>
      </c>
      <c r="G277" t="s">
        <v>1608</v>
      </c>
      <c r="H277" t="s">
        <v>1664</v>
      </c>
      <c r="J277" t="s">
        <v>106</v>
      </c>
      <c r="K277">
        <v>2000002714</v>
      </c>
      <c r="L277" t="s">
        <v>1664</v>
      </c>
      <c r="M277" s="1633">
        <v>57517500000</v>
      </c>
      <c r="N277">
        <v>1</v>
      </c>
      <c r="O277">
        <v>40</v>
      </c>
      <c r="P277" s="1633">
        <v>57517500000</v>
      </c>
      <c r="Q277" t="s">
        <v>106</v>
      </c>
      <c r="R277" s="2392">
        <v>44631</v>
      </c>
      <c r="S277" s="2393">
        <f t="shared" si="22"/>
        <v>1</v>
      </c>
      <c r="T277" s="2394">
        <f>IF(OR(J277="COP",J277="EURO",J277="GBP"),0,IF(J277="USD",VLOOKUP(R277,'TRM BanRep'!$A:$G,7,0)))</f>
        <v>0</v>
      </c>
      <c r="U277" s="2395">
        <f t="shared" si="24"/>
        <v>0</v>
      </c>
      <c r="V277" s="2395" t="str">
        <f t="shared" si="23"/>
        <v/>
      </c>
    </row>
    <row r="278" spans="3:22" hidden="1">
      <c r="C278">
        <v>2022</v>
      </c>
      <c r="D278" t="s">
        <v>1661</v>
      </c>
      <c r="F278">
        <v>2422999997</v>
      </c>
      <c r="G278" t="s">
        <v>1608</v>
      </c>
      <c r="H278" t="s">
        <v>1664</v>
      </c>
      <c r="J278" t="s">
        <v>106</v>
      </c>
      <c r="K278">
        <v>2000002715</v>
      </c>
      <c r="L278" t="s">
        <v>1664</v>
      </c>
      <c r="M278" s="1633">
        <v>57487500000</v>
      </c>
      <c r="N278">
        <v>1</v>
      </c>
      <c r="O278">
        <v>40</v>
      </c>
      <c r="P278" s="1633">
        <v>57487500000</v>
      </c>
      <c r="Q278" t="s">
        <v>106</v>
      </c>
      <c r="R278" s="2392">
        <v>44631</v>
      </c>
      <c r="S278" s="2393">
        <f t="shared" si="22"/>
        <v>1</v>
      </c>
      <c r="T278" s="2394">
        <f>IF(OR(J278="COP",J278="EURO",J278="GBP"),0,IF(J278="USD",VLOOKUP(R278,'TRM BanRep'!$A:$G,7,0)))</f>
        <v>0</v>
      </c>
      <c r="U278" s="2395">
        <f t="shared" si="24"/>
        <v>0</v>
      </c>
      <c r="V278" s="2395" t="str">
        <f t="shared" si="23"/>
        <v/>
      </c>
    </row>
    <row r="279" spans="3:22" hidden="1">
      <c r="C279">
        <v>2022</v>
      </c>
      <c r="D279" t="s">
        <v>1661</v>
      </c>
      <c r="F279">
        <v>2422999997</v>
      </c>
      <c r="G279" t="s">
        <v>1608</v>
      </c>
      <c r="H279" t="s">
        <v>1662</v>
      </c>
      <c r="J279" t="s">
        <v>106</v>
      </c>
      <c r="K279">
        <v>2000002726</v>
      </c>
      <c r="L279" t="s">
        <v>1662</v>
      </c>
      <c r="M279" s="1633">
        <v>4732320606</v>
      </c>
      <c r="N279">
        <v>1</v>
      </c>
      <c r="O279">
        <v>40</v>
      </c>
      <c r="P279" s="1633">
        <v>4732320606</v>
      </c>
      <c r="Q279" t="s">
        <v>106</v>
      </c>
      <c r="R279" s="2392">
        <v>44623</v>
      </c>
      <c r="S279" s="2393">
        <f t="shared" si="22"/>
        <v>1</v>
      </c>
      <c r="T279" s="2394">
        <f>IF(OR(J279="COP",J279="EURO",J279="GBP"),0,IF(J279="USD",VLOOKUP(R279,'TRM BanRep'!$A:$G,7,0)))</f>
        <v>0</v>
      </c>
      <c r="U279" s="2395">
        <f t="shared" si="24"/>
        <v>0</v>
      </c>
      <c r="V279" s="2395" t="str">
        <f t="shared" si="23"/>
        <v/>
      </c>
    </row>
    <row r="280" spans="3:22" hidden="1">
      <c r="C280">
        <v>2022</v>
      </c>
      <c r="D280" t="s">
        <v>1661</v>
      </c>
      <c r="F280">
        <v>2422999997</v>
      </c>
      <c r="G280" t="s">
        <v>1608</v>
      </c>
      <c r="H280" t="s">
        <v>1672</v>
      </c>
      <c r="J280" t="s">
        <v>106</v>
      </c>
      <c r="K280">
        <v>2000002743</v>
      </c>
      <c r="L280" t="s">
        <v>1672</v>
      </c>
      <c r="M280" s="1633">
        <v>1930000004</v>
      </c>
      <c r="N280">
        <v>1</v>
      </c>
      <c r="O280">
        <v>40</v>
      </c>
      <c r="P280" s="1633">
        <v>1930000004</v>
      </c>
      <c r="Q280" t="s">
        <v>106</v>
      </c>
      <c r="R280" s="2392">
        <v>44636</v>
      </c>
      <c r="S280" s="2393">
        <f t="shared" si="22"/>
        <v>1</v>
      </c>
      <c r="T280" s="2394">
        <f>IF(OR(J280="COP",J280="EURO",J280="GBP"),0,IF(J280="USD",VLOOKUP(R280,'TRM BanRep'!$A:$G,7,0)))</f>
        <v>0</v>
      </c>
      <c r="U280" s="2395">
        <f t="shared" si="24"/>
        <v>0</v>
      </c>
      <c r="V280" s="2395" t="str">
        <f t="shared" si="23"/>
        <v/>
      </c>
    </row>
    <row r="281" spans="3:22" hidden="1">
      <c r="C281">
        <v>2022</v>
      </c>
      <c r="D281" t="s">
        <v>1661</v>
      </c>
      <c r="F281">
        <v>2422999997</v>
      </c>
      <c r="G281" t="s">
        <v>1608</v>
      </c>
      <c r="H281" t="s">
        <v>1691</v>
      </c>
      <c r="J281" t="s">
        <v>106</v>
      </c>
      <c r="K281">
        <v>2000002744</v>
      </c>
      <c r="L281" t="s">
        <v>1691</v>
      </c>
      <c r="M281" s="1633">
        <v>6824700000</v>
      </c>
      <c r="N281">
        <v>1</v>
      </c>
      <c r="O281">
        <v>40</v>
      </c>
      <c r="P281" s="1633">
        <v>6824700000</v>
      </c>
      <c r="Q281" t="s">
        <v>106</v>
      </c>
      <c r="R281" s="2392">
        <v>44644</v>
      </c>
      <c r="S281" s="2393">
        <f t="shared" si="22"/>
        <v>1</v>
      </c>
      <c r="T281" s="2394">
        <f>IF(OR(J281="COP",J281="EURO",J281="GBP"),0,IF(J281="USD",VLOOKUP(R281,'TRM BanRep'!$A:$G,7,0)))</f>
        <v>0</v>
      </c>
      <c r="U281" s="2395">
        <f t="shared" si="24"/>
        <v>0</v>
      </c>
      <c r="V281" s="2395" t="str">
        <f t="shared" si="23"/>
        <v/>
      </c>
    </row>
    <row r="282" spans="3:22" hidden="1">
      <c r="C282">
        <v>2022</v>
      </c>
      <c r="D282" t="s">
        <v>1661</v>
      </c>
      <c r="F282">
        <v>2422999997</v>
      </c>
      <c r="G282" t="s">
        <v>1608</v>
      </c>
      <c r="H282" t="s">
        <v>1691</v>
      </c>
      <c r="J282" t="s">
        <v>106</v>
      </c>
      <c r="K282">
        <v>2000002745</v>
      </c>
      <c r="L282" t="s">
        <v>1691</v>
      </c>
      <c r="M282" s="1633">
        <v>790032396</v>
      </c>
      <c r="N282">
        <v>1</v>
      </c>
      <c r="O282">
        <v>40</v>
      </c>
      <c r="P282" s="1633">
        <v>790032396</v>
      </c>
      <c r="Q282" t="s">
        <v>106</v>
      </c>
      <c r="R282" s="2392">
        <v>44644</v>
      </c>
      <c r="S282" s="2393">
        <f t="shared" si="22"/>
        <v>1</v>
      </c>
      <c r="T282" s="2394">
        <f>IF(OR(J282="COP",J282="EURO",J282="GBP"),0,IF(J282="USD",VLOOKUP(R282,'TRM BanRep'!$A:$G,7,0)))</f>
        <v>0</v>
      </c>
      <c r="U282" s="2395">
        <f t="shared" si="24"/>
        <v>0</v>
      </c>
      <c r="V282" s="2395" t="str">
        <f t="shared" si="23"/>
        <v/>
      </c>
    </row>
    <row r="283" spans="3:22" hidden="1">
      <c r="C283">
        <v>2022</v>
      </c>
      <c r="D283" t="s">
        <v>1661</v>
      </c>
      <c r="F283">
        <v>2422999997</v>
      </c>
      <c r="G283" t="s">
        <v>1608</v>
      </c>
      <c r="H283" t="s">
        <v>1696</v>
      </c>
      <c r="J283" t="s">
        <v>106</v>
      </c>
      <c r="K283">
        <v>2000002754</v>
      </c>
      <c r="L283" t="s">
        <v>1696</v>
      </c>
      <c r="M283" s="1633">
        <v>3934792130</v>
      </c>
      <c r="N283">
        <v>1</v>
      </c>
      <c r="O283">
        <v>40</v>
      </c>
      <c r="P283" s="1633">
        <v>3934792130</v>
      </c>
      <c r="Q283" t="s">
        <v>106</v>
      </c>
      <c r="R283" s="2392">
        <v>44649</v>
      </c>
      <c r="S283" s="2393">
        <f t="shared" si="22"/>
        <v>1</v>
      </c>
      <c r="T283" s="2394">
        <f>IF(OR(J283="COP",J283="EURO",J283="GBP"),0,IF(J283="USD",VLOOKUP(R283,'TRM BanRep'!$A:$G,7,0)))</f>
        <v>0</v>
      </c>
      <c r="U283" s="2395">
        <f t="shared" si="24"/>
        <v>0</v>
      </c>
      <c r="V283" s="2395" t="str">
        <f t="shared" si="23"/>
        <v/>
      </c>
    </row>
    <row r="284" spans="3:22" hidden="1">
      <c r="C284">
        <v>2022</v>
      </c>
      <c r="D284" t="s">
        <v>1661</v>
      </c>
      <c r="F284">
        <v>2422999997</v>
      </c>
      <c r="G284" t="s">
        <v>1609</v>
      </c>
      <c r="H284" t="s">
        <v>1694</v>
      </c>
      <c r="I284" t="s">
        <v>1747</v>
      </c>
      <c r="J284" t="s">
        <v>106</v>
      </c>
      <c r="K284">
        <v>7900002436</v>
      </c>
      <c r="L284" t="s">
        <v>1694</v>
      </c>
      <c r="M284" s="1633">
        <v>-2360721352</v>
      </c>
      <c r="N284">
        <v>1</v>
      </c>
      <c r="O284">
        <v>50</v>
      </c>
      <c r="P284" s="1633">
        <v>-2360721352</v>
      </c>
      <c r="Q284" t="s">
        <v>106</v>
      </c>
      <c r="R284" s="2392">
        <v>44627</v>
      </c>
      <c r="S284" s="2393">
        <f t="shared" si="22"/>
        <v>1</v>
      </c>
      <c r="T284" s="2394">
        <f>IF(OR(J284="COP",J284="EURO",J284="GBP"),0,IF(J284="USD",VLOOKUP(R284,'TRM BanRep'!$A:$G,7,0)))</f>
        <v>0</v>
      </c>
      <c r="U284" s="2395">
        <f t="shared" si="24"/>
        <v>0</v>
      </c>
      <c r="V284" s="2395" t="str">
        <f t="shared" si="23"/>
        <v/>
      </c>
    </row>
    <row r="285" spans="3:22" hidden="1">
      <c r="C285">
        <v>2022</v>
      </c>
      <c r="D285" t="s">
        <v>1661</v>
      </c>
      <c r="F285">
        <v>2422999997</v>
      </c>
      <c r="G285" t="s">
        <v>1609</v>
      </c>
      <c r="H285" t="s">
        <v>1694</v>
      </c>
      <c r="I285" t="s">
        <v>1748</v>
      </c>
      <c r="J285" t="s">
        <v>106</v>
      </c>
      <c r="K285">
        <v>7900002437</v>
      </c>
      <c r="L285" t="s">
        <v>1694</v>
      </c>
      <c r="M285" s="1633">
        <v>-5968381320</v>
      </c>
      <c r="N285">
        <v>1</v>
      </c>
      <c r="O285">
        <v>50</v>
      </c>
      <c r="P285" s="1633">
        <v>-5968381320</v>
      </c>
      <c r="Q285" t="s">
        <v>106</v>
      </c>
      <c r="R285" s="2392">
        <v>44627</v>
      </c>
      <c r="S285" s="2393">
        <f t="shared" si="22"/>
        <v>1</v>
      </c>
      <c r="T285" s="2394">
        <f>IF(OR(J285="COP",J285="EURO",J285="GBP"),0,IF(J285="USD",VLOOKUP(R285,'TRM BanRep'!$A:$G,7,0)))</f>
        <v>0</v>
      </c>
      <c r="U285" s="2395">
        <f t="shared" si="24"/>
        <v>0</v>
      </c>
      <c r="V285" s="2395" t="str">
        <f t="shared" si="23"/>
        <v/>
      </c>
    </row>
    <row r="286" spans="3:22" hidden="1">
      <c r="C286">
        <v>2022</v>
      </c>
      <c r="D286" t="s">
        <v>1661</v>
      </c>
      <c r="F286">
        <v>2422999997</v>
      </c>
      <c r="G286" t="s">
        <v>1609</v>
      </c>
      <c r="H286" t="s">
        <v>1694</v>
      </c>
      <c r="I286" t="s">
        <v>1749</v>
      </c>
      <c r="J286" t="s">
        <v>106</v>
      </c>
      <c r="K286">
        <v>7900002438</v>
      </c>
      <c r="L286" t="s">
        <v>1694</v>
      </c>
      <c r="M286" s="1633">
        <v>-4762800984</v>
      </c>
      <c r="N286">
        <v>1</v>
      </c>
      <c r="O286">
        <v>50</v>
      </c>
      <c r="P286" s="1633">
        <v>-4762800984</v>
      </c>
      <c r="Q286" t="s">
        <v>106</v>
      </c>
      <c r="R286" s="2392">
        <v>44627</v>
      </c>
      <c r="S286" s="2393">
        <f t="shared" si="22"/>
        <v>1</v>
      </c>
      <c r="T286" s="2394">
        <f>IF(OR(J286="COP",J286="EURO",J286="GBP"),0,IF(J286="USD",VLOOKUP(R286,'TRM BanRep'!$A:$G,7,0)))</f>
        <v>0</v>
      </c>
      <c r="U286" s="2395">
        <f t="shared" si="24"/>
        <v>0</v>
      </c>
      <c r="V286" s="2395" t="str">
        <f t="shared" si="23"/>
        <v/>
      </c>
    </row>
    <row r="287" spans="3:22" hidden="1">
      <c r="C287">
        <v>2022</v>
      </c>
      <c r="D287" t="s">
        <v>1661</v>
      </c>
      <c r="F287">
        <v>2422999997</v>
      </c>
      <c r="G287" t="s">
        <v>1609</v>
      </c>
      <c r="H287" t="s">
        <v>1694</v>
      </c>
      <c r="I287" t="s">
        <v>1750</v>
      </c>
      <c r="J287" t="s">
        <v>106</v>
      </c>
      <c r="K287">
        <v>7900002439</v>
      </c>
      <c r="L287" t="s">
        <v>1694</v>
      </c>
      <c r="M287" s="1633">
        <v>-8099983170</v>
      </c>
      <c r="N287">
        <v>1</v>
      </c>
      <c r="O287">
        <v>50</v>
      </c>
      <c r="P287" s="1633">
        <v>-8099983170</v>
      </c>
      <c r="Q287" t="s">
        <v>106</v>
      </c>
      <c r="R287" s="2392">
        <v>44627</v>
      </c>
      <c r="S287" s="2393">
        <f t="shared" si="22"/>
        <v>1</v>
      </c>
      <c r="T287" s="2394">
        <f>IF(OR(J287="COP",J287="EURO",J287="GBP"),0,IF(J287="USD",VLOOKUP(R287,'TRM BanRep'!$A:$G,7,0)))</f>
        <v>0</v>
      </c>
      <c r="U287" s="2395">
        <f t="shared" si="24"/>
        <v>0</v>
      </c>
      <c r="V287" s="2395" t="str">
        <f t="shared" si="23"/>
        <v/>
      </c>
    </row>
    <row r="288" spans="3:22" hidden="1">
      <c r="C288">
        <v>2022</v>
      </c>
      <c r="D288" t="s">
        <v>1661</v>
      </c>
      <c r="F288">
        <v>2422999997</v>
      </c>
      <c r="G288" t="s">
        <v>1609</v>
      </c>
      <c r="H288" t="s">
        <v>1668</v>
      </c>
      <c r="I288" t="s">
        <v>1751</v>
      </c>
      <c r="J288" t="s">
        <v>106</v>
      </c>
      <c r="K288">
        <v>7900002473</v>
      </c>
      <c r="L288" t="s">
        <v>1668</v>
      </c>
      <c r="M288" s="1633">
        <v>-1300000000</v>
      </c>
      <c r="N288">
        <v>1</v>
      </c>
      <c r="O288">
        <v>50</v>
      </c>
      <c r="P288" s="1633">
        <v>-1300000000</v>
      </c>
      <c r="Q288" t="s">
        <v>106</v>
      </c>
      <c r="R288" s="2392">
        <v>44634</v>
      </c>
      <c r="S288" s="2393">
        <f t="shared" si="22"/>
        <v>1</v>
      </c>
      <c r="T288" s="2394">
        <f>IF(OR(J288="COP",J288="EURO",J288="GBP"),0,IF(J288="USD",VLOOKUP(R288,'TRM BanRep'!$A:$G,7,0)))</f>
        <v>0</v>
      </c>
      <c r="U288" s="2395">
        <f t="shared" si="24"/>
        <v>0</v>
      </c>
      <c r="V288" s="2395" t="str">
        <f t="shared" si="23"/>
        <v/>
      </c>
    </row>
    <row r="289" spans="3:22" hidden="1">
      <c r="C289">
        <v>2022</v>
      </c>
      <c r="D289" t="s">
        <v>1661</v>
      </c>
      <c r="F289">
        <v>2422999997</v>
      </c>
      <c r="G289" t="s">
        <v>1609</v>
      </c>
      <c r="H289" t="s">
        <v>1668</v>
      </c>
      <c r="I289" t="s">
        <v>1751</v>
      </c>
      <c r="J289" t="s">
        <v>106</v>
      </c>
      <c r="K289">
        <v>7900002477</v>
      </c>
      <c r="L289" t="s">
        <v>1668</v>
      </c>
      <c r="M289" s="1633">
        <v>1300000000</v>
      </c>
      <c r="N289">
        <v>1</v>
      </c>
      <c r="O289">
        <v>40</v>
      </c>
      <c r="P289" s="1633">
        <v>1300000000</v>
      </c>
      <c r="Q289" t="s">
        <v>106</v>
      </c>
      <c r="R289" s="2392">
        <v>44634</v>
      </c>
      <c r="S289" s="2393">
        <f t="shared" si="22"/>
        <v>1</v>
      </c>
      <c r="T289" s="2394">
        <f>IF(OR(J289="COP",J289="EURO",J289="GBP"),0,IF(J289="USD",VLOOKUP(R289,'TRM BanRep'!$A:$G,7,0)))</f>
        <v>0</v>
      </c>
      <c r="U289" s="2395">
        <f t="shared" si="24"/>
        <v>0</v>
      </c>
      <c r="V289" s="2395" t="str">
        <f t="shared" si="23"/>
        <v/>
      </c>
    </row>
    <row r="290" spans="3:22" hidden="1">
      <c r="C290">
        <v>2022</v>
      </c>
      <c r="D290" t="s">
        <v>1661</v>
      </c>
      <c r="F290">
        <v>2422999997</v>
      </c>
      <c r="G290" t="s">
        <v>1609</v>
      </c>
      <c r="H290" t="s">
        <v>1668</v>
      </c>
      <c r="I290" t="s">
        <v>1751</v>
      </c>
      <c r="J290" t="s">
        <v>106</v>
      </c>
      <c r="K290">
        <v>7900002481</v>
      </c>
      <c r="L290" t="s">
        <v>1668</v>
      </c>
      <c r="M290" s="1633">
        <v>-1300000000</v>
      </c>
      <c r="N290">
        <v>1</v>
      </c>
      <c r="O290">
        <v>50</v>
      </c>
      <c r="P290" s="1633">
        <v>-1300000000</v>
      </c>
      <c r="Q290" t="s">
        <v>106</v>
      </c>
      <c r="R290" s="2392">
        <v>44634</v>
      </c>
      <c r="S290" s="2393">
        <f t="shared" si="22"/>
        <v>1</v>
      </c>
      <c r="T290" s="2394">
        <f>IF(OR(J290="COP",J290="EURO",J290="GBP"),0,IF(J290="USD",VLOOKUP(R290,'TRM BanRep'!$A:$G,7,0)))</f>
        <v>0</v>
      </c>
      <c r="U290" s="2395">
        <f t="shared" si="24"/>
        <v>0</v>
      </c>
      <c r="V290" s="2395" t="str">
        <f t="shared" si="23"/>
        <v/>
      </c>
    </row>
    <row r="291" spans="3:22" hidden="1">
      <c r="C291">
        <v>2022</v>
      </c>
      <c r="D291" t="s">
        <v>1661</v>
      </c>
      <c r="F291">
        <v>2422999997</v>
      </c>
      <c r="G291" t="s">
        <v>1609</v>
      </c>
      <c r="H291" t="s">
        <v>1668</v>
      </c>
      <c r="I291" t="s">
        <v>1752</v>
      </c>
      <c r="J291" t="s">
        <v>106</v>
      </c>
      <c r="K291">
        <v>7900002487</v>
      </c>
      <c r="L291" t="s">
        <v>1668</v>
      </c>
      <c r="M291" s="1633">
        <v>-3959551161</v>
      </c>
      <c r="N291">
        <v>1</v>
      </c>
      <c r="O291">
        <v>50</v>
      </c>
      <c r="P291" s="1633">
        <v>-3959551161</v>
      </c>
      <c r="Q291" t="s">
        <v>106</v>
      </c>
      <c r="R291" s="2392">
        <v>44634</v>
      </c>
      <c r="S291" s="2393">
        <f t="shared" si="22"/>
        <v>1</v>
      </c>
      <c r="T291" s="2394">
        <f>IF(OR(J291="COP",J291="EURO",J291="GBP"),0,IF(J291="USD",VLOOKUP(R291,'TRM BanRep'!$A:$G,7,0)))</f>
        <v>0</v>
      </c>
      <c r="U291" s="2395">
        <f t="shared" si="24"/>
        <v>0</v>
      </c>
      <c r="V291" s="2395" t="str">
        <f t="shared" si="23"/>
        <v/>
      </c>
    </row>
    <row r="292" spans="3:22" hidden="1">
      <c r="C292">
        <v>2022</v>
      </c>
      <c r="D292" t="s">
        <v>1661</v>
      </c>
      <c r="F292">
        <v>2422999997</v>
      </c>
      <c r="G292" t="s">
        <v>1609</v>
      </c>
      <c r="H292" t="s">
        <v>1668</v>
      </c>
      <c r="I292" t="s">
        <v>1753</v>
      </c>
      <c r="J292" t="s">
        <v>106</v>
      </c>
      <c r="K292">
        <v>7900002488</v>
      </c>
      <c r="L292" t="s">
        <v>1668</v>
      </c>
      <c r="M292" s="1633">
        <v>-2158148247</v>
      </c>
      <c r="N292">
        <v>1</v>
      </c>
      <c r="O292">
        <v>50</v>
      </c>
      <c r="P292" s="1633">
        <v>-2158148247</v>
      </c>
      <c r="Q292" t="s">
        <v>106</v>
      </c>
      <c r="R292" s="2392">
        <v>44634</v>
      </c>
      <c r="S292" s="2393">
        <f t="shared" si="22"/>
        <v>1</v>
      </c>
      <c r="T292" s="2394">
        <f>IF(OR(J292="COP",J292="EURO",J292="GBP"),0,IF(J292="USD",VLOOKUP(R292,'TRM BanRep'!$A:$G,7,0)))</f>
        <v>0</v>
      </c>
      <c r="U292" s="2395">
        <f t="shared" si="24"/>
        <v>0</v>
      </c>
      <c r="V292" s="2395" t="str">
        <f t="shared" si="23"/>
        <v/>
      </c>
    </row>
    <row r="293" spans="3:22" hidden="1">
      <c r="C293">
        <v>2022</v>
      </c>
      <c r="D293" t="s">
        <v>1661</v>
      </c>
      <c r="F293">
        <v>2422999997</v>
      </c>
      <c r="G293" t="s">
        <v>1609</v>
      </c>
      <c r="H293" t="s">
        <v>1744</v>
      </c>
      <c r="I293" t="s">
        <v>1754</v>
      </c>
      <c r="J293" t="s">
        <v>106</v>
      </c>
      <c r="K293">
        <v>7900002507</v>
      </c>
      <c r="L293" t="s">
        <v>1744</v>
      </c>
      <c r="M293" s="1633">
        <v>-14999910750</v>
      </c>
      <c r="N293">
        <v>1</v>
      </c>
      <c r="O293">
        <v>50</v>
      </c>
      <c r="P293" s="1633">
        <v>-14999910750</v>
      </c>
      <c r="Q293" t="s">
        <v>106</v>
      </c>
      <c r="R293" s="2392">
        <v>44635</v>
      </c>
      <c r="S293" s="2393">
        <f t="shared" si="22"/>
        <v>1</v>
      </c>
      <c r="T293" s="2394">
        <f>IF(OR(J293="COP",J293="EURO",J293="GBP"),0,IF(J293="USD",VLOOKUP(R293,'TRM BanRep'!$A:$G,7,0)))</f>
        <v>0</v>
      </c>
      <c r="U293" s="2395">
        <f t="shared" si="24"/>
        <v>0</v>
      </c>
      <c r="V293" s="2395" t="str">
        <f t="shared" si="23"/>
        <v/>
      </c>
    </row>
    <row r="294" spans="3:22" hidden="1">
      <c r="C294">
        <v>2022</v>
      </c>
      <c r="D294" t="s">
        <v>1661</v>
      </c>
      <c r="F294">
        <v>2422999997</v>
      </c>
      <c r="G294" t="s">
        <v>1609</v>
      </c>
      <c r="H294" t="s">
        <v>1744</v>
      </c>
      <c r="I294" t="s">
        <v>1755</v>
      </c>
      <c r="J294" t="s">
        <v>106</v>
      </c>
      <c r="K294">
        <v>7900002508</v>
      </c>
      <c r="L294" t="s">
        <v>1744</v>
      </c>
      <c r="M294" s="1633">
        <v>-12639330000</v>
      </c>
      <c r="N294">
        <v>1</v>
      </c>
      <c r="O294">
        <v>50</v>
      </c>
      <c r="P294" s="1633">
        <v>-12639330000</v>
      </c>
      <c r="Q294" t="s">
        <v>106</v>
      </c>
      <c r="R294" s="2392">
        <v>44635</v>
      </c>
      <c r="S294" s="2393">
        <f t="shared" si="22"/>
        <v>1</v>
      </c>
      <c r="T294" s="2394">
        <f>IF(OR(J294="COP",J294="EURO",J294="GBP"),0,IF(J294="USD",VLOOKUP(R294,'TRM BanRep'!$A:$G,7,0)))</f>
        <v>0</v>
      </c>
      <c r="U294" s="2395">
        <f t="shared" si="24"/>
        <v>0</v>
      </c>
      <c r="V294" s="2395" t="str">
        <f t="shared" si="23"/>
        <v/>
      </c>
    </row>
    <row r="295" spans="3:22" hidden="1">
      <c r="C295">
        <v>2022</v>
      </c>
      <c r="D295" t="s">
        <v>1661</v>
      </c>
      <c r="F295">
        <v>2422999997</v>
      </c>
      <c r="G295" t="s">
        <v>1609</v>
      </c>
      <c r="H295" t="s">
        <v>1745</v>
      </c>
      <c r="I295" t="s">
        <v>1756</v>
      </c>
      <c r="J295" t="s">
        <v>106</v>
      </c>
      <c r="K295">
        <v>7900002549</v>
      </c>
      <c r="L295" t="s">
        <v>1745</v>
      </c>
      <c r="M295" s="1633">
        <v>-1728146749</v>
      </c>
      <c r="N295">
        <v>1</v>
      </c>
      <c r="O295">
        <v>50</v>
      </c>
      <c r="P295" s="1633">
        <v>-1728146749</v>
      </c>
      <c r="Q295" t="s">
        <v>106</v>
      </c>
      <c r="R295" s="2392">
        <v>44643</v>
      </c>
      <c r="S295" s="2393">
        <f t="shared" si="22"/>
        <v>1</v>
      </c>
      <c r="T295" s="2394">
        <f>IF(OR(J295="COP",J295="EURO",J295="GBP"),0,IF(J295="USD",VLOOKUP(R295,'TRM BanRep'!$A:$G,7,0)))</f>
        <v>0</v>
      </c>
      <c r="U295" s="2395">
        <f t="shared" si="24"/>
        <v>0</v>
      </c>
      <c r="V295" s="2395" t="str">
        <f t="shared" si="23"/>
        <v/>
      </c>
    </row>
    <row r="296" spans="3:22" hidden="1">
      <c r="C296">
        <v>2022</v>
      </c>
      <c r="D296" t="s">
        <v>1661</v>
      </c>
      <c r="F296">
        <v>2422999997</v>
      </c>
      <c r="G296" t="s">
        <v>1609</v>
      </c>
      <c r="H296" t="s">
        <v>1746</v>
      </c>
      <c r="I296" t="s">
        <v>1757</v>
      </c>
      <c r="J296" t="s">
        <v>106</v>
      </c>
      <c r="K296">
        <v>7900002649</v>
      </c>
      <c r="L296" t="s">
        <v>1746</v>
      </c>
      <c r="M296" s="1633">
        <v>-1523750000</v>
      </c>
      <c r="N296">
        <v>1</v>
      </c>
      <c r="O296">
        <v>50</v>
      </c>
      <c r="P296" s="1633">
        <v>-1523750000</v>
      </c>
      <c r="Q296" t="s">
        <v>106</v>
      </c>
      <c r="R296" s="2392">
        <v>44645</v>
      </c>
      <c r="S296" s="2393">
        <f t="shared" si="22"/>
        <v>1</v>
      </c>
      <c r="T296" s="2394">
        <f>IF(OR(J296="COP",J296="EURO",J296="GBP"),0,IF(J296="USD",VLOOKUP(R296,'TRM BanRep'!$A:$G,7,0)))</f>
        <v>0</v>
      </c>
      <c r="U296" s="2395">
        <f t="shared" si="24"/>
        <v>0</v>
      </c>
      <c r="V296" s="2395" t="str">
        <f t="shared" si="23"/>
        <v/>
      </c>
    </row>
    <row r="297" spans="3:22" hidden="1">
      <c r="C297">
        <v>2022</v>
      </c>
      <c r="D297" t="s">
        <v>1661</v>
      </c>
      <c r="F297">
        <v>2422999997</v>
      </c>
      <c r="G297" t="s">
        <v>1609</v>
      </c>
      <c r="H297" t="s">
        <v>1746</v>
      </c>
      <c r="I297" t="s">
        <v>1757</v>
      </c>
      <c r="J297" t="s">
        <v>106</v>
      </c>
      <c r="K297">
        <v>7900002653</v>
      </c>
      <c r="L297" t="s">
        <v>1746</v>
      </c>
      <c r="M297" s="1633">
        <v>1523750000</v>
      </c>
      <c r="N297">
        <v>1</v>
      </c>
      <c r="O297">
        <v>40</v>
      </c>
      <c r="P297" s="1633">
        <v>1523750000</v>
      </c>
      <c r="Q297" t="s">
        <v>106</v>
      </c>
      <c r="R297" s="2392">
        <v>44645</v>
      </c>
      <c r="S297" s="2393">
        <f t="shared" si="22"/>
        <v>1</v>
      </c>
      <c r="T297" s="2394">
        <f>IF(OR(J297="COP",J297="EURO",J297="GBP"),0,IF(J297="USD",VLOOKUP(R297,'TRM BanRep'!$A:$G,7,0)))</f>
        <v>0</v>
      </c>
      <c r="U297" s="2395">
        <f t="shared" si="24"/>
        <v>0</v>
      </c>
      <c r="V297" s="2395" t="str">
        <f t="shared" si="23"/>
        <v/>
      </c>
    </row>
    <row r="298" spans="3:22" hidden="1">
      <c r="C298">
        <v>2022</v>
      </c>
      <c r="D298" t="s">
        <v>1661</v>
      </c>
      <c r="F298">
        <v>2422999997</v>
      </c>
      <c r="G298" t="s">
        <v>1609</v>
      </c>
      <c r="H298" t="s">
        <v>1746</v>
      </c>
      <c r="I298" t="s">
        <v>1757</v>
      </c>
      <c r="J298" t="s">
        <v>106</v>
      </c>
      <c r="K298">
        <v>7900002657</v>
      </c>
      <c r="L298" t="s">
        <v>1746</v>
      </c>
      <c r="M298" s="1633">
        <v>-1523750000</v>
      </c>
      <c r="N298">
        <v>1</v>
      </c>
      <c r="O298">
        <v>50</v>
      </c>
      <c r="P298" s="1633">
        <v>-1523750000</v>
      </c>
      <c r="Q298" t="s">
        <v>106</v>
      </c>
      <c r="R298" s="2392">
        <v>44645</v>
      </c>
      <c r="S298" s="2393">
        <f t="shared" si="22"/>
        <v>1</v>
      </c>
      <c r="T298" s="2394">
        <f>IF(OR(J298="COP",J298="EURO",J298="GBP"),0,IF(J298="USD",VLOOKUP(R298,'TRM BanRep'!$A:$G,7,0)))</f>
        <v>0</v>
      </c>
      <c r="U298" s="2395">
        <f t="shared" si="24"/>
        <v>0</v>
      </c>
      <c r="V298" s="2395" t="str">
        <f t="shared" si="23"/>
        <v/>
      </c>
    </row>
    <row r="299" spans="3:22" hidden="1">
      <c r="C299">
        <v>2022</v>
      </c>
      <c r="D299" t="s">
        <v>1661</v>
      </c>
      <c r="F299">
        <v>2422999997</v>
      </c>
      <c r="G299" t="s">
        <v>1606</v>
      </c>
      <c r="H299" t="s">
        <v>1662</v>
      </c>
      <c r="I299" t="s">
        <v>1758</v>
      </c>
      <c r="J299" t="s">
        <v>64</v>
      </c>
      <c r="K299">
        <v>7900002421</v>
      </c>
      <c r="L299" t="s">
        <v>1662</v>
      </c>
      <c r="M299" s="1633">
        <v>-1715255.57</v>
      </c>
      <c r="N299">
        <v>3901.62</v>
      </c>
      <c r="O299">
        <v>50</v>
      </c>
      <c r="P299" s="1633">
        <v>-6692275437</v>
      </c>
      <c r="Q299" t="s">
        <v>106</v>
      </c>
      <c r="R299" s="2392">
        <v>44623</v>
      </c>
      <c r="S299" s="2393">
        <f t="shared" si="22"/>
        <v>3901.62</v>
      </c>
      <c r="T299" s="2394">
        <f>IF(OR(J299="COP",J299="EURO",J299="GBP"),0,IF(J299="USD",VLOOKUP(R299,'TRM BanRep'!$A:$G,7,0)))</f>
        <v>3862.95</v>
      </c>
      <c r="U299" s="2400">
        <f t="shared" si="24"/>
        <v>-66328932.89190013</v>
      </c>
      <c r="V299" s="2397" t="str">
        <f t="shared" si="23"/>
        <v>1-INGRESO</v>
      </c>
    </row>
    <row r="300" spans="3:22" hidden="1">
      <c r="C300">
        <v>2022</v>
      </c>
      <c r="D300" t="s">
        <v>1661</v>
      </c>
      <c r="F300">
        <v>2422999997</v>
      </c>
      <c r="G300" t="s">
        <v>1557</v>
      </c>
      <c r="H300" t="s">
        <v>1694</v>
      </c>
      <c r="I300" t="s">
        <v>1731</v>
      </c>
      <c r="J300" t="s">
        <v>64</v>
      </c>
      <c r="K300">
        <v>7900002829</v>
      </c>
      <c r="L300" t="s">
        <v>1694</v>
      </c>
      <c r="M300" s="1633">
        <v>-585884.64</v>
      </c>
      <c r="N300">
        <v>3771.7699400000001</v>
      </c>
      <c r="O300">
        <v>50</v>
      </c>
      <c r="P300" s="1633">
        <v>-2209822074</v>
      </c>
      <c r="Q300" t="s">
        <v>106</v>
      </c>
      <c r="R300" s="2392">
        <v>44627</v>
      </c>
      <c r="S300" s="2393">
        <f t="shared" si="22"/>
        <v>3771.77</v>
      </c>
      <c r="T300" s="2394">
        <f>IF(OR(J300="COP",J300="EURO",J300="GBP"),0,IF(J300="USD",VLOOKUP(R300,'TRM BanRep'!$A:$G,7,0)))</f>
        <v>3806.11</v>
      </c>
      <c r="U300" s="2400">
        <f t="shared" si="24"/>
        <v>20119278.537600085</v>
      </c>
      <c r="V300" s="2396" t="str">
        <f t="shared" si="23"/>
        <v>2-GASTO</v>
      </c>
    </row>
    <row r="301" spans="3:22" hidden="1">
      <c r="C301">
        <v>2022</v>
      </c>
      <c r="D301" t="s">
        <v>1661</v>
      </c>
      <c r="F301">
        <v>2422999997</v>
      </c>
      <c r="G301" t="s">
        <v>1557</v>
      </c>
      <c r="H301" t="s">
        <v>1698</v>
      </c>
      <c r="I301" t="s">
        <v>1734</v>
      </c>
      <c r="J301" t="s">
        <v>64</v>
      </c>
      <c r="K301">
        <v>7900003195</v>
      </c>
      <c r="L301" t="s">
        <v>1698</v>
      </c>
      <c r="M301" s="1633">
        <v>-1747556.97</v>
      </c>
      <c r="N301">
        <v>3798.9</v>
      </c>
      <c r="O301">
        <v>50</v>
      </c>
      <c r="P301" s="1633">
        <v>-6638794173</v>
      </c>
      <c r="Q301" t="s">
        <v>106</v>
      </c>
      <c r="R301" s="2392">
        <v>44648</v>
      </c>
      <c r="S301" s="2393">
        <f t="shared" si="22"/>
        <v>3798.9</v>
      </c>
      <c r="T301" s="2394">
        <f>IF(OR(J301="COP",J301="EURO",J301="GBP"),0,IF(J301="USD",VLOOKUP(R301,'TRM BanRep'!$A:$G,7,0)))</f>
        <v>3785.66</v>
      </c>
      <c r="U301" s="2395">
        <f t="shared" si="24"/>
        <v>-23137654.282800414</v>
      </c>
      <c r="V301" s="2397" t="str">
        <f t="shared" si="23"/>
        <v>1-INGRESO</v>
      </c>
    </row>
    <row r="302" spans="3:22" hidden="1">
      <c r="C302">
        <v>2022</v>
      </c>
      <c r="D302" t="s">
        <v>1661</v>
      </c>
      <c r="F302">
        <v>2422999997</v>
      </c>
      <c r="G302" t="s">
        <v>1557</v>
      </c>
      <c r="H302" t="s">
        <v>1698</v>
      </c>
      <c r="I302" t="s">
        <v>1735</v>
      </c>
      <c r="J302" t="s">
        <v>64</v>
      </c>
      <c r="K302">
        <v>7900003203</v>
      </c>
      <c r="L302" t="s">
        <v>1698</v>
      </c>
      <c r="M302" s="1633">
        <v>-100077.6</v>
      </c>
      <c r="N302">
        <v>3785.66</v>
      </c>
      <c r="O302">
        <v>50</v>
      </c>
      <c r="P302" s="1633">
        <v>-378859767</v>
      </c>
      <c r="Q302" t="s">
        <v>106</v>
      </c>
      <c r="R302" s="2392">
        <v>44648</v>
      </c>
      <c r="S302" s="2393">
        <f t="shared" si="22"/>
        <v>3785.66</v>
      </c>
      <c r="T302" s="2394">
        <f>IF(OR(J302="COP",J302="EURO",J302="GBP"),0,IF(J302="USD",VLOOKUP(R302,'TRM BanRep'!$A:$G,7,0)))</f>
        <v>3785.66</v>
      </c>
      <c r="U302" s="2395">
        <f t="shared" si="24"/>
        <v>0</v>
      </c>
      <c r="V302" s="2395" t="str">
        <f t="shared" si="23"/>
        <v/>
      </c>
    </row>
    <row r="303" spans="3:22" hidden="1">
      <c r="C303">
        <v>2022</v>
      </c>
      <c r="D303" t="s">
        <v>1661</v>
      </c>
      <c r="F303">
        <v>2422999997</v>
      </c>
      <c r="G303" t="s">
        <v>1557</v>
      </c>
      <c r="H303" t="s">
        <v>1701</v>
      </c>
      <c r="I303" t="s">
        <v>1736</v>
      </c>
      <c r="J303" t="s">
        <v>64</v>
      </c>
      <c r="K303">
        <v>7900003489</v>
      </c>
      <c r="L303" t="s">
        <v>1701</v>
      </c>
      <c r="M303" s="1633">
        <v>-8432598.5600000005</v>
      </c>
      <c r="N303">
        <v>3785.7</v>
      </c>
      <c r="O303">
        <v>50</v>
      </c>
      <c r="P303" s="1633">
        <v>-31923288362</v>
      </c>
      <c r="Q303" t="s">
        <v>106</v>
      </c>
      <c r="R303" s="2392">
        <v>44651</v>
      </c>
      <c r="S303" s="2393">
        <f t="shared" si="22"/>
        <v>3785.7</v>
      </c>
      <c r="T303" s="2394">
        <f>IF(OR(J303="COP",J303="EURO",J303="GBP"),0,IF(J303="USD",VLOOKUP(R303,'TRM BanRep'!$A:$G,7,0)))</f>
        <v>3748.15</v>
      </c>
      <c r="U303" s="2400">
        <f t="shared" si="24"/>
        <v>-316644075.92799771</v>
      </c>
      <c r="V303" s="2397" t="str">
        <f t="shared" si="23"/>
        <v>1-INGRESO</v>
      </c>
    </row>
    <row r="304" spans="3:22" hidden="1">
      <c r="C304">
        <v>2022</v>
      </c>
      <c r="D304" t="s">
        <v>1661</v>
      </c>
      <c r="F304">
        <v>2422999997</v>
      </c>
      <c r="G304" t="s">
        <v>1608</v>
      </c>
      <c r="H304" t="s">
        <v>1662</v>
      </c>
      <c r="J304" t="s">
        <v>64</v>
      </c>
      <c r="K304">
        <v>2000001813</v>
      </c>
      <c r="L304" t="s">
        <v>1662</v>
      </c>
      <c r="M304" s="1633">
        <v>1997447.79</v>
      </c>
      <c r="N304">
        <v>3901.62</v>
      </c>
      <c r="O304">
        <v>40</v>
      </c>
      <c r="P304" s="1633">
        <v>7793282246</v>
      </c>
      <c r="Q304" t="s">
        <v>106</v>
      </c>
      <c r="R304" s="2392">
        <v>44623</v>
      </c>
      <c r="S304" s="2393">
        <f t="shared" si="22"/>
        <v>3901.62</v>
      </c>
      <c r="T304" s="2394">
        <f>IF(OR(J304="COP",J304="EURO",J304="GBP"),0,IF(J304="USD",VLOOKUP(R304,'TRM BanRep'!$A:$G,7,0)))</f>
        <v>3862.95</v>
      </c>
      <c r="U304" s="2400">
        <f t="shared" si="24"/>
        <v>77241306.039300144</v>
      </c>
      <c r="V304" s="2396" t="str">
        <f t="shared" si="23"/>
        <v>2-GASTO</v>
      </c>
    </row>
    <row r="305" spans="3:23" hidden="1">
      <c r="C305">
        <v>2022</v>
      </c>
      <c r="D305" t="s">
        <v>1661</v>
      </c>
      <c r="F305">
        <v>2422999997</v>
      </c>
      <c r="G305" t="s">
        <v>1608</v>
      </c>
      <c r="H305" t="s">
        <v>1694</v>
      </c>
      <c r="J305" t="s">
        <v>64</v>
      </c>
      <c r="K305">
        <v>2000002746</v>
      </c>
      <c r="L305" t="s">
        <v>1694</v>
      </c>
      <c r="M305" s="1633">
        <v>585884.64</v>
      </c>
      <c r="N305">
        <v>3771.7699400000001</v>
      </c>
      <c r="O305">
        <v>40</v>
      </c>
      <c r="P305" s="1633">
        <v>2209822074</v>
      </c>
      <c r="Q305" t="s">
        <v>106</v>
      </c>
      <c r="R305" s="2392">
        <v>44627</v>
      </c>
      <c r="S305" s="2393">
        <f t="shared" si="22"/>
        <v>3771.77</v>
      </c>
      <c r="T305" s="2394">
        <f>IF(OR(J305="COP",J305="EURO",J305="GBP"),0,IF(J305="USD",VLOOKUP(R305,'TRM BanRep'!$A:$G,7,0)))</f>
        <v>3806.11</v>
      </c>
      <c r="U305" s="2400">
        <f t="shared" si="24"/>
        <v>-20119278.537600085</v>
      </c>
      <c r="V305" s="2397" t="str">
        <f t="shared" si="23"/>
        <v>1-INGRESO</v>
      </c>
    </row>
    <row r="306" spans="3:23" hidden="1">
      <c r="C306">
        <v>2022</v>
      </c>
      <c r="D306" t="s">
        <v>1661</v>
      </c>
      <c r="F306">
        <v>2422999997</v>
      </c>
      <c r="G306" t="s">
        <v>1608</v>
      </c>
      <c r="H306" t="s">
        <v>1698</v>
      </c>
      <c r="J306" t="s">
        <v>64</v>
      </c>
      <c r="K306">
        <v>2000002796</v>
      </c>
      <c r="L306" t="s">
        <v>1698</v>
      </c>
      <c r="M306" s="1633">
        <v>1847634.57</v>
      </c>
      <c r="N306">
        <v>3798.1828500000001</v>
      </c>
      <c r="O306">
        <v>40</v>
      </c>
      <c r="P306" s="1633">
        <v>7017653940</v>
      </c>
      <c r="Q306" t="s">
        <v>106</v>
      </c>
      <c r="R306" s="2392">
        <v>44648</v>
      </c>
      <c r="S306" s="2393">
        <f t="shared" si="22"/>
        <v>3798.18</v>
      </c>
      <c r="T306" s="2394">
        <f>IF(OR(J306="COP",J306="EURO",J306="GBP"),0,IF(J306="USD",VLOOKUP(R306,'TRM BanRep'!$A:$G,7,0)))</f>
        <v>3785.66</v>
      </c>
      <c r="U306" s="2395">
        <f t="shared" si="24"/>
        <v>23132384.816399965</v>
      </c>
      <c r="V306" s="2396" t="str">
        <f t="shared" si="23"/>
        <v>2-GASTO</v>
      </c>
    </row>
    <row r="307" spans="3:23" hidden="1">
      <c r="C307">
        <v>2022</v>
      </c>
      <c r="D307" t="s">
        <v>1661</v>
      </c>
      <c r="F307">
        <v>2422999997</v>
      </c>
      <c r="G307" t="s">
        <v>1608</v>
      </c>
      <c r="H307" t="s">
        <v>1701</v>
      </c>
      <c r="J307" t="s">
        <v>64</v>
      </c>
      <c r="K307">
        <v>2000002808</v>
      </c>
      <c r="L307" t="s">
        <v>1701</v>
      </c>
      <c r="M307" s="1633">
        <v>8432598.5600000005</v>
      </c>
      <c r="N307">
        <v>3785.7</v>
      </c>
      <c r="O307">
        <v>40</v>
      </c>
      <c r="P307" s="1633">
        <v>31923288362</v>
      </c>
      <c r="Q307" t="s">
        <v>106</v>
      </c>
      <c r="R307" s="2392">
        <v>44651</v>
      </c>
      <c r="S307" s="2393">
        <f t="shared" si="22"/>
        <v>3785.7</v>
      </c>
      <c r="T307" s="2394">
        <f>IF(OR(J307="COP",J307="EURO",J307="GBP"),0,IF(J307="USD",VLOOKUP(R307,'TRM BanRep'!$A:$G,7,0)))</f>
        <v>3748.15</v>
      </c>
      <c r="U307" s="2400">
        <f t="shared" si="24"/>
        <v>316644075.92799771</v>
      </c>
      <c r="V307" s="2396" t="str">
        <f t="shared" si="23"/>
        <v>2-GASTO</v>
      </c>
    </row>
    <row r="308" spans="3:23" hidden="1">
      <c r="C308">
        <v>2022</v>
      </c>
      <c r="D308" t="s">
        <v>1661</v>
      </c>
      <c r="F308">
        <v>2422999997</v>
      </c>
      <c r="G308" t="s">
        <v>1609</v>
      </c>
      <c r="H308" t="s">
        <v>1662</v>
      </c>
      <c r="I308" t="s">
        <v>1759</v>
      </c>
      <c r="J308" t="s">
        <v>64</v>
      </c>
      <c r="K308">
        <v>7900002420</v>
      </c>
      <c r="L308" t="s">
        <v>1662</v>
      </c>
      <c r="M308" s="1633">
        <v>-282192.21999999997</v>
      </c>
      <c r="N308">
        <v>3901.62</v>
      </c>
      <c r="O308">
        <v>50</v>
      </c>
      <c r="P308" s="1633">
        <v>-1101006809</v>
      </c>
      <c r="Q308" t="s">
        <v>106</v>
      </c>
      <c r="R308" s="2392">
        <v>44623</v>
      </c>
      <c r="S308" s="2393">
        <f t="shared" si="22"/>
        <v>3901.62</v>
      </c>
      <c r="T308" s="2394">
        <f>IF(OR(J308="COP",J308="EURO",J308="GBP"),0,IF(J308="USD",VLOOKUP(R308,'TRM BanRep'!$A:$G,7,0)))</f>
        <v>3862.95</v>
      </c>
      <c r="U308" s="2400">
        <f t="shared" si="24"/>
        <v>-10912373.14740002</v>
      </c>
      <c r="V308" s="2397" t="str">
        <f t="shared" si="23"/>
        <v>1-INGRESO</v>
      </c>
    </row>
    <row r="309" spans="3:23">
      <c r="M309" s="1633"/>
      <c r="P309" s="1633">
        <v>6</v>
      </c>
      <c r="R309" s="2392"/>
      <c r="S309" s="2393"/>
      <c r="T309" s="2394"/>
      <c r="U309" s="2395"/>
      <c r="V309" s="2395" t="str">
        <f t="shared" si="23"/>
        <v/>
      </c>
    </row>
    <row r="310" spans="3:23" hidden="1">
      <c r="C310">
        <v>2022</v>
      </c>
      <c r="D310" t="s">
        <v>1760</v>
      </c>
      <c r="F310">
        <v>1202049905</v>
      </c>
      <c r="G310" t="s">
        <v>1557</v>
      </c>
      <c r="H310" t="s">
        <v>1761</v>
      </c>
      <c r="I310" t="s">
        <v>1762</v>
      </c>
      <c r="J310" t="s">
        <v>106</v>
      </c>
      <c r="K310">
        <v>7900004492</v>
      </c>
      <c r="L310" t="s">
        <v>1761</v>
      </c>
      <c r="M310" s="1633">
        <v>124194372147</v>
      </c>
      <c r="N310">
        <v>1</v>
      </c>
      <c r="O310">
        <v>40</v>
      </c>
      <c r="P310" s="1633">
        <v>124194372147</v>
      </c>
      <c r="Q310" t="s">
        <v>106</v>
      </c>
      <c r="R310" s="2392">
        <v>44662</v>
      </c>
      <c r="S310" s="2393">
        <f t="shared" ref="S310:S372" si="25">+ROUND(P310/M310,2)</f>
        <v>1</v>
      </c>
      <c r="T310" s="2394">
        <f>IF(OR(J310="COP",J310="EURO",J310="GBP"),0,IF(J310="USD",VLOOKUP(R310,'TRM BanRep'!$A:$G,7,0)))</f>
        <v>0</v>
      </c>
      <c r="U310" s="2395">
        <f t="shared" ref="U310:U372" si="26">IF(F310=2422999997,-IF(T310=0,0,(T310-S310)*M310),IF(T310=0,0,(T310-S310)*M310))</f>
        <v>0</v>
      </c>
      <c r="V310" s="2395" t="str">
        <f t="shared" si="23"/>
        <v/>
      </c>
    </row>
    <row r="311" spans="3:23" hidden="1">
      <c r="C311">
        <v>2022</v>
      </c>
      <c r="D311" t="s">
        <v>1760</v>
      </c>
      <c r="F311">
        <v>1202049905</v>
      </c>
      <c r="G311" t="s">
        <v>1557</v>
      </c>
      <c r="H311" t="s">
        <v>1763</v>
      </c>
      <c r="I311" t="s">
        <v>1764</v>
      </c>
      <c r="J311" t="s">
        <v>106</v>
      </c>
      <c r="K311">
        <v>7900004511</v>
      </c>
      <c r="L311" t="s">
        <v>1763</v>
      </c>
      <c r="M311" s="1633">
        <v>27966525214</v>
      </c>
      <c r="N311">
        <v>1</v>
      </c>
      <c r="O311">
        <v>40</v>
      </c>
      <c r="P311" s="1633">
        <v>27966525214</v>
      </c>
      <c r="Q311" t="s">
        <v>106</v>
      </c>
      <c r="R311" s="2392">
        <v>44673</v>
      </c>
      <c r="S311" s="2393">
        <f t="shared" si="25"/>
        <v>1</v>
      </c>
      <c r="T311" s="2394">
        <f>IF(OR(J311="COP",J311="EURO",J311="GBP"),0,IF(J311="USD",VLOOKUP(R311,'TRM BanRep'!$A:$G,7,0)))</f>
        <v>0</v>
      </c>
      <c r="U311" s="2395">
        <f t="shared" si="26"/>
        <v>0</v>
      </c>
      <c r="V311" s="2395" t="str">
        <f t="shared" si="23"/>
        <v/>
      </c>
    </row>
    <row r="312" spans="3:23" hidden="1">
      <c r="C312">
        <v>2022</v>
      </c>
      <c r="D312" t="s">
        <v>1760</v>
      </c>
      <c r="F312">
        <v>1202049905</v>
      </c>
      <c r="G312" t="s">
        <v>1557</v>
      </c>
      <c r="H312" t="s">
        <v>1765</v>
      </c>
      <c r="I312" t="s">
        <v>1766</v>
      </c>
      <c r="J312" t="s">
        <v>106</v>
      </c>
      <c r="K312">
        <v>7900004530</v>
      </c>
      <c r="L312" t="s">
        <v>1765</v>
      </c>
      <c r="M312" s="1633">
        <v>2581443391</v>
      </c>
      <c r="N312">
        <v>1</v>
      </c>
      <c r="O312">
        <v>40</v>
      </c>
      <c r="P312" s="1633">
        <v>2581443391</v>
      </c>
      <c r="Q312" t="s">
        <v>106</v>
      </c>
      <c r="R312" s="2392">
        <v>44670</v>
      </c>
      <c r="S312" s="2393">
        <f t="shared" si="25"/>
        <v>1</v>
      </c>
      <c r="T312" s="2394">
        <f>IF(OR(J312="COP",J312="EURO",J312="GBP"),0,IF(J312="USD",VLOOKUP(R312,'TRM BanRep'!$A:$G,7,0)))</f>
        <v>0</v>
      </c>
      <c r="U312" s="2395">
        <f t="shared" si="26"/>
        <v>0</v>
      </c>
      <c r="V312" s="2395" t="str">
        <f t="shared" si="23"/>
        <v/>
      </c>
    </row>
    <row r="313" spans="3:23" hidden="1">
      <c r="C313">
        <v>2022</v>
      </c>
      <c r="D313" t="s">
        <v>1760</v>
      </c>
      <c r="F313">
        <v>1202049905</v>
      </c>
      <c r="G313" t="s">
        <v>1557</v>
      </c>
      <c r="H313" t="s">
        <v>1767</v>
      </c>
      <c r="I313" t="s">
        <v>1768</v>
      </c>
      <c r="J313" t="s">
        <v>106</v>
      </c>
      <c r="K313">
        <v>7900005161</v>
      </c>
      <c r="L313" t="s">
        <v>1767</v>
      </c>
      <c r="M313" s="1633">
        <v>-197381500</v>
      </c>
      <c r="N313">
        <v>1</v>
      </c>
      <c r="O313">
        <v>50</v>
      </c>
      <c r="P313" s="1633">
        <v>-197381500</v>
      </c>
      <c r="Q313" t="s">
        <v>106</v>
      </c>
      <c r="R313" s="2392">
        <v>44680</v>
      </c>
      <c r="S313" s="2393">
        <f t="shared" si="25"/>
        <v>1</v>
      </c>
      <c r="T313" s="2394">
        <f>IF(OR(J313="COP",J313="EURO",J313="GBP"),0,IF(J313="USD",VLOOKUP(R313,'TRM BanRep'!$A:$G,7,0)))</f>
        <v>0</v>
      </c>
      <c r="U313" s="2395">
        <f t="shared" si="26"/>
        <v>0</v>
      </c>
      <c r="V313" s="2395" t="str">
        <f t="shared" si="23"/>
        <v/>
      </c>
    </row>
    <row r="314" spans="3:23" hidden="1">
      <c r="C314">
        <v>2022</v>
      </c>
      <c r="D314" t="s">
        <v>1760</v>
      </c>
      <c r="F314">
        <v>1202049905</v>
      </c>
      <c r="G314" t="s">
        <v>1557</v>
      </c>
      <c r="H314" t="s">
        <v>1767</v>
      </c>
      <c r="I314" t="s">
        <v>1768</v>
      </c>
      <c r="J314" t="s">
        <v>106</v>
      </c>
      <c r="K314">
        <v>7900005178</v>
      </c>
      <c r="L314" t="s">
        <v>1767</v>
      </c>
      <c r="M314" s="1633">
        <v>197381500</v>
      </c>
      <c r="N314">
        <v>1</v>
      </c>
      <c r="O314">
        <v>40</v>
      </c>
      <c r="P314" s="1633">
        <v>197381500</v>
      </c>
      <c r="Q314" t="s">
        <v>106</v>
      </c>
      <c r="R314" s="2392">
        <v>44680</v>
      </c>
      <c r="S314" s="2393">
        <f t="shared" si="25"/>
        <v>1</v>
      </c>
      <c r="T314" s="2394">
        <f>IF(OR(J314="COP",J314="EURO",J314="GBP"),0,IF(J314="USD",VLOOKUP(R314,'TRM BanRep'!$A:$G,7,0)))</f>
        <v>0</v>
      </c>
      <c r="U314" s="2395">
        <f t="shared" si="26"/>
        <v>0</v>
      </c>
      <c r="V314" s="2395" t="str">
        <f t="shared" si="23"/>
        <v/>
      </c>
    </row>
    <row r="315" spans="3:23" hidden="1">
      <c r="C315">
        <v>2022</v>
      </c>
      <c r="D315" t="s">
        <v>1760</v>
      </c>
      <c r="F315">
        <v>1202049905</v>
      </c>
      <c r="G315" t="s">
        <v>1557</v>
      </c>
      <c r="H315" t="s">
        <v>1767</v>
      </c>
      <c r="I315" t="s">
        <v>1768</v>
      </c>
      <c r="J315" t="s">
        <v>106</v>
      </c>
      <c r="K315">
        <v>7900005186</v>
      </c>
      <c r="L315" t="s">
        <v>1767</v>
      </c>
      <c r="M315" s="1633">
        <v>-197381500</v>
      </c>
      <c r="N315">
        <v>1</v>
      </c>
      <c r="O315">
        <v>50</v>
      </c>
      <c r="P315" s="1633">
        <v>-197381500</v>
      </c>
      <c r="Q315" t="s">
        <v>106</v>
      </c>
      <c r="R315" s="2392">
        <v>44680</v>
      </c>
      <c r="S315" s="2393">
        <f t="shared" si="25"/>
        <v>1</v>
      </c>
      <c r="T315" s="2394">
        <f>IF(OR(J315="COP",J315="EURO",J315="GBP"),0,IF(J315="USD",VLOOKUP(R315,'TRM BanRep'!$A:$G,7,0)))</f>
        <v>0</v>
      </c>
      <c r="U315" s="2395">
        <f t="shared" si="26"/>
        <v>0</v>
      </c>
      <c r="V315" s="2395" t="str">
        <f t="shared" si="23"/>
        <v/>
      </c>
    </row>
    <row r="316" spans="3:23" hidden="1">
      <c r="C316">
        <v>2022</v>
      </c>
      <c r="D316" t="s">
        <v>1760</v>
      </c>
      <c r="F316">
        <v>1202049905</v>
      </c>
      <c r="G316" t="s">
        <v>1557</v>
      </c>
      <c r="H316" t="s">
        <v>1767</v>
      </c>
      <c r="I316" t="s">
        <v>1769</v>
      </c>
      <c r="J316" t="s">
        <v>106</v>
      </c>
      <c r="K316">
        <v>7900005223</v>
      </c>
      <c r="L316" t="s">
        <v>1767</v>
      </c>
      <c r="M316" s="1633">
        <v>-29656724053</v>
      </c>
      <c r="N316">
        <v>1</v>
      </c>
      <c r="O316">
        <v>50</v>
      </c>
      <c r="P316" s="1633">
        <v>-29656724053</v>
      </c>
      <c r="Q316" t="s">
        <v>106</v>
      </c>
      <c r="R316" s="2392">
        <v>44680</v>
      </c>
      <c r="S316" s="2393">
        <f t="shared" si="25"/>
        <v>1</v>
      </c>
      <c r="T316" s="2394">
        <f>IF(OR(J316="COP",J316="EURO",J316="GBP"),0,IF(J316="USD",VLOOKUP(R316,'TRM BanRep'!$A:$G,7,0)))</f>
        <v>0</v>
      </c>
      <c r="U316" s="2395">
        <f t="shared" si="26"/>
        <v>0</v>
      </c>
      <c r="V316" s="2395" t="str">
        <f t="shared" si="23"/>
        <v/>
      </c>
    </row>
    <row r="317" spans="3:23" hidden="1">
      <c r="C317">
        <v>2022</v>
      </c>
      <c r="D317" t="s">
        <v>1760</v>
      </c>
      <c r="F317">
        <v>1202049905</v>
      </c>
      <c r="G317" t="s">
        <v>1557</v>
      </c>
      <c r="H317" t="s">
        <v>1767</v>
      </c>
      <c r="I317" t="s">
        <v>1770</v>
      </c>
      <c r="J317" t="s">
        <v>106</v>
      </c>
      <c r="K317">
        <v>7900005247</v>
      </c>
      <c r="L317" t="s">
        <v>1767</v>
      </c>
      <c r="M317" s="1633">
        <v>1837863589</v>
      </c>
      <c r="N317">
        <v>1</v>
      </c>
      <c r="O317">
        <v>40</v>
      </c>
      <c r="P317" s="1633">
        <v>1837863589</v>
      </c>
      <c r="Q317" t="s">
        <v>106</v>
      </c>
      <c r="R317" s="2392">
        <v>44680</v>
      </c>
      <c r="S317" s="2393">
        <f t="shared" si="25"/>
        <v>1</v>
      </c>
      <c r="T317" s="2394">
        <f>IF(OR(J317="COP",J317="EURO",J317="GBP"),0,IF(J317="USD",VLOOKUP(R317,'TRM BanRep'!$A:$G,7,0)))</f>
        <v>0</v>
      </c>
      <c r="U317" s="2395">
        <f t="shared" si="26"/>
        <v>0</v>
      </c>
      <c r="V317" s="2395" t="str">
        <f t="shared" si="23"/>
        <v/>
      </c>
    </row>
    <row r="318" spans="3:23" hidden="1">
      <c r="C318">
        <v>2022</v>
      </c>
      <c r="D318" t="s">
        <v>1760</v>
      </c>
      <c r="F318">
        <v>1202049905</v>
      </c>
      <c r="G318" t="s">
        <v>1557</v>
      </c>
      <c r="H318" t="s">
        <v>1771</v>
      </c>
      <c r="I318" t="s">
        <v>1772</v>
      </c>
      <c r="J318" s="2410" t="s">
        <v>146</v>
      </c>
      <c r="K318">
        <v>7900004541</v>
      </c>
      <c r="L318" t="s">
        <v>1771</v>
      </c>
      <c r="M318" s="1633">
        <v>-1648</v>
      </c>
      <c r="N318">
        <v>4054.29126</v>
      </c>
      <c r="O318">
        <v>50</v>
      </c>
      <c r="P318" s="1633">
        <v>-6681472</v>
      </c>
      <c r="Q318" t="s">
        <v>106</v>
      </c>
      <c r="R318" s="2392">
        <v>44657</v>
      </c>
      <c r="S318" s="2393">
        <f t="shared" si="25"/>
        <v>4054.29</v>
      </c>
      <c r="T318" s="2409">
        <f>IF(OR(J318="COP",J318="EURO",J318="GBP"),0,IF(J318="USD",VLOOKUP(R318,'TRM BanRep'!$A:$G,7,0)))</f>
        <v>0</v>
      </c>
      <c r="U318" s="2395">
        <f t="shared" si="26"/>
        <v>0</v>
      </c>
      <c r="V318" s="2397" t="str">
        <f t="shared" si="23"/>
        <v/>
      </c>
      <c r="W318" t="str">
        <f t="shared" ref="W318:W329" si="27">MID(I318,2,3)</f>
        <v>FX1</v>
      </c>
    </row>
    <row r="319" spans="3:23" hidden="1">
      <c r="C319">
        <v>2022</v>
      </c>
      <c r="D319" t="s">
        <v>1760</v>
      </c>
      <c r="F319">
        <v>1202049905</v>
      </c>
      <c r="G319" t="s">
        <v>1557</v>
      </c>
      <c r="H319" t="s">
        <v>1773</v>
      </c>
      <c r="I319" t="s">
        <v>1774</v>
      </c>
      <c r="J319" s="2410" t="s">
        <v>146</v>
      </c>
      <c r="K319">
        <v>7900004549</v>
      </c>
      <c r="L319" t="s">
        <v>1773</v>
      </c>
      <c r="M319" s="1633">
        <v>-4600.5</v>
      </c>
      <c r="N319">
        <v>4033.3157299999998</v>
      </c>
      <c r="O319">
        <v>50</v>
      </c>
      <c r="P319" s="1633">
        <v>-18555269</v>
      </c>
      <c r="Q319" t="s">
        <v>106</v>
      </c>
      <c r="R319" s="2392">
        <v>44659</v>
      </c>
      <c r="S319" s="2393">
        <f t="shared" si="25"/>
        <v>4033.32</v>
      </c>
      <c r="T319" s="2409">
        <f>IF(OR(J319="COP",J319="EURO",J319="GBP"),0,IF(J319="USD",VLOOKUP(R319,'TRM BanRep'!$A:$G,7,0)))</f>
        <v>0</v>
      </c>
      <c r="U319" s="2395">
        <f t="shared" si="26"/>
        <v>0</v>
      </c>
      <c r="V319" s="2397" t="str">
        <f t="shared" si="23"/>
        <v/>
      </c>
      <c r="W319" t="str">
        <f t="shared" si="27"/>
        <v>FX1</v>
      </c>
    </row>
    <row r="320" spans="3:23" hidden="1">
      <c r="C320">
        <v>2022</v>
      </c>
      <c r="D320" t="s">
        <v>1760</v>
      </c>
      <c r="F320">
        <v>1202049905</v>
      </c>
      <c r="G320" t="s">
        <v>1557</v>
      </c>
      <c r="H320" t="s">
        <v>1761</v>
      </c>
      <c r="I320" t="s">
        <v>1775</v>
      </c>
      <c r="J320" t="s">
        <v>64</v>
      </c>
      <c r="K320">
        <v>7900004491</v>
      </c>
      <c r="L320" t="s">
        <v>1761</v>
      </c>
      <c r="M320" s="1633">
        <v>-32878181.649999999</v>
      </c>
      <c r="N320">
        <v>3777.41</v>
      </c>
      <c r="O320">
        <v>50</v>
      </c>
      <c r="P320" s="1633">
        <v>-124194372147</v>
      </c>
      <c r="Q320" t="s">
        <v>106</v>
      </c>
      <c r="R320" s="2392">
        <v>44662</v>
      </c>
      <c r="S320" s="2393">
        <f t="shared" si="25"/>
        <v>3777.41</v>
      </c>
      <c r="T320" s="2394">
        <f>IF(OR(J320="COP",J320="EURO",J320="GBP"),0,IF(J320="USD",VLOOKUP(R320,'TRM BanRep'!$A:$G,7,0)))</f>
        <v>3777.41</v>
      </c>
      <c r="U320" s="2395">
        <f t="shared" si="26"/>
        <v>0</v>
      </c>
      <c r="V320" s="2395" t="str">
        <f t="shared" si="23"/>
        <v/>
      </c>
      <c r="W320" t="str">
        <f t="shared" si="27"/>
        <v>FX1</v>
      </c>
    </row>
    <row r="321" spans="3:25" hidden="1">
      <c r="C321">
        <v>2022</v>
      </c>
      <c r="D321" t="s">
        <v>1760</v>
      </c>
      <c r="F321">
        <v>1202049905</v>
      </c>
      <c r="G321" t="s">
        <v>1557</v>
      </c>
      <c r="H321" t="s">
        <v>1763</v>
      </c>
      <c r="I321" t="s">
        <v>1776</v>
      </c>
      <c r="J321" t="s">
        <v>64</v>
      </c>
      <c r="K321">
        <v>7900004510</v>
      </c>
      <c r="L321" t="s">
        <v>1763</v>
      </c>
      <c r="M321" s="1633">
        <v>-7438815.71</v>
      </c>
      <c r="N321">
        <v>3759.54</v>
      </c>
      <c r="O321">
        <v>50</v>
      </c>
      <c r="P321" s="1633">
        <v>-27966525214</v>
      </c>
      <c r="Q321" t="s">
        <v>106</v>
      </c>
      <c r="R321" s="2392">
        <v>44673</v>
      </c>
      <c r="S321" s="2393">
        <f t="shared" si="25"/>
        <v>3759.54</v>
      </c>
      <c r="T321" s="2394">
        <f>IF(OR(J321="COP",J321="EURO",J321="GBP"),0,IF(J321="USD",VLOOKUP(R321,'TRM BanRep'!$A:$G,7,0)))</f>
        <v>3759.54</v>
      </c>
      <c r="U321" s="2395">
        <f t="shared" si="26"/>
        <v>0</v>
      </c>
      <c r="V321" s="2395" t="str">
        <f t="shared" si="23"/>
        <v/>
      </c>
      <c r="W321" t="str">
        <f t="shared" si="27"/>
        <v>FX1</v>
      </c>
    </row>
    <row r="322" spans="3:25" hidden="1">
      <c r="C322">
        <v>2022</v>
      </c>
      <c r="D322" t="s">
        <v>1760</v>
      </c>
      <c r="F322">
        <v>1202049905</v>
      </c>
      <c r="G322" t="s">
        <v>1557</v>
      </c>
      <c r="H322" t="s">
        <v>1765</v>
      </c>
      <c r="I322" t="s">
        <v>1777</v>
      </c>
      <c r="J322" t="s">
        <v>64</v>
      </c>
      <c r="K322">
        <v>7900004529</v>
      </c>
      <c r="L322" t="s">
        <v>1765</v>
      </c>
      <c r="M322" s="1633">
        <v>-691833</v>
      </c>
      <c r="N322">
        <v>3731.31</v>
      </c>
      <c r="O322">
        <v>50</v>
      </c>
      <c r="P322" s="1633">
        <v>-2581443391</v>
      </c>
      <c r="Q322" t="s">
        <v>106</v>
      </c>
      <c r="R322" s="2392">
        <v>44670</v>
      </c>
      <c r="S322" s="2393">
        <f t="shared" si="25"/>
        <v>3731.31</v>
      </c>
      <c r="T322" s="2394">
        <f>IF(OR(J322="COP",J322="EURO",J322="GBP"),0,IF(J322="USD",VLOOKUP(R322,'TRM BanRep'!$A:$G,7,0)))</f>
        <v>3731.31</v>
      </c>
      <c r="U322" s="2395">
        <f t="shared" si="26"/>
        <v>0</v>
      </c>
      <c r="V322" s="2395" t="str">
        <f t="shared" si="23"/>
        <v/>
      </c>
      <c r="W322" t="str">
        <f t="shared" si="27"/>
        <v>FX1</v>
      </c>
    </row>
    <row r="323" spans="3:25" hidden="1">
      <c r="C323">
        <v>2022</v>
      </c>
      <c r="D323" t="s">
        <v>1760</v>
      </c>
      <c r="F323">
        <v>1202049905</v>
      </c>
      <c r="G323" t="s">
        <v>1557</v>
      </c>
      <c r="H323" t="s">
        <v>1771</v>
      </c>
      <c r="I323" t="s">
        <v>1778</v>
      </c>
      <c r="J323" t="s">
        <v>64</v>
      </c>
      <c r="K323">
        <v>7900004542</v>
      </c>
      <c r="L323" t="s">
        <v>1771</v>
      </c>
      <c r="M323" s="1860">
        <v>1848.56</v>
      </c>
      <c r="N323">
        <v>3614.4198700000002</v>
      </c>
      <c r="O323">
        <v>40</v>
      </c>
      <c r="P323" s="1633">
        <v>6681472</v>
      </c>
      <c r="Q323" t="s">
        <v>106</v>
      </c>
      <c r="R323" s="2392">
        <v>44657</v>
      </c>
      <c r="S323" s="2393">
        <f t="shared" si="25"/>
        <v>3614.42</v>
      </c>
      <c r="T323" s="2394">
        <f>IF(OR(J323="COP",J323="EURO",J323="GBP"),0,IF(J323="USD",VLOOKUP(R323,'TRM BanRep'!$A:$G,7,0)))</f>
        <v>3723.79</v>
      </c>
      <c r="U323" s="2405">
        <f t="shared" si="26"/>
        <v>202177.00719999979</v>
      </c>
      <c r="V323" s="2396" t="str">
        <f t="shared" si="23"/>
        <v>2-GASTO</v>
      </c>
      <c r="W323" t="str">
        <f t="shared" si="27"/>
        <v>FX2</v>
      </c>
      <c r="X323">
        <v>5803010300</v>
      </c>
      <c r="Y323" s="2401"/>
    </row>
    <row r="324" spans="3:25" hidden="1">
      <c r="C324">
        <v>2022</v>
      </c>
      <c r="D324" t="s">
        <v>1760</v>
      </c>
      <c r="F324">
        <v>1202049905</v>
      </c>
      <c r="G324" t="s">
        <v>1557</v>
      </c>
      <c r="H324" t="s">
        <v>1773</v>
      </c>
      <c r="I324" t="s">
        <v>1779</v>
      </c>
      <c r="J324" t="s">
        <v>64</v>
      </c>
      <c r="K324">
        <v>7900004550</v>
      </c>
      <c r="L324" t="s">
        <v>1773</v>
      </c>
      <c r="M324" s="1860">
        <v>5124.04</v>
      </c>
      <c r="N324">
        <v>3621.2186099999999</v>
      </c>
      <c r="O324">
        <v>40</v>
      </c>
      <c r="P324" s="1633">
        <v>18555269</v>
      </c>
      <c r="Q324" t="s">
        <v>106</v>
      </c>
      <c r="R324" s="2392">
        <v>44659</v>
      </c>
      <c r="S324" s="2393">
        <f t="shared" si="25"/>
        <v>3621.22</v>
      </c>
      <c r="T324" s="2394">
        <f>IF(OR(J324="COP",J324="EURO",J324="GBP"),0,IF(J324="USD",VLOOKUP(R324,'TRM BanRep'!$A:$G,7,0)))</f>
        <v>3771.83</v>
      </c>
      <c r="U324" s="2405">
        <f t="shared" si="26"/>
        <v>771731.66440000059</v>
      </c>
      <c r="V324" s="2396" t="str">
        <f t="shared" si="23"/>
        <v>2-GASTO</v>
      </c>
      <c r="W324" t="str">
        <f t="shared" si="27"/>
        <v>FX2</v>
      </c>
      <c r="X324">
        <v>5803010300</v>
      </c>
      <c r="Y324" s="2401" t="s">
        <v>1780</v>
      </c>
    </row>
    <row r="325" spans="3:25" hidden="1">
      <c r="C325">
        <v>2022</v>
      </c>
      <c r="D325" t="s">
        <v>1760</v>
      </c>
      <c r="F325">
        <v>1202049905</v>
      </c>
      <c r="G325" t="s">
        <v>1557</v>
      </c>
      <c r="H325" t="s">
        <v>1767</v>
      </c>
      <c r="I325" t="s">
        <v>1781</v>
      </c>
      <c r="J325" t="s">
        <v>64</v>
      </c>
      <c r="K325">
        <v>7900005162</v>
      </c>
      <c r="L325" t="s">
        <v>1767</v>
      </c>
      <c r="M325" s="1633">
        <v>50000</v>
      </c>
      <c r="N325">
        <v>3947.63</v>
      </c>
      <c r="O325">
        <v>40</v>
      </c>
      <c r="P325" s="1633">
        <v>197381500</v>
      </c>
      <c r="Q325" t="s">
        <v>106</v>
      </c>
      <c r="R325" s="2392">
        <v>44680</v>
      </c>
      <c r="S325" s="2393">
        <f t="shared" si="25"/>
        <v>3947.63</v>
      </c>
      <c r="T325" s="2394">
        <f>IF(OR(J325="COP",J325="EURO",J325="GBP"),0,IF(J325="USD",VLOOKUP(R325,'TRM BanRep'!$A:$G,7,0)))</f>
        <v>3984.77</v>
      </c>
      <c r="U325" s="2395">
        <f t="shared" si="26"/>
        <v>1856999.9999999937</v>
      </c>
      <c r="V325" s="2396" t="str">
        <f t="shared" si="23"/>
        <v>2-GASTO</v>
      </c>
      <c r="W325" t="str">
        <f t="shared" si="27"/>
        <v>FX2</v>
      </c>
    </row>
    <row r="326" spans="3:25" hidden="1">
      <c r="C326">
        <v>2022</v>
      </c>
      <c r="D326" t="s">
        <v>1760</v>
      </c>
      <c r="F326">
        <v>1202049905</v>
      </c>
      <c r="G326" t="s">
        <v>1557</v>
      </c>
      <c r="H326" t="s">
        <v>1767</v>
      </c>
      <c r="I326" t="s">
        <v>1781</v>
      </c>
      <c r="J326" t="s">
        <v>64</v>
      </c>
      <c r="K326">
        <v>7900005179</v>
      </c>
      <c r="L326" t="s">
        <v>1767</v>
      </c>
      <c r="M326" s="1633">
        <v>-50000</v>
      </c>
      <c r="N326">
        <v>3947.63</v>
      </c>
      <c r="O326">
        <v>50</v>
      </c>
      <c r="P326" s="1633">
        <v>-197381500</v>
      </c>
      <c r="Q326" t="s">
        <v>106</v>
      </c>
      <c r="R326" s="2392">
        <v>44680</v>
      </c>
      <c r="S326" s="2393">
        <f t="shared" si="25"/>
        <v>3947.63</v>
      </c>
      <c r="T326" s="2394">
        <f>IF(OR(J326="COP",J326="EURO",J326="GBP"),0,IF(J326="USD",VLOOKUP(R326,'TRM BanRep'!$A:$G,7,0)))</f>
        <v>3984.77</v>
      </c>
      <c r="U326" s="2395">
        <f t="shared" si="26"/>
        <v>-1856999.9999999937</v>
      </c>
      <c r="V326" s="2397" t="str">
        <f t="shared" si="23"/>
        <v>1-INGRESO</v>
      </c>
      <c r="W326" t="str">
        <f t="shared" si="27"/>
        <v>FX2</v>
      </c>
    </row>
    <row r="327" spans="3:25" hidden="1">
      <c r="C327">
        <v>2022</v>
      </c>
      <c r="D327" t="s">
        <v>1760</v>
      </c>
      <c r="F327">
        <v>1202049905</v>
      </c>
      <c r="G327" t="s">
        <v>1557</v>
      </c>
      <c r="H327" t="s">
        <v>1767</v>
      </c>
      <c r="I327" t="s">
        <v>1781</v>
      </c>
      <c r="J327" t="s">
        <v>64</v>
      </c>
      <c r="K327">
        <v>7900005187</v>
      </c>
      <c r="L327" t="s">
        <v>1767</v>
      </c>
      <c r="M327" s="1633">
        <v>50000</v>
      </c>
      <c r="N327">
        <v>3947.63</v>
      </c>
      <c r="O327">
        <v>40</v>
      </c>
      <c r="P327" s="1633">
        <v>197381500</v>
      </c>
      <c r="Q327" t="s">
        <v>106</v>
      </c>
      <c r="R327" s="2392">
        <v>44680</v>
      </c>
      <c r="S327" s="2393">
        <f t="shared" si="25"/>
        <v>3947.63</v>
      </c>
      <c r="T327" s="2394">
        <f>IF(OR(J327="COP",J327="EURO",J327="GBP"),0,IF(J327="USD",VLOOKUP(R327,'TRM BanRep'!$A:$G,7,0)))</f>
        <v>3984.77</v>
      </c>
      <c r="U327" s="2395">
        <f t="shared" si="26"/>
        <v>1856999.9999999937</v>
      </c>
      <c r="V327" s="2396" t="str">
        <f t="shared" ref="V327:V390" si="28">IF(U327=0,"",IF(U327&gt;0,"2-GASTO","1-INGRESO"))</f>
        <v>2-GASTO</v>
      </c>
      <c r="W327" t="str">
        <f t="shared" si="27"/>
        <v>FX2</v>
      </c>
    </row>
    <row r="328" spans="3:25" hidden="1">
      <c r="C328">
        <v>2022</v>
      </c>
      <c r="D328" t="s">
        <v>1760</v>
      </c>
      <c r="F328">
        <v>1202049905</v>
      </c>
      <c r="G328" t="s">
        <v>1557</v>
      </c>
      <c r="H328" t="s">
        <v>1767</v>
      </c>
      <c r="I328" t="s">
        <v>1782</v>
      </c>
      <c r="J328" t="s">
        <v>64</v>
      </c>
      <c r="K328">
        <v>7900005224</v>
      </c>
      <c r="L328" t="s">
        <v>1767</v>
      </c>
      <c r="M328" s="1633">
        <v>7512538.9299999997</v>
      </c>
      <c r="N328">
        <v>3947.63</v>
      </c>
      <c r="O328">
        <v>40</v>
      </c>
      <c r="P328" s="1633">
        <v>29656724053</v>
      </c>
      <c r="Q328" t="s">
        <v>106</v>
      </c>
      <c r="R328" s="2392">
        <v>44680</v>
      </c>
      <c r="S328" s="2393">
        <f t="shared" si="25"/>
        <v>3947.63</v>
      </c>
      <c r="T328" s="2394">
        <f>IF(OR(J328="COP",J328="EURO",J328="GBP"),0,IF(J328="USD",VLOOKUP(R328,'TRM BanRep'!$A:$G,7,0)))</f>
        <v>3984.77</v>
      </c>
      <c r="U328" s="2399">
        <f t="shared" si="26"/>
        <v>279015695.86019903</v>
      </c>
      <c r="V328" s="2396" t="str">
        <f t="shared" si="28"/>
        <v>2-GASTO</v>
      </c>
      <c r="W328" t="str">
        <f t="shared" si="27"/>
        <v>FX2</v>
      </c>
      <c r="X328">
        <v>5803451110</v>
      </c>
      <c r="Y328" s="2401"/>
    </row>
    <row r="329" spans="3:25" hidden="1">
      <c r="C329">
        <v>2022</v>
      </c>
      <c r="D329" t="s">
        <v>1760</v>
      </c>
      <c r="F329">
        <v>1202049905</v>
      </c>
      <c r="G329" t="s">
        <v>1557</v>
      </c>
      <c r="H329" t="s">
        <v>1767</v>
      </c>
      <c r="I329" t="s">
        <v>1783</v>
      </c>
      <c r="J329" t="s">
        <v>64</v>
      </c>
      <c r="K329">
        <v>7900005246</v>
      </c>
      <c r="L329" t="s">
        <v>1767</v>
      </c>
      <c r="M329" s="1633">
        <v>-461222</v>
      </c>
      <c r="N329">
        <v>3984.77</v>
      </c>
      <c r="O329">
        <v>50</v>
      </c>
      <c r="P329" s="1633">
        <v>-1837863589</v>
      </c>
      <c r="Q329" t="s">
        <v>106</v>
      </c>
      <c r="R329" s="2392">
        <v>44680</v>
      </c>
      <c r="S329" s="2393">
        <f t="shared" si="25"/>
        <v>3984.77</v>
      </c>
      <c r="T329" s="2394">
        <f>IF(OR(J329="COP",J329="EURO",J329="GBP"),0,IF(J329="USD",VLOOKUP(R329,'TRM BanRep'!$A:$G,7,0)))</f>
        <v>3984.77</v>
      </c>
      <c r="U329" s="2395">
        <f t="shared" si="26"/>
        <v>0</v>
      </c>
      <c r="V329" s="2395" t="str">
        <f t="shared" si="28"/>
        <v/>
      </c>
      <c r="W329" t="str">
        <f t="shared" si="27"/>
        <v>FX1</v>
      </c>
    </row>
    <row r="330" spans="3:25" hidden="1">
      <c r="C330">
        <v>2022</v>
      </c>
      <c r="D330" t="s">
        <v>1760</v>
      </c>
      <c r="F330">
        <v>2422999997</v>
      </c>
      <c r="G330" t="s">
        <v>1575</v>
      </c>
      <c r="H330" t="s">
        <v>1771</v>
      </c>
      <c r="I330" t="s">
        <v>1583</v>
      </c>
      <c r="J330" t="s">
        <v>106</v>
      </c>
      <c r="K330">
        <v>7900004320</v>
      </c>
      <c r="L330" t="s">
        <v>1771</v>
      </c>
      <c r="M330" s="1633">
        <v>-626725234</v>
      </c>
      <c r="N330">
        <v>1</v>
      </c>
      <c r="O330">
        <v>50</v>
      </c>
      <c r="P330" s="1633">
        <v>-626725234</v>
      </c>
      <c r="Q330" t="s">
        <v>106</v>
      </c>
      <c r="R330" s="2392">
        <v>44657</v>
      </c>
      <c r="S330" s="2393">
        <f t="shared" si="25"/>
        <v>1</v>
      </c>
      <c r="T330" s="2394">
        <f>IF(OR(J330="COP",J330="EURO",J330="GBP"),0,IF(J330="USD",VLOOKUP(R330,'TRM BanRep'!$A:$G,7,0)))</f>
        <v>0</v>
      </c>
      <c r="U330" s="2395">
        <f t="shared" si="26"/>
        <v>0</v>
      </c>
      <c r="V330" s="2395" t="str">
        <f t="shared" si="28"/>
        <v/>
      </c>
    </row>
    <row r="331" spans="3:25" hidden="1">
      <c r="C331">
        <v>2022</v>
      </c>
      <c r="D331" t="s">
        <v>1760</v>
      </c>
      <c r="F331">
        <v>2422999997</v>
      </c>
      <c r="G331" t="s">
        <v>1575</v>
      </c>
      <c r="H331" t="s">
        <v>1771</v>
      </c>
      <c r="I331" t="s">
        <v>1584</v>
      </c>
      <c r="J331" t="s">
        <v>106</v>
      </c>
      <c r="K331">
        <v>7900004321</v>
      </c>
      <c r="L331" t="s">
        <v>1771</v>
      </c>
      <c r="M331" s="1633">
        <v>595138282</v>
      </c>
      <c r="N331">
        <v>1</v>
      </c>
      <c r="O331">
        <v>40</v>
      </c>
      <c r="P331" s="1633">
        <v>595138282</v>
      </c>
      <c r="Q331" t="s">
        <v>106</v>
      </c>
      <c r="R331" s="2392">
        <v>44657</v>
      </c>
      <c r="S331" s="2393">
        <f t="shared" si="25"/>
        <v>1</v>
      </c>
      <c r="T331" s="2394">
        <f>IF(OR(J331="COP",J331="EURO",J331="GBP"),0,IF(J331="USD",VLOOKUP(R331,'TRM BanRep'!$A:$G,7,0)))</f>
        <v>0</v>
      </c>
      <c r="U331" s="2395">
        <f t="shared" si="26"/>
        <v>0</v>
      </c>
      <c r="V331" s="2395" t="str">
        <f t="shared" si="28"/>
        <v/>
      </c>
    </row>
    <row r="332" spans="3:25" hidden="1">
      <c r="C332">
        <v>2022</v>
      </c>
      <c r="D332" t="s">
        <v>1760</v>
      </c>
      <c r="F332">
        <v>2422999997</v>
      </c>
      <c r="G332" t="s">
        <v>1575</v>
      </c>
      <c r="H332" t="s">
        <v>1784</v>
      </c>
      <c r="I332" t="s">
        <v>1594</v>
      </c>
      <c r="J332" t="s">
        <v>106</v>
      </c>
      <c r="K332">
        <v>7900005192</v>
      </c>
      <c r="L332" t="s">
        <v>1784</v>
      </c>
      <c r="M332" s="1633">
        <v>-774037148</v>
      </c>
      <c r="N332">
        <v>1</v>
      </c>
      <c r="O332">
        <v>50</v>
      </c>
      <c r="P332" s="1633">
        <v>-774037148</v>
      </c>
      <c r="Q332" t="s">
        <v>106</v>
      </c>
      <c r="R332" s="2392">
        <v>44669</v>
      </c>
      <c r="S332" s="2393">
        <f t="shared" si="25"/>
        <v>1</v>
      </c>
      <c r="T332" s="2394">
        <f>IF(OR(J332="COP",J332="EURO",J332="GBP"),0,IF(J332="USD",VLOOKUP(R332,'TRM BanRep'!$A:$G,7,0)))</f>
        <v>0</v>
      </c>
      <c r="U332" s="2395">
        <f t="shared" si="26"/>
        <v>0</v>
      </c>
      <c r="V332" s="2395" t="str">
        <f t="shared" si="28"/>
        <v/>
      </c>
    </row>
    <row r="333" spans="3:25" hidden="1">
      <c r="C333">
        <v>2022</v>
      </c>
      <c r="D333" t="s">
        <v>1760</v>
      </c>
      <c r="F333">
        <v>2422999997</v>
      </c>
      <c r="G333" t="s">
        <v>1575</v>
      </c>
      <c r="H333" t="s">
        <v>1784</v>
      </c>
      <c r="I333" t="s">
        <v>1595</v>
      </c>
      <c r="J333" t="s">
        <v>106</v>
      </c>
      <c r="K333">
        <v>7900005193</v>
      </c>
      <c r="L333" t="s">
        <v>1784</v>
      </c>
      <c r="M333" s="1633">
        <v>559552045</v>
      </c>
      <c r="N333">
        <v>1</v>
      </c>
      <c r="O333">
        <v>40</v>
      </c>
      <c r="P333" s="1633">
        <v>559552045</v>
      </c>
      <c r="Q333" t="s">
        <v>106</v>
      </c>
      <c r="R333" s="2392">
        <v>44669</v>
      </c>
      <c r="S333" s="2393">
        <f t="shared" si="25"/>
        <v>1</v>
      </c>
      <c r="T333" s="2394">
        <f>IF(OR(J333="COP",J333="EURO",J333="GBP"),0,IF(J333="USD",VLOOKUP(R333,'TRM BanRep'!$A:$G,7,0)))</f>
        <v>0</v>
      </c>
      <c r="U333" s="2395">
        <f t="shared" si="26"/>
        <v>0</v>
      </c>
      <c r="V333" s="2395" t="str">
        <f t="shared" si="28"/>
        <v/>
      </c>
    </row>
    <row r="334" spans="3:25" hidden="1">
      <c r="C334">
        <v>2022</v>
      </c>
      <c r="D334" t="s">
        <v>1760</v>
      </c>
      <c r="F334">
        <v>2422999997</v>
      </c>
      <c r="G334" t="s">
        <v>1575</v>
      </c>
      <c r="H334" t="s">
        <v>1784</v>
      </c>
      <c r="I334" t="s">
        <v>1598</v>
      </c>
      <c r="J334" t="s">
        <v>106</v>
      </c>
      <c r="K334">
        <v>7900005201</v>
      </c>
      <c r="L334" t="s">
        <v>1784</v>
      </c>
      <c r="M334" s="1633">
        <v>-1295612491</v>
      </c>
      <c r="N334">
        <v>1</v>
      </c>
      <c r="O334">
        <v>50</v>
      </c>
      <c r="P334" s="1633">
        <v>-1295612491</v>
      </c>
      <c r="Q334" t="s">
        <v>106</v>
      </c>
      <c r="R334" s="2392">
        <v>44669</v>
      </c>
      <c r="S334" s="2393">
        <f t="shared" si="25"/>
        <v>1</v>
      </c>
      <c r="T334" s="2394">
        <f>IF(OR(J334="COP",J334="EURO",J334="GBP"),0,IF(J334="USD",VLOOKUP(R334,'TRM BanRep'!$A:$G,7,0)))</f>
        <v>0</v>
      </c>
      <c r="U334" s="2395">
        <f t="shared" si="26"/>
        <v>0</v>
      </c>
      <c r="V334" s="2395" t="str">
        <f t="shared" si="28"/>
        <v/>
      </c>
    </row>
    <row r="335" spans="3:25" hidden="1">
      <c r="C335">
        <v>2022</v>
      </c>
      <c r="D335" t="s">
        <v>1760</v>
      </c>
      <c r="F335">
        <v>2422999997</v>
      </c>
      <c r="G335" t="s">
        <v>1575</v>
      </c>
      <c r="H335" t="s">
        <v>1784</v>
      </c>
      <c r="I335" t="s">
        <v>1599</v>
      </c>
      <c r="J335" t="s">
        <v>106</v>
      </c>
      <c r="K335">
        <v>7900005202</v>
      </c>
      <c r="L335" t="s">
        <v>1784</v>
      </c>
      <c r="M335" s="1633">
        <v>900690609</v>
      </c>
      <c r="N335">
        <v>1</v>
      </c>
      <c r="O335">
        <v>40</v>
      </c>
      <c r="P335" s="1633">
        <v>900690609</v>
      </c>
      <c r="Q335" t="s">
        <v>106</v>
      </c>
      <c r="R335" s="2392">
        <v>44669</v>
      </c>
      <c r="S335" s="2393">
        <f t="shared" si="25"/>
        <v>1</v>
      </c>
      <c r="T335" s="2394">
        <f>IF(OR(J335="COP",J335="EURO",J335="GBP"),0,IF(J335="USD",VLOOKUP(R335,'TRM BanRep'!$A:$G,7,0)))</f>
        <v>0</v>
      </c>
      <c r="U335" s="2395">
        <f t="shared" si="26"/>
        <v>0</v>
      </c>
      <c r="V335" s="2395" t="str">
        <f t="shared" si="28"/>
        <v/>
      </c>
    </row>
    <row r="336" spans="3:25" hidden="1">
      <c r="C336">
        <v>2022</v>
      </c>
      <c r="D336" t="s">
        <v>1760</v>
      </c>
      <c r="F336">
        <v>2422999997</v>
      </c>
      <c r="G336" t="s">
        <v>1785</v>
      </c>
      <c r="H336" t="s">
        <v>1786</v>
      </c>
      <c r="I336" t="s">
        <v>1787</v>
      </c>
      <c r="J336" t="s">
        <v>106</v>
      </c>
      <c r="K336">
        <v>100018137</v>
      </c>
      <c r="L336" t="s">
        <v>1694</v>
      </c>
      <c r="M336" s="1633">
        <v>-416528666</v>
      </c>
      <c r="N336">
        <v>1</v>
      </c>
      <c r="O336">
        <v>50</v>
      </c>
      <c r="P336" s="1633">
        <v>-416528666</v>
      </c>
      <c r="Q336" t="s">
        <v>106</v>
      </c>
      <c r="R336" s="2392">
        <v>44627</v>
      </c>
      <c r="S336" s="2393">
        <f t="shared" si="25"/>
        <v>1</v>
      </c>
      <c r="T336" s="2394">
        <f>IF(OR(J336="COP",J336="EURO",J336="GBP"),0,IF(J336="USD",VLOOKUP(R336,'TRM BanRep'!$A:$G,7,0)))</f>
        <v>0</v>
      </c>
      <c r="U336" s="2395">
        <f t="shared" si="26"/>
        <v>0</v>
      </c>
      <c r="V336" s="2395" t="str">
        <f t="shared" si="28"/>
        <v/>
      </c>
    </row>
    <row r="337" spans="3:22" hidden="1">
      <c r="C337">
        <v>2022</v>
      </c>
      <c r="D337" t="s">
        <v>1760</v>
      </c>
      <c r="F337">
        <v>2422999997</v>
      </c>
      <c r="G337" t="s">
        <v>1602</v>
      </c>
      <c r="H337" t="s">
        <v>1761</v>
      </c>
      <c r="I337" t="s">
        <v>1788</v>
      </c>
      <c r="J337" t="s">
        <v>106</v>
      </c>
      <c r="K337">
        <v>7900004419</v>
      </c>
      <c r="L337" t="s">
        <v>1761</v>
      </c>
      <c r="M337" s="1633">
        <v>-124327200000</v>
      </c>
      <c r="N337">
        <v>1</v>
      </c>
      <c r="O337">
        <v>50</v>
      </c>
      <c r="P337" s="1633">
        <v>-124327200000</v>
      </c>
      <c r="Q337" t="s">
        <v>106</v>
      </c>
      <c r="R337" s="2392">
        <v>44662</v>
      </c>
      <c r="S337" s="2393">
        <f t="shared" si="25"/>
        <v>1</v>
      </c>
      <c r="T337" s="2394">
        <f>IF(OR(J337="COP",J337="EURO",J337="GBP"),0,IF(J337="USD",VLOOKUP(R337,'TRM BanRep'!$A:$G,7,0)))</f>
        <v>0</v>
      </c>
      <c r="U337" s="2395">
        <f t="shared" si="26"/>
        <v>0</v>
      </c>
      <c r="V337" s="2395" t="str">
        <f t="shared" si="28"/>
        <v/>
      </c>
    </row>
    <row r="338" spans="3:22" hidden="1">
      <c r="C338">
        <v>2022</v>
      </c>
      <c r="D338" t="s">
        <v>1760</v>
      </c>
      <c r="F338">
        <v>2422999997</v>
      </c>
      <c r="G338" t="s">
        <v>1602</v>
      </c>
      <c r="H338" t="s">
        <v>1763</v>
      </c>
      <c r="I338" t="s">
        <v>1789</v>
      </c>
      <c r="J338" t="s">
        <v>106</v>
      </c>
      <c r="K338">
        <v>7900004500</v>
      </c>
      <c r="L338" t="s">
        <v>1763</v>
      </c>
      <c r="M338" s="1633">
        <v>-28170199989</v>
      </c>
      <c r="N338">
        <v>1</v>
      </c>
      <c r="O338">
        <v>50</v>
      </c>
      <c r="P338" s="1633">
        <v>-28170199989</v>
      </c>
      <c r="Q338" t="s">
        <v>106</v>
      </c>
      <c r="R338" s="2392">
        <v>44673</v>
      </c>
      <c r="S338" s="2393">
        <f t="shared" si="25"/>
        <v>1</v>
      </c>
      <c r="T338" s="2394">
        <f>IF(OR(J338="COP",J338="EURO",J338="GBP"),0,IF(J338="USD",VLOOKUP(R338,'TRM BanRep'!$A:$G,7,0)))</f>
        <v>0</v>
      </c>
      <c r="U338" s="2395">
        <f t="shared" si="26"/>
        <v>0</v>
      </c>
      <c r="V338" s="2395" t="str">
        <f t="shared" si="28"/>
        <v/>
      </c>
    </row>
    <row r="339" spans="3:22" hidden="1">
      <c r="C339">
        <v>2022</v>
      </c>
      <c r="D339" t="s">
        <v>1760</v>
      </c>
      <c r="F339">
        <v>2422999997</v>
      </c>
      <c r="G339" t="s">
        <v>1602</v>
      </c>
      <c r="H339" t="s">
        <v>1765</v>
      </c>
      <c r="I339" t="s">
        <v>1790</v>
      </c>
      <c r="J339" t="s">
        <v>106</v>
      </c>
      <c r="K339">
        <v>7900004519</v>
      </c>
      <c r="L339" t="s">
        <v>1765</v>
      </c>
      <c r="M339" s="1633">
        <v>-2690414007</v>
      </c>
      <c r="N339">
        <v>1</v>
      </c>
      <c r="O339">
        <v>50</v>
      </c>
      <c r="P339" s="1633">
        <v>-2690414007</v>
      </c>
      <c r="Q339" t="s">
        <v>106</v>
      </c>
      <c r="R339" s="2392">
        <v>44670</v>
      </c>
      <c r="S339" s="2393">
        <f t="shared" si="25"/>
        <v>1</v>
      </c>
      <c r="T339" s="2394">
        <f>IF(OR(J339="COP",J339="EURO",J339="GBP"),0,IF(J339="USD",VLOOKUP(R339,'TRM BanRep'!$A:$G,7,0)))</f>
        <v>0</v>
      </c>
      <c r="U339" s="2395">
        <f t="shared" si="26"/>
        <v>0</v>
      </c>
      <c r="V339" s="2395" t="str">
        <f t="shared" si="28"/>
        <v/>
      </c>
    </row>
    <row r="340" spans="3:22" hidden="1">
      <c r="C340">
        <v>2022</v>
      </c>
      <c r="D340" t="s">
        <v>1760</v>
      </c>
      <c r="F340">
        <v>2422999997</v>
      </c>
      <c r="G340" t="s">
        <v>1602</v>
      </c>
      <c r="H340" t="s">
        <v>1767</v>
      </c>
      <c r="I340" t="s">
        <v>1791</v>
      </c>
      <c r="J340" t="s">
        <v>106</v>
      </c>
      <c r="K340">
        <v>7900005232</v>
      </c>
      <c r="L340" t="s">
        <v>1767</v>
      </c>
      <c r="M340" s="1633">
        <v>-1795025290</v>
      </c>
      <c r="N340">
        <v>1</v>
      </c>
      <c r="O340">
        <v>50</v>
      </c>
      <c r="P340" s="1633">
        <v>-1795025290</v>
      </c>
      <c r="Q340" t="s">
        <v>106</v>
      </c>
      <c r="R340" s="2392">
        <v>44680</v>
      </c>
      <c r="S340" s="2393">
        <f t="shared" si="25"/>
        <v>1</v>
      </c>
      <c r="T340" s="2394">
        <f>IF(OR(J340="COP",J340="EURO",J340="GBP"),0,IF(J340="USD",VLOOKUP(R340,'TRM BanRep'!$A:$G,7,0)))</f>
        <v>0</v>
      </c>
      <c r="U340" s="2395">
        <f t="shared" si="26"/>
        <v>0</v>
      </c>
      <c r="V340" s="2395" t="str">
        <f t="shared" si="28"/>
        <v/>
      </c>
    </row>
    <row r="341" spans="3:22" hidden="1">
      <c r="C341">
        <v>2022</v>
      </c>
      <c r="D341" t="s">
        <v>1760</v>
      </c>
      <c r="F341">
        <v>2422999997</v>
      </c>
      <c r="G341" t="s">
        <v>1606</v>
      </c>
      <c r="H341" t="s">
        <v>1792</v>
      </c>
      <c r="I341" t="s">
        <v>1793</v>
      </c>
      <c r="J341" t="s">
        <v>106</v>
      </c>
      <c r="K341">
        <v>7900004349</v>
      </c>
      <c r="L341" t="s">
        <v>1792</v>
      </c>
      <c r="M341" s="1633">
        <v>-4568380000</v>
      </c>
      <c r="N341">
        <v>1</v>
      </c>
      <c r="O341">
        <v>50</v>
      </c>
      <c r="P341" s="1633">
        <v>-4568380000</v>
      </c>
      <c r="Q341" t="s">
        <v>106</v>
      </c>
      <c r="R341" s="2392">
        <v>44664</v>
      </c>
      <c r="S341" s="2393">
        <f t="shared" si="25"/>
        <v>1</v>
      </c>
      <c r="T341" s="2394">
        <f>IF(OR(J341="COP",J341="EURO",J341="GBP"),0,IF(J341="USD",VLOOKUP(R341,'TRM BanRep'!$A:$G,7,0)))</f>
        <v>0</v>
      </c>
      <c r="U341" s="2395">
        <f t="shared" si="26"/>
        <v>0</v>
      </c>
      <c r="V341" s="2395" t="str">
        <f t="shared" si="28"/>
        <v/>
      </c>
    </row>
    <row r="342" spans="3:22" hidden="1">
      <c r="C342">
        <v>2022</v>
      </c>
      <c r="D342" t="s">
        <v>1760</v>
      </c>
      <c r="F342">
        <v>2422999997</v>
      </c>
      <c r="G342" t="s">
        <v>1608</v>
      </c>
      <c r="H342" t="s">
        <v>1771</v>
      </c>
      <c r="J342" t="s">
        <v>106</v>
      </c>
      <c r="K342">
        <v>2000003080</v>
      </c>
      <c r="L342" t="s">
        <v>1771</v>
      </c>
      <c r="M342" s="1633">
        <v>5184226309</v>
      </c>
      <c r="N342">
        <v>1</v>
      </c>
      <c r="O342">
        <v>40</v>
      </c>
      <c r="P342" s="1633">
        <v>5184226309</v>
      </c>
      <c r="Q342" t="s">
        <v>106</v>
      </c>
      <c r="R342" s="2392">
        <v>44657</v>
      </c>
      <c r="S342" s="2393">
        <f t="shared" si="25"/>
        <v>1</v>
      </c>
      <c r="T342" s="2394">
        <f>IF(OR(J342="COP",J342="EURO",J342="GBP"),0,IF(J342="USD",VLOOKUP(R342,'TRM BanRep'!$A:$G,7,0)))</f>
        <v>0</v>
      </c>
      <c r="U342" s="2395">
        <f t="shared" si="26"/>
        <v>0</v>
      </c>
      <c r="V342" s="2395" t="str">
        <f t="shared" si="28"/>
        <v/>
      </c>
    </row>
    <row r="343" spans="3:22" hidden="1">
      <c r="C343">
        <v>2022</v>
      </c>
      <c r="D343" t="s">
        <v>1760</v>
      </c>
      <c r="F343">
        <v>2422999997</v>
      </c>
      <c r="G343" t="s">
        <v>1608</v>
      </c>
      <c r="H343" t="s">
        <v>1761</v>
      </c>
      <c r="J343" t="s">
        <v>106</v>
      </c>
      <c r="K343">
        <v>2000003745</v>
      </c>
      <c r="L343" t="s">
        <v>1761</v>
      </c>
      <c r="M343" s="1633">
        <v>1400032993</v>
      </c>
      <c r="N343">
        <v>1</v>
      </c>
      <c r="O343">
        <v>40</v>
      </c>
      <c r="P343" s="1633">
        <v>1400032993</v>
      </c>
      <c r="Q343" t="s">
        <v>106</v>
      </c>
      <c r="R343" s="2392">
        <v>44662</v>
      </c>
      <c r="S343" s="2393">
        <f t="shared" si="25"/>
        <v>1</v>
      </c>
      <c r="T343" s="2394">
        <f>IF(OR(J343="COP",J343="EURO",J343="GBP"),0,IF(J343="USD",VLOOKUP(R343,'TRM BanRep'!$A:$G,7,0)))</f>
        <v>0</v>
      </c>
      <c r="U343" s="2395">
        <f t="shared" si="26"/>
        <v>0</v>
      </c>
      <c r="V343" s="2395" t="str">
        <f t="shared" si="28"/>
        <v/>
      </c>
    </row>
    <row r="344" spans="3:22" hidden="1">
      <c r="C344">
        <v>2022</v>
      </c>
      <c r="D344" t="s">
        <v>1760</v>
      </c>
      <c r="F344">
        <v>2422999997</v>
      </c>
      <c r="G344" t="s">
        <v>1608</v>
      </c>
      <c r="H344" t="s">
        <v>1761</v>
      </c>
      <c r="J344" t="s">
        <v>106</v>
      </c>
      <c r="K344">
        <v>2000003746</v>
      </c>
      <c r="L344" t="s">
        <v>1761</v>
      </c>
      <c r="M344" s="1633">
        <v>770018146</v>
      </c>
      <c r="N344">
        <v>1</v>
      </c>
      <c r="O344">
        <v>40</v>
      </c>
      <c r="P344" s="1633">
        <v>770018146</v>
      </c>
      <c r="Q344" t="s">
        <v>106</v>
      </c>
      <c r="R344" s="2392">
        <v>44662</v>
      </c>
      <c r="S344" s="2393">
        <f t="shared" si="25"/>
        <v>1</v>
      </c>
      <c r="T344" s="2394">
        <f>IF(OR(J344="COP",J344="EURO",J344="GBP"),0,IF(J344="USD",VLOOKUP(R344,'TRM BanRep'!$A:$G,7,0)))</f>
        <v>0</v>
      </c>
      <c r="U344" s="2395">
        <f t="shared" si="26"/>
        <v>0</v>
      </c>
      <c r="V344" s="2395" t="str">
        <f t="shared" si="28"/>
        <v/>
      </c>
    </row>
    <row r="345" spans="3:22" hidden="1">
      <c r="C345">
        <v>2022</v>
      </c>
      <c r="D345" t="s">
        <v>1760</v>
      </c>
      <c r="F345">
        <v>2422999997</v>
      </c>
      <c r="G345" t="s">
        <v>1608</v>
      </c>
      <c r="H345" t="s">
        <v>1792</v>
      </c>
      <c r="J345" t="s">
        <v>106</v>
      </c>
      <c r="K345">
        <v>2000003747</v>
      </c>
      <c r="L345" t="s">
        <v>1792</v>
      </c>
      <c r="M345" s="1633">
        <v>5853694011</v>
      </c>
      <c r="N345">
        <v>1</v>
      </c>
      <c r="O345">
        <v>40</v>
      </c>
      <c r="P345" s="1633">
        <v>5853694011</v>
      </c>
      <c r="Q345" t="s">
        <v>106</v>
      </c>
      <c r="R345" s="2392">
        <v>44664</v>
      </c>
      <c r="S345" s="2393">
        <f t="shared" si="25"/>
        <v>1</v>
      </c>
      <c r="T345" s="2394">
        <f>IF(OR(J345="COP",J345="EURO",J345="GBP"),0,IF(J345="USD",VLOOKUP(R345,'TRM BanRep'!$A:$G,7,0)))</f>
        <v>0</v>
      </c>
      <c r="U345" s="2395">
        <f t="shared" si="26"/>
        <v>0</v>
      </c>
      <c r="V345" s="2395" t="str">
        <f t="shared" si="28"/>
        <v/>
      </c>
    </row>
    <row r="346" spans="3:22" hidden="1">
      <c r="C346">
        <v>2022</v>
      </c>
      <c r="D346" t="s">
        <v>1760</v>
      </c>
      <c r="F346">
        <v>2422999997</v>
      </c>
      <c r="G346" t="s">
        <v>1608</v>
      </c>
      <c r="H346" t="s">
        <v>1784</v>
      </c>
      <c r="J346" t="s">
        <v>106</v>
      </c>
      <c r="K346">
        <v>2000003897</v>
      </c>
      <c r="L346" t="s">
        <v>1784</v>
      </c>
      <c r="M346" s="1633">
        <v>8119843941</v>
      </c>
      <c r="N346">
        <v>1</v>
      </c>
      <c r="O346">
        <v>40</v>
      </c>
      <c r="P346" s="1633">
        <v>8119843941</v>
      </c>
      <c r="Q346" t="s">
        <v>106</v>
      </c>
      <c r="R346" s="2392">
        <v>44669</v>
      </c>
      <c r="S346" s="2393">
        <f t="shared" si="25"/>
        <v>1</v>
      </c>
      <c r="T346" s="2394">
        <f>IF(OR(J346="COP",J346="EURO",J346="GBP"),0,IF(J346="USD",VLOOKUP(R346,'TRM BanRep'!$A:$G,7,0)))</f>
        <v>0</v>
      </c>
      <c r="U346" s="2395">
        <f t="shared" si="26"/>
        <v>0</v>
      </c>
      <c r="V346" s="2395" t="str">
        <f t="shared" si="28"/>
        <v/>
      </c>
    </row>
    <row r="347" spans="3:22" hidden="1">
      <c r="C347">
        <v>2022</v>
      </c>
      <c r="D347" t="s">
        <v>1760</v>
      </c>
      <c r="F347">
        <v>2422999997</v>
      </c>
      <c r="G347" t="s">
        <v>1608</v>
      </c>
      <c r="H347" t="s">
        <v>1771</v>
      </c>
      <c r="J347" t="s">
        <v>106</v>
      </c>
      <c r="K347">
        <v>2000003899</v>
      </c>
      <c r="L347" t="s">
        <v>1771</v>
      </c>
      <c r="M347" s="1633">
        <v>31586952</v>
      </c>
      <c r="N347">
        <v>1</v>
      </c>
      <c r="O347">
        <v>40</v>
      </c>
      <c r="P347" s="1633">
        <v>31586952</v>
      </c>
      <c r="Q347" t="s">
        <v>106</v>
      </c>
      <c r="R347" s="2392">
        <v>44657</v>
      </c>
      <c r="S347" s="2393">
        <f t="shared" si="25"/>
        <v>1</v>
      </c>
      <c r="T347" s="2394">
        <f>IF(OR(J347="COP",J347="EURO",J347="GBP"),0,IF(J347="USD",VLOOKUP(R347,'TRM BanRep'!$A:$G,7,0)))</f>
        <v>0</v>
      </c>
      <c r="U347" s="2395">
        <f t="shared" si="26"/>
        <v>0</v>
      </c>
      <c r="V347" s="2395" t="str">
        <f t="shared" si="28"/>
        <v/>
      </c>
    </row>
    <row r="348" spans="3:22" hidden="1">
      <c r="C348">
        <v>2022</v>
      </c>
      <c r="D348" t="s">
        <v>1760</v>
      </c>
      <c r="F348">
        <v>2422999997</v>
      </c>
      <c r="G348" t="s">
        <v>1608</v>
      </c>
      <c r="H348" t="s">
        <v>1765</v>
      </c>
      <c r="J348" t="s">
        <v>106</v>
      </c>
      <c r="K348">
        <v>2000004013</v>
      </c>
      <c r="L348" t="s">
        <v>1765</v>
      </c>
      <c r="M348" s="1633">
        <v>62475000</v>
      </c>
      <c r="N348">
        <v>1</v>
      </c>
      <c r="O348">
        <v>40</v>
      </c>
      <c r="P348" s="1633">
        <v>62475000</v>
      </c>
      <c r="Q348" t="s">
        <v>106</v>
      </c>
      <c r="R348" s="2392">
        <v>44670</v>
      </c>
      <c r="S348" s="2393">
        <f t="shared" si="25"/>
        <v>1</v>
      </c>
      <c r="T348" s="2394">
        <f>IF(OR(J348="COP",J348="EURO",J348="GBP"),0,IF(J348="USD",VLOOKUP(R348,'TRM BanRep'!$A:$G,7,0)))</f>
        <v>0</v>
      </c>
      <c r="U348" s="2395">
        <f t="shared" si="26"/>
        <v>0</v>
      </c>
      <c r="V348" s="2395" t="str">
        <f t="shared" si="28"/>
        <v/>
      </c>
    </row>
    <row r="349" spans="3:22" hidden="1">
      <c r="C349">
        <v>2022</v>
      </c>
      <c r="D349" t="s">
        <v>1760</v>
      </c>
      <c r="F349">
        <v>2422999997</v>
      </c>
      <c r="G349" t="s">
        <v>1608</v>
      </c>
      <c r="H349" t="s">
        <v>1794</v>
      </c>
      <c r="J349" t="s">
        <v>106</v>
      </c>
      <c r="K349">
        <v>2000004164</v>
      </c>
      <c r="L349" t="s">
        <v>1794</v>
      </c>
      <c r="M349" s="1633">
        <v>5625545205</v>
      </c>
      <c r="N349">
        <v>1</v>
      </c>
      <c r="O349">
        <v>40</v>
      </c>
      <c r="P349" s="1633">
        <v>5625545205</v>
      </c>
      <c r="Q349" t="s">
        <v>106</v>
      </c>
      <c r="R349" s="2392">
        <v>44676</v>
      </c>
      <c r="S349" s="2393">
        <f t="shared" si="25"/>
        <v>1</v>
      </c>
      <c r="T349" s="2394">
        <f>IF(OR(J349="COP",J349="EURO",J349="GBP"),0,IF(J349="USD",VLOOKUP(R349,'TRM BanRep'!$A:$G,7,0)))</f>
        <v>0</v>
      </c>
      <c r="U349" s="2395">
        <f t="shared" si="26"/>
        <v>0</v>
      </c>
      <c r="V349" s="2395" t="str">
        <f t="shared" si="28"/>
        <v/>
      </c>
    </row>
    <row r="350" spans="3:22" hidden="1">
      <c r="C350">
        <v>2022</v>
      </c>
      <c r="D350" t="s">
        <v>1760</v>
      </c>
      <c r="F350">
        <v>2422999997</v>
      </c>
      <c r="G350" t="s">
        <v>1608</v>
      </c>
      <c r="H350" t="s">
        <v>1784</v>
      </c>
      <c r="J350" t="s">
        <v>106</v>
      </c>
      <c r="K350">
        <v>2000004363</v>
      </c>
      <c r="L350" t="s">
        <v>1784</v>
      </c>
      <c r="M350" s="1633">
        <v>214485103</v>
      </c>
      <c r="N350">
        <v>1</v>
      </c>
      <c r="O350">
        <v>40</v>
      </c>
      <c r="P350" s="1633">
        <v>214485103</v>
      </c>
      <c r="Q350" t="s">
        <v>106</v>
      </c>
      <c r="R350" s="2392">
        <v>44669</v>
      </c>
      <c r="S350" s="2393">
        <f t="shared" si="25"/>
        <v>1</v>
      </c>
      <c r="T350" s="2394">
        <f>IF(OR(J350="COP",J350="EURO",J350="GBP"),0,IF(J350="USD",VLOOKUP(R350,'TRM BanRep'!$A:$G,7,0)))</f>
        <v>0</v>
      </c>
      <c r="U350" s="2395">
        <f t="shared" si="26"/>
        <v>0</v>
      </c>
      <c r="V350" s="2395" t="str">
        <f t="shared" si="28"/>
        <v/>
      </c>
    </row>
    <row r="351" spans="3:22" hidden="1">
      <c r="C351">
        <v>2022</v>
      </c>
      <c r="D351" t="s">
        <v>1760</v>
      </c>
      <c r="F351">
        <v>2422999997</v>
      </c>
      <c r="G351" t="s">
        <v>1608</v>
      </c>
      <c r="H351" t="s">
        <v>1784</v>
      </c>
      <c r="J351" t="s">
        <v>106</v>
      </c>
      <c r="K351">
        <v>2000004364</v>
      </c>
      <c r="L351" t="s">
        <v>1784</v>
      </c>
      <c r="M351" s="1633">
        <v>394921882</v>
      </c>
      <c r="N351">
        <v>1</v>
      </c>
      <c r="O351">
        <v>40</v>
      </c>
      <c r="P351" s="1633">
        <v>394921882</v>
      </c>
      <c r="Q351" t="s">
        <v>106</v>
      </c>
      <c r="R351" s="2392">
        <v>44669</v>
      </c>
      <c r="S351" s="2393">
        <f t="shared" si="25"/>
        <v>1</v>
      </c>
      <c r="T351" s="2394">
        <f>IF(OR(J351="COP",J351="EURO",J351="GBP"),0,IF(J351="USD",VLOOKUP(R351,'TRM BanRep'!$A:$G,7,0)))</f>
        <v>0</v>
      </c>
      <c r="U351" s="2395">
        <f t="shared" si="26"/>
        <v>0</v>
      </c>
      <c r="V351" s="2395" t="str">
        <f t="shared" si="28"/>
        <v/>
      </c>
    </row>
    <row r="352" spans="3:22" hidden="1">
      <c r="C352">
        <v>2022</v>
      </c>
      <c r="D352" t="s">
        <v>1760</v>
      </c>
      <c r="F352">
        <v>2422999997</v>
      </c>
      <c r="G352" t="s">
        <v>1608</v>
      </c>
      <c r="H352" t="s">
        <v>1761</v>
      </c>
      <c r="J352" t="s">
        <v>106</v>
      </c>
      <c r="K352">
        <v>2000004365</v>
      </c>
      <c r="L352" t="s">
        <v>1761</v>
      </c>
      <c r="M352" s="1633">
        <v>124327200000</v>
      </c>
      <c r="N352">
        <v>1</v>
      </c>
      <c r="O352">
        <v>40</v>
      </c>
      <c r="P352" s="1633">
        <v>124327200000</v>
      </c>
      <c r="Q352" t="s">
        <v>106</v>
      </c>
      <c r="R352" s="2392">
        <v>44662</v>
      </c>
      <c r="S352" s="2393">
        <f t="shared" si="25"/>
        <v>1</v>
      </c>
      <c r="T352" s="2394">
        <f>IF(OR(J352="COP",J352="EURO",J352="GBP"),0,IF(J352="USD",VLOOKUP(R352,'TRM BanRep'!$A:$G,7,0)))</f>
        <v>0</v>
      </c>
      <c r="U352" s="2395">
        <f t="shared" si="26"/>
        <v>0</v>
      </c>
      <c r="V352" s="2395" t="str">
        <f t="shared" si="28"/>
        <v/>
      </c>
    </row>
    <row r="353" spans="3:22" hidden="1">
      <c r="C353">
        <v>2022</v>
      </c>
      <c r="D353" t="s">
        <v>1760</v>
      </c>
      <c r="F353">
        <v>2422999997</v>
      </c>
      <c r="G353" t="s">
        <v>1608</v>
      </c>
      <c r="H353" t="s">
        <v>1763</v>
      </c>
      <c r="J353" t="s">
        <v>106</v>
      </c>
      <c r="K353">
        <v>2000004366</v>
      </c>
      <c r="L353" t="s">
        <v>1763</v>
      </c>
      <c r="M353" s="1633">
        <v>28170199989</v>
      </c>
      <c r="N353">
        <v>1</v>
      </c>
      <c r="O353">
        <v>40</v>
      </c>
      <c r="P353" s="1633">
        <v>28170199989</v>
      </c>
      <c r="Q353" t="s">
        <v>106</v>
      </c>
      <c r="R353" s="2392">
        <v>44673</v>
      </c>
      <c r="S353" s="2393">
        <f t="shared" si="25"/>
        <v>1</v>
      </c>
      <c r="T353" s="2394">
        <f>IF(OR(J353="COP",J353="EURO",J353="GBP"),0,IF(J353="USD",VLOOKUP(R353,'TRM BanRep'!$A:$G,7,0)))</f>
        <v>0</v>
      </c>
      <c r="U353" s="2395">
        <f t="shared" si="26"/>
        <v>0</v>
      </c>
      <c r="V353" s="2395" t="str">
        <f t="shared" si="28"/>
        <v/>
      </c>
    </row>
    <row r="354" spans="3:22" hidden="1">
      <c r="C354">
        <v>2022</v>
      </c>
      <c r="D354" t="s">
        <v>1760</v>
      </c>
      <c r="F354">
        <v>2422999997</v>
      </c>
      <c r="G354" t="s">
        <v>1608</v>
      </c>
      <c r="H354" t="s">
        <v>1765</v>
      </c>
      <c r="J354" t="s">
        <v>106</v>
      </c>
      <c r="K354">
        <v>2000004367</v>
      </c>
      <c r="L354" t="s">
        <v>1765</v>
      </c>
      <c r="M354" s="1633">
        <v>2690414007</v>
      </c>
      <c r="N354">
        <v>1</v>
      </c>
      <c r="O354">
        <v>40</v>
      </c>
      <c r="P354" s="1633">
        <v>2690414007</v>
      </c>
      <c r="Q354" t="s">
        <v>106</v>
      </c>
      <c r="R354" s="2392">
        <v>44670</v>
      </c>
      <c r="S354" s="2393">
        <f t="shared" si="25"/>
        <v>1</v>
      </c>
      <c r="T354" s="2394">
        <f>IF(OR(J354="COP",J354="EURO",J354="GBP"),0,IF(J354="USD",VLOOKUP(R354,'TRM BanRep'!$A:$G,7,0)))</f>
        <v>0</v>
      </c>
      <c r="U354" s="2395">
        <f t="shared" si="26"/>
        <v>0</v>
      </c>
      <c r="V354" s="2395" t="str">
        <f t="shared" si="28"/>
        <v/>
      </c>
    </row>
    <row r="355" spans="3:22" hidden="1">
      <c r="C355">
        <v>2022</v>
      </c>
      <c r="D355" t="s">
        <v>1760</v>
      </c>
      <c r="F355">
        <v>2422999997</v>
      </c>
      <c r="G355" t="s">
        <v>1608</v>
      </c>
      <c r="H355" t="s">
        <v>1767</v>
      </c>
      <c r="J355" t="s">
        <v>106</v>
      </c>
      <c r="K355">
        <v>2000004414</v>
      </c>
      <c r="L355" t="s">
        <v>1767</v>
      </c>
      <c r="M355" s="1633">
        <v>1795025290</v>
      </c>
      <c r="N355">
        <v>1</v>
      </c>
      <c r="O355">
        <v>40</v>
      </c>
      <c r="P355" s="1633">
        <v>1795025290</v>
      </c>
      <c r="Q355" t="s">
        <v>106</v>
      </c>
      <c r="R355" s="2392">
        <v>44680</v>
      </c>
      <c r="S355" s="2393">
        <f t="shared" si="25"/>
        <v>1</v>
      </c>
      <c r="T355" s="2394">
        <f>IF(OR(J355="COP",J355="EURO",J355="GBP"),0,IF(J355="USD",VLOOKUP(R355,'TRM BanRep'!$A:$G,7,0)))</f>
        <v>0</v>
      </c>
      <c r="U355" s="2395">
        <f t="shared" si="26"/>
        <v>0</v>
      </c>
      <c r="V355" s="2395" t="str">
        <f t="shared" si="28"/>
        <v/>
      </c>
    </row>
    <row r="356" spans="3:22" hidden="1">
      <c r="C356">
        <v>2022</v>
      </c>
      <c r="D356" t="s">
        <v>1760</v>
      </c>
      <c r="F356">
        <v>2422999997</v>
      </c>
      <c r="G356" t="s">
        <v>1609</v>
      </c>
      <c r="H356" t="s">
        <v>1771</v>
      </c>
      <c r="I356" t="s">
        <v>1612</v>
      </c>
      <c r="J356" t="s">
        <v>106</v>
      </c>
      <c r="K356">
        <v>7900004290</v>
      </c>
      <c r="L356" t="s">
        <v>1771</v>
      </c>
      <c r="M356" s="1633">
        <v>-5184226309</v>
      </c>
      <c r="N356">
        <v>1</v>
      </c>
      <c r="O356">
        <v>50</v>
      </c>
      <c r="P356" s="1633">
        <v>-5184226309</v>
      </c>
      <c r="Q356" t="s">
        <v>106</v>
      </c>
      <c r="R356" s="2392">
        <v>44657</v>
      </c>
      <c r="S356" s="2393">
        <f t="shared" si="25"/>
        <v>1</v>
      </c>
      <c r="T356" s="2394">
        <f>IF(OR(J356="COP",J356="EURO",J356="GBP"),0,IF(J356="USD",VLOOKUP(R356,'TRM BanRep'!$A:$G,7,0)))</f>
        <v>0</v>
      </c>
      <c r="U356" s="2395">
        <f t="shared" si="26"/>
        <v>0</v>
      </c>
      <c r="V356" s="2395" t="str">
        <f t="shared" si="28"/>
        <v/>
      </c>
    </row>
    <row r="357" spans="3:22" hidden="1">
      <c r="C357">
        <v>2022</v>
      </c>
      <c r="D357" t="s">
        <v>1760</v>
      </c>
      <c r="F357">
        <v>2422999997</v>
      </c>
      <c r="G357" t="s">
        <v>1609</v>
      </c>
      <c r="H357" t="s">
        <v>1761</v>
      </c>
      <c r="I357" t="s">
        <v>1613</v>
      </c>
      <c r="J357" t="s">
        <v>106</v>
      </c>
      <c r="K357">
        <v>7900004338</v>
      </c>
      <c r="L357" t="s">
        <v>1761</v>
      </c>
      <c r="M357" s="1633">
        <v>-1400032993</v>
      </c>
      <c r="N357">
        <v>1</v>
      </c>
      <c r="O357">
        <v>50</v>
      </c>
      <c r="P357" s="1633">
        <v>-1400032993</v>
      </c>
      <c r="Q357" t="s">
        <v>106</v>
      </c>
      <c r="R357" s="2392">
        <v>44662</v>
      </c>
      <c r="S357" s="2393">
        <f t="shared" si="25"/>
        <v>1</v>
      </c>
      <c r="T357" s="2394">
        <f>IF(OR(J357="COP",J357="EURO",J357="GBP"),0,IF(J357="USD",VLOOKUP(R357,'TRM BanRep'!$A:$G,7,0)))</f>
        <v>0</v>
      </c>
      <c r="U357" s="2395">
        <f t="shared" si="26"/>
        <v>0</v>
      </c>
      <c r="V357" s="2395" t="str">
        <f t="shared" si="28"/>
        <v/>
      </c>
    </row>
    <row r="358" spans="3:22" hidden="1">
      <c r="C358">
        <v>2022</v>
      </c>
      <c r="D358" t="s">
        <v>1760</v>
      </c>
      <c r="F358">
        <v>2422999997</v>
      </c>
      <c r="G358" t="s">
        <v>1609</v>
      </c>
      <c r="H358" t="s">
        <v>1761</v>
      </c>
      <c r="I358" t="s">
        <v>1614</v>
      </c>
      <c r="J358" t="s">
        <v>106</v>
      </c>
      <c r="K358">
        <v>7900004342</v>
      </c>
      <c r="L358" t="s">
        <v>1761</v>
      </c>
      <c r="M358" s="1633">
        <v>-770018146</v>
      </c>
      <c r="N358">
        <v>1</v>
      </c>
      <c r="O358">
        <v>50</v>
      </c>
      <c r="P358" s="1633">
        <v>-770018146</v>
      </c>
      <c r="Q358" t="s">
        <v>106</v>
      </c>
      <c r="R358" s="2392">
        <v>44662</v>
      </c>
      <c r="S358" s="2393">
        <f t="shared" si="25"/>
        <v>1</v>
      </c>
      <c r="T358" s="2394">
        <f>IF(OR(J358="COP",J358="EURO",J358="GBP"),0,IF(J358="USD",VLOOKUP(R358,'TRM BanRep'!$A:$G,7,0)))</f>
        <v>0</v>
      </c>
      <c r="U358" s="2395">
        <f t="shared" si="26"/>
        <v>0</v>
      </c>
      <c r="V358" s="2395" t="str">
        <f t="shared" si="28"/>
        <v/>
      </c>
    </row>
    <row r="359" spans="3:22" hidden="1">
      <c r="C359">
        <v>2022</v>
      </c>
      <c r="D359" t="s">
        <v>1760</v>
      </c>
      <c r="F359">
        <v>2422999997</v>
      </c>
      <c r="G359" t="s">
        <v>1609</v>
      </c>
      <c r="H359" t="s">
        <v>1792</v>
      </c>
      <c r="I359" t="s">
        <v>1615</v>
      </c>
      <c r="J359" t="s">
        <v>106</v>
      </c>
      <c r="K359">
        <v>7900004348</v>
      </c>
      <c r="L359" t="s">
        <v>1792</v>
      </c>
      <c r="M359" s="1633">
        <v>-1285314011</v>
      </c>
      <c r="N359">
        <v>1</v>
      </c>
      <c r="O359">
        <v>50</v>
      </c>
      <c r="P359" s="1633">
        <v>-1285314011</v>
      </c>
      <c r="Q359" t="s">
        <v>106</v>
      </c>
      <c r="R359" s="2392">
        <v>44664</v>
      </c>
      <c r="S359" s="2393">
        <f t="shared" si="25"/>
        <v>1</v>
      </c>
      <c r="T359" s="2394">
        <f>IF(OR(J359="COP",J359="EURO",J359="GBP"),0,IF(J359="USD",VLOOKUP(R359,'TRM BanRep'!$A:$G,7,0)))</f>
        <v>0</v>
      </c>
      <c r="U359" s="2395">
        <f t="shared" si="26"/>
        <v>0</v>
      </c>
      <c r="V359" s="2395" t="str">
        <f t="shared" si="28"/>
        <v/>
      </c>
    </row>
    <row r="360" spans="3:22" hidden="1">
      <c r="C360">
        <v>2022</v>
      </c>
      <c r="D360" t="s">
        <v>1760</v>
      </c>
      <c r="F360">
        <v>2422999997</v>
      </c>
      <c r="G360" t="s">
        <v>1609</v>
      </c>
      <c r="H360" t="s">
        <v>1784</v>
      </c>
      <c r="I360" t="s">
        <v>1616</v>
      </c>
      <c r="J360" t="s">
        <v>106</v>
      </c>
      <c r="K360">
        <v>7900004354</v>
      </c>
      <c r="L360" t="s">
        <v>1784</v>
      </c>
      <c r="M360" s="1633">
        <v>-8119843941</v>
      </c>
      <c r="N360">
        <v>1</v>
      </c>
      <c r="O360">
        <v>50</v>
      </c>
      <c r="P360" s="1633">
        <v>-8119843941</v>
      </c>
      <c r="Q360" t="s">
        <v>106</v>
      </c>
      <c r="R360" s="2392">
        <v>44669</v>
      </c>
      <c r="S360" s="2393">
        <f t="shared" si="25"/>
        <v>1</v>
      </c>
      <c r="T360" s="2394">
        <f>IF(OR(J360="COP",J360="EURO",J360="GBP"),0,IF(J360="USD",VLOOKUP(R360,'TRM BanRep'!$A:$G,7,0)))</f>
        <v>0</v>
      </c>
      <c r="U360" s="2395">
        <f t="shared" si="26"/>
        <v>0</v>
      </c>
      <c r="V360" s="2395" t="str">
        <f t="shared" si="28"/>
        <v/>
      </c>
    </row>
    <row r="361" spans="3:22" hidden="1">
      <c r="C361">
        <v>2022</v>
      </c>
      <c r="D361" t="s">
        <v>1760</v>
      </c>
      <c r="F361">
        <v>2422999997</v>
      </c>
      <c r="G361" t="s">
        <v>1609</v>
      </c>
      <c r="H361" t="s">
        <v>1794</v>
      </c>
      <c r="I361" t="s">
        <v>1795</v>
      </c>
      <c r="J361" t="s">
        <v>106</v>
      </c>
      <c r="K361">
        <v>7900004394</v>
      </c>
      <c r="L361" t="s">
        <v>1794</v>
      </c>
      <c r="M361" s="1633">
        <v>-5625545205</v>
      </c>
      <c r="N361">
        <v>1</v>
      </c>
      <c r="O361">
        <v>50</v>
      </c>
      <c r="P361" s="1633">
        <v>-5625545205</v>
      </c>
      <c r="Q361" t="s">
        <v>106</v>
      </c>
      <c r="R361" s="2392">
        <v>44676</v>
      </c>
      <c r="S361" s="2393">
        <f t="shared" si="25"/>
        <v>1</v>
      </c>
      <c r="T361" s="2394">
        <f>IF(OR(J361="COP",J361="EURO",J361="GBP"),0,IF(J361="USD",VLOOKUP(R361,'TRM BanRep'!$A:$G,7,0)))</f>
        <v>0</v>
      </c>
      <c r="U361" s="2395">
        <f t="shared" si="26"/>
        <v>0</v>
      </c>
      <c r="V361" s="2395" t="str">
        <f t="shared" si="28"/>
        <v/>
      </c>
    </row>
    <row r="362" spans="3:22" hidden="1">
      <c r="C362">
        <v>2022</v>
      </c>
      <c r="D362" t="s">
        <v>1760</v>
      </c>
      <c r="F362">
        <v>2422999997</v>
      </c>
      <c r="G362" t="s">
        <v>1609</v>
      </c>
      <c r="H362" t="s">
        <v>1765</v>
      </c>
      <c r="I362" t="s">
        <v>1796</v>
      </c>
      <c r="J362" t="s">
        <v>106</v>
      </c>
      <c r="K362">
        <v>7900004398</v>
      </c>
      <c r="L362" t="s">
        <v>1765</v>
      </c>
      <c r="M362" s="1633">
        <v>-62475000</v>
      </c>
      <c r="N362">
        <v>1</v>
      </c>
      <c r="O362">
        <v>50</v>
      </c>
      <c r="P362" s="1633">
        <v>-62475000</v>
      </c>
      <c r="Q362" t="s">
        <v>106</v>
      </c>
      <c r="R362" s="2392">
        <v>44670</v>
      </c>
      <c r="S362" s="2393">
        <f t="shared" si="25"/>
        <v>1</v>
      </c>
      <c r="T362" s="2394">
        <f>IF(OR(J362="COP",J362="EURO",J362="GBP"),0,IF(J362="USD",VLOOKUP(R362,'TRM BanRep'!$A:$G,7,0)))</f>
        <v>0</v>
      </c>
      <c r="U362" s="2395">
        <f t="shared" si="26"/>
        <v>0</v>
      </c>
      <c r="V362" s="2395" t="str">
        <f t="shared" si="28"/>
        <v/>
      </c>
    </row>
    <row r="363" spans="3:22" hidden="1">
      <c r="C363">
        <v>2022</v>
      </c>
      <c r="D363" t="s">
        <v>1760</v>
      </c>
      <c r="F363">
        <v>2422999997</v>
      </c>
      <c r="G363" t="s">
        <v>1609</v>
      </c>
      <c r="H363" t="s">
        <v>1794</v>
      </c>
      <c r="I363" t="s">
        <v>1795</v>
      </c>
      <c r="J363" t="s">
        <v>106</v>
      </c>
      <c r="K363">
        <v>7900004424</v>
      </c>
      <c r="L363" t="s">
        <v>1794</v>
      </c>
      <c r="M363" s="1633">
        <v>5625545205</v>
      </c>
      <c r="N363">
        <v>1</v>
      </c>
      <c r="O363">
        <v>40</v>
      </c>
      <c r="P363" s="1633">
        <v>5625545205</v>
      </c>
      <c r="Q363" t="s">
        <v>106</v>
      </c>
      <c r="R363" s="2392">
        <v>44676</v>
      </c>
      <c r="S363" s="2393">
        <f t="shared" si="25"/>
        <v>1</v>
      </c>
      <c r="T363" s="2394">
        <f>IF(OR(J363="COP",J363="EURO",J363="GBP"),0,IF(J363="USD",VLOOKUP(R363,'TRM BanRep'!$A:$G,7,0)))</f>
        <v>0</v>
      </c>
      <c r="U363" s="2395">
        <f t="shared" si="26"/>
        <v>0</v>
      </c>
      <c r="V363" s="2395" t="str">
        <f t="shared" si="28"/>
        <v/>
      </c>
    </row>
    <row r="364" spans="3:22" hidden="1">
      <c r="C364">
        <v>2022</v>
      </c>
      <c r="D364" t="s">
        <v>1760</v>
      </c>
      <c r="F364">
        <v>2422999997</v>
      </c>
      <c r="G364" t="s">
        <v>1609</v>
      </c>
      <c r="H364" t="s">
        <v>1794</v>
      </c>
      <c r="I364" t="s">
        <v>1795</v>
      </c>
      <c r="J364" t="s">
        <v>106</v>
      </c>
      <c r="K364">
        <v>7900004446</v>
      </c>
      <c r="L364" t="s">
        <v>1794</v>
      </c>
      <c r="M364" s="1633">
        <v>-5625545205</v>
      </c>
      <c r="N364">
        <v>1</v>
      </c>
      <c r="O364">
        <v>50</v>
      </c>
      <c r="P364" s="1633">
        <v>-5625545205</v>
      </c>
      <c r="Q364" t="s">
        <v>106</v>
      </c>
      <c r="R364" s="2392">
        <v>44676</v>
      </c>
      <c r="S364" s="2393">
        <f t="shared" si="25"/>
        <v>1</v>
      </c>
      <c r="T364" s="2394">
        <f>IF(OR(J364="COP",J364="EURO",J364="GBP"),0,IF(J364="USD",VLOOKUP(R364,'TRM BanRep'!$A:$G,7,0)))</f>
        <v>0</v>
      </c>
      <c r="U364" s="2395">
        <f t="shared" si="26"/>
        <v>0</v>
      </c>
      <c r="V364" s="2395" t="str">
        <f t="shared" si="28"/>
        <v/>
      </c>
    </row>
    <row r="365" spans="3:22" hidden="1">
      <c r="C365">
        <v>2022</v>
      </c>
      <c r="D365" t="s">
        <v>1760</v>
      </c>
      <c r="F365">
        <v>2422999997</v>
      </c>
      <c r="G365" t="s">
        <v>1557</v>
      </c>
      <c r="H365" t="s">
        <v>1767</v>
      </c>
      <c r="I365" t="s">
        <v>1781</v>
      </c>
      <c r="J365" t="s">
        <v>64</v>
      </c>
      <c r="K365">
        <v>7900005162</v>
      </c>
      <c r="L365" t="s">
        <v>1767</v>
      </c>
      <c r="M365" s="1633">
        <v>-50000</v>
      </c>
      <c r="N365">
        <v>3947.63</v>
      </c>
      <c r="O365">
        <v>50</v>
      </c>
      <c r="P365" s="1633">
        <v>-197381500</v>
      </c>
      <c r="Q365" t="s">
        <v>106</v>
      </c>
      <c r="R365" s="2392">
        <v>44680</v>
      </c>
      <c r="S365" s="2393">
        <f t="shared" si="25"/>
        <v>3947.63</v>
      </c>
      <c r="T365" s="2394">
        <f>IF(OR(J365="COP",J365="EURO",J365="GBP"),0,IF(J365="USD",VLOOKUP(R365,'TRM BanRep'!$A:$G,7,0)))</f>
        <v>3984.77</v>
      </c>
      <c r="U365" s="2395">
        <f t="shared" si="26"/>
        <v>1856999.9999999937</v>
      </c>
      <c r="V365" s="2396" t="str">
        <f t="shared" si="28"/>
        <v>2-GASTO</v>
      </c>
    </row>
    <row r="366" spans="3:22" hidden="1">
      <c r="C366">
        <v>2022</v>
      </c>
      <c r="D366" t="s">
        <v>1760</v>
      </c>
      <c r="F366">
        <v>2422999997</v>
      </c>
      <c r="G366" t="s">
        <v>1557</v>
      </c>
      <c r="H366" t="s">
        <v>1767</v>
      </c>
      <c r="I366" t="s">
        <v>1781</v>
      </c>
      <c r="J366" t="s">
        <v>64</v>
      </c>
      <c r="K366">
        <v>7900005179</v>
      </c>
      <c r="L366" t="s">
        <v>1767</v>
      </c>
      <c r="M366" s="1633">
        <v>50000</v>
      </c>
      <c r="N366">
        <v>3947.63</v>
      </c>
      <c r="O366">
        <v>40</v>
      </c>
      <c r="P366" s="1633">
        <v>197381500</v>
      </c>
      <c r="Q366" t="s">
        <v>106</v>
      </c>
      <c r="R366" s="2392">
        <v>44680</v>
      </c>
      <c r="S366" s="2393">
        <f t="shared" si="25"/>
        <v>3947.63</v>
      </c>
      <c r="T366" s="2394">
        <f>IF(OR(J366="COP",J366="EURO",J366="GBP"),0,IF(J366="USD",VLOOKUP(R366,'TRM BanRep'!$A:$G,7,0)))</f>
        <v>3984.77</v>
      </c>
      <c r="U366" s="2395">
        <f t="shared" si="26"/>
        <v>-1856999.9999999937</v>
      </c>
      <c r="V366" s="2397" t="str">
        <f t="shared" si="28"/>
        <v>1-INGRESO</v>
      </c>
    </row>
    <row r="367" spans="3:22" hidden="1">
      <c r="C367">
        <v>2022</v>
      </c>
      <c r="D367" t="s">
        <v>1760</v>
      </c>
      <c r="F367">
        <v>2422999997</v>
      </c>
      <c r="G367" t="s">
        <v>1557</v>
      </c>
      <c r="H367" t="s">
        <v>1767</v>
      </c>
      <c r="I367" t="s">
        <v>1781</v>
      </c>
      <c r="J367" t="s">
        <v>64</v>
      </c>
      <c r="K367">
        <v>7900005187</v>
      </c>
      <c r="L367" t="s">
        <v>1767</v>
      </c>
      <c r="M367" s="1633">
        <v>-50000</v>
      </c>
      <c r="N367">
        <v>3947.63</v>
      </c>
      <c r="O367">
        <v>50</v>
      </c>
      <c r="P367" s="1633">
        <v>-197381500</v>
      </c>
      <c r="Q367" t="s">
        <v>106</v>
      </c>
      <c r="R367" s="2392">
        <v>44680</v>
      </c>
      <c r="S367" s="2393">
        <f t="shared" si="25"/>
        <v>3947.63</v>
      </c>
      <c r="T367" s="2394">
        <f>IF(OR(J367="COP",J367="EURO",J367="GBP"),0,IF(J367="USD",VLOOKUP(R367,'TRM BanRep'!$A:$G,7,0)))</f>
        <v>3984.77</v>
      </c>
      <c r="U367" s="2395">
        <f t="shared" si="26"/>
        <v>1856999.9999999937</v>
      </c>
      <c r="V367" s="2396" t="str">
        <f t="shared" si="28"/>
        <v>2-GASTO</v>
      </c>
    </row>
    <row r="368" spans="3:22" hidden="1">
      <c r="C368">
        <v>2022</v>
      </c>
      <c r="D368" t="s">
        <v>1760</v>
      </c>
      <c r="F368">
        <v>2422999997</v>
      </c>
      <c r="G368" t="s">
        <v>1557</v>
      </c>
      <c r="H368" t="s">
        <v>1767</v>
      </c>
      <c r="I368" t="s">
        <v>1782</v>
      </c>
      <c r="J368" t="s">
        <v>64</v>
      </c>
      <c r="K368">
        <v>7900005224</v>
      </c>
      <c r="L368" t="s">
        <v>1767</v>
      </c>
      <c r="M368" s="1633">
        <v>-7512538.9299999997</v>
      </c>
      <c r="N368">
        <v>3947.63</v>
      </c>
      <c r="O368">
        <v>50</v>
      </c>
      <c r="P368" s="1633">
        <v>-29656724053</v>
      </c>
      <c r="Q368" t="s">
        <v>106</v>
      </c>
      <c r="R368" s="2392">
        <v>44680</v>
      </c>
      <c r="S368" s="2393">
        <f t="shared" si="25"/>
        <v>3947.63</v>
      </c>
      <c r="T368" s="2394">
        <f>IF(OR(J368="COP",J368="EURO",J368="GBP"),0,IF(J368="USD",VLOOKUP(R368,'TRM BanRep'!$A:$G,7,0)))</f>
        <v>3984.77</v>
      </c>
      <c r="U368" s="2395">
        <f t="shared" si="26"/>
        <v>279015695.86019903</v>
      </c>
      <c r="V368" s="2396" t="str">
        <f t="shared" si="28"/>
        <v>2-GASTO</v>
      </c>
    </row>
    <row r="369" spans="3:22" hidden="1">
      <c r="C369">
        <v>2022</v>
      </c>
      <c r="D369" t="s">
        <v>1760</v>
      </c>
      <c r="F369">
        <v>2422999997</v>
      </c>
      <c r="G369" t="s">
        <v>1608</v>
      </c>
      <c r="H369" t="s">
        <v>1767</v>
      </c>
      <c r="J369" t="s">
        <v>64</v>
      </c>
      <c r="K369">
        <v>2000004368</v>
      </c>
      <c r="L369" t="s">
        <v>1767</v>
      </c>
      <c r="M369" s="1633">
        <v>50000</v>
      </c>
      <c r="N369">
        <v>3947.63</v>
      </c>
      <c r="O369">
        <v>40</v>
      </c>
      <c r="P369" s="1633">
        <v>197381500</v>
      </c>
      <c r="Q369" t="s">
        <v>106</v>
      </c>
      <c r="R369" s="2392">
        <v>44680</v>
      </c>
      <c r="S369" s="2393">
        <f t="shared" si="25"/>
        <v>3947.63</v>
      </c>
      <c r="T369" s="2394">
        <f>IF(OR(J369="COP",J369="EURO",J369="GBP"),0,IF(J369="USD",VLOOKUP(R369,'TRM BanRep'!$A:$G,7,0)))</f>
        <v>3984.77</v>
      </c>
      <c r="U369" s="2395">
        <f t="shared" si="26"/>
        <v>-1856999.9999999937</v>
      </c>
      <c r="V369" s="2397" t="str">
        <f t="shared" si="28"/>
        <v>1-INGRESO</v>
      </c>
    </row>
    <row r="370" spans="3:22" hidden="1">
      <c r="C370">
        <v>2022</v>
      </c>
      <c r="D370" t="s">
        <v>1760</v>
      </c>
      <c r="F370">
        <v>2422999997</v>
      </c>
      <c r="G370" t="s">
        <v>1608</v>
      </c>
      <c r="H370" t="s">
        <v>1767</v>
      </c>
      <c r="J370" t="s">
        <v>64</v>
      </c>
      <c r="K370">
        <v>2000004370</v>
      </c>
      <c r="L370" t="s">
        <v>1767</v>
      </c>
      <c r="M370" s="1633">
        <v>-50000</v>
      </c>
      <c r="N370">
        <v>3947.63</v>
      </c>
      <c r="O370">
        <v>50</v>
      </c>
      <c r="P370" s="1633">
        <v>-197381500</v>
      </c>
      <c r="Q370" t="s">
        <v>106</v>
      </c>
      <c r="R370" s="2392">
        <v>44680</v>
      </c>
      <c r="S370" s="2393">
        <f t="shared" si="25"/>
        <v>3947.63</v>
      </c>
      <c r="T370" s="2394">
        <f>IF(OR(J370="COP",J370="EURO",J370="GBP"),0,IF(J370="USD",VLOOKUP(R370,'TRM BanRep'!$A:$G,7,0)))</f>
        <v>3984.77</v>
      </c>
      <c r="U370" s="2395">
        <f t="shared" si="26"/>
        <v>1856999.9999999937</v>
      </c>
      <c r="V370" s="2396" t="str">
        <f t="shared" si="28"/>
        <v>2-GASTO</v>
      </c>
    </row>
    <row r="371" spans="3:22" hidden="1">
      <c r="C371">
        <v>2022</v>
      </c>
      <c r="D371" t="s">
        <v>1760</v>
      </c>
      <c r="F371">
        <v>2422999997</v>
      </c>
      <c r="G371" t="s">
        <v>1608</v>
      </c>
      <c r="H371" t="s">
        <v>1767</v>
      </c>
      <c r="J371" t="s">
        <v>64</v>
      </c>
      <c r="K371">
        <v>2000004381</v>
      </c>
      <c r="L371" t="s">
        <v>1767</v>
      </c>
      <c r="M371" s="1633">
        <v>50000</v>
      </c>
      <c r="N371">
        <v>3947.63</v>
      </c>
      <c r="O371">
        <v>40</v>
      </c>
      <c r="P371" s="1633">
        <v>197381500</v>
      </c>
      <c r="Q371" t="s">
        <v>106</v>
      </c>
      <c r="R371" s="2392">
        <v>44680</v>
      </c>
      <c r="S371" s="2393">
        <f t="shared" si="25"/>
        <v>3947.63</v>
      </c>
      <c r="T371" s="2394">
        <f>IF(OR(J371="COP",J371="EURO",J371="GBP"),0,IF(J371="USD",VLOOKUP(R371,'TRM BanRep'!$A:$G,7,0)))</f>
        <v>3984.77</v>
      </c>
      <c r="U371" s="2395">
        <f t="shared" si="26"/>
        <v>-1856999.9999999937</v>
      </c>
      <c r="V371" s="2397" t="str">
        <f t="shared" si="28"/>
        <v>1-INGRESO</v>
      </c>
    </row>
    <row r="372" spans="3:22" hidden="1">
      <c r="C372">
        <v>2022</v>
      </c>
      <c r="D372" t="s">
        <v>1760</v>
      </c>
      <c r="F372">
        <v>2422999997</v>
      </c>
      <c r="G372" t="s">
        <v>1608</v>
      </c>
      <c r="H372" t="s">
        <v>1767</v>
      </c>
      <c r="J372" t="s">
        <v>64</v>
      </c>
      <c r="K372">
        <v>2000004413</v>
      </c>
      <c r="L372" t="s">
        <v>1767</v>
      </c>
      <c r="M372" s="1633">
        <v>7512538.9299999997</v>
      </c>
      <c r="N372">
        <v>3947.63</v>
      </c>
      <c r="O372">
        <v>40</v>
      </c>
      <c r="P372" s="1633">
        <v>29656724053</v>
      </c>
      <c r="Q372" t="s">
        <v>106</v>
      </c>
      <c r="R372" s="2392">
        <v>44680</v>
      </c>
      <c r="S372" s="2393">
        <f t="shared" si="25"/>
        <v>3947.63</v>
      </c>
      <c r="T372" s="2394">
        <f>IF(OR(J372="COP",J372="EURO",J372="GBP"),0,IF(J372="USD",VLOOKUP(R372,'TRM BanRep'!$A:$G,7,0)))</f>
        <v>3984.77</v>
      </c>
      <c r="U372" s="2395">
        <f t="shared" si="26"/>
        <v>-279015695.86019903</v>
      </c>
      <c r="V372" s="2397" t="str">
        <f t="shared" si="28"/>
        <v>1-INGRESO</v>
      </c>
    </row>
    <row r="373" spans="3:22">
      <c r="M373" s="1633"/>
      <c r="P373" s="1633"/>
      <c r="R373" s="2392"/>
      <c r="S373" s="2393"/>
      <c r="T373" s="2394"/>
      <c r="U373" s="2395"/>
      <c r="V373" s="2395" t="str">
        <f t="shared" si="28"/>
        <v/>
      </c>
    </row>
    <row r="374" spans="3:22" hidden="1">
      <c r="C374">
        <v>2022</v>
      </c>
      <c r="D374" t="s">
        <v>1797</v>
      </c>
      <c r="F374">
        <v>1202049905</v>
      </c>
      <c r="G374" t="s">
        <v>1557</v>
      </c>
      <c r="H374" t="s">
        <v>1798</v>
      </c>
      <c r="I374" t="s">
        <v>1799</v>
      </c>
      <c r="J374" t="s">
        <v>106</v>
      </c>
      <c r="K374">
        <v>7900005428</v>
      </c>
      <c r="L374" t="s">
        <v>1798</v>
      </c>
      <c r="M374" s="1633">
        <v>2770147760</v>
      </c>
      <c r="N374">
        <v>1</v>
      </c>
      <c r="O374">
        <v>40</v>
      </c>
      <c r="P374" s="1633">
        <v>2770147760</v>
      </c>
      <c r="Q374" t="s">
        <v>106</v>
      </c>
      <c r="R374" s="2392">
        <v>44684</v>
      </c>
      <c r="S374" s="2393">
        <f t="shared" ref="S374:S437" si="29">+ROUND(P374/M374,2)</f>
        <v>1</v>
      </c>
      <c r="T374" s="2394">
        <f>IF(OR(J374="COP",J374="EURO",J374="GBP"),0,IF(J374="USD",VLOOKUP(R374,'TRM BanRep'!$A:$G,7,0)))</f>
        <v>0</v>
      </c>
      <c r="U374" s="2395">
        <f t="shared" ref="U374:U437" si="30">IF(F374=2422999997,-IF(T374=0,0,(T374-S374)*M374),IF(T374=0,0,(T374-S374)*M374))</f>
        <v>0</v>
      </c>
      <c r="V374" s="2395" t="str">
        <f t="shared" si="28"/>
        <v/>
      </c>
    </row>
    <row r="375" spans="3:22" hidden="1">
      <c r="C375">
        <v>2022</v>
      </c>
      <c r="D375" t="s">
        <v>1797</v>
      </c>
      <c r="F375">
        <v>1202049905</v>
      </c>
      <c r="G375" t="s">
        <v>1557</v>
      </c>
      <c r="H375" t="s">
        <v>1800</v>
      </c>
      <c r="I375" t="s">
        <v>1801</v>
      </c>
      <c r="J375" t="s">
        <v>106</v>
      </c>
      <c r="K375">
        <v>7900005491</v>
      </c>
      <c r="L375" t="s">
        <v>1800</v>
      </c>
      <c r="M375" s="1633">
        <v>98183271446</v>
      </c>
      <c r="N375">
        <v>1</v>
      </c>
      <c r="O375">
        <v>40</v>
      </c>
      <c r="P375" s="1633">
        <v>98183271446</v>
      </c>
      <c r="Q375" t="s">
        <v>106</v>
      </c>
      <c r="R375" s="2392">
        <v>44690</v>
      </c>
      <c r="S375" s="2393">
        <f t="shared" si="29"/>
        <v>1</v>
      </c>
      <c r="T375" s="2394">
        <f>IF(OR(J375="COP",J375="EURO",J375="GBP"),0,IF(J375="USD",VLOOKUP(R375,'TRM BanRep'!$A:$G,7,0)))</f>
        <v>0</v>
      </c>
      <c r="U375" s="2395">
        <f t="shared" si="30"/>
        <v>0</v>
      </c>
      <c r="V375" s="2395" t="str">
        <f t="shared" si="28"/>
        <v/>
      </c>
    </row>
    <row r="376" spans="3:22" hidden="1">
      <c r="C376">
        <v>2022</v>
      </c>
      <c r="D376" t="s">
        <v>1797</v>
      </c>
      <c r="F376">
        <v>1202049905</v>
      </c>
      <c r="G376" t="s">
        <v>1557</v>
      </c>
      <c r="H376" t="s">
        <v>1802</v>
      </c>
      <c r="I376" t="s">
        <v>1803</v>
      </c>
      <c r="J376" t="s">
        <v>106</v>
      </c>
      <c r="K376">
        <v>7900005506</v>
      </c>
      <c r="L376" t="s">
        <v>1802</v>
      </c>
      <c r="M376" s="1633">
        <v>18189900000</v>
      </c>
      <c r="N376">
        <v>1</v>
      </c>
      <c r="O376">
        <v>40</v>
      </c>
      <c r="P376" s="1633">
        <v>18189900000</v>
      </c>
      <c r="Q376" t="s">
        <v>106</v>
      </c>
      <c r="R376" s="2392">
        <v>44698</v>
      </c>
      <c r="S376" s="2393">
        <f t="shared" si="29"/>
        <v>1</v>
      </c>
      <c r="T376" s="2394">
        <f>IF(OR(J376="COP",J376="EURO",J376="GBP"),0,IF(J376="USD",VLOOKUP(R376,'TRM BanRep'!$A:$G,7,0)))</f>
        <v>0</v>
      </c>
      <c r="U376" s="2395">
        <f t="shared" si="30"/>
        <v>0</v>
      </c>
      <c r="V376" s="2395" t="str">
        <f t="shared" si="28"/>
        <v/>
      </c>
    </row>
    <row r="377" spans="3:22" hidden="1">
      <c r="C377">
        <v>2022</v>
      </c>
      <c r="D377" t="s">
        <v>1797</v>
      </c>
      <c r="F377">
        <v>1202049905</v>
      </c>
      <c r="G377" t="s">
        <v>1557</v>
      </c>
      <c r="H377" t="s">
        <v>1802</v>
      </c>
      <c r="I377" t="s">
        <v>1804</v>
      </c>
      <c r="J377" t="s">
        <v>106</v>
      </c>
      <c r="K377">
        <v>7900005514</v>
      </c>
      <c r="L377" t="s">
        <v>1802</v>
      </c>
      <c r="M377" s="1633">
        <v>20237500000</v>
      </c>
      <c r="N377">
        <v>1</v>
      </c>
      <c r="O377">
        <v>40</v>
      </c>
      <c r="P377" s="1633">
        <v>20237500000</v>
      </c>
      <c r="Q377" t="s">
        <v>106</v>
      </c>
      <c r="R377" s="2392">
        <v>44698</v>
      </c>
      <c r="S377" s="2393">
        <f t="shared" si="29"/>
        <v>1</v>
      </c>
      <c r="T377" s="2394">
        <f>IF(OR(J377="COP",J377="EURO",J377="GBP"),0,IF(J377="USD",VLOOKUP(R377,'TRM BanRep'!$A:$G,7,0)))</f>
        <v>0</v>
      </c>
      <c r="U377" s="2395">
        <f t="shared" si="30"/>
        <v>0</v>
      </c>
      <c r="V377" s="2395" t="str">
        <f t="shared" si="28"/>
        <v/>
      </c>
    </row>
    <row r="378" spans="3:22" hidden="1">
      <c r="C378">
        <v>2022</v>
      </c>
      <c r="D378" t="s">
        <v>1797</v>
      </c>
      <c r="F378">
        <v>1202049905</v>
      </c>
      <c r="G378" t="s">
        <v>1557</v>
      </c>
      <c r="H378" t="s">
        <v>1805</v>
      </c>
      <c r="I378" t="s">
        <v>1806</v>
      </c>
      <c r="J378" t="s">
        <v>106</v>
      </c>
      <c r="K378">
        <v>7900005522</v>
      </c>
      <c r="L378" t="s">
        <v>1805</v>
      </c>
      <c r="M378" s="1633">
        <v>1868354975</v>
      </c>
      <c r="N378">
        <v>1</v>
      </c>
      <c r="O378">
        <v>40</v>
      </c>
      <c r="P378" s="1633">
        <v>1868354975</v>
      </c>
      <c r="Q378" t="s">
        <v>106</v>
      </c>
      <c r="R378" s="2392">
        <v>44701</v>
      </c>
      <c r="S378" s="2393">
        <f t="shared" si="29"/>
        <v>1</v>
      </c>
      <c r="T378" s="2394">
        <f>IF(OR(J378="COP",J378="EURO",J378="GBP"),0,IF(J378="USD",VLOOKUP(R378,'TRM BanRep'!$A:$G,7,0)))</f>
        <v>0</v>
      </c>
      <c r="U378" s="2395">
        <f t="shared" si="30"/>
        <v>0</v>
      </c>
      <c r="V378" s="2395" t="str">
        <f t="shared" si="28"/>
        <v/>
      </c>
    </row>
    <row r="379" spans="3:22" hidden="1">
      <c r="C379">
        <v>2022</v>
      </c>
      <c r="D379" t="s">
        <v>1797</v>
      </c>
      <c r="F379">
        <v>1202049905</v>
      </c>
      <c r="G379" t="s">
        <v>1557</v>
      </c>
      <c r="H379" t="s">
        <v>1805</v>
      </c>
      <c r="I379" t="s">
        <v>1807</v>
      </c>
      <c r="J379" t="s">
        <v>106</v>
      </c>
      <c r="K379">
        <v>7900005530</v>
      </c>
      <c r="L379" t="s">
        <v>1805</v>
      </c>
      <c r="M379" s="1633">
        <v>261421561337</v>
      </c>
      <c r="N379">
        <v>1</v>
      </c>
      <c r="O379">
        <v>40</v>
      </c>
      <c r="P379" s="1633">
        <v>261421561337</v>
      </c>
      <c r="Q379" t="s">
        <v>106</v>
      </c>
      <c r="R379" s="2392">
        <v>44701</v>
      </c>
      <c r="S379" s="2393">
        <f t="shared" si="29"/>
        <v>1</v>
      </c>
      <c r="T379" s="2394">
        <f>IF(OR(J379="COP",J379="EURO",J379="GBP"),0,IF(J379="USD",VLOOKUP(R379,'TRM BanRep'!$A:$G,7,0)))</f>
        <v>0</v>
      </c>
      <c r="U379" s="2395">
        <f t="shared" si="30"/>
        <v>0</v>
      </c>
      <c r="V379" s="2395" t="str">
        <f t="shared" si="28"/>
        <v/>
      </c>
    </row>
    <row r="380" spans="3:22" hidden="1">
      <c r="C380">
        <v>2022</v>
      </c>
      <c r="D380" t="s">
        <v>1797</v>
      </c>
      <c r="F380">
        <v>1202049905</v>
      </c>
      <c r="G380" t="s">
        <v>1557</v>
      </c>
      <c r="H380" t="s">
        <v>1808</v>
      </c>
      <c r="I380" t="s">
        <v>1809</v>
      </c>
      <c r="J380" t="s">
        <v>106</v>
      </c>
      <c r="K380">
        <v>7900005594</v>
      </c>
      <c r="L380" t="s">
        <v>1808</v>
      </c>
      <c r="M380" s="1633">
        <v>37700000011</v>
      </c>
      <c r="N380">
        <v>1</v>
      </c>
      <c r="O380">
        <v>40</v>
      </c>
      <c r="P380" s="1633">
        <v>37700000011</v>
      </c>
      <c r="Q380" t="s">
        <v>106</v>
      </c>
      <c r="R380" s="2392">
        <v>44705</v>
      </c>
      <c r="S380" s="2393">
        <f t="shared" si="29"/>
        <v>1</v>
      </c>
      <c r="T380" s="2394">
        <f>IF(OR(J380="COP",J380="EURO",J380="GBP"),0,IF(J380="USD",VLOOKUP(R380,'TRM BanRep'!$A:$G,7,0)))</f>
        <v>0</v>
      </c>
      <c r="U380" s="2395">
        <f t="shared" si="30"/>
        <v>0</v>
      </c>
      <c r="V380" s="2395" t="str">
        <f t="shared" si="28"/>
        <v/>
      </c>
    </row>
    <row r="381" spans="3:22" hidden="1">
      <c r="C381">
        <v>2022</v>
      </c>
      <c r="D381" t="s">
        <v>1797</v>
      </c>
      <c r="F381">
        <v>1202049905</v>
      </c>
      <c r="G381" t="s">
        <v>1557</v>
      </c>
      <c r="H381" t="s">
        <v>1808</v>
      </c>
      <c r="I381" t="s">
        <v>1810</v>
      </c>
      <c r="J381" t="s">
        <v>106</v>
      </c>
      <c r="K381">
        <v>7900005602</v>
      </c>
      <c r="L381" t="s">
        <v>1808</v>
      </c>
      <c r="M381" s="1633">
        <v>1100000000</v>
      </c>
      <c r="N381">
        <v>1</v>
      </c>
      <c r="O381">
        <v>40</v>
      </c>
      <c r="P381" s="1633">
        <v>1100000000</v>
      </c>
      <c r="Q381" t="s">
        <v>106</v>
      </c>
      <c r="R381" s="2392">
        <v>44705</v>
      </c>
      <c r="S381" s="2393">
        <f t="shared" si="29"/>
        <v>1</v>
      </c>
      <c r="T381" s="2394">
        <f>IF(OR(J381="COP",J381="EURO",J381="GBP"),0,IF(J381="USD",VLOOKUP(R381,'TRM BanRep'!$A:$G,7,0)))</f>
        <v>0</v>
      </c>
      <c r="U381" s="2395">
        <f t="shared" si="30"/>
        <v>0</v>
      </c>
      <c r="V381" s="2395" t="str">
        <f t="shared" si="28"/>
        <v/>
      </c>
    </row>
    <row r="382" spans="3:22" hidden="1">
      <c r="C382">
        <v>2022</v>
      </c>
      <c r="D382" t="s">
        <v>1797</v>
      </c>
      <c r="F382">
        <v>1202049905</v>
      </c>
      <c r="G382" t="s">
        <v>1557</v>
      </c>
      <c r="H382" t="s">
        <v>1808</v>
      </c>
      <c r="I382" t="s">
        <v>1811</v>
      </c>
      <c r="J382" t="s">
        <v>106</v>
      </c>
      <c r="K382">
        <v>7900005610</v>
      </c>
      <c r="L382" t="s">
        <v>1808</v>
      </c>
      <c r="M382" s="1633">
        <v>2800000005</v>
      </c>
      <c r="N382">
        <v>1</v>
      </c>
      <c r="O382">
        <v>40</v>
      </c>
      <c r="P382" s="1633">
        <v>2800000005</v>
      </c>
      <c r="Q382" t="s">
        <v>106</v>
      </c>
      <c r="R382" s="2392">
        <v>44705</v>
      </c>
      <c r="S382" s="2393">
        <f t="shared" si="29"/>
        <v>1</v>
      </c>
      <c r="T382" s="2394">
        <f>IF(OR(J382="COP",J382="EURO",J382="GBP"),0,IF(J382="USD",VLOOKUP(R382,'TRM BanRep'!$A:$G,7,0)))</f>
        <v>0</v>
      </c>
      <c r="U382" s="2395">
        <f t="shared" si="30"/>
        <v>0</v>
      </c>
      <c r="V382" s="2395" t="str">
        <f t="shared" si="28"/>
        <v/>
      </c>
    </row>
    <row r="383" spans="3:22" hidden="1">
      <c r="C383">
        <v>2022</v>
      </c>
      <c r="D383" t="s">
        <v>1797</v>
      </c>
      <c r="F383">
        <v>1202049905</v>
      </c>
      <c r="G383" t="s">
        <v>1557</v>
      </c>
      <c r="H383" t="s">
        <v>1808</v>
      </c>
      <c r="I383" t="s">
        <v>1812</v>
      </c>
      <c r="J383" t="s">
        <v>106</v>
      </c>
      <c r="K383">
        <v>7900005618</v>
      </c>
      <c r="L383" t="s">
        <v>1808</v>
      </c>
      <c r="M383" s="1633">
        <v>2000000008</v>
      </c>
      <c r="N383">
        <v>1</v>
      </c>
      <c r="O383">
        <v>40</v>
      </c>
      <c r="P383" s="1633">
        <v>2000000008</v>
      </c>
      <c r="Q383" t="s">
        <v>106</v>
      </c>
      <c r="R383" s="2392">
        <v>44705</v>
      </c>
      <c r="S383" s="2393">
        <f t="shared" si="29"/>
        <v>1</v>
      </c>
      <c r="T383" s="2394">
        <f>IF(OR(J383="COP",J383="EURO",J383="GBP"),0,IF(J383="USD",VLOOKUP(R383,'TRM BanRep'!$A:$G,7,0)))</f>
        <v>0</v>
      </c>
      <c r="U383" s="2395">
        <f t="shared" si="30"/>
        <v>0</v>
      </c>
      <c r="V383" s="2395" t="str">
        <f t="shared" si="28"/>
        <v/>
      </c>
    </row>
    <row r="384" spans="3:22" hidden="1">
      <c r="C384">
        <v>2022</v>
      </c>
      <c r="D384" t="s">
        <v>1797</v>
      </c>
      <c r="F384">
        <v>1202049905</v>
      </c>
      <c r="G384" t="s">
        <v>1557</v>
      </c>
      <c r="H384" t="s">
        <v>1808</v>
      </c>
      <c r="I384" t="s">
        <v>1813</v>
      </c>
      <c r="J384" t="s">
        <v>106</v>
      </c>
      <c r="K384">
        <v>7900005660</v>
      </c>
      <c r="L384" t="s">
        <v>1808</v>
      </c>
      <c r="M384" s="1633">
        <v>206666091191</v>
      </c>
      <c r="N384">
        <v>1</v>
      </c>
      <c r="O384">
        <v>40</v>
      </c>
      <c r="P384" s="1633">
        <v>206666091191</v>
      </c>
      <c r="Q384" t="s">
        <v>106</v>
      </c>
      <c r="R384" s="2392">
        <v>44705</v>
      </c>
      <c r="S384" s="2393">
        <f t="shared" si="29"/>
        <v>1</v>
      </c>
      <c r="T384" s="2394">
        <f>IF(OR(J384="COP",J384="EURO",J384="GBP"),0,IF(J384="USD",VLOOKUP(R384,'TRM BanRep'!$A:$G,7,0)))</f>
        <v>0</v>
      </c>
      <c r="U384" s="2395">
        <f t="shared" si="30"/>
        <v>0</v>
      </c>
      <c r="V384" s="2395" t="str">
        <f t="shared" si="28"/>
        <v/>
      </c>
    </row>
    <row r="385" spans="3:22" hidden="1">
      <c r="C385">
        <v>2022</v>
      </c>
      <c r="D385" t="s">
        <v>1797</v>
      </c>
      <c r="F385">
        <v>1202049905</v>
      </c>
      <c r="G385" t="s">
        <v>1557</v>
      </c>
      <c r="H385" t="s">
        <v>1808</v>
      </c>
      <c r="I385" t="s">
        <v>1814</v>
      </c>
      <c r="J385" t="s">
        <v>106</v>
      </c>
      <c r="K385">
        <v>7900005684</v>
      </c>
      <c r="L385" t="s">
        <v>1808</v>
      </c>
      <c r="M385" s="1633">
        <v>168971370655</v>
      </c>
      <c r="N385">
        <v>1</v>
      </c>
      <c r="O385">
        <v>40</v>
      </c>
      <c r="P385" s="1633">
        <v>168971370655</v>
      </c>
      <c r="Q385" t="s">
        <v>106</v>
      </c>
      <c r="R385" s="2392">
        <v>44705</v>
      </c>
      <c r="S385" s="2393">
        <f t="shared" si="29"/>
        <v>1</v>
      </c>
      <c r="T385" s="2394">
        <f>IF(OR(J385="COP",J385="EURO",J385="GBP"),0,IF(J385="USD",VLOOKUP(R385,'TRM BanRep'!$A:$G,7,0)))</f>
        <v>0</v>
      </c>
      <c r="U385" s="2395">
        <f t="shared" si="30"/>
        <v>0</v>
      </c>
      <c r="V385" s="2395" t="str">
        <f t="shared" si="28"/>
        <v/>
      </c>
    </row>
    <row r="386" spans="3:22" hidden="1">
      <c r="C386">
        <v>2022</v>
      </c>
      <c r="D386" t="s">
        <v>1797</v>
      </c>
      <c r="F386">
        <v>1202049905</v>
      </c>
      <c r="G386" t="s">
        <v>1557</v>
      </c>
      <c r="H386" t="s">
        <v>1808</v>
      </c>
      <c r="I386" t="s">
        <v>1815</v>
      </c>
      <c r="J386" t="s">
        <v>106</v>
      </c>
      <c r="K386">
        <v>7900005706</v>
      </c>
      <c r="L386" t="s">
        <v>1808</v>
      </c>
      <c r="M386" s="1633">
        <v>65911300624</v>
      </c>
      <c r="N386">
        <v>1</v>
      </c>
      <c r="O386">
        <v>40</v>
      </c>
      <c r="P386" s="1633">
        <v>65911300624</v>
      </c>
      <c r="Q386" t="s">
        <v>106</v>
      </c>
      <c r="R386" s="2392">
        <v>44705</v>
      </c>
      <c r="S386" s="2393">
        <f t="shared" si="29"/>
        <v>1</v>
      </c>
      <c r="T386" s="2394">
        <f>IF(OR(J386="COP",J386="EURO",J386="GBP"),0,IF(J386="USD",VLOOKUP(R386,'TRM BanRep'!$A:$G,7,0)))</f>
        <v>0</v>
      </c>
      <c r="U386" s="2395">
        <f t="shared" si="30"/>
        <v>0</v>
      </c>
      <c r="V386" s="2395" t="str">
        <f t="shared" si="28"/>
        <v/>
      </c>
    </row>
    <row r="387" spans="3:22" hidden="1">
      <c r="C387">
        <v>2022</v>
      </c>
      <c r="D387" t="s">
        <v>1797</v>
      </c>
      <c r="F387">
        <v>1202049905</v>
      </c>
      <c r="G387" t="s">
        <v>1557</v>
      </c>
      <c r="H387" t="s">
        <v>1808</v>
      </c>
      <c r="I387" t="s">
        <v>1816</v>
      </c>
      <c r="J387" t="s">
        <v>106</v>
      </c>
      <c r="K387">
        <v>7900005725</v>
      </c>
      <c r="L387" t="s">
        <v>1808</v>
      </c>
      <c r="M387" s="1633">
        <v>59255250000</v>
      </c>
      <c r="N387">
        <v>1</v>
      </c>
      <c r="O387">
        <v>40</v>
      </c>
      <c r="P387" s="1633">
        <v>59255250000</v>
      </c>
      <c r="Q387" t="s">
        <v>106</v>
      </c>
      <c r="R387" s="2392">
        <v>44705</v>
      </c>
      <c r="S387" s="2393">
        <f t="shared" si="29"/>
        <v>1</v>
      </c>
      <c r="T387" s="2394">
        <f>IF(OR(J387="COP",J387="EURO",J387="GBP"),0,IF(J387="USD",VLOOKUP(R387,'TRM BanRep'!$A:$G,7,0)))</f>
        <v>0</v>
      </c>
      <c r="U387" s="2395">
        <f t="shared" si="30"/>
        <v>0</v>
      </c>
      <c r="V387" s="2395" t="str">
        <f t="shared" si="28"/>
        <v/>
      </c>
    </row>
    <row r="388" spans="3:22" hidden="1">
      <c r="C388">
        <v>2022</v>
      </c>
      <c r="D388" t="s">
        <v>1797</v>
      </c>
      <c r="F388">
        <v>1202049905</v>
      </c>
      <c r="G388" t="s">
        <v>1557</v>
      </c>
      <c r="H388" t="s">
        <v>1817</v>
      </c>
      <c r="I388" t="s">
        <v>1818</v>
      </c>
      <c r="J388" t="s">
        <v>106</v>
      </c>
      <c r="K388">
        <v>7900005823</v>
      </c>
      <c r="L388" t="s">
        <v>1817</v>
      </c>
      <c r="M388" s="1633">
        <v>-38449642365</v>
      </c>
      <c r="N388">
        <v>1</v>
      </c>
      <c r="O388">
        <v>50</v>
      </c>
      <c r="P388" s="1633">
        <v>-38449642365</v>
      </c>
      <c r="Q388" t="s">
        <v>106</v>
      </c>
      <c r="R388" s="2392">
        <v>44712</v>
      </c>
      <c r="S388" s="2393">
        <f t="shared" si="29"/>
        <v>1</v>
      </c>
      <c r="T388" s="2394">
        <f>IF(OR(J388="COP",J388="EURO",J388="GBP"),0,IF(J388="USD",VLOOKUP(R388,'TRM BanRep'!$A:$G,7,0)))</f>
        <v>0</v>
      </c>
      <c r="U388" s="2395">
        <f t="shared" si="30"/>
        <v>0</v>
      </c>
      <c r="V388" s="2395" t="str">
        <f t="shared" si="28"/>
        <v/>
      </c>
    </row>
    <row r="389" spans="3:22" hidden="1">
      <c r="C389">
        <v>2022</v>
      </c>
      <c r="D389" t="s">
        <v>1797</v>
      </c>
      <c r="F389">
        <v>1202049905</v>
      </c>
      <c r="G389" t="s">
        <v>1557</v>
      </c>
      <c r="H389" t="s">
        <v>1808</v>
      </c>
      <c r="I389" t="s">
        <v>1819</v>
      </c>
      <c r="J389" t="s">
        <v>106</v>
      </c>
      <c r="K389">
        <v>7900005859</v>
      </c>
      <c r="L389" t="s">
        <v>1808</v>
      </c>
      <c r="M389" s="1633">
        <v>97554681345</v>
      </c>
      <c r="N389">
        <v>1</v>
      </c>
      <c r="O389">
        <v>40</v>
      </c>
      <c r="P389" s="1633">
        <v>97554681345</v>
      </c>
      <c r="Q389" t="s">
        <v>106</v>
      </c>
      <c r="R389" s="2392">
        <v>44705</v>
      </c>
      <c r="S389" s="2393">
        <f t="shared" si="29"/>
        <v>1</v>
      </c>
      <c r="T389" s="2394">
        <f>IF(OR(J389="COP",J389="EURO",J389="GBP"),0,IF(J389="USD",VLOOKUP(R389,'TRM BanRep'!$A:$G,7,0)))</f>
        <v>0</v>
      </c>
      <c r="U389" s="2395">
        <f t="shared" si="30"/>
        <v>0</v>
      </c>
      <c r="V389" s="2395" t="str">
        <f t="shared" si="28"/>
        <v/>
      </c>
    </row>
    <row r="390" spans="3:22" hidden="1">
      <c r="C390">
        <v>2022</v>
      </c>
      <c r="D390" t="s">
        <v>1797</v>
      </c>
      <c r="F390">
        <v>1202049905</v>
      </c>
      <c r="G390" t="s">
        <v>1557</v>
      </c>
      <c r="H390" t="s">
        <v>1808</v>
      </c>
      <c r="I390" t="s">
        <v>1820</v>
      </c>
      <c r="J390" t="s">
        <v>106</v>
      </c>
      <c r="K390">
        <v>7900005886</v>
      </c>
      <c r="L390" t="s">
        <v>1808</v>
      </c>
      <c r="M390" s="1633">
        <v>48670489314</v>
      </c>
      <c r="N390">
        <v>1</v>
      </c>
      <c r="O390">
        <v>40</v>
      </c>
      <c r="P390" s="1633">
        <v>48670489314</v>
      </c>
      <c r="Q390" t="s">
        <v>106</v>
      </c>
      <c r="R390" s="2392">
        <v>44705</v>
      </c>
      <c r="S390" s="2393">
        <f t="shared" si="29"/>
        <v>1</v>
      </c>
      <c r="T390" s="2394">
        <f>IF(OR(J390="COP",J390="EURO",J390="GBP"),0,IF(J390="USD",VLOOKUP(R390,'TRM BanRep'!$A:$G,7,0)))</f>
        <v>0</v>
      </c>
      <c r="U390" s="2395">
        <f t="shared" si="30"/>
        <v>0</v>
      </c>
      <c r="V390" s="2395" t="str">
        <f t="shared" si="28"/>
        <v/>
      </c>
    </row>
    <row r="391" spans="3:22" hidden="1">
      <c r="C391">
        <v>2022</v>
      </c>
      <c r="D391" t="s">
        <v>1797</v>
      </c>
      <c r="F391">
        <v>1202049905</v>
      </c>
      <c r="G391" t="s">
        <v>1557</v>
      </c>
      <c r="H391" t="s">
        <v>1821</v>
      </c>
      <c r="I391" t="s">
        <v>1822</v>
      </c>
      <c r="J391" t="s">
        <v>106</v>
      </c>
      <c r="K391">
        <v>7900005905</v>
      </c>
      <c r="L391" t="s">
        <v>1821</v>
      </c>
      <c r="M391" s="1633">
        <v>97497217214</v>
      </c>
      <c r="N391">
        <v>1</v>
      </c>
      <c r="O391">
        <v>40</v>
      </c>
      <c r="P391" s="1633">
        <v>97497217214</v>
      </c>
      <c r="Q391" t="s">
        <v>106</v>
      </c>
      <c r="R391" s="2392">
        <v>44707</v>
      </c>
      <c r="S391" s="2393">
        <f t="shared" si="29"/>
        <v>1</v>
      </c>
      <c r="T391" s="2394">
        <f>IF(OR(J391="COP",J391="EURO",J391="GBP"),0,IF(J391="USD",VLOOKUP(R391,'TRM BanRep'!$A:$G,7,0)))</f>
        <v>0</v>
      </c>
      <c r="U391" s="2395">
        <f t="shared" si="30"/>
        <v>0</v>
      </c>
      <c r="V391" s="2395" t="str">
        <f t="shared" ref="V391:V454" si="31">IF(U391=0,"",IF(U391&gt;0,"2-GASTO","1-INGRESO"))</f>
        <v/>
      </c>
    </row>
    <row r="392" spans="3:22" hidden="1">
      <c r="C392">
        <v>2022</v>
      </c>
      <c r="D392" t="s">
        <v>1797</v>
      </c>
      <c r="F392">
        <v>1202049905</v>
      </c>
      <c r="G392" t="s">
        <v>1557</v>
      </c>
      <c r="H392" t="s">
        <v>1808</v>
      </c>
      <c r="I392" t="s">
        <v>1823</v>
      </c>
      <c r="J392" t="s">
        <v>106</v>
      </c>
      <c r="K392">
        <v>7900005945</v>
      </c>
      <c r="L392" t="s">
        <v>1808</v>
      </c>
      <c r="M392" s="1633">
        <v>1300000000</v>
      </c>
      <c r="N392">
        <v>1</v>
      </c>
      <c r="O392">
        <v>40</v>
      </c>
      <c r="P392" s="1633">
        <v>1300000000</v>
      </c>
      <c r="Q392" t="s">
        <v>106</v>
      </c>
      <c r="R392" s="2392">
        <v>44705</v>
      </c>
      <c r="S392" s="2393">
        <f t="shared" si="29"/>
        <v>1</v>
      </c>
      <c r="T392" s="2394">
        <f>IF(OR(J392="COP",J392="EURO",J392="GBP"),0,IF(J392="USD",VLOOKUP(R392,'TRM BanRep'!$A:$G,7,0)))</f>
        <v>0</v>
      </c>
      <c r="U392" s="2395">
        <f t="shared" si="30"/>
        <v>0</v>
      </c>
      <c r="V392" s="2395" t="str">
        <f t="shared" si="31"/>
        <v/>
      </c>
    </row>
    <row r="393" spans="3:22" hidden="1">
      <c r="C393">
        <v>2022</v>
      </c>
      <c r="D393" t="s">
        <v>1797</v>
      </c>
      <c r="F393">
        <v>1202049905</v>
      </c>
      <c r="G393" t="s">
        <v>1557</v>
      </c>
      <c r="H393" t="s">
        <v>1821</v>
      </c>
      <c r="I393" t="s">
        <v>1824</v>
      </c>
      <c r="J393" t="s">
        <v>106</v>
      </c>
      <c r="K393">
        <v>7900005952</v>
      </c>
      <c r="L393" t="s">
        <v>1821</v>
      </c>
      <c r="M393" s="1633">
        <v>-2375430000</v>
      </c>
      <c r="N393">
        <v>1</v>
      </c>
      <c r="O393">
        <v>50</v>
      </c>
      <c r="P393" s="1633">
        <v>-2375430000</v>
      </c>
      <c r="Q393" t="s">
        <v>106</v>
      </c>
      <c r="R393" s="2392">
        <v>44707</v>
      </c>
      <c r="S393" s="2393">
        <f t="shared" si="29"/>
        <v>1</v>
      </c>
      <c r="T393" s="2394">
        <f>IF(OR(J393="COP",J393="EURO",J393="GBP"),0,IF(J393="USD",VLOOKUP(R393,'TRM BanRep'!$A:$G,7,0)))</f>
        <v>0</v>
      </c>
      <c r="U393" s="2395">
        <f t="shared" si="30"/>
        <v>0</v>
      </c>
      <c r="V393" s="2395" t="str">
        <f t="shared" si="31"/>
        <v/>
      </c>
    </row>
    <row r="394" spans="3:22" hidden="1">
      <c r="C394">
        <v>2022</v>
      </c>
      <c r="D394" t="s">
        <v>1797</v>
      </c>
      <c r="F394">
        <v>1202049905</v>
      </c>
      <c r="G394" t="s">
        <v>1557</v>
      </c>
      <c r="H394" t="s">
        <v>1821</v>
      </c>
      <c r="I394" t="s">
        <v>1825</v>
      </c>
      <c r="J394" t="s">
        <v>106</v>
      </c>
      <c r="K394">
        <v>7900005960</v>
      </c>
      <c r="L394" t="s">
        <v>1821</v>
      </c>
      <c r="M394" s="1633">
        <v>-185473772</v>
      </c>
      <c r="N394">
        <v>1</v>
      </c>
      <c r="O394">
        <v>50</v>
      </c>
      <c r="P394" s="1633">
        <v>-185473772</v>
      </c>
      <c r="Q394" t="s">
        <v>106</v>
      </c>
      <c r="R394" s="2392">
        <v>44707</v>
      </c>
      <c r="S394" s="2393">
        <f t="shared" si="29"/>
        <v>1</v>
      </c>
      <c r="T394" s="2394">
        <f>IF(OR(J394="COP",J394="EURO",J394="GBP"),0,IF(J394="USD",VLOOKUP(R394,'TRM BanRep'!$A:$G,7,0)))</f>
        <v>0</v>
      </c>
      <c r="U394" s="2395">
        <f t="shared" si="30"/>
        <v>0</v>
      </c>
      <c r="V394" s="2395" t="str">
        <f t="shared" si="31"/>
        <v/>
      </c>
    </row>
    <row r="395" spans="3:22" hidden="1">
      <c r="C395">
        <v>2022</v>
      </c>
      <c r="D395" t="s">
        <v>1797</v>
      </c>
      <c r="F395">
        <v>1202049905</v>
      </c>
      <c r="G395" t="s">
        <v>1557</v>
      </c>
      <c r="H395" t="s">
        <v>1826</v>
      </c>
      <c r="I395" t="s">
        <v>1827</v>
      </c>
      <c r="J395" t="s">
        <v>106</v>
      </c>
      <c r="K395">
        <v>7900005969</v>
      </c>
      <c r="L395" t="s">
        <v>1826</v>
      </c>
      <c r="M395" s="1633">
        <v>593857500000</v>
      </c>
      <c r="N395">
        <v>1</v>
      </c>
      <c r="O395">
        <v>40</v>
      </c>
      <c r="P395" s="1633">
        <v>593857500000</v>
      </c>
      <c r="Q395" t="s">
        <v>106</v>
      </c>
      <c r="R395" s="2392">
        <v>44708</v>
      </c>
      <c r="S395" s="2393">
        <f t="shared" si="29"/>
        <v>1</v>
      </c>
      <c r="T395" s="2394">
        <f>IF(OR(J395="COP",J395="EURO",J395="GBP"),0,IF(J395="USD",VLOOKUP(R395,'TRM BanRep'!$A:$G,7,0)))</f>
        <v>0</v>
      </c>
      <c r="U395" s="2395">
        <f t="shared" si="30"/>
        <v>0</v>
      </c>
      <c r="V395" s="2395" t="str">
        <f t="shared" si="31"/>
        <v/>
      </c>
    </row>
    <row r="396" spans="3:22" hidden="1">
      <c r="C396">
        <v>2022</v>
      </c>
      <c r="D396" t="s">
        <v>1797</v>
      </c>
      <c r="F396">
        <v>1202049905</v>
      </c>
      <c r="G396" t="s">
        <v>1557</v>
      </c>
      <c r="H396" t="s">
        <v>1828</v>
      </c>
      <c r="I396" t="s">
        <v>1829</v>
      </c>
      <c r="J396" t="s">
        <v>106</v>
      </c>
      <c r="K396">
        <v>7900005993</v>
      </c>
      <c r="L396" t="s">
        <v>1828</v>
      </c>
      <c r="M396" s="1633">
        <v>134999999994</v>
      </c>
      <c r="N396">
        <v>1</v>
      </c>
      <c r="O396">
        <v>40</v>
      </c>
      <c r="P396" s="1633">
        <v>134999999994</v>
      </c>
      <c r="Q396" t="s">
        <v>106</v>
      </c>
      <c r="R396" s="2392">
        <v>44706</v>
      </c>
      <c r="S396" s="2393">
        <f t="shared" si="29"/>
        <v>1</v>
      </c>
      <c r="T396" s="2394">
        <f>IF(OR(J396="COP",J396="EURO",J396="GBP"),0,IF(J396="USD",VLOOKUP(R396,'TRM BanRep'!$A:$G,7,0)))</f>
        <v>0</v>
      </c>
      <c r="U396" s="2395">
        <f t="shared" si="30"/>
        <v>0</v>
      </c>
      <c r="V396" s="2395" t="str">
        <f t="shared" si="31"/>
        <v/>
      </c>
    </row>
    <row r="397" spans="3:22" hidden="1">
      <c r="C397">
        <v>2022</v>
      </c>
      <c r="D397" t="s">
        <v>1797</v>
      </c>
      <c r="F397">
        <v>1202049905</v>
      </c>
      <c r="G397" t="s">
        <v>1557</v>
      </c>
      <c r="H397" t="s">
        <v>1826</v>
      </c>
      <c r="I397" t="s">
        <v>1830</v>
      </c>
      <c r="J397" t="s">
        <v>106</v>
      </c>
      <c r="K397">
        <v>7900006003</v>
      </c>
      <c r="L397" t="s">
        <v>1826</v>
      </c>
      <c r="M397" s="1633">
        <v>158387850</v>
      </c>
      <c r="N397">
        <v>1</v>
      </c>
      <c r="O397">
        <v>40</v>
      </c>
      <c r="P397" s="1633">
        <v>158387850</v>
      </c>
      <c r="Q397" t="s">
        <v>106</v>
      </c>
      <c r="R397" s="2392">
        <v>44708</v>
      </c>
      <c r="S397" s="2393">
        <f t="shared" si="29"/>
        <v>1</v>
      </c>
      <c r="T397" s="2394">
        <f>IF(OR(J397="COP",J397="EURO",J397="GBP"),0,IF(J397="USD",VLOOKUP(R397,'TRM BanRep'!$A:$G,7,0)))</f>
        <v>0</v>
      </c>
      <c r="U397" s="2395">
        <f t="shared" si="30"/>
        <v>0</v>
      </c>
      <c r="V397" s="2395" t="str">
        <f t="shared" si="31"/>
        <v/>
      </c>
    </row>
    <row r="398" spans="3:22" hidden="1">
      <c r="C398">
        <v>2022</v>
      </c>
      <c r="D398" t="s">
        <v>1797</v>
      </c>
      <c r="F398">
        <v>1202049905</v>
      </c>
      <c r="G398" t="s">
        <v>1557</v>
      </c>
      <c r="H398" t="s">
        <v>1821</v>
      </c>
      <c r="I398" t="s">
        <v>1831</v>
      </c>
      <c r="J398" t="s">
        <v>106</v>
      </c>
      <c r="K398">
        <v>7900006011</v>
      </c>
      <c r="L398" t="s">
        <v>1821</v>
      </c>
      <c r="M398" s="1633">
        <v>230397780480</v>
      </c>
      <c r="N398">
        <v>1</v>
      </c>
      <c r="O398">
        <v>40</v>
      </c>
      <c r="P398" s="1633">
        <v>230397780480</v>
      </c>
      <c r="Q398" t="s">
        <v>106</v>
      </c>
      <c r="R398" s="2392">
        <v>44707</v>
      </c>
      <c r="S398" s="2393">
        <f t="shared" si="29"/>
        <v>1</v>
      </c>
      <c r="T398" s="2394">
        <f>IF(OR(J398="COP",J398="EURO",J398="GBP"),0,IF(J398="USD",VLOOKUP(R398,'TRM BanRep'!$A:$G,7,0)))</f>
        <v>0</v>
      </c>
      <c r="U398" s="2395">
        <f t="shared" si="30"/>
        <v>0</v>
      </c>
      <c r="V398" s="2395" t="str">
        <f t="shared" si="31"/>
        <v/>
      </c>
    </row>
    <row r="399" spans="3:22" hidden="1">
      <c r="C399">
        <v>2022</v>
      </c>
      <c r="D399" t="s">
        <v>1797</v>
      </c>
      <c r="F399">
        <v>1202049905</v>
      </c>
      <c r="G399" t="s">
        <v>1557</v>
      </c>
      <c r="H399" t="s">
        <v>1817</v>
      </c>
      <c r="I399" t="s">
        <v>1832</v>
      </c>
      <c r="J399" t="s">
        <v>106</v>
      </c>
      <c r="K399">
        <v>7900006831</v>
      </c>
      <c r="L399" t="s">
        <v>1817</v>
      </c>
      <c r="M399" s="1633">
        <v>-1431385042316</v>
      </c>
      <c r="N399">
        <v>1</v>
      </c>
      <c r="O399">
        <v>50</v>
      </c>
      <c r="P399" s="1633">
        <v>-1431385042316</v>
      </c>
      <c r="Q399" t="s">
        <v>106</v>
      </c>
      <c r="R399" s="2392">
        <v>44712</v>
      </c>
      <c r="S399" s="2393">
        <f t="shared" si="29"/>
        <v>1</v>
      </c>
      <c r="T399" s="2394">
        <f>IF(OR(J399="COP",J399="EURO",J399="GBP"),0,IF(J399="USD",VLOOKUP(R399,'TRM BanRep'!$A:$G,7,0)))</f>
        <v>0</v>
      </c>
      <c r="U399" s="2395">
        <f t="shared" si="30"/>
        <v>0</v>
      </c>
      <c r="V399" s="2395" t="str">
        <f t="shared" si="31"/>
        <v/>
      </c>
    </row>
    <row r="400" spans="3:22" hidden="1">
      <c r="C400">
        <v>2022</v>
      </c>
      <c r="D400" t="s">
        <v>1797</v>
      </c>
      <c r="F400">
        <v>1202049905</v>
      </c>
      <c r="G400" t="s">
        <v>1557</v>
      </c>
      <c r="H400" t="s">
        <v>1821</v>
      </c>
      <c r="I400" t="s">
        <v>1831</v>
      </c>
      <c r="J400" t="s">
        <v>106</v>
      </c>
      <c r="K400">
        <v>7900006921</v>
      </c>
      <c r="L400" t="s">
        <v>1821</v>
      </c>
      <c r="M400" s="1633">
        <v>-230397780480</v>
      </c>
      <c r="N400">
        <v>1</v>
      </c>
      <c r="O400">
        <v>50</v>
      </c>
      <c r="P400" s="1633">
        <v>-230397780480</v>
      </c>
      <c r="Q400" t="s">
        <v>106</v>
      </c>
      <c r="R400" s="2392">
        <v>44707</v>
      </c>
      <c r="S400" s="2393">
        <f t="shared" si="29"/>
        <v>1</v>
      </c>
      <c r="T400" s="2394">
        <f>IF(OR(J400="COP",J400="EURO",J400="GBP"),0,IF(J400="USD",VLOOKUP(R400,'TRM BanRep'!$A:$G,7,0)))</f>
        <v>0</v>
      </c>
      <c r="U400" s="2395">
        <f t="shared" si="30"/>
        <v>0</v>
      </c>
      <c r="V400" s="2395" t="str">
        <f t="shared" si="31"/>
        <v/>
      </c>
    </row>
    <row r="401" spans="3:22" hidden="1">
      <c r="C401">
        <v>2022</v>
      </c>
      <c r="D401" t="s">
        <v>1797</v>
      </c>
      <c r="F401">
        <v>1202049905</v>
      </c>
      <c r="G401" t="s">
        <v>1557</v>
      </c>
      <c r="H401" t="s">
        <v>1821</v>
      </c>
      <c r="I401" t="s">
        <v>1833</v>
      </c>
      <c r="J401" t="s">
        <v>106</v>
      </c>
      <c r="K401">
        <v>7900006987</v>
      </c>
      <c r="L401" t="s">
        <v>1821</v>
      </c>
      <c r="M401" s="1633">
        <v>230397780480</v>
      </c>
      <c r="N401">
        <v>1</v>
      </c>
      <c r="O401">
        <v>40</v>
      </c>
      <c r="P401" s="1633">
        <v>230397780480</v>
      </c>
      <c r="Q401" t="s">
        <v>106</v>
      </c>
      <c r="R401" s="2392">
        <v>44707</v>
      </c>
      <c r="S401" s="2393">
        <f t="shared" si="29"/>
        <v>1</v>
      </c>
      <c r="T401" s="2394">
        <f>IF(OR(J401="COP",J401="EURO",J401="GBP"),0,IF(J401="USD",VLOOKUP(R401,'TRM BanRep'!$A:$G,7,0)))</f>
        <v>0</v>
      </c>
      <c r="U401" s="2395">
        <f t="shared" si="30"/>
        <v>0</v>
      </c>
      <c r="V401" s="2395" t="str">
        <f t="shared" si="31"/>
        <v/>
      </c>
    </row>
    <row r="402" spans="3:22" hidden="1">
      <c r="C402">
        <v>2022</v>
      </c>
      <c r="D402" t="s">
        <v>1797</v>
      </c>
      <c r="F402">
        <v>1202049905</v>
      </c>
      <c r="G402" t="s">
        <v>1557</v>
      </c>
      <c r="H402" t="s">
        <v>1798</v>
      </c>
      <c r="I402" t="s">
        <v>1834</v>
      </c>
      <c r="J402" s="2410" t="s">
        <v>146</v>
      </c>
      <c r="K402">
        <v>7900005924</v>
      </c>
      <c r="L402" t="s">
        <v>1798</v>
      </c>
      <c r="M402" s="1633">
        <v>-6000</v>
      </c>
      <c r="N402">
        <v>4173.30933</v>
      </c>
      <c r="O402">
        <v>50</v>
      </c>
      <c r="P402" s="1633">
        <v>-25039856</v>
      </c>
      <c r="Q402" t="s">
        <v>106</v>
      </c>
      <c r="R402" s="2392">
        <v>44684</v>
      </c>
      <c r="S402" s="2393">
        <f t="shared" si="29"/>
        <v>4173.3100000000004</v>
      </c>
      <c r="T402" s="2409">
        <f>IF(OR(J402="COP",J402="EURO",J402="GBP"),0,IF(J402="USD",VLOOKUP(R402,'TRM BanRep'!$A:$G,7,0)))</f>
        <v>0</v>
      </c>
      <c r="U402" s="2395">
        <f t="shared" si="30"/>
        <v>0</v>
      </c>
      <c r="V402" s="2397" t="str">
        <f t="shared" si="31"/>
        <v/>
      </c>
    </row>
    <row r="403" spans="3:22" hidden="1">
      <c r="C403">
        <v>2022</v>
      </c>
      <c r="D403" t="s">
        <v>1797</v>
      </c>
      <c r="F403">
        <v>1202049905</v>
      </c>
      <c r="G403" t="s">
        <v>1557</v>
      </c>
      <c r="H403" t="s">
        <v>1835</v>
      </c>
      <c r="I403" t="s">
        <v>1836</v>
      </c>
      <c r="J403" s="2410" t="s">
        <v>146</v>
      </c>
      <c r="K403">
        <v>7900005932</v>
      </c>
      <c r="L403" t="s">
        <v>1835</v>
      </c>
      <c r="M403" s="1633">
        <v>-412</v>
      </c>
      <c r="N403">
        <v>4212.0752400000001</v>
      </c>
      <c r="O403">
        <v>50</v>
      </c>
      <c r="P403" s="1633">
        <v>-1735375</v>
      </c>
      <c r="Q403" t="s">
        <v>106</v>
      </c>
      <c r="R403" s="2392">
        <v>44685</v>
      </c>
      <c r="S403" s="2393">
        <f t="shared" si="29"/>
        <v>4212.08</v>
      </c>
      <c r="T403" s="2409">
        <f>IF(OR(J403="COP",J403="EURO",J403="GBP"),0,IF(J403="USD",VLOOKUP(R403,'TRM BanRep'!$A:$G,7,0)))</f>
        <v>0</v>
      </c>
      <c r="U403" s="2395">
        <f t="shared" si="30"/>
        <v>0</v>
      </c>
      <c r="V403" s="2397" t="str">
        <f t="shared" si="31"/>
        <v/>
      </c>
    </row>
    <row r="404" spans="3:22" hidden="1">
      <c r="C404">
        <v>2022</v>
      </c>
      <c r="D404" t="s">
        <v>1797</v>
      </c>
      <c r="F404">
        <v>1202049905</v>
      </c>
      <c r="G404" t="s">
        <v>1557</v>
      </c>
      <c r="H404" t="s">
        <v>1798</v>
      </c>
      <c r="I404" t="s">
        <v>1837</v>
      </c>
      <c r="J404" t="s">
        <v>64</v>
      </c>
      <c r="K404">
        <v>7900005427</v>
      </c>
      <c r="L404" t="s">
        <v>1798</v>
      </c>
      <c r="M404" s="1633">
        <v>-691833</v>
      </c>
      <c r="N404">
        <v>4004.07</v>
      </c>
      <c r="O404">
        <v>50</v>
      </c>
      <c r="P404" s="1633">
        <v>-2770147760</v>
      </c>
      <c r="Q404" t="s">
        <v>106</v>
      </c>
      <c r="R404" s="2392">
        <v>44684</v>
      </c>
      <c r="S404" s="2393">
        <f t="shared" si="29"/>
        <v>4004.07</v>
      </c>
      <c r="T404" s="2394">
        <f>IF(OR(J404="COP",J404="EURO",J404="GBP"),0,IF(J404="USD",VLOOKUP(R404,'TRM BanRep'!$A:$G,7,0)))</f>
        <v>4004.07</v>
      </c>
      <c r="U404" s="2395">
        <f t="shared" si="30"/>
        <v>0</v>
      </c>
      <c r="V404" s="2395" t="str">
        <f t="shared" si="31"/>
        <v/>
      </c>
    </row>
    <row r="405" spans="3:22" hidden="1">
      <c r="C405">
        <v>2022</v>
      </c>
      <c r="D405" t="s">
        <v>1797</v>
      </c>
      <c r="F405">
        <v>1202049905</v>
      </c>
      <c r="G405" t="s">
        <v>1557</v>
      </c>
      <c r="H405" t="s">
        <v>1800</v>
      </c>
      <c r="I405" t="s">
        <v>1838</v>
      </c>
      <c r="J405" t="s">
        <v>64</v>
      </c>
      <c r="K405">
        <v>7900005490</v>
      </c>
      <c r="L405" t="s">
        <v>1800</v>
      </c>
      <c r="M405" s="1633">
        <v>-24219281.399999999</v>
      </c>
      <c r="N405">
        <v>4053.93</v>
      </c>
      <c r="O405">
        <v>50</v>
      </c>
      <c r="P405" s="1633">
        <v>-98183271446</v>
      </c>
      <c r="Q405" t="s">
        <v>106</v>
      </c>
      <c r="R405" s="2392">
        <v>44690</v>
      </c>
      <c r="S405" s="2393">
        <f t="shared" si="29"/>
        <v>4053.93</v>
      </c>
      <c r="T405" s="2394">
        <f>IF(OR(J405="COP",J405="EURO",J405="GBP"),0,IF(J405="USD",VLOOKUP(R405,'TRM BanRep'!$A:$G,7,0)))</f>
        <v>4053.93</v>
      </c>
      <c r="U405" s="2395">
        <f t="shared" si="30"/>
        <v>0</v>
      </c>
      <c r="V405" s="2395" t="str">
        <f t="shared" si="31"/>
        <v/>
      </c>
    </row>
    <row r="406" spans="3:22" hidden="1">
      <c r="C406">
        <v>2022</v>
      </c>
      <c r="D406" t="s">
        <v>1797</v>
      </c>
      <c r="F406">
        <v>1202049905</v>
      </c>
      <c r="G406" t="s">
        <v>1557</v>
      </c>
      <c r="H406" t="s">
        <v>1802</v>
      </c>
      <c r="I406" t="s">
        <v>1839</v>
      </c>
      <c r="J406" t="s">
        <v>64</v>
      </c>
      <c r="K406">
        <v>7900005505</v>
      </c>
      <c r="L406" t="s">
        <v>1802</v>
      </c>
      <c r="M406" s="1633">
        <v>-4500000</v>
      </c>
      <c r="N406">
        <v>4042.2</v>
      </c>
      <c r="O406">
        <v>50</v>
      </c>
      <c r="P406" s="1633">
        <v>-18189900000</v>
      </c>
      <c r="Q406" t="s">
        <v>106</v>
      </c>
      <c r="R406" s="2392">
        <v>44698</v>
      </c>
      <c r="S406" s="2393">
        <f t="shared" si="29"/>
        <v>4042.2</v>
      </c>
      <c r="T406" s="2394">
        <f>IF(OR(J406="COP",J406="EURO",J406="GBP"),0,IF(J406="USD",VLOOKUP(R406,'TRM BanRep'!$A:$G,7,0)))</f>
        <v>4070.25</v>
      </c>
      <c r="U406" s="2395">
        <f t="shared" si="30"/>
        <v>-126225000.00000082</v>
      </c>
      <c r="V406" s="2397" t="str">
        <f t="shared" si="31"/>
        <v>1-INGRESO</v>
      </c>
    </row>
    <row r="407" spans="3:22" hidden="1">
      <c r="C407">
        <v>2022</v>
      </c>
      <c r="D407" t="s">
        <v>1797</v>
      </c>
      <c r="F407">
        <v>1202049905</v>
      </c>
      <c r="G407" t="s">
        <v>1557</v>
      </c>
      <c r="H407" t="s">
        <v>1802</v>
      </c>
      <c r="I407" t="s">
        <v>1840</v>
      </c>
      <c r="J407" t="s">
        <v>64</v>
      </c>
      <c r="K407">
        <v>7900005513</v>
      </c>
      <c r="L407" t="s">
        <v>1802</v>
      </c>
      <c r="M407" s="1633">
        <v>-5000000</v>
      </c>
      <c r="N407">
        <v>4047.5</v>
      </c>
      <c r="O407">
        <v>50</v>
      </c>
      <c r="P407" s="1633">
        <v>-20237500000</v>
      </c>
      <c r="Q407" t="s">
        <v>106</v>
      </c>
      <c r="R407" s="2392">
        <v>44698</v>
      </c>
      <c r="S407" s="2393">
        <f t="shared" si="29"/>
        <v>4047.5</v>
      </c>
      <c r="T407" s="2394">
        <f>IF(OR(J407="COP",J407="EURO",J407="GBP"),0,IF(J407="USD",VLOOKUP(R407,'TRM BanRep'!$A:$G,7,0)))</f>
        <v>4070.25</v>
      </c>
      <c r="U407" s="2395">
        <f t="shared" si="30"/>
        <v>-113750000</v>
      </c>
      <c r="V407" s="2397" t="str">
        <f t="shared" si="31"/>
        <v>1-INGRESO</v>
      </c>
    </row>
    <row r="408" spans="3:22" hidden="1">
      <c r="C408">
        <v>2022</v>
      </c>
      <c r="D408" t="s">
        <v>1797</v>
      </c>
      <c r="F408">
        <v>1202049905</v>
      </c>
      <c r="G408" t="s">
        <v>1557</v>
      </c>
      <c r="H408" t="s">
        <v>1805</v>
      </c>
      <c r="I408" t="s">
        <v>1841</v>
      </c>
      <c r="J408" t="s">
        <v>64</v>
      </c>
      <c r="K408">
        <v>7900005521</v>
      </c>
      <c r="L408" t="s">
        <v>1805</v>
      </c>
      <c r="M408" s="1633">
        <v>-461222</v>
      </c>
      <c r="N408">
        <v>4050.88</v>
      </c>
      <c r="O408">
        <v>50</v>
      </c>
      <c r="P408" s="1633">
        <v>-1868354975</v>
      </c>
      <c r="Q408" t="s">
        <v>106</v>
      </c>
      <c r="R408" s="2392">
        <v>44701</v>
      </c>
      <c r="S408" s="2393">
        <f t="shared" si="29"/>
        <v>4050.88</v>
      </c>
      <c r="T408" s="2394">
        <f>IF(OR(J408="COP",J408="EURO",J408="GBP"),0,IF(J408="USD",VLOOKUP(R408,'TRM BanRep'!$A:$G,7,0)))</f>
        <v>4050.88</v>
      </c>
      <c r="U408" s="2395">
        <f t="shared" si="30"/>
        <v>0</v>
      </c>
      <c r="V408" s="2395" t="str">
        <f t="shared" si="31"/>
        <v/>
      </c>
    </row>
    <row r="409" spans="3:22" hidden="1">
      <c r="C409">
        <v>2022</v>
      </c>
      <c r="D409" t="s">
        <v>1797</v>
      </c>
      <c r="F409">
        <v>1202049905</v>
      </c>
      <c r="G409" t="s">
        <v>1557</v>
      </c>
      <c r="H409" t="s">
        <v>1805</v>
      </c>
      <c r="I409" t="s">
        <v>1842</v>
      </c>
      <c r="J409" t="s">
        <v>64</v>
      </c>
      <c r="K409">
        <v>7900005529</v>
      </c>
      <c r="L409" t="s">
        <v>1805</v>
      </c>
      <c r="M409" s="1633">
        <v>-64534511.350000001</v>
      </c>
      <c r="N409">
        <v>4050.88</v>
      </c>
      <c r="O409">
        <v>50</v>
      </c>
      <c r="P409" s="1633">
        <v>-261421561337</v>
      </c>
      <c r="Q409" t="s">
        <v>106</v>
      </c>
      <c r="R409" s="2392">
        <v>44701</v>
      </c>
      <c r="S409" s="2393">
        <f t="shared" si="29"/>
        <v>4050.88</v>
      </c>
      <c r="T409" s="2394">
        <f>IF(OR(J409="COP",J409="EURO",J409="GBP"),0,IF(J409="USD",VLOOKUP(R409,'TRM BanRep'!$A:$G,7,0)))</f>
        <v>4050.88</v>
      </c>
      <c r="U409" s="2395">
        <f t="shared" si="30"/>
        <v>0</v>
      </c>
      <c r="V409" s="2395" t="str">
        <f t="shared" si="31"/>
        <v/>
      </c>
    </row>
    <row r="410" spans="3:22" hidden="1">
      <c r="C410">
        <v>2022</v>
      </c>
      <c r="D410" t="s">
        <v>1797</v>
      </c>
      <c r="F410">
        <v>1202049905</v>
      </c>
      <c r="G410" t="s">
        <v>1557</v>
      </c>
      <c r="H410" t="s">
        <v>1808</v>
      </c>
      <c r="I410" t="s">
        <v>1843</v>
      </c>
      <c r="J410" t="s">
        <v>64</v>
      </c>
      <c r="K410">
        <v>7900005593</v>
      </c>
      <c r="L410" t="s">
        <v>1808</v>
      </c>
      <c r="M410" s="1633">
        <v>-9490962.1899999995</v>
      </c>
      <c r="N410">
        <v>3972.2</v>
      </c>
      <c r="O410">
        <v>50</v>
      </c>
      <c r="P410" s="1633">
        <v>-37700000011</v>
      </c>
      <c r="Q410" t="s">
        <v>106</v>
      </c>
      <c r="R410" s="2392">
        <v>44705</v>
      </c>
      <c r="S410" s="2393">
        <f t="shared" si="29"/>
        <v>3972.2</v>
      </c>
      <c r="T410" s="2394">
        <f>IF(OR(J410="COP",J410="EURO",J410="GBP"),0,IF(J410="USD",VLOOKUP(R410,'TRM BanRep'!$A:$G,7,0)))</f>
        <v>3950.35</v>
      </c>
      <c r="U410" s="2395">
        <f t="shared" si="30"/>
        <v>207377523.85149914</v>
      </c>
      <c r="V410" s="2396" t="str">
        <f t="shared" si="31"/>
        <v>2-GASTO</v>
      </c>
    </row>
    <row r="411" spans="3:22" hidden="1">
      <c r="C411">
        <v>2022</v>
      </c>
      <c r="D411" t="s">
        <v>1797</v>
      </c>
      <c r="F411">
        <v>1202049905</v>
      </c>
      <c r="G411" t="s">
        <v>1557</v>
      </c>
      <c r="H411" t="s">
        <v>1808</v>
      </c>
      <c r="I411" t="s">
        <v>1844</v>
      </c>
      <c r="J411" t="s">
        <v>64</v>
      </c>
      <c r="K411">
        <v>7900005601</v>
      </c>
      <c r="L411" t="s">
        <v>1808</v>
      </c>
      <c r="M411" s="1633">
        <v>-276868.86</v>
      </c>
      <c r="N411">
        <v>3973.0000700000001</v>
      </c>
      <c r="O411">
        <v>50</v>
      </c>
      <c r="P411" s="1633">
        <v>-1100000000</v>
      </c>
      <c r="Q411" t="s">
        <v>106</v>
      </c>
      <c r="R411" s="2392">
        <v>44705</v>
      </c>
      <c r="S411" s="2393">
        <f t="shared" si="29"/>
        <v>3973</v>
      </c>
      <c r="T411" s="2394">
        <f>IF(OR(J411="COP",J411="EURO",J411="GBP"),0,IF(J411="USD",VLOOKUP(R411,'TRM BanRep'!$A:$G,7,0)))</f>
        <v>3950.35</v>
      </c>
      <c r="U411" s="2395">
        <f t="shared" si="30"/>
        <v>6271079.6790000247</v>
      </c>
      <c r="V411" s="2396" t="str">
        <f t="shared" si="31"/>
        <v>2-GASTO</v>
      </c>
    </row>
    <row r="412" spans="3:22" hidden="1">
      <c r="C412">
        <v>2022</v>
      </c>
      <c r="D412" t="s">
        <v>1797</v>
      </c>
      <c r="F412">
        <v>1202049905</v>
      </c>
      <c r="G412" t="s">
        <v>1557</v>
      </c>
      <c r="H412" t="s">
        <v>1808</v>
      </c>
      <c r="I412" t="s">
        <v>1845</v>
      </c>
      <c r="J412" t="s">
        <v>64</v>
      </c>
      <c r="K412">
        <v>7900005609</v>
      </c>
      <c r="L412" t="s">
        <v>1808</v>
      </c>
      <c r="M412" s="1633">
        <v>-704597.5</v>
      </c>
      <c r="N412">
        <v>3973.9</v>
      </c>
      <c r="O412">
        <v>50</v>
      </c>
      <c r="P412" s="1633">
        <v>-2800000005</v>
      </c>
      <c r="Q412" t="s">
        <v>106</v>
      </c>
      <c r="R412" s="2392">
        <v>44705</v>
      </c>
      <c r="S412" s="2393">
        <f t="shared" si="29"/>
        <v>3973.9</v>
      </c>
      <c r="T412" s="2394">
        <f>IF(OR(J412="COP",J412="EURO",J412="GBP"),0,IF(J412="USD",VLOOKUP(R412,'TRM BanRep'!$A:$G,7,0)))</f>
        <v>3950.35</v>
      </c>
      <c r="U412" s="2395">
        <f t="shared" si="30"/>
        <v>16593271.125000129</v>
      </c>
      <c r="V412" s="2396" t="str">
        <f t="shared" si="31"/>
        <v>2-GASTO</v>
      </c>
    </row>
    <row r="413" spans="3:22" hidden="1">
      <c r="C413">
        <v>2022</v>
      </c>
      <c r="D413" t="s">
        <v>1797</v>
      </c>
      <c r="F413">
        <v>1202049905</v>
      </c>
      <c r="G413" t="s">
        <v>1557</v>
      </c>
      <c r="H413" t="s">
        <v>1808</v>
      </c>
      <c r="I413" t="s">
        <v>1846</v>
      </c>
      <c r="J413" t="s">
        <v>64</v>
      </c>
      <c r="K413">
        <v>7900005617</v>
      </c>
      <c r="L413" t="s">
        <v>1808</v>
      </c>
      <c r="M413" s="1633">
        <v>-503328.26</v>
      </c>
      <c r="N413">
        <v>3973.55</v>
      </c>
      <c r="O413">
        <v>50</v>
      </c>
      <c r="P413" s="1633">
        <v>-2000000008</v>
      </c>
      <c r="Q413" t="s">
        <v>106</v>
      </c>
      <c r="R413" s="2392">
        <v>44705</v>
      </c>
      <c r="S413" s="2393">
        <f t="shared" si="29"/>
        <v>3973.55</v>
      </c>
      <c r="T413" s="2394">
        <f>IF(OR(J413="COP",J413="EURO",J413="GBP"),0,IF(J413="USD",VLOOKUP(R413,'TRM BanRep'!$A:$G,7,0)))</f>
        <v>3950.35</v>
      </c>
      <c r="U413" s="2395">
        <f t="shared" si="30"/>
        <v>11677215.632000137</v>
      </c>
      <c r="V413" s="2396" t="str">
        <f t="shared" si="31"/>
        <v>2-GASTO</v>
      </c>
    </row>
    <row r="414" spans="3:22" hidden="1">
      <c r="C414">
        <v>2022</v>
      </c>
      <c r="D414" t="s">
        <v>1797</v>
      </c>
      <c r="F414">
        <v>1202049905</v>
      </c>
      <c r="G414" t="s">
        <v>1557</v>
      </c>
      <c r="H414" t="s">
        <v>1808</v>
      </c>
      <c r="I414" t="s">
        <v>1847</v>
      </c>
      <c r="J414" t="s">
        <v>64</v>
      </c>
      <c r="K414">
        <v>7900005659</v>
      </c>
      <c r="L414" t="s">
        <v>1808</v>
      </c>
      <c r="M414" s="1633">
        <v>-52315893.829999998</v>
      </c>
      <c r="N414">
        <v>3950.35</v>
      </c>
      <c r="O414">
        <v>50</v>
      </c>
      <c r="P414" s="1633">
        <v>-206666091191</v>
      </c>
      <c r="Q414" t="s">
        <v>106</v>
      </c>
      <c r="R414" s="2392">
        <v>44705</v>
      </c>
      <c r="S414" s="2393">
        <f t="shared" si="29"/>
        <v>3950.35</v>
      </c>
      <c r="T414" s="2394">
        <f>IF(OR(J414="COP",J414="EURO",J414="GBP"),0,IF(J414="USD",VLOOKUP(R414,'TRM BanRep'!$A:$G,7,0)))</f>
        <v>3950.35</v>
      </c>
      <c r="U414" s="2395">
        <f t="shared" si="30"/>
        <v>0</v>
      </c>
      <c r="V414" s="2395" t="str">
        <f t="shared" si="31"/>
        <v/>
      </c>
    </row>
    <row r="415" spans="3:22" hidden="1">
      <c r="C415">
        <v>2022</v>
      </c>
      <c r="D415" t="s">
        <v>1797</v>
      </c>
      <c r="F415">
        <v>1202049905</v>
      </c>
      <c r="G415" t="s">
        <v>1557</v>
      </c>
      <c r="H415" t="s">
        <v>1808</v>
      </c>
      <c r="I415" t="s">
        <v>1848</v>
      </c>
      <c r="J415" t="s">
        <v>64</v>
      </c>
      <c r="K415">
        <v>7900005683</v>
      </c>
      <c r="L415" t="s">
        <v>1808</v>
      </c>
      <c r="M415" s="1633">
        <v>-42773772.109999999</v>
      </c>
      <c r="N415">
        <v>3950.35</v>
      </c>
      <c r="O415">
        <v>50</v>
      </c>
      <c r="P415" s="1633">
        <v>-168971370655</v>
      </c>
      <c r="Q415" t="s">
        <v>106</v>
      </c>
      <c r="R415" s="2392">
        <v>44705</v>
      </c>
      <c r="S415" s="2393">
        <f t="shared" si="29"/>
        <v>3950.35</v>
      </c>
      <c r="T415" s="2394">
        <f>IF(OR(J415="COP",J415="EURO",J415="GBP"),0,IF(J415="USD",VLOOKUP(R415,'TRM BanRep'!$A:$G,7,0)))</f>
        <v>3950.35</v>
      </c>
      <c r="U415" s="2395">
        <f t="shared" si="30"/>
        <v>0</v>
      </c>
      <c r="V415" s="2395" t="str">
        <f t="shared" si="31"/>
        <v/>
      </c>
    </row>
    <row r="416" spans="3:22" hidden="1">
      <c r="C416">
        <v>2022</v>
      </c>
      <c r="D416" t="s">
        <v>1797</v>
      </c>
      <c r="F416">
        <v>1202049905</v>
      </c>
      <c r="G416" t="s">
        <v>1557</v>
      </c>
      <c r="H416" t="s">
        <v>1808</v>
      </c>
      <c r="I416" t="s">
        <v>1849</v>
      </c>
      <c r="J416" t="s">
        <v>64</v>
      </c>
      <c r="K416">
        <v>7900005705</v>
      </c>
      <c r="L416" t="s">
        <v>1808</v>
      </c>
      <c r="M416" s="1633">
        <v>-16684926.810000001</v>
      </c>
      <c r="N416">
        <v>3950.35</v>
      </c>
      <c r="O416">
        <v>50</v>
      </c>
      <c r="P416" s="1633">
        <v>-65911300624</v>
      </c>
      <c r="Q416" t="s">
        <v>106</v>
      </c>
      <c r="R416" s="2392">
        <v>44705</v>
      </c>
      <c r="S416" s="2393">
        <f t="shared" si="29"/>
        <v>3950.35</v>
      </c>
      <c r="T416" s="2394">
        <f>IF(OR(J416="COP",J416="EURO",J416="GBP"),0,IF(J416="USD",VLOOKUP(R416,'TRM BanRep'!$A:$G,7,0)))</f>
        <v>3950.35</v>
      </c>
      <c r="U416" s="2395">
        <f t="shared" si="30"/>
        <v>0</v>
      </c>
      <c r="V416" s="2395" t="str">
        <f t="shared" si="31"/>
        <v/>
      </c>
    </row>
    <row r="417" spans="3:22" hidden="1">
      <c r="C417">
        <v>2022</v>
      </c>
      <c r="D417" t="s">
        <v>1797</v>
      </c>
      <c r="F417">
        <v>1202049905</v>
      </c>
      <c r="G417" t="s">
        <v>1557</v>
      </c>
      <c r="H417" t="s">
        <v>1808</v>
      </c>
      <c r="I417" t="s">
        <v>1850</v>
      </c>
      <c r="J417" t="s">
        <v>64</v>
      </c>
      <c r="K417">
        <v>7900005724</v>
      </c>
      <c r="L417" t="s">
        <v>1808</v>
      </c>
      <c r="M417" s="1633">
        <v>-15000000</v>
      </c>
      <c r="N417">
        <v>3950.35</v>
      </c>
      <c r="O417">
        <v>50</v>
      </c>
      <c r="P417" s="1633">
        <v>-59255250000</v>
      </c>
      <c r="Q417" t="s">
        <v>106</v>
      </c>
      <c r="R417" s="2392">
        <v>44705</v>
      </c>
      <c r="S417" s="2393">
        <f t="shared" si="29"/>
        <v>3950.35</v>
      </c>
      <c r="T417" s="2394">
        <f>IF(OR(J417="COP",J417="EURO",J417="GBP"),0,IF(J417="USD",VLOOKUP(R417,'TRM BanRep'!$A:$G,7,0)))</f>
        <v>3950.35</v>
      </c>
      <c r="U417" s="2395">
        <f t="shared" si="30"/>
        <v>0</v>
      </c>
      <c r="V417" s="2395" t="str">
        <f t="shared" si="31"/>
        <v/>
      </c>
    </row>
    <row r="418" spans="3:22" hidden="1">
      <c r="C418">
        <v>2022</v>
      </c>
      <c r="D418" t="s">
        <v>1797</v>
      </c>
      <c r="F418">
        <v>1202049905</v>
      </c>
      <c r="G418" t="s">
        <v>1557</v>
      </c>
      <c r="H418" t="s">
        <v>1817</v>
      </c>
      <c r="I418" t="s">
        <v>1851</v>
      </c>
      <c r="J418" t="s">
        <v>64</v>
      </c>
      <c r="K418">
        <v>7900005824</v>
      </c>
      <c r="L418" t="s">
        <v>1817</v>
      </c>
      <c r="M418" s="1633">
        <v>9711835.5099999998</v>
      </c>
      <c r="N418">
        <v>3959.05</v>
      </c>
      <c r="O418">
        <v>40</v>
      </c>
      <c r="P418" s="1633">
        <v>38449642365</v>
      </c>
      <c r="Q418" t="s">
        <v>106</v>
      </c>
      <c r="R418" s="2392">
        <v>44712</v>
      </c>
      <c r="S418" s="2393">
        <f t="shared" si="29"/>
        <v>3959.05</v>
      </c>
      <c r="T418" s="2394">
        <f>IF(OR(J418="COP",J418="EURO",J418="GBP"),0,IF(J418="USD",VLOOKUP(R418,'TRM BanRep'!$A:$G,7,0)))</f>
        <v>3912.34</v>
      </c>
      <c r="U418" s="2395">
        <f t="shared" si="30"/>
        <v>-453639836.67210037</v>
      </c>
      <c r="V418" s="2397" t="str">
        <f t="shared" si="31"/>
        <v>1-INGRESO</v>
      </c>
    </row>
    <row r="419" spans="3:22" hidden="1">
      <c r="C419">
        <v>2022</v>
      </c>
      <c r="D419" t="s">
        <v>1797</v>
      </c>
      <c r="F419">
        <v>1202049905</v>
      </c>
      <c r="G419" t="s">
        <v>1557</v>
      </c>
      <c r="H419" t="s">
        <v>1808</v>
      </c>
      <c r="I419" t="s">
        <v>1852</v>
      </c>
      <c r="J419" t="s">
        <v>64</v>
      </c>
      <c r="K419">
        <v>7900005858</v>
      </c>
      <c r="L419" t="s">
        <v>1808</v>
      </c>
      <c r="M419" s="1633">
        <v>-24695199.5</v>
      </c>
      <c r="N419">
        <v>3950.35</v>
      </c>
      <c r="O419">
        <v>50</v>
      </c>
      <c r="P419" s="1633">
        <v>-97554681345</v>
      </c>
      <c r="Q419" t="s">
        <v>106</v>
      </c>
      <c r="R419" s="2392">
        <v>44705</v>
      </c>
      <c r="S419" s="2393">
        <f t="shared" si="29"/>
        <v>3950.35</v>
      </c>
      <c r="T419" s="2394">
        <f>IF(OR(J419="COP",J419="EURO",J419="GBP"),0,IF(J419="USD",VLOOKUP(R419,'TRM BanRep'!$A:$G,7,0)))</f>
        <v>3950.35</v>
      </c>
      <c r="U419" s="2395">
        <f t="shared" si="30"/>
        <v>0</v>
      </c>
      <c r="V419" s="2395" t="str">
        <f t="shared" si="31"/>
        <v/>
      </c>
    </row>
    <row r="420" spans="3:22" hidden="1">
      <c r="C420">
        <v>2022</v>
      </c>
      <c r="D420" t="s">
        <v>1797</v>
      </c>
      <c r="F420">
        <v>1202049905</v>
      </c>
      <c r="G420" t="s">
        <v>1557</v>
      </c>
      <c r="H420" t="s">
        <v>1808</v>
      </c>
      <c r="I420" t="s">
        <v>1853</v>
      </c>
      <c r="J420" t="s">
        <v>64</v>
      </c>
      <c r="K420">
        <v>7900005885</v>
      </c>
      <c r="L420" t="s">
        <v>1808</v>
      </c>
      <c r="M420" s="1633">
        <v>-12320551.17</v>
      </c>
      <c r="N420">
        <v>3950.35</v>
      </c>
      <c r="O420">
        <v>50</v>
      </c>
      <c r="P420" s="1633">
        <v>-48670489314</v>
      </c>
      <c r="Q420" t="s">
        <v>106</v>
      </c>
      <c r="R420" s="2392">
        <v>44705</v>
      </c>
      <c r="S420" s="2393">
        <f t="shared" si="29"/>
        <v>3950.35</v>
      </c>
      <c r="T420" s="2394">
        <f>IF(OR(J420="COP",J420="EURO",J420="GBP"),0,IF(J420="USD",VLOOKUP(R420,'TRM BanRep'!$A:$G,7,0)))</f>
        <v>3950.35</v>
      </c>
      <c r="U420" s="2395">
        <f t="shared" si="30"/>
        <v>0</v>
      </c>
      <c r="V420" s="2395" t="str">
        <f t="shared" si="31"/>
        <v/>
      </c>
    </row>
    <row r="421" spans="3:22" hidden="1">
      <c r="C421">
        <v>2022</v>
      </c>
      <c r="D421" t="s">
        <v>1797</v>
      </c>
      <c r="F421">
        <v>1202049905</v>
      </c>
      <c r="G421" t="s">
        <v>1557</v>
      </c>
      <c r="H421" t="s">
        <v>1821</v>
      </c>
      <c r="I421" t="s">
        <v>1854</v>
      </c>
      <c r="J421" t="s">
        <v>64</v>
      </c>
      <c r="K421">
        <v>7900005904</v>
      </c>
      <c r="L421" t="s">
        <v>1821</v>
      </c>
      <c r="M421" s="1633">
        <v>-24626417.25</v>
      </c>
      <c r="N421">
        <v>3959.05</v>
      </c>
      <c r="O421">
        <v>50</v>
      </c>
      <c r="P421" s="1633">
        <v>-97497217214</v>
      </c>
      <c r="Q421" t="s">
        <v>106</v>
      </c>
      <c r="R421" s="2392">
        <v>44707</v>
      </c>
      <c r="S421" s="2393">
        <f t="shared" si="29"/>
        <v>3959.05</v>
      </c>
      <c r="T421" s="2394">
        <f>IF(OR(J421="COP",J421="EURO",J421="GBP"),0,IF(J421="USD",VLOOKUP(R421,'TRM BanRep'!$A:$G,7,0)))</f>
        <v>3959.05</v>
      </c>
      <c r="U421" s="2395">
        <f t="shared" si="30"/>
        <v>0</v>
      </c>
      <c r="V421" s="2395" t="str">
        <f t="shared" si="31"/>
        <v/>
      </c>
    </row>
    <row r="422" spans="3:22" hidden="1">
      <c r="C422">
        <v>2022</v>
      </c>
      <c r="D422" t="s">
        <v>1797</v>
      </c>
      <c r="F422">
        <v>1202049905</v>
      </c>
      <c r="G422" t="s">
        <v>1557</v>
      </c>
      <c r="H422" t="s">
        <v>1798</v>
      </c>
      <c r="I422" t="s">
        <v>1855</v>
      </c>
      <c r="J422" t="s">
        <v>64</v>
      </c>
      <c r="K422">
        <v>7900005925</v>
      </c>
      <c r="L422" t="s">
        <v>1798</v>
      </c>
      <c r="M422" s="1633">
        <v>6513</v>
      </c>
      <c r="N422">
        <v>3844.5963499999998</v>
      </c>
      <c r="O422">
        <v>40</v>
      </c>
      <c r="P422" s="1633">
        <v>25039856</v>
      </c>
      <c r="Q422" t="s">
        <v>106</v>
      </c>
      <c r="R422" s="2392">
        <v>44684</v>
      </c>
      <c r="S422" s="2393">
        <f t="shared" si="29"/>
        <v>3844.6</v>
      </c>
      <c r="T422" s="2394">
        <f>IF(OR(J422="COP",J422="EURO",J422="GBP"),0,IF(J422="USD",VLOOKUP(R422,'TRM BanRep'!$A:$G,7,0)))</f>
        <v>4004.07</v>
      </c>
      <c r="U422" s="2395">
        <f t="shared" si="30"/>
        <v>1038628.1100000016</v>
      </c>
      <c r="V422" s="2396" t="str">
        <f t="shared" si="31"/>
        <v>2-GASTO</v>
      </c>
    </row>
    <row r="423" spans="3:22" hidden="1">
      <c r="C423">
        <v>2022</v>
      </c>
      <c r="D423" t="s">
        <v>1797</v>
      </c>
      <c r="F423">
        <v>1202049905</v>
      </c>
      <c r="G423" t="s">
        <v>1557</v>
      </c>
      <c r="H423" t="s">
        <v>1835</v>
      </c>
      <c r="I423" t="s">
        <v>1856</v>
      </c>
      <c r="J423" t="s">
        <v>64</v>
      </c>
      <c r="K423">
        <v>7900005933</v>
      </c>
      <c r="L423" t="s">
        <v>1835</v>
      </c>
      <c r="M423" s="1633">
        <v>446.24</v>
      </c>
      <c r="N423">
        <v>3888.8826600000002</v>
      </c>
      <c r="O423">
        <v>40</v>
      </c>
      <c r="P423" s="1633">
        <v>1735375</v>
      </c>
      <c r="Q423" t="s">
        <v>106</v>
      </c>
      <c r="R423" s="2392">
        <v>44685</v>
      </c>
      <c r="S423" s="2393">
        <f t="shared" si="29"/>
        <v>3888.88</v>
      </c>
      <c r="T423" s="2394">
        <f>IF(OR(J423="COP",J423="EURO",J423="GBP"),0,IF(J423="USD",VLOOKUP(R423,'TRM BanRep'!$A:$G,7,0)))</f>
        <v>4016.34</v>
      </c>
      <c r="U423" s="2395">
        <f t="shared" si="30"/>
        <v>56877.750400000019</v>
      </c>
      <c r="V423" s="2396" t="str">
        <f t="shared" si="31"/>
        <v>2-GASTO</v>
      </c>
    </row>
    <row r="424" spans="3:22" hidden="1">
      <c r="C424">
        <v>2022</v>
      </c>
      <c r="D424" t="s">
        <v>1797</v>
      </c>
      <c r="F424">
        <v>1202049905</v>
      </c>
      <c r="G424" t="s">
        <v>1557</v>
      </c>
      <c r="H424" t="s">
        <v>1808</v>
      </c>
      <c r="I424" t="s">
        <v>1857</v>
      </c>
      <c r="J424" t="s">
        <v>64</v>
      </c>
      <c r="K424">
        <v>7900005944</v>
      </c>
      <c r="L424" t="s">
        <v>1808</v>
      </c>
      <c r="M424" s="1633">
        <v>-327044.03000000003</v>
      </c>
      <c r="N424">
        <v>3974.9999400000002</v>
      </c>
      <c r="O424">
        <v>50</v>
      </c>
      <c r="P424" s="1633">
        <v>-1300000000</v>
      </c>
      <c r="Q424" t="s">
        <v>106</v>
      </c>
      <c r="R424" s="2392">
        <v>44705</v>
      </c>
      <c r="S424" s="2393">
        <f t="shared" si="29"/>
        <v>3975</v>
      </c>
      <c r="T424" s="2394">
        <f>IF(OR(J424="COP",J424="EURO",J424="GBP"),0,IF(J424="USD",VLOOKUP(R424,'TRM BanRep'!$A:$G,7,0)))</f>
        <v>3950.35</v>
      </c>
      <c r="U424" s="2395">
        <f t="shared" si="30"/>
        <v>8061635.3395000305</v>
      </c>
      <c r="V424" s="2396" t="str">
        <f t="shared" si="31"/>
        <v>2-GASTO</v>
      </c>
    </row>
    <row r="425" spans="3:22" hidden="1">
      <c r="C425">
        <v>2022</v>
      </c>
      <c r="D425" t="s">
        <v>1797</v>
      </c>
      <c r="F425">
        <v>1202049905</v>
      </c>
      <c r="G425" t="s">
        <v>1557</v>
      </c>
      <c r="H425" t="s">
        <v>1821</v>
      </c>
      <c r="I425" t="s">
        <v>1858</v>
      </c>
      <c r="J425" t="s">
        <v>64</v>
      </c>
      <c r="K425">
        <v>7900005953</v>
      </c>
      <c r="L425" t="s">
        <v>1821</v>
      </c>
      <c r="M425" s="1633">
        <v>600000</v>
      </c>
      <c r="N425">
        <v>3959.05</v>
      </c>
      <c r="O425">
        <v>40</v>
      </c>
      <c r="P425" s="1633">
        <v>2375430000</v>
      </c>
      <c r="Q425" t="s">
        <v>106</v>
      </c>
      <c r="R425" s="2392">
        <v>44707</v>
      </c>
      <c r="S425" s="2393">
        <f t="shared" si="29"/>
        <v>3959.05</v>
      </c>
      <c r="T425" s="2394">
        <f>IF(OR(J425="COP",J425="EURO",J425="GBP"),0,IF(J425="USD",VLOOKUP(R425,'TRM BanRep'!$A:$G,7,0)))</f>
        <v>3959.05</v>
      </c>
      <c r="U425" s="2395">
        <f t="shared" si="30"/>
        <v>0</v>
      </c>
      <c r="V425" s="2395" t="str">
        <f t="shared" si="31"/>
        <v/>
      </c>
    </row>
    <row r="426" spans="3:22" hidden="1">
      <c r="C426">
        <v>2022</v>
      </c>
      <c r="D426" t="s">
        <v>1797</v>
      </c>
      <c r="F426">
        <v>1202049905</v>
      </c>
      <c r="G426" t="s">
        <v>1557</v>
      </c>
      <c r="H426" t="s">
        <v>1821</v>
      </c>
      <c r="I426" t="s">
        <v>1859</v>
      </c>
      <c r="J426" t="s">
        <v>64</v>
      </c>
      <c r="K426">
        <v>7900005961</v>
      </c>
      <c r="L426" t="s">
        <v>1821</v>
      </c>
      <c r="M426" s="1633">
        <v>46848.05</v>
      </c>
      <c r="N426">
        <v>3959.04999</v>
      </c>
      <c r="O426">
        <v>40</v>
      </c>
      <c r="P426" s="1633">
        <v>185473772</v>
      </c>
      <c r="Q426" t="s">
        <v>106</v>
      </c>
      <c r="R426" s="2392">
        <v>44707</v>
      </c>
      <c r="S426" s="2393">
        <f t="shared" si="29"/>
        <v>3959.05</v>
      </c>
      <c r="T426" s="2394">
        <f>IF(OR(J426="COP",J426="EURO",J426="GBP"),0,IF(J426="USD",VLOOKUP(R426,'TRM BanRep'!$A:$G,7,0)))</f>
        <v>3959.05</v>
      </c>
      <c r="U426" s="2395">
        <f t="shared" si="30"/>
        <v>0</v>
      </c>
      <c r="V426" s="2395" t="str">
        <f t="shared" si="31"/>
        <v/>
      </c>
    </row>
    <row r="427" spans="3:22" hidden="1">
      <c r="C427">
        <v>2022</v>
      </c>
      <c r="D427" t="s">
        <v>1797</v>
      </c>
      <c r="F427">
        <v>1202049905</v>
      </c>
      <c r="G427" t="s">
        <v>1557</v>
      </c>
      <c r="H427" t="s">
        <v>1826</v>
      </c>
      <c r="I427" t="s">
        <v>1860</v>
      </c>
      <c r="J427" t="s">
        <v>64</v>
      </c>
      <c r="K427">
        <v>7900005968</v>
      </c>
      <c r="L427" t="s">
        <v>1826</v>
      </c>
      <c r="M427" s="1633">
        <v>-150000000</v>
      </c>
      <c r="N427">
        <v>3959.05</v>
      </c>
      <c r="O427">
        <v>50</v>
      </c>
      <c r="P427" s="1633">
        <v>-593857500000</v>
      </c>
      <c r="Q427" t="s">
        <v>106</v>
      </c>
      <c r="R427" s="2392">
        <v>44708</v>
      </c>
      <c r="S427" s="2393">
        <f t="shared" si="29"/>
        <v>3959.05</v>
      </c>
      <c r="T427" s="2394">
        <f>IF(OR(J427="COP",J427="EURO",J427="GBP"),0,IF(J427="USD",VLOOKUP(R427,'TRM BanRep'!$A:$G,7,0)))</f>
        <v>3930.89</v>
      </c>
      <c r="U427" s="2395">
        <f t="shared" si="30"/>
        <v>4224000000.0000463</v>
      </c>
      <c r="V427" s="2396" t="str">
        <f t="shared" si="31"/>
        <v>2-GASTO</v>
      </c>
    </row>
    <row r="428" spans="3:22" hidden="1">
      <c r="C428">
        <v>2022</v>
      </c>
      <c r="D428" t="s">
        <v>1797</v>
      </c>
      <c r="F428">
        <v>1202049905</v>
      </c>
      <c r="G428" t="s">
        <v>1557</v>
      </c>
      <c r="H428" t="s">
        <v>1828</v>
      </c>
      <c r="I428" t="s">
        <v>1861</v>
      </c>
      <c r="J428" t="s">
        <v>64</v>
      </c>
      <c r="K428">
        <v>7900005992</v>
      </c>
      <c r="L428" t="s">
        <v>1828</v>
      </c>
      <c r="M428" s="1633">
        <v>-33987059.740000002</v>
      </c>
      <c r="N428">
        <v>3972.1</v>
      </c>
      <c r="O428">
        <v>50</v>
      </c>
      <c r="P428" s="1633">
        <v>-134999999994</v>
      </c>
      <c r="Q428" t="s">
        <v>106</v>
      </c>
      <c r="R428" s="2392">
        <v>44706</v>
      </c>
      <c r="S428" s="2393">
        <f t="shared" si="29"/>
        <v>3972.1</v>
      </c>
      <c r="T428" s="2394">
        <f>IF(OR(J428="COP",J428="EURO",J428="GBP"),0,IF(J428="USD",VLOOKUP(R428,'TRM BanRep'!$A:$G,7,0)))</f>
        <v>3971.28</v>
      </c>
      <c r="U428" s="2395">
        <f t="shared" si="30"/>
        <v>27869388.986790109</v>
      </c>
      <c r="V428" s="2396" t="str">
        <f t="shared" si="31"/>
        <v>2-GASTO</v>
      </c>
    </row>
    <row r="429" spans="3:22" hidden="1">
      <c r="C429">
        <v>2022</v>
      </c>
      <c r="D429" t="s">
        <v>1797</v>
      </c>
      <c r="F429">
        <v>1202049905</v>
      </c>
      <c r="G429" t="s">
        <v>1557</v>
      </c>
      <c r="H429" t="s">
        <v>1826</v>
      </c>
      <c r="I429" t="s">
        <v>1862</v>
      </c>
      <c r="J429" t="s">
        <v>64</v>
      </c>
      <c r="K429">
        <v>7900006002</v>
      </c>
      <c r="L429" t="s">
        <v>1826</v>
      </c>
      <c r="M429" s="1633">
        <v>-40094.639999999999</v>
      </c>
      <c r="N429">
        <v>3950.3497200000002</v>
      </c>
      <c r="O429">
        <v>50</v>
      </c>
      <c r="P429" s="1633">
        <v>-158387850</v>
      </c>
      <c r="Q429" t="s">
        <v>106</v>
      </c>
      <c r="R429" s="2392">
        <v>44708</v>
      </c>
      <c r="S429" s="2393">
        <f t="shared" si="29"/>
        <v>3950.35</v>
      </c>
      <c r="T429" s="2394">
        <f>IF(OR(J429="COP",J429="EURO",J429="GBP"),0,IF(J429="USD",VLOOKUP(R429,'TRM BanRep'!$A:$G,7,0)))</f>
        <v>3930.89</v>
      </c>
      <c r="U429" s="2395">
        <f t="shared" si="30"/>
        <v>780241.69440000143</v>
      </c>
      <c r="V429" s="2396" t="str">
        <f t="shared" si="31"/>
        <v>2-GASTO</v>
      </c>
    </row>
    <row r="430" spans="3:22" hidden="1">
      <c r="C430">
        <v>2022</v>
      </c>
      <c r="D430" t="s">
        <v>1797</v>
      </c>
      <c r="F430">
        <v>1202049905</v>
      </c>
      <c r="G430" t="s">
        <v>1557</v>
      </c>
      <c r="H430" t="s">
        <v>1821</v>
      </c>
      <c r="I430" t="s">
        <v>1863</v>
      </c>
      <c r="J430" t="s">
        <v>64</v>
      </c>
      <c r="K430">
        <v>7900006010</v>
      </c>
      <c r="L430" t="s">
        <v>1821</v>
      </c>
      <c r="M430" s="1633">
        <v>-58016000</v>
      </c>
      <c r="N430">
        <v>3971.28</v>
      </c>
      <c r="O430">
        <v>50</v>
      </c>
      <c r="P430" s="1633">
        <v>-230397780480</v>
      </c>
      <c r="Q430" t="s">
        <v>106</v>
      </c>
      <c r="R430" s="2392">
        <v>44707</v>
      </c>
      <c r="S430" s="2393">
        <f t="shared" si="29"/>
        <v>3971.28</v>
      </c>
      <c r="T430" s="2394">
        <f>IF(OR(J430="COP",J430="EURO",J430="GBP"),0,IF(J430="USD",VLOOKUP(R430,'TRM BanRep'!$A:$G,7,0)))</f>
        <v>3959.05</v>
      </c>
      <c r="U430" s="2395">
        <f t="shared" si="30"/>
        <v>709535680.00000107</v>
      </c>
      <c r="V430" s="2396" t="str">
        <f t="shared" si="31"/>
        <v>2-GASTO</v>
      </c>
    </row>
    <row r="431" spans="3:22" hidden="1">
      <c r="C431">
        <v>2022</v>
      </c>
      <c r="D431" t="s">
        <v>1797</v>
      </c>
      <c r="F431">
        <v>1202049905</v>
      </c>
      <c r="G431" t="s">
        <v>1557</v>
      </c>
      <c r="H431" t="s">
        <v>1817</v>
      </c>
      <c r="I431" t="s">
        <v>1864</v>
      </c>
      <c r="J431" t="s">
        <v>64</v>
      </c>
      <c r="K431">
        <v>7900006832</v>
      </c>
      <c r="L431" t="s">
        <v>1817</v>
      </c>
      <c r="M431" s="1633">
        <v>371000068</v>
      </c>
      <c r="N431">
        <v>3858.18</v>
      </c>
      <c r="O431">
        <v>40</v>
      </c>
      <c r="P431" s="1633">
        <v>1431385042316</v>
      </c>
      <c r="Q431" t="s">
        <v>106</v>
      </c>
      <c r="R431" s="2392">
        <v>44712</v>
      </c>
      <c r="S431" s="2393">
        <f t="shared" si="29"/>
        <v>3858.18</v>
      </c>
      <c r="T431" s="2394">
        <f>IF(OR(J431="COP",J431="EURO",J431="GBP"),0,IF(J431="USD",VLOOKUP(R431,'TRM BanRep'!$A:$G,7,0)))</f>
        <v>3912.34</v>
      </c>
      <c r="U431" s="2399">
        <f t="shared" si="30"/>
        <v>20093363682.880116</v>
      </c>
      <c r="V431" s="2396" t="str">
        <f t="shared" si="31"/>
        <v>2-GASTO</v>
      </c>
    </row>
    <row r="432" spans="3:22" hidden="1">
      <c r="C432">
        <v>2022</v>
      </c>
      <c r="D432" t="s">
        <v>1797</v>
      </c>
      <c r="F432">
        <v>1202049905</v>
      </c>
      <c r="G432" t="s">
        <v>1557</v>
      </c>
      <c r="H432" t="s">
        <v>1821</v>
      </c>
      <c r="I432" t="s">
        <v>1863</v>
      </c>
      <c r="J432" t="s">
        <v>64</v>
      </c>
      <c r="K432">
        <v>7900006920</v>
      </c>
      <c r="L432" t="s">
        <v>1821</v>
      </c>
      <c r="M432" s="1633">
        <v>58016000</v>
      </c>
      <c r="N432">
        <v>3971.28</v>
      </c>
      <c r="O432">
        <v>40</v>
      </c>
      <c r="P432" s="1633">
        <v>230397780480</v>
      </c>
      <c r="Q432" t="s">
        <v>106</v>
      </c>
      <c r="R432" s="2392">
        <v>44707</v>
      </c>
      <c r="S432" s="2393">
        <f t="shared" si="29"/>
        <v>3971.28</v>
      </c>
      <c r="T432" s="2394">
        <f>IF(OR(J432="COP",J432="EURO",J432="GBP"),0,IF(J432="USD",VLOOKUP(R432,'TRM BanRep'!$A:$G,7,0)))</f>
        <v>3959.05</v>
      </c>
      <c r="U432" s="2395">
        <f t="shared" si="30"/>
        <v>-709535680.00000107</v>
      </c>
      <c r="V432" s="2397" t="str">
        <f t="shared" si="31"/>
        <v>1-INGRESO</v>
      </c>
    </row>
    <row r="433" spans="3:24" hidden="1">
      <c r="C433">
        <v>2022</v>
      </c>
      <c r="D433" t="s">
        <v>1797</v>
      </c>
      <c r="F433">
        <v>1202049905</v>
      </c>
      <c r="G433" t="s">
        <v>1557</v>
      </c>
      <c r="H433" t="s">
        <v>1821</v>
      </c>
      <c r="I433" t="s">
        <v>1865</v>
      </c>
      <c r="J433" t="s">
        <v>64</v>
      </c>
      <c r="K433">
        <v>7900006986</v>
      </c>
      <c r="L433" t="s">
        <v>1821</v>
      </c>
      <c r="M433" s="1633">
        <v>-58016000</v>
      </c>
      <c r="N433">
        <v>3971.28</v>
      </c>
      <c r="O433">
        <v>50</v>
      </c>
      <c r="P433" s="1633">
        <v>-230397780480</v>
      </c>
      <c r="Q433" t="s">
        <v>106</v>
      </c>
      <c r="R433" s="2392">
        <v>44707</v>
      </c>
      <c r="S433" s="2393">
        <f t="shared" si="29"/>
        <v>3971.28</v>
      </c>
      <c r="T433" s="2394">
        <f>IF(OR(J433="COP",J433="EURO",J433="GBP"),0,IF(J433="USD",VLOOKUP(R433,'TRM BanRep'!$A:$G,7,0)))</f>
        <v>3959.05</v>
      </c>
      <c r="U433" s="2395">
        <f t="shared" si="30"/>
        <v>709535680.00000107</v>
      </c>
      <c r="V433" s="2396" t="str">
        <f t="shared" si="31"/>
        <v>2-GASTO</v>
      </c>
      <c r="X433">
        <v>5803451110</v>
      </c>
    </row>
    <row r="434" spans="3:24" hidden="1">
      <c r="C434">
        <v>2022</v>
      </c>
      <c r="D434" t="s">
        <v>1797</v>
      </c>
      <c r="F434">
        <v>2422999997</v>
      </c>
      <c r="G434" t="s">
        <v>1602</v>
      </c>
      <c r="H434" t="s">
        <v>1798</v>
      </c>
      <c r="I434" t="s">
        <v>1866</v>
      </c>
      <c r="J434" t="s">
        <v>106</v>
      </c>
      <c r="K434">
        <v>7900005436</v>
      </c>
      <c r="L434" t="s">
        <v>1798</v>
      </c>
      <c r="M434" s="1633">
        <v>-2693381971</v>
      </c>
      <c r="N434">
        <v>1</v>
      </c>
      <c r="O434">
        <v>50</v>
      </c>
      <c r="P434" s="1633">
        <v>-2693381971</v>
      </c>
      <c r="Q434" t="s">
        <v>106</v>
      </c>
      <c r="R434" s="2392">
        <v>44684</v>
      </c>
      <c r="S434" s="2393">
        <f t="shared" si="29"/>
        <v>1</v>
      </c>
      <c r="T434" s="2394">
        <f>IF(OR(J434="COP",J434="EURO",J434="GBP"),0,IF(J434="USD",VLOOKUP(R434,'TRM BanRep'!$A:$G,7,0)))</f>
        <v>0</v>
      </c>
      <c r="U434" s="2395">
        <f t="shared" si="30"/>
        <v>0</v>
      </c>
      <c r="V434" s="2395" t="str">
        <f t="shared" si="31"/>
        <v/>
      </c>
    </row>
    <row r="435" spans="3:24" hidden="1">
      <c r="C435">
        <v>2022</v>
      </c>
      <c r="D435" t="s">
        <v>1797</v>
      </c>
      <c r="F435">
        <v>2422999997</v>
      </c>
      <c r="G435" t="s">
        <v>1602</v>
      </c>
      <c r="H435" t="s">
        <v>1800</v>
      </c>
      <c r="I435" t="s">
        <v>1867</v>
      </c>
      <c r="J435" t="s">
        <v>106</v>
      </c>
      <c r="K435">
        <v>7900005483</v>
      </c>
      <c r="L435" t="s">
        <v>1800</v>
      </c>
      <c r="M435" s="1633">
        <v>-91936150002</v>
      </c>
      <c r="N435">
        <v>1</v>
      </c>
      <c r="O435">
        <v>50</v>
      </c>
      <c r="P435" s="1633">
        <v>-91936150002</v>
      </c>
      <c r="Q435" t="s">
        <v>106</v>
      </c>
      <c r="R435" s="2392">
        <v>44690</v>
      </c>
      <c r="S435" s="2393">
        <f t="shared" si="29"/>
        <v>1</v>
      </c>
      <c r="T435" s="2394">
        <f>IF(OR(J435="COP",J435="EURO",J435="GBP"),0,IF(J435="USD",VLOOKUP(R435,'TRM BanRep'!$A:$G,7,0)))</f>
        <v>0</v>
      </c>
      <c r="U435" s="2395">
        <f t="shared" si="30"/>
        <v>0</v>
      </c>
      <c r="V435" s="2395" t="str">
        <f t="shared" si="31"/>
        <v/>
      </c>
    </row>
    <row r="436" spans="3:24" hidden="1">
      <c r="C436">
        <v>2022</v>
      </c>
      <c r="D436" t="s">
        <v>1797</v>
      </c>
      <c r="F436">
        <v>2422999997</v>
      </c>
      <c r="G436" t="s">
        <v>1602</v>
      </c>
      <c r="H436" t="s">
        <v>1805</v>
      </c>
      <c r="I436" t="s">
        <v>1868</v>
      </c>
      <c r="J436" t="s">
        <v>106</v>
      </c>
      <c r="K436">
        <v>7900005586</v>
      </c>
      <c r="L436" t="s">
        <v>1805</v>
      </c>
      <c r="M436" s="1633">
        <v>-265000000000</v>
      </c>
      <c r="N436">
        <v>1</v>
      </c>
      <c r="O436">
        <v>50</v>
      </c>
      <c r="P436" s="1633">
        <v>-265000000000</v>
      </c>
      <c r="Q436" t="s">
        <v>106</v>
      </c>
      <c r="R436" s="2392">
        <v>44701</v>
      </c>
      <c r="S436" s="2393">
        <f t="shared" si="29"/>
        <v>1</v>
      </c>
      <c r="T436" s="2394">
        <f>IF(OR(J436="COP",J436="EURO",J436="GBP"),0,IF(J436="USD",VLOOKUP(R436,'TRM BanRep'!$A:$G,7,0)))</f>
        <v>0</v>
      </c>
      <c r="U436" s="2395">
        <f t="shared" si="30"/>
        <v>0</v>
      </c>
      <c r="V436" s="2395" t="str">
        <f t="shared" si="31"/>
        <v/>
      </c>
    </row>
    <row r="437" spans="3:24" hidden="1">
      <c r="C437">
        <v>2022</v>
      </c>
      <c r="D437" t="s">
        <v>1797</v>
      </c>
      <c r="F437">
        <v>2422999997</v>
      </c>
      <c r="G437" t="s">
        <v>1602</v>
      </c>
      <c r="H437" t="s">
        <v>1808</v>
      </c>
      <c r="I437" t="s">
        <v>1869</v>
      </c>
      <c r="J437" t="s">
        <v>106</v>
      </c>
      <c r="K437">
        <v>7900005649</v>
      </c>
      <c r="L437" t="s">
        <v>1808</v>
      </c>
      <c r="M437" s="1633">
        <v>-200000000000</v>
      </c>
      <c r="N437">
        <v>1</v>
      </c>
      <c r="O437">
        <v>50</v>
      </c>
      <c r="P437" s="1633">
        <v>-200000000000</v>
      </c>
      <c r="Q437" t="s">
        <v>106</v>
      </c>
      <c r="R437" s="2392">
        <v>44705</v>
      </c>
      <c r="S437" s="2393">
        <f t="shared" si="29"/>
        <v>1</v>
      </c>
      <c r="T437" s="2394">
        <f>IF(OR(J437="COP",J437="EURO",J437="GBP"),0,IF(J437="USD",VLOOKUP(R437,'TRM BanRep'!$A:$G,7,0)))</f>
        <v>0</v>
      </c>
      <c r="U437" s="2395">
        <f t="shared" si="30"/>
        <v>0</v>
      </c>
      <c r="V437" s="2395" t="str">
        <f t="shared" si="31"/>
        <v/>
      </c>
    </row>
    <row r="438" spans="3:24" hidden="1">
      <c r="C438">
        <v>2022</v>
      </c>
      <c r="D438" t="s">
        <v>1797</v>
      </c>
      <c r="F438">
        <v>2422999997</v>
      </c>
      <c r="G438" t="s">
        <v>1602</v>
      </c>
      <c r="H438" t="s">
        <v>1808</v>
      </c>
      <c r="I438" t="s">
        <v>1870</v>
      </c>
      <c r="J438" t="s">
        <v>106</v>
      </c>
      <c r="K438">
        <v>7900005676</v>
      </c>
      <c r="L438" t="s">
        <v>1808</v>
      </c>
      <c r="M438" s="1633">
        <v>-162270859254</v>
      </c>
      <c r="N438">
        <v>1</v>
      </c>
      <c r="O438">
        <v>50</v>
      </c>
      <c r="P438" s="1633">
        <v>-162270859254</v>
      </c>
      <c r="Q438" t="s">
        <v>106</v>
      </c>
      <c r="R438" s="2392">
        <v>44705</v>
      </c>
      <c r="S438" s="2393">
        <f t="shared" ref="S438:S498" si="32">+ROUND(P438/M438,2)</f>
        <v>1</v>
      </c>
      <c r="T438" s="2394">
        <f>IF(OR(J438="COP",J438="EURO",J438="GBP"),0,IF(J438="USD",VLOOKUP(R438,'TRM BanRep'!$A:$G,7,0)))</f>
        <v>0</v>
      </c>
      <c r="U438" s="2395">
        <f t="shared" ref="U438:U498" si="33">IF(F438=2422999997,-IF(T438=0,0,(T438-S438)*M438),IF(T438=0,0,(T438-S438)*M438))</f>
        <v>0</v>
      </c>
      <c r="V438" s="2395" t="str">
        <f t="shared" si="31"/>
        <v/>
      </c>
    </row>
    <row r="439" spans="3:24" hidden="1">
      <c r="C439">
        <v>2022</v>
      </c>
      <c r="D439" t="s">
        <v>1797</v>
      </c>
      <c r="F439">
        <v>2422999997</v>
      </c>
      <c r="G439" t="s">
        <v>1602</v>
      </c>
      <c r="H439" t="s">
        <v>1808</v>
      </c>
      <c r="I439" t="s">
        <v>1871</v>
      </c>
      <c r="J439" t="s">
        <v>106</v>
      </c>
      <c r="K439">
        <v>7900005695</v>
      </c>
      <c r="L439" t="s">
        <v>1808</v>
      </c>
      <c r="M439" s="1633">
        <v>-63200000017</v>
      </c>
      <c r="N439">
        <v>1</v>
      </c>
      <c r="O439">
        <v>50</v>
      </c>
      <c r="P439" s="1633">
        <v>-63200000017</v>
      </c>
      <c r="Q439" t="s">
        <v>106</v>
      </c>
      <c r="R439" s="2392">
        <v>44705</v>
      </c>
      <c r="S439" s="2393">
        <f t="shared" si="32"/>
        <v>1</v>
      </c>
      <c r="T439" s="2394">
        <f>IF(OR(J439="COP",J439="EURO",J439="GBP"),0,IF(J439="USD",VLOOKUP(R439,'TRM BanRep'!$A:$G,7,0)))</f>
        <v>0</v>
      </c>
      <c r="U439" s="2395">
        <f t="shared" si="33"/>
        <v>0</v>
      </c>
      <c r="V439" s="2395" t="str">
        <f t="shared" si="31"/>
        <v/>
      </c>
    </row>
    <row r="440" spans="3:24" hidden="1">
      <c r="C440">
        <v>2022</v>
      </c>
      <c r="D440" t="s">
        <v>1797</v>
      </c>
      <c r="F440">
        <v>2422999997</v>
      </c>
      <c r="G440" t="s">
        <v>1602</v>
      </c>
      <c r="H440" t="s">
        <v>1808</v>
      </c>
      <c r="I440" t="s">
        <v>1872</v>
      </c>
      <c r="J440" t="s">
        <v>106</v>
      </c>
      <c r="K440">
        <v>7900005714</v>
      </c>
      <c r="L440" t="s">
        <v>1808</v>
      </c>
      <c r="M440" s="1633">
        <v>-56795250000</v>
      </c>
      <c r="N440">
        <v>1</v>
      </c>
      <c r="O440">
        <v>50</v>
      </c>
      <c r="P440" s="1633">
        <v>-56795250000</v>
      </c>
      <c r="Q440" t="s">
        <v>106</v>
      </c>
      <c r="R440" s="2392">
        <v>44705</v>
      </c>
      <c r="S440" s="2393">
        <f t="shared" si="32"/>
        <v>1</v>
      </c>
      <c r="T440" s="2394">
        <f>IF(OR(J440="COP",J440="EURO",J440="GBP"),0,IF(J440="USD",VLOOKUP(R440,'TRM BanRep'!$A:$G,7,0)))</f>
        <v>0</v>
      </c>
      <c r="U440" s="2395">
        <f t="shared" si="33"/>
        <v>0</v>
      </c>
      <c r="V440" s="2395" t="str">
        <f t="shared" si="31"/>
        <v/>
      </c>
    </row>
    <row r="441" spans="3:24" hidden="1">
      <c r="C441">
        <v>2022</v>
      </c>
      <c r="D441" t="s">
        <v>1797</v>
      </c>
      <c r="F441">
        <v>2422999997</v>
      </c>
      <c r="G441" t="s">
        <v>1602</v>
      </c>
      <c r="H441" t="s">
        <v>1805</v>
      </c>
      <c r="I441" t="s">
        <v>1873</v>
      </c>
      <c r="J441" t="s">
        <v>106</v>
      </c>
      <c r="K441">
        <v>7900005733</v>
      </c>
      <c r="L441" t="s">
        <v>1805</v>
      </c>
      <c r="M441" s="1633">
        <v>-1798590536</v>
      </c>
      <c r="N441">
        <v>1</v>
      </c>
      <c r="O441">
        <v>50</v>
      </c>
      <c r="P441" s="1633">
        <v>-1798590536</v>
      </c>
      <c r="Q441" t="s">
        <v>106</v>
      </c>
      <c r="R441" s="2392">
        <v>44701</v>
      </c>
      <c r="S441" s="2393">
        <f t="shared" si="32"/>
        <v>1</v>
      </c>
      <c r="T441" s="2394">
        <f>IF(OR(J441="COP",J441="EURO",J441="GBP"),0,IF(J441="USD",VLOOKUP(R441,'TRM BanRep'!$A:$G,7,0)))</f>
        <v>0</v>
      </c>
      <c r="U441" s="2395">
        <f t="shared" si="33"/>
        <v>0</v>
      </c>
      <c r="V441" s="2395" t="str">
        <f t="shared" si="31"/>
        <v/>
      </c>
    </row>
    <row r="442" spans="3:24" hidden="1">
      <c r="C442">
        <v>2022</v>
      </c>
      <c r="D442" t="s">
        <v>1797</v>
      </c>
      <c r="F442">
        <v>2422999997</v>
      </c>
      <c r="G442" t="s">
        <v>1602</v>
      </c>
      <c r="H442" t="s">
        <v>1808</v>
      </c>
      <c r="I442" t="s">
        <v>1874</v>
      </c>
      <c r="J442" t="s">
        <v>106</v>
      </c>
      <c r="K442">
        <v>7900005848</v>
      </c>
      <c r="L442" t="s">
        <v>1808</v>
      </c>
      <c r="M442" s="1633">
        <v>-100000000000</v>
      </c>
      <c r="N442">
        <v>1</v>
      </c>
      <c r="O442">
        <v>50</v>
      </c>
      <c r="P442" s="1633">
        <v>-100000000000</v>
      </c>
      <c r="Q442" t="s">
        <v>106</v>
      </c>
      <c r="R442" s="2392">
        <v>44705</v>
      </c>
      <c r="S442" s="2393">
        <f t="shared" si="32"/>
        <v>1</v>
      </c>
      <c r="T442" s="2394">
        <f>IF(OR(J442="COP",J442="EURO",J442="GBP"),0,IF(J442="USD",VLOOKUP(R442,'TRM BanRep'!$A:$G,7,0)))</f>
        <v>0</v>
      </c>
      <c r="U442" s="2395">
        <f t="shared" si="33"/>
        <v>0</v>
      </c>
      <c r="V442" s="2395" t="str">
        <f t="shared" si="31"/>
        <v/>
      </c>
    </row>
    <row r="443" spans="3:24" hidden="1">
      <c r="C443">
        <v>2022</v>
      </c>
      <c r="D443" t="s">
        <v>1797</v>
      </c>
      <c r="F443">
        <v>2422999997</v>
      </c>
      <c r="G443" t="s">
        <v>1602</v>
      </c>
      <c r="H443" t="s">
        <v>1808</v>
      </c>
      <c r="I443" t="s">
        <v>1875</v>
      </c>
      <c r="J443" t="s">
        <v>106</v>
      </c>
      <c r="K443">
        <v>7900005875</v>
      </c>
      <c r="L443" t="s">
        <v>1808</v>
      </c>
      <c r="M443" s="1633">
        <v>-50000000000</v>
      </c>
      <c r="N443">
        <v>1</v>
      </c>
      <c r="O443">
        <v>50</v>
      </c>
      <c r="P443" s="1633">
        <v>-50000000000</v>
      </c>
      <c r="Q443" t="s">
        <v>106</v>
      </c>
      <c r="R443" s="2392">
        <v>44705</v>
      </c>
      <c r="S443" s="2393">
        <f t="shared" si="32"/>
        <v>1</v>
      </c>
      <c r="T443" s="2394">
        <f>IF(OR(J443="COP",J443="EURO",J443="GBP"),0,IF(J443="USD",VLOOKUP(R443,'TRM BanRep'!$A:$G,7,0)))</f>
        <v>0</v>
      </c>
      <c r="U443" s="2395">
        <f t="shared" si="33"/>
        <v>0</v>
      </c>
      <c r="V443" s="2395" t="str">
        <f t="shared" si="31"/>
        <v/>
      </c>
    </row>
    <row r="444" spans="3:24" hidden="1">
      <c r="C444">
        <v>2022</v>
      </c>
      <c r="D444" t="s">
        <v>1797</v>
      </c>
      <c r="F444">
        <v>2422999997</v>
      </c>
      <c r="G444" t="s">
        <v>1602</v>
      </c>
      <c r="H444" t="s">
        <v>1821</v>
      </c>
      <c r="I444" t="s">
        <v>1876</v>
      </c>
      <c r="J444" t="s">
        <v>106</v>
      </c>
      <c r="K444">
        <v>7900005894</v>
      </c>
      <c r="L444" t="s">
        <v>1821</v>
      </c>
      <c r="M444" s="1633">
        <v>-100000000000</v>
      </c>
      <c r="N444">
        <v>1</v>
      </c>
      <c r="O444">
        <v>50</v>
      </c>
      <c r="P444" s="1633">
        <v>-100000000000</v>
      </c>
      <c r="Q444" t="s">
        <v>106</v>
      </c>
      <c r="R444" s="2392">
        <v>44707</v>
      </c>
      <c r="S444" s="2393">
        <f t="shared" si="32"/>
        <v>1</v>
      </c>
      <c r="T444" s="2394">
        <f>IF(OR(J444="COP",J444="EURO",J444="GBP"),0,IF(J444="USD",VLOOKUP(R444,'TRM BanRep'!$A:$G,7,0)))</f>
        <v>0</v>
      </c>
      <c r="U444" s="2395">
        <f t="shared" si="33"/>
        <v>0</v>
      </c>
      <c r="V444" s="2395" t="str">
        <f t="shared" si="31"/>
        <v/>
      </c>
    </row>
    <row r="445" spans="3:24" hidden="1">
      <c r="C445">
        <v>2022</v>
      </c>
      <c r="D445" t="s">
        <v>1797</v>
      </c>
      <c r="F445">
        <v>2422999997</v>
      </c>
      <c r="G445" t="s">
        <v>1602</v>
      </c>
      <c r="H445" t="s">
        <v>1808</v>
      </c>
      <c r="I445" t="s">
        <v>1875</v>
      </c>
      <c r="J445" t="s">
        <v>106</v>
      </c>
      <c r="K445">
        <v>7900006859</v>
      </c>
      <c r="L445" t="s">
        <v>1808</v>
      </c>
      <c r="M445" s="1633">
        <v>50000000000</v>
      </c>
      <c r="N445">
        <v>1</v>
      </c>
      <c r="O445">
        <v>40</v>
      </c>
      <c r="P445" s="1633">
        <v>50000000000</v>
      </c>
      <c r="Q445" t="s">
        <v>106</v>
      </c>
      <c r="R445" s="2392">
        <v>44705</v>
      </c>
      <c r="S445" s="2393">
        <f t="shared" si="32"/>
        <v>1</v>
      </c>
      <c r="T445" s="2394">
        <f>IF(OR(J445="COP",J445="EURO",J445="GBP"),0,IF(J445="USD",VLOOKUP(R445,'TRM BanRep'!$A:$G,7,0)))</f>
        <v>0</v>
      </c>
      <c r="U445" s="2395">
        <f t="shared" si="33"/>
        <v>0</v>
      </c>
      <c r="V445" s="2395" t="str">
        <f t="shared" si="31"/>
        <v/>
      </c>
    </row>
    <row r="446" spans="3:24" hidden="1">
      <c r="C446">
        <v>2022</v>
      </c>
      <c r="D446" t="s">
        <v>1797</v>
      </c>
      <c r="F446">
        <v>2422999997</v>
      </c>
      <c r="G446" t="s">
        <v>1602</v>
      </c>
      <c r="H446" t="s">
        <v>1808</v>
      </c>
      <c r="I446" t="s">
        <v>1875</v>
      </c>
      <c r="J446" t="s">
        <v>106</v>
      </c>
      <c r="K446">
        <v>7900006910</v>
      </c>
      <c r="L446" t="s">
        <v>1808</v>
      </c>
      <c r="M446" s="1633">
        <v>-49999999991</v>
      </c>
      <c r="N446">
        <v>1</v>
      </c>
      <c r="O446">
        <v>50</v>
      </c>
      <c r="P446" s="1633">
        <v>-49999999991</v>
      </c>
      <c r="Q446" t="s">
        <v>106</v>
      </c>
      <c r="R446" s="2392">
        <v>44705</v>
      </c>
      <c r="S446" s="2393">
        <f t="shared" si="32"/>
        <v>1</v>
      </c>
      <c r="T446" s="2394">
        <f>IF(OR(J446="COP",J446="EURO",J446="GBP"),0,IF(J446="USD",VLOOKUP(R446,'TRM BanRep'!$A:$G,7,0)))</f>
        <v>0</v>
      </c>
      <c r="U446" s="2395">
        <f t="shared" si="33"/>
        <v>0</v>
      </c>
      <c r="V446" s="2395" t="str">
        <f t="shared" si="31"/>
        <v/>
      </c>
    </row>
    <row r="447" spans="3:24" hidden="1">
      <c r="C447">
        <v>2022</v>
      </c>
      <c r="D447" t="s">
        <v>1797</v>
      </c>
      <c r="F447">
        <v>2422999997</v>
      </c>
      <c r="G447" t="s">
        <v>1606</v>
      </c>
      <c r="H447" t="s">
        <v>1877</v>
      </c>
      <c r="I447" t="s">
        <v>1878</v>
      </c>
      <c r="J447" t="s">
        <v>106</v>
      </c>
      <c r="K447">
        <v>7900005404</v>
      </c>
      <c r="L447" t="s">
        <v>1877</v>
      </c>
      <c r="M447" s="1633">
        <v>-16800000000</v>
      </c>
      <c r="N447">
        <v>1</v>
      </c>
      <c r="O447">
        <v>50</v>
      </c>
      <c r="P447" s="1633">
        <v>-16800000000</v>
      </c>
      <c r="Q447" t="s">
        <v>106</v>
      </c>
      <c r="R447" s="2392">
        <v>44697</v>
      </c>
      <c r="S447" s="2393">
        <f t="shared" si="32"/>
        <v>1</v>
      </c>
      <c r="T447" s="2394">
        <f>IF(OR(J447="COP",J447="EURO",J447="GBP"),0,IF(J447="USD",VLOOKUP(R447,'TRM BanRep'!$A:$G,7,0)))</f>
        <v>0</v>
      </c>
      <c r="U447" s="2395">
        <f t="shared" si="33"/>
        <v>0</v>
      </c>
      <c r="V447" s="2395" t="str">
        <f t="shared" si="31"/>
        <v/>
      </c>
    </row>
    <row r="448" spans="3:24" hidden="1">
      <c r="C448">
        <v>2022</v>
      </c>
      <c r="D448" t="s">
        <v>1797</v>
      </c>
      <c r="F448">
        <v>2422999997</v>
      </c>
      <c r="G448" t="s">
        <v>1557</v>
      </c>
      <c r="H448" t="s">
        <v>1802</v>
      </c>
      <c r="I448" t="s">
        <v>1803</v>
      </c>
      <c r="J448" t="s">
        <v>106</v>
      </c>
      <c r="K448">
        <v>7900005506</v>
      </c>
      <c r="L448" t="s">
        <v>1802</v>
      </c>
      <c r="M448" s="1633">
        <v>-18189900000</v>
      </c>
      <c r="N448">
        <v>1</v>
      </c>
      <c r="O448">
        <v>50</v>
      </c>
      <c r="P448" s="1633">
        <v>-18189900000</v>
      </c>
      <c r="Q448" t="s">
        <v>106</v>
      </c>
      <c r="R448" s="2392">
        <v>44698</v>
      </c>
      <c r="S448" s="2393">
        <f t="shared" si="32"/>
        <v>1</v>
      </c>
      <c r="T448" s="2394">
        <f>IF(OR(J448="COP",J448="EURO",J448="GBP"),0,IF(J448="USD",VLOOKUP(R448,'TRM BanRep'!$A:$G,7,0)))</f>
        <v>0</v>
      </c>
      <c r="U448" s="2395">
        <f t="shared" si="33"/>
        <v>0</v>
      </c>
      <c r="V448" s="2395" t="str">
        <f t="shared" si="31"/>
        <v/>
      </c>
    </row>
    <row r="449" spans="3:22" hidden="1">
      <c r="C449">
        <v>2022</v>
      </c>
      <c r="D449" t="s">
        <v>1797</v>
      </c>
      <c r="F449">
        <v>2422999997</v>
      </c>
      <c r="G449" t="s">
        <v>1557</v>
      </c>
      <c r="H449" t="s">
        <v>1802</v>
      </c>
      <c r="I449" t="s">
        <v>1804</v>
      </c>
      <c r="J449" t="s">
        <v>106</v>
      </c>
      <c r="K449">
        <v>7900005514</v>
      </c>
      <c r="L449" t="s">
        <v>1802</v>
      </c>
      <c r="M449" s="1633">
        <v>-20237500000</v>
      </c>
      <c r="N449">
        <v>1</v>
      </c>
      <c r="O449">
        <v>50</v>
      </c>
      <c r="P449" s="1633">
        <v>-20237500000</v>
      </c>
      <c r="Q449" t="s">
        <v>106</v>
      </c>
      <c r="R449" s="2392">
        <v>44698</v>
      </c>
      <c r="S449" s="2393">
        <f t="shared" si="32"/>
        <v>1</v>
      </c>
      <c r="T449" s="2394">
        <f>IF(OR(J449="COP",J449="EURO",J449="GBP"),0,IF(J449="USD",VLOOKUP(R449,'TRM BanRep'!$A:$G,7,0)))</f>
        <v>0</v>
      </c>
      <c r="U449" s="2395">
        <f t="shared" si="33"/>
        <v>0</v>
      </c>
      <c r="V449" s="2395" t="str">
        <f t="shared" si="31"/>
        <v/>
      </c>
    </row>
    <row r="450" spans="3:22" hidden="1">
      <c r="C450">
        <v>2022</v>
      </c>
      <c r="D450" t="s">
        <v>1797</v>
      </c>
      <c r="F450">
        <v>2422999997</v>
      </c>
      <c r="G450" t="s">
        <v>1557</v>
      </c>
      <c r="H450" t="s">
        <v>1808</v>
      </c>
      <c r="I450" t="s">
        <v>1809</v>
      </c>
      <c r="J450" t="s">
        <v>106</v>
      </c>
      <c r="K450">
        <v>7900005594</v>
      </c>
      <c r="L450" t="s">
        <v>1808</v>
      </c>
      <c r="M450" s="1633">
        <v>-37700000011</v>
      </c>
      <c r="N450">
        <v>1</v>
      </c>
      <c r="O450">
        <v>50</v>
      </c>
      <c r="P450" s="1633">
        <v>-37700000011</v>
      </c>
      <c r="Q450" t="s">
        <v>106</v>
      </c>
      <c r="R450" s="2392">
        <v>44705</v>
      </c>
      <c r="S450" s="2393">
        <f t="shared" si="32"/>
        <v>1</v>
      </c>
      <c r="T450" s="2394">
        <f>IF(OR(J450="COP",J450="EURO",J450="GBP"),0,IF(J450="USD",VLOOKUP(R450,'TRM BanRep'!$A:$G,7,0)))</f>
        <v>0</v>
      </c>
      <c r="U450" s="2395">
        <f t="shared" si="33"/>
        <v>0</v>
      </c>
      <c r="V450" s="2395" t="str">
        <f t="shared" si="31"/>
        <v/>
      </c>
    </row>
    <row r="451" spans="3:22" hidden="1">
      <c r="C451">
        <v>2022</v>
      </c>
      <c r="D451" t="s">
        <v>1797</v>
      </c>
      <c r="F451">
        <v>2422999997</v>
      </c>
      <c r="G451" t="s">
        <v>1557</v>
      </c>
      <c r="H451" t="s">
        <v>1808</v>
      </c>
      <c r="I451" t="s">
        <v>1810</v>
      </c>
      <c r="J451" t="s">
        <v>106</v>
      </c>
      <c r="K451">
        <v>7900005602</v>
      </c>
      <c r="L451" t="s">
        <v>1808</v>
      </c>
      <c r="M451" s="1633">
        <v>-1100000000</v>
      </c>
      <c r="N451">
        <v>1</v>
      </c>
      <c r="O451">
        <v>50</v>
      </c>
      <c r="P451" s="1633">
        <v>-1100000000</v>
      </c>
      <c r="Q451" t="s">
        <v>106</v>
      </c>
      <c r="R451" s="2392">
        <v>44705</v>
      </c>
      <c r="S451" s="2393">
        <f t="shared" si="32"/>
        <v>1</v>
      </c>
      <c r="T451" s="2394">
        <f>IF(OR(J451="COP",J451="EURO",J451="GBP"),0,IF(J451="USD",VLOOKUP(R451,'TRM BanRep'!$A:$G,7,0)))</f>
        <v>0</v>
      </c>
      <c r="U451" s="2395">
        <f t="shared" si="33"/>
        <v>0</v>
      </c>
      <c r="V451" s="2395" t="str">
        <f t="shared" si="31"/>
        <v/>
      </c>
    </row>
    <row r="452" spans="3:22" hidden="1">
      <c r="C452">
        <v>2022</v>
      </c>
      <c r="D452" t="s">
        <v>1797</v>
      </c>
      <c r="F452">
        <v>2422999997</v>
      </c>
      <c r="G452" t="s">
        <v>1557</v>
      </c>
      <c r="H452" t="s">
        <v>1808</v>
      </c>
      <c r="I452" t="s">
        <v>1811</v>
      </c>
      <c r="J452" t="s">
        <v>106</v>
      </c>
      <c r="K452">
        <v>7900005610</v>
      </c>
      <c r="L452" t="s">
        <v>1808</v>
      </c>
      <c r="M452" s="1633">
        <v>-2800000005</v>
      </c>
      <c r="N452">
        <v>1</v>
      </c>
      <c r="O452">
        <v>50</v>
      </c>
      <c r="P452" s="1633">
        <v>-2800000005</v>
      </c>
      <c r="Q452" t="s">
        <v>106</v>
      </c>
      <c r="R452" s="2392">
        <v>44705</v>
      </c>
      <c r="S452" s="2393">
        <f t="shared" si="32"/>
        <v>1</v>
      </c>
      <c r="T452" s="2394">
        <f>IF(OR(J452="COP",J452="EURO",J452="GBP"),0,IF(J452="USD",VLOOKUP(R452,'TRM BanRep'!$A:$G,7,0)))</f>
        <v>0</v>
      </c>
      <c r="U452" s="2395">
        <f t="shared" si="33"/>
        <v>0</v>
      </c>
      <c r="V452" s="2395" t="str">
        <f t="shared" si="31"/>
        <v/>
      </c>
    </row>
    <row r="453" spans="3:22" hidden="1">
      <c r="C453">
        <v>2022</v>
      </c>
      <c r="D453" t="s">
        <v>1797</v>
      </c>
      <c r="F453">
        <v>2422999997</v>
      </c>
      <c r="G453" t="s">
        <v>1557</v>
      </c>
      <c r="H453" t="s">
        <v>1808</v>
      </c>
      <c r="I453" t="s">
        <v>1812</v>
      </c>
      <c r="J453" t="s">
        <v>106</v>
      </c>
      <c r="K453">
        <v>7900005618</v>
      </c>
      <c r="L453" t="s">
        <v>1808</v>
      </c>
      <c r="M453" s="1633">
        <v>-2000000008</v>
      </c>
      <c r="N453">
        <v>1</v>
      </c>
      <c r="O453">
        <v>50</v>
      </c>
      <c r="P453" s="1633">
        <v>-2000000008</v>
      </c>
      <c r="Q453" t="s">
        <v>106</v>
      </c>
      <c r="R453" s="2392">
        <v>44705</v>
      </c>
      <c r="S453" s="2393">
        <f t="shared" si="32"/>
        <v>1</v>
      </c>
      <c r="T453" s="2394">
        <f>IF(OR(J453="COP",J453="EURO",J453="GBP"),0,IF(J453="USD",VLOOKUP(R453,'TRM BanRep'!$A:$G,7,0)))</f>
        <v>0</v>
      </c>
      <c r="U453" s="2395">
        <f t="shared" si="33"/>
        <v>0</v>
      </c>
      <c r="V453" s="2395" t="str">
        <f t="shared" si="31"/>
        <v/>
      </c>
    </row>
    <row r="454" spans="3:22" hidden="1">
      <c r="C454">
        <v>2022</v>
      </c>
      <c r="D454" t="s">
        <v>1797</v>
      </c>
      <c r="F454">
        <v>2422999997</v>
      </c>
      <c r="G454" t="s">
        <v>1557</v>
      </c>
      <c r="H454" t="s">
        <v>1808</v>
      </c>
      <c r="I454" t="s">
        <v>1823</v>
      </c>
      <c r="J454" t="s">
        <v>106</v>
      </c>
      <c r="K454">
        <v>7900005945</v>
      </c>
      <c r="L454" t="s">
        <v>1808</v>
      </c>
      <c r="M454" s="1633">
        <v>-1300000000</v>
      </c>
      <c r="N454">
        <v>1</v>
      </c>
      <c r="O454">
        <v>50</v>
      </c>
      <c r="P454" s="1633">
        <v>-1300000000</v>
      </c>
      <c r="Q454" t="s">
        <v>106</v>
      </c>
      <c r="R454" s="2392">
        <v>44705</v>
      </c>
      <c r="S454" s="2393">
        <f t="shared" si="32"/>
        <v>1</v>
      </c>
      <c r="T454" s="2394">
        <f>IF(OR(J454="COP",J454="EURO",J454="GBP"),0,IF(J454="USD",VLOOKUP(R454,'TRM BanRep'!$A:$G,7,0)))</f>
        <v>0</v>
      </c>
      <c r="U454" s="2395">
        <f t="shared" si="33"/>
        <v>0</v>
      </c>
      <c r="V454" s="2395" t="str">
        <f t="shared" si="31"/>
        <v/>
      </c>
    </row>
    <row r="455" spans="3:22" hidden="1">
      <c r="C455">
        <v>2022</v>
      </c>
      <c r="D455" t="s">
        <v>1797</v>
      </c>
      <c r="F455">
        <v>2422999997</v>
      </c>
      <c r="G455" t="s">
        <v>1557</v>
      </c>
      <c r="H455" t="s">
        <v>1828</v>
      </c>
      <c r="I455" t="s">
        <v>1829</v>
      </c>
      <c r="J455" t="s">
        <v>106</v>
      </c>
      <c r="K455">
        <v>7900005993</v>
      </c>
      <c r="L455" t="s">
        <v>1828</v>
      </c>
      <c r="M455" s="1633">
        <v>-134999999994</v>
      </c>
      <c r="N455">
        <v>1</v>
      </c>
      <c r="O455">
        <v>50</v>
      </c>
      <c r="P455" s="1633">
        <v>-134999999994</v>
      </c>
      <c r="Q455" t="s">
        <v>106</v>
      </c>
      <c r="R455" s="2392">
        <v>44706</v>
      </c>
      <c r="S455" s="2393">
        <f t="shared" si="32"/>
        <v>1</v>
      </c>
      <c r="T455" s="2394">
        <f>IF(OR(J455="COP",J455="EURO",J455="GBP"),0,IF(J455="USD",VLOOKUP(R455,'TRM BanRep'!$A:$G,7,0)))</f>
        <v>0</v>
      </c>
      <c r="U455" s="2395">
        <f t="shared" si="33"/>
        <v>0</v>
      </c>
      <c r="V455" s="2395" t="str">
        <f t="shared" ref="V455:V518" si="34">IF(U455=0,"",IF(U455&gt;0,"2-GASTO","1-INGRESO"))</f>
        <v/>
      </c>
    </row>
    <row r="456" spans="3:22" hidden="1">
      <c r="C456">
        <v>2022</v>
      </c>
      <c r="D456" t="s">
        <v>1797</v>
      </c>
      <c r="F456">
        <v>2422999997</v>
      </c>
      <c r="G456" t="s">
        <v>1608</v>
      </c>
      <c r="H456" t="s">
        <v>1798</v>
      </c>
      <c r="J456" t="s">
        <v>106</v>
      </c>
      <c r="K456">
        <v>2000004893</v>
      </c>
      <c r="L456" t="s">
        <v>1798</v>
      </c>
      <c r="M456" s="1633">
        <v>2693381971</v>
      </c>
      <c r="N456">
        <v>1</v>
      </c>
      <c r="O456">
        <v>40</v>
      </c>
      <c r="P456" s="1633">
        <v>2693381971</v>
      </c>
      <c r="Q456" t="s">
        <v>106</v>
      </c>
      <c r="R456" s="2392">
        <v>44684</v>
      </c>
      <c r="S456" s="2393">
        <f t="shared" si="32"/>
        <v>1</v>
      </c>
      <c r="T456" s="2394">
        <f>IF(OR(J456="COP",J456="EURO",J456="GBP"),0,IF(J456="USD",VLOOKUP(R456,'TRM BanRep'!$A:$G,7,0)))</f>
        <v>0</v>
      </c>
      <c r="U456" s="2395">
        <f t="shared" si="33"/>
        <v>0</v>
      </c>
      <c r="V456" s="2395" t="str">
        <f t="shared" si="34"/>
        <v/>
      </c>
    </row>
    <row r="457" spans="3:22" hidden="1">
      <c r="C457">
        <v>2022</v>
      </c>
      <c r="D457" t="s">
        <v>1797</v>
      </c>
      <c r="F457">
        <v>2422999997</v>
      </c>
      <c r="G457" t="s">
        <v>1608</v>
      </c>
      <c r="H457" t="s">
        <v>1877</v>
      </c>
      <c r="J457" t="s">
        <v>106</v>
      </c>
      <c r="K457">
        <v>2000005030</v>
      </c>
      <c r="L457" t="s">
        <v>1877</v>
      </c>
      <c r="M457" s="1633">
        <v>23210416667</v>
      </c>
      <c r="N457">
        <v>1</v>
      </c>
      <c r="O457">
        <v>40</v>
      </c>
      <c r="P457" s="1633">
        <v>23210416667</v>
      </c>
      <c r="Q457" t="s">
        <v>106</v>
      </c>
      <c r="R457" s="2392">
        <v>44697</v>
      </c>
      <c r="S457" s="2393">
        <f t="shared" si="32"/>
        <v>1</v>
      </c>
      <c r="T457" s="2394">
        <f>IF(OR(J457="COP",J457="EURO",J457="GBP"),0,IF(J457="USD",VLOOKUP(R457,'TRM BanRep'!$A:$G,7,0)))</f>
        <v>0</v>
      </c>
      <c r="U457" s="2395">
        <f t="shared" si="33"/>
        <v>0</v>
      </c>
      <c r="V457" s="2395" t="str">
        <f t="shared" si="34"/>
        <v/>
      </c>
    </row>
    <row r="458" spans="3:22" hidden="1">
      <c r="C458">
        <v>2022</v>
      </c>
      <c r="D458" t="s">
        <v>1797</v>
      </c>
      <c r="F458">
        <v>2422999997</v>
      </c>
      <c r="G458" t="s">
        <v>1608</v>
      </c>
      <c r="H458" t="s">
        <v>1802</v>
      </c>
      <c r="J458" t="s">
        <v>106</v>
      </c>
      <c r="K458">
        <v>2000005092</v>
      </c>
      <c r="L458" t="s">
        <v>1802</v>
      </c>
      <c r="M458" s="1633">
        <v>89250000</v>
      </c>
      <c r="N458">
        <v>1</v>
      </c>
      <c r="O458">
        <v>40</v>
      </c>
      <c r="P458" s="1633">
        <v>89250000</v>
      </c>
      <c r="Q458" t="s">
        <v>106</v>
      </c>
      <c r="R458" s="2392">
        <v>44698</v>
      </c>
      <c r="S458" s="2393">
        <f t="shared" si="32"/>
        <v>1</v>
      </c>
      <c r="T458" s="2394">
        <f>IF(OR(J458="COP",J458="EURO",J458="GBP"),0,IF(J458="USD",VLOOKUP(R458,'TRM BanRep'!$A:$G,7,0)))</f>
        <v>0</v>
      </c>
      <c r="U458" s="2395">
        <f t="shared" si="33"/>
        <v>0</v>
      </c>
      <c r="V458" s="2395" t="str">
        <f t="shared" si="34"/>
        <v/>
      </c>
    </row>
    <row r="459" spans="3:22" hidden="1">
      <c r="C459">
        <v>2022</v>
      </c>
      <c r="D459" t="s">
        <v>1797</v>
      </c>
      <c r="F459">
        <v>2422999997</v>
      </c>
      <c r="G459" t="s">
        <v>1608</v>
      </c>
      <c r="H459" t="s">
        <v>1879</v>
      </c>
      <c r="J459" t="s">
        <v>106</v>
      </c>
      <c r="K459">
        <v>2000005225</v>
      </c>
      <c r="L459" t="s">
        <v>1879</v>
      </c>
      <c r="M459" s="1633">
        <v>13053966220</v>
      </c>
      <c r="N459">
        <v>1</v>
      </c>
      <c r="O459">
        <v>40</v>
      </c>
      <c r="P459" s="1633">
        <v>13053966220</v>
      </c>
      <c r="Q459" t="s">
        <v>106</v>
      </c>
      <c r="R459" s="2392">
        <v>44700</v>
      </c>
      <c r="S459" s="2393">
        <f t="shared" si="32"/>
        <v>1</v>
      </c>
      <c r="T459" s="2394">
        <f>IF(OR(J459="COP",J459="EURO",J459="GBP"),0,IF(J459="USD",VLOOKUP(R459,'TRM BanRep'!$A:$G,7,0)))</f>
        <v>0</v>
      </c>
      <c r="U459" s="2395">
        <f t="shared" si="33"/>
        <v>0</v>
      </c>
      <c r="V459" s="2395" t="str">
        <f t="shared" si="34"/>
        <v/>
      </c>
    </row>
    <row r="460" spans="3:22" hidden="1">
      <c r="C460">
        <v>2022</v>
      </c>
      <c r="D460" t="s">
        <v>1797</v>
      </c>
      <c r="F460">
        <v>2422999997</v>
      </c>
      <c r="G460" t="s">
        <v>1608</v>
      </c>
      <c r="H460" t="s">
        <v>1800</v>
      </c>
      <c r="J460" t="s">
        <v>106</v>
      </c>
      <c r="K460">
        <v>2000005265</v>
      </c>
      <c r="L460" t="s">
        <v>1800</v>
      </c>
      <c r="M460" s="1633">
        <v>91936150002</v>
      </c>
      <c r="N460">
        <v>1</v>
      </c>
      <c r="O460">
        <v>40</v>
      </c>
      <c r="P460" s="1633">
        <v>91936150002</v>
      </c>
      <c r="Q460" t="s">
        <v>106</v>
      </c>
      <c r="R460" s="2392">
        <v>44690</v>
      </c>
      <c r="S460" s="2393">
        <f t="shared" si="32"/>
        <v>1</v>
      </c>
      <c r="T460" s="2394">
        <f>IF(OR(J460="COP",J460="EURO",J460="GBP"),0,IF(J460="USD",VLOOKUP(R460,'TRM BanRep'!$A:$G,7,0)))</f>
        <v>0</v>
      </c>
      <c r="U460" s="2395">
        <f t="shared" si="33"/>
        <v>0</v>
      </c>
      <c r="V460" s="2395" t="str">
        <f t="shared" si="34"/>
        <v/>
      </c>
    </row>
    <row r="461" spans="3:22" hidden="1">
      <c r="C461">
        <v>2022</v>
      </c>
      <c r="D461" t="s">
        <v>1797</v>
      </c>
      <c r="F461">
        <v>2422999997</v>
      </c>
      <c r="G461" t="s">
        <v>1608</v>
      </c>
      <c r="H461" t="s">
        <v>1802</v>
      </c>
      <c r="J461" t="s">
        <v>106</v>
      </c>
      <c r="K461">
        <v>2000005351</v>
      </c>
      <c r="L461" t="s">
        <v>1802</v>
      </c>
      <c r="M461" s="1633">
        <v>18189900000</v>
      </c>
      <c r="N461">
        <v>1</v>
      </c>
      <c r="O461">
        <v>40</v>
      </c>
      <c r="P461" s="1633">
        <v>18189900000</v>
      </c>
      <c r="Q461" t="s">
        <v>106</v>
      </c>
      <c r="R461" s="2392">
        <v>44698</v>
      </c>
      <c r="S461" s="2393">
        <f t="shared" si="32"/>
        <v>1</v>
      </c>
      <c r="T461" s="2394">
        <f>IF(OR(J461="COP",J461="EURO",J461="GBP"),0,IF(J461="USD",VLOOKUP(R461,'TRM BanRep'!$A:$G,7,0)))</f>
        <v>0</v>
      </c>
      <c r="U461" s="2395">
        <f t="shared" si="33"/>
        <v>0</v>
      </c>
      <c r="V461" s="2395" t="str">
        <f t="shared" si="34"/>
        <v/>
      </c>
    </row>
    <row r="462" spans="3:22" hidden="1">
      <c r="C462">
        <v>2022</v>
      </c>
      <c r="D462" t="s">
        <v>1797</v>
      </c>
      <c r="F462">
        <v>2422999997</v>
      </c>
      <c r="G462" t="s">
        <v>1608</v>
      </c>
      <c r="H462" t="s">
        <v>1802</v>
      </c>
      <c r="J462" t="s">
        <v>106</v>
      </c>
      <c r="K462">
        <v>2000005352</v>
      </c>
      <c r="L462" t="s">
        <v>1802</v>
      </c>
      <c r="M462" s="1633">
        <v>20237500000</v>
      </c>
      <c r="N462">
        <v>1</v>
      </c>
      <c r="O462">
        <v>40</v>
      </c>
      <c r="P462" s="1633">
        <v>20237500000</v>
      </c>
      <c r="Q462" t="s">
        <v>106</v>
      </c>
      <c r="R462" s="2392">
        <v>44698</v>
      </c>
      <c r="S462" s="2393">
        <f t="shared" si="32"/>
        <v>1</v>
      </c>
      <c r="T462" s="2394">
        <f>IF(OR(J462="COP",J462="EURO",J462="GBP"),0,IF(J462="USD",VLOOKUP(R462,'TRM BanRep'!$A:$G,7,0)))</f>
        <v>0</v>
      </c>
      <c r="U462" s="2395">
        <f t="shared" si="33"/>
        <v>0</v>
      </c>
      <c r="V462" s="2395" t="str">
        <f t="shared" si="34"/>
        <v/>
      </c>
    </row>
    <row r="463" spans="3:22" hidden="1">
      <c r="C463">
        <v>2022</v>
      </c>
      <c r="D463" t="s">
        <v>1797</v>
      </c>
      <c r="F463">
        <v>2422999997</v>
      </c>
      <c r="G463" t="s">
        <v>1608</v>
      </c>
      <c r="H463" t="s">
        <v>1821</v>
      </c>
      <c r="J463" t="s">
        <v>106</v>
      </c>
      <c r="K463">
        <v>2000005394</v>
      </c>
      <c r="L463" t="s">
        <v>1821</v>
      </c>
      <c r="M463" s="1633">
        <v>9923622831</v>
      </c>
      <c r="N463">
        <v>1</v>
      </c>
      <c r="O463">
        <v>40</v>
      </c>
      <c r="P463" s="1633">
        <v>9923622831</v>
      </c>
      <c r="Q463" t="s">
        <v>106</v>
      </c>
      <c r="R463" s="2392">
        <v>44707</v>
      </c>
      <c r="S463" s="2393">
        <f t="shared" si="32"/>
        <v>1</v>
      </c>
      <c r="T463" s="2394">
        <f>IF(OR(J463="COP",J463="EURO",J463="GBP"),0,IF(J463="USD",VLOOKUP(R463,'TRM BanRep'!$A:$G,7,0)))</f>
        <v>0</v>
      </c>
      <c r="U463" s="2395">
        <f t="shared" si="33"/>
        <v>0</v>
      </c>
      <c r="V463" s="2395" t="str">
        <f t="shared" si="34"/>
        <v/>
      </c>
    </row>
    <row r="464" spans="3:22" hidden="1">
      <c r="C464">
        <v>2022</v>
      </c>
      <c r="D464" t="s">
        <v>1797</v>
      </c>
      <c r="F464">
        <v>2422999997</v>
      </c>
      <c r="G464" t="s">
        <v>1608</v>
      </c>
      <c r="H464" t="s">
        <v>1826</v>
      </c>
      <c r="J464" t="s">
        <v>106</v>
      </c>
      <c r="K464">
        <v>2000005469</v>
      </c>
      <c r="L464" t="s">
        <v>1826</v>
      </c>
      <c r="M464" s="1633">
        <v>24965175000</v>
      </c>
      <c r="N464">
        <v>1</v>
      </c>
      <c r="O464">
        <v>40</v>
      </c>
      <c r="P464" s="1633">
        <v>24965175000</v>
      </c>
      <c r="Q464" t="s">
        <v>106</v>
      </c>
      <c r="R464" s="2392">
        <v>44708</v>
      </c>
      <c r="S464" s="2393">
        <f t="shared" si="32"/>
        <v>1</v>
      </c>
      <c r="T464" s="2394">
        <f>IF(OR(J464="COP",J464="EURO",J464="GBP"),0,IF(J464="USD",VLOOKUP(R464,'TRM BanRep'!$A:$G,7,0)))</f>
        <v>0</v>
      </c>
      <c r="U464" s="2395">
        <f t="shared" si="33"/>
        <v>0</v>
      </c>
      <c r="V464" s="2395" t="str">
        <f t="shared" si="34"/>
        <v/>
      </c>
    </row>
    <row r="465" spans="3:22" hidden="1">
      <c r="C465">
        <v>2022</v>
      </c>
      <c r="D465" t="s">
        <v>1797</v>
      </c>
      <c r="F465">
        <v>2422999997</v>
      </c>
      <c r="G465" t="s">
        <v>1608</v>
      </c>
      <c r="H465" t="s">
        <v>1808</v>
      </c>
      <c r="J465" t="s">
        <v>106</v>
      </c>
      <c r="K465">
        <v>2000005488</v>
      </c>
      <c r="L465" t="s">
        <v>1808</v>
      </c>
      <c r="M465" s="1633">
        <v>37700000011</v>
      </c>
      <c r="N465">
        <v>1</v>
      </c>
      <c r="O465">
        <v>40</v>
      </c>
      <c r="P465" s="1633">
        <v>37700000011</v>
      </c>
      <c r="Q465" t="s">
        <v>106</v>
      </c>
      <c r="R465" s="2392">
        <v>44705</v>
      </c>
      <c r="S465" s="2393">
        <f t="shared" si="32"/>
        <v>1</v>
      </c>
      <c r="T465" s="2394">
        <f>IF(OR(J465="COP",J465="EURO",J465="GBP"),0,IF(J465="USD",VLOOKUP(R465,'TRM BanRep'!$A:$G,7,0)))</f>
        <v>0</v>
      </c>
      <c r="U465" s="2395">
        <f t="shared" si="33"/>
        <v>0</v>
      </c>
      <c r="V465" s="2395" t="str">
        <f t="shared" si="34"/>
        <v/>
      </c>
    </row>
    <row r="466" spans="3:22" hidden="1">
      <c r="C466">
        <v>2022</v>
      </c>
      <c r="D466" t="s">
        <v>1797</v>
      </c>
      <c r="F466">
        <v>2422999997</v>
      </c>
      <c r="G466" t="s">
        <v>1608</v>
      </c>
      <c r="H466" t="s">
        <v>1808</v>
      </c>
      <c r="J466" t="s">
        <v>106</v>
      </c>
      <c r="K466">
        <v>2000005489</v>
      </c>
      <c r="L466" t="s">
        <v>1808</v>
      </c>
      <c r="M466" s="1633">
        <v>1100000000</v>
      </c>
      <c r="N466">
        <v>1</v>
      </c>
      <c r="O466">
        <v>40</v>
      </c>
      <c r="P466" s="1633">
        <v>1100000000</v>
      </c>
      <c r="Q466" t="s">
        <v>106</v>
      </c>
      <c r="R466" s="2392">
        <v>44705</v>
      </c>
      <c r="S466" s="2393">
        <f t="shared" si="32"/>
        <v>1</v>
      </c>
      <c r="T466" s="2394">
        <f>IF(OR(J466="COP",J466="EURO",J466="GBP"),0,IF(J466="USD",VLOOKUP(R466,'TRM BanRep'!$A:$G,7,0)))</f>
        <v>0</v>
      </c>
      <c r="U466" s="2395">
        <f t="shared" si="33"/>
        <v>0</v>
      </c>
      <c r="V466" s="2395" t="str">
        <f t="shared" si="34"/>
        <v/>
      </c>
    </row>
    <row r="467" spans="3:22" hidden="1">
      <c r="C467">
        <v>2022</v>
      </c>
      <c r="D467" t="s">
        <v>1797</v>
      </c>
      <c r="F467">
        <v>2422999997</v>
      </c>
      <c r="G467" t="s">
        <v>1608</v>
      </c>
      <c r="H467" t="s">
        <v>1808</v>
      </c>
      <c r="J467" t="s">
        <v>106</v>
      </c>
      <c r="K467">
        <v>2000005490</v>
      </c>
      <c r="L467" t="s">
        <v>1808</v>
      </c>
      <c r="M467" s="1633">
        <v>2800000005</v>
      </c>
      <c r="N467">
        <v>1</v>
      </c>
      <c r="O467">
        <v>40</v>
      </c>
      <c r="P467" s="1633">
        <v>2800000005</v>
      </c>
      <c r="Q467" t="s">
        <v>106</v>
      </c>
      <c r="R467" s="2392">
        <v>44705</v>
      </c>
      <c r="S467" s="2393">
        <f t="shared" si="32"/>
        <v>1</v>
      </c>
      <c r="T467" s="2394">
        <f>IF(OR(J467="COP",J467="EURO",J467="GBP"),0,IF(J467="USD",VLOOKUP(R467,'TRM BanRep'!$A:$G,7,0)))</f>
        <v>0</v>
      </c>
      <c r="U467" s="2395">
        <f t="shared" si="33"/>
        <v>0</v>
      </c>
      <c r="V467" s="2395" t="str">
        <f t="shared" si="34"/>
        <v/>
      </c>
    </row>
    <row r="468" spans="3:22" hidden="1">
      <c r="C468">
        <v>2022</v>
      </c>
      <c r="D468" t="s">
        <v>1797</v>
      </c>
      <c r="F468">
        <v>2422999997</v>
      </c>
      <c r="G468" t="s">
        <v>1608</v>
      </c>
      <c r="H468" t="s">
        <v>1808</v>
      </c>
      <c r="J468" t="s">
        <v>106</v>
      </c>
      <c r="K468">
        <v>2000005491</v>
      </c>
      <c r="L468" t="s">
        <v>1808</v>
      </c>
      <c r="M468" s="1633">
        <v>2000000008</v>
      </c>
      <c r="N468">
        <v>1</v>
      </c>
      <c r="O468">
        <v>40</v>
      </c>
      <c r="P468" s="1633">
        <v>2000000008</v>
      </c>
      <c r="Q468" t="s">
        <v>106</v>
      </c>
      <c r="R468" s="2392">
        <v>44705</v>
      </c>
      <c r="S468" s="2393">
        <f t="shared" si="32"/>
        <v>1</v>
      </c>
      <c r="T468" s="2394">
        <f>IF(OR(J468="COP",J468="EURO",J468="GBP"),0,IF(J468="USD",VLOOKUP(R468,'TRM BanRep'!$A:$G,7,0)))</f>
        <v>0</v>
      </c>
      <c r="U468" s="2395">
        <f t="shared" si="33"/>
        <v>0</v>
      </c>
      <c r="V468" s="2395" t="str">
        <f t="shared" si="34"/>
        <v/>
      </c>
    </row>
    <row r="469" spans="3:22" hidden="1">
      <c r="C469">
        <v>2022</v>
      </c>
      <c r="D469" t="s">
        <v>1797</v>
      </c>
      <c r="F469">
        <v>2422999997</v>
      </c>
      <c r="G469" t="s">
        <v>1608</v>
      </c>
      <c r="H469" t="s">
        <v>1808</v>
      </c>
      <c r="J469" t="s">
        <v>106</v>
      </c>
      <c r="K469">
        <v>2000005494</v>
      </c>
      <c r="L469" t="s">
        <v>1808</v>
      </c>
      <c r="M469" s="1633">
        <v>200000000000</v>
      </c>
      <c r="N469">
        <v>1</v>
      </c>
      <c r="O469">
        <v>40</v>
      </c>
      <c r="P469" s="1633">
        <v>200000000000</v>
      </c>
      <c r="Q469" t="s">
        <v>106</v>
      </c>
      <c r="R469" s="2392">
        <v>44705</v>
      </c>
      <c r="S469" s="2393">
        <f t="shared" si="32"/>
        <v>1</v>
      </c>
      <c r="T469" s="2394">
        <f>IF(OR(J469="COP",J469="EURO",J469="GBP"),0,IF(J469="USD",VLOOKUP(R469,'TRM BanRep'!$A:$G,7,0)))</f>
        <v>0</v>
      </c>
      <c r="U469" s="2395">
        <f t="shared" si="33"/>
        <v>0</v>
      </c>
      <c r="V469" s="2395" t="str">
        <f t="shared" si="34"/>
        <v/>
      </c>
    </row>
    <row r="470" spans="3:22" hidden="1">
      <c r="C470">
        <v>2022</v>
      </c>
      <c r="D470" t="s">
        <v>1797</v>
      </c>
      <c r="F470">
        <v>2422999997</v>
      </c>
      <c r="G470" t="s">
        <v>1608</v>
      </c>
      <c r="H470" t="s">
        <v>1808</v>
      </c>
      <c r="J470" t="s">
        <v>106</v>
      </c>
      <c r="K470">
        <v>2000005495</v>
      </c>
      <c r="L470" t="s">
        <v>1808</v>
      </c>
      <c r="M470" s="1633">
        <v>162270859254</v>
      </c>
      <c r="N470">
        <v>1</v>
      </c>
      <c r="O470">
        <v>40</v>
      </c>
      <c r="P470" s="1633">
        <v>162270859254</v>
      </c>
      <c r="Q470" t="s">
        <v>106</v>
      </c>
      <c r="R470" s="2392">
        <v>44705</v>
      </c>
      <c r="S470" s="2393">
        <f t="shared" si="32"/>
        <v>1</v>
      </c>
      <c r="T470" s="2394">
        <f>IF(OR(J470="COP",J470="EURO",J470="GBP"),0,IF(J470="USD",VLOOKUP(R470,'TRM BanRep'!$A:$G,7,0)))</f>
        <v>0</v>
      </c>
      <c r="U470" s="2395">
        <f t="shared" si="33"/>
        <v>0</v>
      </c>
      <c r="V470" s="2395" t="str">
        <f t="shared" si="34"/>
        <v/>
      </c>
    </row>
    <row r="471" spans="3:22" hidden="1">
      <c r="C471">
        <v>2022</v>
      </c>
      <c r="D471" t="s">
        <v>1797</v>
      </c>
      <c r="F471">
        <v>2422999997</v>
      </c>
      <c r="G471" t="s">
        <v>1608</v>
      </c>
      <c r="H471" t="s">
        <v>1808</v>
      </c>
      <c r="J471" t="s">
        <v>106</v>
      </c>
      <c r="K471">
        <v>2000005496</v>
      </c>
      <c r="L471" t="s">
        <v>1808</v>
      </c>
      <c r="M471" s="1633">
        <v>63200000017</v>
      </c>
      <c r="N471">
        <v>1</v>
      </c>
      <c r="O471">
        <v>40</v>
      </c>
      <c r="P471" s="1633">
        <v>63200000017</v>
      </c>
      <c r="Q471" t="s">
        <v>106</v>
      </c>
      <c r="R471" s="2392">
        <v>44705</v>
      </c>
      <c r="S471" s="2393">
        <f t="shared" si="32"/>
        <v>1</v>
      </c>
      <c r="T471" s="2394">
        <f>IF(OR(J471="COP",J471="EURO",J471="GBP"),0,IF(J471="USD",VLOOKUP(R471,'TRM BanRep'!$A:$G,7,0)))</f>
        <v>0</v>
      </c>
      <c r="U471" s="2395">
        <f t="shared" si="33"/>
        <v>0</v>
      </c>
      <c r="V471" s="2395" t="str">
        <f t="shared" si="34"/>
        <v/>
      </c>
    </row>
    <row r="472" spans="3:22" hidden="1">
      <c r="C472">
        <v>2022</v>
      </c>
      <c r="D472" t="s">
        <v>1797</v>
      </c>
      <c r="F472">
        <v>2422999997</v>
      </c>
      <c r="G472" t="s">
        <v>1608</v>
      </c>
      <c r="H472" t="s">
        <v>1808</v>
      </c>
      <c r="J472" t="s">
        <v>106</v>
      </c>
      <c r="K472">
        <v>2000005497</v>
      </c>
      <c r="L472" t="s">
        <v>1808</v>
      </c>
      <c r="M472" s="1633">
        <v>56795250000</v>
      </c>
      <c r="N472">
        <v>1</v>
      </c>
      <c r="O472">
        <v>40</v>
      </c>
      <c r="P472" s="1633">
        <v>56795250000</v>
      </c>
      <c r="Q472" t="s">
        <v>106</v>
      </c>
      <c r="R472" s="2392">
        <v>44705</v>
      </c>
      <c r="S472" s="2393">
        <f t="shared" si="32"/>
        <v>1</v>
      </c>
      <c r="T472" s="2394">
        <f>IF(OR(J472="COP",J472="EURO",J472="GBP"),0,IF(J472="USD",VLOOKUP(R472,'TRM BanRep'!$A:$G,7,0)))</f>
        <v>0</v>
      </c>
      <c r="U472" s="2395">
        <f t="shared" si="33"/>
        <v>0</v>
      </c>
      <c r="V472" s="2395" t="str">
        <f t="shared" si="34"/>
        <v/>
      </c>
    </row>
    <row r="473" spans="3:22" hidden="1">
      <c r="C473">
        <v>2022</v>
      </c>
      <c r="D473" t="s">
        <v>1797</v>
      </c>
      <c r="F473">
        <v>2422999997</v>
      </c>
      <c r="G473" t="s">
        <v>1608</v>
      </c>
      <c r="H473" t="s">
        <v>1805</v>
      </c>
      <c r="J473" t="s">
        <v>106</v>
      </c>
      <c r="K473">
        <v>2000005498</v>
      </c>
      <c r="L473" t="s">
        <v>1805</v>
      </c>
      <c r="M473" s="1633">
        <v>1798590536</v>
      </c>
      <c r="N473">
        <v>1</v>
      </c>
      <c r="O473">
        <v>40</v>
      </c>
      <c r="P473" s="1633">
        <v>1798590536</v>
      </c>
      <c r="Q473" t="s">
        <v>106</v>
      </c>
      <c r="R473" s="2392">
        <v>44701</v>
      </c>
      <c r="S473" s="2393">
        <f t="shared" si="32"/>
        <v>1</v>
      </c>
      <c r="T473" s="2394">
        <f>IF(OR(J473="COP",J473="EURO",J473="GBP"),0,IF(J473="USD",VLOOKUP(R473,'TRM BanRep'!$A:$G,7,0)))</f>
        <v>0</v>
      </c>
      <c r="U473" s="2395">
        <f t="shared" si="33"/>
        <v>0</v>
      </c>
      <c r="V473" s="2395" t="str">
        <f t="shared" si="34"/>
        <v/>
      </c>
    </row>
    <row r="474" spans="3:22" hidden="1">
      <c r="C474">
        <v>2022</v>
      </c>
      <c r="D474" t="s">
        <v>1797</v>
      </c>
      <c r="F474">
        <v>2422999997</v>
      </c>
      <c r="G474" t="s">
        <v>1608</v>
      </c>
      <c r="H474" t="s">
        <v>1805</v>
      </c>
      <c r="J474" t="s">
        <v>106</v>
      </c>
      <c r="K474">
        <v>2000005499</v>
      </c>
      <c r="L474" t="s">
        <v>1805</v>
      </c>
      <c r="M474" s="1633">
        <v>265000000000</v>
      </c>
      <c r="N474">
        <v>1</v>
      </c>
      <c r="O474">
        <v>40</v>
      </c>
      <c r="P474" s="1633">
        <v>265000000000</v>
      </c>
      <c r="Q474" t="s">
        <v>106</v>
      </c>
      <c r="R474" s="2392">
        <v>44701</v>
      </c>
      <c r="S474" s="2393">
        <f t="shared" si="32"/>
        <v>1</v>
      </c>
      <c r="T474" s="2394">
        <f>IF(OR(J474="COP",J474="EURO",J474="GBP"),0,IF(J474="USD",VLOOKUP(R474,'TRM BanRep'!$A:$G,7,0)))</f>
        <v>0</v>
      </c>
      <c r="U474" s="2395">
        <f t="shared" si="33"/>
        <v>0</v>
      </c>
      <c r="V474" s="2395" t="str">
        <f t="shared" si="34"/>
        <v/>
      </c>
    </row>
    <row r="475" spans="3:22" hidden="1">
      <c r="C475">
        <v>2022</v>
      </c>
      <c r="D475" t="s">
        <v>1797</v>
      </c>
      <c r="F475">
        <v>2422999997</v>
      </c>
      <c r="G475" t="s">
        <v>1608</v>
      </c>
      <c r="H475" t="s">
        <v>1821</v>
      </c>
      <c r="J475" t="s">
        <v>106</v>
      </c>
      <c r="K475">
        <v>2000005586</v>
      </c>
      <c r="L475" t="s">
        <v>1821</v>
      </c>
      <c r="M475" s="1633">
        <v>100000000000</v>
      </c>
      <c r="N475">
        <v>1</v>
      </c>
      <c r="O475">
        <v>40</v>
      </c>
      <c r="P475" s="1633">
        <v>100000000000</v>
      </c>
      <c r="Q475" t="s">
        <v>106</v>
      </c>
      <c r="R475" s="2392">
        <v>44707</v>
      </c>
      <c r="S475" s="2393">
        <f t="shared" si="32"/>
        <v>1</v>
      </c>
      <c r="T475" s="2394">
        <f>IF(OR(J475="COP",J475="EURO",J475="GBP"),0,IF(J475="USD",VLOOKUP(R475,'TRM BanRep'!$A:$G,7,0)))</f>
        <v>0</v>
      </c>
      <c r="U475" s="2395">
        <f t="shared" si="33"/>
        <v>0</v>
      </c>
      <c r="V475" s="2395" t="str">
        <f t="shared" si="34"/>
        <v/>
      </c>
    </row>
    <row r="476" spans="3:22" hidden="1">
      <c r="C476">
        <v>2022</v>
      </c>
      <c r="D476" t="s">
        <v>1797</v>
      </c>
      <c r="F476">
        <v>2422999997</v>
      </c>
      <c r="G476" t="s">
        <v>1608</v>
      </c>
      <c r="H476" t="s">
        <v>1808</v>
      </c>
      <c r="J476" t="s">
        <v>106</v>
      </c>
      <c r="K476">
        <v>2000005587</v>
      </c>
      <c r="L476" t="s">
        <v>1808</v>
      </c>
      <c r="M476" s="1633">
        <v>100000000000</v>
      </c>
      <c r="N476">
        <v>1</v>
      </c>
      <c r="O476">
        <v>40</v>
      </c>
      <c r="P476" s="1633">
        <v>100000000000</v>
      </c>
      <c r="Q476" t="s">
        <v>106</v>
      </c>
      <c r="R476" s="2392">
        <v>44705</v>
      </c>
      <c r="S476" s="2393">
        <f t="shared" si="32"/>
        <v>1</v>
      </c>
      <c r="T476" s="2394">
        <f>IF(OR(J476="COP",J476="EURO",J476="GBP"),0,IF(J476="USD",VLOOKUP(R476,'TRM BanRep'!$A:$G,7,0)))</f>
        <v>0</v>
      </c>
      <c r="U476" s="2395">
        <f t="shared" si="33"/>
        <v>0</v>
      </c>
      <c r="V476" s="2395" t="str">
        <f t="shared" si="34"/>
        <v/>
      </c>
    </row>
    <row r="477" spans="3:22" hidden="1">
      <c r="C477">
        <v>2022</v>
      </c>
      <c r="D477" t="s">
        <v>1797</v>
      </c>
      <c r="F477">
        <v>2422999997</v>
      </c>
      <c r="G477" t="s">
        <v>1608</v>
      </c>
      <c r="H477" t="s">
        <v>1808</v>
      </c>
      <c r="J477" t="s">
        <v>106</v>
      </c>
      <c r="K477">
        <v>2000005588</v>
      </c>
      <c r="L477" t="s">
        <v>1808</v>
      </c>
      <c r="M477" s="1633">
        <v>1300000000</v>
      </c>
      <c r="N477">
        <v>1</v>
      </c>
      <c r="O477">
        <v>40</v>
      </c>
      <c r="P477" s="1633">
        <v>1300000000</v>
      </c>
      <c r="Q477" t="s">
        <v>106</v>
      </c>
      <c r="R477" s="2392">
        <v>44705</v>
      </c>
      <c r="S477" s="2393">
        <f t="shared" si="32"/>
        <v>1</v>
      </c>
      <c r="T477" s="2394">
        <f>IF(OR(J477="COP",J477="EURO",J477="GBP"),0,IF(J477="USD",VLOOKUP(R477,'TRM BanRep'!$A:$G,7,0)))</f>
        <v>0</v>
      </c>
      <c r="U477" s="2395">
        <f t="shared" si="33"/>
        <v>0</v>
      </c>
      <c r="V477" s="2395" t="str">
        <f t="shared" si="34"/>
        <v/>
      </c>
    </row>
    <row r="478" spans="3:22" hidden="1">
      <c r="C478">
        <v>2022</v>
      </c>
      <c r="D478" t="s">
        <v>1797</v>
      </c>
      <c r="F478">
        <v>2422999997</v>
      </c>
      <c r="G478" t="s">
        <v>1608</v>
      </c>
      <c r="H478" t="s">
        <v>1828</v>
      </c>
      <c r="J478" t="s">
        <v>106</v>
      </c>
      <c r="K478">
        <v>2000005596</v>
      </c>
      <c r="L478" t="s">
        <v>1828</v>
      </c>
      <c r="M478" s="1633">
        <v>134999999994</v>
      </c>
      <c r="N478">
        <v>1</v>
      </c>
      <c r="O478">
        <v>40</v>
      </c>
      <c r="P478" s="1633">
        <v>134999999994</v>
      </c>
      <c r="Q478" t="s">
        <v>106</v>
      </c>
      <c r="R478" s="2392">
        <v>44706</v>
      </c>
      <c r="S478" s="2393">
        <f t="shared" si="32"/>
        <v>1</v>
      </c>
      <c r="T478" s="2394">
        <f>IF(OR(J478="COP",J478="EURO",J478="GBP"),0,IF(J478="USD",VLOOKUP(R478,'TRM BanRep'!$A:$G,7,0)))</f>
        <v>0</v>
      </c>
      <c r="U478" s="2395">
        <f t="shared" si="33"/>
        <v>0</v>
      </c>
      <c r="V478" s="2395" t="str">
        <f t="shared" si="34"/>
        <v/>
      </c>
    </row>
    <row r="479" spans="3:22" hidden="1">
      <c r="C479">
        <v>2022</v>
      </c>
      <c r="D479" t="s">
        <v>1797</v>
      </c>
      <c r="F479">
        <v>2422999997</v>
      </c>
      <c r="G479" t="s">
        <v>1608</v>
      </c>
      <c r="H479" t="s">
        <v>1808</v>
      </c>
      <c r="J479" t="s">
        <v>106</v>
      </c>
      <c r="K479">
        <v>2000005627</v>
      </c>
      <c r="L479" t="s">
        <v>1808</v>
      </c>
      <c r="M479" s="1633">
        <v>49999999991</v>
      </c>
      <c r="N479">
        <v>1</v>
      </c>
      <c r="O479">
        <v>40</v>
      </c>
      <c r="P479" s="1633">
        <v>49999999991</v>
      </c>
      <c r="Q479" t="s">
        <v>106</v>
      </c>
      <c r="R479" s="2392">
        <v>44705</v>
      </c>
      <c r="S479" s="2393">
        <f t="shared" si="32"/>
        <v>1</v>
      </c>
      <c r="T479" s="2394">
        <f>IF(OR(J479="COP",J479="EURO",J479="GBP"),0,IF(J479="USD",VLOOKUP(R479,'TRM BanRep'!$A:$G,7,0)))</f>
        <v>0</v>
      </c>
      <c r="U479" s="2395">
        <f t="shared" si="33"/>
        <v>0</v>
      </c>
      <c r="V479" s="2395" t="str">
        <f t="shared" si="34"/>
        <v/>
      </c>
    </row>
    <row r="480" spans="3:22" hidden="1">
      <c r="C480">
        <v>2022</v>
      </c>
      <c r="D480" t="s">
        <v>1797</v>
      </c>
      <c r="F480">
        <v>2422999997</v>
      </c>
      <c r="G480" t="s">
        <v>1609</v>
      </c>
      <c r="H480" t="s">
        <v>1877</v>
      </c>
      <c r="I480" t="s">
        <v>1880</v>
      </c>
      <c r="J480" t="s">
        <v>106</v>
      </c>
      <c r="K480">
        <v>7900005403</v>
      </c>
      <c r="L480" t="s">
        <v>1877</v>
      </c>
      <c r="M480" s="1633">
        <v>-6410416667</v>
      </c>
      <c r="N480">
        <v>1</v>
      </c>
      <c r="O480">
        <v>50</v>
      </c>
      <c r="P480" s="1633">
        <v>-6410416667</v>
      </c>
      <c r="Q480" t="s">
        <v>106</v>
      </c>
      <c r="R480" s="2392">
        <v>44697</v>
      </c>
      <c r="S480" s="2393">
        <f t="shared" si="32"/>
        <v>1</v>
      </c>
      <c r="T480" s="2394">
        <f>IF(OR(J480="COP",J480="EURO",J480="GBP"),0,IF(J480="USD",VLOOKUP(R480,'TRM BanRep'!$A:$G,7,0)))</f>
        <v>0</v>
      </c>
      <c r="U480" s="2395">
        <f t="shared" si="33"/>
        <v>0</v>
      </c>
      <c r="V480" s="2395" t="str">
        <f t="shared" si="34"/>
        <v/>
      </c>
    </row>
    <row r="481" spans="3:22" hidden="1">
      <c r="C481">
        <v>2022</v>
      </c>
      <c r="D481" t="s">
        <v>1797</v>
      </c>
      <c r="F481">
        <v>2422999997</v>
      </c>
      <c r="G481" t="s">
        <v>1609</v>
      </c>
      <c r="H481" t="s">
        <v>1802</v>
      </c>
      <c r="I481" t="s">
        <v>1796</v>
      </c>
      <c r="J481" t="s">
        <v>106</v>
      </c>
      <c r="K481">
        <v>7900005464</v>
      </c>
      <c r="L481" t="s">
        <v>1802</v>
      </c>
      <c r="M481" s="1633">
        <v>-89250000</v>
      </c>
      <c r="N481">
        <v>1</v>
      </c>
      <c r="O481">
        <v>50</v>
      </c>
      <c r="P481" s="1633">
        <v>-89250000</v>
      </c>
      <c r="Q481" t="s">
        <v>106</v>
      </c>
      <c r="R481" s="2392">
        <v>44698</v>
      </c>
      <c r="S481" s="2393">
        <f t="shared" si="32"/>
        <v>1</v>
      </c>
      <c r="T481" s="2394">
        <f>IF(OR(J481="COP",J481="EURO",J481="GBP"),0,IF(J481="USD",VLOOKUP(R481,'TRM BanRep'!$A:$G,7,0)))</f>
        <v>0</v>
      </c>
      <c r="U481" s="2395">
        <f t="shared" si="33"/>
        <v>0</v>
      </c>
      <c r="V481" s="2395" t="str">
        <f t="shared" si="34"/>
        <v/>
      </c>
    </row>
    <row r="482" spans="3:22" hidden="1">
      <c r="C482">
        <v>2022</v>
      </c>
      <c r="D482" t="s">
        <v>1797</v>
      </c>
      <c r="F482">
        <v>2422999997</v>
      </c>
      <c r="G482" t="s">
        <v>1609</v>
      </c>
      <c r="H482" t="s">
        <v>1879</v>
      </c>
      <c r="I482" t="s">
        <v>1654</v>
      </c>
      <c r="J482" t="s">
        <v>106</v>
      </c>
      <c r="K482">
        <v>7900005472</v>
      </c>
      <c r="L482" t="s">
        <v>1879</v>
      </c>
      <c r="M482" s="1633">
        <v>-3691763790</v>
      </c>
      <c r="N482">
        <v>1</v>
      </c>
      <c r="O482">
        <v>50</v>
      </c>
      <c r="P482" s="1633">
        <v>-3691763790</v>
      </c>
      <c r="Q482" t="s">
        <v>106</v>
      </c>
      <c r="R482" s="2392">
        <v>44700</v>
      </c>
      <c r="S482" s="2393">
        <f t="shared" si="32"/>
        <v>1</v>
      </c>
      <c r="T482" s="2394">
        <f>IF(OR(J482="COP",J482="EURO",J482="GBP"),0,IF(J482="USD",VLOOKUP(R482,'TRM BanRep'!$A:$G,7,0)))</f>
        <v>0</v>
      </c>
      <c r="U482" s="2395">
        <f t="shared" si="33"/>
        <v>0</v>
      </c>
      <c r="V482" s="2395" t="str">
        <f t="shared" si="34"/>
        <v/>
      </c>
    </row>
    <row r="483" spans="3:22" hidden="1">
      <c r="C483">
        <v>2022</v>
      </c>
      <c r="D483" t="s">
        <v>1797</v>
      </c>
      <c r="F483">
        <v>2422999997</v>
      </c>
      <c r="G483" t="s">
        <v>1609</v>
      </c>
      <c r="H483" t="s">
        <v>1879</v>
      </c>
      <c r="I483" t="s">
        <v>1652</v>
      </c>
      <c r="J483" t="s">
        <v>106</v>
      </c>
      <c r="K483">
        <v>7900005473</v>
      </c>
      <c r="L483" t="s">
        <v>1879</v>
      </c>
      <c r="M483" s="1633">
        <v>-4572431520</v>
      </c>
      <c r="N483">
        <v>1</v>
      </c>
      <c r="O483">
        <v>50</v>
      </c>
      <c r="P483" s="1633">
        <v>-4572431520</v>
      </c>
      <c r="Q483" t="s">
        <v>106</v>
      </c>
      <c r="R483" s="2392">
        <v>44700</v>
      </c>
      <c r="S483" s="2393">
        <f t="shared" si="32"/>
        <v>1</v>
      </c>
      <c r="T483" s="2394">
        <f>IF(OR(J483="COP",J483="EURO",J483="GBP"),0,IF(J483="USD",VLOOKUP(R483,'TRM BanRep'!$A:$G,7,0)))</f>
        <v>0</v>
      </c>
      <c r="U483" s="2395">
        <f t="shared" si="33"/>
        <v>0</v>
      </c>
      <c r="V483" s="2395" t="str">
        <f t="shared" si="34"/>
        <v/>
      </c>
    </row>
    <row r="484" spans="3:22" hidden="1">
      <c r="C484">
        <v>2022</v>
      </c>
      <c r="D484" t="s">
        <v>1797</v>
      </c>
      <c r="F484">
        <v>2422999997</v>
      </c>
      <c r="G484" t="s">
        <v>1609</v>
      </c>
      <c r="H484" t="s">
        <v>1879</v>
      </c>
      <c r="I484" t="s">
        <v>1653</v>
      </c>
      <c r="J484" t="s">
        <v>106</v>
      </c>
      <c r="K484">
        <v>7900005474</v>
      </c>
      <c r="L484" t="s">
        <v>1879</v>
      </c>
      <c r="M484" s="1633">
        <v>-4789770910</v>
      </c>
      <c r="N484">
        <v>1</v>
      </c>
      <c r="O484">
        <v>50</v>
      </c>
      <c r="P484" s="1633">
        <v>-4789770910</v>
      </c>
      <c r="Q484" t="s">
        <v>106</v>
      </c>
      <c r="R484" s="2392">
        <v>44700</v>
      </c>
      <c r="S484" s="2393">
        <f t="shared" si="32"/>
        <v>1</v>
      </c>
      <c r="T484" s="2394">
        <f>IF(OR(J484="COP",J484="EURO",J484="GBP"),0,IF(J484="USD",VLOOKUP(R484,'TRM BanRep'!$A:$G,7,0)))</f>
        <v>0</v>
      </c>
      <c r="U484" s="2395">
        <f t="shared" si="33"/>
        <v>0</v>
      </c>
      <c r="V484" s="2395" t="str">
        <f t="shared" si="34"/>
        <v/>
      </c>
    </row>
    <row r="485" spans="3:22" hidden="1">
      <c r="C485">
        <v>2022</v>
      </c>
      <c r="D485" t="s">
        <v>1797</v>
      </c>
      <c r="F485">
        <v>2422999997</v>
      </c>
      <c r="G485" t="s">
        <v>1609</v>
      </c>
      <c r="H485" t="s">
        <v>1821</v>
      </c>
      <c r="I485" t="s">
        <v>1655</v>
      </c>
      <c r="J485" t="s">
        <v>106</v>
      </c>
      <c r="K485">
        <v>7900005535</v>
      </c>
      <c r="L485" t="s">
        <v>1821</v>
      </c>
      <c r="M485" s="1633">
        <v>-9923622831</v>
      </c>
      <c r="N485">
        <v>1</v>
      </c>
      <c r="O485">
        <v>50</v>
      </c>
      <c r="P485" s="1633">
        <v>-9923622831</v>
      </c>
      <c r="Q485" t="s">
        <v>106</v>
      </c>
      <c r="R485" s="2392">
        <v>44707</v>
      </c>
      <c r="S485" s="2393">
        <f t="shared" si="32"/>
        <v>1</v>
      </c>
      <c r="T485" s="2394">
        <f>IF(OR(J485="COP",J485="EURO",J485="GBP"),0,IF(J485="USD",VLOOKUP(R485,'TRM BanRep'!$A:$G,7,0)))</f>
        <v>0</v>
      </c>
      <c r="U485" s="2395">
        <f t="shared" si="33"/>
        <v>0</v>
      </c>
      <c r="V485" s="2395" t="str">
        <f t="shared" si="34"/>
        <v/>
      </c>
    </row>
    <row r="486" spans="3:22" hidden="1">
      <c r="C486">
        <v>2022</v>
      </c>
      <c r="D486" t="s">
        <v>1797</v>
      </c>
      <c r="F486">
        <v>2422999997</v>
      </c>
      <c r="G486" t="s">
        <v>1609</v>
      </c>
      <c r="H486" t="s">
        <v>1826</v>
      </c>
      <c r="I486" t="s">
        <v>1659</v>
      </c>
      <c r="J486" t="s">
        <v>106</v>
      </c>
      <c r="K486">
        <v>7900005634</v>
      </c>
      <c r="L486" t="s">
        <v>1826</v>
      </c>
      <c r="M486" s="1633">
        <v>-5903325000</v>
      </c>
      <c r="N486">
        <v>1</v>
      </c>
      <c r="O486">
        <v>50</v>
      </c>
      <c r="P486" s="1633">
        <v>-5903325000</v>
      </c>
      <c r="Q486" t="s">
        <v>106</v>
      </c>
      <c r="R486" s="2392">
        <v>44708</v>
      </c>
      <c r="S486" s="2393">
        <f t="shared" si="32"/>
        <v>1</v>
      </c>
      <c r="T486" s="2394">
        <f>IF(OR(J486="COP",J486="EURO",J486="GBP"),0,IF(J486="USD",VLOOKUP(R486,'TRM BanRep'!$A:$G,7,0)))</f>
        <v>0</v>
      </c>
      <c r="U486" s="2395">
        <f t="shared" si="33"/>
        <v>0</v>
      </c>
      <c r="V486" s="2395" t="str">
        <f t="shared" si="34"/>
        <v/>
      </c>
    </row>
    <row r="487" spans="3:22" hidden="1">
      <c r="C487">
        <v>2022</v>
      </c>
      <c r="D487" t="s">
        <v>1797</v>
      </c>
      <c r="F487">
        <v>2422999997</v>
      </c>
      <c r="G487" t="s">
        <v>1609</v>
      </c>
      <c r="H487" t="s">
        <v>1826</v>
      </c>
      <c r="I487" t="s">
        <v>1658</v>
      </c>
      <c r="J487" t="s">
        <v>106</v>
      </c>
      <c r="K487">
        <v>7900005635</v>
      </c>
      <c r="L487" t="s">
        <v>1826</v>
      </c>
      <c r="M487" s="1633">
        <v>-3781950000</v>
      </c>
      <c r="N487">
        <v>1</v>
      </c>
      <c r="O487">
        <v>50</v>
      </c>
      <c r="P487" s="1633">
        <v>-3781950000</v>
      </c>
      <c r="Q487" t="s">
        <v>106</v>
      </c>
      <c r="R487" s="2392">
        <v>44708</v>
      </c>
      <c r="S487" s="2393">
        <f t="shared" si="32"/>
        <v>1</v>
      </c>
      <c r="T487" s="2394">
        <f>IF(OR(J487="COP",J487="EURO",J487="GBP"),0,IF(J487="USD",VLOOKUP(R487,'TRM BanRep'!$A:$G,7,0)))</f>
        <v>0</v>
      </c>
      <c r="U487" s="2395">
        <f t="shared" si="33"/>
        <v>0</v>
      </c>
      <c r="V487" s="2395" t="str">
        <f t="shared" si="34"/>
        <v/>
      </c>
    </row>
    <row r="488" spans="3:22" hidden="1">
      <c r="C488">
        <v>2022</v>
      </c>
      <c r="D488" t="s">
        <v>1797</v>
      </c>
      <c r="F488">
        <v>2422999997</v>
      </c>
      <c r="G488" t="s">
        <v>1609</v>
      </c>
      <c r="H488" t="s">
        <v>1826</v>
      </c>
      <c r="I488" t="s">
        <v>1660</v>
      </c>
      <c r="J488" t="s">
        <v>106</v>
      </c>
      <c r="K488">
        <v>7900005636</v>
      </c>
      <c r="L488" t="s">
        <v>1826</v>
      </c>
      <c r="M488" s="1633">
        <v>-3730750000</v>
      </c>
      <c r="N488">
        <v>1</v>
      </c>
      <c r="O488">
        <v>50</v>
      </c>
      <c r="P488" s="1633">
        <v>-3730750000</v>
      </c>
      <c r="Q488" t="s">
        <v>106</v>
      </c>
      <c r="R488" s="2392">
        <v>44708</v>
      </c>
      <c r="S488" s="2393">
        <f t="shared" si="32"/>
        <v>1</v>
      </c>
      <c r="T488" s="2394">
        <f>IF(OR(J488="COP",J488="EURO",J488="GBP"),0,IF(J488="USD",VLOOKUP(R488,'TRM BanRep'!$A:$G,7,0)))</f>
        <v>0</v>
      </c>
      <c r="U488" s="2395">
        <f t="shared" si="33"/>
        <v>0</v>
      </c>
      <c r="V488" s="2395" t="str">
        <f t="shared" si="34"/>
        <v/>
      </c>
    </row>
    <row r="489" spans="3:22" hidden="1">
      <c r="C489">
        <v>2022</v>
      </c>
      <c r="D489" t="s">
        <v>1797</v>
      </c>
      <c r="F489">
        <v>2422999997</v>
      </c>
      <c r="G489" t="s">
        <v>1609</v>
      </c>
      <c r="H489" t="s">
        <v>1826</v>
      </c>
      <c r="I489" t="s">
        <v>1657</v>
      </c>
      <c r="J489" t="s">
        <v>106</v>
      </c>
      <c r="K489">
        <v>7900005637</v>
      </c>
      <c r="L489" t="s">
        <v>1826</v>
      </c>
      <c r="M489" s="1633">
        <v>-5203400000</v>
      </c>
      <c r="N489">
        <v>1</v>
      </c>
      <c r="O489">
        <v>50</v>
      </c>
      <c r="P489" s="1633">
        <v>-5203400000</v>
      </c>
      <c r="Q489" t="s">
        <v>106</v>
      </c>
      <c r="R489" s="2392">
        <v>44708</v>
      </c>
      <c r="S489" s="2393">
        <f t="shared" si="32"/>
        <v>1</v>
      </c>
      <c r="T489" s="2394">
        <f>IF(OR(J489="COP",J489="EURO",J489="GBP"),0,IF(J489="USD",VLOOKUP(R489,'TRM BanRep'!$A:$G,7,0)))</f>
        <v>0</v>
      </c>
      <c r="U489" s="2395">
        <f t="shared" si="33"/>
        <v>0</v>
      </c>
      <c r="V489" s="2395" t="str">
        <f t="shared" si="34"/>
        <v/>
      </c>
    </row>
    <row r="490" spans="3:22" hidden="1">
      <c r="C490">
        <v>2022</v>
      </c>
      <c r="D490" t="s">
        <v>1797</v>
      </c>
      <c r="F490">
        <v>2422999997</v>
      </c>
      <c r="G490" t="s">
        <v>1609</v>
      </c>
      <c r="H490" t="s">
        <v>1826</v>
      </c>
      <c r="I490" t="s">
        <v>1656</v>
      </c>
      <c r="J490" t="s">
        <v>106</v>
      </c>
      <c r="K490">
        <v>7900005638</v>
      </c>
      <c r="L490" t="s">
        <v>1826</v>
      </c>
      <c r="M490" s="1633">
        <v>-6345750000</v>
      </c>
      <c r="N490">
        <v>1</v>
      </c>
      <c r="O490">
        <v>50</v>
      </c>
      <c r="P490" s="1633">
        <v>-6345750000</v>
      </c>
      <c r="Q490" t="s">
        <v>106</v>
      </c>
      <c r="R490" s="2392">
        <v>44708</v>
      </c>
      <c r="S490" s="2393">
        <f t="shared" si="32"/>
        <v>1</v>
      </c>
      <c r="T490" s="2394">
        <f>IF(OR(J490="COP",J490="EURO",J490="GBP"),0,IF(J490="USD",VLOOKUP(R490,'TRM BanRep'!$A:$G,7,0)))</f>
        <v>0</v>
      </c>
      <c r="U490" s="2395">
        <f t="shared" si="33"/>
        <v>0</v>
      </c>
      <c r="V490" s="2395" t="str">
        <f t="shared" si="34"/>
        <v/>
      </c>
    </row>
    <row r="491" spans="3:22" hidden="1">
      <c r="C491">
        <v>2022</v>
      </c>
      <c r="D491" t="s">
        <v>1797</v>
      </c>
      <c r="F491">
        <v>2422999997</v>
      </c>
      <c r="G491" t="s">
        <v>1557</v>
      </c>
      <c r="H491" t="s">
        <v>1817</v>
      </c>
      <c r="I491" t="s">
        <v>1851</v>
      </c>
      <c r="J491" t="s">
        <v>64</v>
      </c>
      <c r="K491">
        <v>7900005824</v>
      </c>
      <c r="L491" t="s">
        <v>1817</v>
      </c>
      <c r="M491" s="1633">
        <v>-9711835.5099999998</v>
      </c>
      <c r="N491">
        <v>3959.05</v>
      </c>
      <c r="O491">
        <v>50</v>
      </c>
      <c r="P491" s="1633">
        <v>-38449642365</v>
      </c>
      <c r="Q491" t="s">
        <v>106</v>
      </c>
      <c r="R491" s="2392">
        <v>44712</v>
      </c>
      <c r="S491" s="2393">
        <f t="shared" si="32"/>
        <v>3959.05</v>
      </c>
      <c r="T491" s="2394">
        <f>IF(OR(J491="COP",J491="EURO",J491="GBP"),0,IF(J491="USD",VLOOKUP(R491,'TRM BanRep'!$A:$G,7,0)))</f>
        <v>3912.34</v>
      </c>
      <c r="U491" s="2395">
        <f t="shared" si="33"/>
        <v>-453639836.67210037</v>
      </c>
      <c r="V491" s="2397" t="str">
        <f t="shared" si="34"/>
        <v>1-INGRESO</v>
      </c>
    </row>
    <row r="492" spans="3:22" hidden="1">
      <c r="C492">
        <v>2022</v>
      </c>
      <c r="D492" t="s">
        <v>1797</v>
      </c>
      <c r="F492">
        <v>2422999997</v>
      </c>
      <c r="G492" t="s">
        <v>1557</v>
      </c>
      <c r="H492" t="s">
        <v>1821</v>
      </c>
      <c r="I492" t="s">
        <v>1858</v>
      </c>
      <c r="J492" t="s">
        <v>64</v>
      </c>
      <c r="K492">
        <v>7900005953</v>
      </c>
      <c r="L492" t="s">
        <v>1821</v>
      </c>
      <c r="M492" s="1633">
        <v>-600000</v>
      </c>
      <c r="N492">
        <v>3959.05</v>
      </c>
      <c r="O492">
        <v>50</v>
      </c>
      <c r="P492" s="1633">
        <v>-2375430000</v>
      </c>
      <c r="Q492" t="s">
        <v>106</v>
      </c>
      <c r="R492" s="2392">
        <v>44707</v>
      </c>
      <c r="S492" s="2393">
        <f t="shared" si="32"/>
        <v>3959.05</v>
      </c>
      <c r="T492" s="2394">
        <f>IF(OR(J492="COP",J492="EURO",J492="GBP"),0,IF(J492="USD",VLOOKUP(R492,'TRM BanRep'!$A:$G,7,0)))</f>
        <v>3959.05</v>
      </c>
      <c r="U492" s="2395">
        <f t="shared" si="33"/>
        <v>0</v>
      </c>
      <c r="V492" s="2395" t="str">
        <f t="shared" si="34"/>
        <v/>
      </c>
    </row>
    <row r="493" spans="3:22" hidden="1">
      <c r="C493">
        <v>2022</v>
      </c>
      <c r="D493" t="s">
        <v>1797</v>
      </c>
      <c r="F493">
        <v>2422999997</v>
      </c>
      <c r="G493" t="s">
        <v>1557</v>
      </c>
      <c r="H493" t="s">
        <v>1821</v>
      </c>
      <c r="I493" t="s">
        <v>1859</v>
      </c>
      <c r="J493" t="s">
        <v>64</v>
      </c>
      <c r="K493">
        <v>7900005961</v>
      </c>
      <c r="L493" t="s">
        <v>1821</v>
      </c>
      <c r="M493" s="1633">
        <v>-46848.05</v>
      </c>
      <c r="N493">
        <v>3959.04999</v>
      </c>
      <c r="O493">
        <v>50</v>
      </c>
      <c r="P493" s="1633">
        <v>-185473772</v>
      </c>
      <c r="Q493" t="s">
        <v>106</v>
      </c>
      <c r="R493" s="2392">
        <v>44707</v>
      </c>
      <c r="S493" s="2393">
        <f t="shared" si="32"/>
        <v>3959.05</v>
      </c>
      <c r="T493" s="2394">
        <f>IF(OR(J493="COP",J493="EURO",J493="GBP"),0,IF(J493="USD",VLOOKUP(R493,'TRM BanRep'!$A:$G,7,0)))</f>
        <v>3959.05</v>
      </c>
      <c r="U493" s="2395">
        <f t="shared" si="33"/>
        <v>0</v>
      </c>
      <c r="V493" s="2395" t="str">
        <f t="shared" si="34"/>
        <v/>
      </c>
    </row>
    <row r="494" spans="3:22" hidden="1">
      <c r="C494">
        <v>2022</v>
      </c>
      <c r="D494" t="s">
        <v>1797</v>
      </c>
      <c r="F494">
        <v>2422999997</v>
      </c>
      <c r="G494" t="s">
        <v>1557</v>
      </c>
      <c r="H494" t="s">
        <v>1817</v>
      </c>
      <c r="I494" t="s">
        <v>1864</v>
      </c>
      <c r="J494" t="s">
        <v>64</v>
      </c>
      <c r="K494">
        <v>7900006832</v>
      </c>
      <c r="L494" t="s">
        <v>1817</v>
      </c>
      <c r="M494" s="1633">
        <v>-371000068</v>
      </c>
      <c r="N494">
        <v>3858.18</v>
      </c>
      <c r="O494">
        <v>50</v>
      </c>
      <c r="P494" s="1633">
        <v>-1431385042316</v>
      </c>
      <c r="Q494" t="s">
        <v>106</v>
      </c>
      <c r="R494" s="2392">
        <v>44712</v>
      </c>
      <c r="S494" s="2393">
        <f t="shared" si="32"/>
        <v>3858.18</v>
      </c>
      <c r="T494" s="2394">
        <f>IF(OR(J494="COP",J494="EURO",J494="GBP"),0,IF(J494="USD",VLOOKUP(R494,'TRM BanRep'!$A:$G,7,0)))</f>
        <v>3912.34</v>
      </c>
      <c r="U494" s="2395">
        <f t="shared" si="33"/>
        <v>20093363682.880116</v>
      </c>
      <c r="V494" s="2396" t="str">
        <f t="shared" si="34"/>
        <v>2-GASTO</v>
      </c>
    </row>
    <row r="495" spans="3:22" hidden="1">
      <c r="C495">
        <v>2022</v>
      </c>
      <c r="D495" t="s">
        <v>1797</v>
      </c>
      <c r="F495">
        <v>2422999997</v>
      </c>
      <c r="G495" t="s">
        <v>1608</v>
      </c>
      <c r="H495" t="s">
        <v>1817</v>
      </c>
      <c r="J495" t="s">
        <v>64</v>
      </c>
      <c r="K495">
        <v>2000005511</v>
      </c>
      <c r="L495" t="s">
        <v>1817</v>
      </c>
      <c r="M495" s="1633">
        <v>9711835.5099999998</v>
      </c>
      <c r="N495">
        <v>3959.05</v>
      </c>
      <c r="O495">
        <v>40</v>
      </c>
      <c r="P495" s="1633">
        <v>38449642365</v>
      </c>
      <c r="Q495" t="s">
        <v>106</v>
      </c>
      <c r="R495" s="2392">
        <v>44712</v>
      </c>
      <c r="S495" s="2393">
        <f t="shared" si="32"/>
        <v>3959.05</v>
      </c>
      <c r="T495" s="2394">
        <f>IF(OR(J495="COP",J495="EURO",J495="GBP"),0,IF(J495="USD",VLOOKUP(R495,'TRM BanRep'!$A:$G,7,0)))</f>
        <v>3912.34</v>
      </c>
      <c r="U495" s="2395">
        <f t="shared" si="33"/>
        <v>453639836.67210037</v>
      </c>
      <c r="V495" s="2396" t="str">
        <f t="shared" si="34"/>
        <v>2-GASTO</v>
      </c>
    </row>
    <row r="496" spans="3:22" hidden="1">
      <c r="C496">
        <v>2022</v>
      </c>
      <c r="D496" t="s">
        <v>1797</v>
      </c>
      <c r="F496">
        <v>2422999997</v>
      </c>
      <c r="G496" t="s">
        <v>1608</v>
      </c>
      <c r="H496" t="s">
        <v>1821</v>
      </c>
      <c r="J496" t="s">
        <v>64</v>
      </c>
      <c r="K496">
        <v>2000005589</v>
      </c>
      <c r="L496" t="s">
        <v>1821</v>
      </c>
      <c r="M496" s="1633">
        <v>600000</v>
      </c>
      <c r="N496">
        <v>3959.05</v>
      </c>
      <c r="O496">
        <v>40</v>
      </c>
      <c r="P496" s="1633">
        <v>2375430000</v>
      </c>
      <c r="Q496" t="s">
        <v>106</v>
      </c>
      <c r="R496" s="2392">
        <v>44707</v>
      </c>
      <c r="S496" s="2393">
        <f t="shared" si="32"/>
        <v>3959.05</v>
      </c>
      <c r="T496" s="2394">
        <f>IF(OR(J496="COP",J496="EURO",J496="GBP"),0,IF(J496="USD",VLOOKUP(R496,'TRM BanRep'!$A:$G,7,0)))</f>
        <v>3959.05</v>
      </c>
      <c r="U496" s="2395">
        <f t="shared" si="33"/>
        <v>0</v>
      </c>
      <c r="V496" s="2395" t="str">
        <f t="shared" si="34"/>
        <v/>
      </c>
    </row>
    <row r="497" spans="3:22" hidden="1">
      <c r="C497">
        <v>2022</v>
      </c>
      <c r="D497" t="s">
        <v>1797</v>
      </c>
      <c r="F497">
        <v>2422999997</v>
      </c>
      <c r="G497" t="s">
        <v>1608</v>
      </c>
      <c r="H497" t="s">
        <v>1821</v>
      </c>
      <c r="J497" t="s">
        <v>64</v>
      </c>
      <c r="K497">
        <v>2000005590</v>
      </c>
      <c r="L497" t="s">
        <v>1821</v>
      </c>
      <c r="M497" s="1633">
        <v>46848.05</v>
      </c>
      <c r="N497">
        <v>3959.04999</v>
      </c>
      <c r="O497">
        <v>40</v>
      </c>
      <c r="P497" s="1633">
        <v>185473772</v>
      </c>
      <c r="Q497" t="s">
        <v>106</v>
      </c>
      <c r="R497" s="2392">
        <v>44707</v>
      </c>
      <c r="S497" s="2393">
        <f t="shared" si="32"/>
        <v>3959.05</v>
      </c>
      <c r="T497" s="2394">
        <f>IF(OR(J497="COP",J497="EURO",J497="GBP"),0,IF(J497="USD",VLOOKUP(R497,'TRM BanRep'!$A:$G,7,0)))</f>
        <v>3959.05</v>
      </c>
      <c r="U497" s="2395">
        <f t="shared" si="33"/>
        <v>0</v>
      </c>
      <c r="V497" s="2395" t="str">
        <f t="shared" si="34"/>
        <v/>
      </c>
    </row>
    <row r="498" spans="3:22" hidden="1">
      <c r="C498">
        <v>2022</v>
      </c>
      <c r="D498" t="s">
        <v>1797</v>
      </c>
      <c r="F498">
        <v>2422999997</v>
      </c>
      <c r="G498" t="s">
        <v>1608</v>
      </c>
      <c r="H498" t="s">
        <v>1817</v>
      </c>
      <c r="J498" t="s">
        <v>64</v>
      </c>
      <c r="K498">
        <v>2000005599</v>
      </c>
      <c r="L498" t="s">
        <v>1817</v>
      </c>
      <c r="M498" s="1633">
        <v>371000068</v>
      </c>
      <c r="N498">
        <v>3858.18</v>
      </c>
      <c r="O498">
        <v>40</v>
      </c>
      <c r="P498" s="1633">
        <v>1431385042316</v>
      </c>
      <c r="Q498" t="s">
        <v>106</v>
      </c>
      <c r="R498" s="2392">
        <v>44712</v>
      </c>
      <c r="S498" s="2393">
        <f t="shared" si="32"/>
        <v>3858.18</v>
      </c>
      <c r="T498" s="2394">
        <f>IF(OR(J498="COP",J498="EURO",J498="GBP"),0,IF(J498="USD",VLOOKUP(R498,'TRM BanRep'!$A:$G,7,0)))</f>
        <v>3912.34</v>
      </c>
      <c r="U498" s="2395">
        <f t="shared" si="33"/>
        <v>-20093363682.880116</v>
      </c>
      <c r="V498" s="2397" t="str">
        <f t="shared" si="34"/>
        <v>1-INGRESO</v>
      </c>
    </row>
    <row r="499" spans="3:22">
      <c r="M499" s="1633"/>
      <c r="P499" s="1633"/>
      <c r="R499" s="2392"/>
      <c r="S499" s="2393"/>
      <c r="T499" s="2394"/>
      <c r="U499" s="2395"/>
      <c r="V499" s="2395" t="str">
        <f t="shared" si="34"/>
        <v/>
      </c>
    </row>
    <row r="500" spans="3:22" hidden="1">
      <c r="C500">
        <v>2022</v>
      </c>
      <c r="D500" t="s">
        <v>1881</v>
      </c>
      <c r="F500">
        <v>1202049905</v>
      </c>
      <c r="G500" t="s">
        <v>1557</v>
      </c>
      <c r="H500" t="s">
        <v>1882</v>
      </c>
      <c r="I500" t="s">
        <v>1883</v>
      </c>
      <c r="J500" t="s">
        <v>106</v>
      </c>
      <c r="K500">
        <v>7900007051</v>
      </c>
      <c r="L500" t="s">
        <v>1882</v>
      </c>
      <c r="M500" s="1633">
        <v>15204400000</v>
      </c>
      <c r="N500">
        <v>1</v>
      </c>
      <c r="O500">
        <v>40</v>
      </c>
      <c r="P500" s="1633">
        <v>15204400000</v>
      </c>
      <c r="Q500" t="s">
        <v>106</v>
      </c>
      <c r="R500" s="2392">
        <v>44714</v>
      </c>
      <c r="S500" s="2393">
        <f t="shared" ref="S500:S563" si="35">+ROUND(P500/M500,2)</f>
        <v>1</v>
      </c>
      <c r="T500" s="2394">
        <f>IF(OR(J500="COP",J500="EURO",J500="GBP"),0,IF(J500="USD",VLOOKUP(R500,'TRM BanRep'!$A:$G,7,0)))</f>
        <v>0</v>
      </c>
      <c r="U500" s="2395">
        <f t="shared" ref="U500:U563" si="36">IF(F500=2422999997,-IF(T500=0,0,(T500-S500)*M500),IF(T500=0,0,(T500-S500)*M500))</f>
        <v>0</v>
      </c>
      <c r="V500" s="2395" t="str">
        <f t="shared" si="34"/>
        <v/>
      </c>
    </row>
    <row r="501" spans="3:22" hidden="1">
      <c r="C501">
        <v>2022</v>
      </c>
      <c r="D501" t="s">
        <v>1881</v>
      </c>
      <c r="F501">
        <v>1202049905</v>
      </c>
      <c r="G501" t="s">
        <v>1557</v>
      </c>
      <c r="H501" t="s">
        <v>1882</v>
      </c>
      <c r="I501" t="s">
        <v>1884</v>
      </c>
      <c r="J501" t="s">
        <v>106</v>
      </c>
      <c r="K501">
        <v>7900007059</v>
      </c>
      <c r="L501" t="s">
        <v>1882</v>
      </c>
      <c r="M501" s="1633">
        <v>15192800000</v>
      </c>
      <c r="N501">
        <v>1</v>
      </c>
      <c r="O501">
        <v>40</v>
      </c>
      <c r="P501" s="1633">
        <v>15192800000</v>
      </c>
      <c r="Q501" t="s">
        <v>106</v>
      </c>
      <c r="R501" s="2392">
        <v>44714</v>
      </c>
      <c r="S501" s="2393">
        <f t="shared" si="35"/>
        <v>1</v>
      </c>
      <c r="T501" s="2394">
        <f>IF(OR(J501="COP",J501="EURO",J501="GBP"),0,IF(J501="USD",VLOOKUP(R501,'TRM BanRep'!$A:$G,7,0)))</f>
        <v>0</v>
      </c>
      <c r="U501" s="2395">
        <f t="shared" si="36"/>
        <v>0</v>
      </c>
      <c r="V501" s="2395" t="str">
        <f t="shared" si="34"/>
        <v/>
      </c>
    </row>
    <row r="502" spans="3:22" hidden="1">
      <c r="C502">
        <v>2022</v>
      </c>
      <c r="D502" t="s">
        <v>1881</v>
      </c>
      <c r="F502">
        <v>1202049905</v>
      </c>
      <c r="G502" t="s">
        <v>1557</v>
      </c>
      <c r="H502" t="s">
        <v>1882</v>
      </c>
      <c r="I502" t="s">
        <v>1885</v>
      </c>
      <c r="J502" t="s">
        <v>106</v>
      </c>
      <c r="K502">
        <v>7900007067</v>
      </c>
      <c r="L502" t="s">
        <v>1882</v>
      </c>
      <c r="M502" s="1633">
        <v>3099999999</v>
      </c>
      <c r="N502">
        <v>1</v>
      </c>
      <c r="O502">
        <v>40</v>
      </c>
      <c r="P502" s="1633">
        <v>3099999999</v>
      </c>
      <c r="Q502" t="s">
        <v>106</v>
      </c>
      <c r="R502" s="2392">
        <v>44714</v>
      </c>
      <c r="S502" s="2393">
        <f t="shared" si="35"/>
        <v>1</v>
      </c>
      <c r="T502" s="2394">
        <f>IF(OR(J502="COP",J502="EURO",J502="GBP"),0,IF(J502="USD",VLOOKUP(R502,'TRM BanRep'!$A:$G,7,0)))</f>
        <v>0</v>
      </c>
      <c r="U502" s="2395">
        <f t="shared" si="36"/>
        <v>0</v>
      </c>
      <c r="V502" s="2395" t="str">
        <f t="shared" si="34"/>
        <v/>
      </c>
    </row>
    <row r="503" spans="3:22" hidden="1">
      <c r="C503">
        <v>2022</v>
      </c>
      <c r="D503" t="s">
        <v>1881</v>
      </c>
      <c r="F503">
        <v>1202049905</v>
      </c>
      <c r="G503" t="s">
        <v>1557</v>
      </c>
      <c r="H503" t="s">
        <v>1886</v>
      </c>
      <c r="I503" t="s">
        <v>1887</v>
      </c>
      <c r="J503" t="s">
        <v>106</v>
      </c>
      <c r="K503">
        <v>7900007074</v>
      </c>
      <c r="L503" t="s">
        <v>1886</v>
      </c>
      <c r="M503" s="1633">
        <v>-3091335798</v>
      </c>
      <c r="N503">
        <v>1</v>
      </c>
      <c r="O503">
        <v>50</v>
      </c>
      <c r="P503" s="1633">
        <v>-3091335798</v>
      </c>
      <c r="Q503" t="s">
        <v>106</v>
      </c>
      <c r="R503" s="2392">
        <v>44718</v>
      </c>
      <c r="S503" s="2393">
        <f t="shared" si="35"/>
        <v>1</v>
      </c>
      <c r="T503" s="2394">
        <f>IF(OR(J503="COP",J503="EURO",J503="GBP"),0,IF(J503="USD",VLOOKUP(R503,'TRM BanRep'!$A:$G,7,0)))</f>
        <v>0</v>
      </c>
      <c r="U503" s="2395">
        <f t="shared" si="36"/>
        <v>0</v>
      </c>
      <c r="V503" s="2395" t="str">
        <f t="shared" si="34"/>
        <v/>
      </c>
    </row>
    <row r="504" spans="3:22" hidden="1">
      <c r="C504">
        <v>2022</v>
      </c>
      <c r="D504" t="s">
        <v>1881</v>
      </c>
      <c r="F504">
        <v>1202049905</v>
      </c>
      <c r="G504" t="s">
        <v>1557</v>
      </c>
      <c r="H504" t="s">
        <v>1888</v>
      </c>
      <c r="I504" t="s">
        <v>1889</v>
      </c>
      <c r="J504" t="s">
        <v>106</v>
      </c>
      <c r="K504">
        <v>7900007190</v>
      </c>
      <c r="L504" t="s">
        <v>1888</v>
      </c>
      <c r="M504" s="1633">
        <v>1752412989</v>
      </c>
      <c r="N504">
        <v>1</v>
      </c>
      <c r="O504">
        <v>40</v>
      </c>
      <c r="P504" s="1633">
        <v>1752412989</v>
      </c>
      <c r="Q504" t="s">
        <v>106</v>
      </c>
      <c r="R504" s="2392">
        <v>44719</v>
      </c>
      <c r="S504" s="2393">
        <f t="shared" si="35"/>
        <v>1</v>
      </c>
      <c r="T504" s="2394">
        <f>IF(OR(J504="COP",J504="EURO",J504="GBP"),0,IF(J504="USD",VLOOKUP(R504,'TRM BanRep'!$A:$G,7,0)))</f>
        <v>0</v>
      </c>
      <c r="U504" s="2395">
        <f t="shared" si="36"/>
        <v>0</v>
      </c>
      <c r="V504" s="2395" t="str">
        <f t="shared" si="34"/>
        <v/>
      </c>
    </row>
    <row r="505" spans="3:22" hidden="1">
      <c r="C505">
        <v>2022</v>
      </c>
      <c r="D505" t="s">
        <v>1881</v>
      </c>
      <c r="F505">
        <v>1202049905</v>
      </c>
      <c r="G505" t="s">
        <v>1557</v>
      </c>
      <c r="H505" t="s">
        <v>1890</v>
      </c>
      <c r="I505" t="s">
        <v>1891</v>
      </c>
      <c r="J505" t="s">
        <v>106</v>
      </c>
      <c r="K505">
        <v>7900007198</v>
      </c>
      <c r="L505" t="s">
        <v>1890</v>
      </c>
      <c r="M505" s="1633">
        <v>20114560000</v>
      </c>
      <c r="N505">
        <v>1</v>
      </c>
      <c r="O505">
        <v>40</v>
      </c>
      <c r="P505" s="1633">
        <v>20114560000</v>
      </c>
      <c r="Q505" t="s">
        <v>106</v>
      </c>
      <c r="R505" s="2392">
        <v>44720</v>
      </c>
      <c r="S505" s="2393">
        <f t="shared" si="35"/>
        <v>1</v>
      </c>
      <c r="T505" s="2394">
        <f>IF(OR(J505="COP",J505="EURO",J505="GBP"),0,IF(J505="USD",VLOOKUP(R505,'TRM BanRep'!$A:$G,7,0)))</f>
        <v>0</v>
      </c>
      <c r="U505" s="2395">
        <f t="shared" si="36"/>
        <v>0</v>
      </c>
      <c r="V505" s="2395" t="str">
        <f t="shared" si="34"/>
        <v/>
      </c>
    </row>
    <row r="506" spans="3:22" hidden="1">
      <c r="C506">
        <v>2022</v>
      </c>
      <c r="D506" t="s">
        <v>1881</v>
      </c>
      <c r="F506">
        <v>1202049905</v>
      </c>
      <c r="G506" t="s">
        <v>1557</v>
      </c>
      <c r="H506" t="s">
        <v>1892</v>
      </c>
      <c r="I506" t="s">
        <v>1893</v>
      </c>
      <c r="J506" t="s">
        <v>106</v>
      </c>
      <c r="K506">
        <v>7900007205</v>
      </c>
      <c r="L506" t="s">
        <v>1892</v>
      </c>
      <c r="M506" s="1633">
        <v>-11903644567</v>
      </c>
      <c r="N506">
        <v>1</v>
      </c>
      <c r="O506">
        <v>50</v>
      </c>
      <c r="P506" s="1633">
        <v>-11903644567</v>
      </c>
      <c r="Q506" t="s">
        <v>106</v>
      </c>
      <c r="R506" s="2392">
        <v>44722</v>
      </c>
      <c r="S506" s="2393">
        <f t="shared" si="35"/>
        <v>1</v>
      </c>
      <c r="T506" s="2394">
        <f>IF(OR(J506="COP",J506="EURO",J506="GBP"),0,IF(J506="USD",VLOOKUP(R506,'TRM BanRep'!$A:$G,7,0)))</f>
        <v>0</v>
      </c>
      <c r="U506" s="2395">
        <f t="shared" si="36"/>
        <v>0</v>
      </c>
      <c r="V506" s="2395" t="str">
        <f t="shared" si="34"/>
        <v/>
      </c>
    </row>
    <row r="507" spans="3:22" hidden="1">
      <c r="C507">
        <v>2022</v>
      </c>
      <c r="D507" t="s">
        <v>1881</v>
      </c>
      <c r="F507">
        <v>1202049905</v>
      </c>
      <c r="G507" t="s">
        <v>1557</v>
      </c>
      <c r="H507" t="s">
        <v>1894</v>
      </c>
      <c r="I507" t="s">
        <v>1895</v>
      </c>
      <c r="J507" t="s">
        <v>106</v>
      </c>
      <c r="K507">
        <v>7900007245</v>
      </c>
      <c r="L507" t="s">
        <v>1894</v>
      </c>
      <c r="M507" s="1633">
        <v>-1638603688884</v>
      </c>
      <c r="N507">
        <v>1</v>
      </c>
      <c r="O507">
        <v>50</v>
      </c>
      <c r="P507" s="1633">
        <v>-1638603688884</v>
      </c>
      <c r="Q507" t="s">
        <v>106</v>
      </c>
      <c r="R507" s="2392">
        <v>44728</v>
      </c>
      <c r="S507" s="2393">
        <f t="shared" si="35"/>
        <v>1</v>
      </c>
      <c r="T507" s="2394">
        <f>IF(OR(J507="COP",J507="EURO",J507="GBP"),0,IF(J507="USD",VLOOKUP(R507,'TRM BanRep'!$A:$G,7,0)))</f>
        <v>0</v>
      </c>
      <c r="U507" s="2395">
        <f t="shared" si="36"/>
        <v>0</v>
      </c>
      <c r="V507" s="2395" t="str">
        <f t="shared" si="34"/>
        <v/>
      </c>
    </row>
    <row r="508" spans="3:22" hidden="1">
      <c r="C508">
        <v>2022</v>
      </c>
      <c r="D508" t="s">
        <v>1881</v>
      </c>
      <c r="F508">
        <v>1202049905</v>
      </c>
      <c r="G508" t="s">
        <v>1557</v>
      </c>
      <c r="H508" t="s">
        <v>1896</v>
      </c>
      <c r="I508" t="s">
        <v>1897</v>
      </c>
      <c r="J508" t="s">
        <v>106</v>
      </c>
      <c r="K508">
        <v>7900007253</v>
      </c>
      <c r="L508" t="s">
        <v>1896</v>
      </c>
      <c r="M508" s="1633">
        <v>-8627648269</v>
      </c>
      <c r="N508">
        <v>1</v>
      </c>
      <c r="O508">
        <v>50</v>
      </c>
      <c r="P508" s="1633">
        <v>-8627648269</v>
      </c>
      <c r="Q508" t="s">
        <v>106</v>
      </c>
      <c r="R508" s="2392">
        <v>44740</v>
      </c>
      <c r="S508" s="2393">
        <f t="shared" si="35"/>
        <v>1</v>
      </c>
      <c r="T508" s="2394">
        <f>IF(OR(J508="COP",J508="EURO",J508="GBP"),0,IF(J508="USD",VLOOKUP(R508,'TRM BanRep'!$A:$G,7,0)))</f>
        <v>0</v>
      </c>
      <c r="U508" s="2395">
        <f t="shared" si="36"/>
        <v>0</v>
      </c>
      <c r="V508" s="2395" t="str">
        <f t="shared" si="34"/>
        <v/>
      </c>
    </row>
    <row r="509" spans="3:22" hidden="1">
      <c r="C509">
        <v>2022</v>
      </c>
      <c r="D509" t="s">
        <v>1881</v>
      </c>
      <c r="F509">
        <v>1202049905</v>
      </c>
      <c r="G509" t="s">
        <v>1557</v>
      </c>
      <c r="H509" t="s">
        <v>1896</v>
      </c>
      <c r="I509" t="s">
        <v>1898</v>
      </c>
      <c r="J509" t="s">
        <v>106</v>
      </c>
      <c r="K509">
        <v>7900007261</v>
      </c>
      <c r="L509" t="s">
        <v>1896</v>
      </c>
      <c r="M509" s="1633">
        <v>-266936162</v>
      </c>
      <c r="N509">
        <v>1</v>
      </c>
      <c r="O509">
        <v>50</v>
      </c>
      <c r="P509" s="1633">
        <v>-266936162</v>
      </c>
      <c r="Q509" t="s">
        <v>106</v>
      </c>
      <c r="R509" s="2392">
        <v>44740</v>
      </c>
      <c r="S509" s="2393">
        <f t="shared" si="35"/>
        <v>1</v>
      </c>
      <c r="T509" s="2394">
        <f>IF(OR(J509="COP",J509="EURO",J509="GBP"),0,IF(J509="USD",VLOOKUP(R509,'TRM BanRep'!$A:$G,7,0)))</f>
        <v>0</v>
      </c>
      <c r="U509" s="2395">
        <f t="shared" si="36"/>
        <v>0</v>
      </c>
      <c r="V509" s="2395" t="str">
        <f t="shared" si="34"/>
        <v/>
      </c>
    </row>
    <row r="510" spans="3:22" hidden="1">
      <c r="C510">
        <v>2022</v>
      </c>
      <c r="D510" t="s">
        <v>1881</v>
      </c>
      <c r="F510">
        <v>1202049905</v>
      </c>
      <c r="G510" t="s">
        <v>1557</v>
      </c>
      <c r="H510" t="s">
        <v>1896</v>
      </c>
      <c r="I510" t="s">
        <v>1899</v>
      </c>
      <c r="J510" t="s">
        <v>106</v>
      </c>
      <c r="K510">
        <v>7900007269</v>
      </c>
      <c r="L510" t="s">
        <v>1896</v>
      </c>
      <c r="M510" s="1633">
        <v>-2020742133</v>
      </c>
      <c r="N510">
        <v>1</v>
      </c>
      <c r="O510">
        <v>50</v>
      </c>
      <c r="P510" s="1633">
        <v>-2020742133</v>
      </c>
      <c r="Q510" t="s">
        <v>106</v>
      </c>
      <c r="R510" s="2392">
        <v>44740</v>
      </c>
      <c r="S510" s="2393">
        <f t="shared" si="35"/>
        <v>1</v>
      </c>
      <c r="T510" s="2394">
        <f>IF(OR(J510="COP",J510="EURO",J510="GBP"),0,IF(J510="USD",VLOOKUP(R510,'TRM BanRep'!$A:$G,7,0)))</f>
        <v>0</v>
      </c>
      <c r="U510" s="2395">
        <f t="shared" si="36"/>
        <v>0</v>
      </c>
      <c r="V510" s="2395" t="str">
        <f t="shared" si="34"/>
        <v/>
      </c>
    </row>
    <row r="511" spans="3:22" hidden="1">
      <c r="C511">
        <v>2022</v>
      </c>
      <c r="D511" t="s">
        <v>1881</v>
      </c>
      <c r="F511">
        <v>1202049905</v>
      </c>
      <c r="G511" t="s">
        <v>1557</v>
      </c>
      <c r="H511" t="s">
        <v>1896</v>
      </c>
      <c r="I511" t="s">
        <v>1900</v>
      </c>
      <c r="J511" t="s">
        <v>106</v>
      </c>
      <c r="K511">
        <v>7900007278</v>
      </c>
      <c r="L511" t="s">
        <v>1896</v>
      </c>
      <c r="M511" s="1633">
        <v>23999999233</v>
      </c>
      <c r="N511">
        <v>1</v>
      </c>
      <c r="O511">
        <v>40</v>
      </c>
      <c r="P511" s="1633">
        <v>23999999233</v>
      </c>
      <c r="Q511" t="s">
        <v>106</v>
      </c>
      <c r="R511" s="2392">
        <v>44740</v>
      </c>
      <c r="S511" s="2393">
        <f t="shared" si="35"/>
        <v>1</v>
      </c>
      <c r="T511" s="2394">
        <f>IF(OR(J511="COP",J511="EURO",J511="GBP"),0,IF(J511="USD",VLOOKUP(R511,'TRM BanRep'!$A:$G,7,0)))</f>
        <v>0</v>
      </c>
      <c r="U511" s="2395">
        <f t="shared" si="36"/>
        <v>0</v>
      </c>
      <c r="V511" s="2395" t="str">
        <f t="shared" si="34"/>
        <v/>
      </c>
    </row>
    <row r="512" spans="3:22" hidden="1">
      <c r="C512">
        <v>2022</v>
      </c>
      <c r="D512" t="s">
        <v>1881</v>
      </c>
      <c r="F512">
        <v>1202049905</v>
      </c>
      <c r="G512" t="s">
        <v>1557</v>
      </c>
      <c r="H512" t="s">
        <v>1896</v>
      </c>
      <c r="I512" t="s">
        <v>1901</v>
      </c>
      <c r="J512" t="s">
        <v>106</v>
      </c>
      <c r="K512">
        <v>7900007286</v>
      </c>
      <c r="L512" t="s">
        <v>1896</v>
      </c>
      <c r="M512" s="1633">
        <v>11851025767</v>
      </c>
      <c r="N512">
        <v>1</v>
      </c>
      <c r="O512">
        <v>40</v>
      </c>
      <c r="P512" s="1633">
        <v>11851025767</v>
      </c>
      <c r="Q512" t="s">
        <v>106</v>
      </c>
      <c r="R512" s="2392">
        <v>44740</v>
      </c>
      <c r="S512" s="2393">
        <f t="shared" si="35"/>
        <v>1</v>
      </c>
      <c r="T512" s="2394">
        <f>IF(OR(J512="COP",J512="EURO",J512="GBP"),0,IF(J512="USD",VLOOKUP(R512,'TRM BanRep'!$A:$G,7,0)))</f>
        <v>0</v>
      </c>
      <c r="U512" s="2395">
        <f t="shared" si="36"/>
        <v>0</v>
      </c>
      <c r="V512" s="2395" t="str">
        <f t="shared" si="34"/>
        <v/>
      </c>
    </row>
    <row r="513" spans="3:22" hidden="1">
      <c r="C513">
        <v>2022</v>
      </c>
      <c r="D513" t="s">
        <v>1881</v>
      </c>
      <c r="F513">
        <v>1202049905</v>
      </c>
      <c r="G513" t="s">
        <v>1557</v>
      </c>
      <c r="H513" t="s">
        <v>1902</v>
      </c>
      <c r="I513" t="s">
        <v>1903</v>
      </c>
      <c r="J513" t="s">
        <v>106</v>
      </c>
      <c r="K513">
        <v>7900008233</v>
      </c>
      <c r="L513" t="s">
        <v>1902</v>
      </c>
      <c r="M513" s="1633">
        <v>-36033006765</v>
      </c>
      <c r="N513">
        <v>1</v>
      </c>
      <c r="O513">
        <v>50</v>
      </c>
      <c r="P513" s="1633">
        <v>-36033006765</v>
      </c>
      <c r="Q513" t="s">
        <v>106</v>
      </c>
      <c r="R513" s="2392">
        <v>44742</v>
      </c>
      <c r="S513" s="2393">
        <f t="shared" si="35"/>
        <v>1</v>
      </c>
      <c r="T513" s="2394">
        <f>IF(OR(J513="COP",J513="EURO",J513="GBP"),0,IF(J513="USD",VLOOKUP(R513,'TRM BanRep'!$A:$G,7,0)))</f>
        <v>0</v>
      </c>
      <c r="U513" s="2395">
        <f t="shared" si="36"/>
        <v>0</v>
      </c>
      <c r="V513" s="2395" t="str">
        <f t="shared" si="34"/>
        <v/>
      </c>
    </row>
    <row r="514" spans="3:22" hidden="1">
      <c r="C514">
        <v>2022</v>
      </c>
      <c r="D514" t="s">
        <v>1881</v>
      </c>
      <c r="F514">
        <v>1202049905</v>
      </c>
      <c r="G514" t="s">
        <v>1557</v>
      </c>
      <c r="H514" t="s">
        <v>1882</v>
      </c>
      <c r="I514" t="s">
        <v>1904</v>
      </c>
      <c r="J514" t="s">
        <v>64</v>
      </c>
      <c r="K514">
        <v>7900007050</v>
      </c>
      <c r="L514" t="s">
        <v>1882</v>
      </c>
      <c r="M514" s="1860">
        <v>-4000000</v>
      </c>
      <c r="N514" s="1860">
        <v>3801.1</v>
      </c>
      <c r="O514">
        <v>50</v>
      </c>
      <c r="P514" s="1633">
        <v>-15204400000</v>
      </c>
      <c r="Q514" t="s">
        <v>106</v>
      </c>
      <c r="R514" s="2392">
        <v>44714</v>
      </c>
      <c r="S514" s="2393">
        <f t="shared" si="35"/>
        <v>3801.1</v>
      </c>
      <c r="T514" s="2394">
        <f>IF(OR(J514="COP",J514="EURO",J514="GBP"),0,IF(J514="USD",VLOOKUP(R514,'TRM BanRep'!$A:$G,7,0)))</f>
        <v>3791.74</v>
      </c>
      <c r="U514" s="2395">
        <f t="shared" si="36"/>
        <v>37440000.000000507</v>
      </c>
      <c r="V514" s="2396" t="str">
        <f t="shared" si="34"/>
        <v>2-GASTO</v>
      </c>
    </row>
    <row r="515" spans="3:22" hidden="1">
      <c r="C515">
        <v>2022</v>
      </c>
      <c r="D515" t="s">
        <v>1881</v>
      </c>
      <c r="F515">
        <v>1202049905</v>
      </c>
      <c r="G515" t="s">
        <v>1557</v>
      </c>
      <c r="H515" t="s">
        <v>1882</v>
      </c>
      <c r="I515" t="s">
        <v>1905</v>
      </c>
      <c r="J515" t="s">
        <v>64</v>
      </c>
      <c r="K515">
        <v>7900007058</v>
      </c>
      <c r="L515" t="s">
        <v>1882</v>
      </c>
      <c r="M515" s="1860">
        <v>-4000000</v>
      </c>
      <c r="N515" s="1860">
        <v>3798.2</v>
      </c>
      <c r="O515">
        <v>50</v>
      </c>
      <c r="P515" s="1633">
        <v>-15192800000</v>
      </c>
      <c r="Q515" t="s">
        <v>106</v>
      </c>
      <c r="R515" s="2392">
        <v>44714</v>
      </c>
      <c r="S515" s="2393">
        <f t="shared" si="35"/>
        <v>3798.2</v>
      </c>
      <c r="T515" s="2394">
        <f>IF(OR(J515="COP",J515="EURO",J515="GBP"),0,IF(J515="USD",VLOOKUP(R515,'TRM BanRep'!$A:$G,7,0)))</f>
        <v>3791.74</v>
      </c>
      <c r="U515" s="2395">
        <f t="shared" si="36"/>
        <v>25840000.000000145</v>
      </c>
      <c r="V515" s="2396" t="str">
        <f t="shared" si="34"/>
        <v>2-GASTO</v>
      </c>
    </row>
    <row r="516" spans="3:22" hidden="1">
      <c r="C516">
        <v>2022</v>
      </c>
      <c r="D516" t="s">
        <v>1881</v>
      </c>
      <c r="F516">
        <v>1202049905</v>
      </c>
      <c r="G516" t="s">
        <v>1557</v>
      </c>
      <c r="H516" t="s">
        <v>1882</v>
      </c>
      <c r="I516" t="s">
        <v>1906</v>
      </c>
      <c r="J516" t="s">
        <v>64</v>
      </c>
      <c r="K516">
        <v>7900007066</v>
      </c>
      <c r="L516" t="s">
        <v>1882</v>
      </c>
      <c r="M516" s="1860">
        <v>-819057.08</v>
      </c>
      <c r="N516" s="1860">
        <v>3784.84</v>
      </c>
      <c r="O516">
        <v>50</v>
      </c>
      <c r="P516" s="1633">
        <v>-3099999999</v>
      </c>
      <c r="Q516" t="s">
        <v>106</v>
      </c>
      <c r="R516" s="2392">
        <v>44714</v>
      </c>
      <c r="S516" s="2393">
        <f t="shared" si="35"/>
        <v>3784.84</v>
      </c>
      <c r="T516" s="2394">
        <f>IF(OR(J516="COP",J516="EURO",J516="GBP"),0,IF(J516="USD",VLOOKUP(R516,'TRM BanRep'!$A:$G,7,0)))</f>
        <v>3791.74</v>
      </c>
      <c r="U516" s="2395">
        <f t="shared" si="36"/>
        <v>-5651493.8519997019</v>
      </c>
      <c r="V516" s="2397" t="str">
        <f t="shared" si="34"/>
        <v>1-INGRESO</v>
      </c>
    </row>
    <row r="517" spans="3:22" hidden="1">
      <c r="C517">
        <v>2022</v>
      </c>
      <c r="D517" t="s">
        <v>1881</v>
      </c>
      <c r="F517">
        <v>1202049905</v>
      </c>
      <c r="G517" t="s">
        <v>1557</v>
      </c>
      <c r="H517" t="s">
        <v>1886</v>
      </c>
      <c r="I517" t="s">
        <v>1907</v>
      </c>
      <c r="J517" t="s">
        <v>64</v>
      </c>
      <c r="K517">
        <v>7900007075</v>
      </c>
      <c r="L517" t="s">
        <v>1886</v>
      </c>
      <c r="M517" s="1860">
        <v>816737.68</v>
      </c>
      <c r="N517" s="1860">
        <v>3784.98002</v>
      </c>
      <c r="O517">
        <v>40</v>
      </c>
      <c r="P517" s="1633">
        <v>3091335798</v>
      </c>
      <c r="Q517" t="s">
        <v>106</v>
      </c>
      <c r="R517" s="2392">
        <v>44718</v>
      </c>
      <c r="S517" s="2393">
        <f t="shared" si="35"/>
        <v>3784.98</v>
      </c>
      <c r="T517" s="2394">
        <f>IF(OR(J517="COP",J517="EURO",J517="GBP"),0,IF(J517="USD",VLOOKUP(R517,'TRM BanRep'!$A:$G,7,0)))</f>
        <v>3771.63</v>
      </c>
      <c r="U517" s="2406">
        <f t="shared" si="36"/>
        <v>-10903448.027999926</v>
      </c>
      <c r="V517" s="2397" t="str">
        <f t="shared" si="34"/>
        <v>1-INGRESO</v>
      </c>
    </row>
    <row r="518" spans="3:22" hidden="1">
      <c r="C518">
        <v>2022</v>
      </c>
      <c r="D518" t="s">
        <v>1881</v>
      </c>
      <c r="F518">
        <v>1202049905</v>
      </c>
      <c r="G518" t="s">
        <v>1557</v>
      </c>
      <c r="H518" t="s">
        <v>1888</v>
      </c>
      <c r="I518" t="s">
        <v>1908</v>
      </c>
      <c r="J518" t="s">
        <v>64</v>
      </c>
      <c r="K518">
        <v>7900007189</v>
      </c>
      <c r="L518" t="s">
        <v>1888</v>
      </c>
      <c r="M518" s="1860">
        <v>-461222</v>
      </c>
      <c r="N518" s="1860">
        <v>3799.5</v>
      </c>
      <c r="O518">
        <v>50</v>
      </c>
      <c r="P518" s="1633">
        <v>-1752412989</v>
      </c>
      <c r="Q518" t="s">
        <v>106</v>
      </c>
      <c r="R518" s="2392">
        <v>44719</v>
      </c>
      <c r="S518" s="2393">
        <f t="shared" si="35"/>
        <v>3799.5</v>
      </c>
      <c r="T518" s="2394">
        <f>IF(OR(J518="COP",J518="EURO",J518="GBP"),0,IF(J518="USD",VLOOKUP(R518,'TRM BanRep'!$A:$G,7,0)))</f>
        <v>3799.5</v>
      </c>
      <c r="U518" s="2395">
        <f t="shared" si="36"/>
        <v>0</v>
      </c>
      <c r="V518" s="2395" t="str">
        <f t="shared" si="34"/>
        <v/>
      </c>
    </row>
    <row r="519" spans="3:22" hidden="1">
      <c r="C519">
        <v>2022</v>
      </c>
      <c r="D519" t="s">
        <v>1881</v>
      </c>
      <c r="F519">
        <v>1202049905</v>
      </c>
      <c r="G519" t="s">
        <v>1557</v>
      </c>
      <c r="H519" t="s">
        <v>1890</v>
      </c>
      <c r="I519" t="s">
        <v>1909</v>
      </c>
      <c r="J519" t="s">
        <v>64</v>
      </c>
      <c r="K519">
        <v>7900007197</v>
      </c>
      <c r="L519" t="s">
        <v>1890</v>
      </c>
      <c r="M519" s="1860">
        <v>-5300000</v>
      </c>
      <c r="N519" s="1860">
        <v>3795.2</v>
      </c>
      <c r="O519">
        <v>50</v>
      </c>
      <c r="P519" s="1633">
        <v>-20114560000</v>
      </c>
      <c r="Q519" t="s">
        <v>106</v>
      </c>
      <c r="R519" s="2392">
        <v>44720</v>
      </c>
      <c r="S519" s="2393">
        <f t="shared" si="35"/>
        <v>3795.2</v>
      </c>
      <c r="T519" s="2394">
        <f>IF(OR(J519="COP",J519="EURO",J519="GBP"),0,IF(J519="USD",VLOOKUP(R519,'TRM BanRep'!$A:$G,7,0)))</f>
        <v>3790.88</v>
      </c>
      <c r="U519" s="2395">
        <f t="shared" si="36"/>
        <v>22895999.999998458</v>
      </c>
      <c r="V519" s="2396" t="str">
        <f t="shared" ref="V519:V582" si="37">IF(U519=0,"",IF(U519&gt;0,"2-GASTO","1-INGRESO"))</f>
        <v>2-GASTO</v>
      </c>
    </row>
    <row r="520" spans="3:22" hidden="1">
      <c r="C520">
        <v>2022</v>
      </c>
      <c r="D520" t="s">
        <v>1881</v>
      </c>
      <c r="F520">
        <v>1202049905</v>
      </c>
      <c r="G520" t="s">
        <v>1557</v>
      </c>
      <c r="H520" t="s">
        <v>1892</v>
      </c>
      <c r="I520" t="s">
        <v>1910</v>
      </c>
      <c r="J520" t="s">
        <v>64</v>
      </c>
      <c r="K520">
        <v>7900007206</v>
      </c>
      <c r="L520" t="s">
        <v>1892</v>
      </c>
      <c r="M520" s="1860">
        <v>3140074.22</v>
      </c>
      <c r="N520" s="1860">
        <v>3790.88</v>
      </c>
      <c r="O520">
        <v>40</v>
      </c>
      <c r="P520" s="1633">
        <v>11903644567</v>
      </c>
      <c r="Q520" t="s">
        <v>106</v>
      </c>
      <c r="R520" s="2392">
        <v>44722</v>
      </c>
      <c r="S520" s="2393">
        <f t="shared" si="35"/>
        <v>3790.88</v>
      </c>
      <c r="T520" s="2394">
        <f>IF(OR(J520="COP",J520="EURO",J520="GBP"),0,IF(J520="USD",VLOOKUP(R520,'TRM BanRep'!$A:$G,7,0)))</f>
        <v>3833.34</v>
      </c>
      <c r="U520" s="2399">
        <f t="shared" si="36"/>
        <v>133327551.38120012</v>
      </c>
      <c r="V520" s="2396" t="str">
        <f t="shared" si="37"/>
        <v>2-GASTO</v>
      </c>
    </row>
    <row r="521" spans="3:22" hidden="1">
      <c r="C521">
        <v>2022</v>
      </c>
      <c r="D521" t="s">
        <v>1881</v>
      </c>
      <c r="F521">
        <v>1202049905</v>
      </c>
      <c r="G521" t="s">
        <v>1557</v>
      </c>
      <c r="H521" t="s">
        <v>1894</v>
      </c>
      <c r="I521" t="s">
        <v>1911</v>
      </c>
      <c r="J521" t="s">
        <v>64</v>
      </c>
      <c r="K521">
        <v>7900007246</v>
      </c>
      <c r="L521" t="s">
        <v>1894</v>
      </c>
      <c r="M521" s="1860">
        <v>411781893.51999998</v>
      </c>
      <c r="N521" s="1860">
        <v>3979.3</v>
      </c>
      <c r="O521">
        <v>40</v>
      </c>
      <c r="P521" s="1633">
        <v>1638603688884</v>
      </c>
      <c r="Q521" t="s">
        <v>106</v>
      </c>
      <c r="R521" s="2392">
        <v>44728</v>
      </c>
      <c r="S521" s="2393">
        <f t="shared" si="35"/>
        <v>3979.3</v>
      </c>
      <c r="T521" s="2394">
        <f>IF(OR(J521="COP",J521="EURO",J521="GBP"),0,IF(J521="USD",VLOOKUP(R521,'TRM BanRep'!$A:$G,7,0)))</f>
        <v>3923.96</v>
      </c>
      <c r="U521" s="2405">
        <f t="shared" si="36"/>
        <v>-22788009987.396858</v>
      </c>
      <c r="V521" s="2397" t="str">
        <f t="shared" si="37"/>
        <v>1-INGRESO</v>
      </c>
    </row>
    <row r="522" spans="3:22" hidden="1">
      <c r="C522">
        <v>2022</v>
      </c>
      <c r="D522" t="s">
        <v>1881</v>
      </c>
      <c r="F522">
        <v>1202049905</v>
      </c>
      <c r="G522" t="s">
        <v>1557</v>
      </c>
      <c r="H522" t="s">
        <v>1896</v>
      </c>
      <c r="I522" t="s">
        <v>1912</v>
      </c>
      <c r="J522" t="s">
        <v>64</v>
      </c>
      <c r="K522">
        <v>7900007254</v>
      </c>
      <c r="L522" t="s">
        <v>1896</v>
      </c>
      <c r="M522" s="1860">
        <v>2120466.56</v>
      </c>
      <c r="N522" s="1860">
        <v>4068.7499800000001</v>
      </c>
      <c r="O522">
        <v>40</v>
      </c>
      <c r="P522" s="1633">
        <v>8627648269</v>
      </c>
      <c r="Q522" t="s">
        <v>106</v>
      </c>
      <c r="R522" s="2392">
        <v>44740</v>
      </c>
      <c r="S522" s="2393">
        <f t="shared" si="35"/>
        <v>4068.75</v>
      </c>
      <c r="T522" s="2394">
        <f>IF(OR(J522="COP",J522="EURO",J522="GBP"),0,IF(J522="USD",VLOOKUP(R522,'TRM BanRep'!$A:$G,7,0)))</f>
        <v>4129.87</v>
      </c>
      <c r="U522" s="2399">
        <f t="shared" si="36"/>
        <v>129602916.14719976</v>
      </c>
      <c r="V522" s="2396" t="str">
        <f t="shared" si="37"/>
        <v>2-GASTO</v>
      </c>
    </row>
    <row r="523" spans="3:22" hidden="1">
      <c r="C523">
        <v>2022</v>
      </c>
      <c r="D523" t="s">
        <v>1881</v>
      </c>
      <c r="F523">
        <v>1202049905</v>
      </c>
      <c r="G523" t="s">
        <v>1557</v>
      </c>
      <c r="H523" t="s">
        <v>1896</v>
      </c>
      <c r="I523" t="s">
        <v>1913</v>
      </c>
      <c r="J523" t="s">
        <v>64</v>
      </c>
      <c r="K523">
        <v>7900007262</v>
      </c>
      <c r="L523" t="s">
        <v>1896</v>
      </c>
      <c r="M523" s="1860">
        <v>65606.429999999993</v>
      </c>
      <c r="N523" s="1860">
        <v>4068.75</v>
      </c>
      <c r="O523">
        <v>40</v>
      </c>
      <c r="P523" s="1633">
        <v>266936162</v>
      </c>
      <c r="Q523" t="s">
        <v>106</v>
      </c>
      <c r="R523" s="2392">
        <v>44740</v>
      </c>
      <c r="S523" s="2393">
        <f t="shared" si="35"/>
        <v>4068.75</v>
      </c>
      <c r="T523" s="2394">
        <f>IF(OR(J523="COP",J523="EURO",J523="GBP"),0,IF(J523="USD",VLOOKUP(R523,'TRM BanRep'!$A:$G,7,0)))</f>
        <v>4129.87</v>
      </c>
      <c r="U523" s="2399">
        <f t="shared" si="36"/>
        <v>4009865.0015999926</v>
      </c>
      <c r="V523" s="2396" t="str">
        <f t="shared" si="37"/>
        <v>2-GASTO</v>
      </c>
    </row>
    <row r="524" spans="3:22" hidden="1">
      <c r="C524">
        <v>2022</v>
      </c>
      <c r="D524" t="s">
        <v>1881</v>
      </c>
      <c r="F524">
        <v>1202049905</v>
      </c>
      <c r="G524" t="s">
        <v>1557</v>
      </c>
      <c r="H524" t="s">
        <v>1896</v>
      </c>
      <c r="I524" t="s">
        <v>1914</v>
      </c>
      <c r="J524" t="s">
        <v>64</v>
      </c>
      <c r="K524">
        <v>7900007270</v>
      </c>
      <c r="L524" t="s">
        <v>1896</v>
      </c>
      <c r="M524" s="1860">
        <v>496649.37</v>
      </c>
      <c r="N524" s="1860">
        <v>4068.7500199999999</v>
      </c>
      <c r="O524">
        <v>40</v>
      </c>
      <c r="P524" s="1633">
        <v>2020742133</v>
      </c>
      <c r="Q524" t="s">
        <v>106</v>
      </c>
      <c r="R524" s="2392">
        <v>44740</v>
      </c>
      <c r="S524" s="2393">
        <f t="shared" si="35"/>
        <v>4068.75</v>
      </c>
      <c r="T524" s="2394">
        <f>IF(OR(J524="COP",J524="EURO",J524="GBP"),0,IF(J524="USD",VLOOKUP(R524,'TRM BanRep'!$A:$G,7,0)))</f>
        <v>4129.87</v>
      </c>
      <c r="U524" s="2399">
        <f t="shared" si="36"/>
        <v>30355209.494399946</v>
      </c>
      <c r="V524" s="2396" t="str">
        <f t="shared" si="37"/>
        <v>2-GASTO</v>
      </c>
    </row>
    <row r="525" spans="3:22" hidden="1">
      <c r="C525">
        <v>2022</v>
      </c>
      <c r="D525" t="s">
        <v>1881</v>
      </c>
      <c r="F525">
        <v>1202049905</v>
      </c>
      <c r="G525" t="s">
        <v>1557</v>
      </c>
      <c r="H525" t="s">
        <v>1896</v>
      </c>
      <c r="I525" t="s">
        <v>1915</v>
      </c>
      <c r="J525" t="s">
        <v>64</v>
      </c>
      <c r="K525">
        <v>7900007277</v>
      </c>
      <c r="L525" t="s">
        <v>1896</v>
      </c>
      <c r="M525" s="1860">
        <v>-5840837</v>
      </c>
      <c r="N525" s="1860">
        <v>4109</v>
      </c>
      <c r="O525">
        <v>50</v>
      </c>
      <c r="P525" s="1633">
        <v>-23999999233</v>
      </c>
      <c r="Q525" t="s">
        <v>106</v>
      </c>
      <c r="R525" s="2392">
        <v>44740</v>
      </c>
      <c r="S525" s="2393">
        <f t="shared" si="35"/>
        <v>4109</v>
      </c>
      <c r="T525" s="2394">
        <f>IF(OR(J525="COP",J525="EURO",J525="GBP"),0,IF(J525="USD",VLOOKUP(R525,'TRM BanRep'!$A:$G,7,0)))</f>
        <v>4129.87</v>
      </c>
      <c r="U525" s="2395">
        <f t="shared" si="36"/>
        <v>-121898268.18999936</v>
      </c>
      <c r="V525" s="2397" t="str">
        <f t="shared" si="37"/>
        <v>1-INGRESO</v>
      </c>
    </row>
    <row r="526" spans="3:22" hidden="1">
      <c r="C526">
        <v>2022</v>
      </c>
      <c r="D526" t="s">
        <v>1881</v>
      </c>
      <c r="F526">
        <v>1202049905</v>
      </c>
      <c r="G526" t="s">
        <v>1557</v>
      </c>
      <c r="H526" t="s">
        <v>1896</v>
      </c>
      <c r="I526" t="s">
        <v>1916</v>
      </c>
      <c r="J526" t="s">
        <v>64</v>
      </c>
      <c r="K526">
        <v>7900007285</v>
      </c>
      <c r="L526" t="s">
        <v>1896</v>
      </c>
      <c r="M526" s="1860">
        <v>-2884163</v>
      </c>
      <c r="N526" s="1860">
        <v>4109</v>
      </c>
      <c r="O526">
        <v>50</v>
      </c>
      <c r="P526" s="1633">
        <v>-11851025767</v>
      </c>
      <c r="Q526" t="s">
        <v>106</v>
      </c>
      <c r="R526" s="2392">
        <v>44740</v>
      </c>
      <c r="S526" s="2393">
        <f t="shared" si="35"/>
        <v>4109</v>
      </c>
      <c r="T526" s="2394">
        <f>IF(OR(J526="COP",J526="EURO",J526="GBP"),0,IF(J526="USD",VLOOKUP(R526,'TRM BanRep'!$A:$G,7,0)))</f>
        <v>4129.87</v>
      </c>
      <c r="U526" s="2395">
        <f t="shared" si="36"/>
        <v>-60192481.809999682</v>
      </c>
      <c r="V526" s="2397" t="str">
        <f t="shared" si="37"/>
        <v>1-INGRESO</v>
      </c>
    </row>
    <row r="527" spans="3:22" hidden="1">
      <c r="C527">
        <v>2022</v>
      </c>
      <c r="D527" t="s">
        <v>1881</v>
      </c>
      <c r="F527">
        <v>1202049905</v>
      </c>
      <c r="G527" t="s">
        <v>1557</v>
      </c>
      <c r="H527" t="s">
        <v>1902</v>
      </c>
      <c r="I527" t="s">
        <v>1917</v>
      </c>
      <c r="J527" t="s">
        <v>64</v>
      </c>
      <c r="K527">
        <v>7900008234</v>
      </c>
      <c r="L527" t="s">
        <v>1902</v>
      </c>
      <c r="M527" s="1860">
        <v>8724973.6099999994</v>
      </c>
      <c r="N527" s="1860">
        <v>4129.87</v>
      </c>
      <c r="O527">
        <v>40</v>
      </c>
      <c r="P527" s="1633">
        <v>36033006765</v>
      </c>
      <c r="Q527" t="s">
        <v>106</v>
      </c>
      <c r="R527" s="2392">
        <v>44742</v>
      </c>
      <c r="S527" s="2393">
        <f t="shared" si="35"/>
        <v>4129.87</v>
      </c>
      <c r="T527" s="2394">
        <f>IF(OR(J527="COP",J527="EURO",J527="GBP"),0,IF(J527="USD",VLOOKUP(R527,'TRM BanRep'!$A:$G,7,0)))</f>
        <v>4127.47</v>
      </c>
      <c r="U527" s="2406">
        <f t="shared" si="36"/>
        <v>-20939936.663996823</v>
      </c>
      <c r="V527" s="2397" t="str">
        <f t="shared" si="37"/>
        <v>1-INGRESO</v>
      </c>
    </row>
    <row r="528" spans="3:22" hidden="1">
      <c r="C528">
        <v>2022</v>
      </c>
      <c r="D528" t="s">
        <v>1881</v>
      </c>
      <c r="F528">
        <v>2422999997</v>
      </c>
      <c r="G528" t="s">
        <v>1575</v>
      </c>
      <c r="H528" t="s">
        <v>1886</v>
      </c>
      <c r="I528" t="s">
        <v>1737</v>
      </c>
      <c r="J528" t="s">
        <v>106</v>
      </c>
      <c r="K528">
        <v>7900007028</v>
      </c>
      <c r="L528" t="s">
        <v>1886</v>
      </c>
      <c r="M528" s="1633">
        <v>-1581504957</v>
      </c>
      <c r="N528">
        <v>1</v>
      </c>
      <c r="O528">
        <v>50</v>
      </c>
      <c r="P528" s="1633">
        <v>-1581504957</v>
      </c>
      <c r="Q528" t="s">
        <v>106</v>
      </c>
      <c r="R528" s="2392">
        <v>44718</v>
      </c>
      <c r="S528" s="2393">
        <f t="shared" si="35"/>
        <v>1</v>
      </c>
      <c r="T528" s="2394">
        <f>IF(OR(J528="COP",J528="EURO",J528="GBP"),0,IF(J528="USD",VLOOKUP(R528,'TRM BanRep'!$A:$G,7,0)))</f>
        <v>0</v>
      </c>
      <c r="U528" s="2395">
        <f t="shared" si="36"/>
        <v>0</v>
      </c>
      <c r="V528" s="2395" t="str">
        <f t="shared" si="37"/>
        <v/>
      </c>
    </row>
    <row r="529" spans="3:22" hidden="1">
      <c r="C529">
        <v>2022</v>
      </c>
      <c r="D529" t="s">
        <v>1881</v>
      </c>
      <c r="F529">
        <v>2422999997</v>
      </c>
      <c r="G529" t="s">
        <v>1575</v>
      </c>
      <c r="H529" t="s">
        <v>1886</v>
      </c>
      <c r="I529" t="s">
        <v>1737</v>
      </c>
      <c r="J529" t="s">
        <v>106</v>
      </c>
      <c r="K529">
        <v>7900007041</v>
      </c>
      <c r="L529" t="s">
        <v>1886</v>
      </c>
      <c r="M529" s="1633">
        <v>1581504957</v>
      </c>
      <c r="N529">
        <v>1</v>
      </c>
      <c r="O529">
        <v>40</v>
      </c>
      <c r="P529" s="1633">
        <v>1581504957</v>
      </c>
      <c r="Q529" t="s">
        <v>106</v>
      </c>
      <c r="R529" s="2392">
        <v>44718</v>
      </c>
      <c r="S529" s="2393">
        <f t="shared" si="35"/>
        <v>1</v>
      </c>
      <c r="T529" s="2394">
        <f>IF(OR(J529="COP",J529="EURO",J529="GBP"),0,IF(J529="USD",VLOOKUP(R529,'TRM BanRep'!$A:$G,7,0)))</f>
        <v>0</v>
      </c>
      <c r="U529" s="2395">
        <f t="shared" si="36"/>
        <v>0</v>
      </c>
      <c r="V529" s="2395" t="str">
        <f t="shared" si="37"/>
        <v/>
      </c>
    </row>
    <row r="530" spans="3:22" hidden="1">
      <c r="C530">
        <v>2022</v>
      </c>
      <c r="D530" t="s">
        <v>1881</v>
      </c>
      <c r="F530">
        <v>2422999997</v>
      </c>
      <c r="G530" t="s">
        <v>1602</v>
      </c>
      <c r="H530" t="s">
        <v>1888</v>
      </c>
      <c r="I530" t="s">
        <v>1918</v>
      </c>
      <c r="J530" t="s">
        <v>106</v>
      </c>
      <c r="K530">
        <v>7900007167</v>
      </c>
      <c r="L530" t="s">
        <v>1888</v>
      </c>
      <c r="M530" s="1633">
        <v>-1801902110</v>
      </c>
      <c r="N530">
        <v>1</v>
      </c>
      <c r="O530">
        <v>50</v>
      </c>
      <c r="P530" s="1633">
        <v>-1801902110</v>
      </c>
      <c r="Q530" t="s">
        <v>106</v>
      </c>
      <c r="R530" s="2392">
        <v>44719</v>
      </c>
      <c r="S530" s="2393">
        <f t="shared" si="35"/>
        <v>1</v>
      </c>
      <c r="T530" s="2394">
        <f>IF(OR(J530="COP",J530="EURO",J530="GBP"),0,IF(J530="USD",VLOOKUP(R530,'TRM BanRep'!$A:$G,7,0)))</f>
        <v>0</v>
      </c>
      <c r="U530" s="2395">
        <f t="shared" si="36"/>
        <v>0</v>
      </c>
      <c r="V530" s="2395" t="str">
        <f t="shared" si="37"/>
        <v/>
      </c>
    </row>
    <row r="531" spans="3:22" hidden="1">
      <c r="C531">
        <v>2022</v>
      </c>
      <c r="D531" t="s">
        <v>1881</v>
      </c>
      <c r="F531">
        <v>2422999997</v>
      </c>
      <c r="G531" t="s">
        <v>1606</v>
      </c>
      <c r="H531" t="s">
        <v>1919</v>
      </c>
      <c r="I531" t="s">
        <v>1920</v>
      </c>
      <c r="J531" t="s">
        <v>106</v>
      </c>
      <c r="K531">
        <v>7900007234</v>
      </c>
      <c r="L531" t="s">
        <v>1919</v>
      </c>
      <c r="M531" s="1633">
        <v>-20000000000</v>
      </c>
      <c r="N531">
        <v>1</v>
      </c>
      <c r="O531">
        <v>50</v>
      </c>
      <c r="P531" s="1633">
        <v>-20000000000</v>
      </c>
      <c r="Q531" t="s">
        <v>106</v>
      </c>
      <c r="R531" s="2392">
        <v>44741</v>
      </c>
      <c r="S531" s="2393">
        <f t="shared" si="35"/>
        <v>1</v>
      </c>
      <c r="T531" s="2394">
        <f>IF(OR(J531="COP",J531="EURO",J531="GBP"),0,IF(J531="USD",VLOOKUP(R531,'TRM BanRep'!$A:$G,7,0)))</f>
        <v>0</v>
      </c>
      <c r="U531" s="2395">
        <f t="shared" si="36"/>
        <v>0</v>
      </c>
      <c r="V531" s="2395" t="str">
        <f t="shared" si="37"/>
        <v/>
      </c>
    </row>
    <row r="532" spans="3:22" hidden="1">
      <c r="C532">
        <v>2022</v>
      </c>
      <c r="D532" t="s">
        <v>1881</v>
      </c>
      <c r="F532">
        <v>2422999997</v>
      </c>
      <c r="G532" t="s">
        <v>1557</v>
      </c>
      <c r="H532" t="s">
        <v>1882</v>
      </c>
      <c r="I532" t="s">
        <v>1883</v>
      </c>
      <c r="J532" t="s">
        <v>106</v>
      </c>
      <c r="K532">
        <v>7900007051</v>
      </c>
      <c r="L532" t="s">
        <v>1882</v>
      </c>
      <c r="M532" s="1633">
        <v>-15204400000</v>
      </c>
      <c r="N532">
        <v>1</v>
      </c>
      <c r="O532">
        <v>50</v>
      </c>
      <c r="P532" s="1633">
        <v>-15204400000</v>
      </c>
      <c r="Q532" t="s">
        <v>106</v>
      </c>
      <c r="R532" s="2392">
        <v>44714</v>
      </c>
      <c r="S532" s="2393">
        <f t="shared" si="35"/>
        <v>1</v>
      </c>
      <c r="T532" s="2394">
        <f>IF(OR(J532="COP",J532="EURO",J532="GBP"),0,IF(J532="USD",VLOOKUP(R532,'TRM BanRep'!$A:$G,7,0)))</f>
        <v>0</v>
      </c>
      <c r="U532" s="2395">
        <f t="shared" si="36"/>
        <v>0</v>
      </c>
      <c r="V532" s="2395" t="str">
        <f t="shared" si="37"/>
        <v/>
      </c>
    </row>
    <row r="533" spans="3:22" hidden="1">
      <c r="C533">
        <v>2022</v>
      </c>
      <c r="D533" t="s">
        <v>1881</v>
      </c>
      <c r="F533">
        <v>2422999997</v>
      </c>
      <c r="G533" t="s">
        <v>1557</v>
      </c>
      <c r="H533" t="s">
        <v>1882</v>
      </c>
      <c r="I533" t="s">
        <v>1884</v>
      </c>
      <c r="J533" t="s">
        <v>106</v>
      </c>
      <c r="K533">
        <v>7900007059</v>
      </c>
      <c r="L533" t="s">
        <v>1882</v>
      </c>
      <c r="M533" s="1633">
        <v>-15192800000</v>
      </c>
      <c r="N533">
        <v>1</v>
      </c>
      <c r="O533">
        <v>50</v>
      </c>
      <c r="P533" s="1633">
        <v>-15192800000</v>
      </c>
      <c r="Q533" t="s">
        <v>106</v>
      </c>
      <c r="R533" s="2392">
        <v>44714</v>
      </c>
      <c r="S533" s="2393">
        <f t="shared" si="35"/>
        <v>1</v>
      </c>
      <c r="T533" s="2394">
        <f>IF(OR(J533="COP",J533="EURO",J533="GBP"),0,IF(J533="USD",VLOOKUP(R533,'TRM BanRep'!$A:$G,7,0)))</f>
        <v>0</v>
      </c>
      <c r="U533" s="2395">
        <f t="shared" si="36"/>
        <v>0</v>
      </c>
      <c r="V533" s="2395" t="str">
        <f t="shared" si="37"/>
        <v/>
      </c>
    </row>
    <row r="534" spans="3:22" hidden="1">
      <c r="C534">
        <v>2022</v>
      </c>
      <c r="D534" t="s">
        <v>1881</v>
      </c>
      <c r="F534">
        <v>2422999997</v>
      </c>
      <c r="G534" t="s">
        <v>1557</v>
      </c>
      <c r="H534" t="s">
        <v>1882</v>
      </c>
      <c r="I534" t="s">
        <v>1885</v>
      </c>
      <c r="J534" t="s">
        <v>106</v>
      </c>
      <c r="K534">
        <v>7900007067</v>
      </c>
      <c r="L534" t="s">
        <v>1882</v>
      </c>
      <c r="M534" s="1633">
        <v>-3099999999</v>
      </c>
      <c r="N534">
        <v>1</v>
      </c>
      <c r="O534">
        <v>50</v>
      </c>
      <c r="P534" s="1633">
        <v>-3099999999</v>
      </c>
      <c r="Q534" t="s">
        <v>106</v>
      </c>
      <c r="R534" s="2392">
        <v>44714</v>
      </c>
      <c r="S534" s="2393">
        <f t="shared" si="35"/>
        <v>1</v>
      </c>
      <c r="T534" s="2394">
        <f>IF(OR(J534="COP",J534="EURO",J534="GBP"),0,IF(J534="USD",VLOOKUP(R534,'TRM BanRep'!$A:$G,7,0)))</f>
        <v>0</v>
      </c>
      <c r="U534" s="2395">
        <f t="shared" si="36"/>
        <v>0</v>
      </c>
      <c r="V534" s="2395" t="str">
        <f t="shared" si="37"/>
        <v/>
      </c>
    </row>
    <row r="535" spans="3:22" hidden="1">
      <c r="C535">
        <v>2022</v>
      </c>
      <c r="D535" t="s">
        <v>1881</v>
      </c>
      <c r="F535">
        <v>2422999997</v>
      </c>
      <c r="G535" t="s">
        <v>1557</v>
      </c>
      <c r="H535" t="s">
        <v>1890</v>
      </c>
      <c r="I535" t="s">
        <v>1891</v>
      </c>
      <c r="J535" t="s">
        <v>106</v>
      </c>
      <c r="K535">
        <v>7900007198</v>
      </c>
      <c r="L535" t="s">
        <v>1890</v>
      </c>
      <c r="M535" s="1633">
        <v>-20114560000</v>
      </c>
      <c r="N535">
        <v>1</v>
      </c>
      <c r="O535">
        <v>50</v>
      </c>
      <c r="P535" s="1633">
        <v>-20114560000</v>
      </c>
      <c r="Q535" t="s">
        <v>106</v>
      </c>
      <c r="R535" s="2392">
        <v>44720</v>
      </c>
      <c r="S535" s="2393">
        <f t="shared" si="35"/>
        <v>1</v>
      </c>
      <c r="T535" s="2394">
        <f>IF(OR(J535="COP",J535="EURO",J535="GBP"),0,IF(J535="USD",VLOOKUP(R535,'TRM BanRep'!$A:$G,7,0)))</f>
        <v>0</v>
      </c>
      <c r="U535" s="2395">
        <f t="shared" si="36"/>
        <v>0</v>
      </c>
      <c r="V535" s="2395" t="str">
        <f t="shared" si="37"/>
        <v/>
      </c>
    </row>
    <row r="536" spans="3:22" hidden="1">
      <c r="C536">
        <v>2022</v>
      </c>
      <c r="D536" t="s">
        <v>1881</v>
      </c>
      <c r="F536">
        <v>2422999997</v>
      </c>
      <c r="G536" t="s">
        <v>1557</v>
      </c>
      <c r="H536" t="s">
        <v>1896</v>
      </c>
      <c r="I536" t="s">
        <v>1900</v>
      </c>
      <c r="J536" t="s">
        <v>106</v>
      </c>
      <c r="K536">
        <v>7900007278</v>
      </c>
      <c r="L536" t="s">
        <v>1896</v>
      </c>
      <c r="M536" s="1633">
        <v>-23999999233</v>
      </c>
      <c r="N536">
        <v>1</v>
      </c>
      <c r="O536">
        <v>50</v>
      </c>
      <c r="P536" s="1633">
        <v>-23999999233</v>
      </c>
      <c r="Q536" t="s">
        <v>106</v>
      </c>
      <c r="R536" s="2392">
        <v>44740</v>
      </c>
      <c r="S536" s="2393">
        <f t="shared" si="35"/>
        <v>1</v>
      </c>
      <c r="T536" s="2394">
        <f>IF(OR(J536="COP",J536="EURO",J536="GBP"),0,IF(J536="USD",VLOOKUP(R536,'TRM BanRep'!$A:$G,7,0)))</f>
        <v>0</v>
      </c>
      <c r="U536" s="2395">
        <f t="shared" si="36"/>
        <v>0</v>
      </c>
      <c r="V536" s="2395" t="str">
        <f t="shared" si="37"/>
        <v/>
      </c>
    </row>
    <row r="537" spans="3:22" hidden="1">
      <c r="C537">
        <v>2022</v>
      </c>
      <c r="D537" t="s">
        <v>1881</v>
      </c>
      <c r="F537">
        <v>2422999997</v>
      </c>
      <c r="G537" t="s">
        <v>1557</v>
      </c>
      <c r="H537" t="s">
        <v>1896</v>
      </c>
      <c r="I537" t="s">
        <v>1901</v>
      </c>
      <c r="J537" t="s">
        <v>106</v>
      </c>
      <c r="K537">
        <v>7900007286</v>
      </c>
      <c r="L537" t="s">
        <v>1896</v>
      </c>
      <c r="M537" s="1633">
        <v>-11851025767</v>
      </c>
      <c r="N537">
        <v>1</v>
      </c>
      <c r="O537">
        <v>50</v>
      </c>
      <c r="P537" s="1633">
        <v>-11851025767</v>
      </c>
      <c r="Q537" t="s">
        <v>106</v>
      </c>
      <c r="R537" s="2392">
        <v>44740</v>
      </c>
      <c r="S537" s="2393">
        <f t="shared" si="35"/>
        <v>1</v>
      </c>
      <c r="T537" s="2394">
        <f>IF(OR(J537="COP",J537="EURO",J537="GBP"),0,IF(J537="USD",VLOOKUP(R537,'TRM BanRep'!$A:$G,7,0)))</f>
        <v>0</v>
      </c>
      <c r="U537" s="2395">
        <f t="shared" si="36"/>
        <v>0</v>
      </c>
      <c r="V537" s="2395" t="str">
        <f t="shared" si="37"/>
        <v/>
      </c>
    </row>
    <row r="538" spans="3:22" hidden="1">
      <c r="C538">
        <v>2022</v>
      </c>
      <c r="D538" t="s">
        <v>1881</v>
      </c>
      <c r="F538">
        <v>2422999997</v>
      </c>
      <c r="G538" t="s">
        <v>1608</v>
      </c>
      <c r="H538" t="s">
        <v>1921</v>
      </c>
      <c r="J538" t="s">
        <v>106</v>
      </c>
      <c r="K538">
        <v>2000005743</v>
      </c>
      <c r="L538" t="s">
        <v>1921</v>
      </c>
      <c r="M538" s="1633">
        <v>66388459</v>
      </c>
      <c r="N538">
        <v>1</v>
      </c>
      <c r="O538">
        <v>40</v>
      </c>
      <c r="P538" s="1633">
        <v>66388459</v>
      </c>
      <c r="Q538" t="s">
        <v>106</v>
      </c>
      <c r="R538" s="2392">
        <v>44715</v>
      </c>
      <c r="S538" s="2393">
        <f t="shared" si="35"/>
        <v>1</v>
      </c>
      <c r="T538" s="2394">
        <f>IF(OR(J538="COP",J538="EURO",J538="GBP"),0,IF(J538="USD",VLOOKUP(R538,'TRM BanRep'!$A:$G,7,0)))</f>
        <v>0</v>
      </c>
      <c r="U538" s="2395">
        <f t="shared" si="36"/>
        <v>0</v>
      </c>
      <c r="V538" s="2395" t="str">
        <f t="shared" si="37"/>
        <v/>
      </c>
    </row>
    <row r="539" spans="3:22" hidden="1">
      <c r="C539">
        <v>2022</v>
      </c>
      <c r="D539" t="s">
        <v>1881</v>
      </c>
      <c r="F539">
        <v>2422999997</v>
      </c>
      <c r="G539" t="s">
        <v>1608</v>
      </c>
      <c r="H539" t="s">
        <v>1921</v>
      </c>
      <c r="J539" t="s">
        <v>106</v>
      </c>
      <c r="K539">
        <v>2000005745</v>
      </c>
      <c r="L539" t="s">
        <v>1921</v>
      </c>
      <c r="M539" s="1633">
        <v>10013546500</v>
      </c>
      <c r="N539">
        <v>1</v>
      </c>
      <c r="O539">
        <v>40</v>
      </c>
      <c r="P539" s="1633">
        <v>10013546500</v>
      </c>
      <c r="Q539" t="s">
        <v>106</v>
      </c>
      <c r="R539" s="2392">
        <v>44715</v>
      </c>
      <c r="S539" s="2393">
        <f t="shared" si="35"/>
        <v>1</v>
      </c>
      <c r="T539" s="2394">
        <f>IF(OR(J539="COP",J539="EURO",J539="GBP"),0,IF(J539="USD",VLOOKUP(R539,'TRM BanRep'!$A:$G,7,0)))</f>
        <v>0</v>
      </c>
      <c r="U539" s="2395">
        <f t="shared" si="36"/>
        <v>0</v>
      </c>
      <c r="V539" s="2395" t="str">
        <f t="shared" si="37"/>
        <v/>
      </c>
    </row>
    <row r="540" spans="3:22" hidden="1">
      <c r="C540">
        <v>2022</v>
      </c>
      <c r="D540" t="s">
        <v>1881</v>
      </c>
      <c r="F540">
        <v>2422999997</v>
      </c>
      <c r="G540" t="s">
        <v>1608</v>
      </c>
      <c r="H540" t="s">
        <v>1886</v>
      </c>
      <c r="J540" t="s">
        <v>106</v>
      </c>
      <c r="K540">
        <v>2000005790</v>
      </c>
      <c r="L540" t="s">
        <v>1886</v>
      </c>
      <c r="M540" s="1633">
        <v>24050484192</v>
      </c>
      <c r="N540">
        <v>1</v>
      </c>
      <c r="O540">
        <v>40</v>
      </c>
      <c r="P540" s="1633">
        <v>24050484192</v>
      </c>
      <c r="Q540" t="s">
        <v>106</v>
      </c>
      <c r="R540" s="2392">
        <v>44718</v>
      </c>
      <c r="S540" s="2393">
        <f t="shared" si="35"/>
        <v>1</v>
      </c>
      <c r="T540" s="2394">
        <f>IF(OR(J540="COP",J540="EURO",J540="GBP"),0,IF(J540="USD",VLOOKUP(R540,'TRM BanRep'!$A:$G,7,0)))</f>
        <v>0</v>
      </c>
      <c r="U540" s="2395">
        <f t="shared" si="36"/>
        <v>0</v>
      </c>
      <c r="V540" s="2395" t="str">
        <f t="shared" si="37"/>
        <v/>
      </c>
    </row>
    <row r="541" spans="3:22" hidden="1">
      <c r="C541">
        <v>2022</v>
      </c>
      <c r="D541" t="s">
        <v>1881</v>
      </c>
      <c r="F541">
        <v>2422999997</v>
      </c>
      <c r="G541" t="s">
        <v>1608</v>
      </c>
      <c r="H541" t="s">
        <v>1882</v>
      </c>
      <c r="J541" t="s">
        <v>106</v>
      </c>
      <c r="K541">
        <v>2000005830</v>
      </c>
      <c r="L541" t="s">
        <v>1882</v>
      </c>
      <c r="M541" s="1633">
        <v>15204400000</v>
      </c>
      <c r="N541">
        <v>1</v>
      </c>
      <c r="O541">
        <v>40</v>
      </c>
      <c r="P541" s="1633">
        <v>15204400000</v>
      </c>
      <c r="Q541" t="s">
        <v>106</v>
      </c>
      <c r="R541" s="2392">
        <v>44714</v>
      </c>
      <c r="S541" s="2393">
        <f t="shared" si="35"/>
        <v>1</v>
      </c>
      <c r="T541" s="2394">
        <f>IF(OR(J541="COP",J541="EURO",J541="GBP"),0,IF(J541="USD",VLOOKUP(R541,'TRM BanRep'!$A:$G,7,0)))</f>
        <v>0</v>
      </c>
      <c r="U541" s="2395">
        <f t="shared" si="36"/>
        <v>0</v>
      </c>
      <c r="V541" s="2395" t="str">
        <f t="shared" si="37"/>
        <v/>
      </c>
    </row>
    <row r="542" spans="3:22" hidden="1">
      <c r="C542">
        <v>2022</v>
      </c>
      <c r="D542" t="s">
        <v>1881</v>
      </c>
      <c r="F542">
        <v>2422999997</v>
      </c>
      <c r="G542" t="s">
        <v>1608</v>
      </c>
      <c r="H542" t="s">
        <v>1882</v>
      </c>
      <c r="J542" t="s">
        <v>106</v>
      </c>
      <c r="K542">
        <v>2000005831</v>
      </c>
      <c r="L542" t="s">
        <v>1882</v>
      </c>
      <c r="M542" s="1633">
        <v>15192800000</v>
      </c>
      <c r="N542">
        <v>1</v>
      </c>
      <c r="O542">
        <v>40</v>
      </c>
      <c r="P542" s="1633">
        <v>15192800000</v>
      </c>
      <c r="Q542" t="s">
        <v>106</v>
      </c>
      <c r="R542" s="2392">
        <v>44714</v>
      </c>
      <c r="S542" s="2393">
        <f t="shared" si="35"/>
        <v>1</v>
      </c>
      <c r="T542" s="2394">
        <f>IF(OR(J542="COP",J542="EURO",J542="GBP"),0,IF(J542="USD",VLOOKUP(R542,'TRM BanRep'!$A:$G,7,0)))</f>
        <v>0</v>
      </c>
      <c r="U542" s="2395">
        <f t="shared" si="36"/>
        <v>0</v>
      </c>
      <c r="V542" s="2395" t="str">
        <f t="shared" si="37"/>
        <v/>
      </c>
    </row>
    <row r="543" spans="3:22" hidden="1">
      <c r="C543">
        <v>2022</v>
      </c>
      <c r="D543" t="s">
        <v>1881</v>
      </c>
      <c r="F543">
        <v>2422999997</v>
      </c>
      <c r="G543" t="s">
        <v>1608</v>
      </c>
      <c r="H543" t="s">
        <v>1882</v>
      </c>
      <c r="J543" t="s">
        <v>106</v>
      </c>
      <c r="K543">
        <v>2000005832</v>
      </c>
      <c r="L543" t="s">
        <v>1882</v>
      </c>
      <c r="M543" s="1633">
        <v>3099999999</v>
      </c>
      <c r="N543">
        <v>1</v>
      </c>
      <c r="O543">
        <v>40</v>
      </c>
      <c r="P543" s="1633">
        <v>3099999999</v>
      </c>
      <c r="Q543" t="s">
        <v>106</v>
      </c>
      <c r="R543" s="2392">
        <v>44714</v>
      </c>
      <c r="S543" s="2393">
        <f t="shared" si="35"/>
        <v>1</v>
      </c>
      <c r="T543" s="2394">
        <f>IF(OR(J543="COP",J543="EURO",J543="GBP"),0,IF(J543="USD",VLOOKUP(R543,'TRM BanRep'!$A:$G,7,0)))</f>
        <v>0</v>
      </c>
      <c r="U543" s="2395">
        <f t="shared" si="36"/>
        <v>0</v>
      </c>
      <c r="V543" s="2395" t="str">
        <f t="shared" si="37"/>
        <v/>
      </c>
    </row>
    <row r="544" spans="3:22" hidden="1">
      <c r="C544">
        <v>2022</v>
      </c>
      <c r="D544" t="s">
        <v>1881</v>
      </c>
      <c r="F544">
        <v>2422999997</v>
      </c>
      <c r="G544" t="s">
        <v>1608</v>
      </c>
      <c r="H544" t="s">
        <v>1922</v>
      </c>
      <c r="J544" t="s">
        <v>106</v>
      </c>
      <c r="K544">
        <v>2000006168</v>
      </c>
      <c r="L544" t="s">
        <v>1922</v>
      </c>
      <c r="M544" s="1633">
        <v>6908218950</v>
      </c>
      <c r="N544">
        <v>1</v>
      </c>
      <c r="O544">
        <v>40</v>
      </c>
      <c r="P544" s="1633">
        <v>6908218950</v>
      </c>
      <c r="Q544" t="s">
        <v>106</v>
      </c>
      <c r="R544" s="2392">
        <v>44725</v>
      </c>
      <c r="S544" s="2393">
        <f t="shared" si="35"/>
        <v>1</v>
      </c>
      <c r="T544" s="2394">
        <f>IF(OR(J544="COP",J544="EURO",J544="GBP"),0,IF(J544="USD",VLOOKUP(R544,'TRM BanRep'!$A:$G,7,0)))</f>
        <v>0</v>
      </c>
      <c r="U544" s="2395">
        <f t="shared" si="36"/>
        <v>0</v>
      </c>
      <c r="V544" s="2395" t="str">
        <f t="shared" si="37"/>
        <v/>
      </c>
    </row>
    <row r="545" spans="3:22" hidden="1">
      <c r="C545">
        <v>2022</v>
      </c>
      <c r="D545" t="s">
        <v>1881</v>
      </c>
      <c r="F545">
        <v>2422999997</v>
      </c>
      <c r="G545" t="s">
        <v>1608</v>
      </c>
      <c r="H545" t="s">
        <v>1922</v>
      </c>
      <c r="J545" t="s">
        <v>106</v>
      </c>
      <c r="K545">
        <v>2000006169</v>
      </c>
      <c r="L545" t="s">
        <v>1922</v>
      </c>
      <c r="M545" s="1633">
        <v>1985922222</v>
      </c>
      <c r="N545">
        <v>1</v>
      </c>
      <c r="O545">
        <v>40</v>
      </c>
      <c r="P545" s="1633">
        <v>1985922222</v>
      </c>
      <c r="Q545" t="s">
        <v>106</v>
      </c>
      <c r="R545" s="2392">
        <v>44725</v>
      </c>
      <c r="S545" s="2393">
        <f t="shared" si="35"/>
        <v>1</v>
      </c>
      <c r="T545" s="2394">
        <f>IF(OR(J545="COP",J545="EURO",J545="GBP"),0,IF(J545="USD",VLOOKUP(R545,'TRM BanRep'!$A:$G,7,0)))</f>
        <v>0</v>
      </c>
      <c r="U545" s="2395">
        <f t="shared" si="36"/>
        <v>0</v>
      </c>
      <c r="V545" s="2395" t="str">
        <f t="shared" si="37"/>
        <v/>
      </c>
    </row>
    <row r="546" spans="3:22" hidden="1">
      <c r="C546">
        <v>2022</v>
      </c>
      <c r="D546" t="s">
        <v>1881</v>
      </c>
      <c r="F546">
        <v>2422999997</v>
      </c>
      <c r="G546" t="s">
        <v>1608</v>
      </c>
      <c r="H546" t="s">
        <v>1923</v>
      </c>
      <c r="J546" t="s">
        <v>106</v>
      </c>
      <c r="K546">
        <v>2000006455</v>
      </c>
      <c r="L546" t="s">
        <v>1923</v>
      </c>
      <c r="M546" s="1633">
        <v>104125000</v>
      </c>
      <c r="N546">
        <v>1</v>
      </c>
      <c r="O546">
        <v>40</v>
      </c>
      <c r="P546" s="1633">
        <v>104125000</v>
      </c>
      <c r="Q546" t="s">
        <v>106</v>
      </c>
      <c r="R546" s="2392">
        <v>44734</v>
      </c>
      <c r="S546" s="2393">
        <f t="shared" si="35"/>
        <v>1</v>
      </c>
      <c r="T546" s="2394">
        <f>IF(OR(J546="COP",J546="EURO",J546="GBP"),0,IF(J546="USD",VLOOKUP(R546,'TRM BanRep'!$A:$G,7,0)))</f>
        <v>0</v>
      </c>
      <c r="U546" s="2395">
        <f t="shared" si="36"/>
        <v>0</v>
      </c>
      <c r="V546" s="2395" t="str">
        <f t="shared" si="37"/>
        <v/>
      </c>
    </row>
    <row r="547" spans="3:22" hidden="1">
      <c r="C547">
        <v>2022</v>
      </c>
      <c r="D547" t="s">
        <v>1881</v>
      </c>
      <c r="F547">
        <v>2422999997</v>
      </c>
      <c r="G547" t="s">
        <v>1608</v>
      </c>
      <c r="H547" t="s">
        <v>1924</v>
      </c>
      <c r="J547" t="s">
        <v>106</v>
      </c>
      <c r="K547">
        <v>2000006460</v>
      </c>
      <c r="L547" t="s">
        <v>1924</v>
      </c>
      <c r="M547" s="1633">
        <v>203622222</v>
      </c>
      <c r="N547">
        <v>1</v>
      </c>
      <c r="O547">
        <v>40</v>
      </c>
      <c r="P547" s="1633">
        <v>203622222</v>
      </c>
      <c r="Q547" t="s">
        <v>106</v>
      </c>
      <c r="R547" s="2392">
        <v>44735</v>
      </c>
      <c r="S547" s="2393">
        <f t="shared" si="35"/>
        <v>1</v>
      </c>
      <c r="T547" s="2394">
        <f>IF(OR(J547="COP",J547="EURO",J547="GBP"),0,IF(J547="USD",VLOOKUP(R547,'TRM BanRep'!$A:$G,7,0)))</f>
        <v>0</v>
      </c>
      <c r="U547" s="2395">
        <f t="shared" si="36"/>
        <v>0</v>
      </c>
      <c r="V547" s="2395" t="str">
        <f t="shared" si="37"/>
        <v/>
      </c>
    </row>
    <row r="548" spans="3:22" hidden="1">
      <c r="C548">
        <v>2022</v>
      </c>
      <c r="D548" t="s">
        <v>1881</v>
      </c>
      <c r="F548">
        <v>2422999997</v>
      </c>
      <c r="G548" t="s">
        <v>1608</v>
      </c>
      <c r="H548" t="s">
        <v>1888</v>
      </c>
      <c r="J548" t="s">
        <v>106</v>
      </c>
      <c r="K548">
        <v>2000006588</v>
      </c>
      <c r="L548" t="s">
        <v>1888</v>
      </c>
      <c r="M548" s="1633">
        <v>1801902110</v>
      </c>
      <c r="N548">
        <v>1</v>
      </c>
      <c r="O548">
        <v>40</v>
      </c>
      <c r="P548" s="1633">
        <v>1801902110</v>
      </c>
      <c r="Q548" t="s">
        <v>106</v>
      </c>
      <c r="R548" s="2392">
        <v>44719</v>
      </c>
      <c r="S548" s="2393">
        <f t="shared" si="35"/>
        <v>1</v>
      </c>
      <c r="T548" s="2394">
        <f>IF(OR(J548="COP",J548="EURO",J548="GBP"),0,IF(J548="USD",VLOOKUP(R548,'TRM BanRep'!$A:$G,7,0)))</f>
        <v>0</v>
      </c>
      <c r="U548" s="2395">
        <f t="shared" si="36"/>
        <v>0</v>
      </c>
      <c r="V548" s="2395" t="str">
        <f t="shared" si="37"/>
        <v/>
      </c>
    </row>
    <row r="549" spans="3:22" hidden="1">
      <c r="C549">
        <v>2022</v>
      </c>
      <c r="D549" t="s">
        <v>1881</v>
      </c>
      <c r="F549">
        <v>2422999997</v>
      </c>
      <c r="G549" t="s">
        <v>1608</v>
      </c>
      <c r="H549" t="s">
        <v>1896</v>
      </c>
      <c r="J549" t="s">
        <v>106</v>
      </c>
      <c r="K549">
        <v>2000006589</v>
      </c>
      <c r="L549" t="s">
        <v>1896</v>
      </c>
      <c r="M549" s="1633">
        <v>2283644445</v>
      </c>
      <c r="N549">
        <v>1</v>
      </c>
      <c r="O549">
        <v>40</v>
      </c>
      <c r="P549" s="1633">
        <v>2283644445</v>
      </c>
      <c r="Q549" t="s">
        <v>106</v>
      </c>
      <c r="R549" s="2392">
        <v>44740</v>
      </c>
      <c r="S549" s="2393">
        <f t="shared" si="35"/>
        <v>1</v>
      </c>
      <c r="T549" s="2394">
        <f>IF(OR(J549="COP",J549="EURO",J549="GBP"),0,IF(J549="USD",VLOOKUP(R549,'TRM BanRep'!$A:$G,7,0)))</f>
        <v>0</v>
      </c>
      <c r="U549" s="2395">
        <f t="shared" si="36"/>
        <v>0</v>
      </c>
      <c r="V549" s="2395" t="str">
        <f t="shared" si="37"/>
        <v/>
      </c>
    </row>
    <row r="550" spans="3:22" hidden="1">
      <c r="C550">
        <v>2022</v>
      </c>
      <c r="D550" t="s">
        <v>1881</v>
      </c>
      <c r="F550">
        <v>2422999997</v>
      </c>
      <c r="G550" t="s">
        <v>1608</v>
      </c>
      <c r="H550" t="s">
        <v>1896</v>
      </c>
      <c r="J550" t="s">
        <v>106</v>
      </c>
      <c r="K550">
        <v>2000006590</v>
      </c>
      <c r="L550" t="s">
        <v>1896</v>
      </c>
      <c r="M550" s="1633">
        <v>2872693056</v>
      </c>
      <c r="N550">
        <v>1</v>
      </c>
      <c r="O550">
        <v>40</v>
      </c>
      <c r="P550" s="1633">
        <v>2872693056</v>
      </c>
      <c r="Q550" t="s">
        <v>106</v>
      </c>
      <c r="R550" s="2392">
        <v>44740</v>
      </c>
      <c r="S550" s="2393">
        <f t="shared" si="35"/>
        <v>1</v>
      </c>
      <c r="T550" s="2394">
        <f>IF(OR(J550="COP",J550="EURO",J550="GBP"),0,IF(J550="USD",VLOOKUP(R550,'TRM BanRep'!$A:$G,7,0)))</f>
        <v>0</v>
      </c>
      <c r="U550" s="2395">
        <f t="shared" si="36"/>
        <v>0</v>
      </c>
      <c r="V550" s="2395" t="str">
        <f t="shared" si="37"/>
        <v/>
      </c>
    </row>
    <row r="551" spans="3:22" hidden="1">
      <c r="C551">
        <v>2022</v>
      </c>
      <c r="D551" t="s">
        <v>1881</v>
      </c>
      <c r="F551">
        <v>2422999997</v>
      </c>
      <c r="G551" t="s">
        <v>1608</v>
      </c>
      <c r="H551" t="s">
        <v>1890</v>
      </c>
      <c r="J551" t="s">
        <v>106</v>
      </c>
      <c r="K551">
        <v>2000006673</v>
      </c>
      <c r="L551" t="s">
        <v>1890</v>
      </c>
      <c r="M551" s="1633">
        <v>20114560000</v>
      </c>
      <c r="N551">
        <v>1</v>
      </c>
      <c r="O551">
        <v>40</v>
      </c>
      <c r="P551" s="1633">
        <v>20114560000</v>
      </c>
      <c r="Q551" t="s">
        <v>106</v>
      </c>
      <c r="R551" s="2392">
        <v>44720</v>
      </c>
      <c r="S551" s="2393">
        <f t="shared" si="35"/>
        <v>1</v>
      </c>
      <c r="T551" s="2394">
        <f>IF(OR(J551="COP",J551="EURO",J551="GBP"),0,IF(J551="USD",VLOOKUP(R551,'TRM BanRep'!$A:$G,7,0)))</f>
        <v>0</v>
      </c>
      <c r="U551" s="2395">
        <f t="shared" si="36"/>
        <v>0</v>
      </c>
      <c r="V551" s="2395" t="str">
        <f t="shared" si="37"/>
        <v/>
      </c>
    </row>
    <row r="552" spans="3:22" hidden="1">
      <c r="C552">
        <v>2022</v>
      </c>
      <c r="D552" t="s">
        <v>1881</v>
      </c>
      <c r="F552">
        <v>2422999997</v>
      </c>
      <c r="G552" t="s">
        <v>1608</v>
      </c>
      <c r="H552" t="s">
        <v>1896</v>
      </c>
      <c r="J552" t="s">
        <v>106</v>
      </c>
      <c r="K552">
        <v>2000006676</v>
      </c>
      <c r="L552" t="s">
        <v>1896</v>
      </c>
      <c r="M552" s="1633">
        <v>23999999233</v>
      </c>
      <c r="N552">
        <v>1</v>
      </c>
      <c r="O552">
        <v>40</v>
      </c>
      <c r="P552" s="1633">
        <v>23999999233</v>
      </c>
      <c r="Q552" t="s">
        <v>106</v>
      </c>
      <c r="R552" s="2392">
        <v>44740</v>
      </c>
      <c r="S552" s="2393">
        <f t="shared" si="35"/>
        <v>1</v>
      </c>
      <c r="T552" s="2394">
        <f>IF(OR(J552="COP",J552="EURO",J552="GBP"),0,IF(J552="USD",VLOOKUP(R552,'TRM BanRep'!$A:$G,7,0)))</f>
        <v>0</v>
      </c>
      <c r="U552" s="2395">
        <f t="shared" si="36"/>
        <v>0</v>
      </c>
      <c r="V552" s="2395" t="str">
        <f t="shared" si="37"/>
        <v/>
      </c>
    </row>
    <row r="553" spans="3:22" hidden="1">
      <c r="C553">
        <v>2022</v>
      </c>
      <c r="D553" t="s">
        <v>1881</v>
      </c>
      <c r="F553">
        <v>2422999997</v>
      </c>
      <c r="G553" t="s">
        <v>1608</v>
      </c>
      <c r="H553" t="s">
        <v>1896</v>
      </c>
      <c r="J553" t="s">
        <v>106</v>
      </c>
      <c r="K553">
        <v>2000006677</v>
      </c>
      <c r="L553" t="s">
        <v>1896</v>
      </c>
      <c r="M553" s="1633">
        <v>11851025767</v>
      </c>
      <c r="N553">
        <v>1</v>
      </c>
      <c r="O553">
        <v>40</v>
      </c>
      <c r="P553" s="1633">
        <v>11851025767</v>
      </c>
      <c r="Q553" t="s">
        <v>106</v>
      </c>
      <c r="R553" s="2392">
        <v>44740</v>
      </c>
      <c r="S553" s="2393">
        <f t="shared" si="35"/>
        <v>1</v>
      </c>
      <c r="T553" s="2394">
        <f>IF(OR(J553="COP",J553="EURO",J553="GBP"),0,IF(J553="USD",VLOOKUP(R553,'TRM BanRep'!$A:$G,7,0)))</f>
        <v>0</v>
      </c>
      <c r="U553" s="2395">
        <f t="shared" si="36"/>
        <v>0</v>
      </c>
      <c r="V553" s="2395" t="str">
        <f t="shared" si="37"/>
        <v/>
      </c>
    </row>
    <row r="554" spans="3:22" hidden="1">
      <c r="C554">
        <v>2022</v>
      </c>
      <c r="D554" t="s">
        <v>1881</v>
      </c>
      <c r="F554">
        <v>2422999997</v>
      </c>
      <c r="G554" t="s">
        <v>1608</v>
      </c>
      <c r="H554" t="s">
        <v>1919</v>
      </c>
      <c r="J554" t="s">
        <v>106</v>
      </c>
      <c r="K554">
        <v>2000006678</v>
      </c>
      <c r="L554" t="s">
        <v>1919</v>
      </c>
      <c r="M554" s="1633">
        <v>20112685860</v>
      </c>
      <c r="N554">
        <v>1</v>
      </c>
      <c r="O554">
        <v>40</v>
      </c>
      <c r="P554" s="1633">
        <v>20112685860</v>
      </c>
      <c r="Q554" t="s">
        <v>106</v>
      </c>
      <c r="R554" s="2392">
        <v>44741</v>
      </c>
      <c r="S554" s="2393">
        <f t="shared" si="35"/>
        <v>1</v>
      </c>
      <c r="T554" s="2394">
        <f>IF(OR(J554="COP",J554="EURO",J554="GBP"),0,IF(J554="USD",VLOOKUP(R554,'TRM BanRep'!$A:$G,7,0)))</f>
        <v>0</v>
      </c>
      <c r="U554" s="2395">
        <f t="shared" si="36"/>
        <v>0</v>
      </c>
      <c r="V554" s="2395" t="str">
        <f t="shared" si="37"/>
        <v/>
      </c>
    </row>
    <row r="555" spans="3:22" hidden="1">
      <c r="C555">
        <v>2022</v>
      </c>
      <c r="D555" t="s">
        <v>1881</v>
      </c>
      <c r="F555">
        <v>2422999997</v>
      </c>
      <c r="G555" t="s">
        <v>1609</v>
      </c>
      <c r="H555" t="s">
        <v>1921</v>
      </c>
      <c r="I555" t="s">
        <v>1925</v>
      </c>
      <c r="J555" t="s">
        <v>106</v>
      </c>
      <c r="K555">
        <v>7900006992</v>
      </c>
      <c r="L555" t="s">
        <v>1921</v>
      </c>
      <c r="M555" s="1633">
        <v>-66388459</v>
      </c>
      <c r="N555">
        <v>1</v>
      </c>
      <c r="O555">
        <v>50</v>
      </c>
      <c r="P555" s="1633">
        <v>-66388459</v>
      </c>
      <c r="Q555" t="s">
        <v>106</v>
      </c>
      <c r="R555" s="2392">
        <v>44715</v>
      </c>
      <c r="S555" s="2393">
        <f t="shared" si="35"/>
        <v>1</v>
      </c>
      <c r="T555" s="2394">
        <f>IF(OR(J555="COP",J555="EURO",J555="GBP"),0,IF(J555="USD",VLOOKUP(R555,'TRM BanRep'!$A:$G,7,0)))</f>
        <v>0</v>
      </c>
      <c r="U555" s="2395">
        <f t="shared" si="36"/>
        <v>0</v>
      </c>
      <c r="V555" s="2395" t="str">
        <f t="shared" si="37"/>
        <v/>
      </c>
    </row>
    <row r="556" spans="3:22" hidden="1">
      <c r="C556">
        <v>2022</v>
      </c>
      <c r="D556" t="s">
        <v>1881</v>
      </c>
      <c r="F556">
        <v>2422999997</v>
      </c>
      <c r="G556" t="s">
        <v>1609</v>
      </c>
      <c r="H556" t="s">
        <v>1921</v>
      </c>
      <c r="I556" t="s">
        <v>1926</v>
      </c>
      <c r="J556" t="s">
        <v>106</v>
      </c>
      <c r="K556">
        <v>7900006998</v>
      </c>
      <c r="L556" t="s">
        <v>1921</v>
      </c>
      <c r="M556" s="1633">
        <v>-6939173940</v>
      </c>
      <c r="N556">
        <v>1</v>
      </c>
      <c r="O556">
        <v>50</v>
      </c>
      <c r="P556" s="1633">
        <v>-6939173940</v>
      </c>
      <c r="Q556" t="s">
        <v>106</v>
      </c>
      <c r="R556" s="2392">
        <v>44715</v>
      </c>
      <c r="S556" s="2393">
        <f t="shared" si="35"/>
        <v>1</v>
      </c>
      <c r="T556" s="2394">
        <f>IF(OR(J556="COP",J556="EURO",J556="GBP"),0,IF(J556="USD",VLOOKUP(R556,'TRM BanRep'!$A:$G,7,0)))</f>
        <v>0</v>
      </c>
      <c r="U556" s="2395">
        <f t="shared" si="36"/>
        <v>0</v>
      </c>
      <c r="V556" s="2395" t="str">
        <f t="shared" si="37"/>
        <v/>
      </c>
    </row>
    <row r="557" spans="3:22" hidden="1">
      <c r="C557">
        <v>2022</v>
      </c>
      <c r="D557" t="s">
        <v>1881</v>
      </c>
      <c r="F557">
        <v>2422999997</v>
      </c>
      <c r="G557" t="s">
        <v>1609</v>
      </c>
      <c r="H557" t="s">
        <v>1921</v>
      </c>
      <c r="I557" t="s">
        <v>1927</v>
      </c>
      <c r="J557" t="s">
        <v>106</v>
      </c>
      <c r="K557">
        <v>7900006999</v>
      </c>
      <c r="L557" t="s">
        <v>1921</v>
      </c>
      <c r="M557" s="1633">
        <v>-3074372560</v>
      </c>
      <c r="N557">
        <v>1</v>
      </c>
      <c r="O557">
        <v>50</v>
      </c>
      <c r="P557" s="1633">
        <v>-3074372560</v>
      </c>
      <c r="Q557" t="s">
        <v>106</v>
      </c>
      <c r="R557" s="2392">
        <v>44715</v>
      </c>
      <c r="S557" s="2393">
        <f t="shared" si="35"/>
        <v>1</v>
      </c>
      <c r="T557" s="2394">
        <f>IF(OR(J557="COP",J557="EURO",J557="GBP"),0,IF(J557="USD",VLOOKUP(R557,'TRM BanRep'!$A:$G,7,0)))</f>
        <v>0</v>
      </c>
      <c r="U557" s="2395">
        <f t="shared" si="36"/>
        <v>0</v>
      </c>
      <c r="V557" s="2395" t="str">
        <f t="shared" si="37"/>
        <v/>
      </c>
    </row>
    <row r="558" spans="3:22" hidden="1">
      <c r="C558">
        <v>2022</v>
      </c>
      <c r="D558" t="s">
        <v>1881</v>
      </c>
      <c r="F558">
        <v>2422999997</v>
      </c>
      <c r="G558" t="s">
        <v>1609</v>
      </c>
      <c r="H558" t="s">
        <v>1886</v>
      </c>
      <c r="I558" t="s">
        <v>1748</v>
      </c>
      <c r="J558" t="s">
        <v>106</v>
      </c>
      <c r="K558">
        <v>7900007014</v>
      </c>
      <c r="L558" t="s">
        <v>1886</v>
      </c>
      <c r="M558" s="1633">
        <v>-6101154400</v>
      </c>
      <c r="N558">
        <v>1</v>
      </c>
      <c r="O558">
        <v>50</v>
      </c>
      <c r="P558" s="1633">
        <v>-6101154400</v>
      </c>
      <c r="Q558" t="s">
        <v>106</v>
      </c>
      <c r="R558" s="2392">
        <v>44718</v>
      </c>
      <c r="S558" s="2393">
        <f t="shared" si="35"/>
        <v>1</v>
      </c>
      <c r="T558" s="2394">
        <f>IF(OR(J558="COP",J558="EURO",J558="GBP"),0,IF(J558="USD",VLOOKUP(R558,'TRM BanRep'!$A:$G,7,0)))</f>
        <v>0</v>
      </c>
      <c r="U558" s="2395">
        <f t="shared" si="36"/>
        <v>0</v>
      </c>
      <c r="V558" s="2395" t="str">
        <f t="shared" si="37"/>
        <v/>
      </c>
    </row>
    <row r="559" spans="3:22" hidden="1">
      <c r="C559">
        <v>2022</v>
      </c>
      <c r="D559" t="s">
        <v>1881</v>
      </c>
      <c r="F559">
        <v>2422999997</v>
      </c>
      <c r="G559" t="s">
        <v>1609</v>
      </c>
      <c r="H559" t="s">
        <v>1886</v>
      </c>
      <c r="I559" t="s">
        <v>1747</v>
      </c>
      <c r="J559" t="s">
        <v>106</v>
      </c>
      <c r="K559">
        <v>7900007015</v>
      </c>
      <c r="L559" t="s">
        <v>1886</v>
      </c>
      <c r="M559" s="1633">
        <v>-2413089014</v>
      </c>
      <c r="N559">
        <v>1</v>
      </c>
      <c r="O559">
        <v>50</v>
      </c>
      <c r="P559" s="1633">
        <v>-2413089014</v>
      </c>
      <c r="Q559" t="s">
        <v>106</v>
      </c>
      <c r="R559" s="2392">
        <v>44718</v>
      </c>
      <c r="S559" s="2393">
        <f t="shared" si="35"/>
        <v>1</v>
      </c>
      <c r="T559" s="2394">
        <f>IF(OR(J559="COP",J559="EURO",J559="GBP"),0,IF(J559="USD",VLOOKUP(R559,'TRM BanRep'!$A:$G,7,0)))</f>
        <v>0</v>
      </c>
      <c r="U559" s="2395">
        <f t="shared" si="36"/>
        <v>0</v>
      </c>
      <c r="V559" s="2395" t="str">
        <f t="shared" si="37"/>
        <v/>
      </c>
    </row>
    <row r="560" spans="3:22" hidden="1">
      <c r="C560">
        <v>2022</v>
      </c>
      <c r="D560" t="s">
        <v>1881</v>
      </c>
      <c r="F560">
        <v>2422999997</v>
      </c>
      <c r="G560" t="s">
        <v>1609</v>
      </c>
      <c r="H560" t="s">
        <v>1886</v>
      </c>
      <c r="I560" t="s">
        <v>1750</v>
      </c>
      <c r="J560" t="s">
        <v>106</v>
      </c>
      <c r="K560">
        <v>7900007016</v>
      </c>
      <c r="L560" t="s">
        <v>1886</v>
      </c>
      <c r="M560" s="1633">
        <v>-9797497650</v>
      </c>
      <c r="N560">
        <v>1</v>
      </c>
      <c r="O560">
        <v>50</v>
      </c>
      <c r="P560" s="1633">
        <v>-9797497650</v>
      </c>
      <c r="Q560" t="s">
        <v>106</v>
      </c>
      <c r="R560" s="2392">
        <v>44718</v>
      </c>
      <c r="S560" s="2393">
        <f t="shared" si="35"/>
        <v>1</v>
      </c>
      <c r="T560" s="2394">
        <f>IF(OR(J560="COP",J560="EURO",J560="GBP"),0,IF(J560="USD",VLOOKUP(R560,'TRM BanRep'!$A:$G,7,0)))</f>
        <v>0</v>
      </c>
      <c r="U560" s="2395">
        <f t="shared" si="36"/>
        <v>0</v>
      </c>
      <c r="V560" s="2395" t="str">
        <f t="shared" si="37"/>
        <v/>
      </c>
    </row>
    <row r="561" spans="3:22" hidden="1">
      <c r="C561">
        <v>2022</v>
      </c>
      <c r="D561" t="s">
        <v>1881</v>
      </c>
      <c r="F561">
        <v>2422999997</v>
      </c>
      <c r="G561" t="s">
        <v>1609</v>
      </c>
      <c r="H561" t="s">
        <v>1886</v>
      </c>
      <c r="I561" t="s">
        <v>1749</v>
      </c>
      <c r="J561" t="s">
        <v>106</v>
      </c>
      <c r="K561">
        <v>7900007017</v>
      </c>
      <c r="L561" t="s">
        <v>1886</v>
      </c>
      <c r="M561" s="1633">
        <v>-5738743128</v>
      </c>
      <c r="N561">
        <v>1</v>
      </c>
      <c r="O561">
        <v>50</v>
      </c>
      <c r="P561" s="1633">
        <v>-5738743128</v>
      </c>
      <c r="Q561" t="s">
        <v>106</v>
      </c>
      <c r="R561" s="2392">
        <v>44718</v>
      </c>
      <c r="S561" s="2393">
        <f t="shared" si="35"/>
        <v>1</v>
      </c>
      <c r="T561" s="2394">
        <f>IF(OR(J561="COP",J561="EURO",J561="GBP"),0,IF(J561="USD",VLOOKUP(R561,'TRM BanRep'!$A:$G,7,0)))</f>
        <v>0</v>
      </c>
      <c r="U561" s="2395">
        <f t="shared" si="36"/>
        <v>0</v>
      </c>
      <c r="V561" s="2395" t="str">
        <f t="shared" si="37"/>
        <v/>
      </c>
    </row>
    <row r="562" spans="3:22" hidden="1">
      <c r="C562">
        <v>2022</v>
      </c>
      <c r="D562" t="s">
        <v>1881</v>
      </c>
      <c r="F562">
        <v>2422999997</v>
      </c>
      <c r="G562" t="s">
        <v>1609</v>
      </c>
      <c r="H562" t="s">
        <v>1922</v>
      </c>
      <c r="I562" t="s">
        <v>1752</v>
      </c>
      <c r="J562" t="s">
        <v>106</v>
      </c>
      <c r="K562">
        <v>7900007098</v>
      </c>
      <c r="L562" t="s">
        <v>1922</v>
      </c>
      <c r="M562" s="1633">
        <v>-4047415506</v>
      </c>
      <c r="N562">
        <v>1</v>
      </c>
      <c r="O562">
        <v>50</v>
      </c>
      <c r="P562" s="1633">
        <v>-4047415506</v>
      </c>
      <c r="Q562" t="s">
        <v>106</v>
      </c>
      <c r="R562" s="2392">
        <v>44725</v>
      </c>
      <c r="S562" s="2393">
        <f t="shared" si="35"/>
        <v>1</v>
      </c>
      <c r="T562" s="2394">
        <f>IF(OR(J562="COP",J562="EURO",J562="GBP"),0,IF(J562="USD",VLOOKUP(R562,'TRM BanRep'!$A:$G,7,0)))</f>
        <v>0</v>
      </c>
      <c r="U562" s="2395">
        <f t="shared" si="36"/>
        <v>0</v>
      </c>
      <c r="V562" s="2395" t="str">
        <f t="shared" si="37"/>
        <v/>
      </c>
    </row>
    <row r="563" spans="3:22" hidden="1">
      <c r="C563">
        <v>2022</v>
      </c>
      <c r="D563" t="s">
        <v>1881</v>
      </c>
      <c r="F563">
        <v>2422999997</v>
      </c>
      <c r="G563" t="s">
        <v>1609</v>
      </c>
      <c r="H563" t="s">
        <v>1922</v>
      </c>
      <c r="I563" t="s">
        <v>1753</v>
      </c>
      <c r="J563" t="s">
        <v>106</v>
      </c>
      <c r="K563">
        <v>7900007099</v>
      </c>
      <c r="L563" t="s">
        <v>1922</v>
      </c>
      <c r="M563" s="1633">
        <v>-2860803444</v>
      </c>
      <c r="N563">
        <v>1</v>
      </c>
      <c r="O563">
        <v>50</v>
      </c>
      <c r="P563" s="1633">
        <v>-2860803444</v>
      </c>
      <c r="Q563" t="s">
        <v>106</v>
      </c>
      <c r="R563" s="2392">
        <v>44725</v>
      </c>
      <c r="S563" s="2393">
        <f t="shared" si="35"/>
        <v>1</v>
      </c>
      <c r="T563" s="2394">
        <f>IF(OR(J563="COP",J563="EURO",J563="GBP"),0,IF(J563="USD",VLOOKUP(R563,'TRM BanRep'!$A:$G,7,0)))</f>
        <v>0</v>
      </c>
      <c r="U563" s="2395">
        <f t="shared" si="36"/>
        <v>0</v>
      </c>
      <c r="V563" s="2395" t="str">
        <f t="shared" si="37"/>
        <v/>
      </c>
    </row>
    <row r="564" spans="3:22" hidden="1">
      <c r="C564">
        <v>2022</v>
      </c>
      <c r="D564" t="s">
        <v>1881</v>
      </c>
      <c r="F564">
        <v>2422999997</v>
      </c>
      <c r="G564" t="s">
        <v>1609</v>
      </c>
      <c r="H564" t="s">
        <v>1922</v>
      </c>
      <c r="I564" t="s">
        <v>1751</v>
      </c>
      <c r="J564" t="s">
        <v>106</v>
      </c>
      <c r="K564">
        <v>7900007104</v>
      </c>
      <c r="L564" t="s">
        <v>1922</v>
      </c>
      <c r="M564" s="1633">
        <v>-1985922222</v>
      </c>
      <c r="N564">
        <v>1</v>
      </c>
      <c r="O564">
        <v>50</v>
      </c>
      <c r="P564" s="1633">
        <v>-1985922222</v>
      </c>
      <c r="Q564" t="s">
        <v>106</v>
      </c>
      <c r="R564" s="2392">
        <v>44725</v>
      </c>
      <c r="S564" s="2393">
        <f t="shared" ref="S564:S581" si="38">+ROUND(P564/M564,2)</f>
        <v>1</v>
      </c>
      <c r="T564" s="2394">
        <f>IF(OR(J564="COP",J564="EURO",J564="GBP"),0,IF(J564="USD",VLOOKUP(R564,'TRM BanRep'!$A:$G,7,0)))</f>
        <v>0</v>
      </c>
      <c r="U564" s="2395">
        <f t="shared" ref="U564:U581" si="39">IF(F564=2422999997,-IF(T564=0,0,(T564-S564)*M564),IF(T564=0,0,(T564-S564)*M564))</f>
        <v>0</v>
      </c>
      <c r="V564" s="2395" t="str">
        <f t="shared" si="37"/>
        <v/>
      </c>
    </row>
    <row r="565" spans="3:22" hidden="1">
      <c r="C565">
        <v>2022</v>
      </c>
      <c r="D565" t="s">
        <v>1881</v>
      </c>
      <c r="F565">
        <v>2422999997</v>
      </c>
      <c r="G565" t="s">
        <v>1609</v>
      </c>
      <c r="H565" t="s">
        <v>1928</v>
      </c>
      <c r="I565" t="s">
        <v>1796</v>
      </c>
      <c r="J565" t="s">
        <v>106</v>
      </c>
      <c r="K565">
        <v>7900007148</v>
      </c>
      <c r="L565" t="s">
        <v>1928</v>
      </c>
      <c r="M565" s="1633">
        <v>-104125000</v>
      </c>
      <c r="N565">
        <v>1</v>
      </c>
      <c r="O565">
        <v>50</v>
      </c>
      <c r="P565" s="1633">
        <v>-104125000</v>
      </c>
      <c r="Q565" t="s">
        <v>106</v>
      </c>
      <c r="R565" s="2392">
        <v>44733</v>
      </c>
      <c r="S565" s="2393">
        <f t="shared" si="38"/>
        <v>1</v>
      </c>
      <c r="T565" s="2394">
        <f>IF(OR(J565="COP",J565="EURO",J565="GBP"),0,IF(J565="USD",VLOOKUP(R565,'TRM BanRep'!$A:$G,7,0)))</f>
        <v>0</v>
      </c>
      <c r="U565" s="2395">
        <f t="shared" si="39"/>
        <v>0</v>
      </c>
      <c r="V565" s="2395" t="str">
        <f t="shared" si="37"/>
        <v/>
      </c>
    </row>
    <row r="566" spans="3:22" hidden="1">
      <c r="C566">
        <v>2022</v>
      </c>
      <c r="D566" t="s">
        <v>1881</v>
      </c>
      <c r="F566">
        <v>2422999997</v>
      </c>
      <c r="G566" t="s">
        <v>1609</v>
      </c>
      <c r="H566" t="s">
        <v>1924</v>
      </c>
      <c r="I566" t="s">
        <v>1929</v>
      </c>
      <c r="J566" t="s">
        <v>106</v>
      </c>
      <c r="K566">
        <v>7900007152</v>
      </c>
      <c r="L566" t="s">
        <v>1924</v>
      </c>
      <c r="M566" s="1633">
        <v>-203622222</v>
      </c>
      <c r="N566">
        <v>1</v>
      </c>
      <c r="O566">
        <v>50</v>
      </c>
      <c r="P566" s="1633">
        <v>-203622222</v>
      </c>
      <c r="Q566" t="s">
        <v>106</v>
      </c>
      <c r="R566" s="2392">
        <v>44735</v>
      </c>
      <c r="S566" s="2393">
        <f t="shared" si="38"/>
        <v>1</v>
      </c>
      <c r="T566" s="2394">
        <f>IF(OR(J566="COP",J566="EURO",J566="GBP"),0,IF(J566="USD",VLOOKUP(R566,'TRM BanRep'!$A:$G,7,0)))</f>
        <v>0</v>
      </c>
      <c r="U566" s="2395">
        <f t="shared" si="39"/>
        <v>0</v>
      </c>
      <c r="V566" s="2395" t="str">
        <f t="shared" si="37"/>
        <v/>
      </c>
    </row>
    <row r="567" spans="3:22" hidden="1">
      <c r="C567">
        <v>2022</v>
      </c>
      <c r="D567" t="s">
        <v>1881</v>
      </c>
      <c r="F567">
        <v>2422999997</v>
      </c>
      <c r="G567" t="s">
        <v>1609</v>
      </c>
      <c r="H567" t="s">
        <v>1896</v>
      </c>
      <c r="I567" t="s">
        <v>1930</v>
      </c>
      <c r="J567" t="s">
        <v>106</v>
      </c>
      <c r="K567">
        <v>7900007179</v>
      </c>
      <c r="L567" t="s">
        <v>1896</v>
      </c>
      <c r="M567" s="1633">
        <v>-2872693056</v>
      </c>
      <c r="N567">
        <v>1</v>
      </c>
      <c r="O567">
        <v>50</v>
      </c>
      <c r="P567" s="1633">
        <v>-2872693056</v>
      </c>
      <c r="Q567" t="s">
        <v>106</v>
      </c>
      <c r="R567" s="2392">
        <v>44740</v>
      </c>
      <c r="S567" s="2393">
        <f t="shared" si="38"/>
        <v>1</v>
      </c>
      <c r="T567" s="2394">
        <f>IF(OR(J567="COP",J567="EURO",J567="GBP"),0,IF(J567="USD",VLOOKUP(R567,'TRM BanRep'!$A:$G,7,0)))</f>
        <v>0</v>
      </c>
      <c r="U567" s="2395">
        <f t="shared" si="39"/>
        <v>0</v>
      </c>
      <c r="V567" s="2395" t="str">
        <f t="shared" si="37"/>
        <v/>
      </c>
    </row>
    <row r="568" spans="3:22" hidden="1">
      <c r="C568">
        <v>2022</v>
      </c>
      <c r="D568" t="s">
        <v>1881</v>
      </c>
      <c r="F568">
        <v>2422999997</v>
      </c>
      <c r="G568" t="s">
        <v>1609</v>
      </c>
      <c r="H568" t="s">
        <v>1896</v>
      </c>
      <c r="I568" t="s">
        <v>1757</v>
      </c>
      <c r="J568" t="s">
        <v>106</v>
      </c>
      <c r="K568">
        <v>7900007183</v>
      </c>
      <c r="L568" t="s">
        <v>1896</v>
      </c>
      <c r="M568" s="1633">
        <v>-2283644445</v>
      </c>
      <c r="N568">
        <v>1</v>
      </c>
      <c r="O568">
        <v>50</v>
      </c>
      <c r="P568" s="1633">
        <v>-2283644445</v>
      </c>
      <c r="Q568" t="s">
        <v>106</v>
      </c>
      <c r="R568" s="2392">
        <v>44740</v>
      </c>
      <c r="S568" s="2393">
        <f t="shared" si="38"/>
        <v>1</v>
      </c>
      <c r="T568" s="2394">
        <f>IF(OR(J568="COP",J568="EURO",J568="GBP"),0,IF(J568="USD",VLOOKUP(R568,'TRM BanRep'!$A:$G,7,0)))</f>
        <v>0</v>
      </c>
      <c r="U568" s="2395">
        <f t="shared" si="39"/>
        <v>0</v>
      </c>
      <c r="V568" s="2395" t="str">
        <f t="shared" si="37"/>
        <v/>
      </c>
    </row>
    <row r="569" spans="3:22" hidden="1">
      <c r="C569">
        <v>2022</v>
      </c>
      <c r="D569" t="s">
        <v>1881</v>
      </c>
      <c r="F569">
        <v>2422999997</v>
      </c>
      <c r="G569" t="s">
        <v>1609</v>
      </c>
      <c r="H569" t="s">
        <v>1919</v>
      </c>
      <c r="I569" t="s">
        <v>1931</v>
      </c>
      <c r="J569" t="s">
        <v>106</v>
      </c>
      <c r="K569">
        <v>7900007233</v>
      </c>
      <c r="L569" t="s">
        <v>1919</v>
      </c>
      <c r="M569" s="1633">
        <v>-112685860</v>
      </c>
      <c r="N569">
        <v>1</v>
      </c>
      <c r="O569">
        <v>50</v>
      </c>
      <c r="P569" s="1633">
        <v>-112685860</v>
      </c>
      <c r="Q569" t="s">
        <v>106</v>
      </c>
      <c r="R569" s="2392">
        <v>44741</v>
      </c>
      <c r="S569" s="2393">
        <f t="shared" si="38"/>
        <v>1</v>
      </c>
      <c r="T569" s="2394">
        <f>IF(OR(J569="COP",J569="EURO",J569="GBP"),0,IF(J569="USD",VLOOKUP(R569,'TRM BanRep'!$A:$G,7,0)))</f>
        <v>0</v>
      </c>
      <c r="U569" s="2395">
        <f t="shared" si="39"/>
        <v>0</v>
      </c>
      <c r="V569" s="2395" t="str">
        <f t="shared" si="37"/>
        <v/>
      </c>
    </row>
    <row r="570" spans="3:22" hidden="1">
      <c r="C570">
        <v>2022</v>
      </c>
      <c r="D570" t="s">
        <v>1881</v>
      </c>
      <c r="F570">
        <v>2422999997</v>
      </c>
      <c r="G570" t="s">
        <v>1557</v>
      </c>
      <c r="H570" t="s">
        <v>1886</v>
      </c>
      <c r="I570" t="s">
        <v>1907</v>
      </c>
      <c r="J570" t="s">
        <v>64</v>
      </c>
      <c r="K570">
        <v>7900007075</v>
      </c>
      <c r="L570" t="s">
        <v>1886</v>
      </c>
      <c r="M570" s="1860">
        <v>-816737.68</v>
      </c>
      <c r="N570" s="1860">
        <v>3784.98002</v>
      </c>
      <c r="O570">
        <v>50</v>
      </c>
      <c r="P570" s="1633">
        <v>-3091335798</v>
      </c>
      <c r="Q570" t="s">
        <v>106</v>
      </c>
      <c r="R570" s="2392">
        <v>44718</v>
      </c>
      <c r="S570" s="2393">
        <f t="shared" si="38"/>
        <v>3784.98</v>
      </c>
      <c r="T570" s="2394">
        <f>IF(OR(J570="COP",J570="EURO",J570="GBP"),0,IF(J570="USD",VLOOKUP(R570,'TRM BanRep'!$A:$G,7,0)))</f>
        <v>3771.63</v>
      </c>
      <c r="U570" s="2395">
        <f t="shared" si="39"/>
        <v>-10903448.027999926</v>
      </c>
      <c r="V570" s="2397" t="str">
        <f t="shared" si="37"/>
        <v>1-INGRESO</v>
      </c>
    </row>
    <row r="571" spans="3:22" hidden="1">
      <c r="C571">
        <v>2022</v>
      </c>
      <c r="D571" t="s">
        <v>1881</v>
      </c>
      <c r="F571">
        <v>2422999997</v>
      </c>
      <c r="G571" t="s">
        <v>1557</v>
      </c>
      <c r="H571" t="s">
        <v>1892</v>
      </c>
      <c r="I571" t="s">
        <v>1910</v>
      </c>
      <c r="J571" t="s">
        <v>64</v>
      </c>
      <c r="K571">
        <v>7900007206</v>
      </c>
      <c r="L571" t="s">
        <v>1892</v>
      </c>
      <c r="M571" s="1860">
        <v>-3140074.22</v>
      </c>
      <c r="N571" s="1860">
        <v>3790.88</v>
      </c>
      <c r="O571">
        <v>50</v>
      </c>
      <c r="P571" s="1633">
        <v>-11903644567</v>
      </c>
      <c r="Q571" t="s">
        <v>106</v>
      </c>
      <c r="R571" s="2392">
        <v>44722</v>
      </c>
      <c r="S571" s="2393">
        <f t="shared" si="38"/>
        <v>3790.88</v>
      </c>
      <c r="T571" s="2394">
        <f>IF(OR(J571="COP",J571="EURO",J571="GBP"),0,IF(J571="USD",VLOOKUP(R571,'TRM BanRep'!$A:$G,7,0)))</f>
        <v>3833.34</v>
      </c>
      <c r="U571" s="2395">
        <f t="shared" si="39"/>
        <v>133327551.38120012</v>
      </c>
      <c r="V571" s="2396" t="str">
        <f t="shared" si="37"/>
        <v>2-GASTO</v>
      </c>
    </row>
    <row r="572" spans="3:22" hidden="1">
      <c r="C572">
        <v>2022</v>
      </c>
      <c r="D572" t="s">
        <v>1881</v>
      </c>
      <c r="F572">
        <v>2422999997</v>
      </c>
      <c r="G572" t="s">
        <v>1557</v>
      </c>
      <c r="H572" t="s">
        <v>1894</v>
      </c>
      <c r="I572" t="s">
        <v>1911</v>
      </c>
      <c r="J572" t="s">
        <v>64</v>
      </c>
      <c r="K572">
        <v>7900007246</v>
      </c>
      <c r="L572" t="s">
        <v>1894</v>
      </c>
      <c r="M572" s="1860">
        <v>-411781893.51999998</v>
      </c>
      <c r="N572" s="1860">
        <v>3979.3</v>
      </c>
      <c r="O572">
        <v>50</v>
      </c>
      <c r="P572" s="1633">
        <v>-1638603688884</v>
      </c>
      <c r="Q572" t="s">
        <v>106</v>
      </c>
      <c r="R572" s="2392">
        <v>44728</v>
      </c>
      <c r="S572" s="2393">
        <f t="shared" si="38"/>
        <v>3979.3</v>
      </c>
      <c r="T572" s="2394">
        <f>IF(OR(J572="COP",J572="EURO",J572="GBP"),0,IF(J572="USD",VLOOKUP(R572,'TRM BanRep'!$A:$G,7,0)))</f>
        <v>3923.96</v>
      </c>
      <c r="U572" s="2395">
        <f t="shared" si="39"/>
        <v>-22788009987.396858</v>
      </c>
      <c r="V572" s="2397" t="str">
        <f t="shared" si="37"/>
        <v>1-INGRESO</v>
      </c>
    </row>
    <row r="573" spans="3:22" hidden="1">
      <c r="C573">
        <v>2022</v>
      </c>
      <c r="D573" t="s">
        <v>1881</v>
      </c>
      <c r="F573">
        <v>2422999997</v>
      </c>
      <c r="G573" t="s">
        <v>1557</v>
      </c>
      <c r="H573" t="s">
        <v>1896</v>
      </c>
      <c r="I573" t="s">
        <v>1912</v>
      </c>
      <c r="J573" t="s">
        <v>64</v>
      </c>
      <c r="K573">
        <v>7900007254</v>
      </c>
      <c r="L573" t="s">
        <v>1896</v>
      </c>
      <c r="M573" s="1860">
        <v>-2120466.56</v>
      </c>
      <c r="N573" s="1860">
        <v>4068.7499800000001</v>
      </c>
      <c r="O573">
        <v>50</v>
      </c>
      <c r="P573" s="1633">
        <v>-8627648269</v>
      </c>
      <c r="Q573" t="s">
        <v>106</v>
      </c>
      <c r="R573" s="2392">
        <v>44740</v>
      </c>
      <c r="S573" s="2393">
        <f t="shared" si="38"/>
        <v>4068.75</v>
      </c>
      <c r="T573" s="2394">
        <f>IF(OR(J573="COP",J573="EURO",J573="GBP"),0,IF(J573="USD",VLOOKUP(R573,'TRM BanRep'!$A:$G,7,0)))</f>
        <v>4129.87</v>
      </c>
      <c r="U573" s="2395">
        <f t="shared" si="39"/>
        <v>129602916.14719976</v>
      </c>
      <c r="V573" s="2396" t="str">
        <f t="shared" si="37"/>
        <v>2-GASTO</v>
      </c>
    </row>
    <row r="574" spans="3:22" hidden="1">
      <c r="C574">
        <v>2022</v>
      </c>
      <c r="D574" t="s">
        <v>1881</v>
      </c>
      <c r="F574">
        <v>2422999997</v>
      </c>
      <c r="G574" t="s">
        <v>1557</v>
      </c>
      <c r="H574" t="s">
        <v>1896</v>
      </c>
      <c r="I574" t="s">
        <v>1913</v>
      </c>
      <c r="J574" t="s">
        <v>64</v>
      </c>
      <c r="K574">
        <v>7900007262</v>
      </c>
      <c r="L574" t="s">
        <v>1896</v>
      </c>
      <c r="M574" s="1860">
        <v>-65606.429999999993</v>
      </c>
      <c r="N574" s="1860">
        <v>4068.75</v>
      </c>
      <c r="O574">
        <v>50</v>
      </c>
      <c r="P574" s="1633">
        <v>-266936162</v>
      </c>
      <c r="Q574" t="s">
        <v>106</v>
      </c>
      <c r="R574" s="2392">
        <v>44740</v>
      </c>
      <c r="S574" s="2393">
        <f t="shared" si="38"/>
        <v>4068.75</v>
      </c>
      <c r="T574" s="2394">
        <f>IF(OR(J574="COP",J574="EURO",J574="GBP"),0,IF(J574="USD",VLOOKUP(R574,'TRM BanRep'!$A:$G,7,0)))</f>
        <v>4129.87</v>
      </c>
      <c r="U574" s="2395">
        <f t="shared" si="39"/>
        <v>4009865.0015999926</v>
      </c>
      <c r="V574" s="2396" t="str">
        <f t="shared" si="37"/>
        <v>2-GASTO</v>
      </c>
    </row>
    <row r="575" spans="3:22" hidden="1">
      <c r="C575">
        <v>2022</v>
      </c>
      <c r="D575" t="s">
        <v>1881</v>
      </c>
      <c r="F575">
        <v>2422999997</v>
      </c>
      <c r="G575" t="s">
        <v>1557</v>
      </c>
      <c r="H575" t="s">
        <v>1896</v>
      </c>
      <c r="I575" t="s">
        <v>1914</v>
      </c>
      <c r="J575" t="s">
        <v>64</v>
      </c>
      <c r="K575">
        <v>7900007270</v>
      </c>
      <c r="L575" t="s">
        <v>1896</v>
      </c>
      <c r="M575" s="1860">
        <v>-496649.37</v>
      </c>
      <c r="N575" s="1860">
        <v>4068.7500199999999</v>
      </c>
      <c r="O575">
        <v>50</v>
      </c>
      <c r="P575" s="1633">
        <v>-2020742133</v>
      </c>
      <c r="Q575" t="s">
        <v>106</v>
      </c>
      <c r="R575" s="2392">
        <v>44740</v>
      </c>
      <c r="S575" s="2393">
        <f t="shared" si="38"/>
        <v>4068.75</v>
      </c>
      <c r="T575" s="2394">
        <f>IF(OR(J575="COP",J575="EURO",J575="GBP"),0,IF(J575="USD",VLOOKUP(R575,'TRM BanRep'!$A:$G,7,0)))</f>
        <v>4129.87</v>
      </c>
      <c r="U575" s="2395">
        <f t="shared" si="39"/>
        <v>30355209.494399946</v>
      </c>
      <c r="V575" s="2396" t="str">
        <f t="shared" si="37"/>
        <v>2-GASTO</v>
      </c>
    </row>
    <row r="576" spans="3:22" hidden="1">
      <c r="C576">
        <v>2022</v>
      </c>
      <c r="D576" t="s">
        <v>1881</v>
      </c>
      <c r="F576">
        <v>2422999997</v>
      </c>
      <c r="G576" t="s">
        <v>1557</v>
      </c>
      <c r="H576" t="s">
        <v>1902</v>
      </c>
      <c r="I576" t="s">
        <v>1917</v>
      </c>
      <c r="J576" t="s">
        <v>64</v>
      </c>
      <c r="K576">
        <v>7900008234</v>
      </c>
      <c r="L576" t="s">
        <v>1902</v>
      </c>
      <c r="M576" s="1860">
        <v>-8724973.6099999994</v>
      </c>
      <c r="N576" s="1860">
        <v>4129.87</v>
      </c>
      <c r="O576">
        <v>50</v>
      </c>
      <c r="P576" s="1633">
        <v>-36033006765</v>
      </c>
      <c r="Q576" t="s">
        <v>106</v>
      </c>
      <c r="R576" s="2392">
        <v>44742</v>
      </c>
      <c r="S576" s="2393">
        <f t="shared" si="38"/>
        <v>4129.87</v>
      </c>
      <c r="T576" s="2394">
        <f>IF(OR(J576="COP",J576="EURO",J576="GBP"),0,IF(J576="USD",VLOOKUP(R576,'TRM BanRep'!$A:$G,7,0)))</f>
        <v>4127.47</v>
      </c>
      <c r="U576" s="2395">
        <f t="shared" si="39"/>
        <v>-20939936.663996823</v>
      </c>
      <c r="V576" s="2397" t="str">
        <f t="shared" si="37"/>
        <v>1-INGRESO</v>
      </c>
    </row>
    <row r="577" spans="3:22" hidden="1">
      <c r="C577">
        <v>2022</v>
      </c>
      <c r="D577" t="s">
        <v>1881</v>
      </c>
      <c r="F577">
        <v>2422999997</v>
      </c>
      <c r="G577" t="s">
        <v>1608</v>
      </c>
      <c r="H577" t="s">
        <v>1886</v>
      </c>
      <c r="J577" t="s">
        <v>64</v>
      </c>
      <c r="K577">
        <v>2000005833</v>
      </c>
      <c r="L577" t="s">
        <v>1886</v>
      </c>
      <c r="M577" s="1860">
        <v>816737.68</v>
      </c>
      <c r="N577" s="1860">
        <v>3784.98002</v>
      </c>
      <c r="O577">
        <v>40</v>
      </c>
      <c r="P577" s="1633">
        <v>3091335798</v>
      </c>
      <c r="Q577" t="s">
        <v>106</v>
      </c>
      <c r="R577" s="2392">
        <v>44718</v>
      </c>
      <c r="S577" s="2393">
        <f t="shared" si="38"/>
        <v>3784.98</v>
      </c>
      <c r="T577" s="2394">
        <f>IF(OR(J577="COP",J577="EURO",J577="GBP"),0,IF(J577="USD",VLOOKUP(R577,'TRM BanRep'!$A:$G,7,0)))</f>
        <v>3771.63</v>
      </c>
      <c r="U577" s="2395">
        <f t="shared" si="39"/>
        <v>10903448.027999926</v>
      </c>
      <c r="V577" s="2396" t="str">
        <f t="shared" si="37"/>
        <v>2-GASTO</v>
      </c>
    </row>
    <row r="578" spans="3:22" hidden="1">
      <c r="C578">
        <v>2022</v>
      </c>
      <c r="D578" t="s">
        <v>1881</v>
      </c>
      <c r="F578">
        <v>2422999997</v>
      </c>
      <c r="G578" t="s">
        <v>1608</v>
      </c>
      <c r="H578" t="s">
        <v>1892</v>
      </c>
      <c r="J578" t="s">
        <v>64</v>
      </c>
      <c r="K578">
        <v>2000006674</v>
      </c>
      <c r="L578" t="s">
        <v>1892</v>
      </c>
      <c r="M578" s="1860">
        <v>3140074.22</v>
      </c>
      <c r="N578" s="1860">
        <v>3790.88</v>
      </c>
      <c r="O578">
        <v>40</v>
      </c>
      <c r="P578" s="1633">
        <v>11903644567</v>
      </c>
      <c r="Q578" t="s">
        <v>106</v>
      </c>
      <c r="R578" s="2392">
        <v>44722</v>
      </c>
      <c r="S578" s="2393">
        <f t="shared" si="38"/>
        <v>3790.88</v>
      </c>
      <c r="T578" s="2394">
        <f>IF(OR(J578="COP",J578="EURO",J578="GBP"),0,IF(J578="USD",VLOOKUP(R578,'TRM BanRep'!$A:$G,7,0)))</f>
        <v>3833.34</v>
      </c>
      <c r="U578" s="2395">
        <f t="shared" si="39"/>
        <v>-133327551.38120012</v>
      </c>
      <c r="V578" s="2397" t="str">
        <f t="shared" si="37"/>
        <v>1-INGRESO</v>
      </c>
    </row>
    <row r="579" spans="3:22" hidden="1">
      <c r="C579">
        <v>2022</v>
      </c>
      <c r="D579" t="s">
        <v>1881</v>
      </c>
      <c r="F579">
        <v>2422999997</v>
      </c>
      <c r="G579" t="s">
        <v>1608</v>
      </c>
      <c r="H579" t="s">
        <v>1896</v>
      </c>
      <c r="J579" t="s">
        <v>64</v>
      </c>
      <c r="K579">
        <v>2000006675</v>
      </c>
      <c r="L579" t="s">
        <v>1896</v>
      </c>
      <c r="M579" s="1860">
        <v>2682722.36</v>
      </c>
      <c r="N579" s="1860">
        <v>4068.7499899999998</v>
      </c>
      <c r="O579">
        <v>40</v>
      </c>
      <c r="P579" s="1633">
        <v>10915326564</v>
      </c>
      <c r="Q579" t="s">
        <v>106</v>
      </c>
      <c r="R579" s="2392">
        <v>44740</v>
      </c>
      <c r="S579" s="2393">
        <f t="shared" si="38"/>
        <v>4068.75</v>
      </c>
      <c r="T579" s="2394">
        <f>IF(OR(J579="COP",J579="EURO",J579="GBP"),0,IF(J579="USD",VLOOKUP(R579,'TRM BanRep'!$A:$G,7,0)))</f>
        <v>4129.87</v>
      </c>
      <c r="U579" s="2395">
        <f t="shared" si="39"/>
        <v>-163967990.64319971</v>
      </c>
      <c r="V579" s="2397" t="str">
        <f t="shared" si="37"/>
        <v>1-INGRESO</v>
      </c>
    </row>
    <row r="580" spans="3:22" hidden="1">
      <c r="C580">
        <v>2022</v>
      </c>
      <c r="D580" t="s">
        <v>1881</v>
      </c>
      <c r="F580">
        <v>2422999997</v>
      </c>
      <c r="G580" t="s">
        <v>1608</v>
      </c>
      <c r="H580" t="s">
        <v>1894</v>
      </c>
      <c r="J580" t="s">
        <v>64</v>
      </c>
      <c r="K580">
        <v>2000006679</v>
      </c>
      <c r="L580" t="s">
        <v>1894</v>
      </c>
      <c r="M580" s="1860">
        <v>411781893.51999998</v>
      </c>
      <c r="N580" s="1860">
        <v>3979.3</v>
      </c>
      <c r="O580">
        <v>40</v>
      </c>
      <c r="P580" s="1633">
        <v>1638603688884</v>
      </c>
      <c r="Q580" t="s">
        <v>106</v>
      </c>
      <c r="R580" s="2392">
        <v>44728</v>
      </c>
      <c r="S580" s="2393">
        <f t="shared" si="38"/>
        <v>3979.3</v>
      </c>
      <c r="T580" s="2394">
        <f>IF(OR(J580="COP",J580="EURO",J580="GBP"),0,IF(J580="USD",VLOOKUP(R580,'TRM BanRep'!$A:$G,7,0)))</f>
        <v>3923.96</v>
      </c>
      <c r="U580" s="2395">
        <f t="shared" si="39"/>
        <v>22788009987.396858</v>
      </c>
      <c r="V580" s="2396" t="str">
        <f t="shared" si="37"/>
        <v>2-GASTO</v>
      </c>
    </row>
    <row r="581" spans="3:22" hidden="1">
      <c r="C581">
        <v>2022</v>
      </c>
      <c r="D581" t="s">
        <v>1881</v>
      </c>
      <c r="F581">
        <v>2422999997</v>
      </c>
      <c r="G581" t="s">
        <v>1608</v>
      </c>
      <c r="H581" t="s">
        <v>1902</v>
      </c>
      <c r="J581" t="s">
        <v>64</v>
      </c>
      <c r="K581">
        <v>2000006725</v>
      </c>
      <c r="L581" t="s">
        <v>1902</v>
      </c>
      <c r="M581" s="1860">
        <v>8724973.6099999994</v>
      </c>
      <c r="N581" s="1860">
        <v>4129.87</v>
      </c>
      <c r="O581">
        <v>40</v>
      </c>
      <c r="P581" s="1633">
        <v>36033006765</v>
      </c>
      <c r="Q581" t="s">
        <v>106</v>
      </c>
      <c r="R581" s="2392">
        <v>44742</v>
      </c>
      <c r="S581" s="2393">
        <f t="shared" si="38"/>
        <v>4129.87</v>
      </c>
      <c r="T581" s="2394">
        <f>IF(OR(J581="COP",J581="EURO",J581="GBP"),0,IF(J581="USD",VLOOKUP(R581,'TRM BanRep'!$A:$G,7,0)))</f>
        <v>4127.47</v>
      </c>
      <c r="U581" s="2395">
        <f t="shared" si="39"/>
        <v>20939936.663996823</v>
      </c>
      <c r="V581" s="2396" t="str">
        <f t="shared" si="37"/>
        <v>2-GASTO</v>
      </c>
    </row>
    <row r="582" spans="3:22">
      <c r="M582" s="1633"/>
      <c r="P582" s="1633"/>
      <c r="R582" s="2392"/>
      <c r="S582" s="2393"/>
      <c r="T582" s="2394"/>
      <c r="U582" s="2395"/>
      <c r="V582" s="2395" t="str">
        <f t="shared" si="37"/>
        <v/>
      </c>
    </row>
    <row r="583" spans="3:22" hidden="1">
      <c r="C583">
        <v>2022</v>
      </c>
      <c r="D583" t="s">
        <v>1932</v>
      </c>
      <c r="F583">
        <v>1202049905</v>
      </c>
      <c r="G583" t="s">
        <v>1557</v>
      </c>
      <c r="H583" t="s">
        <v>1933</v>
      </c>
      <c r="I583" t="s">
        <v>1934</v>
      </c>
      <c r="J583" t="s">
        <v>106</v>
      </c>
      <c r="K583">
        <v>7900008950</v>
      </c>
      <c r="L583" t="s">
        <v>1933</v>
      </c>
      <c r="M583" s="1633">
        <v>7458580000</v>
      </c>
      <c r="N583">
        <v>1</v>
      </c>
      <c r="O583">
        <v>40</v>
      </c>
      <c r="P583" s="1633">
        <v>7458580000</v>
      </c>
      <c r="Q583" t="s">
        <v>106</v>
      </c>
      <c r="R583" s="2392">
        <v>44748</v>
      </c>
      <c r="S583" s="2393">
        <f t="shared" ref="S583:S646" si="40">+ROUND(P583/M583,2)</f>
        <v>1</v>
      </c>
      <c r="T583" s="2394">
        <f>IF(OR(J583="COP",J583="EURO",J583="GBP"),0,IF(J583="USD",VLOOKUP(R583,'TRM BanRep'!$A:$G,7,0)))</f>
        <v>0</v>
      </c>
      <c r="U583" s="2395">
        <f t="shared" ref="U583:U646" si="41">IF(F583=2422999997,-IF(T583=0,0,(T583-S583)*M583),IF(T583=0,0,(T583-S583)*M583))</f>
        <v>0</v>
      </c>
      <c r="V583" s="2395" t="str">
        <f t="shared" ref="V583:V646" si="42">IF(U583=0,"",IF(U583&gt;0,"2-GASTO","1-INGRESO"))</f>
        <v/>
      </c>
    </row>
    <row r="584" spans="3:22" hidden="1">
      <c r="C584">
        <v>2022</v>
      </c>
      <c r="D584" t="s">
        <v>1932</v>
      </c>
      <c r="F584">
        <v>1202049905</v>
      </c>
      <c r="G584" t="s">
        <v>1557</v>
      </c>
      <c r="H584" t="s">
        <v>1935</v>
      </c>
      <c r="I584" t="s">
        <v>1936</v>
      </c>
      <c r="J584" t="s">
        <v>106</v>
      </c>
      <c r="K584">
        <v>7900008957</v>
      </c>
      <c r="L584" t="s">
        <v>1935</v>
      </c>
      <c r="M584" s="1633">
        <v>-3354461937</v>
      </c>
      <c r="N584">
        <v>1</v>
      </c>
      <c r="O584">
        <v>50</v>
      </c>
      <c r="P584" s="1633">
        <v>-3354461937</v>
      </c>
      <c r="Q584" t="s">
        <v>106</v>
      </c>
      <c r="R584" s="2392">
        <v>44749</v>
      </c>
      <c r="S584" s="2393">
        <f t="shared" si="40"/>
        <v>1</v>
      </c>
      <c r="T584" s="2394">
        <f>IF(OR(J584="COP",J584="EURO",J584="GBP"),0,IF(J584="USD",VLOOKUP(R584,'TRM BanRep'!$A:$G,7,0)))</f>
        <v>0</v>
      </c>
      <c r="U584" s="2395">
        <f t="shared" si="41"/>
        <v>0</v>
      </c>
      <c r="V584" s="2395" t="str">
        <f t="shared" si="42"/>
        <v/>
      </c>
    </row>
    <row r="585" spans="3:22" hidden="1">
      <c r="C585">
        <v>2022</v>
      </c>
      <c r="D585" t="s">
        <v>1932</v>
      </c>
      <c r="F585">
        <v>1202049905</v>
      </c>
      <c r="G585" t="s">
        <v>1557</v>
      </c>
      <c r="H585" t="s">
        <v>1935</v>
      </c>
      <c r="I585" t="s">
        <v>1937</v>
      </c>
      <c r="J585" t="s">
        <v>106</v>
      </c>
      <c r="K585">
        <v>7900008965</v>
      </c>
      <c r="L585" t="s">
        <v>1935</v>
      </c>
      <c r="M585" s="1633">
        <v>-1443954522</v>
      </c>
      <c r="N585">
        <v>1</v>
      </c>
      <c r="O585">
        <v>50</v>
      </c>
      <c r="P585" s="1633">
        <v>-1443954522</v>
      </c>
      <c r="Q585" t="s">
        <v>106</v>
      </c>
      <c r="R585" s="2392">
        <v>44749</v>
      </c>
      <c r="S585" s="2393">
        <f t="shared" si="40"/>
        <v>1</v>
      </c>
      <c r="T585" s="2394">
        <f>IF(OR(J585="COP",J585="EURO",J585="GBP"),0,IF(J585="USD",VLOOKUP(R585,'TRM BanRep'!$A:$G,7,0)))</f>
        <v>0</v>
      </c>
      <c r="U585" s="2395">
        <f t="shared" si="41"/>
        <v>0</v>
      </c>
      <c r="V585" s="2395" t="str">
        <f t="shared" si="42"/>
        <v/>
      </c>
    </row>
    <row r="586" spans="3:22" hidden="1">
      <c r="C586">
        <v>2022</v>
      </c>
      <c r="D586" t="s">
        <v>1932</v>
      </c>
      <c r="F586">
        <v>1202049905</v>
      </c>
      <c r="G586" t="s">
        <v>1557</v>
      </c>
      <c r="H586" t="s">
        <v>1935</v>
      </c>
      <c r="I586" t="s">
        <v>1936</v>
      </c>
      <c r="J586" t="s">
        <v>106</v>
      </c>
      <c r="K586">
        <v>7900008977</v>
      </c>
      <c r="L586" t="s">
        <v>1935</v>
      </c>
      <c r="M586" s="1633">
        <v>3354461937</v>
      </c>
      <c r="N586">
        <v>1</v>
      </c>
      <c r="O586">
        <v>40</v>
      </c>
      <c r="P586" s="1633">
        <v>3354461937</v>
      </c>
      <c r="Q586" t="s">
        <v>106</v>
      </c>
      <c r="R586" s="2392">
        <v>44749</v>
      </c>
      <c r="S586" s="2393">
        <f t="shared" si="40"/>
        <v>1</v>
      </c>
      <c r="T586" s="2394">
        <f>IF(OR(J586="COP",J586="EURO",J586="GBP"),0,IF(J586="USD",VLOOKUP(R586,'TRM BanRep'!$A:$G,7,0)))</f>
        <v>0</v>
      </c>
      <c r="U586" s="2395">
        <f t="shared" si="41"/>
        <v>0</v>
      </c>
      <c r="V586" s="2395" t="str">
        <f t="shared" si="42"/>
        <v/>
      </c>
    </row>
    <row r="587" spans="3:22" hidden="1">
      <c r="C587">
        <v>2022</v>
      </c>
      <c r="D587" t="s">
        <v>1932</v>
      </c>
      <c r="F587">
        <v>1202049905</v>
      </c>
      <c r="G587" t="s">
        <v>1557</v>
      </c>
      <c r="H587" t="s">
        <v>1935</v>
      </c>
      <c r="I587" t="s">
        <v>1937</v>
      </c>
      <c r="J587" t="s">
        <v>106</v>
      </c>
      <c r="K587">
        <v>7900008979</v>
      </c>
      <c r="L587" t="s">
        <v>1935</v>
      </c>
      <c r="M587" s="1633">
        <v>1443954522</v>
      </c>
      <c r="N587">
        <v>1</v>
      </c>
      <c r="O587">
        <v>40</v>
      </c>
      <c r="P587" s="1633">
        <v>1443954522</v>
      </c>
      <c r="Q587" t="s">
        <v>106</v>
      </c>
      <c r="R587" s="2392">
        <v>44749</v>
      </c>
      <c r="S587" s="2393">
        <f t="shared" si="40"/>
        <v>1</v>
      </c>
      <c r="T587" s="2394">
        <f>IF(OR(J587="COP",J587="EURO",J587="GBP"),0,IF(J587="USD",VLOOKUP(R587,'TRM BanRep'!$A:$G,7,0)))</f>
        <v>0</v>
      </c>
      <c r="U587" s="2395">
        <f t="shared" si="41"/>
        <v>0</v>
      </c>
      <c r="V587" s="2395" t="str">
        <f t="shared" si="42"/>
        <v/>
      </c>
    </row>
    <row r="588" spans="3:22" hidden="1">
      <c r="C588">
        <v>2022</v>
      </c>
      <c r="D588" t="s">
        <v>1932</v>
      </c>
      <c r="F588">
        <v>1202049905</v>
      </c>
      <c r="G588" t="s">
        <v>1557</v>
      </c>
      <c r="H588" t="s">
        <v>1935</v>
      </c>
      <c r="I588" t="s">
        <v>1936</v>
      </c>
      <c r="J588" t="s">
        <v>106</v>
      </c>
      <c r="K588">
        <v>7900009053</v>
      </c>
      <c r="L588" t="s">
        <v>1935</v>
      </c>
      <c r="M588" s="1633">
        <v>-3354461937</v>
      </c>
      <c r="N588">
        <v>1</v>
      </c>
      <c r="O588">
        <v>50</v>
      </c>
      <c r="P588" s="1633">
        <v>-3354461937</v>
      </c>
      <c r="Q588" t="s">
        <v>106</v>
      </c>
      <c r="R588" s="2392">
        <v>44749</v>
      </c>
      <c r="S588" s="2393">
        <f t="shared" si="40"/>
        <v>1</v>
      </c>
      <c r="T588" s="2394">
        <f>IF(OR(J588="COP",J588="EURO",J588="GBP"),0,IF(J588="USD",VLOOKUP(R588,'TRM BanRep'!$A:$G,7,0)))</f>
        <v>0</v>
      </c>
      <c r="U588" s="2395">
        <f t="shared" si="41"/>
        <v>0</v>
      </c>
      <c r="V588" s="2395" t="str">
        <f t="shared" si="42"/>
        <v/>
      </c>
    </row>
    <row r="589" spans="3:22" hidden="1">
      <c r="C589">
        <v>2022</v>
      </c>
      <c r="D589" t="s">
        <v>1932</v>
      </c>
      <c r="F589">
        <v>1202049905</v>
      </c>
      <c r="G589" t="s">
        <v>1557</v>
      </c>
      <c r="H589" t="s">
        <v>1935</v>
      </c>
      <c r="I589" t="s">
        <v>1937</v>
      </c>
      <c r="J589" t="s">
        <v>106</v>
      </c>
      <c r="K589">
        <v>7900009061</v>
      </c>
      <c r="L589" t="s">
        <v>1935</v>
      </c>
      <c r="M589" s="1633">
        <v>-1443954522</v>
      </c>
      <c r="N589">
        <v>1</v>
      </c>
      <c r="O589">
        <v>50</v>
      </c>
      <c r="P589" s="1633">
        <v>-1443954522</v>
      </c>
      <c r="Q589" t="s">
        <v>106</v>
      </c>
      <c r="R589" s="2392">
        <v>44749</v>
      </c>
      <c r="S589" s="2393">
        <f t="shared" si="40"/>
        <v>1</v>
      </c>
      <c r="T589" s="2394">
        <f>IF(OR(J589="COP",J589="EURO",J589="GBP"),0,IF(J589="USD",VLOOKUP(R589,'TRM BanRep'!$A:$G,7,0)))</f>
        <v>0</v>
      </c>
      <c r="U589" s="2395">
        <f t="shared" si="41"/>
        <v>0</v>
      </c>
      <c r="V589" s="2395" t="str">
        <f t="shared" si="42"/>
        <v/>
      </c>
    </row>
    <row r="590" spans="3:22" hidden="1">
      <c r="C590">
        <v>2022</v>
      </c>
      <c r="D590" t="s">
        <v>1932</v>
      </c>
      <c r="F590">
        <v>1202049905</v>
      </c>
      <c r="G590" t="s">
        <v>1557</v>
      </c>
      <c r="H590" t="s">
        <v>1486</v>
      </c>
      <c r="I590" t="s">
        <v>1938</v>
      </c>
      <c r="J590" t="s">
        <v>106</v>
      </c>
      <c r="K590">
        <v>7900009206</v>
      </c>
      <c r="L590" t="s">
        <v>1486</v>
      </c>
      <c r="M590" s="1633">
        <v>34824999989</v>
      </c>
      <c r="N590">
        <v>1</v>
      </c>
      <c r="O590">
        <v>40</v>
      </c>
      <c r="P590" s="1633">
        <v>34824999989</v>
      </c>
      <c r="Q590" t="s">
        <v>106</v>
      </c>
      <c r="R590" s="2392">
        <v>44768</v>
      </c>
      <c r="S590" s="2393">
        <f t="shared" si="40"/>
        <v>1</v>
      </c>
      <c r="T590" s="2394">
        <f>IF(OR(J590="COP",J590="EURO",J590="GBP"),0,IF(J590="USD",VLOOKUP(R590,'TRM BanRep'!$A:$G,7,0)))</f>
        <v>0</v>
      </c>
      <c r="U590" s="2395">
        <f t="shared" si="41"/>
        <v>0</v>
      </c>
      <c r="V590" s="2395" t="str">
        <f t="shared" si="42"/>
        <v/>
      </c>
    </row>
    <row r="591" spans="3:22" hidden="1">
      <c r="C591">
        <v>2022</v>
      </c>
      <c r="D591" t="s">
        <v>1932</v>
      </c>
      <c r="F591">
        <v>1202049905</v>
      </c>
      <c r="G591" t="s">
        <v>1557</v>
      </c>
      <c r="H591" t="s">
        <v>1939</v>
      </c>
      <c r="I591" t="s">
        <v>1940</v>
      </c>
      <c r="J591" t="s">
        <v>106</v>
      </c>
      <c r="K591">
        <v>7900009225</v>
      </c>
      <c r="L591" t="s">
        <v>1939</v>
      </c>
      <c r="M591" s="1633">
        <v>-34825368066</v>
      </c>
      <c r="N591">
        <v>1</v>
      </c>
      <c r="O591">
        <v>50</v>
      </c>
      <c r="P591" s="1633">
        <v>-34825368066</v>
      </c>
      <c r="Q591" t="s">
        <v>106</v>
      </c>
      <c r="R591" s="2392">
        <v>44771</v>
      </c>
      <c r="S591" s="2393">
        <f t="shared" si="40"/>
        <v>1</v>
      </c>
      <c r="T591" s="2394">
        <f>IF(OR(J591="COP",J591="EURO",J591="GBP"),0,IF(J591="USD",VLOOKUP(R591,'TRM BanRep'!$A:$G,7,0)))</f>
        <v>0</v>
      </c>
      <c r="U591" s="2395">
        <f t="shared" si="41"/>
        <v>0</v>
      </c>
      <c r="V591" s="2395" t="str">
        <f t="shared" si="42"/>
        <v/>
      </c>
    </row>
    <row r="592" spans="3:22" hidden="1">
      <c r="C592">
        <v>2022</v>
      </c>
      <c r="D592" t="s">
        <v>1932</v>
      </c>
      <c r="F592">
        <v>1202049905</v>
      </c>
      <c r="G592" t="s">
        <v>1557</v>
      </c>
      <c r="H592" t="s">
        <v>1939</v>
      </c>
      <c r="I592" t="s">
        <v>1941</v>
      </c>
      <c r="J592" t="s">
        <v>106</v>
      </c>
      <c r="K592">
        <v>7900010003</v>
      </c>
      <c r="L592" t="s">
        <v>1939</v>
      </c>
      <c r="M592" s="1633">
        <v>5528067465</v>
      </c>
      <c r="N592">
        <v>1</v>
      </c>
      <c r="O592">
        <v>40</v>
      </c>
      <c r="P592" s="1633">
        <v>5528067465</v>
      </c>
      <c r="Q592" t="s">
        <v>106</v>
      </c>
      <c r="R592" s="2392">
        <v>44771</v>
      </c>
      <c r="S592" s="2393">
        <f t="shared" si="40"/>
        <v>1</v>
      </c>
      <c r="T592" s="2394">
        <f>IF(OR(J592="COP",J592="EURO",J592="GBP"),0,IF(J592="USD",VLOOKUP(R592,'TRM BanRep'!$A:$G,7,0)))</f>
        <v>0</v>
      </c>
      <c r="U592" s="2395">
        <f t="shared" si="41"/>
        <v>0</v>
      </c>
      <c r="V592" s="2395" t="str">
        <f t="shared" si="42"/>
        <v/>
      </c>
    </row>
    <row r="593" spans="3:22" hidden="1">
      <c r="C593">
        <v>2022</v>
      </c>
      <c r="D593" t="s">
        <v>1932</v>
      </c>
      <c r="F593">
        <v>1202049905</v>
      </c>
      <c r="G593" t="s">
        <v>1557</v>
      </c>
      <c r="H593" t="s">
        <v>1939</v>
      </c>
      <c r="I593" t="s">
        <v>1942</v>
      </c>
      <c r="J593" t="s">
        <v>106</v>
      </c>
      <c r="K593">
        <v>7900010022</v>
      </c>
      <c r="L593" t="s">
        <v>1939</v>
      </c>
      <c r="M593" s="1633">
        <v>1345386190</v>
      </c>
      <c r="N593">
        <v>1</v>
      </c>
      <c r="O593">
        <v>40</v>
      </c>
      <c r="P593" s="1633">
        <v>1345386190</v>
      </c>
      <c r="Q593" t="s">
        <v>106</v>
      </c>
      <c r="R593" s="2392">
        <v>44771</v>
      </c>
      <c r="S593" s="2393">
        <f t="shared" si="40"/>
        <v>1</v>
      </c>
      <c r="T593" s="2394">
        <f>IF(OR(J593="COP",J593="EURO",J593="GBP"),0,IF(J593="USD",VLOOKUP(R593,'TRM BanRep'!$A:$G,7,0)))</f>
        <v>0</v>
      </c>
      <c r="U593" s="2395">
        <f t="shared" si="41"/>
        <v>0</v>
      </c>
      <c r="V593" s="2395" t="str">
        <f t="shared" si="42"/>
        <v/>
      </c>
    </row>
    <row r="594" spans="3:22" hidden="1">
      <c r="C594">
        <v>2022</v>
      </c>
      <c r="D594" t="s">
        <v>1932</v>
      </c>
      <c r="F594">
        <v>1202049905</v>
      </c>
      <c r="G594" t="s">
        <v>1557</v>
      </c>
      <c r="H594" t="s">
        <v>1943</v>
      </c>
      <c r="I594" t="s">
        <v>1944</v>
      </c>
      <c r="J594" s="2410" t="s">
        <v>146</v>
      </c>
      <c r="K594">
        <v>7900009069</v>
      </c>
      <c r="L594" t="s">
        <v>1943</v>
      </c>
      <c r="M594" s="1633">
        <v>-10407</v>
      </c>
      <c r="N594">
        <v>4422.1726699999999</v>
      </c>
      <c r="O594">
        <v>50</v>
      </c>
      <c r="P594" s="1633">
        <v>-46021551</v>
      </c>
      <c r="Q594" t="s">
        <v>106</v>
      </c>
      <c r="R594" s="2392">
        <v>44750</v>
      </c>
      <c r="S594" s="2393">
        <f t="shared" si="40"/>
        <v>4422.17</v>
      </c>
      <c r="T594" s="2409">
        <f>IF(OR(J594="COP",J594="EURO",J594="GBP"),0,IF(J594="USD",VLOOKUP(R594,'TRM BanRep'!$A:$G,7,0)))</f>
        <v>0</v>
      </c>
      <c r="U594" s="2395">
        <f t="shared" si="41"/>
        <v>0</v>
      </c>
      <c r="V594" s="2397" t="str">
        <f t="shared" si="42"/>
        <v/>
      </c>
    </row>
    <row r="595" spans="3:22" hidden="1">
      <c r="C595">
        <v>2022</v>
      </c>
      <c r="D595" t="s">
        <v>1932</v>
      </c>
      <c r="F595">
        <v>1202049905</v>
      </c>
      <c r="G595" t="s">
        <v>1557</v>
      </c>
      <c r="H595" t="s">
        <v>1939</v>
      </c>
      <c r="I595" t="s">
        <v>1945</v>
      </c>
      <c r="J595" s="2410" t="s">
        <v>146</v>
      </c>
      <c r="K595">
        <v>7900010029</v>
      </c>
      <c r="L595" t="s">
        <v>1939</v>
      </c>
      <c r="M595" s="1633">
        <v>-1968</v>
      </c>
      <c r="N595">
        <v>4488.82978</v>
      </c>
      <c r="O595">
        <v>50</v>
      </c>
      <c r="P595" s="1633">
        <v>-8834017</v>
      </c>
      <c r="Q595" t="s">
        <v>106</v>
      </c>
      <c r="R595" s="2392">
        <v>44771</v>
      </c>
      <c r="S595" s="2393">
        <f t="shared" si="40"/>
        <v>4488.83</v>
      </c>
      <c r="T595" s="2409">
        <f>IF(OR(J595="COP",J595="EURO",J595="GBP"),0,IF(J595="USD",VLOOKUP(R595,'TRM BanRep'!$A:$G,7,0)))</f>
        <v>0</v>
      </c>
      <c r="U595" s="2395">
        <f t="shared" si="41"/>
        <v>0</v>
      </c>
      <c r="V595" s="2396" t="str">
        <f t="shared" si="42"/>
        <v/>
      </c>
    </row>
    <row r="596" spans="3:22" hidden="1">
      <c r="C596">
        <v>2022</v>
      </c>
      <c r="D596" t="s">
        <v>1932</v>
      </c>
      <c r="F596">
        <v>1202049905</v>
      </c>
      <c r="G596" t="s">
        <v>1557</v>
      </c>
      <c r="H596" t="s">
        <v>1939</v>
      </c>
      <c r="I596" t="s">
        <v>1946</v>
      </c>
      <c r="J596" s="2410" t="s">
        <v>146</v>
      </c>
      <c r="K596">
        <v>7900010209</v>
      </c>
      <c r="L596" t="s">
        <v>1939</v>
      </c>
      <c r="M596" s="1633">
        <v>-26355.599999999999</v>
      </c>
      <c r="N596">
        <v>4384.1558500000001</v>
      </c>
      <c r="O596">
        <v>50</v>
      </c>
      <c r="P596" s="1633">
        <v>-115547058</v>
      </c>
      <c r="Q596" t="s">
        <v>106</v>
      </c>
      <c r="R596" s="2392">
        <v>44771</v>
      </c>
      <c r="S596" s="2393">
        <f t="shared" si="40"/>
        <v>4384.16</v>
      </c>
      <c r="T596" s="2409">
        <f>IF(OR(J596="COP",J596="EURO",J596="GBP"),0,IF(J596="USD",VLOOKUP(R596,'TRM BanRep'!$A:$G,7,0)))</f>
        <v>0</v>
      </c>
      <c r="U596" s="2395">
        <f t="shared" si="41"/>
        <v>0</v>
      </c>
      <c r="V596" s="2397" t="str">
        <f t="shared" si="42"/>
        <v/>
      </c>
    </row>
    <row r="597" spans="3:22" hidden="1">
      <c r="C597">
        <v>2022</v>
      </c>
      <c r="D597" t="s">
        <v>1932</v>
      </c>
      <c r="F597">
        <v>1202049905</v>
      </c>
      <c r="G597" t="s">
        <v>1557</v>
      </c>
      <c r="H597" t="s">
        <v>1933</v>
      </c>
      <c r="I597" t="s">
        <v>1947</v>
      </c>
      <c r="J597" s="2410" t="s">
        <v>291</v>
      </c>
      <c r="K597">
        <v>7900008933</v>
      </c>
      <c r="L597" t="s">
        <v>1933</v>
      </c>
      <c r="M597" s="1633">
        <v>-575</v>
      </c>
      <c r="N597">
        <v>5001.5756499999998</v>
      </c>
      <c r="O597">
        <v>50</v>
      </c>
      <c r="P597" s="1633">
        <v>-2875906</v>
      </c>
      <c r="Q597" t="s">
        <v>106</v>
      </c>
      <c r="R597" s="2392">
        <v>44748</v>
      </c>
      <c r="S597" s="2393">
        <f t="shared" si="40"/>
        <v>5001.58</v>
      </c>
      <c r="T597" s="2409">
        <f>IF(OR(J597="COP",J597="EURO",J597="GBP"),0,IF(J597="USD",VLOOKUP(R597,'TRM BanRep'!$A:$G,7,0)))</f>
        <v>0</v>
      </c>
      <c r="U597" s="2395">
        <f t="shared" si="41"/>
        <v>0</v>
      </c>
      <c r="V597" s="2397" t="str">
        <f t="shared" si="42"/>
        <v/>
      </c>
    </row>
    <row r="598" spans="3:22" hidden="1">
      <c r="C598">
        <v>2022</v>
      </c>
      <c r="D598" t="s">
        <v>1932</v>
      </c>
      <c r="F598">
        <v>1202049905</v>
      </c>
      <c r="G598" t="s">
        <v>1557</v>
      </c>
      <c r="H598" t="s">
        <v>1933</v>
      </c>
      <c r="I598" t="s">
        <v>1948</v>
      </c>
      <c r="J598" t="s">
        <v>64</v>
      </c>
      <c r="K598">
        <v>7900008934</v>
      </c>
      <c r="L598" t="s">
        <v>1933</v>
      </c>
      <c r="M598" s="1633">
        <v>704.78</v>
      </c>
      <c r="N598">
        <v>4080.5726599999998</v>
      </c>
      <c r="O598">
        <v>40</v>
      </c>
      <c r="P598" s="1633">
        <v>2875906</v>
      </c>
      <c r="Q598" t="s">
        <v>106</v>
      </c>
      <c r="R598" s="2392">
        <v>44748</v>
      </c>
      <c r="S598" s="2393">
        <f t="shared" si="40"/>
        <v>4080.57</v>
      </c>
      <c r="T598" s="2394">
        <f>IF(OR(J598="COP",J598="EURO",J598="GBP"),0,IF(J598="USD",VLOOKUP(R598,'TRM BanRep'!$A:$G,7,0)))</f>
        <v>4259.8599999999997</v>
      </c>
      <c r="U598" s="2405">
        <f t="shared" si="41"/>
        <v>126360.00619999965</v>
      </c>
      <c r="V598" s="2396" t="str">
        <f t="shared" si="42"/>
        <v>2-GASTO</v>
      </c>
    </row>
    <row r="599" spans="3:22" hidden="1">
      <c r="C599">
        <v>2022</v>
      </c>
      <c r="D599" t="s">
        <v>1932</v>
      </c>
      <c r="F599">
        <v>1202049905</v>
      </c>
      <c r="G599" t="s">
        <v>1557</v>
      </c>
      <c r="H599" t="s">
        <v>1933</v>
      </c>
      <c r="I599" t="s">
        <v>1949</v>
      </c>
      <c r="J599" t="s">
        <v>64</v>
      </c>
      <c r="K599">
        <v>7900008949</v>
      </c>
      <c r="L599" t="s">
        <v>1933</v>
      </c>
      <c r="M599" s="1633">
        <v>-1700000</v>
      </c>
      <c r="N599">
        <v>4387.3999999999996</v>
      </c>
      <c r="O599">
        <v>50</v>
      </c>
      <c r="P599" s="1633">
        <v>-7458580000</v>
      </c>
      <c r="Q599" t="s">
        <v>106</v>
      </c>
      <c r="R599" s="2392">
        <v>44748</v>
      </c>
      <c r="S599" s="2393">
        <f t="shared" si="40"/>
        <v>4387.3999999999996</v>
      </c>
      <c r="T599" s="2394">
        <f>IF(OR(J599="COP",J599="EURO",J599="GBP"),0,IF(J599="USD",VLOOKUP(R599,'TRM BanRep'!$A:$G,7,0)))</f>
        <v>4259.8599999999997</v>
      </c>
      <c r="U599" s="2405">
        <f t="shared" si="41"/>
        <v>216817999.99999994</v>
      </c>
      <c r="V599" s="2396" t="str">
        <f t="shared" si="42"/>
        <v>2-GASTO</v>
      </c>
    </row>
    <row r="600" spans="3:22" hidden="1">
      <c r="C600">
        <v>2022</v>
      </c>
      <c r="D600" t="s">
        <v>1932</v>
      </c>
      <c r="F600">
        <v>1202049905</v>
      </c>
      <c r="G600" t="s">
        <v>1557</v>
      </c>
      <c r="H600" t="s">
        <v>1935</v>
      </c>
      <c r="I600" t="s">
        <v>1950</v>
      </c>
      <c r="J600" t="s">
        <v>64</v>
      </c>
      <c r="K600">
        <v>7900008958</v>
      </c>
      <c r="L600" t="s">
        <v>1935</v>
      </c>
      <c r="M600" s="1633">
        <v>798915.38</v>
      </c>
      <c r="N600">
        <v>4198.7700100000002</v>
      </c>
      <c r="O600">
        <v>40</v>
      </c>
      <c r="P600" s="1633">
        <v>3354461937</v>
      </c>
      <c r="Q600" t="s">
        <v>106</v>
      </c>
      <c r="R600" s="2392">
        <v>44749</v>
      </c>
      <c r="S600" s="2393">
        <f t="shared" si="40"/>
        <v>4198.7700000000004</v>
      </c>
      <c r="T600" s="2394">
        <f>IF(OR(J600="COP",J600="EURO",J600="GBP"),0,IF(J600="USD",VLOOKUP(R600,'TRM BanRep'!$A:$G,7,0)))</f>
        <v>4348.68</v>
      </c>
      <c r="U600" s="2395">
        <f t="shared" si="41"/>
        <v>119765404.61579989</v>
      </c>
      <c r="V600" s="2396" t="str">
        <f t="shared" si="42"/>
        <v>2-GASTO</v>
      </c>
    </row>
    <row r="601" spans="3:22" hidden="1">
      <c r="C601">
        <v>2022</v>
      </c>
      <c r="D601" t="s">
        <v>1932</v>
      </c>
      <c r="F601">
        <v>1202049905</v>
      </c>
      <c r="G601" t="s">
        <v>1557</v>
      </c>
      <c r="H601" t="s">
        <v>1935</v>
      </c>
      <c r="I601" t="s">
        <v>1951</v>
      </c>
      <c r="J601" t="s">
        <v>64</v>
      </c>
      <c r="K601">
        <v>7900008966</v>
      </c>
      <c r="L601" t="s">
        <v>1935</v>
      </c>
      <c r="M601" s="1633">
        <v>343899.41</v>
      </c>
      <c r="N601">
        <v>4198.7699899999998</v>
      </c>
      <c r="O601">
        <v>40</v>
      </c>
      <c r="P601" s="1633">
        <v>1443954522</v>
      </c>
      <c r="Q601" t="s">
        <v>106</v>
      </c>
      <c r="R601" s="2392">
        <v>44749</v>
      </c>
      <c r="S601" s="2393">
        <f t="shared" si="40"/>
        <v>4198.7700000000004</v>
      </c>
      <c r="T601" s="2394">
        <f>IF(OR(J601="COP",J601="EURO",J601="GBP"),0,IF(J601="USD",VLOOKUP(R601,'TRM BanRep'!$A:$G,7,0)))</f>
        <v>4348.68</v>
      </c>
      <c r="U601" s="2395">
        <f t="shared" si="41"/>
        <v>51553960.553099945</v>
      </c>
      <c r="V601" s="2396" t="str">
        <f t="shared" si="42"/>
        <v>2-GASTO</v>
      </c>
    </row>
    <row r="602" spans="3:22" hidden="1">
      <c r="C602">
        <v>2022</v>
      </c>
      <c r="D602" t="s">
        <v>1932</v>
      </c>
      <c r="F602">
        <v>1202049905</v>
      </c>
      <c r="G602" t="s">
        <v>1557</v>
      </c>
      <c r="H602" t="s">
        <v>1935</v>
      </c>
      <c r="I602" t="s">
        <v>1950</v>
      </c>
      <c r="J602" t="s">
        <v>64</v>
      </c>
      <c r="K602">
        <v>7900008978</v>
      </c>
      <c r="L602" t="s">
        <v>1935</v>
      </c>
      <c r="M602" s="1633">
        <v>-798915.38</v>
      </c>
      <c r="N602">
        <v>4198.7700100000002</v>
      </c>
      <c r="O602">
        <v>50</v>
      </c>
      <c r="P602" s="1633">
        <v>-3354461937</v>
      </c>
      <c r="Q602" t="s">
        <v>106</v>
      </c>
      <c r="R602" s="2392">
        <v>44749</v>
      </c>
      <c r="S602" s="2393">
        <f t="shared" si="40"/>
        <v>4198.7700000000004</v>
      </c>
      <c r="T602" s="2394">
        <f>IF(OR(J602="COP",J602="EURO",J602="GBP"),0,IF(J602="USD",VLOOKUP(R602,'TRM BanRep'!$A:$G,7,0)))</f>
        <v>4348.68</v>
      </c>
      <c r="U602" s="2395">
        <f t="shared" si="41"/>
        <v>-119765404.61579989</v>
      </c>
      <c r="V602" s="2397" t="str">
        <f t="shared" si="42"/>
        <v>1-INGRESO</v>
      </c>
    </row>
    <row r="603" spans="3:22" hidden="1">
      <c r="C603">
        <v>2022</v>
      </c>
      <c r="D603" t="s">
        <v>1932</v>
      </c>
      <c r="F603">
        <v>1202049905</v>
      </c>
      <c r="G603" t="s">
        <v>1557</v>
      </c>
      <c r="H603" t="s">
        <v>1935</v>
      </c>
      <c r="I603" t="s">
        <v>1951</v>
      </c>
      <c r="J603" t="s">
        <v>64</v>
      </c>
      <c r="K603">
        <v>7900008980</v>
      </c>
      <c r="L603" t="s">
        <v>1935</v>
      </c>
      <c r="M603" s="1633">
        <v>-343899.41</v>
      </c>
      <c r="N603">
        <v>4198.7699899999998</v>
      </c>
      <c r="O603">
        <v>50</v>
      </c>
      <c r="P603" s="1633">
        <v>-1443954522</v>
      </c>
      <c r="Q603" t="s">
        <v>106</v>
      </c>
      <c r="R603" s="2392">
        <v>44749</v>
      </c>
      <c r="S603" s="2393">
        <f t="shared" si="40"/>
        <v>4198.7700000000004</v>
      </c>
      <c r="T603" s="2394">
        <f>IF(OR(J603="COP",J603="EURO",J603="GBP"),0,IF(J603="USD",VLOOKUP(R603,'TRM BanRep'!$A:$G,7,0)))</f>
        <v>4348.68</v>
      </c>
      <c r="U603" s="2395">
        <f t="shared" si="41"/>
        <v>-51553960.553099945</v>
      </c>
      <c r="V603" s="2397" t="str">
        <f t="shared" si="42"/>
        <v>1-INGRESO</v>
      </c>
    </row>
    <row r="604" spans="3:22" hidden="1">
      <c r="C604">
        <v>2022</v>
      </c>
      <c r="D604" t="s">
        <v>1932</v>
      </c>
      <c r="F604">
        <v>1202049905</v>
      </c>
      <c r="G604" t="s">
        <v>1557</v>
      </c>
      <c r="H604" t="s">
        <v>1935</v>
      </c>
      <c r="I604" t="s">
        <v>1950</v>
      </c>
      <c r="J604" t="s">
        <v>64</v>
      </c>
      <c r="K604">
        <v>7900009054</v>
      </c>
      <c r="L604" t="s">
        <v>1935</v>
      </c>
      <c r="M604" s="1633">
        <v>798915.38</v>
      </c>
      <c r="N604">
        <v>4198.7700100000002</v>
      </c>
      <c r="O604">
        <v>40</v>
      </c>
      <c r="P604" s="1633">
        <v>3354461937</v>
      </c>
      <c r="Q604" t="s">
        <v>106</v>
      </c>
      <c r="R604" s="2392">
        <v>44749</v>
      </c>
      <c r="S604" s="2393">
        <f t="shared" si="40"/>
        <v>4198.7700000000004</v>
      </c>
      <c r="T604" s="2394">
        <f>IF(OR(J604="COP",J604="EURO",J604="GBP"),0,IF(J604="USD",VLOOKUP(R604,'TRM BanRep'!$A:$G,7,0)))</f>
        <v>4348.68</v>
      </c>
      <c r="U604" s="2399">
        <f t="shared" si="41"/>
        <v>119765404.61579989</v>
      </c>
      <c r="V604" s="2396" t="str">
        <f t="shared" si="42"/>
        <v>2-GASTO</v>
      </c>
    </row>
    <row r="605" spans="3:22" hidden="1">
      <c r="C605">
        <v>2022</v>
      </c>
      <c r="D605" t="s">
        <v>1932</v>
      </c>
      <c r="F605">
        <v>1202049905</v>
      </c>
      <c r="G605" t="s">
        <v>1557</v>
      </c>
      <c r="H605" t="s">
        <v>1935</v>
      </c>
      <c r="I605" t="s">
        <v>1951</v>
      </c>
      <c r="J605" t="s">
        <v>64</v>
      </c>
      <c r="K605">
        <v>7900009062</v>
      </c>
      <c r="L605" t="s">
        <v>1935</v>
      </c>
      <c r="M605" s="1633">
        <v>343899.41</v>
      </c>
      <c r="N605">
        <v>4198.7699899999998</v>
      </c>
      <c r="O605">
        <v>40</v>
      </c>
      <c r="P605" s="1633">
        <v>1443954522</v>
      </c>
      <c r="Q605" t="s">
        <v>106</v>
      </c>
      <c r="R605" s="2392">
        <v>44749</v>
      </c>
      <c r="S605" s="2393">
        <f t="shared" si="40"/>
        <v>4198.7700000000004</v>
      </c>
      <c r="T605" s="2394">
        <f>IF(OR(J605="COP",J605="EURO",J605="GBP"),0,IF(J605="USD",VLOOKUP(R605,'TRM BanRep'!$A:$G,7,0)))</f>
        <v>4348.68</v>
      </c>
      <c r="U605" s="2399">
        <f t="shared" si="41"/>
        <v>51553960.553099945</v>
      </c>
      <c r="V605" s="2396" t="str">
        <f t="shared" si="42"/>
        <v>2-GASTO</v>
      </c>
    </row>
    <row r="606" spans="3:22" hidden="1">
      <c r="C606">
        <v>2022</v>
      </c>
      <c r="D606" t="s">
        <v>1932</v>
      </c>
      <c r="F606">
        <v>1202049905</v>
      </c>
      <c r="G606" t="s">
        <v>1557</v>
      </c>
      <c r="H606" t="s">
        <v>1943</v>
      </c>
      <c r="I606" t="s">
        <v>1952</v>
      </c>
      <c r="J606" t="s">
        <v>64</v>
      </c>
      <c r="K606">
        <v>7900009070</v>
      </c>
      <c r="L606" t="s">
        <v>1943</v>
      </c>
      <c r="M606" s="1633">
        <v>10860.75</v>
      </c>
      <c r="N606">
        <v>4237.4192400000002</v>
      </c>
      <c r="O606">
        <v>40</v>
      </c>
      <c r="P606" s="1633">
        <v>46021551</v>
      </c>
      <c r="Q606" t="s">
        <v>106</v>
      </c>
      <c r="R606" s="2392">
        <v>44750</v>
      </c>
      <c r="S606" s="2393">
        <f t="shared" si="40"/>
        <v>4237.42</v>
      </c>
      <c r="T606" s="2394">
        <f>IF(OR(J606="COP",J606="EURO",J606="GBP"),0,IF(J606="USD",VLOOKUP(R606,'TRM BanRep'!$A:$G,7,0)))</f>
        <v>4369.7</v>
      </c>
      <c r="U606" s="2405">
        <f t="shared" si="41"/>
        <v>1436660.0099999972</v>
      </c>
      <c r="V606" s="2396" t="str">
        <f t="shared" si="42"/>
        <v>2-GASTO</v>
      </c>
    </row>
    <row r="607" spans="3:22" hidden="1">
      <c r="C607">
        <v>2022</v>
      </c>
      <c r="D607" t="s">
        <v>1932</v>
      </c>
      <c r="F607">
        <v>1202049905</v>
      </c>
      <c r="G607" t="s">
        <v>1557</v>
      </c>
      <c r="H607" t="s">
        <v>1486</v>
      </c>
      <c r="I607" t="s">
        <v>1953</v>
      </c>
      <c r="J607" t="s">
        <v>64</v>
      </c>
      <c r="K607">
        <v>7900009205</v>
      </c>
      <c r="L607" t="s">
        <v>1486</v>
      </c>
      <c r="M607" s="1633">
        <v>-7834592.79</v>
      </c>
      <c r="N607">
        <v>4445.03</v>
      </c>
      <c r="O607">
        <v>50</v>
      </c>
      <c r="P607" s="1633">
        <v>-34824999989</v>
      </c>
      <c r="Q607" t="s">
        <v>106</v>
      </c>
      <c r="R607" s="2392">
        <v>44768</v>
      </c>
      <c r="S607" s="2393">
        <f t="shared" si="40"/>
        <v>4445.03</v>
      </c>
      <c r="T607" s="2394">
        <f>IF(OR(J607="COP",J607="EURO",J607="GBP"),0,IF(J607="USD",VLOOKUP(R607,'TRM BanRep'!$A:$G,7,0)))</f>
        <v>4461.63</v>
      </c>
      <c r="U607" s="2398">
        <f t="shared" si="41"/>
        <v>-130054240.31400286</v>
      </c>
      <c r="V607" s="2397" t="str">
        <f t="shared" si="42"/>
        <v>1-INGRESO</v>
      </c>
    </row>
    <row r="608" spans="3:22" hidden="1">
      <c r="C608">
        <v>2022</v>
      </c>
      <c r="D608" t="s">
        <v>1932</v>
      </c>
      <c r="F608">
        <v>1202049905</v>
      </c>
      <c r="G608" t="s">
        <v>1557</v>
      </c>
      <c r="H608" t="s">
        <v>1939</v>
      </c>
      <c r="I608" t="s">
        <v>1954</v>
      </c>
      <c r="J608" t="s">
        <v>64</v>
      </c>
      <c r="K608">
        <v>7900009226</v>
      </c>
      <c r="L608" t="s">
        <v>1939</v>
      </c>
      <c r="M608" s="1633">
        <v>7834710.8499999996</v>
      </c>
      <c r="N608">
        <v>4445.01</v>
      </c>
      <c r="O608">
        <v>40</v>
      </c>
      <c r="P608" s="1633">
        <v>34825368066</v>
      </c>
      <c r="Q608" t="s">
        <v>106</v>
      </c>
      <c r="R608" s="2392">
        <v>44771</v>
      </c>
      <c r="S608" s="2393">
        <f t="shared" si="40"/>
        <v>4445.01</v>
      </c>
      <c r="T608" s="2394">
        <f>IF(OR(J608="COP",J608="EURO",J608="GBP"),0,IF(J608="USD",VLOOKUP(R608,'TRM BanRep'!$A:$G,7,0)))</f>
        <v>4375.51</v>
      </c>
      <c r="U608" s="2398">
        <f t="shared" si="41"/>
        <v>-544512404.07499993</v>
      </c>
      <c r="V608" s="2397" t="str">
        <f t="shared" si="42"/>
        <v>1-INGRESO</v>
      </c>
    </row>
    <row r="609" spans="3:22" hidden="1">
      <c r="C609">
        <v>2022</v>
      </c>
      <c r="D609" t="s">
        <v>1932</v>
      </c>
      <c r="F609">
        <v>1202049905</v>
      </c>
      <c r="G609" t="s">
        <v>1557</v>
      </c>
      <c r="H609" t="s">
        <v>1939</v>
      </c>
      <c r="I609" t="s">
        <v>1955</v>
      </c>
      <c r="J609" t="s">
        <v>64</v>
      </c>
      <c r="K609">
        <v>7900010002</v>
      </c>
      <c r="L609" t="s">
        <v>1939</v>
      </c>
      <c r="M609" s="1633">
        <v>-1263411</v>
      </c>
      <c r="N609">
        <v>4375.51</v>
      </c>
      <c r="O609">
        <v>50</v>
      </c>
      <c r="P609" s="1633">
        <v>-5528067465</v>
      </c>
      <c r="Q609" t="s">
        <v>106</v>
      </c>
      <c r="R609" s="2392">
        <v>44771</v>
      </c>
      <c r="S609" s="2393">
        <f t="shared" si="40"/>
        <v>4375.51</v>
      </c>
      <c r="T609" s="2394">
        <f>IF(OR(J609="COP",J609="EURO",J609="GBP"),0,IF(J609="USD",VLOOKUP(R609,'TRM BanRep'!$A:$G,7,0)))</f>
        <v>4375.51</v>
      </c>
      <c r="U609" s="2395">
        <f t="shared" si="41"/>
        <v>0</v>
      </c>
      <c r="V609" s="2395" t="str">
        <f t="shared" si="42"/>
        <v/>
      </c>
    </row>
    <row r="610" spans="3:22" hidden="1">
      <c r="C610">
        <v>2022</v>
      </c>
      <c r="D610" t="s">
        <v>1932</v>
      </c>
      <c r="F610">
        <v>1202049905</v>
      </c>
      <c r="G610" t="s">
        <v>1557</v>
      </c>
      <c r="H610" t="s">
        <v>1939</v>
      </c>
      <c r="I610" t="s">
        <v>1956</v>
      </c>
      <c r="J610" t="s">
        <v>64</v>
      </c>
      <c r="K610">
        <v>7900010021</v>
      </c>
      <c r="L610" t="s">
        <v>1939</v>
      </c>
      <c r="M610" s="1633">
        <v>-307481</v>
      </c>
      <c r="N610">
        <v>4375.51</v>
      </c>
      <c r="O610">
        <v>50</v>
      </c>
      <c r="P610" s="1633">
        <v>-1345386190</v>
      </c>
      <c r="Q610" t="s">
        <v>106</v>
      </c>
      <c r="R610" s="2392">
        <v>44771</v>
      </c>
      <c r="S610" s="2393">
        <f t="shared" si="40"/>
        <v>4375.51</v>
      </c>
      <c r="T610" s="2394">
        <f>IF(OR(J610="COP",J610="EURO",J610="GBP"),0,IF(J610="USD",VLOOKUP(R610,'TRM BanRep'!$A:$G,7,0)))</f>
        <v>4375.51</v>
      </c>
      <c r="U610" s="2395">
        <f t="shared" si="41"/>
        <v>0</v>
      </c>
      <c r="V610" s="2395" t="str">
        <f t="shared" si="42"/>
        <v/>
      </c>
    </row>
    <row r="611" spans="3:22" hidden="1">
      <c r="C611">
        <v>2022</v>
      </c>
      <c r="D611" t="s">
        <v>1932</v>
      </c>
      <c r="F611">
        <v>1202049905</v>
      </c>
      <c r="G611" t="s">
        <v>1557</v>
      </c>
      <c r="H611" t="s">
        <v>1939</v>
      </c>
      <c r="I611" t="s">
        <v>1957</v>
      </c>
      <c r="J611" t="s">
        <v>64</v>
      </c>
      <c r="K611">
        <v>7900010030</v>
      </c>
      <c r="L611" t="s">
        <v>1939</v>
      </c>
      <c r="M611" s="1633">
        <v>2053.61</v>
      </c>
      <c r="N611">
        <v>4301.7013900000002</v>
      </c>
      <c r="O611">
        <v>40</v>
      </c>
      <c r="P611" s="1633">
        <v>8834017</v>
      </c>
      <c r="Q611" t="s">
        <v>106</v>
      </c>
      <c r="R611" s="2392">
        <v>44771</v>
      </c>
      <c r="S611" s="2393">
        <f t="shared" si="40"/>
        <v>4301.7</v>
      </c>
      <c r="T611" s="2394">
        <f>IF(OR(J611="COP",J611="EURO",J611="GBP"),0,IF(J611="USD",VLOOKUP(R611,'TRM BanRep'!$A:$G,7,0)))</f>
        <v>4375.51</v>
      </c>
      <c r="U611" s="2405">
        <f t="shared" si="41"/>
        <v>151576.95410000082</v>
      </c>
      <c r="V611" s="2396" t="str">
        <f t="shared" si="42"/>
        <v>2-GASTO</v>
      </c>
    </row>
    <row r="612" spans="3:22" hidden="1">
      <c r="C612">
        <v>2022</v>
      </c>
      <c r="D612" t="s">
        <v>1932</v>
      </c>
      <c r="F612">
        <v>1202049905</v>
      </c>
      <c r="G612" t="s">
        <v>1557</v>
      </c>
      <c r="H612" t="s">
        <v>1939</v>
      </c>
      <c r="I612" t="s">
        <v>1958</v>
      </c>
      <c r="J612" t="s">
        <v>64</v>
      </c>
      <c r="K612">
        <v>7900010210</v>
      </c>
      <c r="L612" t="s">
        <v>1939</v>
      </c>
      <c r="M612" s="1633">
        <v>27554.78</v>
      </c>
      <c r="N612">
        <v>4193.3580300000003</v>
      </c>
      <c r="O612">
        <v>40</v>
      </c>
      <c r="P612" s="1633">
        <v>115547058</v>
      </c>
      <c r="Q612" t="s">
        <v>106</v>
      </c>
      <c r="R612" s="2392">
        <v>44771</v>
      </c>
      <c r="S612" s="2393">
        <f t="shared" si="40"/>
        <v>4193.3599999999997</v>
      </c>
      <c r="T612" s="2394">
        <f>IF(OR(J612="COP",J612="EURO",J612="GBP"),0,IF(J612="USD",VLOOKUP(R612,'TRM BanRep'!$A:$G,7,0)))</f>
        <v>4375.51</v>
      </c>
      <c r="U612" s="2405">
        <f t="shared" si="41"/>
        <v>5019103.177000015</v>
      </c>
      <c r="V612" s="2396" t="str">
        <f t="shared" si="42"/>
        <v>2-GASTO</v>
      </c>
    </row>
    <row r="613" spans="3:22" hidden="1">
      <c r="C613">
        <v>2022</v>
      </c>
      <c r="D613" t="s">
        <v>1932</v>
      </c>
      <c r="F613">
        <v>2422999997</v>
      </c>
      <c r="G613" t="s">
        <v>1575</v>
      </c>
      <c r="H613" t="s">
        <v>1959</v>
      </c>
      <c r="I613" t="s">
        <v>1576</v>
      </c>
      <c r="J613" t="s">
        <v>106</v>
      </c>
      <c r="K613">
        <v>7900008857</v>
      </c>
      <c r="L613" t="s">
        <v>1959</v>
      </c>
      <c r="M613" s="1633">
        <v>-1942865012</v>
      </c>
      <c r="N613">
        <v>1</v>
      </c>
      <c r="O613">
        <v>50</v>
      </c>
      <c r="P613" s="1633">
        <v>-1942865012</v>
      </c>
      <c r="Q613" t="s">
        <v>106</v>
      </c>
      <c r="R613" s="2392">
        <v>44743</v>
      </c>
      <c r="S613" s="2393">
        <f t="shared" si="40"/>
        <v>1</v>
      </c>
      <c r="T613" s="2394">
        <f>IF(OR(J613="COP",J613="EURO",J613="GBP"),0,IF(J613="USD",VLOOKUP(R613,'TRM BanRep'!$A:$G,7,0)))</f>
        <v>0</v>
      </c>
      <c r="U613" s="2395">
        <f t="shared" si="41"/>
        <v>0</v>
      </c>
      <c r="V613" s="2395" t="str">
        <f t="shared" si="42"/>
        <v/>
      </c>
    </row>
    <row r="614" spans="3:22" hidden="1">
      <c r="C614">
        <v>2022</v>
      </c>
      <c r="D614" t="s">
        <v>1932</v>
      </c>
      <c r="F614">
        <v>2422999997</v>
      </c>
      <c r="G614" t="s">
        <v>1575</v>
      </c>
      <c r="H614" t="s">
        <v>1959</v>
      </c>
      <c r="I614" t="s">
        <v>1577</v>
      </c>
      <c r="J614" t="s">
        <v>106</v>
      </c>
      <c r="K614">
        <v>7900008858</v>
      </c>
      <c r="L614" t="s">
        <v>1959</v>
      </c>
      <c r="M614" s="1633">
        <v>1729907701</v>
      </c>
      <c r="N614">
        <v>1</v>
      </c>
      <c r="O614">
        <v>40</v>
      </c>
      <c r="P614" s="1633">
        <v>1729907701</v>
      </c>
      <c r="Q614" t="s">
        <v>106</v>
      </c>
      <c r="R614" s="2392">
        <v>44743</v>
      </c>
      <c r="S614" s="2393">
        <f t="shared" si="40"/>
        <v>1</v>
      </c>
      <c r="T614" s="2394">
        <f>IF(OR(J614="COP",J614="EURO",J614="GBP"),0,IF(J614="USD",VLOOKUP(R614,'TRM BanRep'!$A:$G,7,0)))</f>
        <v>0</v>
      </c>
      <c r="U614" s="2395">
        <f t="shared" si="41"/>
        <v>0</v>
      </c>
      <c r="V614" s="2395" t="str">
        <f t="shared" si="42"/>
        <v/>
      </c>
    </row>
    <row r="615" spans="3:22" hidden="1">
      <c r="C615">
        <v>2022</v>
      </c>
      <c r="D615" t="s">
        <v>1932</v>
      </c>
      <c r="F615">
        <v>2422999997</v>
      </c>
      <c r="G615" t="s">
        <v>1575</v>
      </c>
      <c r="H615" t="s">
        <v>1960</v>
      </c>
      <c r="I615" t="s">
        <v>1594</v>
      </c>
      <c r="J615" t="s">
        <v>106</v>
      </c>
      <c r="K615">
        <v>7900009119</v>
      </c>
      <c r="L615" t="s">
        <v>1960</v>
      </c>
      <c r="M615" s="1633">
        <v>-728505550</v>
      </c>
      <c r="N615">
        <v>1</v>
      </c>
      <c r="O615">
        <v>50</v>
      </c>
      <c r="P615" s="1633">
        <v>-728505550</v>
      </c>
      <c r="Q615" t="s">
        <v>106</v>
      </c>
      <c r="R615" s="2392">
        <v>44760</v>
      </c>
      <c r="S615" s="2393">
        <f t="shared" si="40"/>
        <v>1</v>
      </c>
      <c r="T615" s="2394">
        <f>IF(OR(J615="COP",J615="EURO",J615="GBP"),0,IF(J615="USD",VLOOKUP(R615,'TRM BanRep'!$A:$G,7,0)))</f>
        <v>0</v>
      </c>
      <c r="U615" s="2395">
        <f t="shared" si="41"/>
        <v>0</v>
      </c>
      <c r="V615" s="2395" t="str">
        <f t="shared" si="42"/>
        <v/>
      </c>
    </row>
    <row r="616" spans="3:22" hidden="1">
      <c r="C616">
        <v>2022</v>
      </c>
      <c r="D616" t="s">
        <v>1932</v>
      </c>
      <c r="F616">
        <v>2422999997</v>
      </c>
      <c r="G616" t="s">
        <v>1575</v>
      </c>
      <c r="H616" t="s">
        <v>1960</v>
      </c>
      <c r="I616" t="s">
        <v>1598</v>
      </c>
      <c r="J616" t="s">
        <v>106</v>
      </c>
      <c r="K616">
        <v>7900009131</v>
      </c>
      <c r="L616" t="s">
        <v>1960</v>
      </c>
      <c r="M616" s="1633">
        <v>-1219399990</v>
      </c>
      <c r="N616">
        <v>1</v>
      </c>
      <c r="O616">
        <v>50</v>
      </c>
      <c r="P616" s="1633">
        <v>-1219399990</v>
      </c>
      <c r="Q616" t="s">
        <v>106</v>
      </c>
      <c r="R616" s="2392">
        <v>44760</v>
      </c>
      <c r="S616" s="2393">
        <f t="shared" si="40"/>
        <v>1</v>
      </c>
      <c r="T616" s="2394">
        <f>IF(OR(J616="COP",J616="EURO",J616="GBP"),0,IF(J616="USD",VLOOKUP(R616,'TRM BanRep'!$A:$G,7,0)))</f>
        <v>0</v>
      </c>
      <c r="U616" s="2395">
        <f t="shared" si="41"/>
        <v>0</v>
      </c>
      <c r="V616" s="2395" t="str">
        <f t="shared" si="42"/>
        <v/>
      </c>
    </row>
    <row r="617" spans="3:22" hidden="1">
      <c r="C617">
        <v>2022</v>
      </c>
      <c r="D617" t="s">
        <v>1932</v>
      </c>
      <c r="F617">
        <v>2422999997</v>
      </c>
      <c r="G617" t="s">
        <v>1575</v>
      </c>
      <c r="H617" t="s">
        <v>1960</v>
      </c>
      <c r="I617" t="s">
        <v>1594</v>
      </c>
      <c r="J617" t="s">
        <v>106</v>
      </c>
      <c r="K617">
        <v>7900009160</v>
      </c>
      <c r="L617" t="s">
        <v>1960</v>
      </c>
      <c r="M617" s="1633">
        <v>728505550</v>
      </c>
      <c r="N617">
        <v>1</v>
      </c>
      <c r="O617">
        <v>40</v>
      </c>
      <c r="P617" s="1633">
        <v>728505550</v>
      </c>
      <c r="Q617" t="s">
        <v>106</v>
      </c>
      <c r="R617" s="2392">
        <v>44760</v>
      </c>
      <c r="S617" s="2393">
        <f t="shared" si="40"/>
        <v>1</v>
      </c>
      <c r="T617" s="2394">
        <f>IF(OR(J617="COP",J617="EURO",J617="GBP"),0,IF(J617="USD",VLOOKUP(R617,'TRM BanRep'!$A:$G,7,0)))</f>
        <v>0</v>
      </c>
      <c r="U617" s="2395">
        <f t="shared" si="41"/>
        <v>0</v>
      </c>
      <c r="V617" s="2395" t="str">
        <f t="shared" si="42"/>
        <v/>
      </c>
    </row>
    <row r="618" spans="3:22" hidden="1">
      <c r="C618">
        <v>2022</v>
      </c>
      <c r="D618" t="s">
        <v>1932</v>
      </c>
      <c r="F618">
        <v>2422999997</v>
      </c>
      <c r="G618" t="s">
        <v>1575</v>
      </c>
      <c r="H618" t="s">
        <v>1960</v>
      </c>
      <c r="I618" t="s">
        <v>1598</v>
      </c>
      <c r="J618" t="s">
        <v>106</v>
      </c>
      <c r="K618">
        <v>7900009172</v>
      </c>
      <c r="L618" t="s">
        <v>1960</v>
      </c>
      <c r="M618" s="1633">
        <v>1219399990</v>
      </c>
      <c r="N618">
        <v>1</v>
      </c>
      <c r="O618">
        <v>40</v>
      </c>
      <c r="P618" s="1633">
        <v>1219399990</v>
      </c>
      <c r="Q618" t="s">
        <v>106</v>
      </c>
      <c r="R618" s="2392">
        <v>44760</v>
      </c>
      <c r="S618" s="2393">
        <f t="shared" si="40"/>
        <v>1</v>
      </c>
      <c r="T618" s="2394">
        <f>IF(OR(J618="COP",J618="EURO",J618="GBP"),0,IF(J618="USD",VLOOKUP(R618,'TRM BanRep'!$A:$G,7,0)))</f>
        <v>0</v>
      </c>
      <c r="U618" s="2395">
        <f t="shared" si="41"/>
        <v>0</v>
      </c>
      <c r="V618" s="2395" t="str">
        <f t="shared" si="42"/>
        <v/>
      </c>
    </row>
    <row r="619" spans="3:22" hidden="1">
      <c r="C619">
        <v>2022</v>
      </c>
      <c r="D619" t="s">
        <v>1932</v>
      </c>
      <c r="F619">
        <v>2422999997</v>
      </c>
      <c r="G619" t="s">
        <v>1739</v>
      </c>
      <c r="H619" t="s">
        <v>1935</v>
      </c>
      <c r="I619" t="s">
        <v>1961</v>
      </c>
      <c r="J619" t="s">
        <v>106</v>
      </c>
      <c r="K619">
        <v>100037635</v>
      </c>
      <c r="L619" t="s">
        <v>1935</v>
      </c>
      <c r="M619" s="1633">
        <v>-3354461937</v>
      </c>
      <c r="N619">
        <v>1</v>
      </c>
      <c r="O619">
        <v>50</v>
      </c>
      <c r="P619" s="1633">
        <v>-3354461937</v>
      </c>
      <c r="Q619" t="s">
        <v>106</v>
      </c>
      <c r="R619" s="2392">
        <v>44749</v>
      </c>
      <c r="S619" s="2393">
        <f t="shared" si="40"/>
        <v>1</v>
      </c>
      <c r="T619" s="2394">
        <f>IF(OR(J619="COP",J619="EURO",J619="GBP"),0,IF(J619="USD",VLOOKUP(R619,'TRM BanRep'!$A:$G,7,0)))</f>
        <v>0</v>
      </c>
      <c r="U619" s="2395">
        <f t="shared" si="41"/>
        <v>0</v>
      </c>
      <c r="V619" s="2395" t="str">
        <f t="shared" si="42"/>
        <v/>
      </c>
    </row>
    <row r="620" spans="3:22" hidden="1">
      <c r="C620">
        <v>2022</v>
      </c>
      <c r="D620" t="s">
        <v>1932</v>
      </c>
      <c r="F620">
        <v>2422999997</v>
      </c>
      <c r="G620" t="s">
        <v>1739</v>
      </c>
      <c r="H620" t="s">
        <v>1935</v>
      </c>
      <c r="I620" t="s">
        <v>1962</v>
      </c>
      <c r="J620" t="s">
        <v>106</v>
      </c>
      <c r="K620">
        <v>100037636</v>
      </c>
      <c r="L620" t="s">
        <v>1935</v>
      </c>
      <c r="M620" s="1633">
        <v>-1443954522</v>
      </c>
      <c r="N620">
        <v>1</v>
      </c>
      <c r="O620">
        <v>50</v>
      </c>
      <c r="P620" s="1633">
        <v>-1443954522</v>
      </c>
      <c r="Q620" t="s">
        <v>106</v>
      </c>
      <c r="R620" s="2392">
        <v>44749</v>
      </c>
      <c r="S620" s="2393">
        <f t="shared" si="40"/>
        <v>1</v>
      </c>
      <c r="T620" s="2394">
        <f>IF(OR(J620="COP",J620="EURO",J620="GBP"),0,IF(J620="USD",VLOOKUP(R620,'TRM BanRep'!$A:$G,7,0)))</f>
        <v>0</v>
      </c>
      <c r="U620" s="2395">
        <f t="shared" si="41"/>
        <v>0</v>
      </c>
      <c r="V620" s="2395" t="str">
        <f t="shared" si="42"/>
        <v/>
      </c>
    </row>
    <row r="621" spans="3:22" hidden="1">
      <c r="C621">
        <v>2022</v>
      </c>
      <c r="D621" t="s">
        <v>1932</v>
      </c>
      <c r="F621">
        <v>2422999997</v>
      </c>
      <c r="G621" t="s">
        <v>1785</v>
      </c>
      <c r="H621" t="s">
        <v>1935</v>
      </c>
      <c r="I621" t="s">
        <v>1963</v>
      </c>
      <c r="J621" t="s">
        <v>106</v>
      </c>
      <c r="K621">
        <v>100040921</v>
      </c>
      <c r="L621" t="s">
        <v>1935</v>
      </c>
      <c r="M621" s="1633">
        <v>3354461937</v>
      </c>
      <c r="N621">
        <v>1</v>
      </c>
      <c r="O621">
        <v>40</v>
      </c>
      <c r="P621" s="1633">
        <v>3354461937</v>
      </c>
      <c r="Q621" t="s">
        <v>106</v>
      </c>
      <c r="R621" s="2392">
        <v>44749</v>
      </c>
      <c r="S621" s="2393">
        <f t="shared" si="40"/>
        <v>1</v>
      </c>
      <c r="T621" s="2394">
        <f>IF(OR(J621="COP",J621="EURO",J621="GBP"),0,IF(J621="USD",VLOOKUP(R621,'TRM BanRep'!$A:$G,7,0)))</f>
        <v>0</v>
      </c>
      <c r="U621" s="2395">
        <f t="shared" si="41"/>
        <v>0</v>
      </c>
      <c r="V621" s="2395" t="str">
        <f t="shared" si="42"/>
        <v/>
      </c>
    </row>
    <row r="622" spans="3:22" hidden="1">
      <c r="C622">
        <v>2022</v>
      </c>
      <c r="D622" t="s">
        <v>1932</v>
      </c>
      <c r="F622">
        <v>2422999997</v>
      </c>
      <c r="G622" t="s">
        <v>1785</v>
      </c>
      <c r="H622" t="s">
        <v>1935</v>
      </c>
      <c r="I622" t="s">
        <v>1963</v>
      </c>
      <c r="J622" t="s">
        <v>106</v>
      </c>
      <c r="K622">
        <v>100040921</v>
      </c>
      <c r="L622" t="s">
        <v>1935</v>
      </c>
      <c r="M622" s="1633">
        <v>1443954522</v>
      </c>
      <c r="N622">
        <v>1</v>
      </c>
      <c r="O622">
        <v>40</v>
      </c>
      <c r="P622" s="1633">
        <v>1443954522</v>
      </c>
      <c r="Q622" t="s">
        <v>106</v>
      </c>
      <c r="R622" s="2392">
        <v>44749</v>
      </c>
      <c r="S622" s="2393">
        <f t="shared" si="40"/>
        <v>1</v>
      </c>
      <c r="T622" s="2394">
        <f>IF(OR(J622="COP",J622="EURO",J622="GBP"),0,IF(J622="USD",VLOOKUP(R622,'TRM BanRep'!$A:$G,7,0)))</f>
        <v>0</v>
      </c>
      <c r="U622" s="2395">
        <f t="shared" si="41"/>
        <v>0</v>
      </c>
      <c r="V622" s="2395" t="str">
        <f t="shared" si="42"/>
        <v/>
      </c>
    </row>
    <row r="623" spans="3:22" hidden="1">
      <c r="C623">
        <v>2022</v>
      </c>
      <c r="D623" t="s">
        <v>1932</v>
      </c>
      <c r="F623">
        <v>2422999997</v>
      </c>
      <c r="G623" t="s">
        <v>1602</v>
      </c>
      <c r="H623" t="s">
        <v>1939</v>
      </c>
      <c r="I623" t="s">
        <v>1964</v>
      </c>
      <c r="J623" t="s">
        <v>106</v>
      </c>
      <c r="K623">
        <v>7900009992</v>
      </c>
      <c r="L623" t="s">
        <v>1939</v>
      </c>
      <c r="M623" s="1633">
        <v>-4962109873</v>
      </c>
      <c r="N623">
        <v>1</v>
      </c>
      <c r="O623">
        <v>50</v>
      </c>
      <c r="P623" s="1633">
        <v>-4962109873</v>
      </c>
      <c r="Q623" t="s">
        <v>106</v>
      </c>
      <c r="R623" s="2392">
        <v>44771</v>
      </c>
      <c r="S623" s="2393">
        <f t="shared" si="40"/>
        <v>1</v>
      </c>
      <c r="T623" s="2394">
        <f>IF(OR(J623="COP",J623="EURO",J623="GBP"),0,IF(J623="USD",VLOOKUP(R623,'TRM BanRep'!$A:$G,7,0)))</f>
        <v>0</v>
      </c>
      <c r="U623" s="2395">
        <f t="shared" si="41"/>
        <v>0</v>
      </c>
      <c r="V623" s="2395" t="str">
        <f t="shared" si="42"/>
        <v/>
      </c>
    </row>
    <row r="624" spans="3:22" hidden="1">
      <c r="C624">
        <v>2022</v>
      </c>
      <c r="D624" t="s">
        <v>1932</v>
      </c>
      <c r="F624">
        <v>2422999997</v>
      </c>
      <c r="G624" t="s">
        <v>1602</v>
      </c>
      <c r="H624" t="s">
        <v>1939</v>
      </c>
      <c r="I624" t="s">
        <v>1965</v>
      </c>
      <c r="J624" t="s">
        <v>106</v>
      </c>
      <c r="K624">
        <v>7900010011</v>
      </c>
      <c r="L624" t="s">
        <v>1939</v>
      </c>
      <c r="M624" s="1633">
        <v>-1207647002</v>
      </c>
      <c r="N624">
        <v>1</v>
      </c>
      <c r="O624">
        <v>50</v>
      </c>
      <c r="P624" s="1633">
        <v>-1207647002</v>
      </c>
      <c r="Q624" t="s">
        <v>106</v>
      </c>
      <c r="R624" s="2392">
        <v>44771</v>
      </c>
      <c r="S624" s="2393">
        <f t="shared" si="40"/>
        <v>1</v>
      </c>
      <c r="T624" s="2394">
        <f>IF(OR(J624="COP",J624="EURO",J624="GBP"),0,IF(J624="USD",VLOOKUP(R624,'TRM BanRep'!$A:$G,7,0)))</f>
        <v>0</v>
      </c>
      <c r="U624" s="2395">
        <f t="shared" si="41"/>
        <v>0</v>
      </c>
      <c r="V624" s="2395" t="str">
        <f t="shared" si="42"/>
        <v/>
      </c>
    </row>
    <row r="625" spans="3:22" hidden="1">
      <c r="C625">
        <v>2022</v>
      </c>
      <c r="D625" t="s">
        <v>1932</v>
      </c>
      <c r="F625">
        <v>2422999997</v>
      </c>
      <c r="G625" t="s">
        <v>1606</v>
      </c>
      <c r="H625" t="s">
        <v>1959</v>
      </c>
      <c r="I625" t="s">
        <v>1966</v>
      </c>
      <c r="J625" t="s">
        <v>106</v>
      </c>
      <c r="K625">
        <v>7900008869</v>
      </c>
      <c r="L625" t="s">
        <v>1959</v>
      </c>
      <c r="M625" s="1633">
        <v>-3379824343</v>
      </c>
      <c r="N625">
        <v>1</v>
      </c>
      <c r="O625">
        <v>50</v>
      </c>
      <c r="P625" s="1633">
        <v>-3379824343</v>
      </c>
      <c r="Q625" t="s">
        <v>106</v>
      </c>
      <c r="R625" s="2392">
        <v>44743</v>
      </c>
      <c r="S625" s="2393">
        <f t="shared" si="40"/>
        <v>1</v>
      </c>
      <c r="T625" s="2394">
        <f>IF(OR(J625="COP",J625="EURO",J625="GBP"),0,IF(J625="USD",VLOOKUP(R625,'TRM BanRep'!$A:$G,7,0)))</f>
        <v>0</v>
      </c>
      <c r="U625" s="2395">
        <f t="shared" si="41"/>
        <v>0</v>
      </c>
      <c r="V625" s="2395" t="str">
        <f t="shared" si="42"/>
        <v/>
      </c>
    </row>
    <row r="626" spans="3:22" hidden="1">
      <c r="C626">
        <v>2022</v>
      </c>
      <c r="D626" t="s">
        <v>1932</v>
      </c>
      <c r="F626">
        <v>2422999997</v>
      </c>
      <c r="G626" t="s">
        <v>1606</v>
      </c>
      <c r="H626" t="s">
        <v>1959</v>
      </c>
      <c r="I626" t="s">
        <v>1607</v>
      </c>
      <c r="J626" t="s">
        <v>106</v>
      </c>
      <c r="K626">
        <v>7900008872</v>
      </c>
      <c r="L626" t="s">
        <v>1959</v>
      </c>
      <c r="M626" s="1633">
        <v>-829484525</v>
      </c>
      <c r="N626">
        <v>1</v>
      </c>
      <c r="O626">
        <v>50</v>
      </c>
      <c r="P626" s="1633">
        <v>-829484525</v>
      </c>
      <c r="Q626" t="s">
        <v>106</v>
      </c>
      <c r="R626" s="2392">
        <v>44743</v>
      </c>
      <c r="S626" s="2393">
        <f t="shared" si="40"/>
        <v>1</v>
      </c>
      <c r="T626" s="2394">
        <f>IF(OR(J626="COP",J626="EURO",J626="GBP"),0,IF(J626="USD",VLOOKUP(R626,'TRM BanRep'!$A:$G,7,0)))</f>
        <v>0</v>
      </c>
      <c r="U626" s="2395">
        <f t="shared" si="41"/>
        <v>0</v>
      </c>
      <c r="V626" s="2395" t="str">
        <f t="shared" si="42"/>
        <v/>
      </c>
    </row>
    <row r="627" spans="3:22" hidden="1">
      <c r="C627">
        <v>2022</v>
      </c>
      <c r="D627" t="s">
        <v>1932</v>
      </c>
      <c r="F627">
        <v>2422999997</v>
      </c>
      <c r="G627" t="s">
        <v>1557</v>
      </c>
      <c r="H627" t="s">
        <v>1933</v>
      </c>
      <c r="I627" t="s">
        <v>1934</v>
      </c>
      <c r="J627" t="s">
        <v>106</v>
      </c>
      <c r="K627">
        <v>7900008950</v>
      </c>
      <c r="L627" t="s">
        <v>1933</v>
      </c>
      <c r="M627" s="1633">
        <v>-7458580000</v>
      </c>
      <c r="N627">
        <v>1</v>
      </c>
      <c r="O627">
        <v>50</v>
      </c>
      <c r="P627" s="1633">
        <v>-7458580000</v>
      </c>
      <c r="Q627" t="s">
        <v>106</v>
      </c>
      <c r="R627" s="2392">
        <v>44748</v>
      </c>
      <c r="S627" s="2393">
        <f t="shared" si="40"/>
        <v>1</v>
      </c>
      <c r="T627" s="2394">
        <f>IF(OR(J627="COP",J627="EURO",J627="GBP"),0,IF(J627="USD",VLOOKUP(R627,'TRM BanRep'!$A:$G,7,0)))</f>
        <v>0</v>
      </c>
      <c r="U627" s="2395">
        <f t="shared" si="41"/>
        <v>0</v>
      </c>
      <c r="V627" s="2395" t="str">
        <f t="shared" si="42"/>
        <v/>
      </c>
    </row>
    <row r="628" spans="3:22" hidden="1">
      <c r="C628">
        <v>2022</v>
      </c>
      <c r="D628" t="s">
        <v>1932</v>
      </c>
      <c r="F628">
        <v>2422999997</v>
      </c>
      <c r="G628" t="s">
        <v>1557</v>
      </c>
      <c r="H628" t="s">
        <v>1486</v>
      </c>
      <c r="I628" t="s">
        <v>1938</v>
      </c>
      <c r="J628" t="s">
        <v>106</v>
      </c>
      <c r="K628">
        <v>7900009206</v>
      </c>
      <c r="L628" t="s">
        <v>1486</v>
      </c>
      <c r="M628" s="1633">
        <v>-34824999989</v>
      </c>
      <c r="N628">
        <v>1</v>
      </c>
      <c r="O628">
        <v>50</v>
      </c>
      <c r="P628" s="1633">
        <v>-34824999989</v>
      </c>
      <c r="Q628" t="s">
        <v>106</v>
      </c>
      <c r="R628" s="2392">
        <v>44768</v>
      </c>
      <c r="S628" s="2393">
        <f t="shared" si="40"/>
        <v>1</v>
      </c>
      <c r="T628" s="2394">
        <f>IF(OR(J628="COP",J628="EURO",J628="GBP"),0,IF(J628="USD",VLOOKUP(R628,'TRM BanRep'!$A:$G,7,0)))</f>
        <v>0</v>
      </c>
      <c r="U628" s="2395">
        <f t="shared" si="41"/>
        <v>0</v>
      </c>
      <c r="V628" s="2395" t="str">
        <f t="shared" si="42"/>
        <v/>
      </c>
    </row>
    <row r="629" spans="3:22" hidden="1">
      <c r="C629">
        <v>2022</v>
      </c>
      <c r="D629" t="s">
        <v>1932</v>
      </c>
      <c r="F629">
        <v>2422999997</v>
      </c>
      <c r="G629" t="s">
        <v>1608</v>
      </c>
      <c r="H629" t="s">
        <v>1959</v>
      </c>
      <c r="J629" t="s">
        <v>106</v>
      </c>
      <c r="K629">
        <v>2000006739</v>
      </c>
      <c r="L629" t="s">
        <v>1959</v>
      </c>
      <c r="M629" s="1633">
        <v>212957311</v>
      </c>
      <c r="N629">
        <v>1</v>
      </c>
      <c r="O629">
        <v>40</v>
      </c>
      <c r="P629" s="1633">
        <v>212957311</v>
      </c>
      <c r="Q629" t="s">
        <v>106</v>
      </c>
      <c r="R629" s="2392">
        <v>44743</v>
      </c>
      <c r="S629" s="2393">
        <f t="shared" si="40"/>
        <v>1</v>
      </c>
      <c r="T629" s="2394">
        <f>IF(OR(J629="COP",J629="EURO",J629="GBP"),0,IF(J629="USD",VLOOKUP(R629,'TRM BanRep'!$A:$G,7,0)))</f>
        <v>0</v>
      </c>
      <c r="U629" s="2395">
        <f t="shared" si="41"/>
        <v>0</v>
      </c>
      <c r="V629" s="2395" t="str">
        <f t="shared" si="42"/>
        <v/>
      </c>
    </row>
    <row r="630" spans="3:22" hidden="1">
      <c r="C630">
        <v>2022</v>
      </c>
      <c r="D630" t="s">
        <v>1932</v>
      </c>
      <c r="F630">
        <v>2422999997</v>
      </c>
      <c r="G630" t="s">
        <v>1608</v>
      </c>
      <c r="H630" t="s">
        <v>1959</v>
      </c>
      <c r="J630" t="s">
        <v>106</v>
      </c>
      <c r="K630">
        <v>2000006809</v>
      </c>
      <c r="L630" t="s">
        <v>1959</v>
      </c>
      <c r="M630" s="1633">
        <v>7104342846</v>
      </c>
      <c r="N630">
        <v>1</v>
      </c>
      <c r="O630">
        <v>40</v>
      </c>
      <c r="P630" s="1633">
        <v>7104342846</v>
      </c>
      <c r="Q630" t="s">
        <v>106</v>
      </c>
      <c r="R630" s="2392">
        <v>44743</v>
      </c>
      <c r="S630" s="2393">
        <f t="shared" si="40"/>
        <v>1</v>
      </c>
      <c r="T630" s="2394">
        <f>IF(OR(J630="COP",J630="EURO",J630="GBP"),0,IF(J630="USD",VLOOKUP(R630,'TRM BanRep'!$A:$G,7,0)))</f>
        <v>0</v>
      </c>
      <c r="U630" s="2395">
        <f t="shared" si="41"/>
        <v>0</v>
      </c>
      <c r="V630" s="2395" t="str">
        <f t="shared" si="42"/>
        <v/>
      </c>
    </row>
    <row r="631" spans="3:22" hidden="1">
      <c r="C631">
        <v>2022</v>
      </c>
      <c r="D631" t="s">
        <v>1932</v>
      </c>
      <c r="F631">
        <v>2422999997</v>
      </c>
      <c r="G631" t="s">
        <v>1608</v>
      </c>
      <c r="H631" t="s">
        <v>1933</v>
      </c>
      <c r="J631" t="s">
        <v>106</v>
      </c>
      <c r="K631">
        <v>2000006813</v>
      </c>
      <c r="L631" t="s">
        <v>1933</v>
      </c>
      <c r="M631" s="1633">
        <v>7034853718</v>
      </c>
      <c r="N631">
        <v>1</v>
      </c>
      <c r="O631">
        <v>40</v>
      </c>
      <c r="P631" s="1633">
        <v>7034853718</v>
      </c>
      <c r="Q631" t="s">
        <v>106</v>
      </c>
      <c r="R631" s="2392">
        <v>44748</v>
      </c>
      <c r="S631" s="2393">
        <f t="shared" si="40"/>
        <v>1</v>
      </c>
      <c r="T631" s="2394">
        <f>IF(OR(J631="COP",J631="EURO",J631="GBP"),0,IF(J631="USD",VLOOKUP(R631,'TRM BanRep'!$A:$G,7,0)))</f>
        <v>0</v>
      </c>
      <c r="U631" s="2395">
        <f t="shared" si="41"/>
        <v>0</v>
      </c>
      <c r="V631" s="2395" t="str">
        <f t="shared" si="42"/>
        <v/>
      </c>
    </row>
    <row r="632" spans="3:22" hidden="1">
      <c r="C632">
        <v>2022</v>
      </c>
      <c r="D632" t="s">
        <v>1932</v>
      </c>
      <c r="F632">
        <v>2422999997</v>
      </c>
      <c r="G632" t="s">
        <v>1608</v>
      </c>
      <c r="H632" t="s">
        <v>1933</v>
      </c>
      <c r="J632" t="s">
        <v>106</v>
      </c>
      <c r="K632">
        <v>2000006903</v>
      </c>
      <c r="L632" t="s">
        <v>1933</v>
      </c>
      <c r="M632" s="1633">
        <v>7458580000</v>
      </c>
      <c r="N632">
        <v>1</v>
      </c>
      <c r="O632">
        <v>40</v>
      </c>
      <c r="P632" s="1633">
        <v>7458580000</v>
      </c>
      <c r="Q632" t="s">
        <v>106</v>
      </c>
      <c r="R632" s="2392">
        <v>44748</v>
      </c>
      <c r="S632" s="2393">
        <f t="shared" si="40"/>
        <v>1</v>
      </c>
      <c r="T632" s="2394">
        <f>IF(OR(J632="COP",J632="EURO",J632="GBP"),0,IF(J632="USD",VLOOKUP(R632,'TRM BanRep'!$A:$G,7,0)))</f>
        <v>0</v>
      </c>
      <c r="U632" s="2395">
        <f t="shared" si="41"/>
        <v>0</v>
      </c>
      <c r="V632" s="2395" t="str">
        <f t="shared" si="42"/>
        <v/>
      </c>
    </row>
    <row r="633" spans="3:22" hidden="1">
      <c r="C633">
        <v>2022</v>
      </c>
      <c r="D633" t="s">
        <v>1932</v>
      </c>
      <c r="F633">
        <v>2422999997</v>
      </c>
      <c r="G633" t="s">
        <v>1608</v>
      </c>
      <c r="H633" t="s">
        <v>1967</v>
      </c>
      <c r="J633" t="s">
        <v>106</v>
      </c>
      <c r="K633">
        <v>2000007206</v>
      </c>
      <c r="L633" t="s">
        <v>1967</v>
      </c>
      <c r="M633" s="1633">
        <v>1028327274</v>
      </c>
      <c r="N633">
        <v>1</v>
      </c>
      <c r="O633">
        <v>40</v>
      </c>
      <c r="P633" s="1633">
        <v>1028327274</v>
      </c>
      <c r="Q633" t="s">
        <v>106</v>
      </c>
      <c r="R633" s="2392">
        <v>44753</v>
      </c>
      <c r="S633" s="2393">
        <f t="shared" si="40"/>
        <v>1</v>
      </c>
      <c r="T633" s="2394">
        <f>IF(OR(J633="COP",J633="EURO",J633="GBP"),0,IF(J633="USD",VLOOKUP(R633,'TRM BanRep'!$A:$G,7,0)))</f>
        <v>0</v>
      </c>
      <c r="U633" s="2395">
        <f t="shared" si="41"/>
        <v>0</v>
      </c>
      <c r="V633" s="2395" t="str">
        <f t="shared" si="42"/>
        <v/>
      </c>
    </row>
    <row r="634" spans="3:22" hidden="1">
      <c r="C634">
        <v>2022</v>
      </c>
      <c r="D634" t="s">
        <v>1932</v>
      </c>
      <c r="F634">
        <v>2422999997</v>
      </c>
      <c r="G634" t="s">
        <v>1608</v>
      </c>
      <c r="H634" t="s">
        <v>1967</v>
      </c>
      <c r="J634" t="s">
        <v>106</v>
      </c>
      <c r="K634">
        <v>2000007207</v>
      </c>
      <c r="L634" t="s">
        <v>1967</v>
      </c>
      <c r="M634" s="1633">
        <v>1869685962</v>
      </c>
      <c r="N634">
        <v>1</v>
      </c>
      <c r="O634">
        <v>40</v>
      </c>
      <c r="P634" s="1633">
        <v>1869685962</v>
      </c>
      <c r="Q634" t="s">
        <v>106</v>
      </c>
      <c r="R634" s="2392">
        <v>44753</v>
      </c>
      <c r="S634" s="2393">
        <f t="shared" si="40"/>
        <v>1</v>
      </c>
      <c r="T634" s="2394">
        <f>IF(OR(J634="COP",J634="EURO",J634="GBP"),0,IF(J634="USD",VLOOKUP(R634,'TRM BanRep'!$A:$G,7,0)))</f>
        <v>0</v>
      </c>
      <c r="U634" s="2395">
        <f t="shared" si="41"/>
        <v>0</v>
      </c>
      <c r="V634" s="2395" t="str">
        <f t="shared" si="42"/>
        <v/>
      </c>
    </row>
    <row r="635" spans="3:22" hidden="1">
      <c r="C635">
        <v>2022</v>
      </c>
      <c r="D635" t="s">
        <v>1932</v>
      </c>
      <c r="F635">
        <v>2422999997</v>
      </c>
      <c r="G635" t="s">
        <v>1608</v>
      </c>
      <c r="H635" t="s">
        <v>1968</v>
      </c>
      <c r="J635" t="s">
        <v>106</v>
      </c>
      <c r="K635">
        <v>2000007208</v>
      </c>
      <c r="L635" t="s">
        <v>1968</v>
      </c>
      <c r="M635" s="1633">
        <v>1644598932</v>
      </c>
      <c r="N635">
        <v>1</v>
      </c>
      <c r="O635">
        <v>40</v>
      </c>
      <c r="P635" s="1633">
        <v>1644598932</v>
      </c>
      <c r="Q635" t="s">
        <v>106</v>
      </c>
      <c r="R635" s="2392">
        <v>44755</v>
      </c>
      <c r="S635" s="2393">
        <f t="shared" si="40"/>
        <v>1</v>
      </c>
      <c r="T635" s="2394">
        <f>IF(OR(J635="COP",J635="EURO",J635="GBP"),0,IF(J635="USD",VLOOKUP(R635,'TRM BanRep'!$A:$G,7,0)))</f>
        <v>0</v>
      </c>
      <c r="U635" s="2395">
        <f t="shared" si="41"/>
        <v>0</v>
      </c>
      <c r="V635" s="2395" t="str">
        <f t="shared" si="42"/>
        <v/>
      </c>
    </row>
    <row r="636" spans="3:22" hidden="1">
      <c r="C636">
        <v>2022</v>
      </c>
      <c r="D636" t="s">
        <v>1932</v>
      </c>
      <c r="F636">
        <v>2422999997</v>
      </c>
      <c r="G636" t="s">
        <v>1608</v>
      </c>
      <c r="H636" t="s">
        <v>1960</v>
      </c>
      <c r="J636" t="s">
        <v>106</v>
      </c>
      <c r="K636">
        <v>2000007316</v>
      </c>
      <c r="L636" t="s">
        <v>1960</v>
      </c>
      <c r="M636" s="1633">
        <v>10921858750</v>
      </c>
      <c r="N636">
        <v>1</v>
      </c>
      <c r="O636">
        <v>40</v>
      </c>
      <c r="P636" s="1633">
        <v>10921858750</v>
      </c>
      <c r="Q636" t="s">
        <v>106</v>
      </c>
      <c r="R636" s="2392">
        <v>44760</v>
      </c>
      <c r="S636" s="2393">
        <f t="shared" si="40"/>
        <v>1</v>
      </c>
      <c r="T636" s="2394">
        <f>IF(OR(J636="COP",J636="EURO",J636="GBP"),0,IF(J636="USD",VLOOKUP(R636,'TRM BanRep'!$A:$G,7,0)))</f>
        <v>0</v>
      </c>
      <c r="U636" s="2395">
        <f t="shared" si="41"/>
        <v>0</v>
      </c>
      <c r="V636" s="2395" t="str">
        <f t="shared" si="42"/>
        <v/>
      </c>
    </row>
    <row r="637" spans="3:22" hidden="1">
      <c r="C637">
        <v>2022</v>
      </c>
      <c r="D637" t="s">
        <v>1932</v>
      </c>
      <c r="F637">
        <v>2422999997</v>
      </c>
      <c r="G637" t="s">
        <v>1608</v>
      </c>
      <c r="H637" t="s">
        <v>1486</v>
      </c>
      <c r="J637" t="s">
        <v>106</v>
      </c>
      <c r="K637">
        <v>2000007620</v>
      </c>
      <c r="L637" t="s">
        <v>1486</v>
      </c>
      <c r="M637" s="1633">
        <v>34824999989</v>
      </c>
      <c r="N637">
        <v>1</v>
      </c>
      <c r="O637">
        <v>40</v>
      </c>
      <c r="P637" s="1633">
        <v>34824999989</v>
      </c>
      <c r="Q637" t="s">
        <v>106</v>
      </c>
      <c r="R637" s="2392">
        <v>44768</v>
      </c>
      <c r="S637" s="2393">
        <f t="shared" si="40"/>
        <v>1</v>
      </c>
      <c r="T637" s="2394">
        <f>IF(OR(J637="COP",J637="EURO",J637="GBP"),0,IF(J637="USD",VLOOKUP(R637,'TRM BanRep'!$A:$G,7,0)))</f>
        <v>0</v>
      </c>
      <c r="U637" s="2395">
        <f t="shared" si="41"/>
        <v>0</v>
      </c>
      <c r="V637" s="2395" t="str">
        <f t="shared" si="42"/>
        <v/>
      </c>
    </row>
    <row r="638" spans="3:22" hidden="1">
      <c r="C638">
        <v>2022</v>
      </c>
      <c r="D638" t="s">
        <v>1932</v>
      </c>
      <c r="F638">
        <v>2422999997</v>
      </c>
      <c r="G638" t="s">
        <v>1609</v>
      </c>
      <c r="H638" t="s">
        <v>1959</v>
      </c>
      <c r="I638" t="s">
        <v>1610</v>
      </c>
      <c r="J638" t="s">
        <v>106</v>
      </c>
      <c r="K638">
        <v>7900008870</v>
      </c>
      <c r="L638" t="s">
        <v>1959</v>
      </c>
      <c r="M638" s="1633">
        <v>-2347437837</v>
      </c>
      <c r="N638">
        <v>1</v>
      </c>
      <c r="O638">
        <v>50</v>
      </c>
      <c r="P638" s="1633">
        <v>-2347437837</v>
      </c>
      <c r="Q638" t="s">
        <v>106</v>
      </c>
      <c r="R638" s="2392">
        <v>44743</v>
      </c>
      <c r="S638" s="2393">
        <f t="shared" si="40"/>
        <v>1</v>
      </c>
      <c r="T638" s="2394">
        <f>IF(OR(J638="COP",J638="EURO",J638="GBP"),0,IF(J638="USD",VLOOKUP(R638,'TRM BanRep'!$A:$G,7,0)))</f>
        <v>0</v>
      </c>
      <c r="U638" s="2395">
        <f t="shared" si="41"/>
        <v>0</v>
      </c>
      <c r="V638" s="2395" t="str">
        <f t="shared" si="42"/>
        <v/>
      </c>
    </row>
    <row r="639" spans="3:22" hidden="1">
      <c r="C639">
        <v>2022</v>
      </c>
      <c r="D639" t="s">
        <v>1932</v>
      </c>
      <c r="F639">
        <v>2422999997</v>
      </c>
      <c r="G639" t="s">
        <v>1609</v>
      </c>
      <c r="H639" t="s">
        <v>1959</v>
      </c>
      <c r="I639" t="s">
        <v>1611</v>
      </c>
      <c r="J639" t="s">
        <v>106</v>
      </c>
      <c r="K639">
        <v>7900008871</v>
      </c>
      <c r="L639" t="s">
        <v>1959</v>
      </c>
      <c r="M639" s="1633">
        <v>-547596141</v>
      </c>
      <c r="N639">
        <v>1</v>
      </c>
      <c r="O639">
        <v>50</v>
      </c>
      <c r="P639" s="1633">
        <v>-547596141</v>
      </c>
      <c r="Q639" t="s">
        <v>106</v>
      </c>
      <c r="R639" s="2392">
        <v>44743</v>
      </c>
      <c r="S639" s="2393">
        <f t="shared" si="40"/>
        <v>1</v>
      </c>
      <c r="T639" s="2394">
        <f>IF(OR(J639="COP",J639="EURO",J639="GBP"),0,IF(J639="USD",VLOOKUP(R639,'TRM BanRep'!$A:$G,7,0)))</f>
        <v>0</v>
      </c>
      <c r="U639" s="2395">
        <f t="shared" si="41"/>
        <v>0</v>
      </c>
      <c r="V639" s="2395" t="str">
        <f t="shared" si="42"/>
        <v/>
      </c>
    </row>
    <row r="640" spans="3:22" hidden="1">
      <c r="C640">
        <v>2022</v>
      </c>
      <c r="D640" t="s">
        <v>1932</v>
      </c>
      <c r="F640">
        <v>2422999997</v>
      </c>
      <c r="G640" t="s">
        <v>1609</v>
      </c>
      <c r="H640" t="s">
        <v>1933</v>
      </c>
      <c r="I640" t="s">
        <v>1612</v>
      </c>
      <c r="J640" t="s">
        <v>106</v>
      </c>
      <c r="K640">
        <v>7900008879</v>
      </c>
      <c r="L640" t="s">
        <v>1933</v>
      </c>
      <c r="M640" s="1633">
        <v>-7034853718</v>
      </c>
      <c r="N640">
        <v>1</v>
      </c>
      <c r="O640">
        <v>50</v>
      </c>
      <c r="P640" s="1633">
        <v>-7034853718</v>
      </c>
      <c r="Q640" t="s">
        <v>106</v>
      </c>
      <c r="R640" s="2392">
        <v>44748</v>
      </c>
      <c r="S640" s="2393">
        <f t="shared" si="40"/>
        <v>1</v>
      </c>
      <c r="T640" s="2394">
        <f>IF(OR(J640="COP",J640="EURO",J640="GBP"),0,IF(J640="USD",VLOOKUP(R640,'TRM BanRep'!$A:$G,7,0)))</f>
        <v>0</v>
      </c>
      <c r="U640" s="2395">
        <f t="shared" si="41"/>
        <v>0</v>
      </c>
      <c r="V640" s="2395" t="str">
        <f t="shared" si="42"/>
        <v/>
      </c>
    </row>
    <row r="641" spans="3:22" hidden="1">
      <c r="C641">
        <v>2022</v>
      </c>
      <c r="D641" t="s">
        <v>1932</v>
      </c>
      <c r="F641">
        <v>2422999997</v>
      </c>
      <c r="G641" t="s">
        <v>1609</v>
      </c>
      <c r="H641" t="s">
        <v>1933</v>
      </c>
      <c r="I641" t="s">
        <v>1612</v>
      </c>
      <c r="J641" t="s">
        <v>106</v>
      </c>
      <c r="K641">
        <v>7900008883</v>
      </c>
      <c r="L641" t="s">
        <v>1933</v>
      </c>
      <c r="M641" s="1633">
        <v>7034853718</v>
      </c>
      <c r="N641">
        <v>1</v>
      </c>
      <c r="O641">
        <v>40</v>
      </c>
      <c r="P641" s="1633">
        <v>7034853718</v>
      </c>
      <c r="Q641" t="s">
        <v>106</v>
      </c>
      <c r="R641" s="2392">
        <v>44748</v>
      </c>
      <c r="S641" s="2393">
        <f t="shared" si="40"/>
        <v>1</v>
      </c>
      <c r="T641" s="2394">
        <f>IF(OR(J641="COP",J641="EURO",J641="GBP"),0,IF(J641="USD",VLOOKUP(R641,'TRM BanRep'!$A:$G,7,0)))</f>
        <v>0</v>
      </c>
      <c r="U641" s="2395">
        <f t="shared" si="41"/>
        <v>0</v>
      </c>
      <c r="V641" s="2395" t="str">
        <f t="shared" si="42"/>
        <v/>
      </c>
    </row>
    <row r="642" spans="3:22" hidden="1">
      <c r="C642">
        <v>2022</v>
      </c>
      <c r="D642" t="s">
        <v>1932</v>
      </c>
      <c r="F642">
        <v>2422999997</v>
      </c>
      <c r="G642" t="s">
        <v>1609</v>
      </c>
      <c r="H642" t="s">
        <v>1933</v>
      </c>
      <c r="I642" t="s">
        <v>1612</v>
      </c>
      <c r="J642" t="s">
        <v>106</v>
      </c>
      <c r="K642">
        <v>7900008887</v>
      </c>
      <c r="L642" t="s">
        <v>1933</v>
      </c>
      <c r="M642" s="1633">
        <v>-7034853718</v>
      </c>
      <c r="N642">
        <v>1</v>
      </c>
      <c r="O642">
        <v>50</v>
      </c>
      <c r="P642" s="1633">
        <v>-7034853718</v>
      </c>
      <c r="Q642" t="s">
        <v>106</v>
      </c>
      <c r="R642" s="2392">
        <v>44748</v>
      </c>
      <c r="S642" s="2393">
        <f t="shared" si="40"/>
        <v>1</v>
      </c>
      <c r="T642" s="2394">
        <f>IF(OR(J642="COP",J642="EURO",J642="GBP"),0,IF(J642="USD",VLOOKUP(R642,'TRM BanRep'!$A:$G,7,0)))</f>
        <v>0</v>
      </c>
      <c r="U642" s="2395">
        <f t="shared" si="41"/>
        <v>0</v>
      </c>
      <c r="V642" s="2395" t="str">
        <f t="shared" si="42"/>
        <v/>
      </c>
    </row>
    <row r="643" spans="3:22" hidden="1">
      <c r="C643">
        <v>2022</v>
      </c>
      <c r="D643" t="s">
        <v>1932</v>
      </c>
      <c r="F643">
        <v>2422999997</v>
      </c>
      <c r="G643" t="s">
        <v>1609</v>
      </c>
      <c r="H643" t="s">
        <v>1960</v>
      </c>
      <c r="I643" t="s">
        <v>1616</v>
      </c>
      <c r="J643" t="s">
        <v>106</v>
      </c>
      <c r="K643">
        <v>7900008927</v>
      </c>
      <c r="L643" t="s">
        <v>1960</v>
      </c>
      <c r="M643" s="1633">
        <v>-10921858750</v>
      </c>
      <c r="N643">
        <v>1</v>
      </c>
      <c r="O643">
        <v>50</v>
      </c>
      <c r="P643" s="1633">
        <v>-10921858750</v>
      </c>
      <c r="Q643" t="s">
        <v>106</v>
      </c>
      <c r="R643" s="2392">
        <v>44760</v>
      </c>
      <c r="S643" s="2393">
        <f t="shared" si="40"/>
        <v>1</v>
      </c>
      <c r="T643" s="2394">
        <f>IF(OR(J643="COP",J643="EURO",J643="GBP"),0,IF(J643="USD",VLOOKUP(R643,'TRM BanRep'!$A:$G,7,0)))</f>
        <v>0</v>
      </c>
      <c r="U643" s="2395">
        <f t="shared" si="41"/>
        <v>0</v>
      </c>
      <c r="V643" s="2395" t="str">
        <f t="shared" si="42"/>
        <v/>
      </c>
    </row>
    <row r="644" spans="3:22" hidden="1">
      <c r="C644">
        <v>2022</v>
      </c>
      <c r="D644" t="s">
        <v>1932</v>
      </c>
      <c r="F644">
        <v>2422999997</v>
      </c>
      <c r="G644" t="s">
        <v>1609</v>
      </c>
      <c r="H644" t="s">
        <v>1967</v>
      </c>
      <c r="I644" t="s">
        <v>1613</v>
      </c>
      <c r="J644" t="s">
        <v>106</v>
      </c>
      <c r="K644">
        <v>7900008987</v>
      </c>
      <c r="L644" t="s">
        <v>1967</v>
      </c>
      <c r="M644" s="1633">
        <v>-1869685962</v>
      </c>
      <c r="N644">
        <v>1</v>
      </c>
      <c r="O644">
        <v>50</v>
      </c>
      <c r="P644" s="1633">
        <v>-1869685962</v>
      </c>
      <c r="Q644" t="s">
        <v>106</v>
      </c>
      <c r="R644" s="2392">
        <v>44753</v>
      </c>
      <c r="S644" s="2393">
        <f t="shared" si="40"/>
        <v>1</v>
      </c>
      <c r="T644" s="2394">
        <f>IF(OR(J644="COP",J644="EURO",J644="GBP"),0,IF(J644="USD",VLOOKUP(R644,'TRM BanRep'!$A:$G,7,0)))</f>
        <v>0</v>
      </c>
      <c r="U644" s="2395">
        <f t="shared" si="41"/>
        <v>0</v>
      </c>
      <c r="V644" s="2395" t="str">
        <f t="shared" si="42"/>
        <v/>
      </c>
    </row>
    <row r="645" spans="3:22" hidden="1">
      <c r="C645">
        <v>2022</v>
      </c>
      <c r="D645" t="s">
        <v>1932</v>
      </c>
      <c r="F645">
        <v>2422999997</v>
      </c>
      <c r="G645" t="s">
        <v>1609</v>
      </c>
      <c r="H645" t="s">
        <v>1967</v>
      </c>
      <c r="I645" t="s">
        <v>1614</v>
      </c>
      <c r="J645" t="s">
        <v>106</v>
      </c>
      <c r="K645">
        <v>7900008991</v>
      </c>
      <c r="L645" t="s">
        <v>1967</v>
      </c>
      <c r="M645" s="1633">
        <v>-1028327274</v>
      </c>
      <c r="N645">
        <v>1</v>
      </c>
      <c r="O645">
        <v>50</v>
      </c>
      <c r="P645" s="1633">
        <v>-1028327274</v>
      </c>
      <c r="Q645" t="s">
        <v>106</v>
      </c>
      <c r="R645" s="2392">
        <v>44753</v>
      </c>
      <c r="S645" s="2393">
        <f t="shared" si="40"/>
        <v>1</v>
      </c>
      <c r="T645" s="2394">
        <f>IF(OR(J645="COP",J645="EURO",J645="GBP"),0,IF(J645="USD",VLOOKUP(R645,'TRM BanRep'!$A:$G,7,0)))</f>
        <v>0</v>
      </c>
      <c r="U645" s="2395">
        <f t="shared" si="41"/>
        <v>0</v>
      </c>
      <c r="V645" s="2395" t="str">
        <f t="shared" si="42"/>
        <v/>
      </c>
    </row>
    <row r="646" spans="3:22" hidden="1">
      <c r="C646">
        <v>2022</v>
      </c>
      <c r="D646" t="s">
        <v>1932</v>
      </c>
      <c r="F646">
        <v>2422999997</v>
      </c>
      <c r="G646" t="s">
        <v>1609</v>
      </c>
      <c r="H646" t="s">
        <v>1968</v>
      </c>
      <c r="I646" t="s">
        <v>1615</v>
      </c>
      <c r="J646" t="s">
        <v>106</v>
      </c>
      <c r="K646">
        <v>7900009035</v>
      </c>
      <c r="L646" t="s">
        <v>1968</v>
      </c>
      <c r="M646" s="1633">
        <v>-1644598932</v>
      </c>
      <c r="N646">
        <v>1</v>
      </c>
      <c r="O646">
        <v>50</v>
      </c>
      <c r="P646" s="1633">
        <v>-1644598932</v>
      </c>
      <c r="Q646" t="s">
        <v>106</v>
      </c>
      <c r="R646" s="2392">
        <v>44755</v>
      </c>
      <c r="S646" s="2393">
        <f t="shared" si="40"/>
        <v>1</v>
      </c>
      <c r="T646" s="2394">
        <f>IF(OR(J646="COP",J646="EURO",J646="GBP"),0,IF(J646="USD",VLOOKUP(R646,'TRM BanRep'!$A:$G,7,0)))</f>
        <v>0</v>
      </c>
      <c r="U646" s="2395">
        <f t="shared" si="41"/>
        <v>0</v>
      </c>
      <c r="V646" s="2395" t="str">
        <f t="shared" si="42"/>
        <v/>
      </c>
    </row>
    <row r="647" spans="3:22" hidden="1">
      <c r="C647">
        <v>2022</v>
      </c>
      <c r="D647" t="s">
        <v>1932</v>
      </c>
      <c r="F647">
        <v>2422999997</v>
      </c>
      <c r="G647" t="s">
        <v>1557</v>
      </c>
      <c r="H647" t="s">
        <v>1935</v>
      </c>
      <c r="I647" t="s">
        <v>1950</v>
      </c>
      <c r="J647" t="s">
        <v>64</v>
      </c>
      <c r="K647">
        <v>7900008958</v>
      </c>
      <c r="L647" t="s">
        <v>1935</v>
      </c>
      <c r="M647" s="1633">
        <v>-798915.38</v>
      </c>
      <c r="N647">
        <v>4198.7700100000002</v>
      </c>
      <c r="O647">
        <v>50</v>
      </c>
      <c r="P647" s="1633">
        <v>-3354461937</v>
      </c>
      <c r="Q647" t="s">
        <v>106</v>
      </c>
      <c r="R647" s="2392">
        <v>44749</v>
      </c>
      <c r="S647" s="2393">
        <f t="shared" ref="S647:S659" si="43">+ROUND(P647/M647,2)</f>
        <v>4198.7700000000004</v>
      </c>
      <c r="T647" s="2394">
        <f>IF(OR(J647="COP",J647="EURO",J647="GBP"),0,IF(J647="USD",VLOOKUP(R647,'TRM BanRep'!$A:$G,7,0)))</f>
        <v>4348.68</v>
      </c>
      <c r="U647" s="2395">
        <f t="shared" ref="U647:U659" si="44">IF(F647=2422999997,-IF(T647=0,0,(T647-S647)*M647),IF(T647=0,0,(T647-S647)*M647))</f>
        <v>119765404.61579989</v>
      </c>
      <c r="V647" s="2396" t="str">
        <f t="shared" ref="V647:V710" si="45">IF(U647=0,"",IF(U647&gt;0,"2-GASTO","1-INGRESO"))</f>
        <v>2-GASTO</v>
      </c>
    </row>
    <row r="648" spans="3:22" hidden="1">
      <c r="C648">
        <v>2022</v>
      </c>
      <c r="D648" t="s">
        <v>1932</v>
      </c>
      <c r="F648">
        <v>2422999997</v>
      </c>
      <c r="G648" t="s">
        <v>1557</v>
      </c>
      <c r="H648" t="s">
        <v>1935</v>
      </c>
      <c r="I648" t="s">
        <v>1951</v>
      </c>
      <c r="J648" t="s">
        <v>64</v>
      </c>
      <c r="K648">
        <v>7900008966</v>
      </c>
      <c r="L648" t="s">
        <v>1935</v>
      </c>
      <c r="M648" s="1633">
        <v>-343899.41</v>
      </c>
      <c r="N648">
        <v>4198.7699899999998</v>
      </c>
      <c r="O648">
        <v>50</v>
      </c>
      <c r="P648" s="1633">
        <v>-1443954522</v>
      </c>
      <c r="Q648" t="s">
        <v>106</v>
      </c>
      <c r="R648" s="2392">
        <v>44749</v>
      </c>
      <c r="S648" s="2393">
        <f t="shared" si="43"/>
        <v>4198.7700000000004</v>
      </c>
      <c r="T648" s="2394">
        <f>IF(OR(J648="COP",J648="EURO",J648="GBP"),0,IF(J648="USD",VLOOKUP(R648,'TRM BanRep'!$A:$G,7,0)))</f>
        <v>4348.68</v>
      </c>
      <c r="U648" s="2395">
        <f t="shared" si="44"/>
        <v>51553960.553099945</v>
      </c>
      <c r="V648" s="2396" t="str">
        <f t="shared" si="45"/>
        <v>2-GASTO</v>
      </c>
    </row>
    <row r="649" spans="3:22" hidden="1">
      <c r="C649">
        <v>2022</v>
      </c>
      <c r="D649" t="s">
        <v>1932</v>
      </c>
      <c r="F649">
        <v>2422999997</v>
      </c>
      <c r="G649" t="s">
        <v>1557</v>
      </c>
      <c r="H649" t="s">
        <v>1935</v>
      </c>
      <c r="I649" t="s">
        <v>1950</v>
      </c>
      <c r="J649" t="s">
        <v>64</v>
      </c>
      <c r="K649">
        <v>7900008978</v>
      </c>
      <c r="L649" t="s">
        <v>1935</v>
      </c>
      <c r="M649" s="1633">
        <v>798915.38</v>
      </c>
      <c r="N649">
        <v>4198.7700100000002</v>
      </c>
      <c r="O649">
        <v>40</v>
      </c>
      <c r="P649" s="1633">
        <v>3354461937</v>
      </c>
      <c r="Q649" t="s">
        <v>106</v>
      </c>
      <c r="R649" s="2392">
        <v>44749</v>
      </c>
      <c r="S649" s="2393">
        <f t="shared" si="43"/>
        <v>4198.7700000000004</v>
      </c>
      <c r="T649" s="2394">
        <f>IF(OR(J649="COP",J649="EURO",J649="GBP"),0,IF(J649="USD",VLOOKUP(R649,'TRM BanRep'!$A:$G,7,0)))</f>
        <v>4348.68</v>
      </c>
      <c r="U649" s="2395">
        <f t="shared" si="44"/>
        <v>-119765404.61579989</v>
      </c>
      <c r="V649" s="2397" t="str">
        <f t="shared" si="45"/>
        <v>1-INGRESO</v>
      </c>
    </row>
    <row r="650" spans="3:22" hidden="1">
      <c r="C650">
        <v>2022</v>
      </c>
      <c r="D650" t="s">
        <v>1932</v>
      </c>
      <c r="F650">
        <v>2422999997</v>
      </c>
      <c r="G650" t="s">
        <v>1557</v>
      </c>
      <c r="H650" t="s">
        <v>1935</v>
      </c>
      <c r="I650" t="s">
        <v>1951</v>
      </c>
      <c r="J650" t="s">
        <v>64</v>
      </c>
      <c r="K650">
        <v>7900008980</v>
      </c>
      <c r="L650" t="s">
        <v>1935</v>
      </c>
      <c r="M650" s="1633">
        <v>343899.41</v>
      </c>
      <c r="N650">
        <v>4198.7699899999998</v>
      </c>
      <c r="O650">
        <v>40</v>
      </c>
      <c r="P650" s="1633">
        <v>1443954522</v>
      </c>
      <c r="Q650" t="s">
        <v>106</v>
      </c>
      <c r="R650" s="2392">
        <v>44749</v>
      </c>
      <c r="S650" s="2393">
        <f t="shared" si="43"/>
        <v>4198.7700000000004</v>
      </c>
      <c r="T650" s="2394">
        <f>IF(OR(J650="COP",J650="EURO",J650="GBP"),0,IF(J650="USD",VLOOKUP(R650,'TRM BanRep'!$A:$G,7,0)))</f>
        <v>4348.68</v>
      </c>
      <c r="U650" s="2395">
        <f t="shared" si="44"/>
        <v>-51553960.553099945</v>
      </c>
      <c r="V650" s="2397" t="str">
        <f t="shared" si="45"/>
        <v>1-INGRESO</v>
      </c>
    </row>
    <row r="651" spans="3:22" hidden="1">
      <c r="C651">
        <v>2022</v>
      </c>
      <c r="D651" t="s">
        <v>1932</v>
      </c>
      <c r="F651">
        <v>2422999997</v>
      </c>
      <c r="G651" t="s">
        <v>1557</v>
      </c>
      <c r="H651" t="s">
        <v>1935</v>
      </c>
      <c r="I651" t="s">
        <v>1950</v>
      </c>
      <c r="J651" t="s">
        <v>64</v>
      </c>
      <c r="K651">
        <v>7900009054</v>
      </c>
      <c r="L651" t="s">
        <v>1935</v>
      </c>
      <c r="M651" s="1633">
        <v>-798915.38</v>
      </c>
      <c r="N651">
        <v>4198.7700100000002</v>
      </c>
      <c r="O651">
        <v>50</v>
      </c>
      <c r="P651" s="1633">
        <v>-3354461937</v>
      </c>
      <c r="Q651" t="s">
        <v>106</v>
      </c>
      <c r="R651" s="2392">
        <v>44749</v>
      </c>
      <c r="S651" s="2393">
        <f t="shared" si="43"/>
        <v>4198.7700000000004</v>
      </c>
      <c r="T651" s="2394">
        <f>IF(OR(J651="COP",J651="EURO",J651="GBP"),0,IF(J651="USD",VLOOKUP(R651,'TRM BanRep'!$A:$G,7,0)))</f>
        <v>4348.68</v>
      </c>
      <c r="U651" s="2395">
        <f t="shared" si="44"/>
        <v>119765404.61579989</v>
      </c>
      <c r="V651" s="2396" t="str">
        <f t="shared" si="45"/>
        <v>2-GASTO</v>
      </c>
    </row>
    <row r="652" spans="3:22" hidden="1">
      <c r="C652">
        <v>2022</v>
      </c>
      <c r="D652" t="s">
        <v>1932</v>
      </c>
      <c r="F652">
        <v>2422999997</v>
      </c>
      <c r="G652" t="s">
        <v>1557</v>
      </c>
      <c r="H652" t="s">
        <v>1935</v>
      </c>
      <c r="I652" t="s">
        <v>1951</v>
      </c>
      <c r="J652" t="s">
        <v>64</v>
      </c>
      <c r="K652">
        <v>7900009062</v>
      </c>
      <c r="L652" t="s">
        <v>1935</v>
      </c>
      <c r="M652" s="1633">
        <v>-343899.41</v>
      </c>
      <c r="N652">
        <v>4198.7699899999998</v>
      </c>
      <c r="O652">
        <v>50</v>
      </c>
      <c r="P652" s="1633">
        <v>-1443954522</v>
      </c>
      <c r="Q652" t="s">
        <v>106</v>
      </c>
      <c r="R652" s="2392">
        <v>44749</v>
      </c>
      <c r="S652" s="2393">
        <f t="shared" si="43"/>
        <v>4198.7700000000004</v>
      </c>
      <c r="T652" s="2394">
        <f>IF(OR(J652="COP",J652="EURO",J652="GBP"),0,IF(J652="USD",VLOOKUP(R652,'TRM BanRep'!$A:$G,7,0)))</f>
        <v>4348.68</v>
      </c>
      <c r="U652" s="2395">
        <f t="shared" si="44"/>
        <v>51553960.553099945</v>
      </c>
      <c r="V652" s="2396" t="str">
        <f t="shared" si="45"/>
        <v>2-GASTO</v>
      </c>
    </row>
    <row r="653" spans="3:22" hidden="1">
      <c r="C653">
        <v>2022</v>
      </c>
      <c r="D653" t="s">
        <v>1932</v>
      </c>
      <c r="F653">
        <v>2422999997</v>
      </c>
      <c r="G653" t="s">
        <v>1557</v>
      </c>
      <c r="H653" t="s">
        <v>1939</v>
      </c>
      <c r="I653" t="s">
        <v>1954</v>
      </c>
      <c r="J653" t="s">
        <v>64</v>
      </c>
      <c r="K653">
        <v>7900009226</v>
      </c>
      <c r="L653" t="s">
        <v>1939</v>
      </c>
      <c r="M653" s="1633">
        <v>-7834710.8499999996</v>
      </c>
      <c r="N653">
        <v>4445.01</v>
      </c>
      <c r="O653">
        <v>50</v>
      </c>
      <c r="P653" s="1633">
        <v>-34825368066</v>
      </c>
      <c r="Q653" t="s">
        <v>106</v>
      </c>
      <c r="R653" s="2392">
        <v>44771</v>
      </c>
      <c r="S653" s="2393">
        <f t="shared" si="43"/>
        <v>4445.01</v>
      </c>
      <c r="T653" s="2394">
        <f>IF(OR(J653="COP",J653="EURO",J653="GBP"),0,IF(J653="USD",VLOOKUP(R653,'TRM BanRep'!$A:$G,7,0)))</f>
        <v>4375.51</v>
      </c>
      <c r="U653" s="2395">
        <f t="shared" si="44"/>
        <v>-544512404.07499993</v>
      </c>
      <c r="V653" s="2397" t="str">
        <f t="shared" si="45"/>
        <v>1-INGRESO</v>
      </c>
    </row>
    <row r="654" spans="3:22" hidden="1">
      <c r="C654">
        <v>2022</v>
      </c>
      <c r="D654" t="s">
        <v>1932</v>
      </c>
      <c r="F654">
        <v>2422999997</v>
      </c>
      <c r="G654" t="s">
        <v>1608</v>
      </c>
      <c r="H654" t="s">
        <v>1935</v>
      </c>
      <c r="J654" t="s">
        <v>64</v>
      </c>
      <c r="K654">
        <v>2000006904</v>
      </c>
      <c r="L654" t="s">
        <v>1935</v>
      </c>
      <c r="M654" s="1633">
        <v>610464.03</v>
      </c>
      <c r="N654">
        <v>4348.68</v>
      </c>
      <c r="O654">
        <v>40</v>
      </c>
      <c r="P654" s="1633">
        <v>2654712718</v>
      </c>
      <c r="Q654" t="s">
        <v>106</v>
      </c>
      <c r="R654" s="2392">
        <v>44749</v>
      </c>
      <c r="S654" s="2393">
        <f t="shared" si="43"/>
        <v>4348.68</v>
      </c>
      <c r="T654" s="2394">
        <f>IF(OR(J654="COP",J654="EURO",J654="GBP"),0,IF(J654="USD",VLOOKUP(R654,'TRM BanRep'!$A:$G,7,0)))</f>
        <v>4348.68</v>
      </c>
      <c r="U654" s="2395">
        <f t="shared" si="44"/>
        <v>0</v>
      </c>
      <c r="V654" s="2395" t="str">
        <f t="shared" si="45"/>
        <v/>
      </c>
    </row>
    <row r="655" spans="3:22" hidden="1">
      <c r="C655">
        <v>2022</v>
      </c>
      <c r="D655" t="s">
        <v>1932</v>
      </c>
      <c r="F655">
        <v>2422999997</v>
      </c>
      <c r="G655" t="s">
        <v>1608</v>
      </c>
      <c r="H655" t="s">
        <v>1935</v>
      </c>
      <c r="J655" t="s">
        <v>64</v>
      </c>
      <c r="K655">
        <v>2000007251</v>
      </c>
      <c r="L655" t="s">
        <v>1935</v>
      </c>
      <c r="M655" s="1633">
        <v>798915.38</v>
      </c>
      <c r="N655">
        <v>4198.7700100000002</v>
      </c>
      <c r="O655">
        <v>40</v>
      </c>
      <c r="P655" s="1633">
        <v>3354461937</v>
      </c>
      <c r="Q655" t="s">
        <v>106</v>
      </c>
      <c r="R655" s="2392">
        <v>44749</v>
      </c>
      <c r="S655" s="2393">
        <f t="shared" si="43"/>
        <v>4198.7700000000004</v>
      </c>
      <c r="T655" s="2394">
        <f>IF(OR(J655="COP",J655="EURO",J655="GBP"),0,IF(J655="USD",VLOOKUP(R655,'TRM BanRep'!$A:$G,7,0)))</f>
        <v>4348.68</v>
      </c>
      <c r="U655" s="2395">
        <f t="shared" si="44"/>
        <v>-119765404.61579989</v>
      </c>
      <c r="V655" s="2397" t="str">
        <f t="shared" si="45"/>
        <v>1-INGRESO</v>
      </c>
    </row>
    <row r="656" spans="3:22" hidden="1">
      <c r="C656">
        <v>2022</v>
      </c>
      <c r="D656" t="s">
        <v>1932</v>
      </c>
      <c r="F656">
        <v>2422999997</v>
      </c>
      <c r="G656" t="s">
        <v>1608</v>
      </c>
      <c r="H656" t="s">
        <v>1935</v>
      </c>
      <c r="J656" t="s">
        <v>64</v>
      </c>
      <c r="K656">
        <v>2000007252</v>
      </c>
      <c r="L656" t="s">
        <v>1935</v>
      </c>
      <c r="M656" s="1633">
        <v>343899.41</v>
      </c>
      <c r="N656">
        <v>4198.7699899999998</v>
      </c>
      <c r="O656">
        <v>40</v>
      </c>
      <c r="P656" s="1633">
        <v>1443954522</v>
      </c>
      <c r="Q656" t="s">
        <v>106</v>
      </c>
      <c r="R656" s="2392">
        <v>44749</v>
      </c>
      <c r="S656" s="2393">
        <f t="shared" si="43"/>
        <v>4198.7700000000004</v>
      </c>
      <c r="T656" s="2394">
        <f>IF(OR(J656="COP",J656="EURO",J656="GBP"),0,IF(J656="USD",VLOOKUP(R656,'TRM BanRep'!$A:$G,7,0)))</f>
        <v>4348.68</v>
      </c>
      <c r="U656" s="2395">
        <f t="shared" si="44"/>
        <v>-51553960.553099945</v>
      </c>
      <c r="V656" s="2397" t="str">
        <f t="shared" si="45"/>
        <v>1-INGRESO</v>
      </c>
    </row>
    <row r="657" spans="3:26" hidden="1">
      <c r="C657">
        <v>2022</v>
      </c>
      <c r="D657" t="s">
        <v>1932</v>
      </c>
      <c r="F657">
        <v>2422999997</v>
      </c>
      <c r="G657" t="s">
        <v>1608</v>
      </c>
      <c r="H657" t="s">
        <v>1939</v>
      </c>
      <c r="J657" t="s">
        <v>64</v>
      </c>
      <c r="K657">
        <v>2000007703</v>
      </c>
      <c r="L657" t="s">
        <v>1939</v>
      </c>
      <c r="M657" s="1633">
        <v>7834710.8499999996</v>
      </c>
      <c r="N657">
        <v>4445.01</v>
      </c>
      <c r="O657">
        <v>40</v>
      </c>
      <c r="P657" s="1633">
        <v>34825368066</v>
      </c>
      <c r="Q657" t="s">
        <v>106</v>
      </c>
      <c r="R657" s="2392">
        <v>44771</v>
      </c>
      <c r="S657" s="2393">
        <f t="shared" si="43"/>
        <v>4445.01</v>
      </c>
      <c r="T657" s="2394">
        <f>IF(OR(J657="COP",J657="EURO",J657="GBP"),0,IF(J657="USD",VLOOKUP(R657,'TRM BanRep'!$A:$G,7,0)))</f>
        <v>4375.51</v>
      </c>
      <c r="U657" s="2395">
        <f t="shared" si="44"/>
        <v>544512404.07499993</v>
      </c>
      <c r="V657" s="2396" t="str">
        <f t="shared" si="45"/>
        <v>2-GASTO</v>
      </c>
    </row>
    <row r="658" spans="3:26" hidden="1">
      <c r="C658">
        <v>2022</v>
      </c>
      <c r="D658" t="s">
        <v>1932</v>
      </c>
      <c r="F658">
        <v>2422999997</v>
      </c>
      <c r="G658" t="s">
        <v>1609</v>
      </c>
      <c r="H658" t="s">
        <v>1935</v>
      </c>
      <c r="I658" t="s">
        <v>1969</v>
      </c>
      <c r="J658" t="s">
        <v>64</v>
      </c>
      <c r="K658">
        <v>7900008941</v>
      </c>
      <c r="L658" t="s">
        <v>1935</v>
      </c>
      <c r="M658" s="1633">
        <v>-169602.13</v>
      </c>
      <c r="N658">
        <v>4348.68</v>
      </c>
      <c r="O658">
        <v>50</v>
      </c>
      <c r="P658" s="1633">
        <v>-737545391</v>
      </c>
      <c r="Q658" t="s">
        <v>106</v>
      </c>
      <c r="R658" s="2392">
        <v>44749</v>
      </c>
      <c r="S658" s="2393">
        <f t="shared" si="43"/>
        <v>4348.68</v>
      </c>
      <c r="T658" s="2394">
        <f>IF(OR(J658="COP",J658="EURO",J658="GBP"),0,IF(J658="USD",VLOOKUP(R658,'TRM BanRep'!$A:$G,7,0)))</f>
        <v>4348.68</v>
      </c>
      <c r="U658" s="2395">
        <f t="shared" si="44"/>
        <v>0</v>
      </c>
      <c r="V658" s="2395" t="str">
        <f t="shared" si="45"/>
        <v/>
      </c>
    </row>
    <row r="659" spans="3:26" hidden="1">
      <c r="C659">
        <v>2022</v>
      </c>
      <c r="D659" t="s">
        <v>1932</v>
      </c>
      <c r="F659">
        <v>2422999997</v>
      </c>
      <c r="G659" t="s">
        <v>1609</v>
      </c>
      <c r="H659" t="s">
        <v>1935</v>
      </c>
      <c r="I659" t="s">
        <v>1970</v>
      </c>
      <c r="J659" t="s">
        <v>64</v>
      </c>
      <c r="K659">
        <v>7900008942</v>
      </c>
      <c r="L659" t="s">
        <v>1935</v>
      </c>
      <c r="M659" s="1633">
        <v>-440861.9</v>
      </c>
      <c r="N659">
        <v>4348.68</v>
      </c>
      <c r="O659">
        <v>50</v>
      </c>
      <c r="P659" s="1633">
        <v>-1917167327</v>
      </c>
      <c r="Q659" t="s">
        <v>106</v>
      </c>
      <c r="R659" s="2392">
        <v>44749</v>
      </c>
      <c r="S659" s="2393">
        <f t="shared" si="43"/>
        <v>4348.68</v>
      </c>
      <c r="T659" s="2394">
        <f>IF(OR(J659="COP",J659="EURO",J659="GBP"),0,IF(J659="USD",VLOOKUP(R659,'TRM BanRep'!$A:$G,7,0)))</f>
        <v>4348.68</v>
      </c>
      <c r="U659" s="2395">
        <f t="shared" si="44"/>
        <v>0</v>
      </c>
      <c r="V659" s="2395" t="str">
        <f t="shared" si="45"/>
        <v/>
      </c>
    </row>
    <row r="660" spans="3:26">
      <c r="M660" s="1633"/>
      <c r="P660" s="1633"/>
      <c r="R660" s="2392"/>
      <c r="S660" s="2393"/>
      <c r="T660" s="2394"/>
      <c r="U660" s="2395"/>
      <c r="V660" s="2395" t="str">
        <f t="shared" si="45"/>
        <v/>
      </c>
    </row>
    <row r="661" spans="3:26" hidden="1">
      <c r="C661">
        <v>2022</v>
      </c>
      <c r="D661" t="s">
        <v>1971</v>
      </c>
      <c r="F661">
        <v>1202049905</v>
      </c>
      <c r="G661" t="s">
        <v>1557</v>
      </c>
      <c r="H661" t="s">
        <v>1972</v>
      </c>
      <c r="I661" t="s">
        <v>1973</v>
      </c>
      <c r="J661" t="s">
        <v>106</v>
      </c>
      <c r="K661">
        <v>7900010286</v>
      </c>
      <c r="L661" t="s">
        <v>1972</v>
      </c>
      <c r="M661" s="1633">
        <v>62962500000</v>
      </c>
      <c r="N661">
        <v>1</v>
      </c>
      <c r="O661">
        <v>40</v>
      </c>
      <c r="P661" s="1633">
        <v>62962500000</v>
      </c>
      <c r="Q661" t="s">
        <v>106</v>
      </c>
      <c r="R661" s="2392">
        <v>44785</v>
      </c>
      <c r="S661" s="2393">
        <f t="shared" ref="S661:S724" si="46">+ROUND(P661/M661,2)</f>
        <v>1</v>
      </c>
      <c r="T661" s="2394">
        <f>IF(OR(J661="COP",J661="EURO",J661="GBP"),0,IF(J661="USD",VLOOKUP(R661,'TRM BanRep'!$A:$G,7,0)))</f>
        <v>0</v>
      </c>
      <c r="U661" s="2395">
        <f t="shared" ref="U661:U724" si="47">IF(F661=2422999997,-IF(T661=0,0,(T661-S661)*M661),IF(T661=0,0,(T661-S661)*M661))</f>
        <v>0</v>
      </c>
      <c r="V661" s="2395" t="str">
        <f t="shared" si="45"/>
        <v/>
      </c>
      <c r="Z661" s="1633"/>
    </row>
    <row r="662" spans="3:26" hidden="1">
      <c r="C662">
        <v>2022</v>
      </c>
      <c r="D662" t="s">
        <v>1971</v>
      </c>
      <c r="F662">
        <v>1202049905</v>
      </c>
      <c r="G662" t="s">
        <v>1557</v>
      </c>
      <c r="H662" t="s">
        <v>1972</v>
      </c>
      <c r="I662" t="s">
        <v>1974</v>
      </c>
      <c r="J662" t="s">
        <v>106</v>
      </c>
      <c r="K662">
        <v>7900010294</v>
      </c>
      <c r="L662" t="s">
        <v>1972</v>
      </c>
      <c r="M662" s="1633">
        <v>62970000000</v>
      </c>
      <c r="N662">
        <v>1</v>
      </c>
      <c r="O662">
        <v>40</v>
      </c>
      <c r="P662" s="1633">
        <v>62970000000</v>
      </c>
      <c r="Q662" t="s">
        <v>106</v>
      </c>
      <c r="R662" s="2392">
        <v>44785</v>
      </c>
      <c r="S662" s="2393">
        <f t="shared" si="46"/>
        <v>1</v>
      </c>
      <c r="T662" s="2394">
        <f>IF(OR(J662="COP",J662="EURO",J662="GBP"),0,IF(J662="USD",VLOOKUP(R662,'TRM BanRep'!$A:$G,7,0)))</f>
        <v>0</v>
      </c>
      <c r="U662" s="2395">
        <f t="shared" si="47"/>
        <v>0</v>
      </c>
      <c r="V662" s="2395" t="str">
        <f t="shared" si="45"/>
        <v/>
      </c>
      <c r="Z662" s="1633"/>
    </row>
    <row r="663" spans="3:26" hidden="1">
      <c r="C663">
        <v>2022</v>
      </c>
      <c r="D663" t="s">
        <v>1971</v>
      </c>
      <c r="F663">
        <v>1202049905</v>
      </c>
      <c r="G663" t="s">
        <v>1557</v>
      </c>
      <c r="H663" t="s">
        <v>1972</v>
      </c>
      <c r="I663" t="s">
        <v>1975</v>
      </c>
      <c r="J663" t="s">
        <v>106</v>
      </c>
      <c r="K663">
        <v>7900010302</v>
      </c>
      <c r="L663" t="s">
        <v>1972</v>
      </c>
      <c r="M663" s="1633">
        <v>20956000000</v>
      </c>
      <c r="N663">
        <v>1</v>
      </c>
      <c r="O663">
        <v>40</v>
      </c>
      <c r="P663" s="1633">
        <v>20956000000</v>
      </c>
      <c r="Q663" t="s">
        <v>106</v>
      </c>
      <c r="R663" s="2392">
        <v>44785</v>
      </c>
      <c r="S663" s="2393">
        <f t="shared" si="46"/>
        <v>1</v>
      </c>
      <c r="T663" s="2394">
        <f>IF(OR(J663="COP",J663="EURO",J663="GBP"),0,IF(J663="USD",VLOOKUP(R663,'TRM BanRep'!$A:$G,7,0)))</f>
        <v>0</v>
      </c>
      <c r="U663" s="2395">
        <f t="shared" si="47"/>
        <v>0</v>
      </c>
      <c r="V663" s="2395" t="str">
        <f t="shared" si="45"/>
        <v/>
      </c>
      <c r="Z663" s="1633"/>
    </row>
    <row r="664" spans="3:26" hidden="1">
      <c r="C664">
        <v>2022</v>
      </c>
      <c r="D664" t="s">
        <v>1971</v>
      </c>
      <c r="F664">
        <v>1202049905</v>
      </c>
      <c r="G664" t="s">
        <v>1557</v>
      </c>
      <c r="H664" t="s">
        <v>1972</v>
      </c>
      <c r="I664" t="s">
        <v>1976</v>
      </c>
      <c r="J664" t="s">
        <v>106</v>
      </c>
      <c r="K664">
        <v>7900010310</v>
      </c>
      <c r="L664" t="s">
        <v>1972</v>
      </c>
      <c r="M664" s="1633">
        <v>20955500000</v>
      </c>
      <c r="N664">
        <v>1</v>
      </c>
      <c r="O664">
        <v>40</v>
      </c>
      <c r="P664" s="1633">
        <v>20955500000</v>
      </c>
      <c r="Q664" t="s">
        <v>106</v>
      </c>
      <c r="R664" s="2392">
        <v>44785</v>
      </c>
      <c r="S664" s="2393">
        <f t="shared" si="46"/>
        <v>1</v>
      </c>
      <c r="T664" s="2394">
        <f>IF(OR(J664="COP",J664="EURO",J664="GBP"),0,IF(J664="USD",VLOOKUP(R664,'TRM BanRep'!$A:$G,7,0)))</f>
        <v>0</v>
      </c>
      <c r="U664" s="2395">
        <f t="shared" si="47"/>
        <v>0</v>
      </c>
      <c r="V664" s="2395" t="str">
        <f t="shared" si="45"/>
        <v/>
      </c>
      <c r="Z664" s="1633"/>
    </row>
    <row r="665" spans="3:26" hidden="1">
      <c r="C665">
        <v>2022</v>
      </c>
      <c r="D665" t="s">
        <v>1971</v>
      </c>
      <c r="F665">
        <v>1202049905</v>
      </c>
      <c r="G665" t="s">
        <v>1557</v>
      </c>
      <c r="H665" t="s">
        <v>1972</v>
      </c>
      <c r="I665" t="s">
        <v>1977</v>
      </c>
      <c r="J665" t="s">
        <v>106</v>
      </c>
      <c r="K665">
        <v>7900010318</v>
      </c>
      <c r="L665" t="s">
        <v>1972</v>
      </c>
      <c r="M665" s="1633">
        <v>34819330000</v>
      </c>
      <c r="N665">
        <v>1</v>
      </c>
      <c r="O665">
        <v>40</v>
      </c>
      <c r="P665" s="1633">
        <v>34819330000</v>
      </c>
      <c r="Q665" t="s">
        <v>106</v>
      </c>
      <c r="R665" s="2392">
        <v>44785</v>
      </c>
      <c r="S665" s="2393">
        <f t="shared" si="46"/>
        <v>1</v>
      </c>
      <c r="T665" s="2394">
        <f>IF(OR(J665="COP",J665="EURO",J665="GBP"),0,IF(J665="USD",VLOOKUP(R665,'TRM BanRep'!$A:$G,7,0)))</f>
        <v>0</v>
      </c>
      <c r="U665" s="2395">
        <f t="shared" si="47"/>
        <v>0</v>
      </c>
      <c r="V665" s="2395" t="str">
        <f t="shared" si="45"/>
        <v/>
      </c>
      <c r="Z665" s="1633"/>
    </row>
    <row r="666" spans="3:26" hidden="1">
      <c r="C666">
        <v>2022</v>
      </c>
      <c r="D666" t="s">
        <v>1971</v>
      </c>
      <c r="F666">
        <v>1202049905</v>
      </c>
      <c r="G666" t="s">
        <v>1557</v>
      </c>
      <c r="H666" t="s">
        <v>1978</v>
      </c>
      <c r="I666" t="s">
        <v>1979</v>
      </c>
      <c r="J666" t="s">
        <v>106</v>
      </c>
      <c r="K666">
        <v>7900010418</v>
      </c>
      <c r="L666" t="s">
        <v>1978</v>
      </c>
      <c r="M666" s="1633">
        <v>1400000019</v>
      </c>
      <c r="N666">
        <v>1</v>
      </c>
      <c r="O666">
        <v>40</v>
      </c>
      <c r="P666" s="1633">
        <v>1400000019</v>
      </c>
      <c r="Q666" t="s">
        <v>106</v>
      </c>
      <c r="R666" s="2392">
        <v>44799</v>
      </c>
      <c r="S666" s="2393">
        <f t="shared" si="46"/>
        <v>1</v>
      </c>
      <c r="T666" s="2394">
        <f>IF(OR(J666="COP",J666="EURO",J666="GBP"),0,IF(J666="USD",VLOOKUP(R666,'TRM BanRep'!$A:$G,7,0)))</f>
        <v>0</v>
      </c>
      <c r="U666" s="2395">
        <f t="shared" si="47"/>
        <v>0</v>
      </c>
      <c r="V666" s="2395" t="str">
        <f t="shared" si="45"/>
        <v/>
      </c>
      <c r="Z666" s="1633"/>
    </row>
    <row r="667" spans="3:26" hidden="1">
      <c r="C667">
        <v>2022</v>
      </c>
      <c r="D667" t="s">
        <v>1971</v>
      </c>
      <c r="F667">
        <v>1202049905</v>
      </c>
      <c r="G667" t="s">
        <v>1557</v>
      </c>
      <c r="H667" t="s">
        <v>1980</v>
      </c>
      <c r="I667" t="s">
        <v>1981</v>
      </c>
      <c r="J667" t="s">
        <v>106</v>
      </c>
      <c r="K667">
        <v>7900010549</v>
      </c>
      <c r="L667" t="s">
        <v>1980</v>
      </c>
      <c r="M667" s="1633">
        <v>227022709925</v>
      </c>
      <c r="N667">
        <v>1</v>
      </c>
      <c r="O667">
        <v>40</v>
      </c>
      <c r="P667" s="1633">
        <v>227022709925</v>
      </c>
      <c r="Q667" t="s">
        <v>106</v>
      </c>
      <c r="R667" s="2392">
        <v>44792</v>
      </c>
      <c r="S667" s="2393">
        <f t="shared" si="46"/>
        <v>1</v>
      </c>
      <c r="T667" s="2394">
        <f>IF(OR(J667="COP",J667="EURO",J667="GBP"),0,IF(J667="USD",VLOOKUP(R667,'TRM BanRep'!$A:$G,7,0)))</f>
        <v>0</v>
      </c>
      <c r="U667" s="2395">
        <f t="shared" si="47"/>
        <v>0</v>
      </c>
      <c r="V667" s="2395" t="str">
        <f t="shared" si="45"/>
        <v/>
      </c>
      <c r="Z667" s="1633"/>
    </row>
    <row r="668" spans="3:26" hidden="1">
      <c r="C668">
        <v>2022</v>
      </c>
      <c r="D668" t="s">
        <v>1971</v>
      </c>
      <c r="F668">
        <v>1202049905</v>
      </c>
      <c r="G668" t="s">
        <v>1557</v>
      </c>
      <c r="H668" t="s">
        <v>1978</v>
      </c>
      <c r="I668" t="s">
        <v>1982</v>
      </c>
      <c r="J668" t="s">
        <v>106</v>
      </c>
      <c r="K668">
        <v>7900010557</v>
      </c>
      <c r="L668" t="s">
        <v>1978</v>
      </c>
      <c r="M668" s="1633">
        <v>478884150</v>
      </c>
      <c r="N668">
        <v>1</v>
      </c>
      <c r="O668">
        <v>40</v>
      </c>
      <c r="P668" s="1633">
        <v>478884150</v>
      </c>
      <c r="Q668" t="s">
        <v>106</v>
      </c>
      <c r="R668" s="2392">
        <v>44799</v>
      </c>
      <c r="S668" s="2393">
        <f t="shared" si="46"/>
        <v>1</v>
      </c>
      <c r="T668" s="2394">
        <f>IF(OR(J668="COP",J668="EURO",J668="GBP"),0,IF(J668="USD",VLOOKUP(R668,'TRM BanRep'!$A:$G,7,0)))</f>
        <v>0</v>
      </c>
      <c r="U668" s="2395">
        <f t="shared" si="47"/>
        <v>0</v>
      </c>
      <c r="V668" s="2395" t="str">
        <f t="shared" si="45"/>
        <v/>
      </c>
      <c r="Z668" s="1633"/>
    </row>
    <row r="669" spans="3:26" hidden="1">
      <c r="C669">
        <v>2022</v>
      </c>
      <c r="D669" t="s">
        <v>1971</v>
      </c>
      <c r="F669">
        <v>1202049905</v>
      </c>
      <c r="G669" t="s">
        <v>1557</v>
      </c>
      <c r="H669" t="s">
        <v>1983</v>
      </c>
      <c r="I669" t="s">
        <v>1984</v>
      </c>
      <c r="J669" t="s">
        <v>106</v>
      </c>
      <c r="K669">
        <v>7900010702</v>
      </c>
      <c r="L669" t="s">
        <v>1983</v>
      </c>
      <c r="M669" s="1633">
        <v>-77476019993</v>
      </c>
      <c r="N669">
        <v>1</v>
      </c>
      <c r="O669">
        <v>50</v>
      </c>
      <c r="P669" s="1633">
        <v>-77476019993</v>
      </c>
      <c r="Q669" t="s">
        <v>106</v>
      </c>
      <c r="R669" s="2392">
        <v>44804</v>
      </c>
      <c r="S669" s="2393">
        <f t="shared" si="46"/>
        <v>1</v>
      </c>
      <c r="T669" s="2394">
        <f>IF(OR(J669="COP",J669="EURO",J669="GBP"),0,IF(J669="USD",VLOOKUP(R669,'TRM BanRep'!$A:$G,7,0)))</f>
        <v>0</v>
      </c>
      <c r="U669" s="2395">
        <f t="shared" si="47"/>
        <v>0</v>
      </c>
      <c r="V669" s="2395" t="str">
        <f t="shared" si="45"/>
        <v/>
      </c>
      <c r="Z669" s="1633"/>
    </row>
    <row r="670" spans="3:26" hidden="1">
      <c r="C670">
        <v>2022</v>
      </c>
      <c r="D670" t="s">
        <v>1971</v>
      </c>
      <c r="F670">
        <v>1202049905</v>
      </c>
      <c r="G670" t="s">
        <v>1557</v>
      </c>
      <c r="H670" t="s">
        <v>1983</v>
      </c>
      <c r="I670" t="s">
        <v>1985</v>
      </c>
      <c r="J670" t="s">
        <v>106</v>
      </c>
      <c r="K670">
        <v>7900010710</v>
      </c>
      <c r="L670" t="s">
        <v>1983</v>
      </c>
      <c r="M670" s="1633">
        <v>-361396311116</v>
      </c>
      <c r="N670">
        <v>1</v>
      </c>
      <c r="O670">
        <v>50</v>
      </c>
      <c r="P670" s="1633">
        <v>-361396311116</v>
      </c>
      <c r="Q670" t="s">
        <v>106</v>
      </c>
      <c r="R670" s="2392">
        <v>44804</v>
      </c>
      <c r="S670" s="2393">
        <f t="shared" si="46"/>
        <v>1</v>
      </c>
      <c r="T670" s="2394">
        <f>IF(OR(J670="COP",J670="EURO",J670="GBP"),0,IF(J670="USD",VLOOKUP(R670,'TRM BanRep'!$A:$G,7,0)))</f>
        <v>0</v>
      </c>
      <c r="U670" s="2395">
        <f t="shared" si="47"/>
        <v>0</v>
      </c>
      <c r="V670" s="2395" t="str">
        <f t="shared" si="45"/>
        <v/>
      </c>
      <c r="Z670" s="1633"/>
    </row>
    <row r="671" spans="3:26" hidden="1">
      <c r="C671">
        <v>2022</v>
      </c>
      <c r="D671" t="s">
        <v>1971</v>
      </c>
      <c r="F671">
        <v>1202049905</v>
      </c>
      <c r="G671" t="s">
        <v>1557</v>
      </c>
      <c r="H671" t="s">
        <v>1983</v>
      </c>
      <c r="I671" t="s">
        <v>1986</v>
      </c>
      <c r="J671" t="s">
        <v>106</v>
      </c>
      <c r="K671">
        <v>7900011603</v>
      </c>
      <c r="L671" t="s">
        <v>1983</v>
      </c>
      <c r="M671" s="1633">
        <v>9730270000</v>
      </c>
      <c r="N671">
        <v>1</v>
      </c>
      <c r="O671">
        <v>40</v>
      </c>
      <c r="P671" s="1633">
        <v>9730270000</v>
      </c>
      <c r="Q671" t="s">
        <v>106</v>
      </c>
      <c r="R671" s="2392">
        <v>44804</v>
      </c>
      <c r="S671" s="2393">
        <f t="shared" si="46"/>
        <v>1</v>
      </c>
      <c r="T671" s="2394">
        <f>IF(OR(J671="COP",J671="EURO",J671="GBP"),0,IF(J671="USD",VLOOKUP(R671,'TRM BanRep'!$A:$G,7,0)))</f>
        <v>0</v>
      </c>
      <c r="U671" s="2395">
        <f t="shared" si="47"/>
        <v>0</v>
      </c>
      <c r="V671" s="2395" t="str">
        <f t="shared" si="45"/>
        <v/>
      </c>
      <c r="Z671" s="1633"/>
    </row>
    <row r="672" spans="3:26" hidden="1">
      <c r="C672">
        <v>2022</v>
      </c>
      <c r="D672" t="s">
        <v>1971</v>
      </c>
      <c r="F672">
        <v>1202049905</v>
      </c>
      <c r="G672" t="s">
        <v>1557</v>
      </c>
      <c r="H672" t="s">
        <v>1987</v>
      </c>
      <c r="I672" t="s">
        <v>1988</v>
      </c>
      <c r="J672" s="2410" t="s">
        <v>146</v>
      </c>
      <c r="K672">
        <v>7900010277</v>
      </c>
      <c r="L672" t="s">
        <v>1987</v>
      </c>
      <c r="M672" s="1633">
        <v>-5664</v>
      </c>
      <c r="N672">
        <v>4402.7074499999999</v>
      </c>
      <c r="O672">
        <v>50</v>
      </c>
      <c r="P672" s="1633">
        <v>-24936935</v>
      </c>
      <c r="Q672" t="s">
        <v>106</v>
      </c>
      <c r="R672" s="2392">
        <v>44781</v>
      </c>
      <c r="S672" s="2393">
        <f t="shared" si="46"/>
        <v>4402.71</v>
      </c>
      <c r="T672" s="2409">
        <f>IF(OR(J672="COP",J672="EURO",J672="GBP"),0,IF(J672="USD",VLOOKUP(R672,'TRM BanRep'!$A:$G,7,0)))</f>
        <v>0</v>
      </c>
      <c r="U672" s="2395">
        <f t="shared" si="47"/>
        <v>0</v>
      </c>
      <c r="V672" s="2397" t="str">
        <f t="shared" si="45"/>
        <v/>
      </c>
      <c r="Z672" s="1633"/>
    </row>
    <row r="673" spans="3:26" hidden="1">
      <c r="C673">
        <v>2022</v>
      </c>
      <c r="D673" t="s">
        <v>1971</v>
      </c>
      <c r="F673">
        <v>1202049905</v>
      </c>
      <c r="G673" t="s">
        <v>1557</v>
      </c>
      <c r="H673" t="s">
        <v>1989</v>
      </c>
      <c r="I673" t="s">
        <v>1990</v>
      </c>
      <c r="J673" s="2410" t="s">
        <v>146</v>
      </c>
      <c r="K673">
        <v>7900010405</v>
      </c>
      <c r="L673" t="s">
        <v>1989</v>
      </c>
      <c r="M673" s="1633">
        <v>-10634.56</v>
      </c>
      <c r="N673">
        <v>4370.5130300000001</v>
      </c>
      <c r="O673">
        <v>50</v>
      </c>
      <c r="P673" s="1633">
        <v>-46478483</v>
      </c>
      <c r="Q673" t="s">
        <v>106</v>
      </c>
      <c r="R673" s="2392">
        <v>44791</v>
      </c>
      <c r="S673" s="2393">
        <f t="shared" si="46"/>
        <v>4370.51</v>
      </c>
      <c r="T673" s="2409">
        <f>IF(OR(J673="COP",J673="EURO",J673="GBP"),0,IF(J673="USD",VLOOKUP(R673,'TRM BanRep'!$A:$G,7,0)))</f>
        <v>0</v>
      </c>
      <c r="U673" s="2395">
        <f t="shared" si="47"/>
        <v>0</v>
      </c>
      <c r="V673" s="2397" t="str">
        <f t="shared" si="45"/>
        <v/>
      </c>
      <c r="Z673" s="1633"/>
    </row>
    <row r="674" spans="3:26" hidden="1">
      <c r="C674">
        <v>2022</v>
      </c>
      <c r="D674" t="s">
        <v>1971</v>
      </c>
      <c r="F674">
        <v>1202049905</v>
      </c>
      <c r="G674" t="s">
        <v>1557</v>
      </c>
      <c r="H674" t="s">
        <v>1987</v>
      </c>
      <c r="I674" t="s">
        <v>1991</v>
      </c>
      <c r="J674" t="s">
        <v>64</v>
      </c>
      <c r="K674">
        <v>7900010278</v>
      </c>
      <c r="L674" t="s">
        <v>1987</v>
      </c>
      <c r="M674" s="1633">
        <v>5942.67</v>
      </c>
      <c r="N674">
        <v>4196.25101</v>
      </c>
      <c r="O674">
        <v>40</v>
      </c>
      <c r="P674" s="1633">
        <v>24936935</v>
      </c>
      <c r="Q674" t="s">
        <v>106</v>
      </c>
      <c r="R674" s="2392">
        <v>44781</v>
      </c>
      <c r="S674" s="2393">
        <f t="shared" si="46"/>
        <v>4196.25</v>
      </c>
      <c r="T674" s="2394">
        <f>IF(OR(J674="COP",J674="EURO",J674="GBP"),0,IF(J674="USD",VLOOKUP(R674,'TRM BanRep'!$A:$G,7,0)))</f>
        <v>4337.28</v>
      </c>
      <c r="U674" s="2398">
        <f t="shared" si="47"/>
        <v>838094.75009999855</v>
      </c>
      <c r="V674" s="2396" t="str">
        <f t="shared" si="45"/>
        <v>2-GASTO</v>
      </c>
      <c r="Z674" s="1633"/>
    </row>
    <row r="675" spans="3:26" hidden="1">
      <c r="C675">
        <v>2022</v>
      </c>
      <c r="D675" t="s">
        <v>1971</v>
      </c>
      <c r="F675">
        <v>1202049905</v>
      </c>
      <c r="G675" t="s">
        <v>1557</v>
      </c>
      <c r="H675" t="s">
        <v>1972</v>
      </c>
      <c r="I675" t="s">
        <v>1992</v>
      </c>
      <c r="J675" t="s">
        <v>64</v>
      </c>
      <c r="K675">
        <v>7900010285</v>
      </c>
      <c r="L675" t="s">
        <v>1972</v>
      </c>
      <c r="M675" s="1633">
        <v>-15000000</v>
      </c>
      <c r="N675">
        <v>4197.5</v>
      </c>
      <c r="O675">
        <v>50</v>
      </c>
      <c r="P675" s="1633">
        <v>-62962500000</v>
      </c>
      <c r="Q675" t="s">
        <v>106</v>
      </c>
      <c r="R675" s="2392">
        <v>44785</v>
      </c>
      <c r="S675" s="2393">
        <f t="shared" si="46"/>
        <v>4197.5</v>
      </c>
      <c r="T675" s="2394">
        <f>IF(OR(J675="COP",J675="EURO",J675="GBP"),0,IF(J675="USD",VLOOKUP(R675,'TRM BanRep'!$A:$G,7,0)))</f>
        <v>4231.45</v>
      </c>
      <c r="U675" s="2395">
        <f t="shared" si="47"/>
        <v>-509249999.99999726</v>
      </c>
      <c r="V675" s="2397" t="str">
        <f t="shared" si="45"/>
        <v>1-INGRESO</v>
      </c>
      <c r="Z675" s="1633"/>
    </row>
    <row r="676" spans="3:26" hidden="1">
      <c r="C676">
        <v>2022</v>
      </c>
      <c r="D676" t="s">
        <v>1971</v>
      </c>
      <c r="F676">
        <v>1202049905</v>
      </c>
      <c r="G676" t="s">
        <v>1557</v>
      </c>
      <c r="H676" t="s">
        <v>1972</v>
      </c>
      <c r="I676" t="s">
        <v>1993</v>
      </c>
      <c r="J676" t="s">
        <v>64</v>
      </c>
      <c r="K676">
        <v>7900010293</v>
      </c>
      <c r="L676" t="s">
        <v>1972</v>
      </c>
      <c r="M676" s="1633">
        <v>-15000000</v>
      </c>
      <c r="N676">
        <v>4198</v>
      </c>
      <c r="O676">
        <v>50</v>
      </c>
      <c r="P676" s="1633">
        <v>-62970000000</v>
      </c>
      <c r="Q676" t="s">
        <v>106</v>
      </c>
      <c r="R676" s="2392">
        <v>44785</v>
      </c>
      <c r="S676" s="2393">
        <f t="shared" si="46"/>
        <v>4198</v>
      </c>
      <c r="T676" s="2394">
        <f>IF(OR(J676="COP",J676="EURO",J676="GBP"),0,IF(J676="USD",VLOOKUP(R676,'TRM BanRep'!$A:$G,7,0)))</f>
        <v>4231.45</v>
      </c>
      <c r="U676" s="2395">
        <f t="shared" si="47"/>
        <v>-501749999.99999726</v>
      </c>
      <c r="V676" s="2397" t="str">
        <f t="shared" si="45"/>
        <v>1-INGRESO</v>
      </c>
      <c r="Z676" s="1633"/>
    </row>
    <row r="677" spans="3:26" hidden="1">
      <c r="C677">
        <v>2022</v>
      </c>
      <c r="D677" t="s">
        <v>1971</v>
      </c>
      <c r="F677">
        <v>1202049905</v>
      </c>
      <c r="G677" t="s">
        <v>1557</v>
      </c>
      <c r="H677" t="s">
        <v>1972</v>
      </c>
      <c r="I677" t="s">
        <v>1994</v>
      </c>
      <c r="J677" t="s">
        <v>64</v>
      </c>
      <c r="K677">
        <v>7900010301</v>
      </c>
      <c r="L677" t="s">
        <v>1972</v>
      </c>
      <c r="M677" s="1633">
        <v>-5000000</v>
      </c>
      <c r="N677">
        <v>4191.2</v>
      </c>
      <c r="O677">
        <v>50</v>
      </c>
      <c r="P677" s="1633">
        <v>-20956000000</v>
      </c>
      <c r="Q677" t="s">
        <v>106</v>
      </c>
      <c r="R677" s="2392">
        <v>44785</v>
      </c>
      <c r="S677" s="2393">
        <f t="shared" si="46"/>
        <v>4191.2</v>
      </c>
      <c r="T677" s="2394">
        <f>IF(OR(J677="COP",J677="EURO",J677="GBP"),0,IF(J677="USD",VLOOKUP(R677,'TRM BanRep'!$A:$G,7,0)))</f>
        <v>4231.45</v>
      </c>
      <c r="U677" s="2395">
        <f t="shared" si="47"/>
        <v>-201250000</v>
      </c>
      <c r="V677" s="2397" t="str">
        <f t="shared" si="45"/>
        <v>1-INGRESO</v>
      </c>
      <c r="Z677" s="1633"/>
    </row>
    <row r="678" spans="3:26" hidden="1">
      <c r="C678">
        <v>2022</v>
      </c>
      <c r="D678" t="s">
        <v>1971</v>
      </c>
      <c r="F678">
        <v>1202049905</v>
      </c>
      <c r="G678" t="s">
        <v>1557</v>
      </c>
      <c r="H678" t="s">
        <v>1972</v>
      </c>
      <c r="I678" t="s">
        <v>1995</v>
      </c>
      <c r="J678" t="s">
        <v>64</v>
      </c>
      <c r="K678">
        <v>7900010309</v>
      </c>
      <c r="L678" t="s">
        <v>1972</v>
      </c>
      <c r="M678" s="1633">
        <v>-5000000</v>
      </c>
      <c r="N678">
        <v>4191.1000000000004</v>
      </c>
      <c r="O678">
        <v>50</v>
      </c>
      <c r="P678" s="1633">
        <v>-20955500000</v>
      </c>
      <c r="Q678" t="s">
        <v>106</v>
      </c>
      <c r="R678" s="2392">
        <v>44785</v>
      </c>
      <c r="S678" s="2393">
        <f t="shared" si="46"/>
        <v>4191.1000000000004</v>
      </c>
      <c r="T678" s="2394">
        <f>IF(OR(J678="COP",J678="EURO",J678="GBP"),0,IF(J678="USD",VLOOKUP(R678,'TRM BanRep'!$A:$G,7,0)))</f>
        <v>4231.45</v>
      </c>
      <c r="U678" s="2395">
        <f t="shared" si="47"/>
        <v>-201749999.99999726</v>
      </c>
      <c r="V678" s="2397" t="str">
        <f t="shared" si="45"/>
        <v>1-INGRESO</v>
      </c>
      <c r="Z678" s="1633"/>
    </row>
    <row r="679" spans="3:26" hidden="1">
      <c r="C679">
        <v>2022</v>
      </c>
      <c r="D679" t="s">
        <v>1971</v>
      </c>
      <c r="F679">
        <v>1202049905</v>
      </c>
      <c r="G679" t="s">
        <v>1557</v>
      </c>
      <c r="H679" t="s">
        <v>1972</v>
      </c>
      <c r="I679" t="s">
        <v>1996</v>
      </c>
      <c r="J679" t="s">
        <v>64</v>
      </c>
      <c r="K679">
        <v>7900010317</v>
      </c>
      <c r="L679" t="s">
        <v>1972</v>
      </c>
      <c r="M679" s="1633">
        <v>-8300000</v>
      </c>
      <c r="N679">
        <v>4195.1000000000004</v>
      </c>
      <c r="O679">
        <v>50</v>
      </c>
      <c r="P679" s="1633">
        <v>-34819330000</v>
      </c>
      <c r="Q679" t="s">
        <v>106</v>
      </c>
      <c r="R679" s="2392">
        <v>44785</v>
      </c>
      <c r="S679" s="2393">
        <f t="shared" si="46"/>
        <v>4195.1000000000004</v>
      </c>
      <c r="T679" s="2394">
        <f>IF(OR(J679="COP",J679="EURO",J679="GBP"),0,IF(J679="USD",VLOOKUP(R679,'TRM BanRep'!$A:$G,7,0)))</f>
        <v>4231.45</v>
      </c>
      <c r="U679" s="2395">
        <f t="shared" si="47"/>
        <v>-301704999.99999547</v>
      </c>
      <c r="V679" s="2397" t="str">
        <f t="shared" si="45"/>
        <v>1-INGRESO</v>
      </c>
      <c r="Z679" s="1633"/>
    </row>
    <row r="680" spans="3:26" hidden="1">
      <c r="C680">
        <v>2022</v>
      </c>
      <c r="D680" t="s">
        <v>1971</v>
      </c>
      <c r="F680">
        <v>1202049905</v>
      </c>
      <c r="G680" t="s">
        <v>1557</v>
      </c>
      <c r="H680" t="s">
        <v>1989</v>
      </c>
      <c r="I680" t="s">
        <v>1997</v>
      </c>
      <c r="J680" t="s">
        <v>64</v>
      </c>
      <c r="K680">
        <v>7900010406</v>
      </c>
      <c r="L680" t="s">
        <v>1989</v>
      </c>
      <c r="M680" s="1633">
        <v>11073.77</v>
      </c>
      <c r="N680">
        <v>4197.1688999999997</v>
      </c>
      <c r="O680">
        <v>40</v>
      </c>
      <c r="P680" s="1633">
        <v>46478483</v>
      </c>
      <c r="Q680" t="s">
        <v>106</v>
      </c>
      <c r="R680" s="2392">
        <v>44791</v>
      </c>
      <c r="S680" s="2393">
        <f t="shared" si="46"/>
        <v>4197.17</v>
      </c>
      <c r="T680" s="2394">
        <f>IF(OR(J680="COP",J680="EURO",J680="GBP"),0,IF(J680="USD",VLOOKUP(R680,'TRM BanRep'!$A:$G,7,0)))</f>
        <v>4316.47</v>
      </c>
      <c r="U680" s="2398">
        <f t="shared" si="47"/>
        <v>1321100.761000002</v>
      </c>
      <c r="V680" s="2396" t="str">
        <f t="shared" si="45"/>
        <v>2-GASTO</v>
      </c>
      <c r="Z680" s="1633"/>
    </row>
    <row r="681" spans="3:26" hidden="1">
      <c r="C681">
        <v>2022</v>
      </c>
      <c r="D681" t="s">
        <v>1971</v>
      </c>
      <c r="F681">
        <v>1202049905</v>
      </c>
      <c r="G681" t="s">
        <v>1557</v>
      </c>
      <c r="H681" t="s">
        <v>1978</v>
      </c>
      <c r="I681" t="s">
        <v>1998</v>
      </c>
      <c r="J681" t="s">
        <v>64</v>
      </c>
      <c r="K681">
        <v>7900010417</v>
      </c>
      <c r="L681" t="s">
        <v>1978</v>
      </c>
      <c r="M681" s="1633">
        <v>-317604.36</v>
      </c>
      <c r="N681">
        <v>4408</v>
      </c>
      <c r="O681">
        <v>50</v>
      </c>
      <c r="P681" s="1633">
        <v>-1400000019</v>
      </c>
      <c r="Q681" t="s">
        <v>106</v>
      </c>
      <c r="R681" s="2392">
        <v>44799</v>
      </c>
      <c r="S681" s="2393">
        <f t="shared" si="46"/>
        <v>4408</v>
      </c>
      <c r="T681" s="2394">
        <f>IF(OR(J681="COP",J681="EURO",J681="GBP"),0,IF(J681="USD",VLOOKUP(R681,'TRM BanRep'!$A:$G,7,0)))</f>
        <v>4407.95</v>
      </c>
      <c r="U681" s="2398">
        <f t="shared" si="47"/>
        <v>15880.218000057772</v>
      </c>
      <c r="V681" s="2396" t="str">
        <f t="shared" si="45"/>
        <v>2-GASTO</v>
      </c>
      <c r="Z681" s="1633"/>
    </row>
    <row r="682" spans="3:26" hidden="1">
      <c r="C682">
        <v>2022</v>
      </c>
      <c r="D682" t="s">
        <v>1971</v>
      </c>
      <c r="F682">
        <v>1202049905</v>
      </c>
      <c r="G682" t="s">
        <v>1557</v>
      </c>
      <c r="H682" t="s">
        <v>1980</v>
      </c>
      <c r="I682" t="s">
        <v>1999</v>
      </c>
      <c r="J682" t="s">
        <v>64</v>
      </c>
      <c r="K682">
        <v>7900010548</v>
      </c>
      <c r="L682" t="s">
        <v>1980</v>
      </c>
      <c r="M682" s="1633">
        <v>-51434053.170000002</v>
      </c>
      <c r="N682">
        <v>4413.8599999999997</v>
      </c>
      <c r="O682">
        <v>50</v>
      </c>
      <c r="P682" s="1633">
        <v>-227022709925</v>
      </c>
      <c r="Q682" t="s">
        <v>106</v>
      </c>
      <c r="R682" s="2392">
        <v>44792</v>
      </c>
      <c r="S682" s="2393">
        <f t="shared" si="46"/>
        <v>4413.8599999999997</v>
      </c>
      <c r="T682" s="2394">
        <f>IF(OR(J682="COP",J682="EURO",J682="GBP"),0,IF(J682="USD",VLOOKUP(R682,'TRM BanRep'!$A:$G,7,0)))</f>
        <v>4413.8599999999997</v>
      </c>
      <c r="U682" s="2395">
        <f t="shared" si="47"/>
        <v>0</v>
      </c>
      <c r="V682" s="2395" t="str">
        <f t="shared" si="45"/>
        <v/>
      </c>
      <c r="Z682" s="1633"/>
    </row>
    <row r="683" spans="3:26" hidden="1">
      <c r="C683">
        <v>2022</v>
      </c>
      <c r="D683" t="s">
        <v>1971</v>
      </c>
      <c r="F683">
        <v>1202049905</v>
      </c>
      <c r="G683" t="s">
        <v>1557</v>
      </c>
      <c r="H683" t="s">
        <v>1978</v>
      </c>
      <c r="I683" t="s">
        <v>2000</v>
      </c>
      <c r="J683" t="s">
        <v>64</v>
      </c>
      <c r="K683">
        <v>7900010556</v>
      </c>
      <c r="L683" t="s">
        <v>1978</v>
      </c>
      <c r="M683" s="1633">
        <v>-109329.54</v>
      </c>
      <c r="N683">
        <v>4380.1899299999995</v>
      </c>
      <c r="O683">
        <v>50</v>
      </c>
      <c r="P683" s="1633">
        <v>-478884150</v>
      </c>
      <c r="Q683" t="s">
        <v>106</v>
      </c>
      <c r="R683" s="2392">
        <v>44799</v>
      </c>
      <c r="S683" s="2393">
        <f t="shared" si="46"/>
        <v>4380.1899999999996</v>
      </c>
      <c r="T683" s="2394">
        <f>IF(OR(J683="COP",J683="EURO",J683="GBP"),0,IF(J683="USD",VLOOKUP(R683,'TRM BanRep'!$A:$G,7,0)))</f>
        <v>4407.95</v>
      </c>
      <c r="U683" s="2398">
        <f t="shared" si="47"/>
        <v>-3034988.0304000238</v>
      </c>
      <c r="V683" s="2397" t="str">
        <f t="shared" si="45"/>
        <v>1-INGRESO</v>
      </c>
      <c r="Z683" s="1633"/>
    </row>
    <row r="684" spans="3:26" hidden="1">
      <c r="C684">
        <v>2022</v>
      </c>
      <c r="D684" t="s">
        <v>1971</v>
      </c>
      <c r="F684">
        <v>1202049905</v>
      </c>
      <c r="G684" t="s">
        <v>1557</v>
      </c>
      <c r="H684" t="s">
        <v>1983</v>
      </c>
      <c r="I684" t="s">
        <v>2001</v>
      </c>
      <c r="J684" t="s">
        <v>64</v>
      </c>
      <c r="K684">
        <v>7900010703</v>
      </c>
      <c r="L684" t="s">
        <v>1983</v>
      </c>
      <c r="M684" s="1633">
        <v>17656259.539999999</v>
      </c>
      <c r="N684">
        <v>4388.0200000000004</v>
      </c>
      <c r="O684">
        <v>40</v>
      </c>
      <c r="P684" s="1633">
        <v>77476019993</v>
      </c>
      <c r="Q684" t="s">
        <v>106</v>
      </c>
      <c r="R684" s="2392">
        <v>44804</v>
      </c>
      <c r="S684" s="2393">
        <f t="shared" si="46"/>
        <v>4388.0200000000004</v>
      </c>
      <c r="T684" s="2394">
        <f>IF(OR(J684="COP",J684="EURO",J684="GBP"),0,IF(J684="USD",VLOOKUP(R684,'TRM BanRep'!$A:$G,7,0)))</f>
        <v>4400.16</v>
      </c>
      <c r="U684" s="2398">
        <f t="shared" si="47"/>
        <v>214346990.81558973</v>
      </c>
      <c r="V684" s="2396" t="str">
        <f t="shared" si="45"/>
        <v>2-GASTO</v>
      </c>
      <c r="Z684" s="1633"/>
    </row>
    <row r="685" spans="3:26" hidden="1">
      <c r="C685">
        <v>2022</v>
      </c>
      <c r="D685" t="s">
        <v>1971</v>
      </c>
      <c r="F685">
        <v>1202049905</v>
      </c>
      <c r="G685" t="s">
        <v>1557</v>
      </c>
      <c r="H685" t="s">
        <v>1983</v>
      </c>
      <c r="I685" t="s">
        <v>2002</v>
      </c>
      <c r="J685" t="s">
        <v>64</v>
      </c>
      <c r="K685">
        <v>7900010711</v>
      </c>
      <c r="L685" t="s">
        <v>1983</v>
      </c>
      <c r="M685" s="1633">
        <v>82395257.579999998</v>
      </c>
      <c r="N685">
        <v>4386.13</v>
      </c>
      <c r="O685">
        <v>40</v>
      </c>
      <c r="P685" s="1633">
        <v>361396311116</v>
      </c>
      <c r="Q685" t="s">
        <v>106</v>
      </c>
      <c r="R685" s="2392">
        <v>44804</v>
      </c>
      <c r="S685" s="2393">
        <f t="shared" si="46"/>
        <v>4386.13</v>
      </c>
      <c r="T685" s="2394">
        <f>IF(OR(J685="COP",J685="EURO",J685="GBP"),0,IF(J685="USD",VLOOKUP(R685,'TRM BanRep'!$A:$G,7,0)))</f>
        <v>4400.16</v>
      </c>
      <c r="U685" s="2399">
        <f t="shared" si="47"/>
        <v>1156005463.847379</v>
      </c>
      <c r="V685" s="2396" t="str">
        <f t="shared" si="45"/>
        <v>2-GASTO</v>
      </c>
      <c r="Z685" s="1633"/>
    </row>
    <row r="686" spans="3:26" hidden="1">
      <c r="C686">
        <v>2022</v>
      </c>
      <c r="D686" t="s">
        <v>1971</v>
      </c>
      <c r="F686">
        <v>1202049905</v>
      </c>
      <c r="G686" t="s">
        <v>1557</v>
      </c>
      <c r="H686" t="s">
        <v>1983</v>
      </c>
      <c r="I686" t="s">
        <v>2003</v>
      </c>
      <c r="J686" t="s">
        <v>64</v>
      </c>
      <c r="K686">
        <v>7900011602</v>
      </c>
      <c r="L686" t="s">
        <v>1983</v>
      </c>
      <c r="M686" s="1633">
        <v>-2200000</v>
      </c>
      <c r="N686">
        <v>4422.8500000000004</v>
      </c>
      <c r="O686">
        <v>50</v>
      </c>
      <c r="P686" s="1633">
        <v>-9730270000</v>
      </c>
      <c r="Q686" t="s">
        <v>106</v>
      </c>
      <c r="R686" s="2392">
        <v>44804</v>
      </c>
      <c r="S686" s="2393">
        <f t="shared" si="46"/>
        <v>4422.8500000000004</v>
      </c>
      <c r="T686" s="2394">
        <f>IF(OR(J686="COP",J686="EURO",J686="GBP"),0,IF(J686="USD",VLOOKUP(R686,'TRM BanRep'!$A:$G,7,0)))</f>
        <v>4400.16</v>
      </c>
      <c r="U686" s="2398">
        <f t="shared" si="47"/>
        <v>49918000.000001118</v>
      </c>
      <c r="V686" s="2396" t="str">
        <f t="shared" si="45"/>
        <v>2-GASTO</v>
      </c>
      <c r="Z686" s="1633"/>
    </row>
    <row r="687" spans="3:26" hidden="1">
      <c r="C687">
        <v>2022</v>
      </c>
      <c r="D687" t="s">
        <v>1971</v>
      </c>
      <c r="F687">
        <v>2422999997</v>
      </c>
      <c r="G687" t="s">
        <v>1602</v>
      </c>
      <c r="H687" t="s">
        <v>1980</v>
      </c>
      <c r="I687" t="s">
        <v>2004</v>
      </c>
      <c r="J687" t="s">
        <v>106</v>
      </c>
      <c r="K687">
        <v>7900010446</v>
      </c>
      <c r="L687" t="s">
        <v>1980</v>
      </c>
      <c r="M687" s="1633">
        <v>-214999999996</v>
      </c>
      <c r="N687">
        <v>1</v>
      </c>
      <c r="O687">
        <v>50</v>
      </c>
      <c r="P687" s="1633">
        <v>-214999999996</v>
      </c>
      <c r="Q687" t="s">
        <v>106</v>
      </c>
      <c r="R687" s="2392">
        <v>44792</v>
      </c>
      <c r="S687" s="2393">
        <f t="shared" si="46"/>
        <v>1</v>
      </c>
      <c r="T687" s="2394">
        <f>IF(OR(J687="COP",J687="EURO",J687="GBP"),0,IF(J687="USD",VLOOKUP(R687,'TRM BanRep'!$A:$G,7,0)))</f>
        <v>0</v>
      </c>
      <c r="U687" s="2395">
        <f t="shared" si="47"/>
        <v>0</v>
      </c>
      <c r="V687" s="2395" t="str">
        <f t="shared" si="45"/>
        <v/>
      </c>
      <c r="Z687" s="1633"/>
    </row>
    <row r="688" spans="3:26" hidden="1">
      <c r="C688">
        <v>2022</v>
      </c>
      <c r="D688" t="s">
        <v>1971</v>
      </c>
      <c r="F688">
        <v>2422999997</v>
      </c>
      <c r="G688" t="s">
        <v>1557</v>
      </c>
      <c r="H688" t="s">
        <v>1972</v>
      </c>
      <c r="I688" t="s">
        <v>1973</v>
      </c>
      <c r="J688" t="s">
        <v>106</v>
      </c>
      <c r="K688">
        <v>7900010286</v>
      </c>
      <c r="L688" t="s">
        <v>1972</v>
      </c>
      <c r="M688" s="1633">
        <v>-62962500000</v>
      </c>
      <c r="N688">
        <v>1</v>
      </c>
      <c r="O688">
        <v>50</v>
      </c>
      <c r="P688" s="1633">
        <v>-62962500000</v>
      </c>
      <c r="Q688" t="s">
        <v>106</v>
      </c>
      <c r="R688" s="2392">
        <v>44785</v>
      </c>
      <c r="S688" s="2393">
        <f t="shared" si="46"/>
        <v>1</v>
      </c>
      <c r="T688" s="2394">
        <f>IF(OR(J688="COP",J688="EURO",J688="GBP"),0,IF(J688="USD",VLOOKUP(R688,'TRM BanRep'!$A:$G,7,0)))</f>
        <v>0</v>
      </c>
      <c r="U688" s="2395">
        <f t="shared" si="47"/>
        <v>0</v>
      </c>
      <c r="V688" s="2395" t="str">
        <f t="shared" si="45"/>
        <v/>
      </c>
      <c r="Z688" s="1633"/>
    </row>
    <row r="689" spans="3:26" hidden="1">
      <c r="C689">
        <v>2022</v>
      </c>
      <c r="D689" t="s">
        <v>1971</v>
      </c>
      <c r="F689">
        <v>2422999997</v>
      </c>
      <c r="G689" t="s">
        <v>1557</v>
      </c>
      <c r="H689" t="s">
        <v>1972</v>
      </c>
      <c r="I689" t="s">
        <v>1974</v>
      </c>
      <c r="J689" t="s">
        <v>106</v>
      </c>
      <c r="K689">
        <v>7900010294</v>
      </c>
      <c r="L689" t="s">
        <v>1972</v>
      </c>
      <c r="M689" s="1633">
        <v>-62970000000</v>
      </c>
      <c r="N689">
        <v>1</v>
      </c>
      <c r="O689">
        <v>50</v>
      </c>
      <c r="P689" s="1633">
        <v>-62970000000</v>
      </c>
      <c r="Q689" t="s">
        <v>106</v>
      </c>
      <c r="R689" s="2392">
        <v>44785</v>
      </c>
      <c r="S689" s="2393">
        <f t="shared" si="46"/>
        <v>1</v>
      </c>
      <c r="T689" s="2394">
        <f>IF(OR(J689="COP",J689="EURO",J689="GBP"),0,IF(J689="USD",VLOOKUP(R689,'TRM BanRep'!$A:$G,7,0)))</f>
        <v>0</v>
      </c>
      <c r="U689" s="2395">
        <f t="shared" si="47"/>
        <v>0</v>
      </c>
      <c r="V689" s="2395" t="str">
        <f t="shared" si="45"/>
        <v/>
      </c>
      <c r="Z689" s="1633"/>
    </row>
    <row r="690" spans="3:26" hidden="1">
      <c r="C690">
        <v>2022</v>
      </c>
      <c r="D690" t="s">
        <v>1971</v>
      </c>
      <c r="F690">
        <v>2422999997</v>
      </c>
      <c r="G690" t="s">
        <v>1557</v>
      </c>
      <c r="H690" t="s">
        <v>1972</v>
      </c>
      <c r="I690" t="s">
        <v>1975</v>
      </c>
      <c r="J690" t="s">
        <v>106</v>
      </c>
      <c r="K690">
        <v>7900010302</v>
      </c>
      <c r="L690" t="s">
        <v>1972</v>
      </c>
      <c r="M690" s="1633">
        <v>-20956000000</v>
      </c>
      <c r="N690">
        <v>1</v>
      </c>
      <c r="O690">
        <v>50</v>
      </c>
      <c r="P690" s="1633">
        <v>-20956000000</v>
      </c>
      <c r="Q690" t="s">
        <v>106</v>
      </c>
      <c r="R690" s="2392">
        <v>44785</v>
      </c>
      <c r="S690" s="2393">
        <f t="shared" si="46"/>
        <v>1</v>
      </c>
      <c r="T690" s="2394">
        <f>IF(OR(J690="COP",J690="EURO",J690="GBP"),0,IF(J690="USD",VLOOKUP(R690,'TRM BanRep'!$A:$G,7,0)))</f>
        <v>0</v>
      </c>
      <c r="U690" s="2395">
        <f t="shared" si="47"/>
        <v>0</v>
      </c>
      <c r="V690" s="2395" t="str">
        <f t="shared" si="45"/>
        <v/>
      </c>
      <c r="Z690" s="1633"/>
    </row>
    <row r="691" spans="3:26" hidden="1">
      <c r="C691">
        <v>2022</v>
      </c>
      <c r="D691" t="s">
        <v>1971</v>
      </c>
      <c r="F691">
        <v>2422999997</v>
      </c>
      <c r="G691" t="s">
        <v>1557</v>
      </c>
      <c r="H691" t="s">
        <v>1972</v>
      </c>
      <c r="I691" t="s">
        <v>1976</v>
      </c>
      <c r="J691" t="s">
        <v>106</v>
      </c>
      <c r="K691">
        <v>7900010310</v>
      </c>
      <c r="L691" t="s">
        <v>1972</v>
      </c>
      <c r="M691" s="1633">
        <v>-20955500000</v>
      </c>
      <c r="N691">
        <v>1</v>
      </c>
      <c r="O691">
        <v>50</v>
      </c>
      <c r="P691" s="1633">
        <v>-20955500000</v>
      </c>
      <c r="Q691" t="s">
        <v>106</v>
      </c>
      <c r="R691" s="2392">
        <v>44785</v>
      </c>
      <c r="S691" s="2393">
        <f t="shared" si="46"/>
        <v>1</v>
      </c>
      <c r="T691" s="2394">
        <f>IF(OR(J691="COP",J691="EURO",J691="GBP"),0,IF(J691="USD",VLOOKUP(R691,'TRM BanRep'!$A:$G,7,0)))</f>
        <v>0</v>
      </c>
      <c r="U691" s="2395">
        <f t="shared" si="47"/>
        <v>0</v>
      </c>
      <c r="V691" s="2395" t="str">
        <f t="shared" si="45"/>
        <v/>
      </c>
      <c r="Z691" s="1633"/>
    </row>
    <row r="692" spans="3:26" hidden="1">
      <c r="C692">
        <v>2022</v>
      </c>
      <c r="D692" t="s">
        <v>1971</v>
      </c>
      <c r="F692">
        <v>2422999997</v>
      </c>
      <c r="G692" t="s">
        <v>1557</v>
      </c>
      <c r="H692" t="s">
        <v>1972</v>
      </c>
      <c r="I692" t="s">
        <v>1977</v>
      </c>
      <c r="J692" t="s">
        <v>106</v>
      </c>
      <c r="K692">
        <v>7900010318</v>
      </c>
      <c r="L692" t="s">
        <v>1972</v>
      </c>
      <c r="M692" s="1633">
        <v>-34819330000</v>
      </c>
      <c r="N692">
        <v>1</v>
      </c>
      <c r="O692">
        <v>50</v>
      </c>
      <c r="P692" s="1633">
        <v>-34819330000</v>
      </c>
      <c r="Q692" t="s">
        <v>106</v>
      </c>
      <c r="R692" s="2392">
        <v>44785</v>
      </c>
      <c r="S692" s="2393">
        <f t="shared" si="46"/>
        <v>1</v>
      </c>
      <c r="T692" s="2394">
        <f>IF(OR(J692="COP",J692="EURO",J692="GBP"),0,IF(J692="USD",VLOOKUP(R692,'TRM BanRep'!$A:$G,7,0)))</f>
        <v>0</v>
      </c>
      <c r="U692" s="2395">
        <f t="shared" si="47"/>
        <v>0</v>
      </c>
      <c r="V692" s="2395" t="str">
        <f t="shared" si="45"/>
        <v/>
      </c>
      <c r="Z692" s="1633"/>
    </row>
    <row r="693" spans="3:26" hidden="1">
      <c r="C693">
        <v>2022</v>
      </c>
      <c r="D693" t="s">
        <v>1971</v>
      </c>
      <c r="F693">
        <v>2422999997</v>
      </c>
      <c r="G693" t="s">
        <v>1557</v>
      </c>
      <c r="H693" t="s">
        <v>1978</v>
      </c>
      <c r="I693" t="s">
        <v>1979</v>
      </c>
      <c r="J693" t="s">
        <v>106</v>
      </c>
      <c r="K693">
        <v>7900010418</v>
      </c>
      <c r="L693" t="s">
        <v>1978</v>
      </c>
      <c r="M693" s="1633">
        <v>-1400000019</v>
      </c>
      <c r="N693">
        <v>1</v>
      </c>
      <c r="O693">
        <v>50</v>
      </c>
      <c r="P693" s="1633">
        <v>-1400000019</v>
      </c>
      <c r="Q693" t="s">
        <v>106</v>
      </c>
      <c r="R693" s="2392">
        <v>44799</v>
      </c>
      <c r="S693" s="2393">
        <f t="shared" si="46"/>
        <v>1</v>
      </c>
      <c r="T693" s="2394">
        <f>IF(OR(J693="COP",J693="EURO",J693="GBP"),0,IF(J693="USD",VLOOKUP(R693,'TRM BanRep'!$A:$G,7,0)))</f>
        <v>0</v>
      </c>
      <c r="U693" s="2395">
        <f t="shared" si="47"/>
        <v>0</v>
      </c>
      <c r="V693" s="2395" t="str">
        <f t="shared" si="45"/>
        <v/>
      </c>
      <c r="Z693" s="1633"/>
    </row>
    <row r="694" spans="3:26" hidden="1">
      <c r="C694">
        <v>2022</v>
      </c>
      <c r="D694" t="s">
        <v>1971</v>
      </c>
      <c r="F694">
        <v>2422999997</v>
      </c>
      <c r="G694" t="s">
        <v>1557</v>
      </c>
      <c r="H694" t="s">
        <v>1983</v>
      </c>
      <c r="I694" t="s">
        <v>1986</v>
      </c>
      <c r="J694" t="s">
        <v>106</v>
      </c>
      <c r="K694">
        <v>7900011603</v>
      </c>
      <c r="L694" t="s">
        <v>1983</v>
      </c>
      <c r="M694" s="1633">
        <v>-9730270000</v>
      </c>
      <c r="N694">
        <v>1</v>
      </c>
      <c r="O694">
        <v>50</v>
      </c>
      <c r="P694" s="1633">
        <v>-9730270000</v>
      </c>
      <c r="Q694" t="s">
        <v>106</v>
      </c>
      <c r="R694" s="2392">
        <v>44804</v>
      </c>
      <c r="S694" s="2393">
        <f t="shared" si="46"/>
        <v>1</v>
      </c>
      <c r="T694" s="2394">
        <f>IF(OR(J694="COP",J694="EURO",J694="GBP"),0,IF(J694="USD",VLOOKUP(R694,'TRM BanRep'!$A:$G,7,0)))</f>
        <v>0</v>
      </c>
      <c r="U694" s="2395">
        <f t="shared" si="47"/>
        <v>0</v>
      </c>
      <c r="V694" s="2395" t="str">
        <f t="shared" si="45"/>
        <v/>
      </c>
      <c r="Z694" s="1633"/>
    </row>
    <row r="695" spans="3:26" hidden="1">
      <c r="C695">
        <v>2022</v>
      </c>
      <c r="D695" t="s">
        <v>1971</v>
      </c>
      <c r="F695">
        <v>2422999997</v>
      </c>
      <c r="G695" t="s">
        <v>1608</v>
      </c>
      <c r="H695" t="s">
        <v>1487</v>
      </c>
      <c r="J695" t="s">
        <v>106</v>
      </c>
      <c r="K695">
        <v>2000007798</v>
      </c>
      <c r="L695" t="s">
        <v>1487</v>
      </c>
      <c r="M695" s="1633">
        <v>4962109873</v>
      </c>
      <c r="N695">
        <v>1</v>
      </c>
      <c r="O695">
        <v>40</v>
      </c>
      <c r="P695" s="1633">
        <v>4962109873</v>
      </c>
      <c r="Q695" t="s">
        <v>106</v>
      </c>
      <c r="R695" s="2392">
        <v>44774</v>
      </c>
      <c r="S695" s="2393">
        <f t="shared" si="46"/>
        <v>1</v>
      </c>
      <c r="T695" s="2394">
        <f>IF(OR(J695="COP",J695="EURO",J695="GBP"),0,IF(J695="USD",VLOOKUP(R695,'TRM BanRep'!$A:$G,7,0)))</f>
        <v>0</v>
      </c>
      <c r="U695" s="2395">
        <f t="shared" si="47"/>
        <v>0</v>
      </c>
      <c r="V695" s="2395" t="str">
        <f t="shared" si="45"/>
        <v/>
      </c>
      <c r="Z695" s="1633"/>
    </row>
    <row r="696" spans="3:26" hidden="1">
      <c r="C696">
        <v>2022</v>
      </c>
      <c r="D696" t="s">
        <v>1971</v>
      </c>
      <c r="F696">
        <v>2422999997</v>
      </c>
      <c r="G696" t="s">
        <v>1608</v>
      </c>
      <c r="H696" t="s">
        <v>1487</v>
      </c>
      <c r="J696" t="s">
        <v>106</v>
      </c>
      <c r="K696">
        <v>2000007799</v>
      </c>
      <c r="L696" t="s">
        <v>1487</v>
      </c>
      <c r="M696" s="1633">
        <v>1207647002</v>
      </c>
      <c r="N696">
        <v>1</v>
      </c>
      <c r="O696">
        <v>40</v>
      </c>
      <c r="P696" s="1633">
        <v>1207647002</v>
      </c>
      <c r="Q696" t="s">
        <v>106</v>
      </c>
      <c r="R696" s="2392">
        <v>44774</v>
      </c>
      <c r="S696" s="2393">
        <f t="shared" si="46"/>
        <v>1</v>
      </c>
      <c r="T696" s="2394">
        <f>IF(OR(J696="COP",J696="EURO",J696="GBP"),0,IF(J696="USD",VLOOKUP(R696,'TRM BanRep'!$A:$G,7,0)))</f>
        <v>0</v>
      </c>
      <c r="U696" s="2395">
        <f t="shared" si="47"/>
        <v>0</v>
      </c>
      <c r="V696" s="2395" t="str">
        <f t="shared" si="45"/>
        <v/>
      </c>
      <c r="Z696" s="1633"/>
    </row>
    <row r="697" spans="3:26" hidden="1">
      <c r="C697">
        <v>2022</v>
      </c>
      <c r="D697" t="s">
        <v>1971</v>
      </c>
      <c r="F697">
        <v>2422999997</v>
      </c>
      <c r="G697" t="s">
        <v>1608</v>
      </c>
      <c r="H697" t="s">
        <v>1980</v>
      </c>
      <c r="J697" t="s">
        <v>106</v>
      </c>
      <c r="K697">
        <v>2000008434</v>
      </c>
      <c r="L697" t="s">
        <v>1980</v>
      </c>
      <c r="M697" s="1633">
        <v>15482705280</v>
      </c>
      <c r="N697">
        <v>1</v>
      </c>
      <c r="O697">
        <v>40</v>
      </c>
      <c r="P697" s="1633">
        <v>15482705280</v>
      </c>
      <c r="Q697" t="s">
        <v>106</v>
      </c>
      <c r="R697" s="2392">
        <v>44792</v>
      </c>
      <c r="S697" s="2393">
        <f t="shared" si="46"/>
        <v>1</v>
      </c>
      <c r="T697" s="2394">
        <f>IF(OR(J697="COP",J697="EURO",J697="GBP"),0,IF(J697="USD",VLOOKUP(R697,'TRM BanRep'!$A:$G,7,0)))</f>
        <v>0</v>
      </c>
      <c r="U697" s="2395">
        <f t="shared" si="47"/>
        <v>0</v>
      </c>
      <c r="V697" s="2395" t="str">
        <f t="shared" si="45"/>
        <v/>
      </c>
      <c r="Z697" s="1633"/>
    </row>
    <row r="698" spans="3:26" hidden="1">
      <c r="C698">
        <v>2022</v>
      </c>
      <c r="D698" t="s">
        <v>1971</v>
      </c>
      <c r="F698">
        <v>2422999997</v>
      </c>
      <c r="G698" t="s">
        <v>1608</v>
      </c>
      <c r="H698" t="s">
        <v>1980</v>
      </c>
      <c r="J698" t="s">
        <v>106</v>
      </c>
      <c r="K698">
        <v>2000008468</v>
      </c>
      <c r="L698" t="s">
        <v>1980</v>
      </c>
      <c r="M698" s="1633">
        <v>14767258054</v>
      </c>
      <c r="N698">
        <v>1</v>
      </c>
      <c r="O698">
        <v>40</v>
      </c>
      <c r="P698" s="1633">
        <v>14767258054</v>
      </c>
      <c r="Q698" t="s">
        <v>106</v>
      </c>
      <c r="R698" s="2392">
        <v>44792</v>
      </c>
      <c r="S698" s="2393">
        <f t="shared" si="46"/>
        <v>1</v>
      </c>
      <c r="T698" s="2394">
        <f>IF(OR(J698="COP",J698="EURO",J698="GBP"),0,IF(J698="USD",VLOOKUP(R698,'TRM BanRep'!$A:$G,7,0)))</f>
        <v>0</v>
      </c>
      <c r="U698" s="2395">
        <f t="shared" si="47"/>
        <v>0</v>
      </c>
      <c r="V698" s="2395" t="str">
        <f t="shared" si="45"/>
        <v/>
      </c>
      <c r="Z698" s="1633"/>
    </row>
    <row r="699" spans="3:26" hidden="1">
      <c r="C699">
        <v>2022</v>
      </c>
      <c r="D699" t="s">
        <v>1971</v>
      </c>
      <c r="F699">
        <v>2422999997</v>
      </c>
      <c r="G699" t="s">
        <v>1608</v>
      </c>
      <c r="H699" t="s">
        <v>1972</v>
      </c>
      <c r="J699" t="s">
        <v>106</v>
      </c>
      <c r="K699">
        <v>2000008643</v>
      </c>
      <c r="L699" t="s">
        <v>1972</v>
      </c>
      <c r="M699" s="1633">
        <v>62962500000</v>
      </c>
      <c r="N699">
        <v>1</v>
      </c>
      <c r="O699">
        <v>40</v>
      </c>
      <c r="P699" s="1633">
        <v>62962500000</v>
      </c>
      <c r="Q699" t="s">
        <v>106</v>
      </c>
      <c r="R699" s="2392">
        <v>44785</v>
      </c>
      <c r="S699" s="2393">
        <f t="shared" si="46"/>
        <v>1</v>
      </c>
      <c r="T699" s="2394">
        <f>IF(OR(J699="COP",J699="EURO",J699="GBP"),0,IF(J699="USD",VLOOKUP(R699,'TRM BanRep'!$A:$G,7,0)))</f>
        <v>0</v>
      </c>
      <c r="U699" s="2395">
        <f t="shared" si="47"/>
        <v>0</v>
      </c>
      <c r="V699" s="2395" t="str">
        <f t="shared" si="45"/>
        <v/>
      </c>
      <c r="Z699" s="1633"/>
    </row>
    <row r="700" spans="3:26" hidden="1">
      <c r="C700">
        <v>2022</v>
      </c>
      <c r="D700" t="s">
        <v>1971</v>
      </c>
      <c r="F700">
        <v>2422999997</v>
      </c>
      <c r="G700" t="s">
        <v>1608</v>
      </c>
      <c r="H700" t="s">
        <v>1972</v>
      </c>
      <c r="J700" t="s">
        <v>106</v>
      </c>
      <c r="K700">
        <v>2000008644</v>
      </c>
      <c r="L700" t="s">
        <v>1972</v>
      </c>
      <c r="M700" s="1633">
        <v>62970000000</v>
      </c>
      <c r="N700">
        <v>1</v>
      </c>
      <c r="O700">
        <v>40</v>
      </c>
      <c r="P700" s="1633">
        <v>62970000000</v>
      </c>
      <c r="Q700" t="s">
        <v>106</v>
      </c>
      <c r="R700" s="2392">
        <v>44785</v>
      </c>
      <c r="S700" s="2393">
        <f t="shared" si="46"/>
        <v>1</v>
      </c>
      <c r="T700" s="2394">
        <f>IF(OR(J700="COP",J700="EURO",J700="GBP"),0,IF(J700="USD",VLOOKUP(R700,'TRM BanRep'!$A:$G,7,0)))</f>
        <v>0</v>
      </c>
      <c r="U700" s="2395">
        <f t="shared" si="47"/>
        <v>0</v>
      </c>
      <c r="V700" s="2395" t="str">
        <f t="shared" si="45"/>
        <v/>
      </c>
      <c r="Z700" s="1633"/>
    </row>
    <row r="701" spans="3:26" hidden="1">
      <c r="C701">
        <v>2022</v>
      </c>
      <c r="D701" t="s">
        <v>1971</v>
      </c>
      <c r="F701">
        <v>2422999997</v>
      </c>
      <c r="G701" t="s">
        <v>1608</v>
      </c>
      <c r="H701" t="s">
        <v>1972</v>
      </c>
      <c r="J701" t="s">
        <v>106</v>
      </c>
      <c r="K701">
        <v>2000008645</v>
      </c>
      <c r="L701" t="s">
        <v>1972</v>
      </c>
      <c r="M701" s="1633">
        <v>20956000000</v>
      </c>
      <c r="N701">
        <v>1</v>
      </c>
      <c r="O701">
        <v>40</v>
      </c>
      <c r="P701" s="1633">
        <v>20956000000</v>
      </c>
      <c r="Q701" t="s">
        <v>106</v>
      </c>
      <c r="R701" s="2392">
        <v>44785</v>
      </c>
      <c r="S701" s="2393">
        <f t="shared" si="46"/>
        <v>1</v>
      </c>
      <c r="T701" s="2394">
        <f>IF(OR(J701="COP",J701="EURO",J701="GBP"),0,IF(J701="USD",VLOOKUP(R701,'TRM BanRep'!$A:$G,7,0)))</f>
        <v>0</v>
      </c>
      <c r="U701" s="2395">
        <f t="shared" si="47"/>
        <v>0</v>
      </c>
      <c r="V701" s="2395" t="str">
        <f t="shared" si="45"/>
        <v/>
      </c>
      <c r="Z701" s="1633"/>
    </row>
    <row r="702" spans="3:26" hidden="1">
      <c r="C702">
        <v>2022</v>
      </c>
      <c r="D702" t="s">
        <v>1971</v>
      </c>
      <c r="F702">
        <v>2422999997</v>
      </c>
      <c r="G702" t="s">
        <v>1608</v>
      </c>
      <c r="H702" t="s">
        <v>1972</v>
      </c>
      <c r="J702" t="s">
        <v>106</v>
      </c>
      <c r="K702">
        <v>2000008646</v>
      </c>
      <c r="L702" t="s">
        <v>1972</v>
      </c>
      <c r="M702" s="1633">
        <v>20955500000</v>
      </c>
      <c r="N702">
        <v>1</v>
      </c>
      <c r="O702">
        <v>40</v>
      </c>
      <c r="P702" s="1633">
        <v>20955500000</v>
      </c>
      <c r="Q702" t="s">
        <v>106</v>
      </c>
      <c r="R702" s="2392">
        <v>44785</v>
      </c>
      <c r="S702" s="2393">
        <f t="shared" si="46"/>
        <v>1</v>
      </c>
      <c r="T702" s="2394">
        <f>IF(OR(J702="COP",J702="EURO",J702="GBP"),0,IF(J702="USD",VLOOKUP(R702,'TRM BanRep'!$A:$G,7,0)))</f>
        <v>0</v>
      </c>
      <c r="U702" s="2395">
        <f t="shared" si="47"/>
        <v>0</v>
      </c>
      <c r="V702" s="2395" t="str">
        <f t="shared" si="45"/>
        <v/>
      </c>
      <c r="Z702" s="1633"/>
    </row>
    <row r="703" spans="3:26" hidden="1">
      <c r="C703">
        <v>2022</v>
      </c>
      <c r="D703" t="s">
        <v>1971</v>
      </c>
      <c r="F703">
        <v>2422999997</v>
      </c>
      <c r="G703" t="s">
        <v>1608</v>
      </c>
      <c r="H703" t="s">
        <v>1972</v>
      </c>
      <c r="J703" t="s">
        <v>106</v>
      </c>
      <c r="K703">
        <v>2000008647</v>
      </c>
      <c r="L703" t="s">
        <v>1972</v>
      </c>
      <c r="M703" s="1633">
        <v>34819330000</v>
      </c>
      <c r="N703">
        <v>1</v>
      </c>
      <c r="O703">
        <v>40</v>
      </c>
      <c r="P703" s="1633">
        <v>34819330000</v>
      </c>
      <c r="Q703" t="s">
        <v>106</v>
      </c>
      <c r="R703" s="2392">
        <v>44785</v>
      </c>
      <c r="S703" s="2393">
        <f t="shared" si="46"/>
        <v>1</v>
      </c>
      <c r="T703" s="2394">
        <f>IF(OR(J703="COP",J703="EURO",J703="GBP"),0,IF(J703="USD",VLOOKUP(R703,'TRM BanRep'!$A:$G,7,0)))</f>
        <v>0</v>
      </c>
      <c r="U703" s="2395">
        <f t="shared" si="47"/>
        <v>0</v>
      </c>
      <c r="V703" s="2395" t="str">
        <f t="shared" si="45"/>
        <v/>
      </c>
      <c r="Z703" s="1633"/>
    </row>
    <row r="704" spans="3:26" hidden="1">
      <c r="C704">
        <v>2022</v>
      </c>
      <c r="D704" t="s">
        <v>1971</v>
      </c>
      <c r="F704">
        <v>2422999997</v>
      </c>
      <c r="G704" t="s">
        <v>1608</v>
      </c>
      <c r="H704" t="s">
        <v>1978</v>
      </c>
      <c r="J704" t="s">
        <v>106</v>
      </c>
      <c r="K704">
        <v>2000008687</v>
      </c>
      <c r="L704" t="s">
        <v>1978</v>
      </c>
      <c r="M704" s="1633">
        <v>12601204216</v>
      </c>
      <c r="N704">
        <v>1</v>
      </c>
      <c r="O704">
        <v>40</v>
      </c>
      <c r="P704" s="1633">
        <v>12601204216</v>
      </c>
      <c r="Q704" t="s">
        <v>106</v>
      </c>
      <c r="R704" s="2392">
        <v>44799</v>
      </c>
      <c r="S704" s="2393">
        <f t="shared" si="46"/>
        <v>1</v>
      </c>
      <c r="T704" s="2394">
        <f>IF(OR(J704="COP",J704="EURO",J704="GBP"),0,IF(J704="USD",VLOOKUP(R704,'TRM BanRep'!$A:$G,7,0)))</f>
        <v>0</v>
      </c>
      <c r="U704" s="2395">
        <f t="shared" si="47"/>
        <v>0</v>
      </c>
      <c r="V704" s="2395" t="str">
        <f t="shared" si="45"/>
        <v/>
      </c>
      <c r="Z704" s="1633"/>
    </row>
    <row r="705" spans="3:26" hidden="1">
      <c r="C705">
        <v>2022</v>
      </c>
      <c r="D705" t="s">
        <v>1971</v>
      </c>
      <c r="F705">
        <v>2422999997</v>
      </c>
      <c r="G705" t="s">
        <v>1608</v>
      </c>
      <c r="H705" t="s">
        <v>1978</v>
      </c>
      <c r="J705" t="s">
        <v>106</v>
      </c>
      <c r="K705">
        <v>2000008691</v>
      </c>
      <c r="L705" t="s">
        <v>1978</v>
      </c>
      <c r="M705" s="1633">
        <v>1400000019</v>
      </c>
      <c r="N705">
        <v>1</v>
      </c>
      <c r="O705">
        <v>40</v>
      </c>
      <c r="P705" s="1633">
        <v>1400000019</v>
      </c>
      <c r="Q705" t="s">
        <v>106</v>
      </c>
      <c r="R705" s="2392">
        <v>44799</v>
      </c>
      <c r="S705" s="2393">
        <f t="shared" si="46"/>
        <v>1</v>
      </c>
      <c r="T705" s="2394">
        <f>IF(OR(J705="COP",J705="EURO",J705="GBP"),0,IF(J705="USD",VLOOKUP(R705,'TRM BanRep'!$A:$G,7,0)))</f>
        <v>0</v>
      </c>
      <c r="U705" s="2395">
        <f t="shared" si="47"/>
        <v>0</v>
      </c>
      <c r="V705" s="2395" t="str">
        <f t="shared" si="45"/>
        <v/>
      </c>
      <c r="Z705" s="1633"/>
    </row>
    <row r="706" spans="3:26" hidden="1">
      <c r="C706">
        <v>2022</v>
      </c>
      <c r="D706" t="s">
        <v>1971</v>
      </c>
      <c r="F706">
        <v>2422999997</v>
      </c>
      <c r="G706" t="s">
        <v>1608</v>
      </c>
      <c r="H706" t="s">
        <v>2005</v>
      </c>
      <c r="J706" t="s">
        <v>106</v>
      </c>
      <c r="K706">
        <v>2000008728</v>
      </c>
      <c r="L706" t="s">
        <v>2005</v>
      </c>
      <c r="M706" s="1633">
        <v>28976950000</v>
      </c>
      <c r="N706">
        <v>1</v>
      </c>
      <c r="O706">
        <v>40</v>
      </c>
      <c r="P706" s="1633">
        <v>28976950000</v>
      </c>
      <c r="Q706" t="s">
        <v>106</v>
      </c>
      <c r="R706" s="2392">
        <v>44802</v>
      </c>
      <c r="S706" s="2393">
        <f t="shared" si="46"/>
        <v>1</v>
      </c>
      <c r="T706" s="2394">
        <f>IF(OR(J706="COP",J706="EURO",J706="GBP"),0,IF(J706="USD",VLOOKUP(R706,'TRM BanRep'!$A:$G,7,0)))</f>
        <v>0</v>
      </c>
      <c r="U706" s="2395">
        <f t="shared" si="47"/>
        <v>0</v>
      </c>
      <c r="V706" s="2395" t="str">
        <f t="shared" si="45"/>
        <v/>
      </c>
      <c r="Z706" s="1633"/>
    </row>
    <row r="707" spans="3:26" hidden="1">
      <c r="C707">
        <v>2022</v>
      </c>
      <c r="D707" t="s">
        <v>1971</v>
      </c>
      <c r="F707">
        <v>2422999997</v>
      </c>
      <c r="G707" t="s">
        <v>1608</v>
      </c>
      <c r="H707" t="s">
        <v>1980</v>
      </c>
      <c r="J707" t="s">
        <v>106</v>
      </c>
      <c r="K707">
        <v>2000008741</v>
      </c>
      <c r="L707" t="s">
        <v>1980</v>
      </c>
      <c r="M707" s="1633">
        <v>214999999996</v>
      </c>
      <c r="N707">
        <v>1</v>
      </c>
      <c r="O707">
        <v>40</v>
      </c>
      <c r="P707" s="1633">
        <v>214999999996</v>
      </c>
      <c r="Q707" t="s">
        <v>106</v>
      </c>
      <c r="R707" s="2392">
        <v>44792</v>
      </c>
      <c r="S707" s="2393">
        <f t="shared" si="46"/>
        <v>1</v>
      </c>
      <c r="T707" s="2394">
        <f>IF(OR(J707="COP",J707="EURO",J707="GBP"),0,IF(J707="USD",VLOOKUP(R707,'TRM BanRep'!$A:$G,7,0)))</f>
        <v>0</v>
      </c>
      <c r="U707" s="2395">
        <f t="shared" si="47"/>
        <v>0</v>
      </c>
      <c r="V707" s="2395" t="str">
        <f t="shared" si="45"/>
        <v/>
      </c>
      <c r="Z707" s="1633"/>
    </row>
    <row r="708" spans="3:26" hidden="1">
      <c r="C708">
        <v>2022</v>
      </c>
      <c r="D708" t="s">
        <v>1971</v>
      </c>
      <c r="F708">
        <v>2422999997</v>
      </c>
      <c r="G708" t="s">
        <v>1608</v>
      </c>
      <c r="H708" t="s">
        <v>1983</v>
      </c>
      <c r="J708" t="s">
        <v>106</v>
      </c>
      <c r="K708">
        <v>2000008808</v>
      </c>
      <c r="L708" t="s">
        <v>1983</v>
      </c>
      <c r="M708" s="1633">
        <v>9730270000</v>
      </c>
      <c r="N708">
        <v>1</v>
      </c>
      <c r="O708">
        <v>40</v>
      </c>
      <c r="P708" s="1633">
        <v>9730270000</v>
      </c>
      <c r="Q708" t="s">
        <v>106</v>
      </c>
      <c r="R708" s="2392">
        <v>44804</v>
      </c>
      <c r="S708" s="2393">
        <f t="shared" si="46"/>
        <v>1</v>
      </c>
      <c r="T708" s="2394">
        <f>IF(OR(J708="COP",J708="EURO",J708="GBP"),0,IF(J708="USD",VLOOKUP(R708,'TRM BanRep'!$A:$G,7,0)))</f>
        <v>0</v>
      </c>
      <c r="U708" s="2395">
        <f t="shared" si="47"/>
        <v>0</v>
      </c>
      <c r="V708" s="2395" t="str">
        <f t="shared" si="45"/>
        <v/>
      </c>
      <c r="Z708" s="1633"/>
    </row>
    <row r="709" spans="3:26" hidden="1">
      <c r="C709">
        <v>2022</v>
      </c>
      <c r="D709" t="s">
        <v>1971</v>
      </c>
      <c r="F709">
        <v>2422999997</v>
      </c>
      <c r="G709" t="s">
        <v>1608</v>
      </c>
      <c r="H709" t="s">
        <v>1980</v>
      </c>
      <c r="J709" t="s">
        <v>106</v>
      </c>
      <c r="K709">
        <v>2000008809</v>
      </c>
      <c r="L709" t="s">
        <v>1980</v>
      </c>
      <c r="M709" s="1633">
        <v>-14767258054</v>
      </c>
      <c r="N709">
        <v>1</v>
      </c>
      <c r="O709">
        <v>50</v>
      </c>
      <c r="P709" s="1633">
        <v>-14767258054</v>
      </c>
      <c r="Q709" t="s">
        <v>106</v>
      </c>
      <c r="R709" s="2392">
        <v>44792</v>
      </c>
      <c r="S709" s="2393">
        <f t="shared" si="46"/>
        <v>1</v>
      </c>
      <c r="T709" s="2394">
        <f>IF(OR(J709="COP",J709="EURO",J709="GBP"),0,IF(J709="USD",VLOOKUP(R709,'TRM BanRep'!$A:$G,7,0)))</f>
        <v>0</v>
      </c>
      <c r="U709" s="2395">
        <f t="shared" si="47"/>
        <v>0</v>
      </c>
      <c r="V709" s="2395" t="str">
        <f t="shared" si="45"/>
        <v/>
      </c>
      <c r="Z709" s="1633"/>
    </row>
    <row r="710" spans="3:26" hidden="1">
      <c r="C710">
        <v>2022</v>
      </c>
      <c r="D710" t="s">
        <v>1971</v>
      </c>
      <c r="F710">
        <v>2422999997</v>
      </c>
      <c r="G710" t="s">
        <v>1608</v>
      </c>
      <c r="H710" t="s">
        <v>1980</v>
      </c>
      <c r="J710" t="s">
        <v>106</v>
      </c>
      <c r="K710">
        <v>2000008837</v>
      </c>
      <c r="L710" t="s">
        <v>1980</v>
      </c>
      <c r="M710" s="1633">
        <v>14767258054</v>
      </c>
      <c r="N710">
        <v>1</v>
      </c>
      <c r="O710">
        <v>40</v>
      </c>
      <c r="P710" s="1633">
        <v>14767258054</v>
      </c>
      <c r="Q710" t="s">
        <v>106</v>
      </c>
      <c r="R710" s="2392">
        <v>44792</v>
      </c>
      <c r="S710" s="2393">
        <f t="shared" si="46"/>
        <v>1</v>
      </c>
      <c r="T710" s="2394">
        <f>IF(OR(J710="COP",J710="EURO",J710="GBP"),0,IF(J710="USD",VLOOKUP(R710,'TRM BanRep'!$A:$G,7,0)))</f>
        <v>0</v>
      </c>
      <c r="U710" s="2395">
        <f t="shared" si="47"/>
        <v>0</v>
      </c>
      <c r="V710" s="2395" t="str">
        <f t="shared" si="45"/>
        <v/>
      </c>
      <c r="Z710" s="1633"/>
    </row>
    <row r="711" spans="3:26" hidden="1">
      <c r="C711">
        <v>2022</v>
      </c>
      <c r="D711" t="s">
        <v>1971</v>
      </c>
      <c r="F711">
        <v>2422999997</v>
      </c>
      <c r="G711" t="s">
        <v>1609</v>
      </c>
      <c r="H711" t="s">
        <v>1980</v>
      </c>
      <c r="I711" t="s">
        <v>1654</v>
      </c>
      <c r="J711" t="s">
        <v>106</v>
      </c>
      <c r="K711">
        <v>7900010219</v>
      </c>
      <c r="L711" t="s">
        <v>1980</v>
      </c>
      <c r="M711" s="1633">
        <v>-3816183800</v>
      </c>
      <c r="N711">
        <v>1</v>
      </c>
      <c r="O711">
        <v>50</v>
      </c>
      <c r="P711" s="1633">
        <v>-3816183800</v>
      </c>
      <c r="Q711" t="s">
        <v>106</v>
      </c>
      <c r="R711" s="2392">
        <v>44792</v>
      </c>
      <c r="S711" s="2393">
        <f t="shared" si="46"/>
        <v>1</v>
      </c>
      <c r="T711" s="2394">
        <f>IF(OR(J711="COP",J711="EURO",J711="GBP"),0,IF(J711="USD",VLOOKUP(R711,'TRM BanRep'!$A:$G,7,0)))</f>
        <v>0</v>
      </c>
      <c r="U711" s="2395">
        <f t="shared" si="47"/>
        <v>0</v>
      </c>
      <c r="V711" s="2395" t="str">
        <f t="shared" ref="V711:V774" si="48">IF(U711=0,"",IF(U711&gt;0,"2-GASTO","1-INGRESO"))</f>
        <v/>
      </c>
      <c r="Z711" s="1633"/>
    </row>
    <row r="712" spans="3:26" hidden="1">
      <c r="C712">
        <v>2022</v>
      </c>
      <c r="D712" t="s">
        <v>1971</v>
      </c>
      <c r="F712">
        <v>2422999997</v>
      </c>
      <c r="G712" t="s">
        <v>1609</v>
      </c>
      <c r="H712" t="s">
        <v>1980</v>
      </c>
      <c r="I712" t="s">
        <v>1652</v>
      </c>
      <c r="J712" t="s">
        <v>106</v>
      </c>
      <c r="K712">
        <v>7900010220</v>
      </c>
      <c r="L712" t="s">
        <v>1980</v>
      </c>
      <c r="M712" s="1633">
        <v>-5649882000</v>
      </c>
      <c r="N712">
        <v>1</v>
      </c>
      <c r="O712">
        <v>50</v>
      </c>
      <c r="P712" s="1633">
        <v>-5649882000</v>
      </c>
      <c r="Q712" t="s">
        <v>106</v>
      </c>
      <c r="R712" s="2392">
        <v>44792</v>
      </c>
      <c r="S712" s="2393">
        <f t="shared" si="46"/>
        <v>1</v>
      </c>
      <c r="T712" s="2394">
        <f>IF(OR(J712="COP",J712="EURO",J712="GBP"),0,IF(J712="USD",VLOOKUP(R712,'TRM BanRep'!$A:$G,7,0)))</f>
        <v>0</v>
      </c>
      <c r="U712" s="2395">
        <f t="shared" si="47"/>
        <v>0</v>
      </c>
      <c r="V712" s="2395" t="str">
        <f t="shared" si="48"/>
        <v/>
      </c>
      <c r="Z712" s="1633"/>
    </row>
    <row r="713" spans="3:26" hidden="1">
      <c r="C713">
        <v>2022</v>
      </c>
      <c r="D713" t="s">
        <v>1971</v>
      </c>
      <c r="F713">
        <v>2422999997</v>
      </c>
      <c r="G713" t="s">
        <v>1609</v>
      </c>
      <c r="H713" t="s">
        <v>1980</v>
      </c>
      <c r="I713" t="s">
        <v>1653</v>
      </c>
      <c r="J713" t="s">
        <v>106</v>
      </c>
      <c r="K713">
        <v>7900010221</v>
      </c>
      <c r="L713" t="s">
        <v>1980</v>
      </c>
      <c r="M713" s="1633">
        <v>-6016639480</v>
      </c>
      <c r="N713">
        <v>1</v>
      </c>
      <c r="O713">
        <v>50</v>
      </c>
      <c r="P713" s="1633">
        <v>-6016639480</v>
      </c>
      <c r="Q713" t="s">
        <v>106</v>
      </c>
      <c r="R713" s="2392">
        <v>44792</v>
      </c>
      <c r="S713" s="2393">
        <f t="shared" si="46"/>
        <v>1</v>
      </c>
      <c r="T713" s="2394">
        <f>IF(OR(J713="COP",J713="EURO",J713="GBP"),0,IF(J713="USD",VLOOKUP(R713,'TRM BanRep'!$A:$G,7,0)))</f>
        <v>0</v>
      </c>
      <c r="U713" s="2395">
        <f t="shared" si="47"/>
        <v>0</v>
      </c>
      <c r="V713" s="2395" t="str">
        <f t="shared" si="48"/>
        <v/>
      </c>
      <c r="Z713" s="1633"/>
    </row>
    <row r="714" spans="3:26" hidden="1">
      <c r="C714">
        <v>2022</v>
      </c>
      <c r="D714" t="s">
        <v>1971</v>
      </c>
      <c r="F714">
        <v>2422999997</v>
      </c>
      <c r="G714" t="s">
        <v>1609</v>
      </c>
      <c r="H714" t="s">
        <v>1980</v>
      </c>
      <c r="I714" t="s">
        <v>2006</v>
      </c>
      <c r="J714" t="s">
        <v>106</v>
      </c>
      <c r="K714">
        <v>7900010231</v>
      </c>
      <c r="L714" t="s">
        <v>1980</v>
      </c>
      <c r="M714" s="1633">
        <v>-6701113889</v>
      </c>
      <c r="N714">
        <v>1</v>
      </c>
      <c r="O714">
        <v>50</v>
      </c>
      <c r="P714" s="1633">
        <v>-6701113889</v>
      </c>
      <c r="Q714" t="s">
        <v>106</v>
      </c>
      <c r="R714" s="2392">
        <v>44792</v>
      </c>
      <c r="S714" s="2393">
        <f t="shared" si="46"/>
        <v>1</v>
      </c>
      <c r="T714" s="2394">
        <f>IF(OR(J714="COP",J714="EURO",J714="GBP"),0,IF(J714="USD",VLOOKUP(R714,'TRM BanRep'!$A:$G,7,0)))</f>
        <v>0</v>
      </c>
      <c r="U714" s="2395">
        <f t="shared" si="47"/>
        <v>0</v>
      </c>
      <c r="V714" s="2395" t="str">
        <f t="shared" si="48"/>
        <v/>
      </c>
      <c r="Z714" s="1633"/>
    </row>
    <row r="715" spans="3:26" hidden="1">
      <c r="C715">
        <v>2022</v>
      </c>
      <c r="D715" t="s">
        <v>1971</v>
      </c>
      <c r="F715">
        <v>2422999997</v>
      </c>
      <c r="G715" t="s">
        <v>1609</v>
      </c>
      <c r="H715" t="s">
        <v>1980</v>
      </c>
      <c r="I715" t="s">
        <v>2006</v>
      </c>
      <c r="J715" t="s">
        <v>106</v>
      </c>
      <c r="K715">
        <v>7900010232</v>
      </c>
      <c r="L715" t="s">
        <v>1980</v>
      </c>
      <c r="M715" s="1633">
        <v>-4841466667</v>
      </c>
      <c r="N715">
        <v>1</v>
      </c>
      <c r="O715">
        <v>50</v>
      </c>
      <c r="P715" s="1633">
        <v>-4841466667</v>
      </c>
      <c r="Q715" t="s">
        <v>106</v>
      </c>
      <c r="R715" s="2392">
        <v>44792</v>
      </c>
      <c r="S715" s="2393">
        <f t="shared" si="46"/>
        <v>1</v>
      </c>
      <c r="T715" s="2394">
        <f>IF(OR(J715="COP",J715="EURO",J715="GBP"),0,IF(J715="USD",VLOOKUP(R715,'TRM BanRep'!$A:$G,7,0)))</f>
        <v>0</v>
      </c>
      <c r="U715" s="2395">
        <f t="shared" si="47"/>
        <v>0</v>
      </c>
      <c r="V715" s="2395" t="str">
        <f t="shared" si="48"/>
        <v/>
      </c>
      <c r="Z715" s="1633"/>
    </row>
    <row r="716" spans="3:26" hidden="1">
      <c r="C716">
        <v>2022</v>
      </c>
      <c r="D716" t="s">
        <v>1971</v>
      </c>
      <c r="F716">
        <v>2422999997</v>
      </c>
      <c r="G716" t="s">
        <v>1609</v>
      </c>
      <c r="H716" t="s">
        <v>1980</v>
      </c>
      <c r="I716" t="s">
        <v>2006</v>
      </c>
      <c r="J716" t="s">
        <v>106</v>
      </c>
      <c r="K716">
        <v>7900010233</v>
      </c>
      <c r="L716" t="s">
        <v>1980</v>
      </c>
      <c r="M716" s="1633">
        <v>-3224677500</v>
      </c>
      <c r="N716">
        <v>1</v>
      </c>
      <c r="O716">
        <v>50</v>
      </c>
      <c r="P716" s="1633">
        <v>-3224677500</v>
      </c>
      <c r="Q716" t="s">
        <v>106</v>
      </c>
      <c r="R716" s="2392">
        <v>44792</v>
      </c>
      <c r="S716" s="2393">
        <f t="shared" si="46"/>
        <v>1</v>
      </c>
      <c r="T716" s="2394">
        <f>IF(OR(J716="COP",J716="EURO",J716="GBP"),0,IF(J716="USD",VLOOKUP(R716,'TRM BanRep'!$A:$G,7,0)))</f>
        <v>0</v>
      </c>
      <c r="U716" s="2395">
        <f t="shared" si="47"/>
        <v>0</v>
      </c>
      <c r="V716" s="2395" t="str">
        <f t="shared" si="48"/>
        <v/>
      </c>
      <c r="Z716" s="1633"/>
    </row>
    <row r="717" spans="3:26" hidden="1">
      <c r="C717">
        <v>2022</v>
      </c>
      <c r="D717" t="s">
        <v>1971</v>
      </c>
      <c r="F717">
        <v>2422999997</v>
      </c>
      <c r="G717" t="s">
        <v>1609</v>
      </c>
      <c r="H717" t="s">
        <v>1980</v>
      </c>
      <c r="I717" t="s">
        <v>2006</v>
      </c>
      <c r="J717" t="s">
        <v>106</v>
      </c>
      <c r="K717">
        <v>7900010243</v>
      </c>
      <c r="L717" t="s">
        <v>1980</v>
      </c>
      <c r="M717" s="1633">
        <v>3224677500</v>
      </c>
      <c r="N717">
        <v>1</v>
      </c>
      <c r="O717">
        <v>40</v>
      </c>
      <c r="P717" s="1633">
        <v>3224677500</v>
      </c>
      <c r="Q717" t="s">
        <v>106</v>
      </c>
      <c r="R717" s="2392">
        <v>44792</v>
      </c>
      <c r="S717" s="2393">
        <f t="shared" si="46"/>
        <v>1</v>
      </c>
      <c r="T717" s="2394">
        <f>IF(OR(J717="COP",J717="EURO",J717="GBP"),0,IF(J717="USD",VLOOKUP(R717,'TRM BanRep'!$A:$G,7,0)))</f>
        <v>0</v>
      </c>
      <c r="U717" s="2395">
        <f t="shared" si="47"/>
        <v>0</v>
      </c>
      <c r="V717" s="2395" t="str">
        <f t="shared" si="48"/>
        <v/>
      </c>
      <c r="Z717" s="1633"/>
    </row>
    <row r="718" spans="3:26" hidden="1">
      <c r="C718">
        <v>2022</v>
      </c>
      <c r="D718" t="s">
        <v>1971</v>
      </c>
      <c r="F718">
        <v>2422999997</v>
      </c>
      <c r="G718" t="s">
        <v>1609</v>
      </c>
      <c r="H718" t="s">
        <v>1980</v>
      </c>
      <c r="I718" t="s">
        <v>2006</v>
      </c>
      <c r="J718" t="s">
        <v>106</v>
      </c>
      <c r="K718">
        <v>7900010244</v>
      </c>
      <c r="L718" t="s">
        <v>1980</v>
      </c>
      <c r="M718" s="1633">
        <v>4841466667</v>
      </c>
      <c r="N718">
        <v>1</v>
      </c>
      <c r="O718">
        <v>40</v>
      </c>
      <c r="P718" s="1633">
        <v>4841466667</v>
      </c>
      <c r="Q718" t="s">
        <v>106</v>
      </c>
      <c r="R718" s="2392">
        <v>44792</v>
      </c>
      <c r="S718" s="2393">
        <f t="shared" si="46"/>
        <v>1</v>
      </c>
      <c r="T718" s="2394">
        <f>IF(OR(J718="COP",J718="EURO",J718="GBP"),0,IF(J718="USD",VLOOKUP(R718,'TRM BanRep'!$A:$G,7,0)))</f>
        <v>0</v>
      </c>
      <c r="U718" s="2395">
        <f t="shared" si="47"/>
        <v>0</v>
      </c>
      <c r="V718" s="2395" t="str">
        <f t="shared" si="48"/>
        <v/>
      </c>
      <c r="Z718" s="1633"/>
    </row>
    <row r="719" spans="3:26" hidden="1">
      <c r="C719">
        <v>2022</v>
      </c>
      <c r="D719" t="s">
        <v>1971</v>
      </c>
      <c r="F719">
        <v>2422999997</v>
      </c>
      <c r="G719" t="s">
        <v>1609</v>
      </c>
      <c r="H719" t="s">
        <v>1980</v>
      </c>
      <c r="I719" t="s">
        <v>2006</v>
      </c>
      <c r="J719" t="s">
        <v>106</v>
      </c>
      <c r="K719">
        <v>7900010245</v>
      </c>
      <c r="L719" t="s">
        <v>1980</v>
      </c>
      <c r="M719" s="1633">
        <v>6701113889</v>
      </c>
      <c r="N719">
        <v>1</v>
      </c>
      <c r="O719">
        <v>40</v>
      </c>
      <c r="P719" s="1633">
        <v>6701113889</v>
      </c>
      <c r="Q719" t="s">
        <v>106</v>
      </c>
      <c r="R719" s="2392">
        <v>44792</v>
      </c>
      <c r="S719" s="2393">
        <f t="shared" si="46"/>
        <v>1</v>
      </c>
      <c r="T719" s="2394">
        <f>IF(OR(J719="COP",J719="EURO",J719="GBP"),0,IF(J719="USD",VLOOKUP(R719,'TRM BanRep'!$A:$G,7,0)))</f>
        <v>0</v>
      </c>
      <c r="U719" s="2395">
        <f t="shared" si="47"/>
        <v>0</v>
      </c>
      <c r="V719" s="2395" t="str">
        <f t="shared" si="48"/>
        <v/>
      </c>
      <c r="Z719" s="1633"/>
    </row>
    <row r="720" spans="3:26" hidden="1">
      <c r="C720">
        <v>2022</v>
      </c>
      <c r="D720" t="s">
        <v>1971</v>
      </c>
      <c r="F720">
        <v>2422999997</v>
      </c>
      <c r="G720" t="s">
        <v>1609</v>
      </c>
      <c r="H720" t="s">
        <v>1980</v>
      </c>
      <c r="I720" t="s">
        <v>2006</v>
      </c>
      <c r="J720" t="s">
        <v>106</v>
      </c>
      <c r="K720">
        <v>7900010255</v>
      </c>
      <c r="L720" t="s">
        <v>1980</v>
      </c>
      <c r="M720" s="1633">
        <v>-6701113888</v>
      </c>
      <c r="N720">
        <v>1</v>
      </c>
      <c r="O720">
        <v>50</v>
      </c>
      <c r="P720" s="1633">
        <v>-6701113888</v>
      </c>
      <c r="Q720" t="s">
        <v>106</v>
      </c>
      <c r="R720" s="2392">
        <v>44792</v>
      </c>
      <c r="S720" s="2393">
        <f t="shared" si="46"/>
        <v>1</v>
      </c>
      <c r="T720" s="2394">
        <f>IF(OR(J720="COP",J720="EURO",J720="GBP"),0,IF(J720="USD",VLOOKUP(R720,'TRM BanRep'!$A:$G,7,0)))</f>
        <v>0</v>
      </c>
      <c r="U720" s="2395">
        <f t="shared" si="47"/>
        <v>0</v>
      </c>
      <c r="V720" s="2395" t="str">
        <f t="shared" si="48"/>
        <v/>
      </c>
      <c r="Z720" s="1633"/>
    </row>
    <row r="721" spans="3:26" hidden="1">
      <c r="C721">
        <v>2022</v>
      </c>
      <c r="D721" t="s">
        <v>1971</v>
      </c>
      <c r="F721">
        <v>2422999997</v>
      </c>
      <c r="G721" t="s">
        <v>1609</v>
      </c>
      <c r="H721" t="s">
        <v>1980</v>
      </c>
      <c r="I721" t="s">
        <v>2006</v>
      </c>
      <c r="J721" t="s">
        <v>106</v>
      </c>
      <c r="K721">
        <v>7900010256</v>
      </c>
      <c r="L721" t="s">
        <v>1980</v>
      </c>
      <c r="M721" s="1633">
        <v>-4841466666</v>
      </c>
      <c r="N721">
        <v>1</v>
      </c>
      <c r="O721">
        <v>50</v>
      </c>
      <c r="P721" s="1633">
        <v>-4841466666</v>
      </c>
      <c r="Q721" t="s">
        <v>106</v>
      </c>
      <c r="R721" s="2392">
        <v>44792</v>
      </c>
      <c r="S721" s="2393">
        <f t="shared" si="46"/>
        <v>1</v>
      </c>
      <c r="T721" s="2394">
        <f>IF(OR(J721="COP",J721="EURO",J721="GBP"),0,IF(J721="USD",VLOOKUP(R721,'TRM BanRep'!$A:$G,7,0)))</f>
        <v>0</v>
      </c>
      <c r="U721" s="2395">
        <f t="shared" si="47"/>
        <v>0</v>
      </c>
      <c r="V721" s="2395" t="str">
        <f t="shared" si="48"/>
        <v/>
      </c>
      <c r="Z721" s="1633"/>
    </row>
    <row r="722" spans="3:26" hidden="1">
      <c r="C722">
        <v>2022</v>
      </c>
      <c r="D722" t="s">
        <v>1971</v>
      </c>
      <c r="F722">
        <v>2422999997</v>
      </c>
      <c r="G722" t="s">
        <v>1609</v>
      </c>
      <c r="H722" t="s">
        <v>1980</v>
      </c>
      <c r="I722" t="s">
        <v>2006</v>
      </c>
      <c r="J722" t="s">
        <v>106</v>
      </c>
      <c r="K722">
        <v>7900010257</v>
      </c>
      <c r="L722" t="s">
        <v>1980</v>
      </c>
      <c r="M722" s="1633">
        <v>-3224677500</v>
      </c>
      <c r="N722">
        <v>1</v>
      </c>
      <c r="O722">
        <v>50</v>
      </c>
      <c r="P722" s="1633">
        <v>-3224677500</v>
      </c>
      <c r="Q722" t="s">
        <v>106</v>
      </c>
      <c r="R722" s="2392">
        <v>44792</v>
      </c>
      <c r="S722" s="2393">
        <f t="shared" si="46"/>
        <v>1</v>
      </c>
      <c r="T722" s="2394">
        <f>IF(OR(J722="COP",J722="EURO",J722="GBP"),0,IF(J722="USD",VLOOKUP(R722,'TRM BanRep'!$A:$G,7,0)))</f>
        <v>0</v>
      </c>
      <c r="U722" s="2395">
        <f t="shared" si="47"/>
        <v>0</v>
      </c>
      <c r="V722" s="2395" t="str">
        <f t="shared" si="48"/>
        <v/>
      </c>
      <c r="Z722" s="1633"/>
    </row>
    <row r="723" spans="3:26" hidden="1">
      <c r="C723">
        <v>2022</v>
      </c>
      <c r="D723" t="s">
        <v>1971</v>
      </c>
      <c r="F723">
        <v>2422999997</v>
      </c>
      <c r="G723" t="s">
        <v>1609</v>
      </c>
      <c r="H723" t="s">
        <v>1978</v>
      </c>
      <c r="I723" t="s">
        <v>1655</v>
      </c>
      <c r="J723" t="s">
        <v>106</v>
      </c>
      <c r="K723">
        <v>7900010323</v>
      </c>
      <c r="L723" t="s">
        <v>1978</v>
      </c>
      <c r="M723" s="1633">
        <v>-12601204216</v>
      </c>
      <c r="N723">
        <v>1</v>
      </c>
      <c r="O723">
        <v>50</v>
      </c>
      <c r="P723" s="1633">
        <v>-12601204216</v>
      </c>
      <c r="Q723" t="s">
        <v>106</v>
      </c>
      <c r="R723" s="2392">
        <v>44799</v>
      </c>
      <c r="S723" s="2393">
        <f t="shared" si="46"/>
        <v>1</v>
      </c>
      <c r="T723" s="2394">
        <f>IF(OR(J723="COP",J723="EURO",J723="GBP"),0,IF(J723="USD",VLOOKUP(R723,'TRM BanRep'!$A:$G,7,0)))</f>
        <v>0</v>
      </c>
      <c r="U723" s="2395">
        <f t="shared" si="47"/>
        <v>0</v>
      </c>
      <c r="V723" s="2395" t="str">
        <f t="shared" si="48"/>
        <v/>
      </c>
      <c r="Z723" s="1633"/>
    </row>
    <row r="724" spans="3:26" hidden="1">
      <c r="C724">
        <v>2022</v>
      </c>
      <c r="D724" t="s">
        <v>1971</v>
      </c>
      <c r="F724">
        <v>2422999997</v>
      </c>
      <c r="G724" t="s">
        <v>1609</v>
      </c>
      <c r="H724" t="s">
        <v>2005</v>
      </c>
      <c r="I724" t="s">
        <v>1659</v>
      </c>
      <c r="J724" t="s">
        <v>106</v>
      </c>
      <c r="K724">
        <v>7900010431</v>
      </c>
      <c r="L724" t="s">
        <v>2005</v>
      </c>
      <c r="M724" s="1633">
        <v>-7344225000</v>
      </c>
      <c r="N724">
        <v>1</v>
      </c>
      <c r="O724">
        <v>50</v>
      </c>
      <c r="P724" s="1633">
        <v>-7344225000</v>
      </c>
      <c r="Q724" t="s">
        <v>106</v>
      </c>
      <c r="R724" s="2392">
        <v>44802</v>
      </c>
      <c r="S724" s="2393">
        <f t="shared" si="46"/>
        <v>1</v>
      </c>
      <c r="T724" s="2394">
        <f>IF(OR(J724="COP",J724="EURO",J724="GBP"),0,IF(J724="USD",VLOOKUP(R724,'TRM BanRep'!$A:$G,7,0)))</f>
        <v>0</v>
      </c>
      <c r="U724" s="2395">
        <f t="shared" si="47"/>
        <v>0</v>
      </c>
      <c r="V724" s="2395" t="str">
        <f t="shared" si="48"/>
        <v/>
      </c>
      <c r="Z724" s="1633"/>
    </row>
    <row r="725" spans="3:26" hidden="1">
      <c r="C725">
        <v>2022</v>
      </c>
      <c r="D725" t="s">
        <v>1971</v>
      </c>
      <c r="F725">
        <v>2422999997</v>
      </c>
      <c r="G725" t="s">
        <v>1609</v>
      </c>
      <c r="H725" t="s">
        <v>2005</v>
      </c>
      <c r="I725" t="s">
        <v>1658</v>
      </c>
      <c r="J725" t="s">
        <v>106</v>
      </c>
      <c r="K725">
        <v>7900010432</v>
      </c>
      <c r="L725" t="s">
        <v>2005</v>
      </c>
      <c r="M725" s="1633">
        <v>-4733550000</v>
      </c>
      <c r="N725">
        <v>1</v>
      </c>
      <c r="O725">
        <v>50</v>
      </c>
      <c r="P725" s="1633">
        <v>-4733550000</v>
      </c>
      <c r="Q725" t="s">
        <v>106</v>
      </c>
      <c r="R725" s="2392">
        <v>44802</v>
      </c>
      <c r="S725" s="2393">
        <f t="shared" ref="S725:S736" si="49">+ROUND(P725/M725,2)</f>
        <v>1</v>
      </c>
      <c r="T725" s="2394">
        <f>IF(OR(J725="COP",J725="EURO",J725="GBP"),0,IF(J725="USD",VLOOKUP(R725,'TRM BanRep'!$A:$G,7,0)))</f>
        <v>0</v>
      </c>
      <c r="U725" s="2395">
        <f t="shared" ref="U725:U736" si="50">IF(F725=2422999997,-IF(T725=0,0,(T725-S725)*M725),IF(T725=0,0,(T725-S725)*M725))</f>
        <v>0</v>
      </c>
      <c r="V725" s="2395" t="str">
        <f t="shared" si="48"/>
        <v/>
      </c>
      <c r="Z725" s="1633"/>
    </row>
    <row r="726" spans="3:26" hidden="1">
      <c r="C726">
        <v>2022</v>
      </c>
      <c r="D726" t="s">
        <v>1971</v>
      </c>
      <c r="F726">
        <v>2422999997</v>
      </c>
      <c r="G726" t="s">
        <v>1609</v>
      </c>
      <c r="H726" t="s">
        <v>2005</v>
      </c>
      <c r="I726" t="s">
        <v>1656</v>
      </c>
      <c r="J726" t="s">
        <v>106</v>
      </c>
      <c r="K726">
        <v>7900010433</v>
      </c>
      <c r="L726" t="s">
        <v>2005</v>
      </c>
      <c r="M726" s="1633">
        <v>-6559875000</v>
      </c>
      <c r="N726">
        <v>1</v>
      </c>
      <c r="O726">
        <v>50</v>
      </c>
      <c r="P726" s="1633">
        <v>-6559875000</v>
      </c>
      <c r="Q726" t="s">
        <v>106</v>
      </c>
      <c r="R726" s="2392">
        <v>44802</v>
      </c>
      <c r="S726" s="2393">
        <f t="shared" si="49"/>
        <v>1</v>
      </c>
      <c r="T726" s="2394">
        <f>IF(OR(J726="COP",J726="EURO",J726="GBP"),0,IF(J726="USD",VLOOKUP(R726,'TRM BanRep'!$A:$G,7,0)))</f>
        <v>0</v>
      </c>
      <c r="U726" s="2395">
        <f t="shared" si="50"/>
        <v>0</v>
      </c>
      <c r="V726" s="2395" t="str">
        <f t="shared" si="48"/>
        <v/>
      </c>
      <c r="Z726" s="1633"/>
    </row>
    <row r="727" spans="3:26" hidden="1">
      <c r="C727">
        <v>2022</v>
      </c>
      <c r="D727" t="s">
        <v>1971</v>
      </c>
      <c r="F727">
        <v>2422999997</v>
      </c>
      <c r="G727" t="s">
        <v>1609</v>
      </c>
      <c r="H727" t="s">
        <v>2005</v>
      </c>
      <c r="I727" t="s">
        <v>1660</v>
      </c>
      <c r="J727" t="s">
        <v>106</v>
      </c>
      <c r="K727">
        <v>7900010434</v>
      </c>
      <c r="L727" t="s">
        <v>2005</v>
      </c>
      <c r="M727" s="1633">
        <v>-3856500000</v>
      </c>
      <c r="N727">
        <v>1</v>
      </c>
      <c r="O727">
        <v>50</v>
      </c>
      <c r="P727" s="1633">
        <v>-3856500000</v>
      </c>
      <c r="Q727" t="s">
        <v>106</v>
      </c>
      <c r="R727" s="2392">
        <v>44802</v>
      </c>
      <c r="S727" s="2393">
        <f t="shared" si="49"/>
        <v>1</v>
      </c>
      <c r="T727" s="2394">
        <f>IF(OR(J727="COP",J727="EURO",J727="GBP"),0,IF(J727="USD",VLOOKUP(R727,'TRM BanRep'!$A:$G,7,0)))</f>
        <v>0</v>
      </c>
      <c r="U727" s="2395">
        <f t="shared" si="50"/>
        <v>0</v>
      </c>
      <c r="V727" s="2395" t="str">
        <f t="shared" si="48"/>
        <v/>
      </c>
      <c r="Z727" s="1633"/>
    </row>
    <row r="728" spans="3:26" hidden="1">
      <c r="C728">
        <v>2022</v>
      </c>
      <c r="D728" t="s">
        <v>1971</v>
      </c>
      <c r="F728">
        <v>2422999997</v>
      </c>
      <c r="G728" t="s">
        <v>1609</v>
      </c>
      <c r="H728" t="s">
        <v>2005</v>
      </c>
      <c r="I728" t="s">
        <v>1657</v>
      </c>
      <c r="J728" t="s">
        <v>106</v>
      </c>
      <c r="K728">
        <v>7900010435</v>
      </c>
      <c r="L728" t="s">
        <v>2005</v>
      </c>
      <c r="M728" s="1633">
        <v>-6482800000</v>
      </c>
      <c r="N728">
        <v>1</v>
      </c>
      <c r="O728">
        <v>50</v>
      </c>
      <c r="P728" s="1633">
        <v>-6482800000</v>
      </c>
      <c r="Q728" t="s">
        <v>106</v>
      </c>
      <c r="R728" s="2392">
        <v>44802</v>
      </c>
      <c r="S728" s="2393">
        <f t="shared" si="49"/>
        <v>1</v>
      </c>
      <c r="T728" s="2394">
        <f>IF(OR(J728="COP",J728="EURO",J728="GBP"),0,IF(J728="USD",VLOOKUP(R728,'TRM BanRep'!$A:$G,7,0)))</f>
        <v>0</v>
      </c>
      <c r="U728" s="2395">
        <f t="shared" si="50"/>
        <v>0</v>
      </c>
      <c r="V728" s="2395" t="str">
        <f t="shared" si="48"/>
        <v/>
      </c>
      <c r="Z728" s="1633"/>
    </row>
    <row r="729" spans="3:26" hidden="1">
      <c r="C729">
        <v>2022</v>
      </c>
      <c r="D729" t="s">
        <v>1971</v>
      </c>
      <c r="F729">
        <v>2422999997</v>
      </c>
      <c r="G729" t="s">
        <v>1609</v>
      </c>
      <c r="H729" t="s">
        <v>1980</v>
      </c>
      <c r="I729" t="s">
        <v>2006</v>
      </c>
      <c r="J729" t="s">
        <v>106</v>
      </c>
      <c r="K729">
        <v>7900011648</v>
      </c>
      <c r="L729" t="s">
        <v>1980</v>
      </c>
      <c r="M729" s="1633">
        <v>3224677500</v>
      </c>
      <c r="N729">
        <v>1</v>
      </c>
      <c r="O729">
        <v>40</v>
      </c>
      <c r="P729" s="1633">
        <v>3224677500</v>
      </c>
      <c r="Q729" t="s">
        <v>106</v>
      </c>
      <c r="R729" s="2392">
        <v>44792</v>
      </c>
      <c r="S729" s="2393">
        <f t="shared" si="49"/>
        <v>1</v>
      </c>
      <c r="T729" s="2394">
        <f>IF(OR(J729="COP",J729="EURO",J729="GBP"),0,IF(J729="USD",VLOOKUP(R729,'TRM BanRep'!$A:$G,7,0)))</f>
        <v>0</v>
      </c>
      <c r="U729" s="2395">
        <f t="shared" si="50"/>
        <v>0</v>
      </c>
      <c r="V729" s="2395" t="str">
        <f t="shared" si="48"/>
        <v/>
      </c>
      <c r="Z729" s="1633"/>
    </row>
    <row r="730" spans="3:26" hidden="1">
      <c r="C730">
        <v>2022</v>
      </c>
      <c r="D730" t="s">
        <v>1971</v>
      </c>
      <c r="F730">
        <v>2422999997</v>
      </c>
      <c r="G730" t="s">
        <v>1609</v>
      </c>
      <c r="H730" t="s">
        <v>1980</v>
      </c>
      <c r="I730" t="s">
        <v>2006</v>
      </c>
      <c r="J730" t="s">
        <v>106</v>
      </c>
      <c r="K730">
        <v>7900011649</v>
      </c>
      <c r="L730" t="s">
        <v>1980</v>
      </c>
      <c r="M730" s="1633">
        <v>4841466666</v>
      </c>
      <c r="N730">
        <v>1</v>
      </c>
      <c r="O730">
        <v>40</v>
      </c>
      <c r="P730" s="1633">
        <v>4841466666</v>
      </c>
      <c r="Q730" t="s">
        <v>106</v>
      </c>
      <c r="R730" s="2392">
        <v>44792</v>
      </c>
      <c r="S730" s="2393">
        <f t="shared" si="49"/>
        <v>1</v>
      </c>
      <c r="T730" s="2394">
        <f>IF(OR(J730="COP",J730="EURO",J730="GBP"),0,IF(J730="USD",VLOOKUP(R730,'TRM BanRep'!$A:$G,7,0)))</f>
        <v>0</v>
      </c>
      <c r="U730" s="2395">
        <f t="shared" si="50"/>
        <v>0</v>
      </c>
      <c r="V730" s="2395" t="str">
        <f t="shared" si="48"/>
        <v/>
      </c>
      <c r="Z730" s="1633"/>
    </row>
    <row r="731" spans="3:26" hidden="1">
      <c r="C731">
        <v>2022</v>
      </c>
      <c r="D731" t="s">
        <v>1971</v>
      </c>
      <c r="F731">
        <v>2422999997</v>
      </c>
      <c r="G731" t="s">
        <v>1609</v>
      </c>
      <c r="H731" t="s">
        <v>1980</v>
      </c>
      <c r="I731" t="s">
        <v>2006</v>
      </c>
      <c r="J731" t="s">
        <v>106</v>
      </c>
      <c r="K731">
        <v>7900011650</v>
      </c>
      <c r="L731" t="s">
        <v>1980</v>
      </c>
      <c r="M731" s="1633">
        <v>6701113888</v>
      </c>
      <c r="N731">
        <v>1</v>
      </c>
      <c r="O731">
        <v>40</v>
      </c>
      <c r="P731" s="1633">
        <v>6701113888</v>
      </c>
      <c r="Q731" t="s">
        <v>106</v>
      </c>
      <c r="R731" s="2392">
        <v>44792</v>
      </c>
      <c r="S731" s="2393">
        <f t="shared" si="49"/>
        <v>1</v>
      </c>
      <c r="T731" s="2394">
        <f>IF(OR(J731="COP",J731="EURO",J731="GBP"),0,IF(J731="USD",VLOOKUP(R731,'TRM BanRep'!$A:$G,7,0)))</f>
        <v>0</v>
      </c>
      <c r="U731" s="2395">
        <f t="shared" si="50"/>
        <v>0</v>
      </c>
      <c r="V731" s="2395" t="str">
        <f t="shared" si="48"/>
        <v/>
      </c>
      <c r="Z731" s="1633"/>
    </row>
    <row r="732" spans="3:26" hidden="1">
      <c r="C732">
        <v>2022</v>
      </c>
      <c r="D732" t="s">
        <v>1971</v>
      </c>
      <c r="F732">
        <v>2422999997</v>
      </c>
      <c r="G732" t="s">
        <v>1609</v>
      </c>
      <c r="H732" t="s">
        <v>1980</v>
      </c>
      <c r="I732" t="s">
        <v>2007</v>
      </c>
      <c r="J732" t="s">
        <v>106</v>
      </c>
      <c r="K732">
        <v>7900011664</v>
      </c>
      <c r="L732" t="s">
        <v>1980</v>
      </c>
      <c r="M732" s="1633">
        <v>-14767258054</v>
      </c>
      <c r="N732">
        <v>1</v>
      </c>
      <c r="O732">
        <v>50</v>
      </c>
      <c r="P732" s="1633">
        <v>-14767258054</v>
      </c>
      <c r="Q732" t="s">
        <v>106</v>
      </c>
      <c r="R732" s="2392">
        <v>44792</v>
      </c>
      <c r="S732" s="2393">
        <f t="shared" si="49"/>
        <v>1</v>
      </c>
      <c r="T732" s="2394">
        <f>IF(OR(J732="COP",J732="EURO",J732="GBP"),0,IF(J732="USD",VLOOKUP(R732,'TRM BanRep'!$A:$G,7,0)))</f>
        <v>0</v>
      </c>
      <c r="U732" s="2395">
        <f t="shared" si="50"/>
        <v>0</v>
      </c>
      <c r="V732" s="2395" t="str">
        <f t="shared" si="48"/>
        <v/>
      </c>
      <c r="Z732" s="1633"/>
    </row>
    <row r="733" spans="3:26" hidden="1">
      <c r="C733">
        <v>2022</v>
      </c>
      <c r="D733" t="s">
        <v>1971</v>
      </c>
      <c r="F733">
        <v>2422999997</v>
      </c>
      <c r="G733" t="s">
        <v>1557</v>
      </c>
      <c r="H733" t="s">
        <v>1983</v>
      </c>
      <c r="I733" t="s">
        <v>2001</v>
      </c>
      <c r="J733" t="s">
        <v>64</v>
      </c>
      <c r="K733">
        <v>7900010703</v>
      </c>
      <c r="L733" t="s">
        <v>1983</v>
      </c>
      <c r="M733" s="1633">
        <v>-17656259.539999999</v>
      </c>
      <c r="N733">
        <v>4388.0200000000004</v>
      </c>
      <c r="O733">
        <v>50</v>
      </c>
      <c r="P733" s="1633">
        <v>-77476019993</v>
      </c>
      <c r="Q733" t="s">
        <v>106</v>
      </c>
      <c r="R733" s="2392">
        <v>44804</v>
      </c>
      <c r="S733" s="2393">
        <f t="shared" si="49"/>
        <v>4388.0200000000004</v>
      </c>
      <c r="T733" s="2394">
        <f>IF(OR(J733="COP",J733="EURO",J733="GBP"),0,IF(J733="USD",VLOOKUP(R733,'TRM BanRep'!$A:$G,7,0)))</f>
        <v>4400.16</v>
      </c>
      <c r="U733" s="2395">
        <f t="shared" si="50"/>
        <v>214346990.81558973</v>
      </c>
      <c r="V733" s="2396" t="str">
        <f t="shared" si="48"/>
        <v>2-GASTO</v>
      </c>
      <c r="Z733" s="1633"/>
    </row>
    <row r="734" spans="3:26" hidden="1">
      <c r="C734">
        <v>2022</v>
      </c>
      <c r="D734" t="s">
        <v>1971</v>
      </c>
      <c r="F734">
        <v>2422999997</v>
      </c>
      <c r="G734" t="s">
        <v>1557</v>
      </c>
      <c r="H734" t="s">
        <v>1983</v>
      </c>
      <c r="I734" t="s">
        <v>2002</v>
      </c>
      <c r="J734" t="s">
        <v>64</v>
      </c>
      <c r="K734">
        <v>7900010711</v>
      </c>
      <c r="L734" t="s">
        <v>1983</v>
      </c>
      <c r="M734" s="1633">
        <v>-82395257.579999998</v>
      </c>
      <c r="N734">
        <v>4386.13</v>
      </c>
      <c r="O734">
        <v>50</v>
      </c>
      <c r="P734" s="1633">
        <v>-361396311116</v>
      </c>
      <c r="Q734" t="s">
        <v>106</v>
      </c>
      <c r="R734" s="2392">
        <v>44804</v>
      </c>
      <c r="S734" s="2393">
        <f t="shared" si="49"/>
        <v>4386.13</v>
      </c>
      <c r="T734" s="2394">
        <f>IF(OR(J734="COP",J734="EURO",J734="GBP"),0,IF(J734="USD",VLOOKUP(R734,'TRM BanRep'!$A:$G,7,0)))</f>
        <v>4400.16</v>
      </c>
      <c r="U734" s="2395">
        <f t="shared" si="50"/>
        <v>1156005463.847379</v>
      </c>
      <c r="V734" s="2396" t="str">
        <f t="shared" si="48"/>
        <v>2-GASTO</v>
      </c>
      <c r="Z734" s="1633"/>
    </row>
    <row r="735" spans="3:26" hidden="1">
      <c r="C735">
        <v>2022</v>
      </c>
      <c r="D735" t="s">
        <v>1971</v>
      </c>
      <c r="F735">
        <v>2422999997</v>
      </c>
      <c r="G735" t="s">
        <v>1608</v>
      </c>
      <c r="H735" t="s">
        <v>1983</v>
      </c>
      <c r="J735" t="s">
        <v>64</v>
      </c>
      <c r="K735">
        <v>2000008767</v>
      </c>
      <c r="L735" t="s">
        <v>1983</v>
      </c>
      <c r="M735" s="1633">
        <v>17656259.539999999</v>
      </c>
      <c r="N735">
        <v>4388.0200000000004</v>
      </c>
      <c r="O735">
        <v>40</v>
      </c>
      <c r="P735" s="1633">
        <v>77476019993</v>
      </c>
      <c r="Q735" t="s">
        <v>106</v>
      </c>
      <c r="R735" s="2392">
        <v>44804</v>
      </c>
      <c r="S735" s="2393">
        <f t="shared" si="49"/>
        <v>4388.0200000000004</v>
      </c>
      <c r="T735" s="2394">
        <f>IF(OR(J735="COP",J735="EURO",J735="GBP"),0,IF(J735="USD",VLOOKUP(R735,'TRM BanRep'!$A:$G,7,0)))</f>
        <v>4400.16</v>
      </c>
      <c r="U735" s="2395">
        <f t="shared" si="50"/>
        <v>-214346990.81558973</v>
      </c>
      <c r="V735" s="2397" t="str">
        <f t="shared" si="48"/>
        <v>1-INGRESO</v>
      </c>
      <c r="Z735" s="1633"/>
    </row>
    <row r="736" spans="3:26" hidden="1">
      <c r="C736">
        <v>2022</v>
      </c>
      <c r="D736" t="s">
        <v>1971</v>
      </c>
      <c r="F736">
        <v>2422999997</v>
      </c>
      <c r="G736" t="s">
        <v>1608</v>
      </c>
      <c r="H736" t="s">
        <v>1983</v>
      </c>
      <c r="J736" t="s">
        <v>64</v>
      </c>
      <c r="K736">
        <v>2000008801</v>
      </c>
      <c r="L736" t="s">
        <v>1983</v>
      </c>
      <c r="M736" s="1633">
        <v>82395257.579999998</v>
      </c>
      <c r="N736">
        <v>4386.13</v>
      </c>
      <c r="O736">
        <v>40</v>
      </c>
      <c r="P736" s="1633">
        <v>361396311116</v>
      </c>
      <c r="Q736" t="s">
        <v>106</v>
      </c>
      <c r="R736" s="2392">
        <v>44804</v>
      </c>
      <c r="S736" s="2393">
        <f t="shared" si="49"/>
        <v>4386.13</v>
      </c>
      <c r="T736" s="2394">
        <f>IF(OR(J736="COP",J736="EURO",J736="GBP"),0,IF(J736="USD",VLOOKUP(R736,'TRM BanRep'!$A:$G,7,0)))</f>
        <v>4400.16</v>
      </c>
      <c r="U736" s="2395">
        <f t="shared" si="50"/>
        <v>-1156005463.847379</v>
      </c>
      <c r="V736" s="2397" t="str">
        <f t="shared" si="48"/>
        <v>1-INGRESO</v>
      </c>
      <c r="Z736" s="1633"/>
    </row>
    <row r="737" spans="3:26">
      <c r="M737" s="1633"/>
      <c r="P737" s="1633"/>
      <c r="R737" s="2392"/>
      <c r="S737" s="2393"/>
      <c r="T737" s="2394"/>
      <c r="U737" s="2395"/>
      <c r="V737" s="2395" t="str">
        <f t="shared" si="48"/>
        <v/>
      </c>
      <c r="Z737" s="1633"/>
    </row>
    <row r="738" spans="3:26" hidden="1">
      <c r="C738">
        <v>2022</v>
      </c>
      <c r="D738" t="s">
        <v>2008</v>
      </c>
      <c r="F738">
        <v>1202049905</v>
      </c>
      <c r="G738" t="s">
        <v>1557</v>
      </c>
      <c r="H738" t="s">
        <v>1489</v>
      </c>
      <c r="I738" t="s">
        <v>2009</v>
      </c>
      <c r="J738" t="s">
        <v>106</v>
      </c>
      <c r="K738">
        <v>7900011730</v>
      </c>
      <c r="L738" t="s">
        <v>1489</v>
      </c>
      <c r="M738" s="1633">
        <v>-3833777593</v>
      </c>
      <c r="N738">
        <v>1</v>
      </c>
      <c r="O738">
        <v>50</v>
      </c>
      <c r="P738" s="1633">
        <v>-3833777593</v>
      </c>
      <c r="Q738" t="s">
        <v>106</v>
      </c>
      <c r="R738" s="2392">
        <v>44810</v>
      </c>
      <c r="S738" s="2393">
        <f t="shared" ref="S738:S795" si="51">+ROUND(P738/M738,2)</f>
        <v>1</v>
      </c>
      <c r="T738" s="2394">
        <f>IF(OR(J738="COP",J738="EURO",J738="GBP"),0,IF(J738="USD",VLOOKUP(R738,'TRM BanRep'!$A:$G,7,0)))</f>
        <v>0</v>
      </c>
      <c r="U738" s="2395">
        <f t="shared" ref="U738:U795" si="52">IF(F738=2422999997,-IF(T738=0,0,(T738-S738)*M738),IF(T738=0,0,(T738-S738)*M738))</f>
        <v>0</v>
      </c>
      <c r="V738" s="2395" t="str">
        <f t="shared" si="48"/>
        <v/>
      </c>
      <c r="Z738" s="1633"/>
    </row>
    <row r="739" spans="3:26" hidden="1">
      <c r="C739">
        <v>2022</v>
      </c>
      <c r="D739" t="s">
        <v>2008</v>
      </c>
      <c r="F739">
        <v>1202049905</v>
      </c>
      <c r="G739" t="s">
        <v>1557</v>
      </c>
      <c r="H739" t="s">
        <v>1490</v>
      </c>
      <c r="I739" t="s">
        <v>2010</v>
      </c>
      <c r="J739" t="s">
        <v>106</v>
      </c>
      <c r="K739">
        <v>7900011755</v>
      </c>
      <c r="L739" t="s">
        <v>1490</v>
      </c>
      <c r="M739" s="1633">
        <v>38394700000</v>
      </c>
      <c r="N739">
        <v>1</v>
      </c>
      <c r="O739">
        <v>40</v>
      </c>
      <c r="P739" s="1633">
        <v>38394700000</v>
      </c>
      <c r="Q739" t="s">
        <v>106</v>
      </c>
      <c r="R739" s="2392">
        <v>44811</v>
      </c>
      <c r="S739" s="2393">
        <f t="shared" si="51"/>
        <v>1</v>
      </c>
      <c r="T739" s="2394">
        <f>IF(OR(J739="COP",J739="EURO",J739="GBP"),0,IF(J739="USD",VLOOKUP(R739,'TRM BanRep'!$A:$G,7,0)))</f>
        <v>0</v>
      </c>
      <c r="U739" s="2395">
        <f t="shared" si="52"/>
        <v>0</v>
      </c>
      <c r="V739" s="2395" t="str">
        <f t="shared" si="48"/>
        <v/>
      </c>
      <c r="Z739" s="1633"/>
    </row>
    <row r="740" spans="3:26" hidden="1">
      <c r="C740">
        <v>2022</v>
      </c>
      <c r="D740" t="s">
        <v>2008</v>
      </c>
      <c r="F740">
        <v>1202049905</v>
      </c>
      <c r="G740" t="s">
        <v>1557</v>
      </c>
      <c r="H740" t="s">
        <v>2011</v>
      </c>
      <c r="I740" t="s">
        <v>2012</v>
      </c>
      <c r="J740" t="s">
        <v>106</v>
      </c>
      <c r="K740">
        <v>7900011858</v>
      </c>
      <c r="L740" t="s">
        <v>2011</v>
      </c>
      <c r="M740" s="1633">
        <v>-10209931511</v>
      </c>
      <c r="N740">
        <v>1</v>
      </c>
      <c r="O740">
        <v>50</v>
      </c>
      <c r="P740" s="1633">
        <v>-10209931511</v>
      </c>
      <c r="Q740" t="s">
        <v>106</v>
      </c>
      <c r="R740" s="2392">
        <v>44832</v>
      </c>
      <c r="S740" s="2393">
        <f t="shared" si="51"/>
        <v>1</v>
      </c>
      <c r="T740" s="2394">
        <f>IF(OR(J740="COP",J740="EURO",J740="GBP"),0,IF(J740="USD",VLOOKUP(R740,'TRM BanRep'!$A:$G,7,0)))</f>
        <v>0</v>
      </c>
      <c r="U740" s="2395">
        <f t="shared" si="52"/>
        <v>0</v>
      </c>
      <c r="V740" s="2395" t="str">
        <f t="shared" si="48"/>
        <v/>
      </c>
      <c r="Z740" s="1633"/>
    </row>
    <row r="741" spans="3:26" hidden="1">
      <c r="C741">
        <v>2022</v>
      </c>
      <c r="D741" t="s">
        <v>2008</v>
      </c>
      <c r="F741">
        <v>1202049905</v>
      </c>
      <c r="G741" t="s">
        <v>1557</v>
      </c>
      <c r="H741" t="s">
        <v>2011</v>
      </c>
      <c r="I741" t="s">
        <v>2013</v>
      </c>
      <c r="J741" t="s">
        <v>106</v>
      </c>
      <c r="K741">
        <v>7900011866</v>
      </c>
      <c r="L741" t="s">
        <v>2011</v>
      </c>
      <c r="M741" s="1633">
        <v>-6219434486</v>
      </c>
      <c r="N741">
        <v>1</v>
      </c>
      <c r="O741">
        <v>50</v>
      </c>
      <c r="P741" s="1633">
        <v>-6219434486</v>
      </c>
      <c r="Q741" t="s">
        <v>106</v>
      </c>
      <c r="R741" s="2392">
        <v>44832</v>
      </c>
      <c r="S741" s="2393">
        <f t="shared" si="51"/>
        <v>1</v>
      </c>
      <c r="T741" s="2394">
        <f>IF(OR(J741="COP",J741="EURO",J741="GBP"),0,IF(J741="USD",VLOOKUP(R741,'TRM BanRep'!$A:$G,7,0)))</f>
        <v>0</v>
      </c>
      <c r="U741" s="2395">
        <f t="shared" si="52"/>
        <v>0</v>
      </c>
      <c r="V741" s="2395" t="str">
        <f t="shared" si="48"/>
        <v/>
      </c>
      <c r="Z741" s="1633"/>
    </row>
    <row r="742" spans="3:26" hidden="1">
      <c r="C742">
        <v>2022</v>
      </c>
      <c r="D742" t="s">
        <v>2008</v>
      </c>
      <c r="F742">
        <v>1202049905</v>
      </c>
      <c r="G742" t="s">
        <v>1557</v>
      </c>
      <c r="H742" t="s">
        <v>2014</v>
      </c>
      <c r="I742" t="s">
        <v>2015</v>
      </c>
      <c r="J742" t="s">
        <v>106</v>
      </c>
      <c r="K742">
        <v>7900011875</v>
      </c>
      <c r="L742" t="s">
        <v>2014</v>
      </c>
      <c r="M742" s="1633">
        <v>16173000000</v>
      </c>
      <c r="N742">
        <v>1</v>
      </c>
      <c r="O742">
        <v>40</v>
      </c>
      <c r="P742" s="1633">
        <v>16173000000</v>
      </c>
      <c r="Q742" t="s">
        <v>106</v>
      </c>
      <c r="R742" s="2392">
        <v>44830</v>
      </c>
      <c r="S742" s="2393">
        <f t="shared" si="51"/>
        <v>1</v>
      </c>
      <c r="T742" s="2394">
        <f>IF(OR(J742="COP",J742="EURO",J742="GBP"),0,IF(J742="USD",VLOOKUP(R742,'TRM BanRep'!$A:$G,7,0)))</f>
        <v>0</v>
      </c>
      <c r="U742" s="2395">
        <f t="shared" si="52"/>
        <v>0</v>
      </c>
      <c r="V742" s="2395" t="str">
        <f t="shared" si="48"/>
        <v/>
      </c>
      <c r="Z742" s="1633"/>
    </row>
    <row r="743" spans="3:26" hidden="1">
      <c r="C743">
        <v>2022</v>
      </c>
      <c r="D743" t="s">
        <v>2008</v>
      </c>
      <c r="F743">
        <v>1202049905</v>
      </c>
      <c r="G743" t="s">
        <v>1557</v>
      </c>
      <c r="H743" t="s">
        <v>2016</v>
      </c>
      <c r="I743" t="s">
        <v>2017</v>
      </c>
      <c r="J743" t="s">
        <v>106</v>
      </c>
      <c r="K743">
        <v>7900011883</v>
      </c>
      <c r="L743" t="s">
        <v>2016</v>
      </c>
      <c r="M743" s="1633">
        <v>42449999989</v>
      </c>
      <c r="N743">
        <v>1</v>
      </c>
      <c r="O743">
        <v>40</v>
      </c>
      <c r="P743" s="1633">
        <v>42449999989</v>
      </c>
      <c r="Q743" t="s">
        <v>106</v>
      </c>
      <c r="R743" s="2392">
        <v>44831</v>
      </c>
      <c r="S743" s="2393">
        <f t="shared" si="51"/>
        <v>1</v>
      </c>
      <c r="T743" s="2394">
        <f>IF(OR(J743="COP",J743="EURO",J743="GBP"),0,IF(J743="USD",VLOOKUP(R743,'TRM BanRep'!$A:$G,7,0)))</f>
        <v>0</v>
      </c>
      <c r="U743" s="2395">
        <f t="shared" si="52"/>
        <v>0</v>
      </c>
      <c r="V743" s="2395" t="str">
        <f t="shared" si="48"/>
        <v/>
      </c>
      <c r="Z743" s="1633"/>
    </row>
    <row r="744" spans="3:26" hidden="1">
      <c r="C744">
        <v>2022</v>
      </c>
      <c r="D744" t="s">
        <v>2008</v>
      </c>
      <c r="F744">
        <v>1202049905</v>
      </c>
      <c r="G744" t="s">
        <v>1557</v>
      </c>
      <c r="H744" t="s">
        <v>2016</v>
      </c>
      <c r="I744" t="s">
        <v>2018</v>
      </c>
      <c r="J744" t="s">
        <v>106</v>
      </c>
      <c r="K744">
        <v>7900011891</v>
      </c>
      <c r="L744" t="s">
        <v>2016</v>
      </c>
      <c r="M744" s="1633">
        <v>49469999996</v>
      </c>
      <c r="N744">
        <v>1</v>
      </c>
      <c r="O744">
        <v>40</v>
      </c>
      <c r="P744" s="1633">
        <v>49469999996</v>
      </c>
      <c r="Q744" t="s">
        <v>106</v>
      </c>
      <c r="R744" s="2392">
        <v>44831</v>
      </c>
      <c r="S744" s="2393">
        <f t="shared" si="51"/>
        <v>1</v>
      </c>
      <c r="T744" s="2394">
        <f>IF(OR(J744="COP",J744="EURO",J744="GBP"),0,IF(J744="USD",VLOOKUP(R744,'TRM BanRep'!$A:$G,7,0)))</f>
        <v>0</v>
      </c>
      <c r="U744" s="2395">
        <f t="shared" si="52"/>
        <v>0</v>
      </c>
      <c r="V744" s="2395" t="str">
        <f t="shared" si="48"/>
        <v/>
      </c>
      <c r="Z744" s="1633"/>
    </row>
    <row r="745" spans="3:26" hidden="1">
      <c r="C745">
        <v>2022</v>
      </c>
      <c r="D745" t="s">
        <v>2008</v>
      </c>
      <c r="F745">
        <v>1202049905</v>
      </c>
      <c r="G745" t="s">
        <v>1557</v>
      </c>
      <c r="H745" t="s">
        <v>1492</v>
      </c>
      <c r="I745" t="s">
        <v>2019</v>
      </c>
      <c r="J745" t="s">
        <v>106</v>
      </c>
      <c r="K745">
        <v>7900012797</v>
      </c>
      <c r="L745" t="s">
        <v>1492</v>
      </c>
      <c r="M745" s="1633">
        <v>-91923156538</v>
      </c>
      <c r="N745">
        <v>1</v>
      </c>
      <c r="O745">
        <v>50</v>
      </c>
      <c r="P745" s="1633">
        <v>-91923156538</v>
      </c>
      <c r="Q745" t="s">
        <v>106</v>
      </c>
      <c r="R745" s="2392">
        <v>44834</v>
      </c>
      <c r="S745" s="2393">
        <f t="shared" si="51"/>
        <v>1</v>
      </c>
      <c r="T745" s="2394">
        <f>IF(OR(J745="COP",J745="EURO",J745="GBP"),0,IF(J745="USD",VLOOKUP(R745,'TRM BanRep'!$A:$G,7,0)))</f>
        <v>0</v>
      </c>
      <c r="U745" s="2395">
        <f t="shared" si="52"/>
        <v>0</v>
      </c>
      <c r="V745" s="2395" t="str">
        <f t="shared" si="48"/>
        <v/>
      </c>
      <c r="Z745" s="1633"/>
    </row>
    <row r="746" spans="3:26" hidden="1">
      <c r="C746">
        <v>2022</v>
      </c>
      <c r="D746" t="s">
        <v>2008</v>
      </c>
      <c r="F746">
        <v>1202049905</v>
      </c>
      <c r="G746" t="s">
        <v>1557</v>
      </c>
      <c r="H746" t="s">
        <v>2020</v>
      </c>
      <c r="I746" t="s">
        <v>2021</v>
      </c>
      <c r="J746" t="s">
        <v>106</v>
      </c>
      <c r="K746">
        <v>7900012838</v>
      </c>
      <c r="L746" t="s">
        <v>2020</v>
      </c>
      <c r="M746" s="1633">
        <v>8736000000</v>
      </c>
      <c r="N746">
        <v>1</v>
      </c>
      <c r="O746">
        <v>40</v>
      </c>
      <c r="P746" s="1633">
        <v>8736000000</v>
      </c>
      <c r="Q746" t="s">
        <v>106</v>
      </c>
      <c r="R746" s="2392">
        <v>44816</v>
      </c>
      <c r="S746" s="2393">
        <f t="shared" si="51"/>
        <v>1</v>
      </c>
      <c r="T746" s="2394">
        <f>IF(OR(J746="COP",J746="EURO",J746="GBP"),0,IF(J746="USD",VLOOKUP(R746,'TRM BanRep'!$A:$G,7,0)))</f>
        <v>0</v>
      </c>
      <c r="U746" s="2395">
        <f t="shared" si="52"/>
        <v>0</v>
      </c>
      <c r="V746" s="2395" t="str">
        <f t="shared" si="48"/>
        <v/>
      </c>
      <c r="Z746" s="1633"/>
    </row>
    <row r="747" spans="3:26" hidden="1">
      <c r="C747">
        <v>2022</v>
      </c>
      <c r="D747" t="s">
        <v>2008</v>
      </c>
      <c r="F747">
        <v>1202049905</v>
      </c>
      <c r="G747" t="s">
        <v>1557</v>
      </c>
      <c r="H747" t="s">
        <v>1489</v>
      </c>
      <c r="I747" t="s">
        <v>2022</v>
      </c>
      <c r="J747" t="s">
        <v>64</v>
      </c>
      <c r="K747">
        <v>7900011731</v>
      </c>
      <c r="L747" t="s">
        <v>1489</v>
      </c>
      <c r="M747" s="1633">
        <v>858238.6</v>
      </c>
      <c r="N747">
        <v>4467.0300200000001</v>
      </c>
      <c r="O747">
        <v>40</v>
      </c>
      <c r="P747" s="1633">
        <v>3833777593</v>
      </c>
      <c r="Q747" t="s">
        <v>106</v>
      </c>
      <c r="R747" s="2392">
        <v>44810</v>
      </c>
      <c r="S747" s="2393">
        <f t="shared" si="51"/>
        <v>4467.03</v>
      </c>
      <c r="T747" s="2394">
        <f>IF(OR(J747="COP",J747="EURO",J747="GBP"),0,IF(J747="USD",VLOOKUP(R747,'TRM BanRep'!$A:$G,7,0)))</f>
        <v>4466.7299999999996</v>
      </c>
      <c r="U747" s="2398">
        <f t="shared" si="52"/>
        <v>-257471.5800001561</v>
      </c>
      <c r="V747" s="2397" t="str">
        <f t="shared" si="48"/>
        <v>1-INGRESO</v>
      </c>
      <c r="Z747" s="1633"/>
    </row>
    <row r="748" spans="3:26" hidden="1">
      <c r="C748">
        <v>2022</v>
      </c>
      <c r="D748" t="s">
        <v>2008</v>
      </c>
      <c r="F748">
        <v>1202049905</v>
      </c>
      <c r="G748" t="s">
        <v>1557</v>
      </c>
      <c r="H748" t="s">
        <v>1490</v>
      </c>
      <c r="I748" t="s">
        <v>2023</v>
      </c>
      <c r="J748" t="s">
        <v>64</v>
      </c>
      <c r="K748">
        <v>7900011754</v>
      </c>
      <c r="L748" t="s">
        <v>1490</v>
      </c>
      <c r="M748" s="1633">
        <v>-8600000</v>
      </c>
      <c r="N748">
        <v>4464.5</v>
      </c>
      <c r="O748">
        <v>50</v>
      </c>
      <c r="P748" s="1633">
        <v>-38394700000</v>
      </c>
      <c r="Q748" t="s">
        <v>106</v>
      </c>
      <c r="R748" s="2392">
        <v>44811</v>
      </c>
      <c r="S748" s="2393">
        <f t="shared" si="51"/>
        <v>4464.5</v>
      </c>
      <c r="T748" s="2394">
        <f>IF(OR(J748="COP",J748="EURO",J748="GBP"),0,IF(J748="USD",VLOOKUP(R748,'TRM BanRep'!$A:$G,7,0)))</f>
        <v>4480.1000000000004</v>
      </c>
      <c r="U748" s="2395">
        <f t="shared" si="52"/>
        <v>-134160000.00000313</v>
      </c>
      <c r="V748" s="2397" t="str">
        <f t="shared" si="48"/>
        <v>1-INGRESO</v>
      </c>
      <c r="Z748" s="1633"/>
    </row>
    <row r="749" spans="3:26" hidden="1">
      <c r="C749">
        <v>2022</v>
      </c>
      <c r="D749" t="s">
        <v>2008</v>
      </c>
      <c r="F749">
        <v>1202049905</v>
      </c>
      <c r="G749" t="s">
        <v>1557</v>
      </c>
      <c r="H749" t="s">
        <v>2011</v>
      </c>
      <c r="I749" t="s">
        <v>2024</v>
      </c>
      <c r="J749" t="s">
        <v>64</v>
      </c>
      <c r="K749">
        <v>7900011859</v>
      </c>
      <c r="L749" t="s">
        <v>2011</v>
      </c>
      <c r="M749" s="1633">
        <v>2270392.31</v>
      </c>
      <c r="N749">
        <v>4496.99</v>
      </c>
      <c r="O749">
        <v>40</v>
      </c>
      <c r="P749" s="1633">
        <v>10209931511</v>
      </c>
      <c r="Q749" t="s">
        <v>106</v>
      </c>
      <c r="R749" s="2392">
        <v>44832</v>
      </c>
      <c r="S749" s="2393">
        <f t="shared" si="51"/>
        <v>4496.99</v>
      </c>
      <c r="T749" s="2394">
        <f>IF(OR(J749="COP",J749="EURO",J749="GBP"),0,IF(J749="USD",VLOOKUP(R749,'TRM BanRep'!$A:$G,7,0)))</f>
        <v>4556.42</v>
      </c>
      <c r="U749" s="2406">
        <f t="shared" si="52"/>
        <v>134929414.98330066</v>
      </c>
      <c r="V749" s="2396" t="str">
        <f t="shared" si="48"/>
        <v>2-GASTO</v>
      </c>
      <c r="Z749" s="1633"/>
    </row>
    <row r="750" spans="3:26" hidden="1">
      <c r="C750">
        <v>2022</v>
      </c>
      <c r="D750" t="s">
        <v>2008</v>
      </c>
      <c r="F750">
        <v>1202049905</v>
      </c>
      <c r="G750" t="s">
        <v>1557</v>
      </c>
      <c r="H750" t="s">
        <v>2011</v>
      </c>
      <c r="I750" t="s">
        <v>2025</v>
      </c>
      <c r="J750" t="s">
        <v>64</v>
      </c>
      <c r="K750">
        <v>7900011867</v>
      </c>
      <c r="L750" t="s">
        <v>2011</v>
      </c>
      <c r="M750" s="1633">
        <v>1383021.64</v>
      </c>
      <c r="N750">
        <v>4496.99</v>
      </c>
      <c r="O750">
        <v>40</v>
      </c>
      <c r="P750" s="1633">
        <v>6219434486</v>
      </c>
      <c r="Q750" t="s">
        <v>106</v>
      </c>
      <c r="R750" s="2392">
        <v>44832</v>
      </c>
      <c r="S750" s="2393">
        <f t="shared" si="51"/>
        <v>4496.99</v>
      </c>
      <c r="T750" s="2394">
        <f>IF(OR(J750="COP",J750="EURO",J750="GBP"),0,IF(J750="USD",VLOOKUP(R750,'TRM BanRep'!$A:$G,7,0)))</f>
        <v>4556.42</v>
      </c>
      <c r="U750" s="2406">
        <f t="shared" si="52"/>
        <v>82192976.065200403</v>
      </c>
      <c r="V750" s="2396" t="str">
        <f t="shared" si="48"/>
        <v>2-GASTO</v>
      </c>
      <c r="Z750" s="1633"/>
    </row>
    <row r="751" spans="3:26" hidden="1">
      <c r="C751">
        <v>2022</v>
      </c>
      <c r="D751" t="s">
        <v>2008</v>
      </c>
      <c r="F751">
        <v>1202049905</v>
      </c>
      <c r="G751" t="s">
        <v>1557</v>
      </c>
      <c r="H751" t="s">
        <v>2014</v>
      </c>
      <c r="I751" t="s">
        <v>2026</v>
      </c>
      <c r="J751" t="s">
        <v>64</v>
      </c>
      <c r="K751">
        <v>7900011874</v>
      </c>
      <c r="L751" t="s">
        <v>2014</v>
      </c>
      <c r="M751" s="1633">
        <v>-3600000</v>
      </c>
      <c r="N751">
        <v>4492.5</v>
      </c>
      <c r="O751">
        <v>50</v>
      </c>
      <c r="P751" s="1633">
        <v>-16173000000</v>
      </c>
      <c r="Q751" t="s">
        <v>106</v>
      </c>
      <c r="R751" s="2392">
        <v>44830</v>
      </c>
      <c r="S751" s="2393">
        <f t="shared" si="51"/>
        <v>4492.5</v>
      </c>
      <c r="T751" s="2394">
        <f>IF(OR(J751="COP",J751="EURO",J751="GBP"),0,IF(J751="USD",VLOOKUP(R751,'TRM BanRep'!$A:$G,7,0)))</f>
        <v>4426.47</v>
      </c>
      <c r="U751" s="2406">
        <f t="shared" si="52"/>
        <v>237707999.99999908</v>
      </c>
      <c r="V751" s="2396" t="str">
        <f t="shared" si="48"/>
        <v>2-GASTO</v>
      </c>
      <c r="Z751" s="1633"/>
    </row>
    <row r="752" spans="3:26" hidden="1">
      <c r="C752">
        <v>2022</v>
      </c>
      <c r="D752" t="s">
        <v>2008</v>
      </c>
      <c r="F752">
        <v>1202049905</v>
      </c>
      <c r="G752" t="s">
        <v>1557</v>
      </c>
      <c r="H752" t="s">
        <v>2016</v>
      </c>
      <c r="I752" t="s">
        <v>2027</v>
      </c>
      <c r="J752" t="s">
        <v>64</v>
      </c>
      <c r="K752">
        <v>7900011882</v>
      </c>
      <c r="L752" t="s">
        <v>2016</v>
      </c>
      <c r="M752" s="1633">
        <v>-9316708.8399999999</v>
      </c>
      <c r="N752">
        <v>4556.33</v>
      </c>
      <c r="O752">
        <v>50</v>
      </c>
      <c r="P752" s="1633">
        <v>-42449999989</v>
      </c>
      <c r="Q752" t="s">
        <v>106</v>
      </c>
      <c r="R752" s="2392">
        <v>44831</v>
      </c>
      <c r="S752" s="2393">
        <f t="shared" si="51"/>
        <v>4556.33</v>
      </c>
      <c r="T752" s="2394">
        <f>IF(OR(J752="COP",J752="EURO",J752="GBP"),0,IF(J752="USD",VLOOKUP(R752,'TRM BanRep'!$A:$G,7,0)))</f>
        <v>4496.99</v>
      </c>
      <c r="U752" s="2406">
        <f t="shared" si="52"/>
        <v>552853502.56560135</v>
      </c>
      <c r="V752" s="2396" t="str">
        <f t="shared" si="48"/>
        <v>2-GASTO</v>
      </c>
      <c r="Z752" s="1633"/>
    </row>
    <row r="753" spans="3:26" hidden="1">
      <c r="C753">
        <v>2022</v>
      </c>
      <c r="D753" t="s">
        <v>2008</v>
      </c>
      <c r="F753">
        <v>1202049905</v>
      </c>
      <c r="G753" t="s">
        <v>1557</v>
      </c>
      <c r="H753" t="s">
        <v>2016</v>
      </c>
      <c r="I753" t="s">
        <v>2028</v>
      </c>
      <c r="J753" t="s">
        <v>64</v>
      </c>
      <c r="K753">
        <v>7900011890</v>
      </c>
      <c r="L753" t="s">
        <v>2016</v>
      </c>
      <c r="M753" s="1633">
        <v>-10857422.529999999</v>
      </c>
      <c r="N753">
        <v>4556.33</v>
      </c>
      <c r="O753">
        <v>50</v>
      </c>
      <c r="P753" s="1633">
        <v>-49469999996</v>
      </c>
      <c r="Q753" t="s">
        <v>106</v>
      </c>
      <c r="R753" s="2392">
        <v>44831</v>
      </c>
      <c r="S753" s="2393">
        <f t="shared" si="51"/>
        <v>4556.33</v>
      </c>
      <c r="T753" s="2394">
        <f>IF(OR(J753="COP",J753="EURO",J753="GBP"),0,IF(J753="USD",VLOOKUP(R753,'TRM BanRep'!$A:$G,7,0)))</f>
        <v>4496.99</v>
      </c>
      <c r="U753" s="2406">
        <f t="shared" si="52"/>
        <v>644279452.93020153</v>
      </c>
      <c r="V753" s="2396" t="str">
        <f t="shared" si="48"/>
        <v>2-GASTO</v>
      </c>
      <c r="Z753" s="1633"/>
    </row>
    <row r="754" spans="3:26" hidden="1">
      <c r="C754">
        <v>2022</v>
      </c>
      <c r="D754" t="s">
        <v>2008</v>
      </c>
      <c r="F754">
        <v>1202049905</v>
      </c>
      <c r="G754" t="s">
        <v>1557</v>
      </c>
      <c r="H754" t="s">
        <v>1492</v>
      </c>
      <c r="I754" t="s">
        <v>2029</v>
      </c>
      <c r="J754" t="s">
        <v>64</v>
      </c>
      <c r="K754">
        <v>7900012798</v>
      </c>
      <c r="L754" t="s">
        <v>1492</v>
      </c>
      <c r="M754" s="1633">
        <v>20174425.649999999</v>
      </c>
      <c r="N754">
        <v>4556.42</v>
      </c>
      <c r="O754">
        <v>40</v>
      </c>
      <c r="P754" s="1633">
        <v>91923156538</v>
      </c>
      <c r="Q754" t="s">
        <v>106</v>
      </c>
      <c r="R754" s="2392">
        <v>44834</v>
      </c>
      <c r="S754" s="2393">
        <f t="shared" si="51"/>
        <v>4556.42</v>
      </c>
      <c r="T754" s="2394">
        <f>IF(OR(J754="COP",J754="EURO",J754="GBP"),0,IF(J754="USD",VLOOKUP(R754,'TRM BanRep'!$A:$G,7,0)))</f>
        <v>4532.07</v>
      </c>
      <c r="U754" s="2398">
        <f t="shared" si="52"/>
        <v>-491247264.57750732</v>
      </c>
      <c r="V754" s="2397" t="str">
        <f t="shared" si="48"/>
        <v>1-INGRESO</v>
      </c>
      <c r="Z754" s="1633"/>
    </row>
    <row r="755" spans="3:26" hidden="1">
      <c r="C755">
        <v>2022</v>
      </c>
      <c r="D755" t="s">
        <v>2008</v>
      </c>
      <c r="F755">
        <v>1202049905</v>
      </c>
      <c r="G755" t="s">
        <v>1557</v>
      </c>
      <c r="H755" t="s">
        <v>2020</v>
      </c>
      <c r="I755" t="s">
        <v>2030</v>
      </c>
      <c r="J755" t="s">
        <v>64</v>
      </c>
      <c r="K755">
        <v>7900012837</v>
      </c>
      <c r="L755" t="s">
        <v>2020</v>
      </c>
      <c r="M755" s="1633">
        <v>-2000000</v>
      </c>
      <c r="N755">
        <v>4368</v>
      </c>
      <c r="O755">
        <v>50</v>
      </c>
      <c r="P755" s="1633">
        <v>-8736000000</v>
      </c>
      <c r="Q755" t="s">
        <v>106</v>
      </c>
      <c r="R755" s="2392">
        <v>44816</v>
      </c>
      <c r="S755" s="2393">
        <f t="shared" si="51"/>
        <v>4368</v>
      </c>
      <c r="T755" s="2394">
        <f>IF(OR(J755="COP",J755="EURO",J755="GBP"),0,IF(J755="USD",VLOOKUP(R755,'TRM BanRep'!$A:$G,7,0)))</f>
        <v>4365.32</v>
      </c>
      <c r="U755" s="2395">
        <f t="shared" si="52"/>
        <v>5360000.0000005821</v>
      </c>
      <c r="V755" s="2396" t="str">
        <f t="shared" si="48"/>
        <v>2-GASTO</v>
      </c>
      <c r="Z755" s="1633"/>
    </row>
    <row r="756" spans="3:26" hidden="1">
      <c r="C756">
        <v>2022</v>
      </c>
      <c r="D756" t="s">
        <v>2008</v>
      </c>
      <c r="F756">
        <v>2422999997</v>
      </c>
      <c r="G756" t="s">
        <v>1557</v>
      </c>
      <c r="H756" t="s">
        <v>1490</v>
      </c>
      <c r="I756" t="s">
        <v>2010</v>
      </c>
      <c r="J756" t="s">
        <v>106</v>
      </c>
      <c r="K756">
        <v>7900011755</v>
      </c>
      <c r="L756" t="s">
        <v>1490</v>
      </c>
      <c r="M756" s="1633">
        <v>-38394700000</v>
      </c>
      <c r="N756">
        <v>1</v>
      </c>
      <c r="O756">
        <v>50</v>
      </c>
      <c r="P756" s="1633">
        <v>-38394700000</v>
      </c>
      <c r="Q756" t="s">
        <v>106</v>
      </c>
      <c r="R756" s="2392">
        <v>44811</v>
      </c>
      <c r="S756" s="2393">
        <f t="shared" si="51"/>
        <v>1</v>
      </c>
      <c r="T756" s="2394">
        <f>IF(OR(J756="COP",J756="EURO",J756="GBP"),0,IF(J756="USD",VLOOKUP(R756,'TRM BanRep'!$A:$G,7,0)))</f>
        <v>0</v>
      </c>
      <c r="U756" s="2395">
        <f t="shared" si="52"/>
        <v>0</v>
      </c>
      <c r="V756" s="2395" t="str">
        <f t="shared" si="48"/>
        <v/>
      </c>
      <c r="Z756" s="1633"/>
    </row>
    <row r="757" spans="3:26" hidden="1">
      <c r="C757">
        <v>2022</v>
      </c>
      <c r="D757" t="s">
        <v>2008</v>
      </c>
      <c r="F757">
        <v>2422999997</v>
      </c>
      <c r="G757" t="s">
        <v>1557</v>
      </c>
      <c r="H757" t="s">
        <v>2014</v>
      </c>
      <c r="I757" t="s">
        <v>2015</v>
      </c>
      <c r="J757" t="s">
        <v>106</v>
      </c>
      <c r="K757">
        <v>7900011875</v>
      </c>
      <c r="L757" t="s">
        <v>2014</v>
      </c>
      <c r="M757" s="1633">
        <v>-16173000000</v>
      </c>
      <c r="N757">
        <v>1</v>
      </c>
      <c r="O757">
        <v>50</v>
      </c>
      <c r="P757" s="1633">
        <v>-16173000000</v>
      </c>
      <c r="Q757" t="s">
        <v>106</v>
      </c>
      <c r="R757" s="2392">
        <v>44830</v>
      </c>
      <c r="S757" s="2393">
        <f t="shared" si="51"/>
        <v>1</v>
      </c>
      <c r="T757" s="2394">
        <f>IF(OR(J757="COP",J757="EURO",J757="GBP"),0,IF(J757="USD",VLOOKUP(R757,'TRM BanRep'!$A:$G,7,0)))</f>
        <v>0</v>
      </c>
      <c r="U757" s="2395">
        <f t="shared" si="52"/>
        <v>0</v>
      </c>
      <c r="V757" s="2395" t="str">
        <f t="shared" si="48"/>
        <v/>
      </c>
      <c r="Z757" s="1633"/>
    </row>
    <row r="758" spans="3:26" hidden="1">
      <c r="C758">
        <v>2022</v>
      </c>
      <c r="D758" t="s">
        <v>2008</v>
      </c>
      <c r="F758">
        <v>2422999997</v>
      </c>
      <c r="G758" t="s">
        <v>1557</v>
      </c>
      <c r="H758" t="s">
        <v>2016</v>
      </c>
      <c r="I758" t="s">
        <v>2017</v>
      </c>
      <c r="J758" t="s">
        <v>106</v>
      </c>
      <c r="K758">
        <v>7900011883</v>
      </c>
      <c r="L758" t="s">
        <v>2016</v>
      </c>
      <c r="M758" s="1633">
        <v>-42449999989</v>
      </c>
      <c r="N758">
        <v>1</v>
      </c>
      <c r="O758">
        <v>50</v>
      </c>
      <c r="P758" s="1633">
        <v>-42449999989</v>
      </c>
      <c r="Q758" t="s">
        <v>106</v>
      </c>
      <c r="R758" s="2392">
        <v>44831</v>
      </c>
      <c r="S758" s="2393">
        <f t="shared" si="51"/>
        <v>1</v>
      </c>
      <c r="T758" s="2394">
        <f>IF(OR(J758="COP",J758="EURO",J758="GBP"),0,IF(J758="USD",VLOOKUP(R758,'TRM BanRep'!$A:$G,7,0)))</f>
        <v>0</v>
      </c>
      <c r="U758" s="2395">
        <f t="shared" si="52"/>
        <v>0</v>
      </c>
      <c r="V758" s="2395" t="str">
        <f t="shared" si="48"/>
        <v/>
      </c>
      <c r="Z758" s="1633"/>
    </row>
    <row r="759" spans="3:26" hidden="1">
      <c r="C759">
        <v>2022</v>
      </c>
      <c r="D759" t="s">
        <v>2008</v>
      </c>
      <c r="F759">
        <v>2422999997</v>
      </c>
      <c r="G759" t="s">
        <v>1557</v>
      </c>
      <c r="H759" t="s">
        <v>2016</v>
      </c>
      <c r="I759" t="s">
        <v>2018</v>
      </c>
      <c r="J759" t="s">
        <v>106</v>
      </c>
      <c r="K759">
        <v>7900011891</v>
      </c>
      <c r="L759" t="s">
        <v>2016</v>
      </c>
      <c r="M759" s="1633">
        <v>-49469999996</v>
      </c>
      <c r="N759">
        <v>1</v>
      </c>
      <c r="O759">
        <v>50</v>
      </c>
      <c r="P759" s="1633">
        <v>-49469999996</v>
      </c>
      <c r="Q759" t="s">
        <v>106</v>
      </c>
      <c r="R759" s="2392">
        <v>44831</v>
      </c>
      <c r="S759" s="2393">
        <f t="shared" si="51"/>
        <v>1</v>
      </c>
      <c r="T759" s="2394">
        <f>IF(OR(J759="COP",J759="EURO",J759="GBP"),0,IF(J759="USD",VLOOKUP(R759,'TRM BanRep'!$A:$G,7,0)))</f>
        <v>0</v>
      </c>
      <c r="U759" s="2395">
        <f t="shared" si="52"/>
        <v>0</v>
      </c>
      <c r="V759" s="2395" t="str">
        <f t="shared" si="48"/>
        <v/>
      </c>
      <c r="Z759" s="1633"/>
    </row>
    <row r="760" spans="3:26" hidden="1">
      <c r="C760">
        <v>2022</v>
      </c>
      <c r="D760" t="s">
        <v>2008</v>
      </c>
      <c r="F760">
        <v>2422999997</v>
      </c>
      <c r="G760" t="s">
        <v>1557</v>
      </c>
      <c r="H760" t="s">
        <v>2020</v>
      </c>
      <c r="I760" t="s">
        <v>2021</v>
      </c>
      <c r="J760" t="s">
        <v>106</v>
      </c>
      <c r="K760">
        <v>7900012838</v>
      </c>
      <c r="L760" t="s">
        <v>2020</v>
      </c>
      <c r="M760" s="1633">
        <v>-8736000000</v>
      </c>
      <c r="N760">
        <v>1</v>
      </c>
      <c r="O760">
        <v>50</v>
      </c>
      <c r="P760" s="1633">
        <v>-8736000000</v>
      </c>
      <c r="Q760" t="s">
        <v>106</v>
      </c>
      <c r="R760" s="2392">
        <v>44816</v>
      </c>
      <c r="S760" s="2393">
        <f t="shared" si="51"/>
        <v>1</v>
      </c>
      <c r="T760" s="2394">
        <f>IF(OR(J760="COP",J760="EURO",J760="GBP"),0,IF(J760="USD",VLOOKUP(R760,'TRM BanRep'!$A:$G,7,0)))</f>
        <v>0</v>
      </c>
      <c r="U760" s="2395">
        <f t="shared" si="52"/>
        <v>0</v>
      </c>
      <c r="V760" s="2395" t="str">
        <f t="shared" si="48"/>
        <v/>
      </c>
      <c r="Z760" s="1633"/>
    </row>
    <row r="761" spans="3:26" hidden="1">
      <c r="C761">
        <v>2022</v>
      </c>
      <c r="D761" t="s">
        <v>2008</v>
      </c>
      <c r="F761">
        <v>2422999997</v>
      </c>
      <c r="G761" t="s">
        <v>1608</v>
      </c>
      <c r="H761" t="s">
        <v>2031</v>
      </c>
      <c r="J761" t="s">
        <v>106</v>
      </c>
      <c r="K761">
        <v>2000008923</v>
      </c>
      <c r="L761" t="s">
        <v>2031</v>
      </c>
      <c r="M761" s="1633">
        <v>11973409000</v>
      </c>
      <c r="N761">
        <v>1</v>
      </c>
      <c r="O761">
        <v>40</v>
      </c>
      <c r="P761" s="1633">
        <v>11973409000</v>
      </c>
      <c r="Q761" t="s">
        <v>106</v>
      </c>
      <c r="R761" s="2392">
        <v>44809</v>
      </c>
      <c r="S761" s="2393">
        <f t="shared" si="51"/>
        <v>1</v>
      </c>
      <c r="T761" s="2394">
        <f>IF(OR(J761="COP",J761="EURO",J761="GBP"),0,IF(J761="USD",VLOOKUP(R761,'TRM BanRep'!$A:$G,7,0)))</f>
        <v>0</v>
      </c>
      <c r="U761" s="2395">
        <f t="shared" si="52"/>
        <v>0</v>
      </c>
      <c r="V761" s="2395" t="str">
        <f t="shared" si="48"/>
        <v/>
      </c>
      <c r="Z761" s="1633"/>
    </row>
    <row r="762" spans="3:26" hidden="1">
      <c r="C762">
        <v>2022</v>
      </c>
      <c r="D762" t="s">
        <v>2008</v>
      </c>
      <c r="F762">
        <v>2422999997</v>
      </c>
      <c r="G762" t="s">
        <v>1608</v>
      </c>
      <c r="H762" t="s">
        <v>1489</v>
      </c>
      <c r="J762" t="s">
        <v>106</v>
      </c>
      <c r="K762">
        <v>2000008925</v>
      </c>
      <c r="L762" t="s">
        <v>1489</v>
      </c>
      <c r="M762" s="1633">
        <v>27035757343</v>
      </c>
      <c r="N762">
        <v>1</v>
      </c>
      <c r="O762">
        <v>40</v>
      </c>
      <c r="P762" s="1633">
        <v>27035757343</v>
      </c>
      <c r="Q762" t="s">
        <v>106</v>
      </c>
      <c r="R762" s="2392">
        <v>44810</v>
      </c>
      <c r="S762" s="2393">
        <f t="shared" si="51"/>
        <v>1</v>
      </c>
      <c r="T762" s="2394">
        <f>IF(OR(J762="COP",J762="EURO",J762="GBP"),0,IF(J762="USD",VLOOKUP(R762,'TRM BanRep'!$A:$G,7,0)))</f>
        <v>0</v>
      </c>
      <c r="U762" s="2395">
        <f t="shared" si="52"/>
        <v>0</v>
      </c>
      <c r="V762" s="2395" t="str">
        <f t="shared" si="48"/>
        <v/>
      </c>
      <c r="Z762" s="1633"/>
    </row>
    <row r="763" spans="3:26" hidden="1">
      <c r="C763">
        <v>2022</v>
      </c>
      <c r="D763" t="s">
        <v>2008</v>
      </c>
      <c r="F763">
        <v>2422999997</v>
      </c>
      <c r="G763" t="s">
        <v>1608</v>
      </c>
      <c r="H763" t="s">
        <v>1489</v>
      </c>
      <c r="J763" t="s">
        <v>106</v>
      </c>
      <c r="K763">
        <v>2000009028</v>
      </c>
      <c r="L763" t="s">
        <v>1489</v>
      </c>
      <c r="M763" s="1633">
        <v>38394700000</v>
      </c>
      <c r="N763">
        <v>1</v>
      </c>
      <c r="O763">
        <v>40</v>
      </c>
      <c r="P763" s="1633">
        <v>38394700000</v>
      </c>
      <c r="Q763" t="s">
        <v>106</v>
      </c>
      <c r="R763" s="2392">
        <v>44810</v>
      </c>
      <c r="S763" s="2393">
        <f t="shared" si="51"/>
        <v>1</v>
      </c>
      <c r="T763" s="2394">
        <f>IF(OR(J763="COP",J763="EURO",J763="GBP"),0,IF(J763="USD",VLOOKUP(R763,'TRM BanRep'!$A:$G,7,0)))</f>
        <v>0</v>
      </c>
      <c r="U763" s="2395">
        <f t="shared" si="52"/>
        <v>0</v>
      </c>
      <c r="V763" s="2395" t="str">
        <f t="shared" si="48"/>
        <v/>
      </c>
      <c r="Z763" s="1633"/>
    </row>
    <row r="764" spans="3:26" hidden="1">
      <c r="C764">
        <v>2022</v>
      </c>
      <c r="D764" t="s">
        <v>2008</v>
      </c>
      <c r="F764">
        <v>2422999997</v>
      </c>
      <c r="G764" t="s">
        <v>1608</v>
      </c>
      <c r="H764" t="s">
        <v>2020</v>
      </c>
      <c r="J764" t="s">
        <v>106</v>
      </c>
      <c r="K764">
        <v>2000009253</v>
      </c>
      <c r="L764" t="s">
        <v>2020</v>
      </c>
      <c r="M764" s="1633">
        <v>2357755556</v>
      </c>
      <c r="N764">
        <v>1</v>
      </c>
      <c r="O764">
        <v>40</v>
      </c>
      <c r="P764" s="1633">
        <v>2357755556</v>
      </c>
      <c r="Q764" t="s">
        <v>106</v>
      </c>
      <c r="R764" s="2392">
        <v>44816</v>
      </c>
      <c r="S764" s="2393">
        <f t="shared" si="51"/>
        <v>1</v>
      </c>
      <c r="T764" s="2394">
        <f>IF(OR(J764="COP",J764="EURO",J764="GBP"),0,IF(J764="USD",VLOOKUP(R764,'TRM BanRep'!$A:$G,7,0)))</f>
        <v>0</v>
      </c>
      <c r="U764" s="2395">
        <f t="shared" si="52"/>
        <v>0</v>
      </c>
      <c r="V764" s="2395" t="str">
        <f t="shared" si="48"/>
        <v/>
      </c>
      <c r="Z764" s="1633"/>
    </row>
    <row r="765" spans="3:26" hidden="1">
      <c r="C765">
        <v>2022</v>
      </c>
      <c r="D765" t="s">
        <v>2008</v>
      </c>
      <c r="F765">
        <v>2422999997</v>
      </c>
      <c r="G765" t="s">
        <v>1608</v>
      </c>
      <c r="H765" t="s">
        <v>2032</v>
      </c>
      <c r="J765" t="s">
        <v>106</v>
      </c>
      <c r="K765">
        <v>2000009306</v>
      </c>
      <c r="L765" t="s">
        <v>2032</v>
      </c>
      <c r="M765" s="1633">
        <v>7157760048</v>
      </c>
      <c r="N765">
        <v>1</v>
      </c>
      <c r="O765">
        <v>40</v>
      </c>
      <c r="P765" s="1633">
        <v>7157760048</v>
      </c>
      <c r="Q765" t="s">
        <v>106</v>
      </c>
      <c r="R765" s="2392">
        <v>44817</v>
      </c>
      <c r="S765" s="2393">
        <f t="shared" si="51"/>
        <v>1</v>
      </c>
      <c r="T765" s="2394">
        <f>IF(OR(J765="COP",J765="EURO",J765="GBP"),0,IF(J765="USD",VLOOKUP(R765,'TRM BanRep'!$A:$G,7,0)))</f>
        <v>0</v>
      </c>
      <c r="U765" s="2395">
        <f t="shared" si="52"/>
        <v>0</v>
      </c>
      <c r="V765" s="2395" t="str">
        <f t="shared" si="48"/>
        <v/>
      </c>
      <c r="Z765" s="1633"/>
    </row>
    <row r="766" spans="3:26" hidden="1">
      <c r="C766">
        <v>2022</v>
      </c>
      <c r="D766" t="s">
        <v>2008</v>
      </c>
      <c r="F766">
        <v>2422999997</v>
      </c>
      <c r="G766" t="s">
        <v>1608</v>
      </c>
      <c r="H766" t="s">
        <v>1491</v>
      </c>
      <c r="J766" t="s">
        <v>106</v>
      </c>
      <c r="K766">
        <v>2000009341</v>
      </c>
      <c r="L766" t="s">
        <v>1491</v>
      </c>
      <c r="M766" s="1633">
        <v>33361960250</v>
      </c>
      <c r="N766">
        <v>1</v>
      </c>
      <c r="O766">
        <v>40</v>
      </c>
      <c r="P766" s="1633">
        <v>33361960250</v>
      </c>
      <c r="Q766" t="s">
        <v>106</v>
      </c>
      <c r="R766" s="2392">
        <v>44819</v>
      </c>
      <c r="S766" s="2393">
        <f t="shared" si="51"/>
        <v>1</v>
      </c>
      <c r="T766" s="2394">
        <f>IF(OR(J766="COP",J766="EURO",J766="GBP"),0,IF(J766="USD",VLOOKUP(R766,'TRM BanRep'!$A:$G,7,0)))</f>
        <v>0</v>
      </c>
      <c r="U766" s="2395">
        <f t="shared" si="52"/>
        <v>0</v>
      </c>
      <c r="V766" s="2395" t="str">
        <f t="shared" si="48"/>
        <v/>
      </c>
      <c r="Z766" s="1633"/>
    </row>
    <row r="767" spans="3:26" hidden="1">
      <c r="C767">
        <v>2022</v>
      </c>
      <c r="D767" t="s">
        <v>2008</v>
      </c>
      <c r="F767">
        <v>2422999997</v>
      </c>
      <c r="G767" t="s">
        <v>1608</v>
      </c>
      <c r="H767" t="s">
        <v>2033</v>
      </c>
      <c r="J767" t="s">
        <v>106</v>
      </c>
      <c r="K767">
        <v>2000009605</v>
      </c>
      <c r="L767" t="s">
        <v>2033</v>
      </c>
      <c r="M767" s="1633">
        <v>1728146749</v>
      </c>
      <c r="N767">
        <v>1</v>
      </c>
      <c r="O767">
        <v>40</v>
      </c>
      <c r="P767" s="1633">
        <v>1728146749</v>
      </c>
      <c r="Q767" t="s">
        <v>106</v>
      </c>
      <c r="R767" s="2392">
        <v>44827</v>
      </c>
      <c r="S767" s="2393">
        <f t="shared" si="51"/>
        <v>1</v>
      </c>
      <c r="T767" s="2394">
        <f>IF(OR(J767="COP",J767="EURO",J767="GBP"),0,IF(J767="USD",VLOOKUP(R767,'TRM BanRep'!$A:$G,7,0)))</f>
        <v>0</v>
      </c>
      <c r="U767" s="2395">
        <f t="shared" si="52"/>
        <v>0</v>
      </c>
      <c r="V767" s="2395" t="str">
        <f t="shared" si="48"/>
        <v/>
      </c>
      <c r="Z767" s="1633"/>
    </row>
    <row r="768" spans="3:26" hidden="1">
      <c r="C768">
        <v>2022</v>
      </c>
      <c r="D768" t="s">
        <v>2008</v>
      </c>
      <c r="F768">
        <v>2422999997</v>
      </c>
      <c r="G768" t="s">
        <v>1608</v>
      </c>
      <c r="H768" t="s">
        <v>2014</v>
      </c>
      <c r="J768" t="s">
        <v>106</v>
      </c>
      <c r="K768">
        <v>2000009644</v>
      </c>
      <c r="L768" t="s">
        <v>2014</v>
      </c>
      <c r="M768" s="1633">
        <v>2684100000</v>
      </c>
      <c r="N768">
        <v>1</v>
      </c>
      <c r="O768">
        <v>40</v>
      </c>
      <c r="P768" s="1633">
        <v>2684100000</v>
      </c>
      <c r="Q768" t="s">
        <v>106</v>
      </c>
      <c r="R768" s="2392">
        <v>44830</v>
      </c>
      <c r="S768" s="2393">
        <f t="shared" si="51"/>
        <v>1</v>
      </c>
      <c r="T768" s="2394">
        <f>IF(OR(J768="COP",J768="EURO",J768="GBP"),0,IF(J768="USD",VLOOKUP(R768,'TRM BanRep'!$A:$G,7,0)))</f>
        <v>0</v>
      </c>
      <c r="U768" s="2395">
        <f t="shared" si="52"/>
        <v>0</v>
      </c>
      <c r="V768" s="2395" t="str">
        <f t="shared" si="48"/>
        <v/>
      </c>
      <c r="Z768" s="1633"/>
    </row>
    <row r="769" spans="3:26" hidden="1">
      <c r="C769">
        <v>2022</v>
      </c>
      <c r="D769" t="s">
        <v>2008</v>
      </c>
      <c r="F769">
        <v>2422999997</v>
      </c>
      <c r="G769" t="s">
        <v>1608</v>
      </c>
      <c r="H769" t="s">
        <v>2014</v>
      </c>
      <c r="J769" t="s">
        <v>106</v>
      </c>
      <c r="K769">
        <v>2000009766</v>
      </c>
      <c r="L769" t="s">
        <v>2014</v>
      </c>
      <c r="M769" s="1633">
        <v>16173000000</v>
      </c>
      <c r="N769">
        <v>1</v>
      </c>
      <c r="O769">
        <v>40</v>
      </c>
      <c r="P769" s="1633">
        <v>16173000000</v>
      </c>
      <c r="Q769" t="s">
        <v>106</v>
      </c>
      <c r="R769" s="2392">
        <v>44830</v>
      </c>
      <c r="S769" s="2393">
        <f t="shared" si="51"/>
        <v>1</v>
      </c>
      <c r="T769" s="2394">
        <f>IF(OR(J769="COP",J769="EURO",J769="GBP"),0,IF(J769="USD",VLOOKUP(R769,'TRM BanRep'!$A:$G,7,0)))</f>
        <v>0</v>
      </c>
      <c r="U769" s="2395">
        <f t="shared" si="52"/>
        <v>0</v>
      </c>
      <c r="V769" s="2395" t="str">
        <f t="shared" si="48"/>
        <v/>
      </c>
      <c r="Z769" s="1633"/>
    </row>
    <row r="770" spans="3:26" hidden="1">
      <c r="C770">
        <v>2022</v>
      </c>
      <c r="D770" t="s">
        <v>2008</v>
      </c>
      <c r="F770">
        <v>2422999997</v>
      </c>
      <c r="G770" t="s">
        <v>1608</v>
      </c>
      <c r="H770" t="s">
        <v>2016</v>
      </c>
      <c r="J770" t="s">
        <v>106</v>
      </c>
      <c r="K770">
        <v>2000009767</v>
      </c>
      <c r="L770" t="s">
        <v>2016</v>
      </c>
      <c r="M770" s="1633">
        <v>42449999989</v>
      </c>
      <c r="N770">
        <v>1</v>
      </c>
      <c r="O770">
        <v>40</v>
      </c>
      <c r="P770" s="1633">
        <v>42449999989</v>
      </c>
      <c r="Q770" t="s">
        <v>106</v>
      </c>
      <c r="R770" s="2392">
        <v>44831</v>
      </c>
      <c r="S770" s="2393">
        <f t="shared" si="51"/>
        <v>1</v>
      </c>
      <c r="T770" s="2394">
        <f>IF(OR(J770="COP",J770="EURO",J770="GBP"),0,IF(J770="USD",VLOOKUP(R770,'TRM BanRep'!$A:$G,7,0)))</f>
        <v>0</v>
      </c>
      <c r="U770" s="2395">
        <f t="shared" si="52"/>
        <v>0</v>
      </c>
      <c r="V770" s="2395" t="str">
        <f t="shared" si="48"/>
        <v/>
      </c>
      <c r="Z770" s="1633"/>
    </row>
    <row r="771" spans="3:26" hidden="1">
      <c r="C771">
        <v>2022</v>
      </c>
      <c r="D771" t="s">
        <v>2008</v>
      </c>
      <c r="F771">
        <v>2422999997</v>
      </c>
      <c r="G771" t="s">
        <v>1608</v>
      </c>
      <c r="H771" t="s">
        <v>2016</v>
      </c>
      <c r="J771" t="s">
        <v>106</v>
      </c>
      <c r="K771">
        <v>2000009768</v>
      </c>
      <c r="L771" t="s">
        <v>2016</v>
      </c>
      <c r="M771" s="1633">
        <v>49469999996</v>
      </c>
      <c r="N771">
        <v>1</v>
      </c>
      <c r="O771">
        <v>40</v>
      </c>
      <c r="P771" s="1633">
        <v>49469999996</v>
      </c>
      <c r="Q771" t="s">
        <v>106</v>
      </c>
      <c r="R771" s="2392">
        <v>44831</v>
      </c>
      <c r="S771" s="2393">
        <f t="shared" si="51"/>
        <v>1</v>
      </c>
      <c r="T771" s="2394">
        <f>IF(OR(J771="COP",J771="EURO",J771="GBP"),0,IF(J771="USD",VLOOKUP(R771,'TRM BanRep'!$A:$G,7,0)))</f>
        <v>0</v>
      </c>
      <c r="U771" s="2395">
        <f t="shared" si="52"/>
        <v>0</v>
      </c>
      <c r="V771" s="2395" t="str">
        <f t="shared" si="48"/>
        <v/>
      </c>
      <c r="Z771" s="1633"/>
    </row>
    <row r="772" spans="3:26" hidden="1">
      <c r="C772">
        <v>2022</v>
      </c>
      <c r="D772" t="s">
        <v>2008</v>
      </c>
      <c r="F772">
        <v>2422999997</v>
      </c>
      <c r="G772" t="s">
        <v>1608</v>
      </c>
      <c r="H772" t="s">
        <v>2020</v>
      </c>
      <c r="J772" t="s">
        <v>106</v>
      </c>
      <c r="K772">
        <v>2000009810</v>
      </c>
      <c r="L772" t="s">
        <v>2020</v>
      </c>
      <c r="M772" s="1633">
        <v>8736000000</v>
      </c>
      <c r="N772">
        <v>1</v>
      </c>
      <c r="O772">
        <v>40</v>
      </c>
      <c r="P772" s="1633">
        <v>8736000000</v>
      </c>
      <c r="Q772" t="s">
        <v>106</v>
      </c>
      <c r="R772" s="2392">
        <v>44816</v>
      </c>
      <c r="S772" s="2393">
        <f t="shared" si="51"/>
        <v>1</v>
      </c>
      <c r="T772" s="2394">
        <f>IF(OR(J772="COP",J772="EURO",J772="GBP"),0,IF(J772="USD",VLOOKUP(R772,'TRM BanRep'!$A:$G,7,0)))</f>
        <v>0</v>
      </c>
      <c r="U772" s="2395">
        <f t="shared" si="52"/>
        <v>0</v>
      </c>
      <c r="V772" s="2395" t="str">
        <f t="shared" si="48"/>
        <v/>
      </c>
      <c r="Z772" s="1633"/>
    </row>
    <row r="773" spans="3:26" hidden="1">
      <c r="C773">
        <v>2022</v>
      </c>
      <c r="D773" t="s">
        <v>2008</v>
      </c>
      <c r="F773">
        <v>2422999997</v>
      </c>
      <c r="G773" t="s">
        <v>1609</v>
      </c>
      <c r="H773" t="s">
        <v>2031</v>
      </c>
      <c r="I773" t="s">
        <v>1927</v>
      </c>
      <c r="J773" t="s">
        <v>106</v>
      </c>
      <c r="K773">
        <v>7900011706</v>
      </c>
      <c r="L773" t="s">
        <v>2031</v>
      </c>
      <c r="M773" s="1633">
        <v>-3696642160</v>
      </c>
      <c r="N773">
        <v>1</v>
      </c>
      <c r="O773">
        <v>50</v>
      </c>
      <c r="P773" s="1633">
        <v>-3696642160</v>
      </c>
      <c r="Q773" t="s">
        <v>106</v>
      </c>
      <c r="R773" s="2392">
        <v>44809</v>
      </c>
      <c r="S773" s="2393">
        <f t="shared" si="51"/>
        <v>1</v>
      </c>
      <c r="T773" s="2394">
        <f>IF(OR(J773="COP",J773="EURO",J773="GBP"),0,IF(J773="USD",VLOOKUP(R773,'TRM BanRep'!$A:$G,7,0)))</f>
        <v>0</v>
      </c>
      <c r="U773" s="2395">
        <f t="shared" si="52"/>
        <v>0</v>
      </c>
      <c r="V773" s="2395" t="str">
        <f t="shared" si="48"/>
        <v/>
      </c>
      <c r="Z773" s="1633"/>
    </row>
    <row r="774" spans="3:26" hidden="1">
      <c r="C774">
        <v>2022</v>
      </c>
      <c r="D774" t="s">
        <v>2008</v>
      </c>
      <c r="F774">
        <v>2422999997</v>
      </c>
      <c r="G774" t="s">
        <v>1609</v>
      </c>
      <c r="H774" t="s">
        <v>2031</v>
      </c>
      <c r="I774" t="s">
        <v>1926</v>
      </c>
      <c r="J774" t="s">
        <v>106</v>
      </c>
      <c r="K774">
        <v>7900011707</v>
      </c>
      <c r="L774" t="s">
        <v>2031</v>
      </c>
      <c r="M774" s="1633">
        <v>-8276766840</v>
      </c>
      <c r="N774">
        <v>1</v>
      </c>
      <c r="O774">
        <v>50</v>
      </c>
      <c r="P774" s="1633">
        <v>-8276766840</v>
      </c>
      <c r="Q774" t="s">
        <v>106</v>
      </c>
      <c r="R774" s="2392">
        <v>44809</v>
      </c>
      <c r="S774" s="2393">
        <f t="shared" si="51"/>
        <v>1</v>
      </c>
      <c r="T774" s="2394">
        <f>IF(OR(J774="COP",J774="EURO",J774="GBP"),0,IF(J774="USD",VLOOKUP(R774,'TRM BanRep'!$A:$G,7,0)))</f>
        <v>0</v>
      </c>
      <c r="U774" s="2395">
        <f t="shared" si="52"/>
        <v>0</v>
      </c>
      <c r="V774" s="2395" t="str">
        <f t="shared" si="48"/>
        <v/>
      </c>
      <c r="Z774" s="1633"/>
    </row>
    <row r="775" spans="3:26" hidden="1">
      <c r="C775">
        <v>2022</v>
      </c>
      <c r="D775" t="s">
        <v>2008</v>
      </c>
      <c r="F775">
        <v>2422999997</v>
      </c>
      <c r="G775" t="s">
        <v>1609</v>
      </c>
      <c r="H775" t="s">
        <v>1489</v>
      </c>
      <c r="I775" t="s">
        <v>1749</v>
      </c>
      <c r="J775" t="s">
        <v>106</v>
      </c>
      <c r="K775">
        <v>7900011718</v>
      </c>
      <c r="L775" t="s">
        <v>1489</v>
      </c>
      <c r="M775" s="1633">
        <v>-6822487909</v>
      </c>
      <c r="N775">
        <v>1</v>
      </c>
      <c r="O775">
        <v>50</v>
      </c>
      <c r="P775" s="1633">
        <v>-6822487909</v>
      </c>
      <c r="Q775" t="s">
        <v>106</v>
      </c>
      <c r="R775" s="2392">
        <v>44810</v>
      </c>
      <c r="S775" s="2393">
        <f t="shared" si="51"/>
        <v>1</v>
      </c>
      <c r="T775" s="2394">
        <f>IF(OR(J775="COP",J775="EURO",J775="GBP"),0,IF(J775="USD",VLOOKUP(R775,'TRM BanRep'!$A:$G,7,0)))</f>
        <v>0</v>
      </c>
      <c r="U775" s="2395">
        <f t="shared" si="52"/>
        <v>0</v>
      </c>
      <c r="V775" s="2395" t="str">
        <f t="shared" ref="V775:V838" si="53">IF(U775=0,"",IF(U775&gt;0,"2-GASTO","1-INGRESO"))</f>
        <v/>
      </c>
      <c r="Z775" s="1633"/>
    </row>
    <row r="776" spans="3:26" hidden="1">
      <c r="C776">
        <v>2022</v>
      </c>
      <c r="D776" t="s">
        <v>2008</v>
      </c>
      <c r="F776">
        <v>2422999997</v>
      </c>
      <c r="G776" t="s">
        <v>1609</v>
      </c>
      <c r="H776" t="s">
        <v>1489</v>
      </c>
      <c r="I776" t="s">
        <v>1750</v>
      </c>
      <c r="J776" t="s">
        <v>106</v>
      </c>
      <c r="K776">
        <v>7900011719</v>
      </c>
      <c r="L776" t="s">
        <v>1489</v>
      </c>
      <c r="M776" s="1633">
        <v>-11699026020</v>
      </c>
      <c r="N776">
        <v>1</v>
      </c>
      <c r="O776">
        <v>50</v>
      </c>
      <c r="P776" s="1633">
        <v>-11699026020</v>
      </c>
      <c r="Q776" t="s">
        <v>106</v>
      </c>
      <c r="R776" s="2392">
        <v>44810</v>
      </c>
      <c r="S776" s="2393">
        <f t="shared" si="51"/>
        <v>1</v>
      </c>
      <c r="T776" s="2394">
        <f>IF(OR(J776="COP",J776="EURO",J776="GBP"),0,IF(J776="USD",VLOOKUP(R776,'TRM BanRep'!$A:$G,7,0)))</f>
        <v>0</v>
      </c>
      <c r="U776" s="2395">
        <f t="shared" si="52"/>
        <v>0</v>
      </c>
      <c r="V776" s="2395" t="str">
        <f t="shared" si="53"/>
        <v/>
      </c>
      <c r="Z776" s="1633"/>
    </row>
    <row r="777" spans="3:26" hidden="1">
      <c r="C777">
        <v>2022</v>
      </c>
      <c r="D777" t="s">
        <v>2008</v>
      </c>
      <c r="F777">
        <v>2422999997</v>
      </c>
      <c r="G777" t="s">
        <v>1609</v>
      </c>
      <c r="H777" t="s">
        <v>1489</v>
      </c>
      <c r="I777" t="s">
        <v>1747</v>
      </c>
      <c r="J777" t="s">
        <v>106</v>
      </c>
      <c r="K777">
        <v>7900011720</v>
      </c>
      <c r="L777" t="s">
        <v>1489</v>
      </c>
      <c r="M777" s="1633">
        <v>-2413089014</v>
      </c>
      <c r="N777">
        <v>1</v>
      </c>
      <c r="O777">
        <v>50</v>
      </c>
      <c r="P777" s="1633">
        <v>-2413089014</v>
      </c>
      <c r="Q777" t="s">
        <v>106</v>
      </c>
      <c r="R777" s="2392">
        <v>44810</v>
      </c>
      <c r="S777" s="2393">
        <f t="shared" si="51"/>
        <v>1</v>
      </c>
      <c r="T777" s="2394">
        <f>IF(OR(J777="COP",J777="EURO",J777="GBP"),0,IF(J777="USD",VLOOKUP(R777,'TRM BanRep'!$A:$G,7,0)))</f>
        <v>0</v>
      </c>
      <c r="U777" s="2395">
        <f t="shared" si="52"/>
        <v>0</v>
      </c>
      <c r="V777" s="2395" t="str">
        <f t="shared" si="53"/>
        <v/>
      </c>
      <c r="Z777" s="1633"/>
    </row>
    <row r="778" spans="3:26" hidden="1">
      <c r="C778">
        <v>2022</v>
      </c>
      <c r="D778" t="s">
        <v>2008</v>
      </c>
      <c r="F778">
        <v>2422999997</v>
      </c>
      <c r="G778" t="s">
        <v>1609</v>
      </c>
      <c r="H778" t="s">
        <v>1489</v>
      </c>
      <c r="I778" t="s">
        <v>1748</v>
      </c>
      <c r="J778" t="s">
        <v>106</v>
      </c>
      <c r="K778">
        <v>7900011721</v>
      </c>
      <c r="L778" t="s">
        <v>1489</v>
      </c>
      <c r="M778" s="1633">
        <v>-6101154400</v>
      </c>
      <c r="N778">
        <v>1</v>
      </c>
      <c r="O778">
        <v>50</v>
      </c>
      <c r="P778" s="1633">
        <v>-6101154400</v>
      </c>
      <c r="Q778" t="s">
        <v>106</v>
      </c>
      <c r="R778" s="2392">
        <v>44810</v>
      </c>
      <c r="S778" s="2393">
        <f t="shared" si="51"/>
        <v>1</v>
      </c>
      <c r="T778" s="2394">
        <f>IF(OR(J778="COP",J778="EURO",J778="GBP"),0,IF(J778="USD",VLOOKUP(R778,'TRM BanRep'!$A:$G,7,0)))</f>
        <v>0</v>
      </c>
      <c r="U778" s="2395">
        <f t="shared" si="52"/>
        <v>0</v>
      </c>
      <c r="V778" s="2395" t="str">
        <f t="shared" si="53"/>
        <v/>
      </c>
      <c r="Z778" s="1633"/>
    </row>
    <row r="779" spans="3:26" hidden="1">
      <c r="C779">
        <v>2022</v>
      </c>
      <c r="D779" t="s">
        <v>2008</v>
      </c>
      <c r="F779">
        <v>2422999997</v>
      </c>
      <c r="G779" t="s">
        <v>1609</v>
      </c>
      <c r="H779" t="s">
        <v>2020</v>
      </c>
      <c r="I779" t="s">
        <v>1751</v>
      </c>
      <c r="J779" t="s">
        <v>106</v>
      </c>
      <c r="K779">
        <v>7900011748</v>
      </c>
      <c r="L779" t="s">
        <v>2020</v>
      </c>
      <c r="M779" s="1633">
        <v>-2357755556</v>
      </c>
      <c r="N779">
        <v>1</v>
      </c>
      <c r="O779">
        <v>50</v>
      </c>
      <c r="P779" s="1633">
        <v>-2357755556</v>
      </c>
      <c r="Q779" t="s">
        <v>106</v>
      </c>
      <c r="R779" s="2392">
        <v>44816</v>
      </c>
      <c r="S779" s="2393">
        <f t="shared" si="51"/>
        <v>1</v>
      </c>
      <c r="T779" s="2394">
        <f>IF(OR(J779="COP",J779="EURO",J779="GBP"),0,IF(J779="USD",VLOOKUP(R779,'TRM BanRep'!$A:$G,7,0)))</f>
        <v>0</v>
      </c>
      <c r="U779" s="2395">
        <f t="shared" si="52"/>
        <v>0</v>
      </c>
      <c r="V779" s="2395" t="str">
        <f t="shared" si="53"/>
        <v/>
      </c>
      <c r="Z779" s="1633"/>
    </row>
    <row r="780" spans="3:26" hidden="1">
      <c r="C780">
        <v>2022</v>
      </c>
      <c r="D780" t="s">
        <v>2008</v>
      </c>
      <c r="F780">
        <v>2422999997</v>
      </c>
      <c r="G780" t="s">
        <v>1609</v>
      </c>
      <c r="H780" t="s">
        <v>2032</v>
      </c>
      <c r="I780" t="s">
        <v>1752</v>
      </c>
      <c r="J780" t="s">
        <v>106</v>
      </c>
      <c r="K780">
        <v>7900011774</v>
      </c>
      <c r="L780" t="s">
        <v>2032</v>
      </c>
      <c r="M780" s="1633">
        <v>-4047415506</v>
      </c>
      <c r="N780">
        <v>1</v>
      </c>
      <c r="O780">
        <v>50</v>
      </c>
      <c r="P780" s="1633">
        <v>-4047415506</v>
      </c>
      <c r="Q780" t="s">
        <v>106</v>
      </c>
      <c r="R780" s="2392">
        <v>44817</v>
      </c>
      <c r="S780" s="2393">
        <f t="shared" si="51"/>
        <v>1</v>
      </c>
      <c r="T780" s="2394">
        <f>IF(OR(J780="COP",J780="EURO",J780="GBP"),0,IF(J780="USD",VLOOKUP(R780,'TRM BanRep'!$A:$G,7,0)))</f>
        <v>0</v>
      </c>
      <c r="U780" s="2395">
        <f t="shared" si="52"/>
        <v>0</v>
      </c>
      <c r="V780" s="2395" t="str">
        <f t="shared" si="53"/>
        <v/>
      </c>
      <c r="Z780" s="1633"/>
    </row>
    <row r="781" spans="3:26" hidden="1">
      <c r="C781">
        <v>2022</v>
      </c>
      <c r="D781" t="s">
        <v>2008</v>
      </c>
      <c r="F781">
        <v>2422999997</v>
      </c>
      <c r="G781" t="s">
        <v>1609</v>
      </c>
      <c r="H781" t="s">
        <v>2032</v>
      </c>
      <c r="I781" t="s">
        <v>1753</v>
      </c>
      <c r="J781" t="s">
        <v>106</v>
      </c>
      <c r="K781">
        <v>7900011775</v>
      </c>
      <c r="L781" t="s">
        <v>2032</v>
      </c>
      <c r="M781" s="1633">
        <v>-3110344542</v>
      </c>
      <c r="N781">
        <v>1</v>
      </c>
      <c r="O781">
        <v>50</v>
      </c>
      <c r="P781" s="1633">
        <v>-3110344542</v>
      </c>
      <c r="Q781" t="s">
        <v>106</v>
      </c>
      <c r="R781" s="2392">
        <v>44817</v>
      </c>
      <c r="S781" s="2393">
        <f t="shared" si="51"/>
        <v>1</v>
      </c>
      <c r="T781" s="2394">
        <f>IF(OR(J781="COP",J781="EURO",J781="GBP"),0,IF(J781="USD",VLOOKUP(R781,'TRM BanRep'!$A:$G,7,0)))</f>
        <v>0</v>
      </c>
      <c r="U781" s="2395">
        <f t="shared" si="52"/>
        <v>0</v>
      </c>
      <c r="V781" s="2395" t="str">
        <f t="shared" si="53"/>
        <v/>
      </c>
      <c r="Z781" s="1633"/>
    </row>
    <row r="782" spans="3:26" hidden="1">
      <c r="C782">
        <v>2022</v>
      </c>
      <c r="D782" t="s">
        <v>2008</v>
      </c>
      <c r="F782">
        <v>2422999997</v>
      </c>
      <c r="G782" t="s">
        <v>1609</v>
      </c>
      <c r="H782" t="s">
        <v>1491</v>
      </c>
      <c r="I782" t="s">
        <v>1755</v>
      </c>
      <c r="J782" t="s">
        <v>106</v>
      </c>
      <c r="K782">
        <v>7900011782</v>
      </c>
      <c r="L782" t="s">
        <v>1491</v>
      </c>
      <c r="M782" s="1633">
        <v>-15256310000</v>
      </c>
      <c r="N782">
        <v>1</v>
      </c>
      <c r="O782">
        <v>50</v>
      </c>
      <c r="P782" s="1633">
        <v>-15256310000</v>
      </c>
      <c r="Q782" t="s">
        <v>106</v>
      </c>
      <c r="R782" s="2392">
        <v>44819</v>
      </c>
      <c r="S782" s="2393">
        <f t="shared" si="51"/>
        <v>1</v>
      </c>
      <c r="T782" s="2394">
        <f>IF(OR(J782="COP",J782="EURO",J782="GBP"),0,IF(J782="USD",VLOOKUP(R782,'TRM BanRep'!$A:$G,7,0)))</f>
        <v>0</v>
      </c>
      <c r="U782" s="2395">
        <f t="shared" si="52"/>
        <v>0</v>
      </c>
      <c r="V782" s="2395" t="str">
        <f t="shared" si="53"/>
        <v/>
      </c>
      <c r="Z782" s="1633"/>
    </row>
    <row r="783" spans="3:26" hidden="1">
      <c r="C783">
        <v>2022</v>
      </c>
      <c r="D783" t="s">
        <v>2008</v>
      </c>
      <c r="F783">
        <v>2422999997</v>
      </c>
      <c r="G783" t="s">
        <v>1609</v>
      </c>
      <c r="H783" t="s">
        <v>1491</v>
      </c>
      <c r="I783" t="s">
        <v>1754</v>
      </c>
      <c r="J783" t="s">
        <v>106</v>
      </c>
      <c r="K783">
        <v>7900011783</v>
      </c>
      <c r="L783" t="s">
        <v>1491</v>
      </c>
      <c r="M783" s="1633">
        <v>-18105650250</v>
      </c>
      <c r="N783">
        <v>1</v>
      </c>
      <c r="O783">
        <v>50</v>
      </c>
      <c r="P783" s="1633">
        <v>-18105650250</v>
      </c>
      <c r="Q783" t="s">
        <v>106</v>
      </c>
      <c r="R783" s="2392">
        <v>44819</v>
      </c>
      <c r="S783" s="2393">
        <f t="shared" si="51"/>
        <v>1</v>
      </c>
      <c r="T783" s="2394">
        <f>IF(OR(J783="COP",J783="EURO",J783="GBP"),0,IF(J783="USD",VLOOKUP(R783,'TRM BanRep'!$A:$G,7,0)))</f>
        <v>0</v>
      </c>
      <c r="U783" s="2395">
        <f t="shared" si="52"/>
        <v>0</v>
      </c>
      <c r="V783" s="2395" t="str">
        <f t="shared" si="53"/>
        <v/>
      </c>
      <c r="Z783" s="1633"/>
    </row>
    <row r="784" spans="3:26" hidden="1">
      <c r="C784">
        <v>2022</v>
      </c>
      <c r="D784" t="s">
        <v>2008</v>
      </c>
      <c r="F784">
        <v>2422999997</v>
      </c>
      <c r="G784" t="s">
        <v>1609</v>
      </c>
      <c r="H784" t="s">
        <v>2033</v>
      </c>
      <c r="I784" t="s">
        <v>1756</v>
      </c>
      <c r="J784" t="s">
        <v>106</v>
      </c>
      <c r="K784">
        <v>7900011828</v>
      </c>
      <c r="L784" t="s">
        <v>2033</v>
      </c>
      <c r="M784" s="1633">
        <v>-1728146749</v>
      </c>
      <c r="N784">
        <v>1</v>
      </c>
      <c r="O784">
        <v>50</v>
      </c>
      <c r="P784" s="1633">
        <v>-1728146749</v>
      </c>
      <c r="Q784" t="s">
        <v>106</v>
      </c>
      <c r="R784" s="2392">
        <v>44827</v>
      </c>
      <c r="S784" s="2393">
        <f t="shared" si="51"/>
        <v>1</v>
      </c>
      <c r="T784" s="2394">
        <f>IF(OR(J784="COP",J784="EURO",J784="GBP"),0,IF(J784="USD",VLOOKUP(R784,'TRM BanRep'!$A:$G,7,0)))</f>
        <v>0</v>
      </c>
      <c r="U784" s="2395">
        <f t="shared" si="52"/>
        <v>0</v>
      </c>
      <c r="V784" s="2395" t="str">
        <f t="shared" si="53"/>
        <v/>
      </c>
      <c r="Z784" s="1633"/>
    </row>
    <row r="785" spans="3:26" hidden="1">
      <c r="C785">
        <v>2022</v>
      </c>
      <c r="D785" t="s">
        <v>2008</v>
      </c>
      <c r="F785">
        <v>2422999997</v>
      </c>
      <c r="G785" t="s">
        <v>1609</v>
      </c>
      <c r="H785" t="s">
        <v>2014</v>
      </c>
      <c r="I785" t="s">
        <v>1757</v>
      </c>
      <c r="J785" t="s">
        <v>106</v>
      </c>
      <c r="K785">
        <v>7900011832</v>
      </c>
      <c r="L785" t="s">
        <v>2014</v>
      </c>
      <c r="M785" s="1633">
        <v>-2684100000</v>
      </c>
      <c r="N785">
        <v>1</v>
      </c>
      <c r="O785">
        <v>50</v>
      </c>
      <c r="P785" s="1633">
        <v>-2684100000</v>
      </c>
      <c r="Q785" t="s">
        <v>106</v>
      </c>
      <c r="R785" s="2392">
        <v>44830</v>
      </c>
      <c r="S785" s="2393">
        <f t="shared" si="51"/>
        <v>1</v>
      </c>
      <c r="T785" s="2394">
        <f>IF(OR(J785="COP",J785="EURO",J785="GBP"),0,IF(J785="USD",VLOOKUP(R785,'TRM BanRep'!$A:$G,7,0)))</f>
        <v>0</v>
      </c>
      <c r="U785" s="2395">
        <f t="shared" si="52"/>
        <v>0</v>
      </c>
      <c r="V785" s="2395" t="str">
        <f t="shared" si="53"/>
        <v/>
      </c>
      <c r="Z785" s="1633"/>
    </row>
    <row r="786" spans="3:26" hidden="1">
      <c r="C786">
        <v>2022</v>
      </c>
      <c r="D786" t="s">
        <v>2008</v>
      </c>
      <c r="F786">
        <v>2422999997</v>
      </c>
      <c r="G786" t="s">
        <v>1606</v>
      </c>
      <c r="H786" t="s">
        <v>1488</v>
      </c>
      <c r="I786" t="s">
        <v>1758</v>
      </c>
      <c r="J786" t="s">
        <v>64</v>
      </c>
      <c r="K786">
        <v>7900011695</v>
      </c>
      <c r="L786" t="s">
        <v>1488</v>
      </c>
      <c r="M786" s="1633">
        <v>-1715255.57</v>
      </c>
      <c r="N786">
        <v>4422.7700000000004</v>
      </c>
      <c r="O786">
        <v>50</v>
      </c>
      <c r="P786" s="1633">
        <v>-7586180877</v>
      </c>
      <c r="Q786" t="s">
        <v>106</v>
      </c>
      <c r="R786" s="2392">
        <v>44805</v>
      </c>
      <c r="S786" s="2393">
        <f t="shared" si="51"/>
        <v>4422.7700000000004</v>
      </c>
      <c r="T786" s="2394">
        <f>IF(OR(J786="COP",J786="EURO",J786="GBP"),0,IF(J786="USD",VLOOKUP(R786,'TRM BanRep'!$A:$G,7,0)))</f>
        <v>4422.7700000000004</v>
      </c>
      <c r="U786" s="2395">
        <f t="shared" si="52"/>
        <v>0</v>
      </c>
      <c r="V786" s="2395" t="str">
        <f t="shared" si="53"/>
        <v/>
      </c>
      <c r="Z786" s="1633"/>
    </row>
    <row r="787" spans="3:26" hidden="1">
      <c r="C787">
        <v>2022</v>
      </c>
      <c r="D787" t="s">
        <v>2008</v>
      </c>
      <c r="F787">
        <v>2422999997</v>
      </c>
      <c r="G787" t="s">
        <v>1557</v>
      </c>
      <c r="H787" t="s">
        <v>1489</v>
      </c>
      <c r="I787" t="s">
        <v>2022</v>
      </c>
      <c r="J787" t="s">
        <v>64</v>
      </c>
      <c r="K787">
        <v>7900011731</v>
      </c>
      <c r="L787" t="s">
        <v>1489</v>
      </c>
      <c r="M787" s="1633">
        <v>-858238.6</v>
      </c>
      <c r="N787">
        <v>4467.0300200000001</v>
      </c>
      <c r="O787">
        <v>50</v>
      </c>
      <c r="P787" s="1633">
        <v>-3833777593</v>
      </c>
      <c r="Q787" t="s">
        <v>106</v>
      </c>
      <c r="R787" s="2392">
        <v>44810</v>
      </c>
      <c r="S787" s="2393">
        <f t="shared" si="51"/>
        <v>4467.03</v>
      </c>
      <c r="T787" s="2394">
        <f>IF(OR(J787="COP",J787="EURO",J787="GBP"),0,IF(J787="USD",VLOOKUP(R787,'TRM BanRep'!$A:$G,7,0)))</f>
        <v>4466.7299999999996</v>
      </c>
      <c r="U787" s="2395">
        <f t="shared" si="52"/>
        <v>-257471.5800001561</v>
      </c>
      <c r="V787" s="2397" t="str">
        <f t="shared" si="53"/>
        <v>1-INGRESO</v>
      </c>
      <c r="Z787" s="1633"/>
    </row>
    <row r="788" spans="3:26" hidden="1">
      <c r="C788">
        <v>2022</v>
      </c>
      <c r="D788" t="s">
        <v>2008</v>
      </c>
      <c r="F788">
        <v>2422999997</v>
      </c>
      <c r="G788" t="s">
        <v>1557</v>
      </c>
      <c r="H788" t="s">
        <v>2011</v>
      </c>
      <c r="I788" t="s">
        <v>2024</v>
      </c>
      <c r="J788" t="s">
        <v>64</v>
      </c>
      <c r="K788">
        <v>7900011859</v>
      </c>
      <c r="L788" t="s">
        <v>2011</v>
      </c>
      <c r="M788" s="1633">
        <v>-2270392.31</v>
      </c>
      <c r="N788">
        <v>4496.99</v>
      </c>
      <c r="O788">
        <v>50</v>
      </c>
      <c r="P788" s="1633">
        <v>-10209931511</v>
      </c>
      <c r="Q788" t="s">
        <v>106</v>
      </c>
      <c r="R788" s="2392">
        <v>44832</v>
      </c>
      <c r="S788" s="2393">
        <f t="shared" si="51"/>
        <v>4496.99</v>
      </c>
      <c r="T788" s="2394">
        <f>IF(OR(J788="COP",J788="EURO",J788="GBP"),0,IF(J788="USD",VLOOKUP(R788,'TRM BanRep'!$A:$G,7,0)))</f>
        <v>4556.42</v>
      </c>
      <c r="U788" s="2395">
        <f t="shared" si="52"/>
        <v>134929414.98330066</v>
      </c>
      <c r="V788" s="2396" t="str">
        <f t="shared" si="53"/>
        <v>2-GASTO</v>
      </c>
      <c r="Z788" s="1633"/>
    </row>
    <row r="789" spans="3:26" hidden="1">
      <c r="C789">
        <v>2022</v>
      </c>
      <c r="D789" t="s">
        <v>2008</v>
      </c>
      <c r="F789">
        <v>2422999997</v>
      </c>
      <c r="G789" t="s">
        <v>1557</v>
      </c>
      <c r="H789" t="s">
        <v>2011</v>
      </c>
      <c r="I789" t="s">
        <v>2025</v>
      </c>
      <c r="J789" t="s">
        <v>64</v>
      </c>
      <c r="K789">
        <v>7900011867</v>
      </c>
      <c r="L789" t="s">
        <v>2011</v>
      </c>
      <c r="M789" s="1633">
        <v>-1383021.64</v>
      </c>
      <c r="N789">
        <v>4496.99</v>
      </c>
      <c r="O789">
        <v>50</v>
      </c>
      <c r="P789" s="1633">
        <v>-6219434486</v>
      </c>
      <c r="Q789" t="s">
        <v>106</v>
      </c>
      <c r="R789" s="2392">
        <v>44832</v>
      </c>
      <c r="S789" s="2393">
        <f t="shared" si="51"/>
        <v>4496.99</v>
      </c>
      <c r="T789" s="2394">
        <f>IF(OR(J789="COP",J789="EURO",J789="GBP"),0,IF(J789="USD",VLOOKUP(R789,'TRM BanRep'!$A:$G,7,0)))</f>
        <v>4556.42</v>
      </c>
      <c r="U789" s="2395">
        <f t="shared" si="52"/>
        <v>82192976.065200403</v>
      </c>
      <c r="V789" s="2396" t="str">
        <f t="shared" si="53"/>
        <v>2-GASTO</v>
      </c>
      <c r="Z789" s="1633"/>
    </row>
    <row r="790" spans="3:26" hidden="1">
      <c r="C790">
        <v>2022</v>
      </c>
      <c r="D790" t="s">
        <v>2008</v>
      </c>
      <c r="F790">
        <v>2422999997</v>
      </c>
      <c r="G790" t="s">
        <v>1557</v>
      </c>
      <c r="H790" t="s">
        <v>1492</v>
      </c>
      <c r="I790" t="s">
        <v>2029</v>
      </c>
      <c r="J790" t="s">
        <v>64</v>
      </c>
      <c r="K790">
        <v>7900012798</v>
      </c>
      <c r="L790" t="s">
        <v>1492</v>
      </c>
      <c r="M790" s="1633">
        <v>-20174425.649999999</v>
      </c>
      <c r="N790">
        <v>4556.42</v>
      </c>
      <c r="O790">
        <v>50</v>
      </c>
      <c r="P790" s="1633">
        <v>-91923156538</v>
      </c>
      <c r="Q790" t="s">
        <v>106</v>
      </c>
      <c r="R790" s="2392">
        <v>44834</v>
      </c>
      <c r="S790" s="2393">
        <f t="shared" si="51"/>
        <v>4556.42</v>
      </c>
      <c r="T790" s="2394">
        <f>IF(OR(J790="COP",J790="EURO",J790="GBP"),0,IF(J790="USD",VLOOKUP(R790,'TRM BanRep'!$A:$G,7,0)))</f>
        <v>4532.07</v>
      </c>
      <c r="U790" s="2395">
        <f t="shared" si="52"/>
        <v>-491247264.57750732</v>
      </c>
      <c r="V790" s="2397" t="str">
        <f t="shared" si="53"/>
        <v>1-INGRESO</v>
      </c>
      <c r="Z790" s="1633"/>
    </row>
    <row r="791" spans="3:26" hidden="1">
      <c r="C791">
        <v>2022</v>
      </c>
      <c r="D791" t="s">
        <v>2008</v>
      </c>
      <c r="F791">
        <v>2422999997</v>
      </c>
      <c r="G791" t="s">
        <v>1608</v>
      </c>
      <c r="H791" t="s">
        <v>1489</v>
      </c>
      <c r="J791" t="s">
        <v>64</v>
      </c>
      <c r="K791">
        <v>2000008926</v>
      </c>
      <c r="L791" t="s">
        <v>1489</v>
      </c>
      <c r="M791" s="1633">
        <v>858238.6</v>
      </c>
      <c r="N791">
        <v>4467.0300200000001</v>
      </c>
      <c r="O791">
        <v>40</v>
      </c>
      <c r="P791" s="1633">
        <v>3833777593</v>
      </c>
      <c r="Q791" t="s">
        <v>106</v>
      </c>
      <c r="R791" s="2392">
        <v>44810</v>
      </c>
      <c r="S791" s="2393">
        <f t="shared" si="51"/>
        <v>4467.03</v>
      </c>
      <c r="T791" s="2394">
        <f>IF(OR(J791="COP",J791="EURO",J791="GBP"),0,IF(J791="USD",VLOOKUP(R791,'TRM BanRep'!$A:$G,7,0)))</f>
        <v>4466.7299999999996</v>
      </c>
      <c r="U791" s="2395">
        <f t="shared" si="52"/>
        <v>257471.5800001561</v>
      </c>
      <c r="V791" s="2396" t="str">
        <f t="shared" si="53"/>
        <v>2-GASTO</v>
      </c>
      <c r="Z791" s="1633"/>
    </row>
    <row r="792" spans="3:26" hidden="1">
      <c r="C792">
        <v>2022</v>
      </c>
      <c r="D792" t="s">
        <v>2008</v>
      </c>
      <c r="F792">
        <v>2422999997</v>
      </c>
      <c r="G792" t="s">
        <v>1608</v>
      </c>
      <c r="H792" t="s">
        <v>1488</v>
      </c>
      <c r="J792" t="s">
        <v>64</v>
      </c>
      <c r="K792">
        <v>2000009546</v>
      </c>
      <c r="L792" t="s">
        <v>1488</v>
      </c>
      <c r="M792" s="1633">
        <v>2090536.83</v>
      </c>
      <c r="N792">
        <v>4422.7700000000004</v>
      </c>
      <c r="O792">
        <v>40</v>
      </c>
      <c r="P792" s="1633">
        <v>9245963575</v>
      </c>
      <c r="Q792" t="s">
        <v>106</v>
      </c>
      <c r="R792" s="2392">
        <v>44805</v>
      </c>
      <c r="S792" s="2393">
        <f t="shared" si="51"/>
        <v>4422.7700000000004</v>
      </c>
      <c r="T792" s="2394">
        <f>IF(OR(J792="COP",J792="EURO",J792="GBP"),0,IF(J792="USD",VLOOKUP(R792,'TRM BanRep'!$A:$G,7,0)))</f>
        <v>4422.7700000000004</v>
      </c>
      <c r="U792" s="2395">
        <f t="shared" si="52"/>
        <v>0</v>
      </c>
      <c r="V792" s="2395" t="str">
        <f t="shared" si="53"/>
        <v/>
      </c>
      <c r="Z792" s="1633"/>
    </row>
    <row r="793" spans="3:26" hidden="1">
      <c r="C793">
        <v>2022</v>
      </c>
      <c r="D793" t="s">
        <v>2008</v>
      </c>
      <c r="F793">
        <v>2422999997</v>
      </c>
      <c r="G793" t="s">
        <v>1608</v>
      </c>
      <c r="H793" t="s">
        <v>2011</v>
      </c>
      <c r="J793" t="s">
        <v>64</v>
      </c>
      <c r="K793">
        <v>2000009761</v>
      </c>
      <c r="L793" t="s">
        <v>2011</v>
      </c>
      <c r="M793" s="1633">
        <v>3653413.95</v>
      </c>
      <c r="N793">
        <v>4496.99</v>
      </c>
      <c r="O793">
        <v>40</v>
      </c>
      <c r="P793" s="1633">
        <v>16429365997</v>
      </c>
      <c r="Q793" t="s">
        <v>106</v>
      </c>
      <c r="R793" s="2392">
        <v>44832</v>
      </c>
      <c r="S793" s="2393">
        <f t="shared" si="51"/>
        <v>4496.99</v>
      </c>
      <c r="T793" s="2394">
        <f>IF(OR(J793="COP",J793="EURO",J793="GBP"),0,IF(J793="USD",VLOOKUP(R793,'TRM BanRep'!$A:$G,7,0)))</f>
        <v>4556.42</v>
      </c>
      <c r="U793" s="2395">
        <f t="shared" si="52"/>
        <v>-217122391.04850107</v>
      </c>
      <c r="V793" s="2397" t="str">
        <f t="shared" si="53"/>
        <v>1-INGRESO</v>
      </c>
      <c r="Z793" s="1633"/>
    </row>
    <row r="794" spans="3:26" hidden="1">
      <c r="C794">
        <v>2022</v>
      </c>
      <c r="D794" t="s">
        <v>2008</v>
      </c>
      <c r="F794">
        <v>2422999997</v>
      </c>
      <c r="G794" t="s">
        <v>1608</v>
      </c>
      <c r="H794" t="s">
        <v>1492</v>
      </c>
      <c r="J794" t="s">
        <v>64</v>
      </c>
      <c r="K794">
        <v>2000009808</v>
      </c>
      <c r="L794" t="s">
        <v>1492</v>
      </c>
      <c r="M794" s="1633">
        <v>20174425.649999999</v>
      </c>
      <c r="N794">
        <v>4556.42</v>
      </c>
      <c r="O794">
        <v>40</v>
      </c>
      <c r="P794" s="1633">
        <v>91923156538</v>
      </c>
      <c r="Q794" t="s">
        <v>106</v>
      </c>
      <c r="R794" s="2392">
        <v>44834</v>
      </c>
      <c r="S794" s="2393">
        <f t="shared" si="51"/>
        <v>4556.42</v>
      </c>
      <c r="T794" s="2394">
        <f>IF(OR(J794="COP",J794="EURO",J794="GBP"),0,IF(J794="USD",VLOOKUP(R794,'TRM BanRep'!$A:$G,7,0)))</f>
        <v>4532.07</v>
      </c>
      <c r="U794" s="2395">
        <f t="shared" si="52"/>
        <v>491247264.57750732</v>
      </c>
      <c r="V794" s="2396" t="str">
        <f t="shared" si="53"/>
        <v>2-GASTO</v>
      </c>
      <c r="Z794" s="1633"/>
    </row>
    <row r="795" spans="3:26" hidden="1">
      <c r="C795">
        <v>2022</v>
      </c>
      <c r="D795" t="s">
        <v>2008</v>
      </c>
      <c r="F795">
        <v>2422999997</v>
      </c>
      <c r="G795" t="s">
        <v>1609</v>
      </c>
      <c r="H795" t="s">
        <v>1488</v>
      </c>
      <c r="I795" t="s">
        <v>1759</v>
      </c>
      <c r="J795" t="s">
        <v>64</v>
      </c>
      <c r="K795">
        <v>7900011694</v>
      </c>
      <c r="L795" t="s">
        <v>1488</v>
      </c>
      <c r="M795" s="1633">
        <v>-375281.26</v>
      </c>
      <c r="N795">
        <v>4422.7700000000004</v>
      </c>
      <c r="O795">
        <v>50</v>
      </c>
      <c r="P795" s="1633">
        <v>-1659782698</v>
      </c>
      <c r="Q795" t="s">
        <v>106</v>
      </c>
      <c r="R795" s="2392">
        <v>44805</v>
      </c>
      <c r="S795" s="2393">
        <f t="shared" si="51"/>
        <v>4422.7700000000004</v>
      </c>
      <c r="T795" s="2394">
        <f>IF(OR(J795="COP",J795="EURO",J795="GBP"),0,IF(J795="USD",VLOOKUP(R795,'TRM BanRep'!$A:$G,7,0)))</f>
        <v>4422.7700000000004</v>
      </c>
      <c r="U795" s="2395">
        <f t="shared" si="52"/>
        <v>0</v>
      </c>
      <c r="V795" s="2395" t="str">
        <f t="shared" si="53"/>
        <v/>
      </c>
      <c r="Z795" s="1633"/>
    </row>
    <row r="796" spans="3:26">
      <c r="M796" s="1633"/>
      <c r="P796" s="1633"/>
      <c r="R796" s="2392"/>
      <c r="S796" s="2393"/>
      <c r="T796" s="2394"/>
      <c r="U796" s="2395"/>
      <c r="V796" s="2395" t="str">
        <f t="shared" si="53"/>
        <v/>
      </c>
    </row>
    <row r="797" spans="3:26" hidden="1">
      <c r="C797">
        <v>2022</v>
      </c>
      <c r="D797" t="s">
        <v>2034</v>
      </c>
      <c r="F797">
        <v>1202049905</v>
      </c>
      <c r="G797" t="s">
        <v>1557</v>
      </c>
      <c r="H797" t="s">
        <v>2035</v>
      </c>
      <c r="I797" t="s">
        <v>2036</v>
      </c>
      <c r="J797" t="s">
        <v>64</v>
      </c>
      <c r="K797">
        <v>7900013465</v>
      </c>
      <c r="L797" t="s">
        <v>2035</v>
      </c>
      <c r="M797" s="1860">
        <v>-5000000</v>
      </c>
      <c r="N797" s="1860">
        <v>4590.54</v>
      </c>
      <c r="O797">
        <v>50</v>
      </c>
      <c r="P797" s="1633">
        <v>-22952700000</v>
      </c>
      <c r="Q797" t="s">
        <v>106</v>
      </c>
      <c r="R797" s="2392">
        <v>44837</v>
      </c>
      <c r="S797" s="2393">
        <f t="shared" ref="S797:S850" si="54">+ROUND(P797/M797,2)</f>
        <v>4590.54</v>
      </c>
      <c r="T797" s="2394">
        <f>IF(OR(J797="COP",J797="EURO",J797="GBP"),0,IF(J797="USD",VLOOKUP(R797,'TRM BanRep'!$A:$G,7,0)))</f>
        <v>4590.54</v>
      </c>
      <c r="U797" s="2395">
        <f t="shared" ref="U797:U850" si="55">IF(F797=2422999997,-IF(T797=0,0,(T797-S797)*M797),IF(T797=0,0,(T797-S797)*M797))</f>
        <v>0</v>
      </c>
      <c r="V797" s="2395" t="str">
        <f t="shared" si="53"/>
        <v/>
      </c>
    </row>
    <row r="798" spans="3:26" hidden="1">
      <c r="C798">
        <v>2022</v>
      </c>
      <c r="D798" t="s">
        <v>2034</v>
      </c>
      <c r="F798">
        <v>1202049905</v>
      </c>
      <c r="G798" t="s">
        <v>1557</v>
      </c>
      <c r="H798" t="s">
        <v>2035</v>
      </c>
      <c r="I798" t="s">
        <v>2037</v>
      </c>
      <c r="J798" t="s">
        <v>106</v>
      </c>
      <c r="K798">
        <v>7900013466</v>
      </c>
      <c r="L798" t="s">
        <v>2035</v>
      </c>
      <c r="M798" s="1633">
        <v>22952700000</v>
      </c>
      <c r="N798">
        <v>1</v>
      </c>
      <c r="O798">
        <v>40</v>
      </c>
      <c r="P798" s="1633">
        <v>22952700000</v>
      </c>
      <c r="Q798" t="s">
        <v>106</v>
      </c>
      <c r="R798" s="2392">
        <v>44837</v>
      </c>
      <c r="S798" s="2393">
        <f t="shared" si="54"/>
        <v>1</v>
      </c>
      <c r="T798" s="2394">
        <f>IF(OR(J798="COP",J798="EURO",J798="GBP"),0,IF(J798="USD",VLOOKUP(R798,'TRM BanRep'!$A:$G,7,0)))</f>
        <v>0</v>
      </c>
      <c r="U798" s="2395">
        <f t="shared" si="55"/>
        <v>0</v>
      </c>
      <c r="V798" s="2395" t="str">
        <f t="shared" si="53"/>
        <v/>
      </c>
    </row>
    <row r="799" spans="3:26" hidden="1">
      <c r="C799">
        <v>2022</v>
      </c>
      <c r="D799" t="s">
        <v>2034</v>
      </c>
      <c r="F799">
        <v>1202049905</v>
      </c>
      <c r="G799" t="s">
        <v>1557</v>
      </c>
      <c r="H799" t="s">
        <v>1493</v>
      </c>
      <c r="I799" t="s">
        <v>2038</v>
      </c>
      <c r="J799" t="s">
        <v>64</v>
      </c>
      <c r="K799">
        <v>7900013672</v>
      </c>
      <c r="L799" t="s">
        <v>1493</v>
      </c>
      <c r="M799" s="1860">
        <v>-3100000</v>
      </c>
      <c r="N799" s="1860">
        <v>4614</v>
      </c>
      <c r="O799">
        <v>50</v>
      </c>
      <c r="P799" s="1633">
        <v>-14303400000</v>
      </c>
      <c r="Q799" t="s">
        <v>106</v>
      </c>
      <c r="R799" s="2392">
        <v>44840</v>
      </c>
      <c r="S799" s="2393">
        <f t="shared" si="54"/>
        <v>4614</v>
      </c>
      <c r="T799" s="2394">
        <f>IF(OR(J799="COP",J799="EURO",J799="GBP"),0,IF(J799="USD",VLOOKUP(R799,'TRM BanRep'!$A:$G,7,0)))</f>
        <v>4548.8900000000003</v>
      </c>
      <c r="U799" s="2407">
        <f t="shared" si="55"/>
        <v>201840999.99999899</v>
      </c>
      <c r="V799" s="2396" t="str">
        <f t="shared" si="53"/>
        <v>2-GASTO</v>
      </c>
    </row>
    <row r="800" spans="3:26" hidden="1">
      <c r="C800">
        <v>2022</v>
      </c>
      <c r="D800" t="s">
        <v>2034</v>
      </c>
      <c r="F800">
        <v>1202049905</v>
      </c>
      <c r="G800" t="s">
        <v>1557</v>
      </c>
      <c r="H800" t="s">
        <v>1493</v>
      </c>
      <c r="I800" t="s">
        <v>2039</v>
      </c>
      <c r="J800" t="s">
        <v>106</v>
      </c>
      <c r="K800">
        <v>7900013673</v>
      </c>
      <c r="L800" t="s">
        <v>1493</v>
      </c>
      <c r="M800" s="1633">
        <v>14303400000</v>
      </c>
      <c r="N800">
        <v>1</v>
      </c>
      <c r="O800">
        <v>40</v>
      </c>
      <c r="P800" s="1633">
        <v>14303400000</v>
      </c>
      <c r="Q800" t="s">
        <v>106</v>
      </c>
      <c r="R800" s="2392">
        <v>44840</v>
      </c>
      <c r="S800" s="2393">
        <f t="shared" si="54"/>
        <v>1</v>
      </c>
      <c r="T800" s="2394">
        <f>IF(OR(J800="COP",J800="EURO",J800="GBP"),0,IF(J800="USD",VLOOKUP(R800,'TRM BanRep'!$A:$G,7,0)))</f>
        <v>0</v>
      </c>
      <c r="U800" s="2395">
        <f t="shared" si="55"/>
        <v>0</v>
      </c>
      <c r="V800" s="2395" t="str">
        <f t="shared" si="53"/>
        <v/>
      </c>
    </row>
    <row r="801" spans="3:22" hidden="1">
      <c r="C801">
        <v>2022</v>
      </c>
      <c r="D801" t="s">
        <v>2034</v>
      </c>
      <c r="F801">
        <v>1202049905</v>
      </c>
      <c r="G801" t="s">
        <v>1557</v>
      </c>
      <c r="H801" t="s">
        <v>2040</v>
      </c>
      <c r="I801" t="s">
        <v>2041</v>
      </c>
      <c r="J801" t="s">
        <v>106</v>
      </c>
      <c r="K801">
        <v>7900013528</v>
      </c>
      <c r="L801" t="s">
        <v>2040</v>
      </c>
      <c r="M801" s="1633">
        <v>-4076184153</v>
      </c>
      <c r="N801">
        <v>1</v>
      </c>
      <c r="O801">
        <v>50</v>
      </c>
      <c r="P801" s="1633">
        <v>-4076184153</v>
      </c>
      <c r="Q801" t="s">
        <v>106</v>
      </c>
      <c r="R801" s="2392">
        <v>44841</v>
      </c>
      <c r="S801" s="2393">
        <f t="shared" si="54"/>
        <v>1</v>
      </c>
      <c r="T801" s="2394">
        <f>IF(OR(J801="COP",J801="EURO",J801="GBP"),0,IF(J801="USD",VLOOKUP(R801,'TRM BanRep'!$A:$G,7,0)))</f>
        <v>0</v>
      </c>
      <c r="U801" s="2395">
        <f t="shared" si="55"/>
        <v>0</v>
      </c>
      <c r="V801" s="2395" t="str">
        <f t="shared" si="53"/>
        <v/>
      </c>
    </row>
    <row r="802" spans="3:22" hidden="1">
      <c r="C802">
        <v>2022</v>
      </c>
      <c r="D802" t="s">
        <v>2034</v>
      </c>
      <c r="F802">
        <v>1202049905</v>
      </c>
      <c r="G802" t="s">
        <v>1557</v>
      </c>
      <c r="H802" t="s">
        <v>2040</v>
      </c>
      <c r="I802" t="s">
        <v>2042</v>
      </c>
      <c r="J802" t="s">
        <v>64</v>
      </c>
      <c r="K802">
        <v>7900013529</v>
      </c>
      <c r="L802" t="s">
        <v>2040</v>
      </c>
      <c r="M802" s="1860">
        <v>896083.25</v>
      </c>
      <c r="N802" s="1860">
        <v>4548.8900199999998</v>
      </c>
      <c r="O802">
        <v>40</v>
      </c>
      <c r="P802" s="1633">
        <v>4076184153</v>
      </c>
      <c r="Q802" t="s">
        <v>106</v>
      </c>
      <c r="R802" s="2392">
        <v>44841</v>
      </c>
      <c r="S802" s="2393">
        <f t="shared" si="54"/>
        <v>4548.8900000000003</v>
      </c>
      <c r="T802" s="2394">
        <f>IF(OR(J802="COP",J802="EURO",J802="GBP"),0,IF(J802="USD",VLOOKUP(R802,'TRM BanRep'!$A:$G,7,0)))</f>
        <v>4627.6099999999997</v>
      </c>
      <c r="U802" s="2407">
        <f t="shared" si="55"/>
        <v>70539673.439999416</v>
      </c>
      <c r="V802" s="2396" t="str">
        <f t="shared" si="53"/>
        <v>2-GASTO</v>
      </c>
    </row>
    <row r="803" spans="3:22" hidden="1">
      <c r="C803">
        <v>2022</v>
      </c>
      <c r="D803" t="s">
        <v>2034</v>
      </c>
      <c r="F803">
        <v>1202049905</v>
      </c>
      <c r="G803" t="s">
        <v>1557</v>
      </c>
      <c r="H803" t="s">
        <v>2040</v>
      </c>
      <c r="I803" t="s">
        <v>2043</v>
      </c>
      <c r="J803" t="s">
        <v>106</v>
      </c>
      <c r="K803">
        <v>7900013536</v>
      </c>
      <c r="L803" t="s">
        <v>2040</v>
      </c>
      <c r="M803" s="1633">
        <v>-3598236192</v>
      </c>
      <c r="N803">
        <v>1</v>
      </c>
      <c r="O803">
        <v>50</v>
      </c>
      <c r="P803" s="1633">
        <v>-3598236192</v>
      </c>
      <c r="Q803" t="s">
        <v>106</v>
      </c>
      <c r="R803" s="2392">
        <v>44841</v>
      </c>
      <c r="S803" s="2393">
        <f t="shared" si="54"/>
        <v>1</v>
      </c>
      <c r="T803" s="2394">
        <f>IF(OR(J803="COP",J803="EURO",J803="GBP"),0,IF(J803="USD",VLOOKUP(R803,'TRM BanRep'!$A:$G,7,0)))</f>
        <v>0</v>
      </c>
      <c r="U803" s="2395">
        <f t="shared" si="55"/>
        <v>0</v>
      </c>
      <c r="V803" s="2395" t="str">
        <f t="shared" si="53"/>
        <v/>
      </c>
    </row>
    <row r="804" spans="3:22" hidden="1">
      <c r="C804">
        <v>2022</v>
      </c>
      <c r="D804" t="s">
        <v>2034</v>
      </c>
      <c r="F804">
        <v>1202049905</v>
      </c>
      <c r="G804" t="s">
        <v>1557</v>
      </c>
      <c r="H804" t="s">
        <v>2040</v>
      </c>
      <c r="I804" t="s">
        <v>2044</v>
      </c>
      <c r="J804" t="s">
        <v>64</v>
      </c>
      <c r="K804">
        <v>7900013537</v>
      </c>
      <c r="L804" t="s">
        <v>2040</v>
      </c>
      <c r="M804" s="1860">
        <v>791014.11</v>
      </c>
      <c r="N804" s="1860">
        <v>4548.8900199999998</v>
      </c>
      <c r="O804">
        <v>40</v>
      </c>
      <c r="P804" s="1633">
        <v>3598236192</v>
      </c>
      <c r="Q804" t="s">
        <v>106</v>
      </c>
      <c r="R804" s="2392">
        <v>44841</v>
      </c>
      <c r="S804" s="2393">
        <f t="shared" si="54"/>
        <v>4548.8900000000003</v>
      </c>
      <c r="T804" s="2394">
        <f>IF(OR(J804="COP",J804="EURO",J804="GBP"),0,IF(J804="USD",VLOOKUP(R804,'TRM BanRep'!$A:$G,7,0)))</f>
        <v>4627.6099999999997</v>
      </c>
      <c r="U804" s="2407">
        <f t="shared" si="55"/>
        <v>62268630.739199482</v>
      </c>
      <c r="V804" s="2396" t="str">
        <f t="shared" si="53"/>
        <v>2-GASTO</v>
      </c>
    </row>
    <row r="805" spans="3:22" hidden="1">
      <c r="C805">
        <v>2022</v>
      </c>
      <c r="D805" t="s">
        <v>2034</v>
      </c>
      <c r="F805">
        <v>1202049905</v>
      </c>
      <c r="G805" t="s">
        <v>1557</v>
      </c>
      <c r="H805" t="s">
        <v>2045</v>
      </c>
      <c r="I805" t="s">
        <v>2046</v>
      </c>
      <c r="J805" s="2410" t="s">
        <v>146</v>
      </c>
      <c r="K805">
        <v>7900013728</v>
      </c>
      <c r="L805" t="s">
        <v>2045</v>
      </c>
      <c r="M805">
        <v>-708</v>
      </c>
      <c r="N805" s="1860">
        <v>4812.51836</v>
      </c>
      <c r="O805">
        <v>50</v>
      </c>
      <c r="P805" s="1633">
        <v>-3407263</v>
      </c>
      <c r="Q805" t="s">
        <v>106</v>
      </c>
      <c r="R805" s="2392">
        <v>44845</v>
      </c>
      <c r="S805" s="2393">
        <f t="shared" si="54"/>
        <v>4812.5200000000004</v>
      </c>
      <c r="T805" s="2409">
        <f>IF(OR(J805="COP",J805="EURO",J805="GBP"),0,IF(J805="USD",VLOOKUP(R805,'TRM BanRep'!$A:$G,7,0)))</f>
        <v>0</v>
      </c>
      <c r="U805" s="2395">
        <f t="shared" si="55"/>
        <v>0</v>
      </c>
      <c r="V805" s="2396" t="str">
        <f t="shared" si="53"/>
        <v/>
      </c>
    </row>
    <row r="806" spans="3:22" hidden="1">
      <c r="C806">
        <v>2022</v>
      </c>
      <c r="D806" t="s">
        <v>2034</v>
      </c>
      <c r="F806">
        <v>1202049905</v>
      </c>
      <c r="G806" t="s">
        <v>1557</v>
      </c>
      <c r="H806" t="s">
        <v>2045</v>
      </c>
      <c r="I806" t="s">
        <v>2047</v>
      </c>
      <c r="J806" t="s">
        <v>64</v>
      </c>
      <c r="K806">
        <v>7900013729</v>
      </c>
      <c r="L806" t="s">
        <v>2045</v>
      </c>
      <c r="M806">
        <v>705.59</v>
      </c>
      <c r="N806" s="1860">
        <v>4828.9559099999997</v>
      </c>
      <c r="O806">
        <v>40</v>
      </c>
      <c r="P806" s="1633">
        <v>3407263</v>
      </c>
      <c r="Q806" t="s">
        <v>106</v>
      </c>
      <c r="R806" s="2392">
        <v>44845</v>
      </c>
      <c r="S806" s="2393">
        <f t="shared" si="54"/>
        <v>4828.96</v>
      </c>
      <c r="T806" s="2394">
        <f>IF(OR(J806="COP",J806="EURO",J806="GBP"),0,IF(J806="USD",VLOOKUP(R806,'TRM BanRep'!$A:$G,7,0)))</f>
        <v>4605.29</v>
      </c>
      <c r="U806" s="2405">
        <f t="shared" si="55"/>
        <v>-157819.31530000005</v>
      </c>
      <c r="V806" s="2397" t="str">
        <f t="shared" si="53"/>
        <v>1-INGRESO</v>
      </c>
    </row>
    <row r="807" spans="3:22" hidden="1">
      <c r="C807">
        <v>2022</v>
      </c>
      <c r="D807" t="s">
        <v>2034</v>
      </c>
      <c r="F807">
        <v>1202049905</v>
      </c>
      <c r="G807" t="s">
        <v>1557</v>
      </c>
      <c r="H807" t="s">
        <v>2048</v>
      </c>
      <c r="I807" t="s">
        <v>2049</v>
      </c>
      <c r="J807" t="s">
        <v>64</v>
      </c>
      <c r="K807">
        <v>7900013736</v>
      </c>
      <c r="L807" t="s">
        <v>2048</v>
      </c>
      <c r="M807" s="1860">
        <v>-4432823.32</v>
      </c>
      <c r="N807" s="1860">
        <v>4895.3</v>
      </c>
      <c r="O807">
        <v>50</v>
      </c>
      <c r="P807" s="1633">
        <v>-21699999998</v>
      </c>
      <c r="Q807" t="s">
        <v>106</v>
      </c>
      <c r="R807" s="2392">
        <v>44860</v>
      </c>
      <c r="S807" s="2393">
        <f t="shared" si="54"/>
        <v>4895.3</v>
      </c>
      <c r="T807" s="2394">
        <f>IF(OR(J807="COP",J807="EURO",J807="GBP"),0,IF(J807="USD",VLOOKUP(R807,'TRM BanRep'!$A:$G,7,0)))</f>
        <v>4948.1400000000003</v>
      </c>
      <c r="U807" s="2405">
        <f t="shared" si="55"/>
        <v>-234230384.22880065</v>
      </c>
      <c r="V807" s="2397" t="str">
        <f t="shared" si="53"/>
        <v>1-INGRESO</v>
      </c>
    </row>
    <row r="808" spans="3:22" hidden="1">
      <c r="C808">
        <v>2022</v>
      </c>
      <c r="D808" t="s">
        <v>2034</v>
      </c>
      <c r="F808">
        <v>1202049905</v>
      </c>
      <c r="G808" t="s">
        <v>1557</v>
      </c>
      <c r="H808" t="s">
        <v>2048</v>
      </c>
      <c r="I808" t="s">
        <v>2050</v>
      </c>
      <c r="J808" t="s">
        <v>106</v>
      </c>
      <c r="K808">
        <v>7900013737</v>
      </c>
      <c r="L808" t="s">
        <v>2048</v>
      </c>
      <c r="M808" s="1633">
        <v>21699999998</v>
      </c>
      <c r="N808">
        <v>1</v>
      </c>
      <c r="O808">
        <v>40</v>
      </c>
      <c r="P808" s="1633">
        <v>21699999998</v>
      </c>
      <c r="Q808" t="s">
        <v>106</v>
      </c>
      <c r="R808" s="2392">
        <v>44860</v>
      </c>
      <c r="S808" s="2393">
        <f t="shared" si="54"/>
        <v>1</v>
      </c>
      <c r="T808" s="2394">
        <f>IF(OR(J808="COP",J808="EURO",J808="GBP"),0,IF(J808="USD",VLOOKUP(R808,'TRM BanRep'!$A:$G,7,0)))</f>
        <v>0</v>
      </c>
      <c r="U808" s="2395">
        <f t="shared" si="55"/>
        <v>0</v>
      </c>
      <c r="V808" s="2395" t="str">
        <f t="shared" si="53"/>
        <v/>
      </c>
    </row>
    <row r="809" spans="3:22" hidden="1">
      <c r="C809">
        <v>2022</v>
      </c>
      <c r="D809" t="s">
        <v>2034</v>
      </c>
      <c r="F809">
        <v>1202049905</v>
      </c>
      <c r="G809" t="s">
        <v>1557</v>
      </c>
      <c r="H809" t="s">
        <v>2051</v>
      </c>
      <c r="I809" t="s">
        <v>2052</v>
      </c>
      <c r="J809" t="s">
        <v>106</v>
      </c>
      <c r="K809">
        <v>7900014631</v>
      </c>
      <c r="L809" t="s">
        <v>2051</v>
      </c>
      <c r="M809" s="1633">
        <v>-43190394216</v>
      </c>
      <c r="N809">
        <v>1</v>
      </c>
      <c r="O809">
        <v>50</v>
      </c>
      <c r="P809" s="1633">
        <v>-43190394216</v>
      </c>
      <c r="Q809" t="s">
        <v>106</v>
      </c>
      <c r="R809" s="2392">
        <v>44865</v>
      </c>
      <c r="S809" s="2393">
        <f t="shared" si="54"/>
        <v>1</v>
      </c>
      <c r="T809" s="2394">
        <f>IF(OR(J809="COP",J809="EURO",J809="GBP"),0,IF(J809="USD",VLOOKUP(R809,'TRM BanRep'!$A:$G,7,0)))</f>
        <v>0</v>
      </c>
      <c r="U809" s="2395">
        <f t="shared" si="55"/>
        <v>0</v>
      </c>
      <c r="V809" s="2395" t="str">
        <f t="shared" si="53"/>
        <v/>
      </c>
    </row>
    <row r="810" spans="3:22" hidden="1">
      <c r="C810">
        <v>2022</v>
      </c>
      <c r="D810" t="s">
        <v>2034</v>
      </c>
      <c r="F810">
        <v>1202049905</v>
      </c>
      <c r="G810" t="s">
        <v>1557</v>
      </c>
      <c r="H810" t="s">
        <v>2051</v>
      </c>
      <c r="I810" t="s">
        <v>2053</v>
      </c>
      <c r="J810" t="s">
        <v>64</v>
      </c>
      <c r="K810">
        <v>7900014632</v>
      </c>
      <c r="L810" t="s">
        <v>2051</v>
      </c>
      <c r="M810" s="1860">
        <v>8822846.9000000004</v>
      </c>
      <c r="N810" s="1860">
        <v>4895.29</v>
      </c>
      <c r="O810">
        <v>40</v>
      </c>
      <c r="P810" s="1633">
        <v>43190394216</v>
      </c>
      <c r="Q810" t="s">
        <v>106</v>
      </c>
      <c r="R810" s="2392">
        <v>44865</v>
      </c>
      <c r="S810" s="2393">
        <f t="shared" si="54"/>
        <v>4895.29</v>
      </c>
      <c r="T810" s="2394">
        <f>IF(OR(J810="COP",J810="EURO",J810="GBP"),0,IF(J810="USD",VLOOKUP(R810,'TRM BanRep'!$A:$G,7,0)))</f>
        <v>4819.42</v>
      </c>
      <c r="U810" s="2405">
        <f t="shared" si="55"/>
        <v>-669389394.30299902</v>
      </c>
      <c r="V810" s="2397" t="str">
        <f t="shared" si="53"/>
        <v>1-INGRESO</v>
      </c>
    </row>
    <row r="811" spans="3:22" hidden="1">
      <c r="C811">
        <v>2022</v>
      </c>
      <c r="D811" t="s">
        <v>2034</v>
      </c>
      <c r="F811">
        <v>2422999997</v>
      </c>
      <c r="G811" t="s">
        <v>1739</v>
      </c>
      <c r="H811" t="s">
        <v>2040</v>
      </c>
      <c r="I811" t="s">
        <v>2054</v>
      </c>
      <c r="J811" t="s">
        <v>64</v>
      </c>
      <c r="K811">
        <v>100056374</v>
      </c>
      <c r="L811" t="s">
        <v>2040</v>
      </c>
      <c r="M811" s="1860">
        <v>-896083.25</v>
      </c>
      <c r="N811" s="1860">
        <v>4627.6099999999997</v>
      </c>
      <c r="O811">
        <v>50</v>
      </c>
      <c r="P811" s="1633">
        <v>-4146723809</v>
      </c>
      <c r="Q811" t="s">
        <v>106</v>
      </c>
      <c r="R811" s="2392">
        <v>44841</v>
      </c>
      <c r="S811" s="2393">
        <f t="shared" si="54"/>
        <v>4627.6099999999997</v>
      </c>
      <c r="T811" s="2394">
        <f>IF(OR(J811="COP",J811="EURO",J811="GBP"),0,IF(J811="USD",VLOOKUP(R811,'TRM BanRep'!$A:$G,7,0)))</f>
        <v>4627.6099999999997</v>
      </c>
      <c r="U811" s="2395">
        <f t="shared" si="55"/>
        <v>0</v>
      </c>
      <c r="V811" s="2395" t="str">
        <f t="shared" si="53"/>
        <v/>
      </c>
    </row>
    <row r="812" spans="3:22" hidden="1">
      <c r="C812">
        <v>2022</v>
      </c>
      <c r="D812" t="s">
        <v>2034</v>
      </c>
      <c r="F812">
        <v>2422999997</v>
      </c>
      <c r="G812" t="s">
        <v>1739</v>
      </c>
      <c r="H812" t="s">
        <v>2040</v>
      </c>
      <c r="I812" t="s">
        <v>1962</v>
      </c>
      <c r="J812" t="s">
        <v>64</v>
      </c>
      <c r="K812">
        <v>100056375</v>
      </c>
      <c r="L812" t="s">
        <v>2040</v>
      </c>
      <c r="M812" s="1860">
        <v>-791014.11</v>
      </c>
      <c r="N812" s="1860">
        <v>4627.6099999999997</v>
      </c>
      <c r="O812">
        <v>50</v>
      </c>
      <c r="P812" s="1633">
        <v>-3660504806</v>
      </c>
      <c r="Q812" t="s">
        <v>106</v>
      </c>
      <c r="R812" s="2392">
        <v>44841</v>
      </c>
      <c r="S812" s="2393">
        <f t="shared" si="54"/>
        <v>4627.6099999999997</v>
      </c>
      <c r="T812" s="2394">
        <f>IF(OR(J812="COP",J812="EURO",J812="GBP"),0,IF(J812="USD",VLOOKUP(R812,'TRM BanRep'!$A:$G,7,0)))</f>
        <v>4627.6099999999997</v>
      </c>
      <c r="U812" s="2395">
        <f t="shared" si="55"/>
        <v>0</v>
      </c>
      <c r="V812" s="2395" t="str">
        <f t="shared" si="53"/>
        <v/>
      </c>
    </row>
    <row r="813" spans="3:22" hidden="1">
      <c r="C813">
        <v>2022</v>
      </c>
      <c r="D813" t="s">
        <v>2034</v>
      </c>
      <c r="F813">
        <v>2422999997</v>
      </c>
      <c r="G813" t="s">
        <v>1739</v>
      </c>
      <c r="H813" t="s">
        <v>2040</v>
      </c>
      <c r="I813" t="s">
        <v>2054</v>
      </c>
      <c r="J813" t="s">
        <v>64</v>
      </c>
      <c r="K813">
        <v>100061383</v>
      </c>
      <c r="L813" t="s">
        <v>2040</v>
      </c>
      <c r="M813" s="1860">
        <v>896083.25</v>
      </c>
      <c r="N813" s="1860">
        <v>4627.6099999999997</v>
      </c>
      <c r="O813">
        <v>40</v>
      </c>
      <c r="P813" s="1633">
        <v>4146723809</v>
      </c>
      <c r="Q813" t="s">
        <v>106</v>
      </c>
      <c r="R813" s="2392">
        <v>44841</v>
      </c>
      <c r="S813" s="2393">
        <f t="shared" si="54"/>
        <v>4627.6099999999997</v>
      </c>
      <c r="T813" s="2394">
        <f>IF(OR(J813="COP",J813="EURO",J813="GBP"),0,IF(J813="USD",VLOOKUP(R813,'TRM BanRep'!$A:$G,7,0)))</f>
        <v>4627.6099999999997</v>
      </c>
      <c r="U813" s="2395">
        <f t="shared" si="55"/>
        <v>0</v>
      </c>
      <c r="V813" s="2395" t="str">
        <f t="shared" si="53"/>
        <v/>
      </c>
    </row>
    <row r="814" spans="3:22" hidden="1">
      <c r="C814">
        <v>2022</v>
      </c>
      <c r="D814" t="s">
        <v>2034</v>
      </c>
      <c r="F814">
        <v>2422999997</v>
      </c>
      <c r="G814" t="s">
        <v>1739</v>
      </c>
      <c r="H814" t="s">
        <v>2040</v>
      </c>
      <c r="I814" t="s">
        <v>1962</v>
      </c>
      <c r="J814" t="s">
        <v>64</v>
      </c>
      <c r="K814">
        <v>100061384</v>
      </c>
      <c r="L814" t="s">
        <v>2040</v>
      </c>
      <c r="M814" s="1860">
        <v>791014.11</v>
      </c>
      <c r="N814" s="1860">
        <v>4627.6099999999997</v>
      </c>
      <c r="O814">
        <v>40</v>
      </c>
      <c r="P814" s="1633">
        <v>3660504806</v>
      </c>
      <c r="Q814" t="s">
        <v>106</v>
      </c>
      <c r="R814" s="2392">
        <v>44841</v>
      </c>
      <c r="S814" s="2393">
        <f t="shared" si="54"/>
        <v>4627.6099999999997</v>
      </c>
      <c r="T814" s="2394">
        <f>IF(OR(J814="COP",J814="EURO",J814="GBP"),0,IF(J814="USD",VLOOKUP(R814,'TRM BanRep'!$A:$G,7,0)))</f>
        <v>4627.6099999999997</v>
      </c>
      <c r="U814" s="2395">
        <f t="shared" si="55"/>
        <v>0</v>
      </c>
      <c r="V814" s="2395" t="str">
        <f t="shared" si="53"/>
        <v/>
      </c>
    </row>
    <row r="815" spans="3:22" hidden="1">
      <c r="C815">
        <v>2022</v>
      </c>
      <c r="D815" t="s">
        <v>2034</v>
      </c>
      <c r="F815">
        <v>2422999997</v>
      </c>
      <c r="G815" t="s">
        <v>1739</v>
      </c>
      <c r="H815" t="s">
        <v>2051</v>
      </c>
      <c r="I815" t="s">
        <v>1961</v>
      </c>
      <c r="J815" t="s">
        <v>106</v>
      </c>
      <c r="K815">
        <v>100061402</v>
      </c>
      <c r="L815" t="s">
        <v>2051</v>
      </c>
      <c r="M815" s="1633">
        <v>-4076184153</v>
      </c>
      <c r="N815">
        <v>1</v>
      </c>
      <c r="O815">
        <v>50</v>
      </c>
      <c r="P815" s="1633">
        <v>-4076184153</v>
      </c>
      <c r="Q815" t="s">
        <v>106</v>
      </c>
      <c r="R815" s="2392">
        <v>44865</v>
      </c>
      <c r="S815" s="2393">
        <f t="shared" si="54"/>
        <v>1</v>
      </c>
      <c r="T815" s="2394">
        <f>IF(OR(J815="COP",J815="EURO",J815="GBP"),0,IF(J815="USD",VLOOKUP(R815,'TRM BanRep'!$A:$G,7,0)))</f>
        <v>0</v>
      </c>
      <c r="U815" s="2395">
        <f t="shared" si="55"/>
        <v>0</v>
      </c>
      <c r="V815" s="2395" t="str">
        <f t="shared" si="53"/>
        <v/>
      </c>
    </row>
    <row r="816" spans="3:22" hidden="1">
      <c r="C816">
        <v>2022</v>
      </c>
      <c r="D816" t="s">
        <v>2034</v>
      </c>
      <c r="F816">
        <v>2422999997</v>
      </c>
      <c r="G816" t="s">
        <v>1739</v>
      </c>
      <c r="H816" t="s">
        <v>2051</v>
      </c>
      <c r="I816" t="s">
        <v>1962</v>
      </c>
      <c r="J816" t="s">
        <v>106</v>
      </c>
      <c r="K816">
        <v>100061403</v>
      </c>
      <c r="L816" t="s">
        <v>2051</v>
      </c>
      <c r="M816" s="1633">
        <v>-3598236192</v>
      </c>
      <c r="N816">
        <v>1</v>
      </c>
      <c r="O816">
        <v>50</v>
      </c>
      <c r="P816" s="1633">
        <v>-3598236192</v>
      </c>
      <c r="Q816" t="s">
        <v>106</v>
      </c>
      <c r="R816" s="2392">
        <v>44865</v>
      </c>
      <c r="S816" s="2393">
        <f t="shared" si="54"/>
        <v>1</v>
      </c>
      <c r="T816" s="2394">
        <f>IF(OR(J816="COP",J816="EURO",J816="GBP"),0,IF(J816="USD",VLOOKUP(R816,'TRM BanRep'!$A:$G,7,0)))</f>
        <v>0</v>
      </c>
      <c r="U816" s="2395">
        <f t="shared" si="55"/>
        <v>0</v>
      </c>
      <c r="V816" s="2395" t="str">
        <f t="shared" si="53"/>
        <v/>
      </c>
    </row>
    <row r="817" spans="3:22" hidden="1">
      <c r="C817">
        <v>2022</v>
      </c>
      <c r="D817" t="s">
        <v>2034</v>
      </c>
      <c r="F817">
        <v>2422999997</v>
      </c>
      <c r="G817" t="s">
        <v>1785</v>
      </c>
      <c r="H817" t="s">
        <v>2040</v>
      </c>
      <c r="I817" t="s">
        <v>2055</v>
      </c>
      <c r="J817" t="s">
        <v>106</v>
      </c>
      <c r="K817">
        <v>100061381</v>
      </c>
      <c r="L817" t="s">
        <v>2040</v>
      </c>
      <c r="M817" s="1633">
        <v>7674420345</v>
      </c>
      <c r="N817">
        <v>1</v>
      </c>
      <c r="O817">
        <v>40</v>
      </c>
      <c r="P817" s="1633">
        <v>7674420345</v>
      </c>
      <c r="Q817" t="s">
        <v>106</v>
      </c>
      <c r="R817" s="2392">
        <v>44841</v>
      </c>
      <c r="S817" s="2393">
        <f t="shared" si="54"/>
        <v>1</v>
      </c>
      <c r="T817" s="2394">
        <f>IF(OR(J817="COP",J817="EURO",J817="GBP"),0,IF(J817="USD",VLOOKUP(R817,'TRM BanRep'!$A:$G,7,0)))</f>
        <v>0</v>
      </c>
      <c r="U817" s="2395">
        <f t="shared" si="55"/>
        <v>0</v>
      </c>
      <c r="V817" s="2395" t="str">
        <f t="shared" si="53"/>
        <v/>
      </c>
    </row>
    <row r="818" spans="3:22" hidden="1">
      <c r="C818">
        <v>2022</v>
      </c>
      <c r="D818" t="s">
        <v>2034</v>
      </c>
      <c r="F818">
        <v>2422999997</v>
      </c>
      <c r="G818" t="s">
        <v>1602</v>
      </c>
      <c r="H818" t="s">
        <v>2035</v>
      </c>
      <c r="I818" t="s">
        <v>2056</v>
      </c>
      <c r="J818" t="s">
        <v>106</v>
      </c>
      <c r="K818">
        <v>7900013458</v>
      </c>
      <c r="L818" t="s">
        <v>2035</v>
      </c>
      <c r="M818" s="1633">
        <v>-22057400000</v>
      </c>
      <c r="N818">
        <v>1</v>
      </c>
      <c r="O818">
        <v>50</v>
      </c>
      <c r="P818" s="1633">
        <v>-22057400000</v>
      </c>
      <c r="Q818" t="s">
        <v>106</v>
      </c>
      <c r="R818" s="2392">
        <v>44837</v>
      </c>
      <c r="S818" s="2393">
        <f t="shared" si="54"/>
        <v>1</v>
      </c>
      <c r="T818" s="2394">
        <f>IF(OR(J818="COP",J818="EURO",J818="GBP"),0,IF(J818="USD",VLOOKUP(R818,'TRM BanRep'!$A:$G,7,0)))</f>
        <v>0</v>
      </c>
      <c r="U818" s="2395">
        <f t="shared" si="55"/>
        <v>0</v>
      </c>
      <c r="V818" s="2395" t="str">
        <f t="shared" si="53"/>
        <v/>
      </c>
    </row>
    <row r="819" spans="3:22" hidden="1">
      <c r="C819">
        <v>2022</v>
      </c>
      <c r="D819" t="s">
        <v>2034</v>
      </c>
      <c r="F819">
        <v>2422999997</v>
      </c>
      <c r="G819" t="s">
        <v>1606</v>
      </c>
      <c r="H819" t="s">
        <v>1493</v>
      </c>
      <c r="I819" t="s">
        <v>2057</v>
      </c>
      <c r="J819" t="s">
        <v>106</v>
      </c>
      <c r="K819">
        <v>7900013477</v>
      </c>
      <c r="L819" t="s">
        <v>1493</v>
      </c>
      <c r="M819" s="1633">
        <v>-11906812837</v>
      </c>
      <c r="N819">
        <v>1</v>
      </c>
      <c r="O819">
        <v>50</v>
      </c>
      <c r="P819" s="1633">
        <v>-11906812837</v>
      </c>
      <c r="Q819" t="s">
        <v>106</v>
      </c>
      <c r="R819" s="2392">
        <v>44840</v>
      </c>
      <c r="S819" s="2393">
        <f t="shared" si="54"/>
        <v>1</v>
      </c>
      <c r="T819" s="2394">
        <f>IF(OR(J819="COP",J819="EURO",J819="GBP"),0,IF(J819="USD",VLOOKUP(R819,'TRM BanRep'!$A:$G,7,0)))</f>
        <v>0</v>
      </c>
      <c r="U819" s="2395">
        <f t="shared" si="55"/>
        <v>0</v>
      </c>
      <c r="V819" s="2395" t="str">
        <f t="shared" si="53"/>
        <v/>
      </c>
    </row>
    <row r="820" spans="3:22" hidden="1">
      <c r="C820">
        <v>2022</v>
      </c>
      <c r="D820" t="s">
        <v>2034</v>
      </c>
      <c r="F820">
        <v>2422999997</v>
      </c>
      <c r="G820" t="s">
        <v>1606</v>
      </c>
      <c r="H820" t="s">
        <v>2045</v>
      </c>
      <c r="I820" t="s">
        <v>2058</v>
      </c>
      <c r="J820" t="s">
        <v>106</v>
      </c>
      <c r="K820">
        <v>7900013561</v>
      </c>
      <c r="L820" t="s">
        <v>2045</v>
      </c>
      <c r="M820" s="1633">
        <v>-3162725135</v>
      </c>
      <c r="N820">
        <v>1</v>
      </c>
      <c r="O820">
        <v>50</v>
      </c>
      <c r="P820" s="1633">
        <v>-3162725135</v>
      </c>
      <c r="Q820" t="s">
        <v>106</v>
      </c>
      <c r="R820" s="2392">
        <v>44845</v>
      </c>
      <c r="S820" s="2393">
        <f t="shared" si="54"/>
        <v>1</v>
      </c>
      <c r="T820" s="2394">
        <f>IF(OR(J820="COP",J820="EURO",J820="GBP"),0,IF(J820="USD",VLOOKUP(R820,'TRM BanRep'!$A:$G,7,0)))</f>
        <v>0</v>
      </c>
      <c r="U820" s="2395">
        <f t="shared" si="55"/>
        <v>0</v>
      </c>
      <c r="V820" s="2395" t="str">
        <f t="shared" si="53"/>
        <v/>
      </c>
    </row>
    <row r="821" spans="3:22" hidden="1">
      <c r="C821">
        <v>2022</v>
      </c>
      <c r="D821" t="s">
        <v>2034</v>
      </c>
      <c r="F821">
        <v>2422999997</v>
      </c>
      <c r="G821" t="s">
        <v>1606</v>
      </c>
      <c r="H821" t="s">
        <v>2045</v>
      </c>
      <c r="I821" t="s">
        <v>2059</v>
      </c>
      <c r="J821" t="s">
        <v>106</v>
      </c>
      <c r="K821">
        <v>7900013569</v>
      </c>
      <c r="L821" t="s">
        <v>2045</v>
      </c>
      <c r="M821" s="1633">
        <v>-1739498824</v>
      </c>
      <c r="N821">
        <v>1</v>
      </c>
      <c r="O821">
        <v>50</v>
      </c>
      <c r="P821" s="1633">
        <v>-1739498824</v>
      </c>
      <c r="Q821" t="s">
        <v>106</v>
      </c>
      <c r="R821" s="2392">
        <v>44845</v>
      </c>
      <c r="S821" s="2393">
        <f t="shared" si="54"/>
        <v>1</v>
      </c>
      <c r="T821" s="2394">
        <f>IF(OR(J821="COP",J821="EURO",J821="GBP"),0,IF(J821="USD",VLOOKUP(R821,'TRM BanRep'!$A:$G,7,0)))</f>
        <v>0</v>
      </c>
      <c r="U821" s="2395">
        <f t="shared" si="55"/>
        <v>0</v>
      </c>
      <c r="V821" s="2395" t="str">
        <f t="shared" si="53"/>
        <v/>
      </c>
    </row>
    <row r="822" spans="3:22" hidden="1">
      <c r="C822">
        <v>2022</v>
      </c>
      <c r="D822" t="s">
        <v>2034</v>
      </c>
      <c r="F822">
        <v>2422999997</v>
      </c>
      <c r="G822" t="s">
        <v>1606</v>
      </c>
      <c r="H822" t="s">
        <v>2060</v>
      </c>
      <c r="I822" t="s">
        <v>1793</v>
      </c>
      <c r="J822" t="s">
        <v>106</v>
      </c>
      <c r="K822">
        <v>7900013601</v>
      </c>
      <c r="L822" t="s">
        <v>2060</v>
      </c>
      <c r="M822" s="1633">
        <v>-4568380000</v>
      </c>
      <c r="N822">
        <v>1</v>
      </c>
      <c r="O822">
        <v>50</v>
      </c>
      <c r="P822" s="1633">
        <v>-4568380000</v>
      </c>
      <c r="Q822" t="s">
        <v>106</v>
      </c>
      <c r="R822" s="2392">
        <v>44847</v>
      </c>
      <c r="S822" s="2393">
        <f t="shared" si="54"/>
        <v>1</v>
      </c>
      <c r="T822" s="2394">
        <f>IF(OR(J822="COP",J822="EURO",J822="GBP"),0,IF(J822="USD",VLOOKUP(R822,'TRM BanRep'!$A:$G,7,0)))</f>
        <v>0</v>
      </c>
      <c r="U822" s="2395">
        <f t="shared" si="55"/>
        <v>0</v>
      </c>
      <c r="V822" s="2395" t="str">
        <f t="shared" si="53"/>
        <v/>
      </c>
    </row>
    <row r="823" spans="3:22" hidden="1">
      <c r="C823">
        <v>2022</v>
      </c>
      <c r="D823" t="s">
        <v>2034</v>
      </c>
      <c r="F823">
        <v>2422999997</v>
      </c>
      <c r="G823" t="s">
        <v>1606</v>
      </c>
      <c r="H823" t="s">
        <v>2051</v>
      </c>
      <c r="I823" t="s">
        <v>2061</v>
      </c>
      <c r="J823" t="s">
        <v>64</v>
      </c>
      <c r="K823">
        <v>7900014644</v>
      </c>
      <c r="L823" t="s">
        <v>2051</v>
      </c>
      <c r="M823" s="1860">
        <v>-499815</v>
      </c>
      <c r="N823" s="1860">
        <v>4819.42</v>
      </c>
      <c r="O823">
        <v>50</v>
      </c>
      <c r="P823" s="1633">
        <v>-2408818407</v>
      </c>
      <c r="Q823" t="s">
        <v>106</v>
      </c>
      <c r="R823" s="2392">
        <v>44865</v>
      </c>
      <c r="S823" s="2393">
        <f t="shared" si="54"/>
        <v>4819.42</v>
      </c>
      <c r="T823" s="2394">
        <f>IF(OR(J823="COP",J823="EURO",J823="GBP"),0,IF(J823="USD",VLOOKUP(R823,'TRM BanRep'!$A:$G,7,0)))</f>
        <v>4819.42</v>
      </c>
      <c r="U823" s="2395">
        <f t="shared" si="55"/>
        <v>0</v>
      </c>
      <c r="V823" s="2395" t="str">
        <f t="shared" si="53"/>
        <v/>
      </c>
    </row>
    <row r="824" spans="3:22" hidden="1">
      <c r="C824">
        <v>2022</v>
      </c>
      <c r="D824" t="s">
        <v>2034</v>
      </c>
      <c r="F824">
        <v>2422999997</v>
      </c>
      <c r="G824" t="s">
        <v>1557</v>
      </c>
      <c r="H824" t="s">
        <v>1493</v>
      </c>
      <c r="I824" t="s">
        <v>2039</v>
      </c>
      <c r="J824" t="s">
        <v>106</v>
      </c>
      <c r="K824">
        <v>7900013673</v>
      </c>
      <c r="L824" t="s">
        <v>1493</v>
      </c>
      <c r="M824" s="1633">
        <v>-14303400000</v>
      </c>
      <c r="N824">
        <v>1</v>
      </c>
      <c r="O824">
        <v>50</v>
      </c>
      <c r="P824" s="1633">
        <v>-14303400000</v>
      </c>
      <c r="Q824" t="s">
        <v>106</v>
      </c>
      <c r="R824" s="2392">
        <v>44840</v>
      </c>
      <c r="S824" s="2393">
        <f t="shared" si="54"/>
        <v>1</v>
      </c>
      <c r="T824" s="2394">
        <f>IF(OR(J824="COP",J824="EURO",J824="GBP"),0,IF(J824="USD",VLOOKUP(R824,'TRM BanRep'!$A:$G,7,0)))</f>
        <v>0</v>
      </c>
      <c r="U824" s="2395">
        <f t="shared" si="55"/>
        <v>0</v>
      </c>
      <c r="V824" s="2395" t="str">
        <f t="shared" si="53"/>
        <v/>
      </c>
    </row>
    <row r="825" spans="3:22" hidden="1">
      <c r="C825">
        <v>2022</v>
      </c>
      <c r="D825" t="s">
        <v>2034</v>
      </c>
      <c r="F825">
        <v>2422999997</v>
      </c>
      <c r="G825" t="s">
        <v>1557</v>
      </c>
      <c r="H825" t="s">
        <v>2040</v>
      </c>
      <c r="I825" t="s">
        <v>2042</v>
      </c>
      <c r="J825" t="s">
        <v>64</v>
      </c>
      <c r="K825">
        <v>7900013529</v>
      </c>
      <c r="L825" t="s">
        <v>2040</v>
      </c>
      <c r="M825" s="1860">
        <v>-896083.25</v>
      </c>
      <c r="N825" s="1860">
        <v>4548.8900199999998</v>
      </c>
      <c r="O825">
        <v>50</v>
      </c>
      <c r="P825" s="1633">
        <v>-4076184153</v>
      </c>
      <c r="Q825" t="s">
        <v>106</v>
      </c>
      <c r="R825" s="2392">
        <v>44841</v>
      </c>
      <c r="S825" s="2393">
        <f t="shared" si="54"/>
        <v>4548.8900000000003</v>
      </c>
      <c r="T825" s="2394">
        <f>IF(OR(J825="COP",J825="EURO",J825="GBP"),0,IF(J825="USD",VLOOKUP(R825,'TRM BanRep'!$A:$G,7,0)))</f>
        <v>4627.6099999999997</v>
      </c>
      <c r="U825" s="2395">
        <f t="shared" si="55"/>
        <v>70539673.439999416</v>
      </c>
      <c r="V825" s="2396" t="str">
        <f t="shared" si="53"/>
        <v>2-GASTO</v>
      </c>
    </row>
    <row r="826" spans="3:22" hidden="1">
      <c r="C826">
        <v>2022</v>
      </c>
      <c r="D826" t="s">
        <v>2034</v>
      </c>
      <c r="F826">
        <v>2422999997</v>
      </c>
      <c r="G826" t="s">
        <v>1557</v>
      </c>
      <c r="H826" t="s">
        <v>2040</v>
      </c>
      <c r="I826" t="s">
        <v>2044</v>
      </c>
      <c r="J826" t="s">
        <v>64</v>
      </c>
      <c r="K826">
        <v>7900013537</v>
      </c>
      <c r="L826" t="s">
        <v>2040</v>
      </c>
      <c r="M826" s="1860">
        <v>-791014.11</v>
      </c>
      <c r="N826" s="1860">
        <v>4548.8900199999998</v>
      </c>
      <c r="O826">
        <v>50</v>
      </c>
      <c r="P826" s="1633">
        <v>-3598236192</v>
      </c>
      <c r="Q826" t="s">
        <v>106</v>
      </c>
      <c r="R826" s="2392">
        <v>44841</v>
      </c>
      <c r="S826" s="2393">
        <f t="shared" si="54"/>
        <v>4548.8900000000003</v>
      </c>
      <c r="T826" s="2394">
        <f>IF(OR(J826="COP",J826="EURO",J826="GBP"),0,IF(J826="USD",VLOOKUP(R826,'TRM BanRep'!$A:$G,7,0)))</f>
        <v>4627.6099999999997</v>
      </c>
      <c r="U826" s="2395">
        <f t="shared" si="55"/>
        <v>62268630.739199482</v>
      </c>
      <c r="V826" s="2396" t="str">
        <f t="shared" si="53"/>
        <v>2-GASTO</v>
      </c>
    </row>
    <row r="827" spans="3:22" hidden="1">
      <c r="C827">
        <v>2022</v>
      </c>
      <c r="D827" t="s">
        <v>2034</v>
      </c>
      <c r="F827">
        <v>2422999997</v>
      </c>
      <c r="G827" t="s">
        <v>1557</v>
      </c>
      <c r="H827" t="s">
        <v>2048</v>
      </c>
      <c r="I827" t="s">
        <v>2050</v>
      </c>
      <c r="J827" t="s">
        <v>106</v>
      </c>
      <c r="K827">
        <v>7900013737</v>
      </c>
      <c r="L827" t="s">
        <v>2048</v>
      </c>
      <c r="M827" s="1633">
        <v>-21699999998</v>
      </c>
      <c r="N827">
        <v>1</v>
      </c>
      <c r="O827">
        <v>50</v>
      </c>
      <c r="P827" s="1633">
        <v>-21699999998</v>
      </c>
      <c r="Q827" t="s">
        <v>106</v>
      </c>
      <c r="R827" s="2392">
        <v>44860</v>
      </c>
      <c r="S827" s="2393">
        <f t="shared" si="54"/>
        <v>1</v>
      </c>
      <c r="T827" s="2394">
        <f>IF(OR(J827="COP",J827="EURO",J827="GBP"),0,IF(J827="USD",VLOOKUP(R827,'TRM BanRep'!$A:$G,7,0)))</f>
        <v>0</v>
      </c>
      <c r="U827" s="2395">
        <f t="shared" si="55"/>
        <v>0</v>
      </c>
      <c r="V827" s="2395" t="str">
        <f t="shared" si="53"/>
        <v/>
      </c>
    </row>
    <row r="828" spans="3:22" hidden="1">
      <c r="C828">
        <v>2022</v>
      </c>
      <c r="D828" t="s">
        <v>2034</v>
      </c>
      <c r="F828">
        <v>2422999997</v>
      </c>
      <c r="G828" t="s">
        <v>1557</v>
      </c>
      <c r="H828" t="s">
        <v>2051</v>
      </c>
      <c r="I828" t="s">
        <v>2053</v>
      </c>
      <c r="J828" t="s">
        <v>64</v>
      </c>
      <c r="K828">
        <v>7900014632</v>
      </c>
      <c r="L828" t="s">
        <v>2051</v>
      </c>
      <c r="M828" s="1860">
        <v>-8822846.9000000004</v>
      </c>
      <c r="N828" s="1860">
        <v>4895.29</v>
      </c>
      <c r="O828">
        <v>50</v>
      </c>
      <c r="P828" s="1633">
        <v>-43190394216</v>
      </c>
      <c r="Q828" t="s">
        <v>106</v>
      </c>
      <c r="R828" s="2392">
        <v>44865</v>
      </c>
      <c r="S828" s="2393">
        <f t="shared" si="54"/>
        <v>4895.29</v>
      </c>
      <c r="T828" s="2394">
        <f>IF(OR(J828="COP",J828="EURO",J828="GBP"),0,IF(J828="USD",VLOOKUP(R828,'TRM BanRep'!$A:$G,7,0)))</f>
        <v>4819.42</v>
      </c>
      <c r="U828" s="2395">
        <f t="shared" si="55"/>
        <v>-669389394.30299902</v>
      </c>
      <c r="V828" s="2397" t="str">
        <f t="shared" si="53"/>
        <v>1-INGRESO</v>
      </c>
    </row>
    <row r="829" spans="3:22" hidden="1">
      <c r="C829">
        <v>2022</v>
      </c>
      <c r="D829" t="s">
        <v>2034</v>
      </c>
      <c r="F829">
        <v>2422999997</v>
      </c>
      <c r="G829" t="s">
        <v>1608</v>
      </c>
      <c r="H829" t="s">
        <v>2035</v>
      </c>
      <c r="J829" t="s">
        <v>106</v>
      </c>
      <c r="K829">
        <v>2000009915</v>
      </c>
      <c r="L829" t="s">
        <v>2035</v>
      </c>
      <c r="M829" s="1633">
        <v>22057400000</v>
      </c>
      <c r="N829">
        <v>1</v>
      </c>
      <c r="O829">
        <v>40</v>
      </c>
      <c r="P829" s="1633">
        <v>22057400000</v>
      </c>
      <c r="Q829" t="s">
        <v>106</v>
      </c>
      <c r="R829" s="2392">
        <v>44837</v>
      </c>
      <c r="S829" s="2393">
        <f t="shared" si="54"/>
        <v>1</v>
      </c>
      <c r="T829" s="2394">
        <f>IF(OR(J829="COP",J829="EURO",J829="GBP"),0,IF(J829="USD",VLOOKUP(R829,'TRM BanRep'!$A:$G,7,0)))</f>
        <v>0</v>
      </c>
      <c r="U829" s="2395">
        <f t="shared" si="55"/>
        <v>0</v>
      </c>
      <c r="V829" s="2395" t="str">
        <f t="shared" si="53"/>
        <v/>
      </c>
    </row>
    <row r="830" spans="3:22" hidden="1">
      <c r="C830">
        <v>2022</v>
      </c>
      <c r="D830" t="s">
        <v>2034</v>
      </c>
      <c r="F830">
        <v>2422999997</v>
      </c>
      <c r="G830" t="s">
        <v>1608</v>
      </c>
      <c r="H830" t="s">
        <v>1493</v>
      </c>
      <c r="J830" t="s">
        <v>106</v>
      </c>
      <c r="K830">
        <v>2000009968</v>
      </c>
      <c r="L830" t="s">
        <v>1493</v>
      </c>
      <c r="M830" s="1633">
        <v>20957472436</v>
      </c>
      <c r="N830">
        <v>1</v>
      </c>
      <c r="O830">
        <v>40</v>
      </c>
      <c r="P830" s="1633">
        <v>20957472436</v>
      </c>
      <c r="Q830" t="s">
        <v>106</v>
      </c>
      <c r="R830" s="2392">
        <v>44840</v>
      </c>
      <c r="S830" s="2393">
        <f t="shared" si="54"/>
        <v>1</v>
      </c>
      <c r="T830" s="2394">
        <f>IF(OR(J830="COP",J830="EURO",J830="GBP"),0,IF(J830="USD",VLOOKUP(R830,'TRM BanRep'!$A:$G,7,0)))</f>
        <v>0</v>
      </c>
      <c r="U830" s="2395">
        <f t="shared" si="55"/>
        <v>0</v>
      </c>
      <c r="V830" s="2395" t="str">
        <f t="shared" si="53"/>
        <v/>
      </c>
    </row>
    <row r="831" spans="3:22" hidden="1">
      <c r="C831">
        <v>2022</v>
      </c>
      <c r="D831" t="s">
        <v>2034</v>
      </c>
      <c r="F831">
        <v>2422999997</v>
      </c>
      <c r="G831" t="s">
        <v>1608</v>
      </c>
      <c r="H831" t="s">
        <v>1493</v>
      </c>
      <c r="J831" t="s">
        <v>106</v>
      </c>
      <c r="K831">
        <v>2000010577</v>
      </c>
      <c r="L831" t="s">
        <v>1493</v>
      </c>
      <c r="M831" s="1633">
        <v>14303400000</v>
      </c>
      <c r="N831">
        <v>1</v>
      </c>
      <c r="O831">
        <v>40</v>
      </c>
      <c r="P831" s="1633">
        <v>14303400000</v>
      </c>
      <c r="Q831" t="s">
        <v>106</v>
      </c>
      <c r="R831" s="2392">
        <v>44840</v>
      </c>
      <c r="S831" s="2393">
        <f t="shared" si="54"/>
        <v>1</v>
      </c>
      <c r="T831" s="2394">
        <f>IF(OR(J831="COP",J831="EURO",J831="GBP"),0,IF(J831="USD",VLOOKUP(R831,'TRM BanRep'!$A:$G,7,0)))</f>
        <v>0</v>
      </c>
      <c r="U831" s="2395">
        <f t="shared" si="55"/>
        <v>0</v>
      </c>
      <c r="V831" s="2395" t="str">
        <f t="shared" si="53"/>
        <v/>
      </c>
    </row>
    <row r="832" spans="3:22" hidden="1">
      <c r="C832">
        <v>2022</v>
      </c>
      <c r="D832" t="s">
        <v>2034</v>
      </c>
      <c r="F832">
        <v>2422999997</v>
      </c>
      <c r="G832" t="s">
        <v>1608</v>
      </c>
      <c r="H832" t="s">
        <v>2040</v>
      </c>
      <c r="J832" t="s">
        <v>64</v>
      </c>
      <c r="K832">
        <v>2000010202</v>
      </c>
      <c r="L832" t="s">
        <v>2040</v>
      </c>
      <c r="M832" s="1860">
        <v>1266453.18</v>
      </c>
      <c r="N832" s="1860">
        <v>4627.6099999999997</v>
      </c>
      <c r="O832">
        <v>40</v>
      </c>
      <c r="P832" s="1633">
        <v>5860651400</v>
      </c>
      <c r="Q832" t="s">
        <v>106</v>
      </c>
      <c r="R832" s="2392">
        <v>44841</v>
      </c>
      <c r="S832" s="2393">
        <f t="shared" si="54"/>
        <v>4627.6099999999997</v>
      </c>
      <c r="T832" s="2394">
        <f>IF(OR(J832="COP",J832="EURO",J832="GBP"),0,IF(J832="USD",VLOOKUP(R832,'TRM BanRep'!$A:$G,7,0)))</f>
        <v>4627.6099999999997</v>
      </c>
      <c r="U832" s="2395">
        <f t="shared" si="55"/>
        <v>0</v>
      </c>
      <c r="V832" s="2395" t="str">
        <f t="shared" si="53"/>
        <v/>
      </c>
    </row>
    <row r="833" spans="3:22" hidden="1">
      <c r="C833">
        <v>2022</v>
      </c>
      <c r="D833" t="s">
        <v>2034</v>
      </c>
      <c r="F833">
        <v>2422999997</v>
      </c>
      <c r="G833" t="s">
        <v>1608</v>
      </c>
      <c r="H833" t="s">
        <v>2040</v>
      </c>
      <c r="J833" t="s">
        <v>64</v>
      </c>
      <c r="K833">
        <v>2000010227</v>
      </c>
      <c r="L833" t="s">
        <v>2040</v>
      </c>
      <c r="M833" s="1860">
        <v>1687097.36</v>
      </c>
      <c r="N833" s="1860">
        <v>4548.8900199999998</v>
      </c>
      <c r="O833">
        <v>40</v>
      </c>
      <c r="P833" s="1633">
        <v>7674420345</v>
      </c>
      <c r="Q833" t="s">
        <v>106</v>
      </c>
      <c r="R833" s="2392">
        <v>44841</v>
      </c>
      <c r="S833" s="2393">
        <f t="shared" si="54"/>
        <v>4548.8900000000003</v>
      </c>
      <c r="T833" s="2394">
        <f>IF(OR(J833="COP",J833="EURO",J833="GBP"),0,IF(J833="USD",VLOOKUP(R833,'TRM BanRep'!$A:$G,7,0)))</f>
        <v>4627.6099999999997</v>
      </c>
      <c r="U833" s="2395">
        <f t="shared" si="55"/>
        <v>-132808304.17919891</v>
      </c>
      <c r="V833" s="2397" t="str">
        <f t="shared" si="53"/>
        <v>1-INGRESO</v>
      </c>
    </row>
    <row r="834" spans="3:22" hidden="1">
      <c r="C834">
        <v>2022</v>
      </c>
      <c r="D834" t="s">
        <v>2034</v>
      </c>
      <c r="F834">
        <v>2422999997</v>
      </c>
      <c r="G834" t="s">
        <v>1608</v>
      </c>
      <c r="H834" t="s">
        <v>2045</v>
      </c>
      <c r="J834" t="s">
        <v>106</v>
      </c>
      <c r="K834">
        <v>2000010260</v>
      </c>
      <c r="L834" t="s">
        <v>2045</v>
      </c>
      <c r="M834" s="1633">
        <v>5593084952</v>
      </c>
      <c r="N834">
        <v>1</v>
      </c>
      <c r="O834">
        <v>40</v>
      </c>
      <c r="P834" s="1633">
        <v>5593084952</v>
      </c>
      <c r="Q834" t="s">
        <v>106</v>
      </c>
      <c r="R834" s="2392">
        <v>44845</v>
      </c>
      <c r="S834" s="2393">
        <f t="shared" si="54"/>
        <v>1</v>
      </c>
      <c r="T834" s="2394">
        <f>IF(OR(J834="COP",J834="EURO",J834="GBP"),0,IF(J834="USD",VLOOKUP(R834,'TRM BanRep'!$A:$G,7,0)))</f>
        <v>0</v>
      </c>
      <c r="U834" s="2395">
        <f t="shared" si="55"/>
        <v>0</v>
      </c>
      <c r="V834" s="2395" t="str">
        <f t="shared" si="53"/>
        <v/>
      </c>
    </row>
    <row r="835" spans="3:22" hidden="1">
      <c r="C835">
        <v>2022</v>
      </c>
      <c r="D835" t="s">
        <v>2034</v>
      </c>
      <c r="F835">
        <v>2422999997</v>
      </c>
      <c r="G835" t="s">
        <v>1608</v>
      </c>
      <c r="H835" t="s">
        <v>2045</v>
      </c>
      <c r="J835" t="s">
        <v>106</v>
      </c>
      <c r="K835">
        <v>2000010270</v>
      </c>
      <c r="L835" t="s">
        <v>2045</v>
      </c>
      <c r="M835" s="1633">
        <v>3076196703</v>
      </c>
      <c r="N835">
        <v>1</v>
      </c>
      <c r="O835">
        <v>40</v>
      </c>
      <c r="P835" s="1633">
        <v>3076196703</v>
      </c>
      <c r="Q835" t="s">
        <v>106</v>
      </c>
      <c r="R835" s="2392">
        <v>44845</v>
      </c>
      <c r="S835" s="2393">
        <f t="shared" si="54"/>
        <v>1</v>
      </c>
      <c r="T835" s="2394">
        <f>IF(OR(J835="COP",J835="EURO",J835="GBP"),0,IF(J835="USD",VLOOKUP(R835,'TRM BanRep'!$A:$G,7,0)))</f>
        <v>0</v>
      </c>
      <c r="U835" s="2395">
        <f t="shared" si="55"/>
        <v>0</v>
      </c>
      <c r="V835" s="2395" t="str">
        <f t="shared" si="53"/>
        <v/>
      </c>
    </row>
    <row r="836" spans="3:22" hidden="1">
      <c r="C836">
        <v>2022</v>
      </c>
      <c r="D836" t="s">
        <v>2034</v>
      </c>
      <c r="F836">
        <v>2422999997</v>
      </c>
      <c r="G836" t="s">
        <v>1608</v>
      </c>
      <c r="H836" t="s">
        <v>2060</v>
      </c>
      <c r="J836" t="s">
        <v>106</v>
      </c>
      <c r="K836">
        <v>2000010320</v>
      </c>
      <c r="L836" t="s">
        <v>2060</v>
      </c>
      <c r="M836" s="1633">
        <v>6704392583</v>
      </c>
      <c r="N836">
        <v>1</v>
      </c>
      <c r="O836">
        <v>40</v>
      </c>
      <c r="P836" s="1633">
        <v>6704392583</v>
      </c>
      <c r="Q836" t="s">
        <v>106</v>
      </c>
      <c r="R836" s="2392">
        <v>44847</v>
      </c>
      <c r="S836" s="2393">
        <f t="shared" si="54"/>
        <v>1</v>
      </c>
      <c r="T836" s="2394">
        <f>IF(OR(J836="COP",J836="EURO",J836="GBP"),0,IF(J836="USD",VLOOKUP(R836,'TRM BanRep'!$A:$G,7,0)))</f>
        <v>0</v>
      </c>
      <c r="U836" s="2395">
        <f t="shared" si="55"/>
        <v>0</v>
      </c>
      <c r="V836" s="2395" t="str">
        <f t="shared" si="53"/>
        <v/>
      </c>
    </row>
    <row r="837" spans="3:22" hidden="1">
      <c r="C837">
        <v>2022</v>
      </c>
      <c r="D837" t="s">
        <v>2034</v>
      </c>
      <c r="F837">
        <v>2422999997</v>
      </c>
      <c r="G837" t="s">
        <v>1608</v>
      </c>
      <c r="H837" t="s">
        <v>2062</v>
      </c>
      <c r="J837" t="s">
        <v>106</v>
      </c>
      <c r="K837">
        <v>2000010382</v>
      </c>
      <c r="L837" t="s">
        <v>2062</v>
      </c>
      <c r="M837" s="1633">
        <v>14305799742</v>
      </c>
      <c r="N837">
        <v>1</v>
      </c>
      <c r="O837">
        <v>40</v>
      </c>
      <c r="P837" s="1633">
        <v>14305799742</v>
      </c>
      <c r="Q837" t="s">
        <v>106</v>
      </c>
      <c r="R837" s="2392">
        <v>44852</v>
      </c>
      <c r="S837" s="2393">
        <f t="shared" si="54"/>
        <v>1</v>
      </c>
      <c r="T837" s="2394">
        <f>IF(OR(J837="COP",J837="EURO",J837="GBP"),0,IF(J837="USD",VLOOKUP(R837,'TRM BanRep'!$A:$G,7,0)))</f>
        <v>0</v>
      </c>
      <c r="U837" s="2395">
        <f t="shared" si="55"/>
        <v>0</v>
      </c>
      <c r="V837" s="2395" t="str">
        <f t="shared" si="53"/>
        <v/>
      </c>
    </row>
    <row r="838" spans="3:22" hidden="1">
      <c r="C838">
        <v>2022</v>
      </c>
      <c r="D838" t="s">
        <v>2034</v>
      </c>
      <c r="F838">
        <v>2422999997</v>
      </c>
      <c r="G838" t="s">
        <v>1608</v>
      </c>
      <c r="H838" t="s">
        <v>2063</v>
      </c>
      <c r="J838" t="s">
        <v>106</v>
      </c>
      <c r="K838">
        <v>2000010580</v>
      </c>
      <c r="L838" t="s">
        <v>2063</v>
      </c>
      <c r="M838" s="1633">
        <v>9481950685</v>
      </c>
      <c r="N838">
        <v>1</v>
      </c>
      <c r="O838">
        <v>40</v>
      </c>
      <c r="P838" s="1633">
        <v>9481950685</v>
      </c>
      <c r="Q838" t="s">
        <v>106</v>
      </c>
      <c r="R838" s="2392">
        <v>44858</v>
      </c>
      <c r="S838" s="2393">
        <f t="shared" si="54"/>
        <v>1</v>
      </c>
      <c r="T838" s="2394">
        <f>IF(OR(J838="COP",J838="EURO",J838="GBP"),0,IF(J838="USD",VLOOKUP(R838,'TRM BanRep'!$A:$G,7,0)))</f>
        <v>0</v>
      </c>
      <c r="U838" s="2395">
        <f t="shared" si="55"/>
        <v>0</v>
      </c>
      <c r="V838" s="2395" t="str">
        <f t="shared" si="53"/>
        <v/>
      </c>
    </row>
    <row r="839" spans="3:22" hidden="1">
      <c r="C839">
        <v>2022</v>
      </c>
      <c r="D839" t="s">
        <v>2034</v>
      </c>
      <c r="F839">
        <v>2422999997</v>
      </c>
      <c r="G839" t="s">
        <v>1608</v>
      </c>
      <c r="H839" t="s">
        <v>2048</v>
      </c>
      <c r="J839" t="s">
        <v>106</v>
      </c>
      <c r="K839">
        <v>2000010782</v>
      </c>
      <c r="L839" t="s">
        <v>2048</v>
      </c>
      <c r="M839" s="1633">
        <v>21699999998</v>
      </c>
      <c r="N839">
        <v>1</v>
      </c>
      <c r="O839">
        <v>40</v>
      </c>
      <c r="P839" s="1633">
        <v>21699999998</v>
      </c>
      <c r="Q839" t="s">
        <v>106</v>
      </c>
      <c r="R839" s="2392">
        <v>44860</v>
      </c>
      <c r="S839" s="2393">
        <f t="shared" si="54"/>
        <v>1</v>
      </c>
      <c r="T839" s="2394">
        <f>IF(OR(J839="COP",J839="EURO",J839="GBP"),0,IF(J839="USD",VLOOKUP(R839,'TRM BanRep'!$A:$G,7,0)))</f>
        <v>0</v>
      </c>
      <c r="U839" s="2395">
        <f t="shared" si="55"/>
        <v>0</v>
      </c>
      <c r="V839" s="2395" t="str">
        <f t="shared" ref="V839:V902" si="56">IF(U839=0,"",IF(U839&gt;0,"2-GASTO","1-INGRESO"))</f>
        <v/>
      </c>
    </row>
    <row r="840" spans="3:22" hidden="1">
      <c r="C840">
        <v>2022</v>
      </c>
      <c r="D840" t="s">
        <v>2034</v>
      </c>
      <c r="F840">
        <v>2422999997</v>
      </c>
      <c r="G840" t="s">
        <v>1608</v>
      </c>
      <c r="H840" t="s">
        <v>2051</v>
      </c>
      <c r="J840" t="s">
        <v>64</v>
      </c>
      <c r="K840">
        <v>2000010800</v>
      </c>
      <c r="L840" t="s">
        <v>2051</v>
      </c>
      <c r="M840" s="1860">
        <v>8822846.9000000004</v>
      </c>
      <c r="N840" s="1860">
        <v>4895.29</v>
      </c>
      <c r="O840">
        <v>40</v>
      </c>
      <c r="P840" s="1633">
        <v>43190394216</v>
      </c>
      <c r="Q840" t="s">
        <v>106</v>
      </c>
      <c r="R840" s="2392">
        <v>44865</v>
      </c>
      <c r="S840" s="2393">
        <f t="shared" si="54"/>
        <v>4895.29</v>
      </c>
      <c r="T840" s="2394">
        <f>IF(OR(J840="COP",J840="EURO",J840="GBP"),0,IF(J840="USD",VLOOKUP(R840,'TRM BanRep'!$A:$G,7,0)))</f>
        <v>4819.42</v>
      </c>
      <c r="U840" s="2395">
        <f t="shared" si="55"/>
        <v>669389394.30299902</v>
      </c>
      <c r="V840" s="2396" t="str">
        <f t="shared" si="56"/>
        <v>2-GASTO</v>
      </c>
    </row>
    <row r="841" spans="3:22" hidden="1">
      <c r="C841">
        <v>2022</v>
      </c>
      <c r="D841" t="s">
        <v>2034</v>
      </c>
      <c r="F841">
        <v>2422999997</v>
      </c>
      <c r="G841" t="s">
        <v>1608</v>
      </c>
      <c r="H841" t="s">
        <v>2051</v>
      </c>
      <c r="J841" t="s">
        <v>64</v>
      </c>
      <c r="K841">
        <v>2000010847</v>
      </c>
      <c r="L841" t="s">
        <v>2051</v>
      </c>
      <c r="M841" s="1860">
        <v>500018.67</v>
      </c>
      <c r="N841" s="1860">
        <v>4819.42</v>
      </c>
      <c r="O841">
        <v>40</v>
      </c>
      <c r="P841" s="1633">
        <v>2409799978</v>
      </c>
      <c r="Q841" t="s">
        <v>106</v>
      </c>
      <c r="R841" s="2392">
        <v>44865</v>
      </c>
      <c r="S841" s="2393">
        <f t="shared" si="54"/>
        <v>4819.42</v>
      </c>
      <c r="T841" s="2394">
        <f>IF(OR(J841="COP",J841="EURO",J841="GBP"),0,IF(J841="USD",VLOOKUP(R841,'TRM BanRep'!$A:$G,7,0)))</f>
        <v>4819.42</v>
      </c>
      <c r="U841" s="2395">
        <f t="shared" si="55"/>
        <v>0</v>
      </c>
      <c r="V841" s="2395" t="str">
        <f t="shared" si="56"/>
        <v/>
      </c>
    </row>
    <row r="842" spans="3:22" hidden="1">
      <c r="C842">
        <v>2022</v>
      </c>
      <c r="D842" t="s">
        <v>2034</v>
      </c>
      <c r="F842">
        <v>2422999997</v>
      </c>
      <c r="G842" t="s">
        <v>1609</v>
      </c>
      <c r="H842" t="s">
        <v>1493</v>
      </c>
      <c r="I842" t="s">
        <v>1612</v>
      </c>
      <c r="J842" t="s">
        <v>106</v>
      </c>
      <c r="K842">
        <v>7900013476</v>
      </c>
      <c r="L842" t="s">
        <v>1493</v>
      </c>
      <c r="M842" s="1633">
        <v>-9050659599</v>
      </c>
      <c r="N842">
        <v>1</v>
      </c>
      <c r="O842">
        <v>50</v>
      </c>
      <c r="P842" s="1633">
        <v>-9050659599</v>
      </c>
      <c r="Q842" t="s">
        <v>106</v>
      </c>
      <c r="R842" s="2392">
        <v>44840</v>
      </c>
      <c r="S842" s="2393">
        <f t="shared" si="54"/>
        <v>1</v>
      </c>
      <c r="T842" s="2394">
        <f>IF(OR(J842="COP",J842="EURO",J842="GBP"),0,IF(J842="USD",VLOOKUP(R842,'TRM BanRep'!$A:$G,7,0)))</f>
        <v>0</v>
      </c>
      <c r="U842" s="2395">
        <f t="shared" si="55"/>
        <v>0</v>
      </c>
      <c r="V842" s="2395" t="str">
        <f t="shared" si="56"/>
        <v/>
      </c>
    </row>
    <row r="843" spans="3:22" hidden="1">
      <c r="C843">
        <v>2022</v>
      </c>
      <c r="D843" t="s">
        <v>2034</v>
      </c>
      <c r="F843">
        <v>2422999997</v>
      </c>
      <c r="G843" t="s">
        <v>1609</v>
      </c>
      <c r="H843" t="s">
        <v>2040</v>
      </c>
      <c r="I843" t="s">
        <v>1970</v>
      </c>
      <c r="J843" t="s">
        <v>64</v>
      </c>
      <c r="K843">
        <v>7900013520</v>
      </c>
      <c r="L843" t="s">
        <v>2040</v>
      </c>
      <c r="M843" s="1860">
        <v>-735452.56</v>
      </c>
      <c r="N843" s="1860">
        <v>4627.6099999999997</v>
      </c>
      <c r="O843">
        <v>50</v>
      </c>
      <c r="P843" s="1633">
        <v>-3403387621</v>
      </c>
      <c r="Q843" t="s">
        <v>106</v>
      </c>
      <c r="R843" s="2392">
        <v>44841</v>
      </c>
      <c r="S843" s="2393">
        <f t="shared" si="54"/>
        <v>4627.6099999999997</v>
      </c>
      <c r="T843" s="2394">
        <f>IF(OR(J843="COP",J843="EURO",J843="GBP"),0,IF(J843="USD",VLOOKUP(R843,'TRM BanRep'!$A:$G,7,0)))</f>
        <v>4627.6099999999997</v>
      </c>
      <c r="U843" s="2395">
        <f t="shared" si="55"/>
        <v>0</v>
      </c>
      <c r="V843" s="2395" t="str">
        <f t="shared" si="56"/>
        <v/>
      </c>
    </row>
    <row r="844" spans="3:22" hidden="1">
      <c r="C844">
        <v>2022</v>
      </c>
      <c r="D844" t="s">
        <v>2034</v>
      </c>
      <c r="F844">
        <v>2422999997</v>
      </c>
      <c r="G844" t="s">
        <v>1609</v>
      </c>
      <c r="H844" t="s">
        <v>2040</v>
      </c>
      <c r="I844" t="s">
        <v>1969</v>
      </c>
      <c r="J844" t="s">
        <v>64</v>
      </c>
      <c r="K844">
        <v>7900013521</v>
      </c>
      <c r="L844" t="s">
        <v>2040</v>
      </c>
      <c r="M844" s="1860">
        <v>-531000.62</v>
      </c>
      <c r="N844" s="1860">
        <v>4627.6099999999997</v>
      </c>
      <c r="O844">
        <v>50</v>
      </c>
      <c r="P844" s="1633">
        <v>-2457263779</v>
      </c>
      <c r="Q844" t="s">
        <v>106</v>
      </c>
      <c r="R844" s="2392">
        <v>44841</v>
      </c>
      <c r="S844" s="2393">
        <f t="shared" si="54"/>
        <v>4627.6099999999997</v>
      </c>
      <c r="T844" s="2394">
        <f>IF(OR(J844="COP",J844="EURO",J844="GBP"),0,IF(J844="USD",VLOOKUP(R844,'TRM BanRep'!$A:$G,7,0)))</f>
        <v>4627.6099999999997</v>
      </c>
      <c r="U844" s="2395">
        <f t="shared" si="55"/>
        <v>0</v>
      </c>
      <c r="V844" s="2395" t="str">
        <f t="shared" si="56"/>
        <v/>
      </c>
    </row>
    <row r="845" spans="3:22" hidden="1">
      <c r="C845">
        <v>2022</v>
      </c>
      <c r="D845" t="s">
        <v>2034</v>
      </c>
      <c r="F845">
        <v>2422999997</v>
      </c>
      <c r="G845" t="s">
        <v>1609</v>
      </c>
      <c r="H845" t="s">
        <v>2045</v>
      </c>
      <c r="I845" t="s">
        <v>1613</v>
      </c>
      <c r="J845" t="s">
        <v>106</v>
      </c>
      <c r="K845">
        <v>7900013560</v>
      </c>
      <c r="L845" t="s">
        <v>2045</v>
      </c>
      <c r="M845" s="1633">
        <v>-2430359817</v>
      </c>
      <c r="N845">
        <v>1</v>
      </c>
      <c r="O845">
        <v>50</v>
      </c>
      <c r="P845" s="1633">
        <v>-2430359817</v>
      </c>
      <c r="Q845" t="s">
        <v>106</v>
      </c>
      <c r="R845" s="2392">
        <v>44845</v>
      </c>
      <c r="S845" s="2393">
        <f t="shared" si="54"/>
        <v>1</v>
      </c>
      <c r="T845" s="2394">
        <f>IF(OR(J845="COP",J845="EURO",J845="GBP"),0,IF(J845="USD",VLOOKUP(R845,'TRM BanRep'!$A:$G,7,0)))</f>
        <v>0</v>
      </c>
      <c r="U845" s="2395">
        <f t="shared" si="55"/>
        <v>0</v>
      </c>
      <c r="V845" s="2395" t="str">
        <f t="shared" si="56"/>
        <v/>
      </c>
    </row>
    <row r="846" spans="3:22" hidden="1">
      <c r="C846">
        <v>2022</v>
      </c>
      <c r="D846" t="s">
        <v>2034</v>
      </c>
      <c r="F846">
        <v>2422999997</v>
      </c>
      <c r="G846" t="s">
        <v>1609</v>
      </c>
      <c r="H846" t="s">
        <v>2045</v>
      </c>
      <c r="I846" t="s">
        <v>1614</v>
      </c>
      <c r="J846" t="s">
        <v>106</v>
      </c>
      <c r="K846">
        <v>7900013568</v>
      </c>
      <c r="L846" t="s">
        <v>2045</v>
      </c>
      <c r="M846" s="1633">
        <v>-1336697879</v>
      </c>
      <c r="N846">
        <v>1</v>
      </c>
      <c r="O846">
        <v>50</v>
      </c>
      <c r="P846" s="1633">
        <v>-1336697879</v>
      </c>
      <c r="Q846" t="s">
        <v>106</v>
      </c>
      <c r="R846" s="2392">
        <v>44845</v>
      </c>
      <c r="S846" s="2393">
        <f t="shared" si="54"/>
        <v>1</v>
      </c>
      <c r="T846" s="2394">
        <f>IF(OR(J846="COP",J846="EURO",J846="GBP"),0,IF(J846="USD",VLOOKUP(R846,'TRM BanRep'!$A:$G,7,0)))</f>
        <v>0</v>
      </c>
      <c r="U846" s="2395">
        <f t="shared" si="55"/>
        <v>0</v>
      </c>
      <c r="V846" s="2395" t="str">
        <f t="shared" si="56"/>
        <v/>
      </c>
    </row>
    <row r="847" spans="3:22" hidden="1">
      <c r="C847">
        <v>2022</v>
      </c>
      <c r="D847" t="s">
        <v>2034</v>
      </c>
      <c r="F847">
        <v>2422999997</v>
      </c>
      <c r="G847" t="s">
        <v>1609</v>
      </c>
      <c r="H847" t="s">
        <v>2060</v>
      </c>
      <c r="I847" t="s">
        <v>1615</v>
      </c>
      <c r="J847" t="s">
        <v>106</v>
      </c>
      <c r="K847">
        <v>7900013600</v>
      </c>
      <c r="L847" t="s">
        <v>2060</v>
      </c>
      <c r="M847" s="1633">
        <v>-2136012583</v>
      </c>
      <c r="N847">
        <v>1</v>
      </c>
      <c r="O847">
        <v>50</v>
      </c>
      <c r="P847" s="1633">
        <v>-2136012583</v>
      </c>
      <c r="Q847" t="s">
        <v>106</v>
      </c>
      <c r="R847" s="2392">
        <v>44847</v>
      </c>
      <c r="S847" s="2393">
        <f t="shared" si="54"/>
        <v>1</v>
      </c>
      <c r="T847" s="2394">
        <f>IF(OR(J847="COP",J847="EURO",J847="GBP"),0,IF(J847="USD",VLOOKUP(R847,'TRM BanRep'!$A:$G,7,0)))</f>
        <v>0</v>
      </c>
      <c r="U847" s="2395">
        <f t="shared" si="55"/>
        <v>0</v>
      </c>
      <c r="V847" s="2395" t="str">
        <f t="shared" si="56"/>
        <v/>
      </c>
    </row>
    <row r="848" spans="3:22" hidden="1">
      <c r="C848">
        <v>2022</v>
      </c>
      <c r="D848" t="s">
        <v>2034</v>
      </c>
      <c r="F848">
        <v>2422999997</v>
      </c>
      <c r="G848" t="s">
        <v>1609</v>
      </c>
      <c r="H848" t="s">
        <v>2062</v>
      </c>
      <c r="I848" t="s">
        <v>1616</v>
      </c>
      <c r="J848" t="s">
        <v>106</v>
      </c>
      <c r="K848">
        <v>7900013618</v>
      </c>
      <c r="L848" t="s">
        <v>2062</v>
      </c>
      <c r="M848" s="1633">
        <v>-14305799742</v>
      </c>
      <c r="N848">
        <v>1</v>
      </c>
      <c r="O848">
        <v>50</v>
      </c>
      <c r="P848" s="1633">
        <v>-14305799742</v>
      </c>
      <c r="Q848" t="s">
        <v>106</v>
      </c>
      <c r="R848" s="2392">
        <v>44852</v>
      </c>
      <c r="S848" s="2393">
        <f t="shared" si="54"/>
        <v>1</v>
      </c>
      <c r="T848" s="2394">
        <f>IF(OR(J848="COP",J848="EURO",J848="GBP"),0,IF(J848="USD",VLOOKUP(R848,'TRM BanRep'!$A:$G,7,0)))</f>
        <v>0</v>
      </c>
      <c r="U848" s="2395">
        <f t="shared" si="55"/>
        <v>0</v>
      </c>
      <c r="V848" s="2395" t="str">
        <f t="shared" si="56"/>
        <v/>
      </c>
    </row>
    <row r="849" spans="3:22" hidden="1">
      <c r="C849">
        <v>2022</v>
      </c>
      <c r="D849" t="s">
        <v>2034</v>
      </c>
      <c r="F849">
        <v>2422999997</v>
      </c>
      <c r="G849" t="s">
        <v>1609</v>
      </c>
      <c r="H849" t="s">
        <v>2063</v>
      </c>
      <c r="I849" t="s">
        <v>1795</v>
      </c>
      <c r="J849" t="s">
        <v>106</v>
      </c>
      <c r="K849">
        <v>7900013678</v>
      </c>
      <c r="L849" t="s">
        <v>2063</v>
      </c>
      <c r="M849" s="1633">
        <v>-9481950685</v>
      </c>
      <c r="N849">
        <v>1</v>
      </c>
      <c r="O849">
        <v>50</v>
      </c>
      <c r="P849" s="1633">
        <v>-9481950685</v>
      </c>
      <c r="Q849" t="s">
        <v>106</v>
      </c>
      <c r="R849" s="2392">
        <v>44858</v>
      </c>
      <c r="S849" s="2393">
        <f t="shared" si="54"/>
        <v>1</v>
      </c>
      <c r="T849" s="2394">
        <f>IF(OR(J849="COP",J849="EURO",J849="GBP"),0,IF(J849="USD",VLOOKUP(R849,'TRM BanRep'!$A:$G,7,0)))</f>
        <v>0</v>
      </c>
      <c r="U849" s="2395">
        <f t="shared" si="55"/>
        <v>0</v>
      </c>
      <c r="V849" s="2395" t="str">
        <f t="shared" si="56"/>
        <v/>
      </c>
    </row>
    <row r="850" spans="3:22" hidden="1">
      <c r="C850">
        <v>2022</v>
      </c>
      <c r="D850" t="s">
        <v>2034</v>
      </c>
      <c r="F850">
        <v>2422999997</v>
      </c>
      <c r="G850" t="s">
        <v>1609</v>
      </c>
      <c r="H850" t="s">
        <v>2051</v>
      </c>
      <c r="I850" t="s">
        <v>2064</v>
      </c>
      <c r="J850" t="s">
        <v>64</v>
      </c>
      <c r="K850">
        <v>7900014643</v>
      </c>
      <c r="L850" t="s">
        <v>2051</v>
      </c>
      <c r="M850">
        <v>-203.67</v>
      </c>
      <c r="N850" s="1860">
        <v>4819.41867</v>
      </c>
      <c r="O850">
        <v>50</v>
      </c>
      <c r="P850" s="1633">
        <v>-981571</v>
      </c>
      <c r="Q850" t="s">
        <v>106</v>
      </c>
      <c r="R850" s="2392">
        <v>44865</v>
      </c>
      <c r="S850" s="2393">
        <f t="shared" si="54"/>
        <v>4819.42</v>
      </c>
      <c r="T850" s="2394">
        <f>IF(OR(J850="COP",J850="EURO",J850="GBP"),0,IF(J850="USD",VLOOKUP(R850,'TRM BanRep'!$A:$G,7,0)))</f>
        <v>4819.42</v>
      </c>
      <c r="U850" s="2395">
        <f t="shared" si="55"/>
        <v>0</v>
      </c>
      <c r="V850" s="2395" t="str">
        <f t="shared" si="56"/>
        <v/>
      </c>
    </row>
    <row r="851" spans="3:22">
      <c r="M851" s="1633"/>
      <c r="P851" s="1633"/>
      <c r="R851" s="2392"/>
      <c r="S851" s="2393"/>
      <c r="T851" s="2394"/>
      <c r="U851" s="2395"/>
      <c r="V851" s="2395" t="str">
        <f t="shared" si="56"/>
        <v/>
      </c>
    </row>
    <row r="852" spans="3:22" hidden="1">
      <c r="C852">
        <v>2022</v>
      </c>
      <c r="D852" t="s">
        <v>2065</v>
      </c>
      <c r="F852">
        <v>1202049905</v>
      </c>
      <c r="G852" t="s">
        <v>1557</v>
      </c>
      <c r="H852" t="s">
        <v>2066</v>
      </c>
      <c r="I852" t="s">
        <v>2067</v>
      </c>
      <c r="J852" t="s">
        <v>64</v>
      </c>
      <c r="K852">
        <v>7900014684</v>
      </c>
      <c r="L852" t="s">
        <v>2066</v>
      </c>
      <c r="M852" s="1633">
        <v>-3000000</v>
      </c>
      <c r="N852">
        <v>4827</v>
      </c>
      <c r="O852">
        <v>50</v>
      </c>
      <c r="P852" s="1633">
        <v>-14481000000</v>
      </c>
      <c r="Q852" t="s">
        <v>106</v>
      </c>
      <c r="R852" s="2392">
        <v>44880</v>
      </c>
      <c r="S852" s="2393">
        <f t="shared" ref="S852:S915" si="57">+ROUND(P852/M852,2)</f>
        <v>4827</v>
      </c>
      <c r="T852" s="2394">
        <f>IF(OR(J852="COP",J852="EURO",J852="GBP"),0,IF(J852="USD",VLOOKUP(R852,'TRM BanRep'!$A:$G,7,0)))</f>
        <v>4806.07</v>
      </c>
      <c r="U852" s="2407">
        <f t="shared" ref="U852:U915" si="58">IF(F852=2422999997,-IF(T852=0,0,(T852-S852)*M852),IF(T852=0,0,(T852-S852)*M852))</f>
        <v>62790000.000000872</v>
      </c>
      <c r="V852" s="2396" t="str">
        <f t="shared" si="56"/>
        <v>2-GASTO</v>
      </c>
    </row>
    <row r="853" spans="3:22" hidden="1">
      <c r="C853">
        <v>2022</v>
      </c>
      <c r="D853" t="s">
        <v>2065</v>
      </c>
      <c r="F853">
        <v>1202049905</v>
      </c>
      <c r="G853" t="s">
        <v>1557</v>
      </c>
      <c r="H853" t="s">
        <v>2066</v>
      </c>
      <c r="I853" t="s">
        <v>2068</v>
      </c>
      <c r="J853" t="s">
        <v>106</v>
      </c>
      <c r="K853">
        <v>7900014685</v>
      </c>
      <c r="L853" t="s">
        <v>2066</v>
      </c>
      <c r="M853" s="1633">
        <v>14481000000</v>
      </c>
      <c r="N853">
        <v>1</v>
      </c>
      <c r="O853">
        <v>40</v>
      </c>
      <c r="P853" s="1633">
        <v>14481000000</v>
      </c>
      <c r="Q853" t="s">
        <v>106</v>
      </c>
      <c r="R853" s="2392">
        <v>44880</v>
      </c>
      <c r="S853" s="2393">
        <f t="shared" si="57"/>
        <v>1</v>
      </c>
      <c r="T853" s="2394">
        <f>IF(OR(J853="COP",J853="EURO",J853="GBP"),0,IF(J853="USD",VLOOKUP(R853,'TRM BanRep'!$A:$G,7,0)))</f>
        <v>0</v>
      </c>
      <c r="U853" s="2395">
        <f t="shared" si="58"/>
        <v>0</v>
      </c>
      <c r="V853" s="2395" t="str">
        <f t="shared" si="56"/>
        <v/>
      </c>
    </row>
    <row r="854" spans="3:22" hidden="1">
      <c r="C854">
        <v>2022</v>
      </c>
      <c r="D854" t="s">
        <v>2065</v>
      </c>
      <c r="F854">
        <v>1202049905</v>
      </c>
      <c r="G854" t="s">
        <v>1557</v>
      </c>
      <c r="H854" t="s">
        <v>2066</v>
      </c>
      <c r="I854" t="s">
        <v>2069</v>
      </c>
      <c r="J854" t="s">
        <v>64</v>
      </c>
      <c r="K854">
        <v>7900014692</v>
      </c>
      <c r="L854" t="s">
        <v>2066</v>
      </c>
      <c r="M854" s="1633">
        <v>-3000000</v>
      </c>
      <c r="N854">
        <v>4823</v>
      </c>
      <c r="O854">
        <v>50</v>
      </c>
      <c r="P854" s="1633">
        <v>-14469000000</v>
      </c>
      <c r="Q854" t="s">
        <v>106</v>
      </c>
      <c r="R854" s="2392">
        <v>44880</v>
      </c>
      <c r="S854" s="2393">
        <f t="shared" si="57"/>
        <v>4823</v>
      </c>
      <c r="T854" s="2394">
        <f>IF(OR(J854="COP",J854="EURO",J854="GBP"),0,IF(J854="USD",VLOOKUP(R854,'TRM BanRep'!$A:$G,7,0)))</f>
        <v>4806.07</v>
      </c>
      <c r="U854" s="2407">
        <f t="shared" si="58"/>
        <v>50790000.000000872</v>
      </c>
      <c r="V854" s="2396" t="str">
        <f t="shared" si="56"/>
        <v>2-GASTO</v>
      </c>
    </row>
    <row r="855" spans="3:22" hidden="1">
      <c r="C855">
        <v>2022</v>
      </c>
      <c r="D855" t="s">
        <v>2065</v>
      </c>
      <c r="F855">
        <v>1202049905</v>
      </c>
      <c r="G855" t="s">
        <v>1557</v>
      </c>
      <c r="H855" t="s">
        <v>2066</v>
      </c>
      <c r="I855" t="s">
        <v>2070</v>
      </c>
      <c r="J855" t="s">
        <v>106</v>
      </c>
      <c r="K855">
        <v>7900014693</v>
      </c>
      <c r="L855" t="s">
        <v>2066</v>
      </c>
      <c r="M855" s="1633">
        <v>14469000000</v>
      </c>
      <c r="N855">
        <v>1</v>
      </c>
      <c r="O855">
        <v>40</v>
      </c>
      <c r="P855" s="1633">
        <v>14469000000</v>
      </c>
      <c r="Q855" t="s">
        <v>106</v>
      </c>
      <c r="R855" s="2392">
        <v>44880</v>
      </c>
      <c r="S855" s="2393">
        <f t="shared" si="57"/>
        <v>1</v>
      </c>
      <c r="T855" s="2394">
        <f>IF(OR(J855="COP",J855="EURO",J855="GBP"),0,IF(J855="USD",VLOOKUP(R855,'TRM BanRep'!$A:$G,7,0)))</f>
        <v>0</v>
      </c>
      <c r="U855" s="2395">
        <f t="shared" si="58"/>
        <v>0</v>
      </c>
      <c r="V855" s="2395" t="str">
        <f t="shared" si="56"/>
        <v/>
      </c>
    </row>
    <row r="856" spans="3:22" hidden="1">
      <c r="C856">
        <v>2022</v>
      </c>
      <c r="D856" t="s">
        <v>2065</v>
      </c>
      <c r="F856">
        <v>1202049905</v>
      </c>
      <c r="G856" t="s">
        <v>1557</v>
      </c>
      <c r="H856" t="s">
        <v>2066</v>
      </c>
      <c r="I856" t="s">
        <v>2071</v>
      </c>
      <c r="J856" t="s">
        <v>64</v>
      </c>
      <c r="K856">
        <v>7900014700</v>
      </c>
      <c r="L856" t="s">
        <v>2066</v>
      </c>
      <c r="M856" s="1633">
        <v>-4000000</v>
      </c>
      <c r="N856">
        <v>4826</v>
      </c>
      <c r="O856">
        <v>50</v>
      </c>
      <c r="P856" s="1633">
        <v>-19304000000</v>
      </c>
      <c r="Q856" t="s">
        <v>106</v>
      </c>
      <c r="R856" s="2392">
        <v>44880</v>
      </c>
      <c r="S856" s="2393">
        <f t="shared" si="57"/>
        <v>4826</v>
      </c>
      <c r="T856" s="2394">
        <f>IF(OR(J856="COP",J856="EURO",J856="GBP"),0,IF(J856="USD",VLOOKUP(R856,'TRM BanRep'!$A:$G,7,0)))</f>
        <v>4806.07</v>
      </c>
      <c r="U856" s="2407">
        <f t="shared" si="58"/>
        <v>79720000.000001162</v>
      </c>
      <c r="V856" s="2396" t="str">
        <f t="shared" si="56"/>
        <v>2-GASTO</v>
      </c>
    </row>
    <row r="857" spans="3:22" hidden="1">
      <c r="C857">
        <v>2022</v>
      </c>
      <c r="D857" t="s">
        <v>2065</v>
      </c>
      <c r="F857">
        <v>1202049905</v>
      </c>
      <c r="G857" t="s">
        <v>1557</v>
      </c>
      <c r="H857" t="s">
        <v>2066</v>
      </c>
      <c r="I857" t="s">
        <v>2072</v>
      </c>
      <c r="J857" t="s">
        <v>106</v>
      </c>
      <c r="K857">
        <v>7900014701</v>
      </c>
      <c r="L857" t="s">
        <v>2066</v>
      </c>
      <c r="M857" s="1633">
        <v>19304000000</v>
      </c>
      <c r="N857">
        <v>1</v>
      </c>
      <c r="O857">
        <v>40</v>
      </c>
      <c r="P857" s="1633">
        <v>19304000000</v>
      </c>
      <c r="Q857" t="s">
        <v>106</v>
      </c>
      <c r="R857" s="2392">
        <v>44880</v>
      </c>
      <c r="S857" s="2393">
        <f t="shared" si="57"/>
        <v>1</v>
      </c>
      <c r="T857" s="2394">
        <f>IF(OR(J857="COP",J857="EURO",J857="GBP"),0,IF(J857="USD",VLOOKUP(R857,'TRM BanRep'!$A:$G,7,0)))</f>
        <v>0</v>
      </c>
      <c r="U857" s="2395">
        <f t="shared" si="58"/>
        <v>0</v>
      </c>
      <c r="V857" s="2395" t="str">
        <f t="shared" si="56"/>
        <v/>
      </c>
    </row>
    <row r="858" spans="3:22" hidden="1">
      <c r="C858">
        <v>2022</v>
      </c>
      <c r="D858" t="s">
        <v>2065</v>
      </c>
      <c r="F858">
        <v>1202049905</v>
      </c>
      <c r="G858" t="s">
        <v>1557</v>
      </c>
      <c r="H858" t="s">
        <v>2066</v>
      </c>
      <c r="I858" t="s">
        <v>2073</v>
      </c>
      <c r="J858" t="s">
        <v>64</v>
      </c>
      <c r="K858">
        <v>7900014708</v>
      </c>
      <c r="L858" t="s">
        <v>2066</v>
      </c>
      <c r="M858" s="1633">
        <v>-2600000</v>
      </c>
      <c r="N858">
        <v>4822.2</v>
      </c>
      <c r="O858">
        <v>50</v>
      </c>
      <c r="P858" s="1633">
        <v>-12537720000</v>
      </c>
      <c r="Q858" t="s">
        <v>106</v>
      </c>
      <c r="R858" s="2392">
        <v>44880</v>
      </c>
      <c r="S858" s="2393">
        <f t="shared" si="57"/>
        <v>4822.2</v>
      </c>
      <c r="T858" s="2394">
        <f>IF(OR(J858="COP",J858="EURO",J858="GBP"),0,IF(J858="USD",VLOOKUP(R858,'TRM BanRep'!$A:$G,7,0)))</f>
        <v>4806.07</v>
      </c>
      <c r="U858" s="2407">
        <f t="shared" si="58"/>
        <v>41938000.000000283</v>
      </c>
      <c r="V858" s="2396" t="str">
        <f t="shared" si="56"/>
        <v>2-GASTO</v>
      </c>
    </row>
    <row r="859" spans="3:22" hidden="1">
      <c r="C859">
        <v>2022</v>
      </c>
      <c r="D859" t="s">
        <v>2065</v>
      </c>
      <c r="F859">
        <v>1202049905</v>
      </c>
      <c r="G859" t="s">
        <v>1557</v>
      </c>
      <c r="H859" t="s">
        <v>2066</v>
      </c>
      <c r="I859" t="s">
        <v>2074</v>
      </c>
      <c r="J859" t="s">
        <v>106</v>
      </c>
      <c r="K859">
        <v>7900014709</v>
      </c>
      <c r="L859" t="s">
        <v>2066</v>
      </c>
      <c r="M859" s="1633">
        <v>12537720000</v>
      </c>
      <c r="N859">
        <v>1</v>
      </c>
      <c r="O859">
        <v>40</v>
      </c>
      <c r="P859" s="1633">
        <v>12537720000</v>
      </c>
      <c r="Q859" t="s">
        <v>106</v>
      </c>
      <c r="R859" s="2392">
        <v>44880</v>
      </c>
      <c r="S859" s="2393">
        <f t="shared" si="57"/>
        <v>1</v>
      </c>
      <c r="T859" s="2394">
        <f>IF(OR(J859="COP",J859="EURO",J859="GBP"),0,IF(J859="USD",VLOOKUP(R859,'TRM BanRep'!$A:$G,7,0)))</f>
        <v>0</v>
      </c>
      <c r="U859" s="2395">
        <f t="shared" si="58"/>
        <v>0</v>
      </c>
      <c r="V859" s="2395" t="str">
        <f t="shared" si="56"/>
        <v/>
      </c>
    </row>
    <row r="860" spans="3:22" hidden="1">
      <c r="C860">
        <v>2022</v>
      </c>
      <c r="D860" t="s">
        <v>2065</v>
      </c>
      <c r="F860">
        <v>1202049905</v>
      </c>
      <c r="G860" t="s">
        <v>1557</v>
      </c>
      <c r="H860" t="s">
        <v>2066</v>
      </c>
      <c r="I860" t="s">
        <v>2075</v>
      </c>
      <c r="J860" t="s">
        <v>64</v>
      </c>
      <c r="K860">
        <v>7900014716</v>
      </c>
      <c r="L860" t="s">
        <v>2066</v>
      </c>
      <c r="M860" s="1633">
        <v>-3000000</v>
      </c>
      <c r="N860">
        <v>4825</v>
      </c>
      <c r="O860">
        <v>50</v>
      </c>
      <c r="P860" s="1633">
        <v>-14475000000</v>
      </c>
      <c r="Q860" t="s">
        <v>106</v>
      </c>
      <c r="R860" s="2392">
        <v>44880</v>
      </c>
      <c r="S860" s="2393">
        <f t="shared" si="57"/>
        <v>4825</v>
      </c>
      <c r="T860" s="2394">
        <f>IF(OR(J860="COP",J860="EURO",J860="GBP"),0,IF(J860="USD",VLOOKUP(R860,'TRM BanRep'!$A:$G,7,0)))</f>
        <v>4806.07</v>
      </c>
      <c r="U860" s="2407">
        <f t="shared" si="58"/>
        <v>56790000.000000872</v>
      </c>
      <c r="V860" s="2396" t="str">
        <f t="shared" si="56"/>
        <v>2-GASTO</v>
      </c>
    </row>
    <row r="861" spans="3:22" hidden="1">
      <c r="C861">
        <v>2022</v>
      </c>
      <c r="D861" t="s">
        <v>2065</v>
      </c>
      <c r="F861">
        <v>1202049905</v>
      </c>
      <c r="G861" t="s">
        <v>1557</v>
      </c>
      <c r="H861" t="s">
        <v>2066</v>
      </c>
      <c r="I861" t="s">
        <v>2076</v>
      </c>
      <c r="J861" t="s">
        <v>106</v>
      </c>
      <c r="K861">
        <v>7900014717</v>
      </c>
      <c r="L861" t="s">
        <v>2066</v>
      </c>
      <c r="M861" s="1633">
        <v>14475000000</v>
      </c>
      <c r="N861">
        <v>1</v>
      </c>
      <c r="O861">
        <v>40</v>
      </c>
      <c r="P861" s="1633">
        <v>14475000000</v>
      </c>
      <c r="Q861" t="s">
        <v>106</v>
      </c>
      <c r="R861" s="2392">
        <v>44880</v>
      </c>
      <c r="S861" s="2393">
        <f t="shared" si="57"/>
        <v>1</v>
      </c>
      <c r="T861" s="2394">
        <f>IF(OR(J861="COP",J861="EURO",J861="GBP"),0,IF(J861="USD",VLOOKUP(R861,'TRM BanRep'!$A:$G,7,0)))</f>
        <v>0</v>
      </c>
      <c r="U861" s="2395">
        <f t="shared" si="58"/>
        <v>0</v>
      </c>
      <c r="V861" s="2395" t="str">
        <f t="shared" si="56"/>
        <v/>
      </c>
    </row>
    <row r="862" spans="3:22" hidden="1">
      <c r="C862">
        <v>2022</v>
      </c>
      <c r="D862" t="s">
        <v>2065</v>
      </c>
      <c r="F862">
        <v>1202049905</v>
      </c>
      <c r="G862" t="s">
        <v>1557</v>
      </c>
      <c r="H862" t="s">
        <v>2066</v>
      </c>
      <c r="I862" t="s">
        <v>2077</v>
      </c>
      <c r="J862" t="s">
        <v>64</v>
      </c>
      <c r="K862">
        <v>7900014867</v>
      </c>
      <c r="L862" t="s">
        <v>2066</v>
      </c>
      <c r="M862" s="1633">
        <v>-32000000</v>
      </c>
      <c r="N862">
        <v>4806.07</v>
      </c>
      <c r="O862">
        <v>50</v>
      </c>
      <c r="P862" s="1633">
        <v>-153794240000</v>
      </c>
      <c r="Q862" t="s">
        <v>106</v>
      </c>
      <c r="R862" s="2392">
        <v>44880</v>
      </c>
      <c r="S862" s="2393">
        <f t="shared" si="57"/>
        <v>4806.07</v>
      </c>
      <c r="T862" s="2394">
        <f>IF(OR(J862="COP",J862="EURO",J862="GBP"),0,IF(J862="USD",VLOOKUP(R862,'TRM BanRep'!$A:$G,7,0)))</f>
        <v>4806.07</v>
      </c>
      <c r="U862" s="2395">
        <f t="shared" si="58"/>
        <v>0</v>
      </c>
      <c r="V862" s="2395" t="str">
        <f t="shared" si="56"/>
        <v/>
      </c>
    </row>
    <row r="863" spans="3:22" hidden="1">
      <c r="C863">
        <v>2022</v>
      </c>
      <c r="D863" t="s">
        <v>2065</v>
      </c>
      <c r="F863">
        <v>1202049905</v>
      </c>
      <c r="G863" t="s">
        <v>1557</v>
      </c>
      <c r="H863" t="s">
        <v>2066</v>
      </c>
      <c r="I863" t="s">
        <v>2078</v>
      </c>
      <c r="J863" t="s">
        <v>106</v>
      </c>
      <c r="K863">
        <v>7900014868</v>
      </c>
      <c r="L863" t="s">
        <v>2066</v>
      </c>
      <c r="M863" s="1633">
        <v>153794240000</v>
      </c>
      <c r="N863">
        <v>1</v>
      </c>
      <c r="O863">
        <v>40</v>
      </c>
      <c r="P863" s="1633">
        <v>153794240000</v>
      </c>
      <c r="Q863" t="s">
        <v>106</v>
      </c>
      <c r="R863" s="2392">
        <v>44880</v>
      </c>
      <c r="S863" s="2393">
        <f t="shared" si="57"/>
        <v>1</v>
      </c>
      <c r="T863" s="2394">
        <f>IF(OR(J863="COP",J863="EURO",J863="GBP"),0,IF(J863="USD",VLOOKUP(R863,'TRM BanRep'!$A:$G,7,0)))</f>
        <v>0</v>
      </c>
      <c r="U863" s="2395">
        <f t="shared" si="58"/>
        <v>0</v>
      </c>
      <c r="V863" s="2395" t="str">
        <f t="shared" si="56"/>
        <v/>
      </c>
    </row>
    <row r="864" spans="3:22" hidden="1">
      <c r="C864">
        <v>2022</v>
      </c>
      <c r="D864" t="s">
        <v>2065</v>
      </c>
      <c r="F864">
        <v>1202049905</v>
      </c>
      <c r="G864" t="s">
        <v>1557</v>
      </c>
      <c r="H864" t="s">
        <v>2079</v>
      </c>
      <c r="I864" t="s">
        <v>2080</v>
      </c>
      <c r="J864" s="2410" t="s">
        <v>146</v>
      </c>
      <c r="K864">
        <v>7900015889</v>
      </c>
      <c r="L864" t="s">
        <v>2079</v>
      </c>
      <c r="M864" s="1633">
        <v>-9536</v>
      </c>
      <c r="N864">
        <v>4951.3905199999999</v>
      </c>
      <c r="O864">
        <v>50</v>
      </c>
      <c r="P864" s="1633">
        <v>-47216460</v>
      </c>
      <c r="Q864" t="s">
        <v>106</v>
      </c>
      <c r="R864" s="2392">
        <v>44887</v>
      </c>
      <c r="S864" s="2393">
        <f t="shared" si="57"/>
        <v>4951.3900000000003</v>
      </c>
      <c r="T864" s="2409">
        <f>IF(OR(J864="COP",J864="EURO",J864="GBP"),0,IF(J864="USD",VLOOKUP(R864,'TRM BanRep'!$A:$G,7,0)))</f>
        <v>0</v>
      </c>
      <c r="U864" s="2395">
        <f t="shared" si="58"/>
        <v>0</v>
      </c>
      <c r="V864" s="2397" t="str">
        <f t="shared" si="56"/>
        <v/>
      </c>
    </row>
    <row r="865" spans="3:22" hidden="1">
      <c r="C865">
        <v>2022</v>
      </c>
      <c r="D865" t="s">
        <v>2065</v>
      </c>
      <c r="F865">
        <v>1202049905</v>
      </c>
      <c r="G865" t="s">
        <v>1557</v>
      </c>
      <c r="H865" t="s">
        <v>2079</v>
      </c>
      <c r="I865" t="s">
        <v>2081</v>
      </c>
      <c r="J865" t="s">
        <v>64</v>
      </c>
      <c r="K865">
        <v>7900015890</v>
      </c>
      <c r="L865" t="s">
        <v>2079</v>
      </c>
      <c r="M865" s="1633">
        <v>10056.67</v>
      </c>
      <c r="N865">
        <v>4695.0392099999999</v>
      </c>
      <c r="O865">
        <v>40</v>
      </c>
      <c r="P865" s="1633">
        <v>47216460</v>
      </c>
      <c r="Q865" t="s">
        <v>106</v>
      </c>
      <c r="R865" s="2392">
        <v>44887</v>
      </c>
      <c r="S865" s="2393">
        <f t="shared" si="57"/>
        <v>4695.04</v>
      </c>
      <c r="T865" s="2394">
        <f>IF(OR(J865="COP",J865="EURO",J865="GBP"),0,IF(J865="USD",VLOOKUP(R865,'TRM BanRep'!$A:$G,7,0)))</f>
        <v>4958.42</v>
      </c>
      <c r="U865" s="2407">
        <f t="shared" si="58"/>
        <v>2648725.7446000013</v>
      </c>
      <c r="V865" s="2396" t="str">
        <f t="shared" si="56"/>
        <v>2-GASTO</v>
      </c>
    </row>
    <row r="866" spans="3:22" hidden="1">
      <c r="C866">
        <v>2022</v>
      </c>
      <c r="D866" t="s">
        <v>2065</v>
      </c>
      <c r="F866">
        <v>1202049905</v>
      </c>
      <c r="G866" t="s">
        <v>1557</v>
      </c>
      <c r="H866" t="s">
        <v>2082</v>
      </c>
      <c r="I866" t="s">
        <v>2083</v>
      </c>
      <c r="J866" t="s">
        <v>64</v>
      </c>
      <c r="K866">
        <v>7900015837</v>
      </c>
      <c r="L866" t="s">
        <v>2082</v>
      </c>
      <c r="M866" s="1633">
        <v>-1000000</v>
      </c>
      <c r="N866">
        <v>4837</v>
      </c>
      <c r="O866">
        <v>50</v>
      </c>
      <c r="P866" s="1633">
        <v>-4837000000</v>
      </c>
      <c r="Q866" t="s">
        <v>106</v>
      </c>
      <c r="R866" s="2392">
        <v>44893</v>
      </c>
      <c r="S866" s="2393">
        <f t="shared" si="57"/>
        <v>4837</v>
      </c>
      <c r="T866" s="2394">
        <f>IF(OR(J866="COP",J866="EURO",J866="GBP"),0,IF(J866="USD",VLOOKUP(R866,'TRM BanRep'!$A:$G,7,0)))</f>
        <v>4881.41</v>
      </c>
      <c r="U866" s="2405">
        <f t="shared" si="58"/>
        <v>-44409999.999999851</v>
      </c>
      <c r="V866" s="2397" t="str">
        <f t="shared" si="56"/>
        <v>1-INGRESO</v>
      </c>
    </row>
    <row r="867" spans="3:22" hidden="1">
      <c r="C867">
        <v>2022</v>
      </c>
      <c r="D867" t="s">
        <v>2065</v>
      </c>
      <c r="F867">
        <v>1202049905</v>
      </c>
      <c r="G867" t="s">
        <v>1557</v>
      </c>
      <c r="H867" t="s">
        <v>2082</v>
      </c>
      <c r="I867" t="s">
        <v>2084</v>
      </c>
      <c r="J867" t="s">
        <v>106</v>
      </c>
      <c r="K867">
        <v>7900015838</v>
      </c>
      <c r="L867" t="s">
        <v>2082</v>
      </c>
      <c r="M867" s="1633">
        <v>4837000000</v>
      </c>
      <c r="N867">
        <v>1</v>
      </c>
      <c r="O867">
        <v>40</v>
      </c>
      <c r="P867" s="1633">
        <v>4837000000</v>
      </c>
      <c r="Q867" t="s">
        <v>106</v>
      </c>
      <c r="R867" s="2392">
        <v>44893</v>
      </c>
      <c r="S867" s="2393">
        <f t="shared" si="57"/>
        <v>1</v>
      </c>
      <c r="T867" s="2394">
        <f>IF(OR(J867="COP",J867="EURO",J867="GBP"),0,IF(J867="USD",VLOOKUP(R867,'TRM BanRep'!$A:$G,7,0)))</f>
        <v>0</v>
      </c>
      <c r="U867" s="2395">
        <f t="shared" si="58"/>
        <v>0</v>
      </c>
      <c r="V867" s="2395" t="str">
        <f t="shared" si="56"/>
        <v/>
      </c>
    </row>
    <row r="868" spans="3:22" hidden="1">
      <c r="C868">
        <v>2022</v>
      </c>
      <c r="D868" t="s">
        <v>2065</v>
      </c>
      <c r="F868">
        <v>1202049905</v>
      </c>
      <c r="G868" t="s">
        <v>1557</v>
      </c>
      <c r="H868" t="s">
        <v>2085</v>
      </c>
      <c r="I868" t="s">
        <v>2086</v>
      </c>
      <c r="J868" t="s">
        <v>64</v>
      </c>
      <c r="K868">
        <v>7900015897</v>
      </c>
      <c r="L868" t="s">
        <v>2085</v>
      </c>
      <c r="M868" s="1633">
        <v>-198016.7</v>
      </c>
      <c r="N868">
        <v>4875.90996</v>
      </c>
      <c r="O868">
        <v>50</v>
      </c>
      <c r="P868" s="1633">
        <v>-965511600</v>
      </c>
      <c r="Q868" t="s">
        <v>106</v>
      </c>
      <c r="R868" s="2392">
        <v>44894</v>
      </c>
      <c r="S868" s="2393">
        <f t="shared" si="57"/>
        <v>4875.91</v>
      </c>
      <c r="T868" s="2394">
        <f>IF(OR(J868="COP",J868="EURO",J868="GBP"),0,IF(J868="USD",VLOOKUP(R868,'TRM BanRep'!$A:$G,7,0)))</f>
        <v>4840.6000000000004</v>
      </c>
      <c r="U868" s="2407">
        <f t="shared" si="58"/>
        <v>6991969.6769998996</v>
      </c>
      <c r="V868" s="2396" t="str">
        <f t="shared" si="56"/>
        <v>2-GASTO</v>
      </c>
    </row>
    <row r="869" spans="3:22" hidden="1">
      <c r="C869">
        <v>2022</v>
      </c>
      <c r="D869" t="s">
        <v>2065</v>
      </c>
      <c r="F869">
        <v>1202049905</v>
      </c>
      <c r="G869" t="s">
        <v>1557</v>
      </c>
      <c r="H869" t="s">
        <v>2085</v>
      </c>
      <c r="I869" t="s">
        <v>2087</v>
      </c>
      <c r="J869" t="s">
        <v>106</v>
      </c>
      <c r="K869">
        <v>7900015898</v>
      </c>
      <c r="L869" t="s">
        <v>2085</v>
      </c>
      <c r="M869" s="1633">
        <v>965511600</v>
      </c>
      <c r="N869">
        <v>1</v>
      </c>
      <c r="O869">
        <v>40</v>
      </c>
      <c r="P869" s="1633">
        <v>965511600</v>
      </c>
      <c r="Q869" t="s">
        <v>106</v>
      </c>
      <c r="R869" s="2392">
        <v>44894</v>
      </c>
      <c r="S869" s="2393">
        <f t="shared" si="57"/>
        <v>1</v>
      </c>
      <c r="T869" s="2394">
        <f>IF(OR(J869="COP",J869="EURO",J869="GBP"),0,IF(J869="USD",VLOOKUP(R869,'TRM BanRep'!$A:$G,7,0)))</f>
        <v>0</v>
      </c>
      <c r="U869" s="2395">
        <f t="shared" si="58"/>
        <v>0</v>
      </c>
      <c r="V869" s="2395" t="str">
        <f t="shared" si="56"/>
        <v/>
      </c>
    </row>
    <row r="870" spans="3:22" hidden="1">
      <c r="C870">
        <v>2022</v>
      </c>
      <c r="D870" t="s">
        <v>2065</v>
      </c>
      <c r="F870">
        <v>1202049905</v>
      </c>
      <c r="G870" t="s">
        <v>1557</v>
      </c>
      <c r="H870" t="s">
        <v>2088</v>
      </c>
      <c r="I870" t="s">
        <v>2089</v>
      </c>
      <c r="J870" t="s">
        <v>106</v>
      </c>
      <c r="K870">
        <v>7900015387</v>
      </c>
      <c r="L870" t="s">
        <v>2088</v>
      </c>
      <c r="M870" s="1633">
        <v>-234307680000</v>
      </c>
      <c r="N870">
        <v>1</v>
      </c>
      <c r="O870">
        <v>50</v>
      </c>
      <c r="P870" s="1633">
        <v>-234307680000</v>
      </c>
      <c r="Q870" t="s">
        <v>106</v>
      </c>
      <c r="R870" s="2392">
        <v>44895</v>
      </c>
      <c r="S870" s="2393">
        <f t="shared" si="57"/>
        <v>1</v>
      </c>
      <c r="T870" s="2394">
        <f>IF(OR(J870="COP",J870="EURO",J870="GBP"),0,IF(J870="USD",VLOOKUP(R870,'TRM BanRep'!$A:$G,7,0)))</f>
        <v>0</v>
      </c>
      <c r="U870" s="2395">
        <f t="shared" si="58"/>
        <v>0</v>
      </c>
      <c r="V870" s="2395" t="str">
        <f t="shared" si="56"/>
        <v/>
      </c>
    </row>
    <row r="871" spans="3:22" hidden="1">
      <c r="C871">
        <v>2022</v>
      </c>
      <c r="D871" t="s">
        <v>2065</v>
      </c>
      <c r="F871">
        <v>1202049905</v>
      </c>
      <c r="G871" t="s">
        <v>1557</v>
      </c>
      <c r="H871" t="s">
        <v>2088</v>
      </c>
      <c r="I871" t="s">
        <v>2090</v>
      </c>
      <c r="J871" t="s">
        <v>64</v>
      </c>
      <c r="K871">
        <v>7900015388</v>
      </c>
      <c r="L871" t="s">
        <v>2088</v>
      </c>
      <c r="M871" s="1633">
        <v>48000000</v>
      </c>
      <c r="N871">
        <v>4881.41</v>
      </c>
      <c r="O871">
        <v>40</v>
      </c>
      <c r="P871" s="1633">
        <v>234307680000</v>
      </c>
      <c r="Q871" t="s">
        <v>106</v>
      </c>
      <c r="R871" s="2392">
        <v>44895</v>
      </c>
      <c r="S871" s="2393">
        <f t="shared" si="57"/>
        <v>4881.41</v>
      </c>
      <c r="T871" s="2394">
        <f>IF(OR(J871="COP",J871="EURO",J871="GBP"),0,IF(J871="USD",VLOOKUP(R871,'TRM BanRep'!$A:$G,7,0)))</f>
        <v>4809.51</v>
      </c>
      <c r="U871" s="2405">
        <f t="shared" si="58"/>
        <v>-3451199999.9999824</v>
      </c>
      <c r="V871" s="2397" t="str">
        <f t="shared" si="56"/>
        <v>1-INGRESO</v>
      </c>
    </row>
    <row r="872" spans="3:22" hidden="1">
      <c r="C872">
        <v>2022</v>
      </c>
      <c r="D872" t="s">
        <v>2065</v>
      </c>
      <c r="F872">
        <v>2422999997</v>
      </c>
      <c r="G872" t="s">
        <v>1739</v>
      </c>
      <c r="H872" t="s">
        <v>2091</v>
      </c>
      <c r="I872" t="s">
        <v>2092</v>
      </c>
      <c r="J872" t="s">
        <v>106</v>
      </c>
      <c r="K872">
        <v>100067978</v>
      </c>
      <c r="L872" t="s">
        <v>2091</v>
      </c>
      <c r="M872" s="1633">
        <v>-1049111111</v>
      </c>
      <c r="N872">
        <v>1</v>
      </c>
      <c r="O872">
        <v>50</v>
      </c>
      <c r="P872" s="1633">
        <v>-1049111111</v>
      </c>
      <c r="Q872" t="s">
        <v>106</v>
      </c>
      <c r="R872" s="2392">
        <v>44886</v>
      </c>
      <c r="S872" s="2393">
        <f t="shared" si="57"/>
        <v>1</v>
      </c>
      <c r="T872" s="2394">
        <f>IF(OR(J872="COP",J872="EURO",J872="GBP"),0,IF(J872="USD",VLOOKUP(R872,'TRM BanRep'!$A:$G,7,0)))</f>
        <v>0</v>
      </c>
      <c r="U872" s="2395">
        <f t="shared" si="58"/>
        <v>0</v>
      </c>
      <c r="V872" s="2395" t="str">
        <f t="shared" si="56"/>
        <v/>
      </c>
    </row>
    <row r="873" spans="3:22" hidden="1">
      <c r="C873">
        <v>2022</v>
      </c>
      <c r="D873" t="s">
        <v>2065</v>
      </c>
      <c r="F873">
        <v>2422999997</v>
      </c>
      <c r="G873" t="s">
        <v>1785</v>
      </c>
      <c r="H873" t="s">
        <v>2091</v>
      </c>
      <c r="I873" t="s">
        <v>2093</v>
      </c>
      <c r="J873" t="s">
        <v>106</v>
      </c>
      <c r="K873">
        <v>100068007</v>
      </c>
      <c r="L873" t="s">
        <v>2091</v>
      </c>
      <c r="M873" s="1633">
        <v>1049111111</v>
      </c>
      <c r="N873">
        <v>1</v>
      </c>
      <c r="O873">
        <v>40</v>
      </c>
      <c r="P873" s="1633">
        <v>1049111111</v>
      </c>
      <c r="Q873" t="s">
        <v>106</v>
      </c>
      <c r="R873" s="2392">
        <v>44886</v>
      </c>
      <c r="S873" s="2393">
        <f t="shared" si="57"/>
        <v>1</v>
      </c>
      <c r="T873" s="2394">
        <f>IF(OR(J873="COP",J873="EURO",J873="GBP"),0,IF(J873="USD",VLOOKUP(R873,'TRM BanRep'!$A:$G,7,0)))</f>
        <v>0</v>
      </c>
      <c r="U873" s="2395">
        <f t="shared" si="58"/>
        <v>0</v>
      </c>
      <c r="V873" s="2395" t="str">
        <f t="shared" si="56"/>
        <v/>
      </c>
    </row>
    <row r="874" spans="3:22" hidden="1">
      <c r="C874">
        <v>2022</v>
      </c>
      <c r="D874" t="s">
        <v>2065</v>
      </c>
      <c r="F874">
        <v>2422999997</v>
      </c>
      <c r="G874" t="s">
        <v>1602</v>
      </c>
      <c r="H874" t="s">
        <v>2066</v>
      </c>
      <c r="I874" t="s">
        <v>2094</v>
      </c>
      <c r="J874" t="s">
        <v>106</v>
      </c>
      <c r="K874">
        <v>7900014857</v>
      </c>
      <c r="L874" t="s">
        <v>2066</v>
      </c>
      <c r="M874" s="1633">
        <v>-142407040000</v>
      </c>
      <c r="N874">
        <v>1</v>
      </c>
      <c r="O874">
        <v>50</v>
      </c>
      <c r="P874" s="1633">
        <v>-142407040000</v>
      </c>
      <c r="Q874" t="s">
        <v>106</v>
      </c>
      <c r="R874" s="2392">
        <v>44880</v>
      </c>
      <c r="S874" s="2393">
        <f t="shared" si="57"/>
        <v>1</v>
      </c>
      <c r="T874" s="2394">
        <f>IF(OR(J874="COP",J874="EURO",J874="GBP"),0,IF(J874="USD",VLOOKUP(R874,'TRM BanRep'!$A:$G,7,0)))</f>
        <v>0</v>
      </c>
      <c r="U874" s="2395">
        <f t="shared" si="58"/>
        <v>0</v>
      </c>
      <c r="V874" s="2395" t="str">
        <f t="shared" si="56"/>
        <v/>
      </c>
    </row>
    <row r="875" spans="3:22" hidden="1">
      <c r="C875">
        <v>2022</v>
      </c>
      <c r="D875" t="s">
        <v>2065</v>
      </c>
      <c r="F875">
        <v>2422999997</v>
      </c>
      <c r="G875" t="s">
        <v>1606</v>
      </c>
      <c r="H875" t="s">
        <v>2066</v>
      </c>
      <c r="I875" t="s">
        <v>1878</v>
      </c>
      <c r="J875" t="s">
        <v>106</v>
      </c>
      <c r="K875">
        <v>7900014669</v>
      </c>
      <c r="L875" t="s">
        <v>2066</v>
      </c>
      <c r="M875" s="1633">
        <v>-16800000000</v>
      </c>
      <c r="N875">
        <v>1</v>
      </c>
      <c r="O875">
        <v>50</v>
      </c>
      <c r="P875" s="1633">
        <v>-16800000000</v>
      </c>
      <c r="Q875" t="s">
        <v>106</v>
      </c>
      <c r="R875" s="2392">
        <v>44880</v>
      </c>
      <c r="S875" s="2393">
        <f t="shared" si="57"/>
        <v>1</v>
      </c>
      <c r="T875" s="2394">
        <f>IF(OR(J875="COP",J875="EURO",J875="GBP"),0,IF(J875="USD",VLOOKUP(R875,'TRM BanRep'!$A:$G,7,0)))</f>
        <v>0</v>
      </c>
      <c r="U875" s="2395">
        <f t="shared" si="58"/>
        <v>0</v>
      </c>
      <c r="V875" s="2395" t="str">
        <f t="shared" si="56"/>
        <v/>
      </c>
    </row>
    <row r="876" spans="3:22" hidden="1">
      <c r="C876">
        <v>2022</v>
      </c>
      <c r="D876" t="s">
        <v>2065</v>
      </c>
      <c r="F876">
        <v>2422999997</v>
      </c>
      <c r="G876" t="s">
        <v>1557</v>
      </c>
      <c r="H876" t="s">
        <v>2066</v>
      </c>
      <c r="I876" t="s">
        <v>2068</v>
      </c>
      <c r="J876" t="s">
        <v>106</v>
      </c>
      <c r="K876">
        <v>7900014685</v>
      </c>
      <c r="L876" t="s">
        <v>2066</v>
      </c>
      <c r="M876" s="1633">
        <v>-14481000000</v>
      </c>
      <c r="N876">
        <v>1</v>
      </c>
      <c r="O876">
        <v>50</v>
      </c>
      <c r="P876" s="1633">
        <v>-14481000000</v>
      </c>
      <c r="Q876" t="s">
        <v>106</v>
      </c>
      <c r="R876" s="2392">
        <v>44880</v>
      </c>
      <c r="S876" s="2393">
        <f t="shared" si="57"/>
        <v>1</v>
      </c>
      <c r="T876" s="2394">
        <f>IF(OR(J876="COP",J876="EURO",J876="GBP"),0,IF(J876="USD",VLOOKUP(R876,'TRM BanRep'!$A:$G,7,0)))</f>
        <v>0</v>
      </c>
      <c r="U876" s="2395">
        <f t="shared" si="58"/>
        <v>0</v>
      </c>
      <c r="V876" s="2395" t="str">
        <f t="shared" si="56"/>
        <v/>
      </c>
    </row>
    <row r="877" spans="3:22" hidden="1">
      <c r="C877">
        <v>2022</v>
      </c>
      <c r="D877" t="s">
        <v>2065</v>
      </c>
      <c r="F877">
        <v>2422999997</v>
      </c>
      <c r="G877" t="s">
        <v>1557</v>
      </c>
      <c r="H877" t="s">
        <v>2066</v>
      </c>
      <c r="I877" t="s">
        <v>2070</v>
      </c>
      <c r="J877" t="s">
        <v>106</v>
      </c>
      <c r="K877">
        <v>7900014693</v>
      </c>
      <c r="L877" t="s">
        <v>2066</v>
      </c>
      <c r="M877" s="1633">
        <v>-14469000000</v>
      </c>
      <c r="N877">
        <v>1</v>
      </c>
      <c r="O877">
        <v>50</v>
      </c>
      <c r="P877" s="1633">
        <v>-14469000000</v>
      </c>
      <c r="Q877" t="s">
        <v>106</v>
      </c>
      <c r="R877" s="2392">
        <v>44880</v>
      </c>
      <c r="S877" s="2393">
        <f t="shared" si="57"/>
        <v>1</v>
      </c>
      <c r="T877" s="2394">
        <f>IF(OR(J877="COP",J877="EURO",J877="GBP"),0,IF(J877="USD",VLOOKUP(R877,'TRM BanRep'!$A:$G,7,0)))</f>
        <v>0</v>
      </c>
      <c r="U877" s="2395">
        <f t="shared" si="58"/>
        <v>0</v>
      </c>
      <c r="V877" s="2395" t="str">
        <f t="shared" si="56"/>
        <v/>
      </c>
    </row>
    <row r="878" spans="3:22" hidden="1">
      <c r="C878">
        <v>2022</v>
      </c>
      <c r="D878" t="s">
        <v>2065</v>
      </c>
      <c r="F878">
        <v>2422999997</v>
      </c>
      <c r="G878" t="s">
        <v>1557</v>
      </c>
      <c r="H878" t="s">
        <v>2066</v>
      </c>
      <c r="I878" t="s">
        <v>2072</v>
      </c>
      <c r="J878" t="s">
        <v>106</v>
      </c>
      <c r="K878">
        <v>7900014701</v>
      </c>
      <c r="L878" t="s">
        <v>2066</v>
      </c>
      <c r="M878" s="1633">
        <v>-19304000000</v>
      </c>
      <c r="N878">
        <v>1</v>
      </c>
      <c r="O878">
        <v>50</v>
      </c>
      <c r="P878" s="1633">
        <v>-19304000000</v>
      </c>
      <c r="Q878" t="s">
        <v>106</v>
      </c>
      <c r="R878" s="2392">
        <v>44880</v>
      </c>
      <c r="S878" s="2393">
        <f t="shared" si="57"/>
        <v>1</v>
      </c>
      <c r="T878" s="2394">
        <f>IF(OR(J878="COP",J878="EURO",J878="GBP"),0,IF(J878="USD",VLOOKUP(R878,'TRM BanRep'!$A:$G,7,0)))</f>
        <v>0</v>
      </c>
      <c r="U878" s="2395">
        <f t="shared" si="58"/>
        <v>0</v>
      </c>
      <c r="V878" s="2395" t="str">
        <f t="shared" si="56"/>
        <v/>
      </c>
    </row>
    <row r="879" spans="3:22" hidden="1">
      <c r="C879">
        <v>2022</v>
      </c>
      <c r="D879" t="s">
        <v>2065</v>
      </c>
      <c r="F879">
        <v>2422999997</v>
      </c>
      <c r="G879" t="s">
        <v>1557</v>
      </c>
      <c r="H879" t="s">
        <v>2066</v>
      </c>
      <c r="I879" t="s">
        <v>2074</v>
      </c>
      <c r="J879" t="s">
        <v>106</v>
      </c>
      <c r="K879">
        <v>7900014709</v>
      </c>
      <c r="L879" t="s">
        <v>2066</v>
      </c>
      <c r="M879" s="1633">
        <v>-12537720000</v>
      </c>
      <c r="N879">
        <v>1</v>
      </c>
      <c r="O879">
        <v>50</v>
      </c>
      <c r="P879" s="1633">
        <v>-12537720000</v>
      </c>
      <c r="Q879" t="s">
        <v>106</v>
      </c>
      <c r="R879" s="2392">
        <v>44880</v>
      </c>
      <c r="S879" s="2393">
        <f t="shared" si="57"/>
        <v>1</v>
      </c>
      <c r="T879" s="2394">
        <f>IF(OR(J879="COP",J879="EURO",J879="GBP"),0,IF(J879="USD",VLOOKUP(R879,'TRM BanRep'!$A:$G,7,0)))</f>
        <v>0</v>
      </c>
      <c r="U879" s="2395">
        <f t="shared" si="58"/>
        <v>0</v>
      </c>
      <c r="V879" s="2395" t="str">
        <f t="shared" si="56"/>
        <v/>
      </c>
    </row>
    <row r="880" spans="3:22" hidden="1">
      <c r="C880">
        <v>2022</v>
      </c>
      <c r="D880" t="s">
        <v>2065</v>
      </c>
      <c r="F880">
        <v>2422999997</v>
      </c>
      <c r="G880" t="s">
        <v>1557</v>
      </c>
      <c r="H880" t="s">
        <v>2066</v>
      </c>
      <c r="I880" t="s">
        <v>2076</v>
      </c>
      <c r="J880" t="s">
        <v>106</v>
      </c>
      <c r="K880">
        <v>7900014717</v>
      </c>
      <c r="L880" t="s">
        <v>2066</v>
      </c>
      <c r="M880" s="1633">
        <v>-14475000000</v>
      </c>
      <c r="N880">
        <v>1</v>
      </c>
      <c r="O880">
        <v>50</v>
      </c>
      <c r="P880" s="1633">
        <v>-14475000000</v>
      </c>
      <c r="Q880" t="s">
        <v>106</v>
      </c>
      <c r="R880" s="2392">
        <v>44880</v>
      </c>
      <c r="S880" s="2393">
        <f t="shared" si="57"/>
        <v>1</v>
      </c>
      <c r="T880" s="2394">
        <f>IF(OR(J880="COP",J880="EURO",J880="GBP"),0,IF(J880="USD",VLOOKUP(R880,'TRM BanRep'!$A:$G,7,0)))</f>
        <v>0</v>
      </c>
      <c r="U880" s="2395">
        <f t="shared" si="58"/>
        <v>0</v>
      </c>
      <c r="V880" s="2395" t="str">
        <f t="shared" si="56"/>
        <v/>
      </c>
    </row>
    <row r="881" spans="3:22" hidden="1">
      <c r="C881">
        <v>2022</v>
      </c>
      <c r="D881" t="s">
        <v>2065</v>
      </c>
      <c r="F881">
        <v>2422999997</v>
      </c>
      <c r="G881" t="s">
        <v>1557</v>
      </c>
      <c r="H881" t="s">
        <v>2082</v>
      </c>
      <c r="I881" t="s">
        <v>2084</v>
      </c>
      <c r="J881" t="s">
        <v>106</v>
      </c>
      <c r="K881">
        <v>7900015838</v>
      </c>
      <c r="L881" t="s">
        <v>2082</v>
      </c>
      <c r="M881" s="1633">
        <v>-4837000000</v>
      </c>
      <c r="N881">
        <v>1</v>
      </c>
      <c r="O881">
        <v>50</v>
      </c>
      <c r="P881" s="1633">
        <v>-4837000000</v>
      </c>
      <c r="Q881" t="s">
        <v>106</v>
      </c>
      <c r="R881" s="2392">
        <v>44893</v>
      </c>
      <c r="S881" s="2393">
        <f t="shared" si="57"/>
        <v>1</v>
      </c>
      <c r="T881" s="2394">
        <f>IF(OR(J881="COP",J881="EURO",J881="GBP"),0,IF(J881="USD",VLOOKUP(R881,'TRM BanRep'!$A:$G,7,0)))</f>
        <v>0</v>
      </c>
      <c r="U881" s="2395">
        <f t="shared" si="58"/>
        <v>0</v>
      </c>
      <c r="V881" s="2395" t="str">
        <f t="shared" si="56"/>
        <v/>
      </c>
    </row>
    <row r="882" spans="3:22" hidden="1">
      <c r="C882">
        <v>2022</v>
      </c>
      <c r="D882" t="s">
        <v>2065</v>
      </c>
      <c r="F882">
        <v>2422999997</v>
      </c>
      <c r="G882" t="s">
        <v>1557</v>
      </c>
      <c r="H882" t="s">
        <v>2088</v>
      </c>
      <c r="I882" t="s">
        <v>2090</v>
      </c>
      <c r="J882" t="s">
        <v>64</v>
      </c>
      <c r="K882">
        <v>7900015388</v>
      </c>
      <c r="L882" t="s">
        <v>2088</v>
      </c>
      <c r="M882" s="1633">
        <v>-48000000</v>
      </c>
      <c r="N882">
        <v>4881.41</v>
      </c>
      <c r="O882">
        <v>50</v>
      </c>
      <c r="P882" s="1633">
        <v>-234307680000</v>
      </c>
      <c r="Q882" t="s">
        <v>106</v>
      </c>
      <c r="R882" s="2392">
        <v>44895</v>
      </c>
      <c r="S882" s="2393">
        <f t="shared" si="57"/>
        <v>4881.41</v>
      </c>
      <c r="T882" s="2394">
        <f>IF(OR(J882="COP",J882="EURO",J882="GBP"),0,IF(J882="USD",VLOOKUP(R882,'TRM BanRep'!$A:$G,7,0)))</f>
        <v>4809.51</v>
      </c>
      <c r="U882" s="2395">
        <f t="shared" si="58"/>
        <v>-3451199999.9999824</v>
      </c>
      <c r="V882" s="2397" t="str">
        <f t="shared" si="56"/>
        <v>1-INGRESO</v>
      </c>
    </row>
    <row r="883" spans="3:22" hidden="1">
      <c r="C883">
        <v>2022</v>
      </c>
      <c r="D883" t="s">
        <v>2065</v>
      </c>
      <c r="F883">
        <v>2422999997</v>
      </c>
      <c r="G883" t="s">
        <v>1608</v>
      </c>
      <c r="H883" t="s">
        <v>2066</v>
      </c>
      <c r="J883" t="s">
        <v>106</v>
      </c>
      <c r="K883">
        <v>2000011450</v>
      </c>
      <c r="L883" t="s">
        <v>2066</v>
      </c>
      <c r="M883" s="1633">
        <v>26810832000</v>
      </c>
      <c r="N883">
        <v>1</v>
      </c>
      <c r="O883">
        <v>40</v>
      </c>
      <c r="P883" s="1633">
        <v>26810832000</v>
      </c>
      <c r="Q883" t="s">
        <v>106</v>
      </c>
      <c r="R883" s="2392">
        <v>44880</v>
      </c>
      <c r="S883" s="2393">
        <f t="shared" si="57"/>
        <v>1</v>
      </c>
      <c r="T883" s="2394">
        <f>IF(OR(J883="COP",J883="EURO",J883="GBP"),0,IF(J883="USD",VLOOKUP(R883,'TRM BanRep'!$A:$G,7,0)))</f>
        <v>0</v>
      </c>
      <c r="U883" s="2395">
        <f t="shared" si="58"/>
        <v>0</v>
      </c>
      <c r="V883" s="2395" t="str">
        <f t="shared" si="56"/>
        <v/>
      </c>
    </row>
    <row r="884" spans="3:22" hidden="1">
      <c r="C884">
        <v>2022</v>
      </c>
      <c r="D884" t="s">
        <v>2065</v>
      </c>
      <c r="F884">
        <v>2422999997</v>
      </c>
      <c r="G884" t="s">
        <v>1608</v>
      </c>
      <c r="H884" t="s">
        <v>2066</v>
      </c>
      <c r="J884" t="s">
        <v>106</v>
      </c>
      <c r="K884">
        <v>2000011491</v>
      </c>
      <c r="L884" t="s">
        <v>2066</v>
      </c>
      <c r="M884" s="1633">
        <v>3588000000</v>
      </c>
      <c r="N884">
        <v>1</v>
      </c>
      <c r="O884">
        <v>40</v>
      </c>
      <c r="P884" s="1633">
        <v>3588000000</v>
      </c>
      <c r="Q884" t="s">
        <v>106</v>
      </c>
      <c r="R884" s="2392">
        <v>44880</v>
      </c>
      <c r="S884" s="2393">
        <f t="shared" si="57"/>
        <v>1</v>
      </c>
      <c r="T884" s="2394">
        <f>IF(OR(J884="COP",J884="EURO",J884="GBP"),0,IF(J884="USD",VLOOKUP(R884,'TRM BanRep'!$A:$G,7,0)))</f>
        <v>0</v>
      </c>
      <c r="U884" s="2395">
        <f t="shared" si="58"/>
        <v>0</v>
      </c>
      <c r="V884" s="2395" t="str">
        <f t="shared" si="56"/>
        <v/>
      </c>
    </row>
    <row r="885" spans="3:22" hidden="1">
      <c r="C885">
        <v>2022</v>
      </c>
      <c r="D885" t="s">
        <v>2065</v>
      </c>
      <c r="F885">
        <v>2422999997</v>
      </c>
      <c r="G885" t="s">
        <v>1608</v>
      </c>
      <c r="H885" t="s">
        <v>2066</v>
      </c>
      <c r="J885" t="s">
        <v>106</v>
      </c>
      <c r="K885">
        <v>2000011502</v>
      </c>
      <c r="L885" t="s">
        <v>2066</v>
      </c>
      <c r="M885" s="1633">
        <v>14481000000</v>
      </c>
      <c r="N885">
        <v>1</v>
      </c>
      <c r="O885">
        <v>40</v>
      </c>
      <c r="P885" s="1633">
        <v>14481000000</v>
      </c>
      <c r="Q885" t="s">
        <v>106</v>
      </c>
      <c r="R885" s="2392">
        <v>44880</v>
      </c>
      <c r="S885" s="2393">
        <f t="shared" si="57"/>
        <v>1</v>
      </c>
      <c r="T885" s="2394">
        <f>IF(OR(J885="COP",J885="EURO",J885="GBP"),0,IF(J885="USD",VLOOKUP(R885,'TRM BanRep'!$A:$G,7,0)))</f>
        <v>0</v>
      </c>
      <c r="U885" s="2395">
        <f t="shared" si="58"/>
        <v>0</v>
      </c>
      <c r="V885" s="2395" t="str">
        <f t="shared" si="56"/>
        <v/>
      </c>
    </row>
    <row r="886" spans="3:22" hidden="1">
      <c r="C886">
        <v>2022</v>
      </c>
      <c r="D886" t="s">
        <v>2065</v>
      </c>
      <c r="F886">
        <v>2422999997</v>
      </c>
      <c r="G886" t="s">
        <v>1608</v>
      </c>
      <c r="H886" t="s">
        <v>2066</v>
      </c>
      <c r="J886" t="s">
        <v>106</v>
      </c>
      <c r="K886">
        <v>2000011503</v>
      </c>
      <c r="L886" t="s">
        <v>2066</v>
      </c>
      <c r="M886" s="1633">
        <v>14469000000</v>
      </c>
      <c r="N886">
        <v>1</v>
      </c>
      <c r="O886">
        <v>40</v>
      </c>
      <c r="P886" s="1633">
        <v>14469000000</v>
      </c>
      <c r="Q886" t="s">
        <v>106</v>
      </c>
      <c r="R886" s="2392">
        <v>44880</v>
      </c>
      <c r="S886" s="2393">
        <f t="shared" si="57"/>
        <v>1</v>
      </c>
      <c r="T886" s="2394">
        <f>IF(OR(J886="COP",J886="EURO",J886="GBP"),0,IF(J886="USD",VLOOKUP(R886,'TRM BanRep'!$A:$G,7,0)))</f>
        <v>0</v>
      </c>
      <c r="U886" s="2395">
        <f t="shared" si="58"/>
        <v>0</v>
      </c>
      <c r="V886" s="2395" t="str">
        <f t="shared" si="56"/>
        <v/>
      </c>
    </row>
    <row r="887" spans="3:22" hidden="1">
      <c r="C887">
        <v>2022</v>
      </c>
      <c r="D887" t="s">
        <v>2065</v>
      </c>
      <c r="F887">
        <v>2422999997</v>
      </c>
      <c r="G887" t="s">
        <v>1608</v>
      </c>
      <c r="H887" t="s">
        <v>2066</v>
      </c>
      <c r="J887" t="s">
        <v>106</v>
      </c>
      <c r="K887">
        <v>2000011504</v>
      </c>
      <c r="L887" t="s">
        <v>2066</v>
      </c>
      <c r="M887" s="1633">
        <v>19304000000</v>
      </c>
      <c r="N887">
        <v>1</v>
      </c>
      <c r="O887">
        <v>40</v>
      </c>
      <c r="P887" s="1633">
        <v>19304000000</v>
      </c>
      <c r="Q887" t="s">
        <v>106</v>
      </c>
      <c r="R887" s="2392">
        <v>44880</v>
      </c>
      <c r="S887" s="2393">
        <f t="shared" si="57"/>
        <v>1</v>
      </c>
      <c r="T887" s="2394">
        <f>IF(OR(J887="COP",J887="EURO",J887="GBP"),0,IF(J887="USD",VLOOKUP(R887,'TRM BanRep'!$A:$G,7,0)))</f>
        <v>0</v>
      </c>
      <c r="U887" s="2395">
        <f t="shared" si="58"/>
        <v>0</v>
      </c>
      <c r="V887" s="2395" t="str">
        <f t="shared" si="56"/>
        <v/>
      </c>
    </row>
    <row r="888" spans="3:22" hidden="1">
      <c r="C888">
        <v>2022</v>
      </c>
      <c r="D888" t="s">
        <v>2065</v>
      </c>
      <c r="F888">
        <v>2422999997</v>
      </c>
      <c r="G888" t="s">
        <v>1608</v>
      </c>
      <c r="H888" t="s">
        <v>2066</v>
      </c>
      <c r="J888" t="s">
        <v>106</v>
      </c>
      <c r="K888">
        <v>2000011505</v>
      </c>
      <c r="L888" t="s">
        <v>2066</v>
      </c>
      <c r="M888" s="1633">
        <v>12537720000</v>
      </c>
      <c r="N888">
        <v>1</v>
      </c>
      <c r="O888">
        <v>40</v>
      </c>
      <c r="P888" s="1633">
        <v>12537720000</v>
      </c>
      <c r="Q888" t="s">
        <v>106</v>
      </c>
      <c r="R888" s="2392">
        <v>44880</v>
      </c>
      <c r="S888" s="2393">
        <f t="shared" si="57"/>
        <v>1</v>
      </c>
      <c r="T888" s="2394">
        <f>IF(OR(J888="COP",J888="EURO",J888="GBP"),0,IF(J888="USD",VLOOKUP(R888,'TRM BanRep'!$A:$G,7,0)))</f>
        <v>0</v>
      </c>
      <c r="U888" s="2395">
        <f t="shared" si="58"/>
        <v>0</v>
      </c>
      <c r="V888" s="2395" t="str">
        <f t="shared" si="56"/>
        <v/>
      </c>
    </row>
    <row r="889" spans="3:22" hidden="1">
      <c r="C889">
        <v>2022</v>
      </c>
      <c r="D889" t="s">
        <v>2065</v>
      </c>
      <c r="F889">
        <v>2422999997</v>
      </c>
      <c r="G889" t="s">
        <v>1608</v>
      </c>
      <c r="H889" t="s">
        <v>2066</v>
      </c>
      <c r="J889" t="s">
        <v>106</v>
      </c>
      <c r="K889">
        <v>2000011506</v>
      </c>
      <c r="L889" t="s">
        <v>2066</v>
      </c>
      <c r="M889" s="1633">
        <v>14475000000</v>
      </c>
      <c r="N889">
        <v>1</v>
      </c>
      <c r="O889">
        <v>40</v>
      </c>
      <c r="P889" s="1633">
        <v>14475000000</v>
      </c>
      <c r="Q889" t="s">
        <v>106</v>
      </c>
      <c r="R889" s="2392">
        <v>44880</v>
      </c>
      <c r="S889" s="2393">
        <f t="shared" si="57"/>
        <v>1</v>
      </c>
      <c r="T889" s="2394">
        <f>IF(OR(J889="COP",J889="EURO",J889="GBP"),0,IF(J889="USD",VLOOKUP(R889,'TRM BanRep'!$A:$G,7,0)))</f>
        <v>0</v>
      </c>
      <c r="U889" s="2395">
        <f t="shared" si="58"/>
        <v>0</v>
      </c>
      <c r="V889" s="2395" t="str">
        <f t="shared" si="56"/>
        <v/>
      </c>
    </row>
    <row r="890" spans="3:22" hidden="1">
      <c r="C890">
        <v>2022</v>
      </c>
      <c r="D890" t="s">
        <v>2065</v>
      </c>
      <c r="F890">
        <v>2422999997</v>
      </c>
      <c r="G890" t="s">
        <v>1608</v>
      </c>
      <c r="H890" t="s">
        <v>2066</v>
      </c>
      <c r="J890" t="s">
        <v>106</v>
      </c>
      <c r="K890">
        <v>2000011829</v>
      </c>
      <c r="L890" t="s">
        <v>2066</v>
      </c>
      <c r="M890" s="1633">
        <v>142407040000</v>
      </c>
      <c r="N890">
        <v>1</v>
      </c>
      <c r="O890">
        <v>40</v>
      </c>
      <c r="P890" s="1633">
        <v>142407040000</v>
      </c>
      <c r="Q890" t="s">
        <v>106</v>
      </c>
      <c r="R890" s="2392">
        <v>44880</v>
      </c>
      <c r="S890" s="2393">
        <f t="shared" si="57"/>
        <v>1</v>
      </c>
      <c r="T890" s="2394">
        <f>IF(OR(J890="COP",J890="EURO",J890="GBP"),0,IF(J890="USD",VLOOKUP(R890,'TRM BanRep'!$A:$G,7,0)))</f>
        <v>0</v>
      </c>
      <c r="U890" s="2395">
        <f t="shared" si="58"/>
        <v>0</v>
      </c>
      <c r="V890" s="2395" t="str">
        <f t="shared" si="56"/>
        <v/>
      </c>
    </row>
    <row r="891" spans="3:22" hidden="1">
      <c r="C891">
        <v>2022</v>
      </c>
      <c r="D891" t="s">
        <v>2065</v>
      </c>
      <c r="F891">
        <v>2422999997</v>
      </c>
      <c r="G891" t="s">
        <v>1608</v>
      </c>
      <c r="H891" t="s">
        <v>2091</v>
      </c>
      <c r="J891" t="s">
        <v>106</v>
      </c>
      <c r="K891">
        <v>2000011571</v>
      </c>
      <c r="L891" t="s">
        <v>2091</v>
      </c>
      <c r="M891" s="1633">
        <v>19005666669</v>
      </c>
      <c r="N891">
        <v>1</v>
      </c>
      <c r="O891">
        <v>40</v>
      </c>
      <c r="P891" s="1633">
        <v>19005666669</v>
      </c>
      <c r="Q891" t="s">
        <v>106</v>
      </c>
      <c r="R891" s="2392">
        <v>44886</v>
      </c>
      <c r="S891" s="2393">
        <f t="shared" si="57"/>
        <v>1</v>
      </c>
      <c r="T891" s="2394">
        <f>IF(OR(J891="COP",J891="EURO",J891="GBP"),0,IF(J891="USD",VLOOKUP(R891,'TRM BanRep'!$A:$G,7,0)))</f>
        <v>0</v>
      </c>
      <c r="U891" s="2395">
        <f t="shared" si="58"/>
        <v>0</v>
      </c>
      <c r="V891" s="2395" t="str">
        <f t="shared" si="56"/>
        <v/>
      </c>
    </row>
    <row r="892" spans="3:22" hidden="1">
      <c r="C892">
        <v>2022</v>
      </c>
      <c r="D892" t="s">
        <v>2065</v>
      </c>
      <c r="F892">
        <v>2422999997</v>
      </c>
      <c r="G892" t="s">
        <v>1608</v>
      </c>
      <c r="H892" t="s">
        <v>2091</v>
      </c>
      <c r="J892" t="s">
        <v>106</v>
      </c>
      <c r="K892">
        <v>2000011572</v>
      </c>
      <c r="L892" t="s">
        <v>2091</v>
      </c>
      <c r="M892" s="1633">
        <v>8662000000</v>
      </c>
      <c r="N892">
        <v>1</v>
      </c>
      <c r="O892">
        <v>40</v>
      </c>
      <c r="P892" s="1633">
        <v>8662000000</v>
      </c>
      <c r="Q892" t="s">
        <v>106</v>
      </c>
      <c r="R892" s="2392">
        <v>44886</v>
      </c>
      <c r="S892" s="2393">
        <f t="shared" si="57"/>
        <v>1</v>
      </c>
      <c r="T892" s="2394">
        <f>IF(OR(J892="COP",J892="EURO",J892="GBP"),0,IF(J892="USD",VLOOKUP(R892,'TRM BanRep'!$A:$G,7,0)))</f>
        <v>0</v>
      </c>
      <c r="U892" s="2395">
        <f t="shared" si="58"/>
        <v>0</v>
      </c>
      <c r="V892" s="2395" t="str">
        <f t="shared" si="56"/>
        <v/>
      </c>
    </row>
    <row r="893" spans="3:22" hidden="1">
      <c r="C893">
        <v>2022</v>
      </c>
      <c r="D893" t="s">
        <v>2065</v>
      </c>
      <c r="F893">
        <v>2422999997</v>
      </c>
      <c r="G893" t="s">
        <v>1608</v>
      </c>
      <c r="H893" t="s">
        <v>2091</v>
      </c>
      <c r="J893" t="s">
        <v>106</v>
      </c>
      <c r="K893">
        <v>2000011575</v>
      </c>
      <c r="L893" t="s">
        <v>2091</v>
      </c>
      <c r="M893" s="1633">
        <v>16324486890</v>
      </c>
      <c r="N893">
        <v>1</v>
      </c>
      <c r="O893">
        <v>40</v>
      </c>
      <c r="P893" s="1633">
        <v>16324486890</v>
      </c>
      <c r="Q893" t="s">
        <v>106</v>
      </c>
      <c r="R893" s="2392">
        <v>44886</v>
      </c>
      <c r="S893" s="2393">
        <f t="shared" si="57"/>
        <v>1</v>
      </c>
      <c r="T893" s="2394">
        <f>IF(OR(J893="COP",J893="EURO",J893="GBP"),0,IF(J893="USD",VLOOKUP(R893,'TRM BanRep'!$A:$G,7,0)))</f>
        <v>0</v>
      </c>
      <c r="U893" s="2395">
        <f t="shared" si="58"/>
        <v>0</v>
      </c>
      <c r="V893" s="2395" t="str">
        <f t="shared" si="56"/>
        <v/>
      </c>
    </row>
    <row r="894" spans="3:22" hidden="1">
      <c r="C894">
        <v>2022</v>
      </c>
      <c r="D894" t="s">
        <v>2065</v>
      </c>
      <c r="F894">
        <v>2422999997</v>
      </c>
      <c r="G894" t="s">
        <v>1608</v>
      </c>
      <c r="H894" t="s">
        <v>2095</v>
      </c>
      <c r="J894" t="s">
        <v>106</v>
      </c>
      <c r="K894">
        <v>2000011639</v>
      </c>
      <c r="L894" t="s">
        <v>2095</v>
      </c>
      <c r="M894" s="1633">
        <v>5967222222</v>
      </c>
      <c r="N894">
        <v>1</v>
      </c>
      <c r="O894">
        <v>40</v>
      </c>
      <c r="P894" s="1633">
        <v>5967222222</v>
      </c>
      <c r="Q894" t="s">
        <v>106</v>
      </c>
      <c r="R894" s="2392">
        <v>44888</v>
      </c>
      <c r="S894" s="2393">
        <f t="shared" si="57"/>
        <v>1</v>
      </c>
      <c r="T894" s="2394">
        <f>IF(OR(J894="COP",J894="EURO",J894="GBP"),0,IF(J894="USD",VLOOKUP(R894,'TRM BanRep'!$A:$G,7,0)))</f>
        <v>0</v>
      </c>
      <c r="U894" s="2395">
        <f t="shared" si="58"/>
        <v>0</v>
      </c>
      <c r="V894" s="2395" t="str">
        <f t="shared" si="56"/>
        <v/>
      </c>
    </row>
    <row r="895" spans="3:22" hidden="1">
      <c r="C895">
        <v>2022</v>
      </c>
      <c r="D895" t="s">
        <v>2065</v>
      </c>
      <c r="F895">
        <v>2422999997</v>
      </c>
      <c r="G895" t="s">
        <v>1608</v>
      </c>
      <c r="H895" t="s">
        <v>2095</v>
      </c>
      <c r="J895" t="s">
        <v>106</v>
      </c>
      <c r="K895">
        <v>2000011640</v>
      </c>
      <c r="L895" t="s">
        <v>2095</v>
      </c>
      <c r="M895" s="1633">
        <v>6872111111</v>
      </c>
      <c r="N895">
        <v>1</v>
      </c>
      <c r="O895">
        <v>40</v>
      </c>
      <c r="P895" s="1633">
        <v>6872111111</v>
      </c>
      <c r="Q895" t="s">
        <v>106</v>
      </c>
      <c r="R895" s="2392">
        <v>44888</v>
      </c>
      <c r="S895" s="2393">
        <f t="shared" si="57"/>
        <v>1</v>
      </c>
      <c r="T895" s="2394">
        <f>IF(OR(J895="COP",J895="EURO",J895="GBP"),0,IF(J895="USD",VLOOKUP(R895,'TRM BanRep'!$A:$G,7,0)))</f>
        <v>0</v>
      </c>
      <c r="U895" s="2395">
        <f t="shared" si="58"/>
        <v>0</v>
      </c>
      <c r="V895" s="2395" t="str">
        <f t="shared" si="56"/>
        <v/>
      </c>
    </row>
    <row r="896" spans="3:22" hidden="1">
      <c r="C896">
        <v>2022</v>
      </c>
      <c r="D896" t="s">
        <v>2065</v>
      </c>
      <c r="F896">
        <v>2422999997</v>
      </c>
      <c r="G896" t="s">
        <v>1608</v>
      </c>
      <c r="H896" t="s">
        <v>2082</v>
      </c>
      <c r="J896" t="s">
        <v>106</v>
      </c>
      <c r="K896">
        <v>2000011785</v>
      </c>
      <c r="L896" t="s">
        <v>2082</v>
      </c>
      <c r="M896" s="1633">
        <v>30310375000</v>
      </c>
      <c r="N896">
        <v>1</v>
      </c>
      <c r="O896">
        <v>40</v>
      </c>
      <c r="P896" s="1633">
        <v>30310375000</v>
      </c>
      <c r="Q896" t="s">
        <v>106</v>
      </c>
      <c r="R896" s="2392">
        <v>44893</v>
      </c>
      <c r="S896" s="2393">
        <f t="shared" si="57"/>
        <v>1</v>
      </c>
      <c r="T896" s="2394">
        <f>IF(OR(J896="COP",J896="EURO",J896="GBP"),0,IF(J896="USD",VLOOKUP(R896,'TRM BanRep'!$A:$G,7,0)))</f>
        <v>0</v>
      </c>
      <c r="U896" s="2395">
        <f t="shared" si="58"/>
        <v>0</v>
      </c>
      <c r="V896" s="2395" t="str">
        <f t="shared" si="56"/>
        <v/>
      </c>
    </row>
    <row r="897" spans="3:22" hidden="1">
      <c r="C897">
        <v>2022</v>
      </c>
      <c r="D897" t="s">
        <v>2065</v>
      </c>
      <c r="F897">
        <v>2422999997</v>
      </c>
      <c r="G897" t="s">
        <v>1608</v>
      </c>
      <c r="H897" t="s">
        <v>2082</v>
      </c>
      <c r="J897" t="s">
        <v>106</v>
      </c>
      <c r="K897">
        <v>2000011830</v>
      </c>
      <c r="L897" t="s">
        <v>2082</v>
      </c>
      <c r="M897" s="1633">
        <v>22576110831</v>
      </c>
      <c r="N897">
        <v>1</v>
      </c>
      <c r="O897">
        <v>40</v>
      </c>
      <c r="P897" s="1633">
        <v>22576110831</v>
      </c>
      <c r="Q897" t="s">
        <v>106</v>
      </c>
      <c r="R897" s="2392">
        <v>44893</v>
      </c>
      <c r="S897" s="2393">
        <f t="shared" si="57"/>
        <v>1</v>
      </c>
      <c r="T897" s="2394">
        <f>IF(OR(J897="COP",J897="EURO",J897="GBP"),0,IF(J897="USD",VLOOKUP(R897,'TRM BanRep'!$A:$G,7,0)))</f>
        <v>0</v>
      </c>
      <c r="U897" s="2395">
        <f t="shared" si="58"/>
        <v>0</v>
      </c>
      <c r="V897" s="2395" t="str">
        <f t="shared" si="56"/>
        <v/>
      </c>
    </row>
    <row r="898" spans="3:22" hidden="1">
      <c r="C898">
        <v>2022</v>
      </c>
      <c r="D898" t="s">
        <v>2065</v>
      </c>
      <c r="F898">
        <v>2422999997</v>
      </c>
      <c r="G898" t="s">
        <v>1608</v>
      </c>
      <c r="H898" t="s">
        <v>2082</v>
      </c>
      <c r="J898" t="s">
        <v>106</v>
      </c>
      <c r="K898">
        <v>2000011910</v>
      </c>
      <c r="L898" t="s">
        <v>2082</v>
      </c>
      <c r="M898" s="1633">
        <v>4837000000</v>
      </c>
      <c r="N898">
        <v>1</v>
      </c>
      <c r="O898">
        <v>40</v>
      </c>
      <c r="P898" s="1633">
        <v>4837000000</v>
      </c>
      <c r="Q898" t="s">
        <v>106</v>
      </c>
      <c r="R898" s="2392">
        <v>44893</v>
      </c>
      <c r="S898" s="2393">
        <f t="shared" si="57"/>
        <v>1</v>
      </c>
      <c r="T898" s="2394">
        <f>IF(OR(J898="COP",J898="EURO",J898="GBP"),0,IF(J898="USD",VLOOKUP(R898,'TRM BanRep'!$A:$G,7,0)))</f>
        <v>0</v>
      </c>
      <c r="U898" s="2395">
        <f t="shared" si="58"/>
        <v>0</v>
      </c>
      <c r="V898" s="2395" t="str">
        <f t="shared" si="56"/>
        <v/>
      </c>
    </row>
    <row r="899" spans="3:22" hidden="1">
      <c r="C899">
        <v>2022</v>
      </c>
      <c r="D899" t="s">
        <v>2065</v>
      </c>
      <c r="F899">
        <v>2422999997</v>
      </c>
      <c r="G899" t="s">
        <v>1608</v>
      </c>
      <c r="H899" t="s">
        <v>2088</v>
      </c>
      <c r="J899" t="s">
        <v>64</v>
      </c>
      <c r="K899">
        <v>2000011859</v>
      </c>
      <c r="L899" t="s">
        <v>2088</v>
      </c>
      <c r="M899" s="1633">
        <v>48000000</v>
      </c>
      <c r="N899">
        <v>4881.41</v>
      </c>
      <c r="O899">
        <v>40</v>
      </c>
      <c r="P899" s="1633">
        <v>234307680000</v>
      </c>
      <c r="Q899" t="s">
        <v>106</v>
      </c>
      <c r="R899" s="2392">
        <v>44895</v>
      </c>
      <c r="S899" s="2393">
        <f t="shared" si="57"/>
        <v>4881.41</v>
      </c>
      <c r="T899" s="2394">
        <f>IF(OR(J899="COP",J899="EURO",J899="GBP"),0,IF(J899="USD",VLOOKUP(R899,'TRM BanRep'!$A:$G,7,0)))</f>
        <v>4809.51</v>
      </c>
      <c r="U899" s="2395">
        <f t="shared" si="58"/>
        <v>3451199999.9999824</v>
      </c>
      <c r="V899" s="2396" t="str">
        <f t="shared" si="56"/>
        <v>2-GASTO</v>
      </c>
    </row>
    <row r="900" spans="3:22" hidden="1">
      <c r="C900">
        <v>2022</v>
      </c>
      <c r="D900" t="s">
        <v>2065</v>
      </c>
      <c r="F900">
        <v>2422999997</v>
      </c>
      <c r="G900" t="s">
        <v>1609</v>
      </c>
      <c r="H900" t="s">
        <v>2066</v>
      </c>
      <c r="I900" t="s">
        <v>1880</v>
      </c>
      <c r="J900" t="s">
        <v>106</v>
      </c>
      <c r="K900">
        <v>7900014668</v>
      </c>
      <c r="L900" t="s">
        <v>2066</v>
      </c>
      <c r="M900" s="1633">
        <v>-10010832000</v>
      </c>
      <c r="N900">
        <v>1</v>
      </c>
      <c r="O900">
        <v>50</v>
      </c>
      <c r="P900" s="1633">
        <v>-10010832000</v>
      </c>
      <c r="Q900" t="s">
        <v>106</v>
      </c>
      <c r="R900" s="2392">
        <v>44880</v>
      </c>
      <c r="S900" s="2393">
        <f t="shared" si="57"/>
        <v>1</v>
      </c>
      <c r="T900" s="2394">
        <f>IF(OR(J900="COP",J900="EURO",J900="GBP"),0,IF(J900="USD",VLOOKUP(R900,'TRM BanRep'!$A:$G,7,0)))</f>
        <v>0</v>
      </c>
      <c r="U900" s="2395">
        <f t="shared" si="58"/>
        <v>0</v>
      </c>
      <c r="V900" s="2395" t="str">
        <f t="shared" si="56"/>
        <v/>
      </c>
    </row>
    <row r="901" spans="3:22" hidden="1">
      <c r="C901">
        <v>2022</v>
      </c>
      <c r="D901" t="s">
        <v>2065</v>
      </c>
      <c r="F901">
        <v>2422999997</v>
      </c>
      <c r="G901" t="s">
        <v>1609</v>
      </c>
      <c r="H901" t="s">
        <v>2066</v>
      </c>
      <c r="I901" t="s">
        <v>2096</v>
      </c>
      <c r="J901" t="s">
        <v>106</v>
      </c>
      <c r="K901">
        <v>7900014678</v>
      </c>
      <c r="L901" t="s">
        <v>2066</v>
      </c>
      <c r="M901" s="1633">
        <v>-3588000000</v>
      </c>
      <c r="N901">
        <v>1</v>
      </c>
      <c r="O901">
        <v>50</v>
      </c>
      <c r="P901" s="1633">
        <v>-3588000000</v>
      </c>
      <c r="Q901" t="s">
        <v>106</v>
      </c>
      <c r="R901" s="2392">
        <v>44880</v>
      </c>
      <c r="S901" s="2393">
        <f t="shared" si="57"/>
        <v>1</v>
      </c>
      <c r="T901" s="2394">
        <f>IF(OR(J901="COP",J901="EURO",J901="GBP"),0,IF(J901="USD",VLOOKUP(R901,'TRM BanRep'!$A:$G,7,0)))</f>
        <v>0</v>
      </c>
      <c r="U901" s="2395">
        <f t="shared" si="58"/>
        <v>0</v>
      </c>
      <c r="V901" s="2395" t="str">
        <f t="shared" si="56"/>
        <v/>
      </c>
    </row>
    <row r="902" spans="3:22" hidden="1">
      <c r="C902">
        <v>2022</v>
      </c>
      <c r="D902" t="s">
        <v>2065</v>
      </c>
      <c r="F902">
        <v>2422999997</v>
      </c>
      <c r="G902" t="s">
        <v>1609</v>
      </c>
      <c r="H902" t="s">
        <v>2091</v>
      </c>
      <c r="I902" t="s">
        <v>2097</v>
      </c>
      <c r="J902" t="s">
        <v>106</v>
      </c>
      <c r="K902">
        <v>7900014674</v>
      </c>
      <c r="L902" t="s">
        <v>2091</v>
      </c>
      <c r="M902" s="1633">
        <v>-8662000000</v>
      </c>
      <c r="N902">
        <v>1</v>
      </c>
      <c r="O902">
        <v>50</v>
      </c>
      <c r="P902" s="1633">
        <v>-8662000000</v>
      </c>
      <c r="Q902" t="s">
        <v>106</v>
      </c>
      <c r="R902" s="2392">
        <v>44886</v>
      </c>
      <c r="S902" s="2393">
        <f t="shared" si="57"/>
        <v>1</v>
      </c>
      <c r="T902" s="2394">
        <f>IF(OR(J902="COP",J902="EURO",J902="GBP"),0,IF(J902="USD",VLOOKUP(R902,'TRM BanRep'!$A:$G,7,0)))</f>
        <v>0</v>
      </c>
      <c r="U902" s="2395">
        <f t="shared" si="58"/>
        <v>0</v>
      </c>
      <c r="V902" s="2395" t="str">
        <f t="shared" si="56"/>
        <v/>
      </c>
    </row>
    <row r="903" spans="3:22" hidden="1">
      <c r="C903">
        <v>2022</v>
      </c>
      <c r="D903" t="s">
        <v>2065</v>
      </c>
      <c r="F903">
        <v>2422999997</v>
      </c>
      <c r="G903" t="s">
        <v>1609</v>
      </c>
      <c r="H903" t="s">
        <v>2091</v>
      </c>
      <c r="I903" t="s">
        <v>2007</v>
      </c>
      <c r="J903" t="s">
        <v>106</v>
      </c>
      <c r="K903">
        <v>7900014722</v>
      </c>
      <c r="L903" t="s">
        <v>2091</v>
      </c>
      <c r="M903" s="1633">
        <v>-19005666669</v>
      </c>
      <c r="N903">
        <v>1</v>
      </c>
      <c r="O903">
        <v>50</v>
      </c>
      <c r="P903" s="1633">
        <v>-19005666669</v>
      </c>
      <c r="Q903" t="s">
        <v>106</v>
      </c>
      <c r="R903" s="2392">
        <v>44886</v>
      </c>
      <c r="S903" s="2393">
        <f t="shared" si="57"/>
        <v>1</v>
      </c>
      <c r="T903" s="2394">
        <f>IF(OR(J903="COP",J903="EURO",J903="GBP"),0,IF(J903="USD",VLOOKUP(R903,'TRM BanRep'!$A:$G,7,0)))</f>
        <v>0</v>
      </c>
      <c r="U903" s="2395">
        <f t="shared" si="58"/>
        <v>0</v>
      </c>
      <c r="V903" s="2395" t="str">
        <f t="shared" ref="V903:V966" si="59">IF(U903=0,"",IF(U903&gt;0,"2-GASTO","1-INGRESO"))</f>
        <v/>
      </c>
    </row>
    <row r="904" spans="3:22" hidden="1">
      <c r="C904">
        <v>2022</v>
      </c>
      <c r="D904" t="s">
        <v>2065</v>
      </c>
      <c r="F904">
        <v>2422999997</v>
      </c>
      <c r="G904" t="s">
        <v>1609</v>
      </c>
      <c r="H904" t="s">
        <v>2091</v>
      </c>
      <c r="I904" t="s">
        <v>1652</v>
      </c>
      <c r="J904" t="s">
        <v>106</v>
      </c>
      <c r="K904">
        <v>7900014730</v>
      </c>
      <c r="L904" t="s">
        <v>2091</v>
      </c>
      <c r="M904" s="1633">
        <v>-6041986320</v>
      </c>
      <c r="N904">
        <v>1</v>
      </c>
      <c r="O904">
        <v>50</v>
      </c>
      <c r="P904" s="1633">
        <v>-6041986320</v>
      </c>
      <c r="Q904" t="s">
        <v>106</v>
      </c>
      <c r="R904" s="2392">
        <v>44886</v>
      </c>
      <c r="S904" s="2393">
        <f t="shared" si="57"/>
        <v>1</v>
      </c>
      <c r="T904" s="2394">
        <f>IF(OR(J904="COP",J904="EURO",J904="GBP"),0,IF(J904="USD",VLOOKUP(R904,'TRM BanRep'!$A:$G,7,0)))</f>
        <v>0</v>
      </c>
      <c r="U904" s="2395">
        <f t="shared" si="58"/>
        <v>0</v>
      </c>
      <c r="V904" s="2395" t="str">
        <f t="shared" si="59"/>
        <v/>
      </c>
    </row>
    <row r="905" spans="3:22" hidden="1">
      <c r="C905">
        <v>2022</v>
      </c>
      <c r="D905" t="s">
        <v>2065</v>
      </c>
      <c r="F905">
        <v>2422999997</v>
      </c>
      <c r="G905" t="s">
        <v>1609</v>
      </c>
      <c r="H905" t="s">
        <v>2091</v>
      </c>
      <c r="I905" t="s">
        <v>1653</v>
      </c>
      <c r="J905" t="s">
        <v>106</v>
      </c>
      <c r="K905">
        <v>7900014731</v>
      </c>
      <c r="L905" t="s">
        <v>2091</v>
      </c>
      <c r="M905" s="1633">
        <v>-6466316770</v>
      </c>
      <c r="N905">
        <v>1</v>
      </c>
      <c r="O905">
        <v>50</v>
      </c>
      <c r="P905" s="1633">
        <v>-6466316770</v>
      </c>
      <c r="Q905" t="s">
        <v>106</v>
      </c>
      <c r="R905" s="2392">
        <v>44886</v>
      </c>
      <c r="S905" s="2393">
        <f t="shared" si="57"/>
        <v>1</v>
      </c>
      <c r="T905" s="2394">
        <f>IF(OR(J905="COP",J905="EURO",J905="GBP"),0,IF(J905="USD",VLOOKUP(R905,'TRM BanRep'!$A:$G,7,0)))</f>
        <v>0</v>
      </c>
      <c r="U905" s="2395">
        <f t="shared" si="58"/>
        <v>0</v>
      </c>
      <c r="V905" s="2395" t="str">
        <f t="shared" si="59"/>
        <v/>
      </c>
    </row>
    <row r="906" spans="3:22" hidden="1">
      <c r="C906">
        <v>2022</v>
      </c>
      <c r="D906" t="s">
        <v>2065</v>
      </c>
      <c r="F906">
        <v>2422999997</v>
      </c>
      <c r="G906" t="s">
        <v>1609</v>
      </c>
      <c r="H906" t="s">
        <v>2091</v>
      </c>
      <c r="I906" t="s">
        <v>1654</v>
      </c>
      <c r="J906" t="s">
        <v>106</v>
      </c>
      <c r="K906">
        <v>7900014732</v>
      </c>
      <c r="L906" t="s">
        <v>2091</v>
      </c>
      <c r="M906" s="1633">
        <v>-3816183800</v>
      </c>
      <c r="N906">
        <v>1</v>
      </c>
      <c r="O906">
        <v>50</v>
      </c>
      <c r="P906" s="1633">
        <v>-3816183800</v>
      </c>
      <c r="Q906" t="s">
        <v>106</v>
      </c>
      <c r="R906" s="2392">
        <v>44886</v>
      </c>
      <c r="S906" s="2393">
        <f t="shared" si="57"/>
        <v>1</v>
      </c>
      <c r="T906" s="2394">
        <f>IF(OR(J906="COP",J906="EURO",J906="GBP"),0,IF(J906="USD",VLOOKUP(R906,'TRM BanRep'!$A:$G,7,0)))</f>
        <v>0</v>
      </c>
      <c r="U906" s="2395">
        <f t="shared" si="58"/>
        <v>0</v>
      </c>
      <c r="V906" s="2395" t="str">
        <f t="shared" si="59"/>
        <v/>
      </c>
    </row>
    <row r="907" spans="3:22" hidden="1">
      <c r="C907">
        <v>2022</v>
      </c>
      <c r="D907" t="s">
        <v>2065</v>
      </c>
      <c r="F907">
        <v>2422999997</v>
      </c>
      <c r="G907" t="s">
        <v>1609</v>
      </c>
      <c r="H907" t="s">
        <v>2095</v>
      </c>
      <c r="I907" t="s">
        <v>2098</v>
      </c>
      <c r="J907" t="s">
        <v>106</v>
      </c>
      <c r="K907">
        <v>7900014750</v>
      </c>
      <c r="L907" t="s">
        <v>2095</v>
      </c>
      <c r="M907" s="1633">
        <v>-5967222222</v>
      </c>
      <c r="N907">
        <v>1</v>
      </c>
      <c r="O907">
        <v>50</v>
      </c>
      <c r="P907" s="1633">
        <v>-5967222222</v>
      </c>
      <c r="Q907" t="s">
        <v>106</v>
      </c>
      <c r="R907" s="2392">
        <v>44888</v>
      </c>
      <c r="S907" s="2393">
        <f t="shared" si="57"/>
        <v>1</v>
      </c>
      <c r="T907" s="2394">
        <f>IF(OR(J907="COP",J907="EURO",J907="GBP"),0,IF(J907="USD",VLOOKUP(R907,'TRM BanRep'!$A:$G,7,0)))</f>
        <v>0</v>
      </c>
      <c r="U907" s="2395">
        <f t="shared" si="58"/>
        <v>0</v>
      </c>
      <c r="V907" s="2395" t="str">
        <f t="shared" si="59"/>
        <v/>
      </c>
    </row>
    <row r="908" spans="3:22" hidden="1">
      <c r="C908">
        <v>2022</v>
      </c>
      <c r="D908" t="s">
        <v>2065</v>
      </c>
      <c r="F908">
        <v>2422999997</v>
      </c>
      <c r="G908" t="s">
        <v>1609</v>
      </c>
      <c r="H908" t="s">
        <v>2095</v>
      </c>
      <c r="I908" t="s">
        <v>2099</v>
      </c>
      <c r="J908" t="s">
        <v>106</v>
      </c>
      <c r="K908">
        <v>7900014758</v>
      </c>
      <c r="L908" t="s">
        <v>2095</v>
      </c>
      <c r="M908" s="1633">
        <v>-2983611111</v>
      </c>
      <c r="N908">
        <v>1</v>
      </c>
      <c r="O908">
        <v>50</v>
      </c>
      <c r="P908" s="1633">
        <v>-2983611111</v>
      </c>
      <c r="Q908" t="s">
        <v>106</v>
      </c>
      <c r="R908" s="2392">
        <v>44888</v>
      </c>
      <c r="S908" s="2393">
        <f t="shared" si="57"/>
        <v>1</v>
      </c>
      <c r="T908" s="2394">
        <f>IF(OR(J908="COP",J908="EURO",J908="GBP"),0,IF(J908="USD",VLOOKUP(R908,'TRM BanRep'!$A:$G,7,0)))</f>
        <v>0</v>
      </c>
      <c r="U908" s="2395">
        <f t="shared" si="58"/>
        <v>0</v>
      </c>
      <c r="V908" s="2395" t="str">
        <f t="shared" si="59"/>
        <v/>
      </c>
    </row>
    <row r="909" spans="3:22" hidden="1">
      <c r="C909">
        <v>2022</v>
      </c>
      <c r="D909" t="s">
        <v>2065</v>
      </c>
      <c r="F909">
        <v>2422999997</v>
      </c>
      <c r="G909" t="s">
        <v>1609</v>
      </c>
      <c r="H909" t="s">
        <v>2095</v>
      </c>
      <c r="I909" t="s">
        <v>2100</v>
      </c>
      <c r="J909" t="s">
        <v>106</v>
      </c>
      <c r="K909">
        <v>7900014762</v>
      </c>
      <c r="L909" t="s">
        <v>2095</v>
      </c>
      <c r="M909" s="1633">
        <v>-3888500000</v>
      </c>
      <c r="N909">
        <v>1</v>
      </c>
      <c r="O909">
        <v>50</v>
      </c>
      <c r="P909" s="1633">
        <v>-3888500000</v>
      </c>
      <c r="Q909" t="s">
        <v>106</v>
      </c>
      <c r="R909" s="2392">
        <v>44888</v>
      </c>
      <c r="S909" s="2393">
        <f t="shared" si="57"/>
        <v>1</v>
      </c>
      <c r="T909" s="2394">
        <f>IF(OR(J909="COP",J909="EURO",J909="GBP"),0,IF(J909="USD",VLOOKUP(R909,'TRM BanRep'!$A:$G,7,0)))</f>
        <v>0</v>
      </c>
      <c r="U909" s="2395">
        <f t="shared" si="58"/>
        <v>0</v>
      </c>
      <c r="V909" s="2395" t="str">
        <f t="shared" si="59"/>
        <v/>
      </c>
    </row>
    <row r="910" spans="3:22" hidden="1">
      <c r="C910">
        <v>2022</v>
      </c>
      <c r="D910" t="s">
        <v>2065</v>
      </c>
      <c r="F910">
        <v>2422999997</v>
      </c>
      <c r="G910" t="s">
        <v>1609</v>
      </c>
      <c r="H910" t="s">
        <v>2082</v>
      </c>
      <c r="I910" t="s">
        <v>1657</v>
      </c>
      <c r="J910" t="s">
        <v>106</v>
      </c>
      <c r="K910">
        <v>7900014798</v>
      </c>
      <c r="L910" t="s">
        <v>2082</v>
      </c>
      <c r="M910" s="1633">
        <v>-6946600000</v>
      </c>
      <c r="N910">
        <v>1</v>
      </c>
      <c r="O910">
        <v>50</v>
      </c>
      <c r="P910" s="1633">
        <v>-6946600000</v>
      </c>
      <c r="Q910" t="s">
        <v>106</v>
      </c>
      <c r="R910" s="2392">
        <v>44893</v>
      </c>
      <c r="S910" s="2393">
        <f t="shared" si="57"/>
        <v>1</v>
      </c>
      <c r="T910" s="2394">
        <f>IF(OR(J910="COP",J910="EURO",J910="GBP"),0,IF(J910="USD",VLOOKUP(R910,'TRM BanRep'!$A:$G,7,0)))</f>
        <v>0</v>
      </c>
      <c r="U910" s="2395">
        <f t="shared" si="58"/>
        <v>0</v>
      </c>
      <c r="V910" s="2395" t="str">
        <f t="shared" si="59"/>
        <v/>
      </c>
    </row>
    <row r="911" spans="3:22" hidden="1">
      <c r="C911">
        <v>2022</v>
      </c>
      <c r="D911" t="s">
        <v>2065</v>
      </c>
      <c r="F911">
        <v>2422999997</v>
      </c>
      <c r="G911" t="s">
        <v>1609</v>
      </c>
      <c r="H911" t="s">
        <v>2082</v>
      </c>
      <c r="I911" t="s">
        <v>1658</v>
      </c>
      <c r="J911" t="s">
        <v>106</v>
      </c>
      <c r="K911">
        <v>7900014799</v>
      </c>
      <c r="L911" t="s">
        <v>2082</v>
      </c>
      <c r="M911" s="1633">
        <v>-5081400000</v>
      </c>
      <c r="N911">
        <v>1</v>
      </c>
      <c r="O911">
        <v>50</v>
      </c>
      <c r="P911" s="1633">
        <v>-5081400000</v>
      </c>
      <c r="Q911" t="s">
        <v>106</v>
      </c>
      <c r="R911" s="2392">
        <v>44893</v>
      </c>
      <c r="S911" s="2393">
        <f t="shared" si="57"/>
        <v>1</v>
      </c>
      <c r="T911" s="2394">
        <f>IF(OR(J911="COP",J911="EURO",J911="GBP"),0,IF(J911="USD",VLOOKUP(R911,'TRM BanRep'!$A:$G,7,0)))</f>
        <v>0</v>
      </c>
      <c r="U911" s="2395">
        <f t="shared" si="58"/>
        <v>0</v>
      </c>
      <c r="V911" s="2395" t="str">
        <f t="shared" si="59"/>
        <v/>
      </c>
    </row>
    <row r="912" spans="3:22" hidden="1">
      <c r="C912">
        <v>2022</v>
      </c>
      <c r="D912" t="s">
        <v>2065</v>
      </c>
      <c r="F912">
        <v>2422999997</v>
      </c>
      <c r="G912" t="s">
        <v>1609</v>
      </c>
      <c r="H912" t="s">
        <v>2082</v>
      </c>
      <c r="I912" t="s">
        <v>1659</v>
      </c>
      <c r="J912" t="s">
        <v>106</v>
      </c>
      <c r="K912">
        <v>7900014800</v>
      </c>
      <c r="L912" t="s">
        <v>2082</v>
      </c>
      <c r="M912" s="1633">
        <v>-7866000000</v>
      </c>
      <c r="N912">
        <v>1</v>
      </c>
      <c r="O912">
        <v>50</v>
      </c>
      <c r="P912" s="1633">
        <v>-7866000000</v>
      </c>
      <c r="Q912" t="s">
        <v>106</v>
      </c>
      <c r="R912" s="2392">
        <v>44893</v>
      </c>
      <c r="S912" s="2393">
        <f t="shared" si="57"/>
        <v>1</v>
      </c>
      <c r="T912" s="2394">
        <f>IF(OR(J912="COP",J912="EURO",J912="GBP"),0,IF(J912="USD",VLOOKUP(R912,'TRM BanRep'!$A:$G,7,0)))</f>
        <v>0</v>
      </c>
      <c r="U912" s="2395">
        <f t="shared" si="58"/>
        <v>0</v>
      </c>
      <c r="V912" s="2395" t="str">
        <f t="shared" si="59"/>
        <v/>
      </c>
    </row>
    <row r="913" spans="3:22" hidden="1">
      <c r="C913">
        <v>2022</v>
      </c>
      <c r="D913" t="s">
        <v>2065</v>
      </c>
      <c r="F913">
        <v>2422999997</v>
      </c>
      <c r="G913" t="s">
        <v>1609</v>
      </c>
      <c r="H913" t="s">
        <v>2082</v>
      </c>
      <c r="I913" t="s">
        <v>1660</v>
      </c>
      <c r="J913" t="s">
        <v>106</v>
      </c>
      <c r="K913">
        <v>7900014801</v>
      </c>
      <c r="L913" t="s">
        <v>2082</v>
      </c>
      <c r="M913" s="1633">
        <v>-3856500000</v>
      </c>
      <c r="N913">
        <v>1</v>
      </c>
      <c r="O913">
        <v>50</v>
      </c>
      <c r="P913" s="1633">
        <v>-3856500000</v>
      </c>
      <c r="Q913" t="s">
        <v>106</v>
      </c>
      <c r="R913" s="2392">
        <v>44893</v>
      </c>
      <c r="S913" s="2393">
        <f t="shared" si="57"/>
        <v>1</v>
      </c>
      <c r="T913" s="2394">
        <f>IF(OR(J913="COP",J913="EURO",J913="GBP"),0,IF(J913="USD",VLOOKUP(R913,'TRM BanRep'!$A:$G,7,0)))</f>
        <v>0</v>
      </c>
      <c r="U913" s="2395">
        <f t="shared" si="58"/>
        <v>0</v>
      </c>
      <c r="V913" s="2395" t="str">
        <f t="shared" si="59"/>
        <v/>
      </c>
    </row>
    <row r="914" spans="3:22" hidden="1">
      <c r="C914">
        <v>2022</v>
      </c>
      <c r="D914" t="s">
        <v>2065</v>
      </c>
      <c r="F914">
        <v>2422999997</v>
      </c>
      <c r="G914" t="s">
        <v>1609</v>
      </c>
      <c r="H914" t="s">
        <v>2082</v>
      </c>
      <c r="I914" t="s">
        <v>1656</v>
      </c>
      <c r="J914" t="s">
        <v>106</v>
      </c>
      <c r="K914">
        <v>7900014802</v>
      </c>
      <c r="L914" t="s">
        <v>2082</v>
      </c>
      <c r="M914" s="1633">
        <v>-6559875000</v>
      </c>
      <c r="N914">
        <v>1</v>
      </c>
      <c r="O914">
        <v>50</v>
      </c>
      <c r="P914" s="1633">
        <v>-6559875000</v>
      </c>
      <c r="Q914" t="s">
        <v>106</v>
      </c>
      <c r="R914" s="2392">
        <v>44893</v>
      </c>
      <c r="S914" s="2393">
        <f t="shared" si="57"/>
        <v>1</v>
      </c>
      <c r="T914" s="2394">
        <f>IF(OR(J914="COP",J914="EURO",J914="GBP"),0,IF(J914="USD",VLOOKUP(R914,'TRM BanRep'!$A:$G,7,0)))</f>
        <v>0</v>
      </c>
      <c r="U914" s="2395">
        <f t="shared" si="58"/>
        <v>0</v>
      </c>
      <c r="V914" s="2395" t="str">
        <f t="shared" si="59"/>
        <v/>
      </c>
    </row>
    <row r="915" spans="3:22" hidden="1">
      <c r="C915">
        <v>2022</v>
      </c>
      <c r="D915" t="s">
        <v>2065</v>
      </c>
      <c r="F915">
        <v>2422999997</v>
      </c>
      <c r="G915" t="s">
        <v>1609</v>
      </c>
      <c r="H915" t="s">
        <v>2082</v>
      </c>
      <c r="I915" t="s">
        <v>1655</v>
      </c>
      <c r="J915" t="s">
        <v>106</v>
      </c>
      <c r="K915">
        <v>7900014824</v>
      </c>
      <c r="L915" t="s">
        <v>2082</v>
      </c>
      <c r="M915" s="1633">
        <v>-16097110831</v>
      </c>
      <c r="N915">
        <v>1</v>
      </c>
      <c r="O915">
        <v>50</v>
      </c>
      <c r="P915" s="1633">
        <v>-16097110831</v>
      </c>
      <c r="Q915" t="s">
        <v>106</v>
      </c>
      <c r="R915" s="2392">
        <v>44893</v>
      </c>
      <c r="S915" s="2393">
        <f t="shared" si="57"/>
        <v>1</v>
      </c>
      <c r="T915" s="2394">
        <f>IF(OR(J915="COP",J915="EURO",J915="GBP"),0,IF(J915="USD",VLOOKUP(R915,'TRM BanRep'!$A:$G,7,0)))</f>
        <v>0</v>
      </c>
      <c r="U915" s="2395">
        <f t="shared" si="58"/>
        <v>0</v>
      </c>
      <c r="V915" s="2395" t="str">
        <f t="shared" si="59"/>
        <v/>
      </c>
    </row>
    <row r="916" spans="3:22" hidden="1">
      <c r="C916">
        <v>2022</v>
      </c>
      <c r="D916" t="s">
        <v>2065</v>
      </c>
      <c r="F916">
        <v>2422999997</v>
      </c>
      <c r="G916" t="s">
        <v>1609</v>
      </c>
      <c r="H916" t="s">
        <v>2082</v>
      </c>
      <c r="I916" t="s">
        <v>2101</v>
      </c>
      <c r="J916" t="s">
        <v>106</v>
      </c>
      <c r="K916">
        <v>7900014825</v>
      </c>
      <c r="L916" t="s">
        <v>2082</v>
      </c>
      <c r="M916" s="1633">
        <v>-6479000000</v>
      </c>
      <c r="N916">
        <v>1</v>
      </c>
      <c r="O916">
        <v>50</v>
      </c>
      <c r="P916" s="1633">
        <v>-6479000000</v>
      </c>
      <c r="Q916" t="s">
        <v>106</v>
      </c>
      <c r="R916" s="2392">
        <v>44893</v>
      </c>
      <c r="S916" s="2393">
        <f t="shared" ref="S916" si="60">+ROUND(P916/M916,2)</f>
        <v>1</v>
      </c>
      <c r="T916" s="2394">
        <f>IF(OR(J916="COP",J916="EURO",J916="GBP"),0,IF(J916="USD",VLOOKUP(R916,'TRM BanRep'!$A:$G,7,0)))</f>
        <v>0</v>
      </c>
      <c r="U916" s="2395">
        <f t="shared" ref="U916" si="61">IF(F916=2422999997,-IF(T916=0,0,(T916-S916)*M916),IF(T916=0,0,(T916-S916)*M916))</f>
        <v>0</v>
      </c>
      <c r="V916" s="2395" t="str">
        <f t="shared" si="59"/>
        <v/>
      </c>
    </row>
    <row r="917" spans="3:22">
      <c r="M917" s="1633"/>
      <c r="P917" s="1633"/>
      <c r="R917" s="2392"/>
      <c r="S917" s="2393"/>
      <c r="T917" s="2394"/>
      <c r="U917" s="2395"/>
      <c r="V917" s="2395" t="str">
        <f t="shared" si="59"/>
        <v/>
      </c>
    </row>
    <row r="918" spans="3:22" hidden="1">
      <c r="C918">
        <v>2022</v>
      </c>
      <c r="D918" t="s">
        <v>2102</v>
      </c>
      <c r="F918">
        <v>1202049905</v>
      </c>
      <c r="G918" t="s">
        <v>1557</v>
      </c>
      <c r="H918" t="s">
        <v>2103</v>
      </c>
      <c r="I918" t="s">
        <v>2104</v>
      </c>
      <c r="J918" t="s">
        <v>64</v>
      </c>
      <c r="K918">
        <v>7900016048</v>
      </c>
      <c r="L918" t="s">
        <v>2103</v>
      </c>
      <c r="M918" s="1860">
        <v>-4825451</v>
      </c>
      <c r="N918" s="1860">
        <v>4815.59</v>
      </c>
      <c r="O918">
        <v>50</v>
      </c>
      <c r="P918" s="1633">
        <v>-23237393581</v>
      </c>
      <c r="Q918" t="s">
        <v>106</v>
      </c>
      <c r="R918" s="2392">
        <v>44896</v>
      </c>
      <c r="S918" s="2393">
        <f t="shared" ref="S918:S981" si="62">+ROUND(P918/M918,2)</f>
        <v>4815.59</v>
      </c>
      <c r="T918" s="2394">
        <f>IF(OR(J918="COP",J918="EURO",J918="GBP"),0,IF(J918="USD",VLOOKUP(R918,'TRM BanRep'!$A:$G,7,0)))</f>
        <v>4815.59</v>
      </c>
      <c r="U918" s="2395">
        <f t="shared" ref="U918:U981" si="63">IF(F918=2422999997,-IF(T918=0,0,(T918-S918)*M918),IF(T918=0,0,(T918-S918)*M918))</f>
        <v>0</v>
      </c>
      <c r="V918" s="2395" t="str">
        <f t="shared" si="59"/>
        <v/>
      </c>
    </row>
    <row r="919" spans="3:22" hidden="1">
      <c r="C919">
        <v>2022</v>
      </c>
      <c r="D919" t="s">
        <v>2102</v>
      </c>
      <c r="F919">
        <v>1202049905</v>
      </c>
      <c r="G919" t="s">
        <v>1557</v>
      </c>
      <c r="H919" t="s">
        <v>2103</v>
      </c>
      <c r="I919" t="s">
        <v>2105</v>
      </c>
      <c r="J919" t="s">
        <v>106</v>
      </c>
      <c r="K919">
        <v>7900016049</v>
      </c>
      <c r="L919" t="s">
        <v>2103</v>
      </c>
      <c r="M919" s="1633">
        <v>23237393581</v>
      </c>
      <c r="N919">
        <v>1</v>
      </c>
      <c r="O919">
        <v>40</v>
      </c>
      <c r="P919" s="1633">
        <v>23237393581</v>
      </c>
      <c r="Q919" t="s">
        <v>106</v>
      </c>
      <c r="R919" s="2392">
        <v>44896</v>
      </c>
      <c r="S919" s="2393">
        <f t="shared" si="62"/>
        <v>1</v>
      </c>
      <c r="T919" s="2394">
        <f>IF(OR(J919="COP",J919="EURO",J919="GBP"),0,IF(J919="USD",VLOOKUP(R919,'TRM BanRep'!$A:$G,7,0)))</f>
        <v>0</v>
      </c>
      <c r="U919" s="2395">
        <f t="shared" si="63"/>
        <v>0</v>
      </c>
      <c r="V919" s="2395" t="str">
        <f t="shared" si="59"/>
        <v/>
      </c>
    </row>
    <row r="920" spans="3:22" hidden="1">
      <c r="C920">
        <v>2022</v>
      </c>
      <c r="D920" t="s">
        <v>2102</v>
      </c>
      <c r="F920">
        <v>1202049905</v>
      </c>
      <c r="G920" t="s">
        <v>1557</v>
      </c>
      <c r="H920" t="s">
        <v>2106</v>
      </c>
      <c r="I920" t="s">
        <v>2107</v>
      </c>
      <c r="J920" t="s">
        <v>64</v>
      </c>
      <c r="K920">
        <v>7900016067</v>
      </c>
      <c r="L920" t="s">
        <v>2106</v>
      </c>
      <c r="M920" s="1860">
        <v>-12554585</v>
      </c>
      <c r="N920" s="1860">
        <v>4779.0600000000004</v>
      </c>
      <c r="O920">
        <v>50</v>
      </c>
      <c r="P920" s="1633">
        <v>-59999114990</v>
      </c>
      <c r="Q920" t="s">
        <v>106</v>
      </c>
      <c r="R920" s="2392">
        <v>44897</v>
      </c>
      <c r="S920" s="2393">
        <f t="shared" si="62"/>
        <v>4779.0600000000004</v>
      </c>
      <c r="T920" s="2394">
        <f>IF(OR(J920="COP",J920="EURO",J920="GBP"),0,IF(J920="USD",VLOOKUP(R920,'TRM BanRep'!$A:$G,7,0)))</f>
        <v>4779.0600000000004</v>
      </c>
      <c r="U920" s="2395">
        <f t="shared" si="63"/>
        <v>0</v>
      </c>
      <c r="V920" s="2395" t="str">
        <f t="shared" si="59"/>
        <v/>
      </c>
    </row>
    <row r="921" spans="3:22" hidden="1">
      <c r="C921">
        <v>2022</v>
      </c>
      <c r="D921" t="s">
        <v>2102</v>
      </c>
      <c r="F921">
        <v>1202049905</v>
      </c>
      <c r="G921" t="s">
        <v>1557</v>
      </c>
      <c r="H921" t="s">
        <v>2106</v>
      </c>
      <c r="I921" t="s">
        <v>2108</v>
      </c>
      <c r="J921" t="s">
        <v>106</v>
      </c>
      <c r="K921">
        <v>7900016068</v>
      </c>
      <c r="L921" t="s">
        <v>2106</v>
      </c>
      <c r="M921" s="1633">
        <v>59999114990</v>
      </c>
      <c r="N921">
        <v>1</v>
      </c>
      <c r="O921">
        <v>40</v>
      </c>
      <c r="P921" s="1633">
        <v>59999114990</v>
      </c>
      <c r="Q921" t="s">
        <v>106</v>
      </c>
      <c r="R921" s="2392">
        <v>44897</v>
      </c>
      <c r="S921" s="2393">
        <f t="shared" si="62"/>
        <v>1</v>
      </c>
      <c r="T921" s="2394">
        <f>IF(OR(J921="COP",J921="EURO",J921="GBP"),0,IF(J921="USD",VLOOKUP(R921,'TRM BanRep'!$A:$G,7,0)))</f>
        <v>0</v>
      </c>
      <c r="U921" s="2395">
        <f t="shared" si="63"/>
        <v>0</v>
      </c>
      <c r="V921" s="2395" t="str">
        <f t="shared" si="59"/>
        <v/>
      </c>
    </row>
    <row r="922" spans="3:22" hidden="1">
      <c r="C922">
        <v>2022</v>
      </c>
      <c r="D922" t="s">
        <v>2102</v>
      </c>
      <c r="F922">
        <v>1202049905</v>
      </c>
      <c r="G922" t="s">
        <v>1557</v>
      </c>
      <c r="H922" t="s">
        <v>2106</v>
      </c>
      <c r="I922" t="s">
        <v>2109</v>
      </c>
      <c r="J922" t="s">
        <v>64</v>
      </c>
      <c r="K922">
        <v>7900016075</v>
      </c>
      <c r="L922" t="s">
        <v>2106</v>
      </c>
      <c r="M922" s="1860">
        <v>-1002099.96</v>
      </c>
      <c r="N922" s="1860">
        <v>4762</v>
      </c>
      <c r="O922">
        <v>50</v>
      </c>
      <c r="P922" s="1633">
        <v>-4772000010</v>
      </c>
      <c r="Q922" t="s">
        <v>106</v>
      </c>
      <c r="R922" s="2392">
        <v>44897</v>
      </c>
      <c r="S922" s="2393">
        <f t="shared" si="62"/>
        <v>4762</v>
      </c>
      <c r="T922" s="2394">
        <f>IF(OR(J922="COP",J922="EURO",J922="GBP"),0,IF(J922="USD",VLOOKUP(R922,'TRM BanRep'!$A:$G,7,0)))</f>
        <v>4779.0600000000004</v>
      </c>
      <c r="U922" s="2405">
        <f t="shared" si="63"/>
        <v>-17095825.317600399</v>
      </c>
      <c r="V922" s="2397" t="str">
        <f t="shared" si="59"/>
        <v>1-INGRESO</v>
      </c>
    </row>
    <row r="923" spans="3:22" hidden="1">
      <c r="C923">
        <v>2022</v>
      </c>
      <c r="D923" t="s">
        <v>2102</v>
      </c>
      <c r="F923">
        <v>1202049905</v>
      </c>
      <c r="G923" t="s">
        <v>1557</v>
      </c>
      <c r="H923" t="s">
        <v>2106</v>
      </c>
      <c r="I923" t="s">
        <v>2110</v>
      </c>
      <c r="J923" t="s">
        <v>106</v>
      </c>
      <c r="K923">
        <v>7900016076</v>
      </c>
      <c r="L923" t="s">
        <v>2106</v>
      </c>
      <c r="M923" s="1633">
        <v>4772000010</v>
      </c>
      <c r="N923">
        <v>1</v>
      </c>
      <c r="O923">
        <v>40</v>
      </c>
      <c r="P923" s="1633">
        <v>4772000010</v>
      </c>
      <c r="Q923" t="s">
        <v>106</v>
      </c>
      <c r="R923" s="2392">
        <v>44897</v>
      </c>
      <c r="S923" s="2393">
        <f t="shared" si="62"/>
        <v>1</v>
      </c>
      <c r="T923" s="2394">
        <f>IF(OR(J923="COP",J923="EURO",J923="GBP"),0,IF(J923="USD",VLOOKUP(R923,'TRM BanRep'!$A:$G,7,0)))</f>
        <v>0</v>
      </c>
      <c r="U923" s="2395">
        <f t="shared" si="63"/>
        <v>0</v>
      </c>
      <c r="V923" s="2395" t="str">
        <f t="shared" si="59"/>
        <v/>
      </c>
    </row>
    <row r="924" spans="3:22" hidden="1">
      <c r="C924">
        <v>2022</v>
      </c>
      <c r="D924" t="s">
        <v>2102</v>
      </c>
      <c r="F924">
        <v>1202049905</v>
      </c>
      <c r="G924" t="s">
        <v>1557</v>
      </c>
      <c r="H924" t="s">
        <v>2111</v>
      </c>
      <c r="I924" t="s">
        <v>2112</v>
      </c>
      <c r="J924" t="s">
        <v>64</v>
      </c>
      <c r="K924">
        <v>7900016311</v>
      </c>
      <c r="L924" t="s">
        <v>2111</v>
      </c>
      <c r="M924" s="1860">
        <v>-29415835</v>
      </c>
      <c r="N924" s="1860">
        <v>4815.5899200000003</v>
      </c>
      <c r="O924">
        <v>50</v>
      </c>
      <c r="P924" s="1633">
        <v>-141654598518</v>
      </c>
      <c r="Q924" t="s">
        <v>106</v>
      </c>
      <c r="R924" s="2392">
        <v>44900</v>
      </c>
      <c r="S924" s="2393">
        <f t="shared" si="62"/>
        <v>4815.59</v>
      </c>
      <c r="T924" s="2394">
        <f>IF(OR(J924="COP",J924="EURO",J924="GBP"),0,IF(J924="USD",VLOOKUP(R924,'TRM BanRep'!$A:$G,7,0)))</f>
        <v>4767.1899999999996</v>
      </c>
      <c r="U924" s="2407">
        <f t="shared" si="63"/>
        <v>1423726414.000016</v>
      </c>
      <c r="V924" s="2396" t="str">
        <f t="shared" si="59"/>
        <v>2-GASTO</v>
      </c>
    </row>
    <row r="925" spans="3:22" hidden="1">
      <c r="C925">
        <v>2022</v>
      </c>
      <c r="D925" t="s">
        <v>2102</v>
      </c>
      <c r="F925">
        <v>1202049905</v>
      </c>
      <c r="G925" t="s">
        <v>1557</v>
      </c>
      <c r="H925" t="s">
        <v>2111</v>
      </c>
      <c r="I925" t="s">
        <v>2113</v>
      </c>
      <c r="J925" t="s">
        <v>106</v>
      </c>
      <c r="K925">
        <v>7900016312</v>
      </c>
      <c r="L925" t="s">
        <v>2111</v>
      </c>
      <c r="M925" s="1633">
        <v>141654598518</v>
      </c>
      <c r="N925">
        <v>1</v>
      </c>
      <c r="O925">
        <v>40</v>
      </c>
      <c r="P925" s="1633">
        <v>141654598518</v>
      </c>
      <c r="Q925" t="s">
        <v>106</v>
      </c>
      <c r="R925" s="2392">
        <v>44900</v>
      </c>
      <c r="S925" s="2393">
        <f t="shared" si="62"/>
        <v>1</v>
      </c>
      <c r="T925" s="2394">
        <f>IF(OR(J925="COP",J925="EURO",J925="GBP"),0,IF(J925="USD",VLOOKUP(R925,'TRM BanRep'!$A:$G,7,0)))</f>
        <v>0</v>
      </c>
      <c r="U925" s="2395">
        <f t="shared" si="63"/>
        <v>0</v>
      </c>
      <c r="V925" s="2395" t="str">
        <f t="shared" si="59"/>
        <v/>
      </c>
    </row>
    <row r="926" spans="3:22" hidden="1">
      <c r="C926">
        <v>2022</v>
      </c>
      <c r="D926" t="s">
        <v>2102</v>
      </c>
      <c r="F926">
        <v>1202049905</v>
      </c>
      <c r="G926" t="s">
        <v>1557</v>
      </c>
      <c r="H926" t="s">
        <v>2114</v>
      </c>
      <c r="I926" t="s">
        <v>2115</v>
      </c>
      <c r="J926" t="s">
        <v>106</v>
      </c>
      <c r="K926">
        <v>7900015953</v>
      </c>
      <c r="L926" t="s">
        <v>2114</v>
      </c>
      <c r="M926" s="1633">
        <v>-4771782198</v>
      </c>
      <c r="N926">
        <v>1</v>
      </c>
      <c r="O926">
        <v>50</v>
      </c>
      <c r="P926" s="1633">
        <v>-4771782198</v>
      </c>
      <c r="Q926" t="s">
        <v>106</v>
      </c>
      <c r="R926" s="2392">
        <v>44901</v>
      </c>
      <c r="S926" s="2393">
        <f t="shared" si="62"/>
        <v>1</v>
      </c>
      <c r="T926" s="2394">
        <f>IF(OR(J926="COP",J926="EURO",J926="GBP"),0,IF(J926="USD",VLOOKUP(R926,'TRM BanRep'!$A:$G,7,0)))</f>
        <v>0</v>
      </c>
      <c r="U926" s="2395">
        <f t="shared" si="63"/>
        <v>0</v>
      </c>
      <c r="V926" s="2395" t="str">
        <f t="shared" si="59"/>
        <v/>
      </c>
    </row>
    <row r="927" spans="3:22" hidden="1">
      <c r="C927">
        <v>2022</v>
      </c>
      <c r="D927" t="s">
        <v>2102</v>
      </c>
      <c r="F927">
        <v>1202049905</v>
      </c>
      <c r="G927" t="s">
        <v>1557</v>
      </c>
      <c r="H927" t="s">
        <v>2114</v>
      </c>
      <c r="I927" t="s">
        <v>2116</v>
      </c>
      <c r="J927" t="s">
        <v>64</v>
      </c>
      <c r="K927">
        <v>7900015954</v>
      </c>
      <c r="L927" t="s">
        <v>2114</v>
      </c>
      <c r="M927" s="1860">
        <v>1000963.3</v>
      </c>
      <c r="N927" s="1860">
        <v>4767.1899599999997</v>
      </c>
      <c r="O927">
        <v>40</v>
      </c>
      <c r="P927" s="1633">
        <v>4771782198</v>
      </c>
      <c r="Q927" t="s">
        <v>106</v>
      </c>
      <c r="R927" s="2392">
        <v>44901</v>
      </c>
      <c r="S927" s="2393">
        <f t="shared" si="62"/>
        <v>4767.1899999999996</v>
      </c>
      <c r="T927" s="2394">
        <f>IF(OR(J927="COP",J927="EURO",J927="GBP"),0,IF(J927="USD",VLOOKUP(R927,'TRM BanRep'!$A:$G,7,0)))</f>
        <v>4812.37</v>
      </c>
      <c r="U927" s="2407">
        <f t="shared" si="63"/>
        <v>45223521.894000292</v>
      </c>
      <c r="V927" s="2396" t="str">
        <f t="shared" si="59"/>
        <v>2-GASTO</v>
      </c>
    </row>
    <row r="928" spans="3:22" hidden="1">
      <c r="C928">
        <v>2022</v>
      </c>
      <c r="D928" t="s">
        <v>2102</v>
      </c>
      <c r="F928">
        <v>1202049905</v>
      </c>
      <c r="G928" t="s">
        <v>1557</v>
      </c>
      <c r="H928" t="s">
        <v>2117</v>
      </c>
      <c r="I928" t="s">
        <v>2118</v>
      </c>
      <c r="J928" t="s">
        <v>64</v>
      </c>
      <c r="K928">
        <v>7900016151</v>
      </c>
      <c r="L928" t="s">
        <v>2117</v>
      </c>
      <c r="M928" s="1860">
        <v>-12039454.6</v>
      </c>
      <c r="N928" s="1860">
        <v>4825.8</v>
      </c>
      <c r="O928">
        <v>50</v>
      </c>
      <c r="P928" s="1633">
        <v>-58100000009</v>
      </c>
      <c r="Q928" t="s">
        <v>106</v>
      </c>
      <c r="R928" s="2392">
        <v>44902</v>
      </c>
      <c r="S928" s="2393">
        <f t="shared" si="62"/>
        <v>4825.8</v>
      </c>
      <c r="T928" s="2394">
        <f>IF(OR(J928="COP",J928="EURO",J928="GBP"),0,IF(J928="USD",VLOOKUP(R928,'TRM BanRep'!$A:$G,7,0)))</f>
        <v>4818.32</v>
      </c>
      <c r="U928" s="2407">
        <f t="shared" si="63"/>
        <v>90055120.408005685</v>
      </c>
      <c r="V928" s="2396" t="str">
        <f t="shared" si="59"/>
        <v>2-GASTO</v>
      </c>
    </row>
    <row r="929" spans="3:22" hidden="1">
      <c r="C929">
        <v>2022</v>
      </c>
      <c r="D929" t="s">
        <v>2102</v>
      </c>
      <c r="F929">
        <v>1202049905</v>
      </c>
      <c r="G929" t="s">
        <v>1557</v>
      </c>
      <c r="H929" t="s">
        <v>2117</v>
      </c>
      <c r="I929" t="s">
        <v>2119</v>
      </c>
      <c r="J929" t="s">
        <v>106</v>
      </c>
      <c r="K929">
        <v>7900016152</v>
      </c>
      <c r="L929" t="s">
        <v>2117</v>
      </c>
      <c r="M929" s="1633">
        <v>58100000009</v>
      </c>
      <c r="N929">
        <v>1</v>
      </c>
      <c r="O929">
        <v>40</v>
      </c>
      <c r="P929" s="1633">
        <v>58100000009</v>
      </c>
      <c r="Q929" t="s">
        <v>106</v>
      </c>
      <c r="R929" s="2392">
        <v>44902</v>
      </c>
      <c r="S929" s="2393">
        <f t="shared" si="62"/>
        <v>1</v>
      </c>
      <c r="T929" s="2394">
        <f>IF(OR(J929="COP",J929="EURO",J929="GBP"),0,IF(J929="USD",VLOOKUP(R929,'TRM BanRep'!$A:$G,7,0)))</f>
        <v>0</v>
      </c>
      <c r="U929" s="2395">
        <f t="shared" si="63"/>
        <v>0</v>
      </c>
      <c r="V929" s="2395" t="str">
        <f t="shared" si="59"/>
        <v/>
      </c>
    </row>
    <row r="930" spans="3:22" hidden="1">
      <c r="C930">
        <v>2022</v>
      </c>
      <c r="D930" t="s">
        <v>2102</v>
      </c>
      <c r="F930">
        <v>1202049905</v>
      </c>
      <c r="G930" t="s">
        <v>1557</v>
      </c>
      <c r="H930" t="s">
        <v>2120</v>
      </c>
      <c r="I930" t="s">
        <v>2121</v>
      </c>
      <c r="J930" s="2410" t="s">
        <v>146</v>
      </c>
      <c r="K930">
        <v>7900016127</v>
      </c>
      <c r="L930" t="s">
        <v>2120</v>
      </c>
      <c r="M930" s="1860">
        <v>-2500</v>
      </c>
      <c r="N930" s="1860">
        <v>5144.3083999999999</v>
      </c>
      <c r="O930">
        <v>50</v>
      </c>
      <c r="P930" s="1633">
        <v>-12860771</v>
      </c>
      <c r="Q930" t="s">
        <v>106</v>
      </c>
      <c r="R930" s="2392">
        <v>44904</v>
      </c>
      <c r="S930" s="2393">
        <f t="shared" si="62"/>
        <v>5144.3100000000004</v>
      </c>
      <c r="T930" s="2409">
        <f>IF(OR(J930="COP",J930="EURO",J930="GBP"),0,IF(J930="USD",VLOOKUP(R930,'TRM BanRep'!$A:$G,7,0)))</f>
        <v>0</v>
      </c>
      <c r="U930" s="2395">
        <f t="shared" si="63"/>
        <v>0</v>
      </c>
      <c r="V930" s="2396" t="str">
        <f t="shared" si="59"/>
        <v/>
      </c>
    </row>
    <row r="931" spans="3:22" hidden="1">
      <c r="C931">
        <v>2022</v>
      </c>
      <c r="D931" t="s">
        <v>2102</v>
      </c>
      <c r="F931">
        <v>1202049905</v>
      </c>
      <c r="G931" t="s">
        <v>1557</v>
      </c>
      <c r="H931" t="s">
        <v>2120</v>
      </c>
      <c r="I931" t="s">
        <v>2122</v>
      </c>
      <c r="J931" t="s">
        <v>64</v>
      </c>
      <c r="K931">
        <v>7900016128</v>
      </c>
      <c r="L931" t="s">
        <v>2120</v>
      </c>
      <c r="M931" s="1860">
        <v>2703.75</v>
      </c>
      <c r="N931" s="1860">
        <v>4756.6420699999999</v>
      </c>
      <c r="O931">
        <v>40</v>
      </c>
      <c r="P931" s="1633">
        <v>12860771</v>
      </c>
      <c r="Q931" t="s">
        <v>106</v>
      </c>
      <c r="R931" s="2392">
        <v>44904</v>
      </c>
      <c r="S931" s="2393">
        <f t="shared" si="62"/>
        <v>4756.6400000000003</v>
      </c>
      <c r="T931" s="2394">
        <f>IF(OR(J931="COP",J931="EURO",J931="GBP"),0,IF(J931="USD",VLOOKUP(R931,'TRM BanRep'!$A:$G,7,0)))</f>
        <v>4825.83</v>
      </c>
      <c r="U931" s="2407">
        <f t="shared" si="63"/>
        <v>187072.46249999892</v>
      </c>
      <c r="V931" s="2396" t="str">
        <f t="shared" si="59"/>
        <v>2-GASTO</v>
      </c>
    </row>
    <row r="932" spans="3:22" hidden="1">
      <c r="C932">
        <v>2022</v>
      </c>
      <c r="D932" t="s">
        <v>2102</v>
      </c>
      <c r="F932">
        <v>1202049905</v>
      </c>
      <c r="G932" t="s">
        <v>1557</v>
      </c>
      <c r="H932" t="s">
        <v>2120</v>
      </c>
      <c r="I932" t="s">
        <v>2123</v>
      </c>
      <c r="J932" s="2410" t="s">
        <v>146</v>
      </c>
      <c r="K932">
        <v>7900016135</v>
      </c>
      <c r="L932" t="s">
        <v>2120</v>
      </c>
      <c r="M932" s="1860">
        <v>-1490</v>
      </c>
      <c r="N932" s="1860">
        <v>5144.30872</v>
      </c>
      <c r="O932">
        <v>50</v>
      </c>
      <c r="P932" s="1633">
        <v>-7665020</v>
      </c>
      <c r="Q932" t="s">
        <v>106</v>
      </c>
      <c r="R932" s="2392">
        <v>44904</v>
      </c>
      <c r="S932" s="2393">
        <f t="shared" si="62"/>
        <v>5144.3100000000004</v>
      </c>
      <c r="T932" s="2409">
        <f>IF(OR(J932="COP",J932="EURO",J932="GBP"),0,IF(J932="USD",VLOOKUP(R932,'TRM BanRep'!$A:$G,7,0)))</f>
        <v>0</v>
      </c>
      <c r="U932" s="2395">
        <f t="shared" si="63"/>
        <v>0</v>
      </c>
      <c r="V932" s="2396" t="str">
        <f t="shared" si="59"/>
        <v/>
      </c>
    </row>
    <row r="933" spans="3:22" hidden="1">
      <c r="C933">
        <v>2022</v>
      </c>
      <c r="D933" t="s">
        <v>2102</v>
      </c>
      <c r="F933">
        <v>1202049905</v>
      </c>
      <c r="G933" t="s">
        <v>1557</v>
      </c>
      <c r="H933" t="s">
        <v>2120</v>
      </c>
      <c r="I933" t="s">
        <v>2124</v>
      </c>
      <c r="J933" t="s">
        <v>64</v>
      </c>
      <c r="K933">
        <v>7900016136</v>
      </c>
      <c r="L933" t="s">
        <v>2120</v>
      </c>
      <c r="M933" s="1860">
        <v>1611.73</v>
      </c>
      <c r="N933" s="1860">
        <v>4755.7717499999999</v>
      </c>
      <c r="O933">
        <v>40</v>
      </c>
      <c r="P933" s="1633">
        <v>7665020</v>
      </c>
      <c r="Q933" t="s">
        <v>106</v>
      </c>
      <c r="R933" s="2392">
        <v>44904</v>
      </c>
      <c r="S933" s="2393">
        <f t="shared" si="62"/>
        <v>4755.7700000000004</v>
      </c>
      <c r="T933" s="2394">
        <f>IF(OR(J933="COP",J933="EURO",J933="GBP"),0,IF(J933="USD",VLOOKUP(R933,'TRM BanRep'!$A:$G,7,0)))</f>
        <v>4825.83</v>
      </c>
      <c r="U933" s="2407">
        <f t="shared" si="63"/>
        <v>112917.80379999918</v>
      </c>
      <c r="V933" s="2396" t="str">
        <f t="shared" si="59"/>
        <v>2-GASTO</v>
      </c>
    </row>
    <row r="934" spans="3:22" hidden="1">
      <c r="C934">
        <v>2022</v>
      </c>
      <c r="D934" t="s">
        <v>2102</v>
      </c>
      <c r="F934">
        <v>1202049905</v>
      </c>
      <c r="G934" t="s">
        <v>1557</v>
      </c>
      <c r="H934" t="s">
        <v>2120</v>
      </c>
      <c r="I934" t="s">
        <v>2125</v>
      </c>
      <c r="J934" s="2410" t="s">
        <v>146</v>
      </c>
      <c r="K934">
        <v>7900016143</v>
      </c>
      <c r="L934" t="s">
        <v>2120</v>
      </c>
      <c r="M934" s="1860">
        <v>-1537.9</v>
      </c>
      <c r="N934" s="1860">
        <v>5144.3084699999999</v>
      </c>
      <c r="O934">
        <v>50</v>
      </c>
      <c r="P934" s="1633">
        <v>-7911432</v>
      </c>
      <c r="Q934" t="s">
        <v>106</v>
      </c>
      <c r="R934" s="2392">
        <v>44904</v>
      </c>
      <c r="S934" s="2393">
        <f t="shared" si="62"/>
        <v>5144.3100000000004</v>
      </c>
      <c r="T934" s="2409">
        <f>IF(OR(J934="COP",J934="EURO",J934="GBP"),0,IF(J934="USD",VLOOKUP(R934,'TRM BanRep'!$A:$G,7,0)))</f>
        <v>0</v>
      </c>
      <c r="U934" s="2395">
        <f t="shared" si="63"/>
        <v>0</v>
      </c>
      <c r="V934" s="2396" t="str">
        <f t="shared" si="59"/>
        <v/>
      </c>
    </row>
    <row r="935" spans="3:22" hidden="1">
      <c r="C935">
        <v>2022</v>
      </c>
      <c r="D935" t="s">
        <v>2102</v>
      </c>
      <c r="F935">
        <v>1202049905</v>
      </c>
      <c r="G935" t="s">
        <v>1557</v>
      </c>
      <c r="H935" t="s">
        <v>2120</v>
      </c>
      <c r="I935" t="s">
        <v>2126</v>
      </c>
      <c r="J935" t="s">
        <v>64</v>
      </c>
      <c r="K935">
        <v>7900016144</v>
      </c>
      <c r="L935" t="s">
        <v>2120</v>
      </c>
      <c r="M935" s="1860">
        <v>1665.24</v>
      </c>
      <c r="N935" s="1860">
        <v>4750.9259899999997</v>
      </c>
      <c r="O935">
        <v>40</v>
      </c>
      <c r="P935" s="1633">
        <v>7911432</v>
      </c>
      <c r="Q935" t="s">
        <v>106</v>
      </c>
      <c r="R935" s="2392">
        <v>44904</v>
      </c>
      <c r="S935" s="2393">
        <f t="shared" si="62"/>
        <v>4750.93</v>
      </c>
      <c r="T935" s="2394">
        <f>IF(OR(J935="COP",J935="EURO",J935="GBP"),0,IF(J935="USD",VLOOKUP(R935,'TRM BanRep'!$A:$G,7,0)))</f>
        <v>4825.83</v>
      </c>
      <c r="U935" s="2407">
        <f t="shared" si="63"/>
        <v>124726.4759999994</v>
      </c>
      <c r="V935" s="2396" t="str">
        <f t="shared" si="59"/>
        <v>2-GASTO</v>
      </c>
    </row>
    <row r="936" spans="3:22" hidden="1">
      <c r="C936">
        <v>2022</v>
      </c>
      <c r="D936" t="s">
        <v>2102</v>
      </c>
      <c r="F936">
        <v>1202049905</v>
      </c>
      <c r="G936" t="s">
        <v>1557</v>
      </c>
      <c r="H936" t="s">
        <v>2127</v>
      </c>
      <c r="I936" t="s">
        <v>2128</v>
      </c>
      <c r="J936" t="s">
        <v>106</v>
      </c>
      <c r="K936">
        <v>7900016013</v>
      </c>
      <c r="L936" t="s">
        <v>2127</v>
      </c>
      <c r="M936" s="1633">
        <v>-20338268329</v>
      </c>
      <c r="N936">
        <v>1</v>
      </c>
      <c r="O936">
        <v>50</v>
      </c>
      <c r="P936" s="1633">
        <v>-20338268329</v>
      </c>
      <c r="Q936" t="s">
        <v>106</v>
      </c>
      <c r="R936" s="2392">
        <v>44907</v>
      </c>
      <c r="S936" s="2393">
        <f t="shared" si="62"/>
        <v>1</v>
      </c>
      <c r="T936" s="2394">
        <f>IF(OR(J936="COP",J936="EURO",J936="GBP"),0,IF(J936="USD",VLOOKUP(R936,'TRM BanRep'!$A:$G,7,0)))</f>
        <v>0</v>
      </c>
      <c r="U936" s="2395">
        <f t="shared" si="63"/>
        <v>0</v>
      </c>
      <c r="V936" s="2395" t="str">
        <f t="shared" si="59"/>
        <v/>
      </c>
    </row>
    <row r="937" spans="3:22" hidden="1">
      <c r="C937">
        <v>2022</v>
      </c>
      <c r="D937" t="s">
        <v>2102</v>
      </c>
      <c r="F937">
        <v>1202049905</v>
      </c>
      <c r="G937" t="s">
        <v>1557</v>
      </c>
      <c r="H937" t="s">
        <v>2127</v>
      </c>
      <c r="I937" t="s">
        <v>2129</v>
      </c>
      <c r="J937" t="s">
        <v>64</v>
      </c>
      <c r="K937">
        <v>7900016014</v>
      </c>
      <c r="L937" t="s">
        <v>2127</v>
      </c>
      <c r="M937" s="1860">
        <v>4214460.17</v>
      </c>
      <c r="N937" s="1860">
        <v>4825.83</v>
      </c>
      <c r="O937">
        <v>40</v>
      </c>
      <c r="P937" s="1633">
        <v>20338268329</v>
      </c>
      <c r="Q937" t="s">
        <v>106</v>
      </c>
      <c r="R937" s="2392">
        <v>44907</v>
      </c>
      <c r="S937" s="2393">
        <f t="shared" si="62"/>
        <v>4825.83</v>
      </c>
      <c r="T937" s="2394">
        <f>IF(OR(J937="COP",J937="EURO",J937="GBP"),0,IF(J937="USD",VLOOKUP(R937,'TRM BanRep'!$A:$G,7,0)))</f>
        <v>4815.99</v>
      </c>
      <c r="U937" s="2405">
        <f t="shared" si="63"/>
        <v>-41470288.072800614</v>
      </c>
      <c r="V937" s="2397" t="str">
        <f t="shared" si="59"/>
        <v>1-INGRESO</v>
      </c>
    </row>
    <row r="938" spans="3:22" hidden="1">
      <c r="C938">
        <v>2022</v>
      </c>
      <c r="D938" t="s">
        <v>2102</v>
      </c>
      <c r="F938">
        <v>1202049905</v>
      </c>
      <c r="G938" t="s">
        <v>1557</v>
      </c>
      <c r="H938" t="s">
        <v>2127</v>
      </c>
      <c r="I938" t="s">
        <v>2130</v>
      </c>
      <c r="J938" t="s">
        <v>106</v>
      </c>
      <c r="K938">
        <v>7900016021</v>
      </c>
      <c r="L938" t="s">
        <v>2127</v>
      </c>
      <c r="M938" s="1633">
        <v>-37754474066</v>
      </c>
      <c r="N938">
        <v>1</v>
      </c>
      <c r="O938">
        <v>50</v>
      </c>
      <c r="P938" s="1633">
        <v>-37754474066</v>
      </c>
      <c r="Q938" t="s">
        <v>106</v>
      </c>
      <c r="R938" s="2392">
        <v>44907</v>
      </c>
      <c r="S938" s="2393">
        <f t="shared" si="62"/>
        <v>1</v>
      </c>
      <c r="T938" s="2394">
        <f>IF(OR(J938="COP",J938="EURO",J938="GBP"),0,IF(J938="USD",VLOOKUP(R938,'TRM BanRep'!$A:$G,7,0)))</f>
        <v>0</v>
      </c>
      <c r="U938" s="2395">
        <f t="shared" si="63"/>
        <v>0</v>
      </c>
      <c r="V938" s="2395" t="str">
        <f t="shared" si="59"/>
        <v/>
      </c>
    </row>
    <row r="939" spans="3:22" hidden="1">
      <c r="C939">
        <v>2022</v>
      </c>
      <c r="D939" t="s">
        <v>2102</v>
      </c>
      <c r="F939">
        <v>1202049905</v>
      </c>
      <c r="G939" t="s">
        <v>1557</v>
      </c>
      <c r="H939" t="s">
        <v>2127</v>
      </c>
      <c r="I939" t="s">
        <v>2131</v>
      </c>
      <c r="J939" t="s">
        <v>64</v>
      </c>
      <c r="K939">
        <v>7900016022</v>
      </c>
      <c r="L939" t="s">
        <v>2127</v>
      </c>
      <c r="M939" s="1860">
        <v>7823415.6699999999</v>
      </c>
      <c r="N939" s="1860">
        <v>4825.83</v>
      </c>
      <c r="O939">
        <v>40</v>
      </c>
      <c r="P939" s="1633">
        <v>37754474066</v>
      </c>
      <c r="Q939" t="s">
        <v>106</v>
      </c>
      <c r="R939" s="2392">
        <v>44907</v>
      </c>
      <c r="S939" s="2393">
        <f t="shared" si="62"/>
        <v>4825.83</v>
      </c>
      <c r="T939" s="2394">
        <f>IF(OR(J939="COP",J939="EURO",J939="GBP"),0,IF(J939="USD",VLOOKUP(R939,'TRM BanRep'!$A:$G,7,0)))</f>
        <v>4815.99</v>
      </c>
      <c r="U939" s="2405">
        <f t="shared" si="63"/>
        <v>-76982410.192801133</v>
      </c>
      <c r="V939" s="2397" t="str">
        <f t="shared" si="59"/>
        <v>1-INGRESO</v>
      </c>
    </row>
    <row r="940" spans="3:22" hidden="1">
      <c r="C940">
        <v>2022</v>
      </c>
      <c r="D940" t="s">
        <v>2102</v>
      </c>
      <c r="F940">
        <v>1202049905</v>
      </c>
      <c r="G940" t="s">
        <v>1557</v>
      </c>
      <c r="H940" t="s">
        <v>2132</v>
      </c>
      <c r="I940" t="s">
        <v>2133</v>
      </c>
      <c r="J940" s="2410" t="s">
        <v>146</v>
      </c>
      <c r="K940">
        <v>7900016159</v>
      </c>
      <c r="L940" t="s">
        <v>2132</v>
      </c>
      <c r="M940" s="1860">
        <v>-7000.87</v>
      </c>
      <c r="N940" s="1860">
        <v>5088.3903</v>
      </c>
      <c r="O940">
        <v>50</v>
      </c>
      <c r="P940" s="1633">
        <v>-35623159</v>
      </c>
      <c r="Q940" t="s">
        <v>106</v>
      </c>
      <c r="R940" s="2392">
        <v>44911</v>
      </c>
      <c r="S940" s="2393">
        <f t="shared" si="62"/>
        <v>5088.3900000000003</v>
      </c>
      <c r="T940" s="2409">
        <f>IF(OR(J940="COP",J940="EURO",J940="GBP"),0,IF(J940="USD",VLOOKUP(R940,'TRM BanRep'!$A:$G,7,0)))</f>
        <v>0</v>
      </c>
      <c r="U940" s="2395">
        <f t="shared" si="63"/>
        <v>0</v>
      </c>
      <c r="V940" s="2397" t="str">
        <f t="shared" si="59"/>
        <v/>
      </c>
    </row>
    <row r="941" spans="3:22" hidden="1">
      <c r="C941">
        <v>2022</v>
      </c>
      <c r="D941" t="s">
        <v>2102</v>
      </c>
      <c r="F941">
        <v>1202049905</v>
      </c>
      <c r="G941" t="s">
        <v>1557</v>
      </c>
      <c r="H941" t="s">
        <v>2132</v>
      </c>
      <c r="I941" t="s">
        <v>2134</v>
      </c>
      <c r="J941" t="s">
        <v>64</v>
      </c>
      <c r="K941">
        <v>7900016160</v>
      </c>
      <c r="L941" t="s">
        <v>2132</v>
      </c>
      <c r="M941" s="1860">
        <v>7641.45</v>
      </c>
      <c r="N941" s="1860">
        <v>4661.8323700000001</v>
      </c>
      <c r="O941">
        <v>40</v>
      </c>
      <c r="P941" s="1633">
        <v>35623159</v>
      </c>
      <c r="Q941" t="s">
        <v>106</v>
      </c>
      <c r="R941" s="2392">
        <v>44911</v>
      </c>
      <c r="S941" s="2393">
        <f t="shared" si="62"/>
        <v>4661.83</v>
      </c>
      <c r="T941" s="2394">
        <f>IF(OR(J941="COP",J941="EURO",J941="GBP"),0,IF(J941="USD",VLOOKUP(R941,'TRM BanRep'!$A:$G,7,0)))</f>
        <v>4797.0200000000004</v>
      </c>
      <c r="U941" s="2407">
        <f t="shared" si="63"/>
        <v>1033047.6255000039</v>
      </c>
      <c r="V941" s="2396" t="str">
        <f t="shared" si="59"/>
        <v>2-GASTO</v>
      </c>
    </row>
    <row r="942" spans="3:22" hidden="1">
      <c r="C942">
        <v>2022</v>
      </c>
      <c r="D942" t="s">
        <v>2102</v>
      </c>
      <c r="F942">
        <v>1202049905</v>
      </c>
      <c r="G942" t="s">
        <v>1557</v>
      </c>
      <c r="H942" t="s">
        <v>2135</v>
      </c>
      <c r="I942" t="s">
        <v>2136</v>
      </c>
      <c r="J942" t="s">
        <v>106</v>
      </c>
      <c r="K942">
        <v>7900016291</v>
      </c>
      <c r="L942" t="s">
        <v>2135</v>
      </c>
      <c r="M942" s="1633">
        <v>-1920992000</v>
      </c>
      <c r="N942">
        <v>1</v>
      </c>
      <c r="O942">
        <v>50</v>
      </c>
      <c r="P942" s="1633">
        <v>-1920992000</v>
      </c>
      <c r="Q942" t="s">
        <v>106</v>
      </c>
      <c r="R942" s="2392">
        <v>44914</v>
      </c>
      <c r="S942" s="2393">
        <f t="shared" si="62"/>
        <v>1</v>
      </c>
      <c r="T942" s="2394">
        <f>IF(OR(J942="COP",J942="EURO",J942="GBP"),0,IF(J942="USD",VLOOKUP(R942,'TRM BanRep'!$A:$G,7,0)))</f>
        <v>0</v>
      </c>
      <c r="U942" s="2395">
        <f t="shared" si="63"/>
        <v>0</v>
      </c>
      <c r="V942" s="2395" t="str">
        <f t="shared" si="59"/>
        <v/>
      </c>
    </row>
    <row r="943" spans="3:22" hidden="1">
      <c r="C943">
        <v>2022</v>
      </c>
      <c r="D943" t="s">
        <v>2102</v>
      </c>
      <c r="F943">
        <v>1202049905</v>
      </c>
      <c r="G943" t="s">
        <v>1557</v>
      </c>
      <c r="H943" t="s">
        <v>2135</v>
      </c>
      <c r="I943" t="s">
        <v>2137</v>
      </c>
      <c r="J943" t="s">
        <v>64</v>
      </c>
      <c r="K943">
        <v>7900016292</v>
      </c>
      <c r="L943" t="s">
        <v>2135</v>
      </c>
      <c r="M943" s="1860">
        <v>400000</v>
      </c>
      <c r="N943" s="1860">
        <v>4802.4799999999996</v>
      </c>
      <c r="O943">
        <v>40</v>
      </c>
      <c r="P943" s="1633">
        <v>1920992000</v>
      </c>
      <c r="Q943" t="s">
        <v>106</v>
      </c>
      <c r="R943" s="2392">
        <v>44914</v>
      </c>
      <c r="S943" s="2393">
        <f t="shared" si="62"/>
        <v>4802.4799999999996</v>
      </c>
      <c r="T943" s="2394">
        <f>IF(OR(J943="COP",J943="EURO",J943="GBP"),0,IF(J943="USD",VLOOKUP(R943,'TRM BanRep'!$A:$G,7,0)))</f>
        <v>4802.4799999999996</v>
      </c>
      <c r="U943" s="2395">
        <f t="shared" si="63"/>
        <v>0</v>
      </c>
      <c r="V943" s="2395" t="str">
        <f t="shared" si="59"/>
        <v/>
      </c>
    </row>
    <row r="944" spans="3:22" hidden="1">
      <c r="C944">
        <v>2022</v>
      </c>
      <c r="D944" t="s">
        <v>2102</v>
      </c>
      <c r="F944">
        <v>1202049905</v>
      </c>
      <c r="G944" t="s">
        <v>1557</v>
      </c>
      <c r="H944" t="s">
        <v>1495</v>
      </c>
      <c r="I944" t="s">
        <v>2138</v>
      </c>
      <c r="J944" s="2410" t="s">
        <v>146</v>
      </c>
      <c r="K944">
        <v>7900016171</v>
      </c>
      <c r="L944" t="s">
        <v>1495</v>
      </c>
      <c r="M944" s="1860">
        <v>-77219</v>
      </c>
      <c r="N944" s="1860">
        <v>5061.6474799999996</v>
      </c>
      <c r="O944">
        <v>50</v>
      </c>
      <c r="P944" s="1633">
        <v>-390855357</v>
      </c>
      <c r="Q944" t="s">
        <v>106</v>
      </c>
      <c r="R944" s="2392">
        <v>44917</v>
      </c>
      <c r="S944" s="2393">
        <f t="shared" si="62"/>
        <v>5061.6499999999996</v>
      </c>
      <c r="T944" s="2409">
        <f>IF(OR(J944="COP",J944="EURO",J944="GBP"),0,IF(J944="USD",VLOOKUP(R944,'TRM BanRep'!$A:$G,7,0)))</f>
        <v>0</v>
      </c>
      <c r="U944" s="2395">
        <f t="shared" si="63"/>
        <v>0</v>
      </c>
      <c r="V944" s="2396" t="str">
        <f t="shared" si="59"/>
        <v/>
      </c>
    </row>
    <row r="945" spans="3:22" hidden="1">
      <c r="C945">
        <v>2022</v>
      </c>
      <c r="D945" t="s">
        <v>2102</v>
      </c>
      <c r="F945">
        <v>1202049905</v>
      </c>
      <c r="G945" t="s">
        <v>1557</v>
      </c>
      <c r="H945" t="s">
        <v>1495</v>
      </c>
      <c r="I945" t="s">
        <v>2139</v>
      </c>
      <c r="J945" t="s">
        <v>64</v>
      </c>
      <c r="K945">
        <v>7900016172</v>
      </c>
      <c r="L945" t="s">
        <v>1495</v>
      </c>
      <c r="M945" s="1860">
        <v>83975.66</v>
      </c>
      <c r="N945" s="1860">
        <v>4654.3886300000004</v>
      </c>
      <c r="O945">
        <v>40</v>
      </c>
      <c r="P945" s="1633">
        <v>390855357</v>
      </c>
      <c r="Q945" t="s">
        <v>106</v>
      </c>
      <c r="R945" s="2392">
        <v>44917</v>
      </c>
      <c r="S945" s="2393">
        <f t="shared" si="62"/>
        <v>4654.3900000000003</v>
      </c>
      <c r="T945" s="2394">
        <f>IF(OR(J945="COP",J945="EURO",J945="GBP"),0,IF(J945="USD",VLOOKUP(R945,'TRM BanRep'!$A:$G,7,0)))</f>
        <v>4761.6400000000003</v>
      </c>
      <c r="U945" s="2407">
        <f t="shared" si="63"/>
        <v>9006389.5350000001</v>
      </c>
      <c r="V945" s="2396" t="str">
        <f t="shared" si="59"/>
        <v>2-GASTO</v>
      </c>
    </row>
    <row r="946" spans="3:22" hidden="1">
      <c r="C946">
        <v>2022</v>
      </c>
      <c r="D946" t="s">
        <v>2102</v>
      </c>
      <c r="F946">
        <v>1202049905</v>
      </c>
      <c r="G946" t="s">
        <v>1557</v>
      </c>
      <c r="H946" t="s">
        <v>1495</v>
      </c>
      <c r="I946" t="s">
        <v>2140</v>
      </c>
      <c r="J946" t="s">
        <v>106</v>
      </c>
      <c r="K946">
        <v>7900016179</v>
      </c>
      <c r="L946" t="s">
        <v>1495</v>
      </c>
      <c r="M946" s="1633">
        <v>-553350000</v>
      </c>
      <c r="N946">
        <v>1</v>
      </c>
      <c r="O946">
        <v>50</v>
      </c>
      <c r="P946" s="1633">
        <v>-553350000</v>
      </c>
      <c r="Q946" t="s">
        <v>106</v>
      </c>
      <c r="R946" s="2392">
        <v>44917</v>
      </c>
      <c r="S946" s="2393">
        <f t="shared" si="62"/>
        <v>1</v>
      </c>
      <c r="T946" s="2394">
        <f>IF(OR(J946="COP",J946="EURO",J946="GBP"),0,IF(J946="USD",VLOOKUP(R946,'TRM BanRep'!$A:$G,7,0)))</f>
        <v>0</v>
      </c>
      <c r="U946" s="2395">
        <f t="shared" si="63"/>
        <v>0</v>
      </c>
      <c r="V946" s="2395" t="str">
        <f t="shared" si="59"/>
        <v/>
      </c>
    </row>
    <row r="947" spans="3:22" hidden="1">
      <c r="C947">
        <v>2022</v>
      </c>
      <c r="D947" t="s">
        <v>2102</v>
      </c>
      <c r="F947">
        <v>1202049905</v>
      </c>
      <c r="G947" t="s">
        <v>1557</v>
      </c>
      <c r="H947" t="s">
        <v>1495</v>
      </c>
      <c r="I947" t="s">
        <v>2141</v>
      </c>
      <c r="J947" t="s">
        <v>64</v>
      </c>
      <c r="K947">
        <v>7900016180</v>
      </c>
      <c r="L947" t="s">
        <v>1495</v>
      </c>
      <c r="M947" s="1860">
        <v>116209.96</v>
      </c>
      <c r="N947" s="1860">
        <v>4761.64005</v>
      </c>
      <c r="O947">
        <v>40</v>
      </c>
      <c r="P947" s="1633">
        <v>553350000</v>
      </c>
      <c r="Q947" t="s">
        <v>106</v>
      </c>
      <c r="R947" s="2392">
        <v>44917</v>
      </c>
      <c r="S947" s="2393">
        <f t="shared" si="62"/>
        <v>4761.6400000000003</v>
      </c>
      <c r="T947" s="2394">
        <f>IF(OR(J947="COP",J947="EURO",J947="GBP"),0,IF(J947="USD",VLOOKUP(R947,'TRM BanRep'!$A:$G,7,0)))</f>
        <v>4761.6400000000003</v>
      </c>
      <c r="U947" s="2395">
        <f t="shared" si="63"/>
        <v>0</v>
      </c>
      <c r="V947" s="2395" t="str">
        <f t="shared" si="59"/>
        <v/>
      </c>
    </row>
    <row r="948" spans="3:22" hidden="1">
      <c r="C948">
        <v>2022</v>
      </c>
      <c r="D948" t="s">
        <v>2102</v>
      </c>
      <c r="F948">
        <v>1202049905</v>
      </c>
      <c r="G948" t="s">
        <v>1557</v>
      </c>
      <c r="H948" t="s">
        <v>1495</v>
      </c>
      <c r="I948" t="s">
        <v>2142</v>
      </c>
      <c r="J948" t="s">
        <v>106</v>
      </c>
      <c r="K948">
        <v>7900016187</v>
      </c>
      <c r="L948" t="s">
        <v>1495</v>
      </c>
      <c r="M948" s="1633">
        <v>-553350000</v>
      </c>
      <c r="N948">
        <v>1</v>
      </c>
      <c r="O948">
        <v>50</v>
      </c>
      <c r="P948" s="1633">
        <v>-553350000</v>
      </c>
      <c r="Q948" t="s">
        <v>106</v>
      </c>
      <c r="R948" s="2392">
        <v>44917</v>
      </c>
      <c r="S948" s="2393">
        <f t="shared" si="62"/>
        <v>1</v>
      </c>
      <c r="T948" s="2394">
        <f>IF(OR(J948="COP",J948="EURO",J948="GBP"),0,IF(J948="USD",VLOOKUP(R948,'TRM BanRep'!$A:$G,7,0)))</f>
        <v>0</v>
      </c>
      <c r="U948" s="2395">
        <f t="shared" si="63"/>
        <v>0</v>
      </c>
      <c r="V948" s="2395" t="str">
        <f t="shared" si="59"/>
        <v/>
      </c>
    </row>
    <row r="949" spans="3:22" hidden="1">
      <c r="C949">
        <v>2022</v>
      </c>
      <c r="D949" t="s">
        <v>2102</v>
      </c>
      <c r="F949">
        <v>1202049905</v>
      </c>
      <c r="G949" t="s">
        <v>1557</v>
      </c>
      <c r="H949" t="s">
        <v>1495</v>
      </c>
      <c r="I949" t="s">
        <v>2143</v>
      </c>
      <c r="J949" t="s">
        <v>64</v>
      </c>
      <c r="K949">
        <v>7900016188</v>
      </c>
      <c r="L949" t="s">
        <v>1495</v>
      </c>
      <c r="M949" s="1860">
        <v>116209.96</v>
      </c>
      <c r="N949" s="1860">
        <v>4761.64005</v>
      </c>
      <c r="O949">
        <v>40</v>
      </c>
      <c r="P949" s="1633">
        <v>553350000</v>
      </c>
      <c r="Q949" t="s">
        <v>106</v>
      </c>
      <c r="R949" s="2392">
        <v>44917</v>
      </c>
      <c r="S949" s="2393">
        <f t="shared" si="62"/>
        <v>4761.6400000000003</v>
      </c>
      <c r="T949" s="2394">
        <f>IF(OR(J949="COP",J949="EURO",J949="GBP"),0,IF(J949="USD",VLOOKUP(R949,'TRM BanRep'!$A:$G,7,0)))</f>
        <v>4761.6400000000003</v>
      </c>
      <c r="U949" s="2395">
        <f t="shared" si="63"/>
        <v>0</v>
      </c>
      <c r="V949" s="2395" t="str">
        <f t="shared" si="59"/>
        <v/>
      </c>
    </row>
    <row r="950" spans="3:22" hidden="1">
      <c r="C950">
        <v>2022</v>
      </c>
      <c r="D950" t="s">
        <v>2102</v>
      </c>
      <c r="F950">
        <v>1202049905</v>
      </c>
      <c r="G950" t="s">
        <v>1557</v>
      </c>
      <c r="H950" t="s">
        <v>1495</v>
      </c>
      <c r="I950" t="s">
        <v>2144</v>
      </c>
      <c r="J950" t="s">
        <v>106</v>
      </c>
      <c r="K950">
        <v>7900016552</v>
      </c>
      <c r="L950" t="s">
        <v>1495</v>
      </c>
      <c r="M950" s="1633">
        <v>-73172122</v>
      </c>
      <c r="N950">
        <v>1</v>
      </c>
      <c r="O950">
        <v>50</v>
      </c>
      <c r="P950" s="1633">
        <v>-73172122</v>
      </c>
      <c r="Q950" t="s">
        <v>106</v>
      </c>
      <c r="R950" s="2392">
        <v>44917</v>
      </c>
      <c r="S950" s="2393">
        <f t="shared" si="62"/>
        <v>1</v>
      </c>
      <c r="T950" s="2394">
        <f>IF(OR(J950="COP",J950="EURO",J950="GBP"),0,IF(J950="USD",VLOOKUP(R950,'TRM BanRep'!$A:$G,7,0)))</f>
        <v>0</v>
      </c>
      <c r="U950" s="2395">
        <f t="shared" si="63"/>
        <v>0</v>
      </c>
      <c r="V950" s="2395" t="str">
        <f t="shared" si="59"/>
        <v/>
      </c>
    </row>
    <row r="951" spans="3:22" hidden="1">
      <c r="C951">
        <v>2022</v>
      </c>
      <c r="D951" t="s">
        <v>2102</v>
      </c>
      <c r="F951">
        <v>1202049905</v>
      </c>
      <c r="G951" t="s">
        <v>1557</v>
      </c>
      <c r="H951" t="s">
        <v>1495</v>
      </c>
      <c r="I951" t="s">
        <v>2145</v>
      </c>
      <c r="J951" t="s">
        <v>64</v>
      </c>
      <c r="K951">
        <v>7900016553</v>
      </c>
      <c r="L951" t="s">
        <v>1495</v>
      </c>
      <c r="M951" s="1860">
        <v>15367</v>
      </c>
      <c r="N951" s="1860">
        <v>4761.6400100000001</v>
      </c>
      <c r="O951">
        <v>40</v>
      </c>
      <c r="P951" s="1633">
        <v>73172122</v>
      </c>
      <c r="Q951" t="s">
        <v>106</v>
      </c>
      <c r="R951" s="2392">
        <v>44917</v>
      </c>
      <c r="S951" s="2393">
        <f t="shared" si="62"/>
        <v>4761.6400000000003</v>
      </c>
      <c r="T951" s="2394">
        <f>IF(OR(J951="COP",J951="EURO",J951="GBP"),0,IF(J951="USD",VLOOKUP(R951,'TRM BanRep'!$A:$G,7,0)))</f>
        <v>4761.6400000000003</v>
      </c>
      <c r="U951" s="2395">
        <f t="shared" si="63"/>
        <v>0</v>
      </c>
      <c r="V951" s="2395" t="str">
        <f t="shared" si="59"/>
        <v/>
      </c>
    </row>
    <row r="952" spans="3:22" hidden="1">
      <c r="C952">
        <v>2022</v>
      </c>
      <c r="D952" t="s">
        <v>2102</v>
      </c>
      <c r="F952">
        <v>1202049905</v>
      </c>
      <c r="G952" t="s">
        <v>1557</v>
      </c>
      <c r="H952" t="s">
        <v>2146</v>
      </c>
      <c r="I952" t="s">
        <v>2147</v>
      </c>
      <c r="J952" t="s">
        <v>64</v>
      </c>
      <c r="K952">
        <v>7900016303</v>
      </c>
      <c r="L952" t="s">
        <v>2146</v>
      </c>
      <c r="M952" s="1860">
        <v>-53000000</v>
      </c>
      <c r="N952" s="1860">
        <v>4761.6400000000003</v>
      </c>
      <c r="O952">
        <v>50</v>
      </c>
      <c r="P952" s="1633">
        <v>-252366920000</v>
      </c>
      <c r="Q952" t="s">
        <v>106</v>
      </c>
      <c r="R952" s="2392">
        <v>44918</v>
      </c>
      <c r="S952" s="2393">
        <f t="shared" si="62"/>
        <v>4761.6400000000003</v>
      </c>
      <c r="T952" s="2394">
        <f>IF(OR(J952="COP",J952="EURO",J952="GBP"),0,IF(J952="USD",VLOOKUP(R952,'TRM BanRep'!$A:$G,7,0)))</f>
        <v>4760.6099999999997</v>
      </c>
      <c r="U952" s="2407">
        <f t="shared" si="63"/>
        <v>54590000.000034705</v>
      </c>
      <c r="V952" s="2396" t="str">
        <f t="shared" si="59"/>
        <v>2-GASTO</v>
      </c>
    </row>
    <row r="953" spans="3:22" hidden="1">
      <c r="C953">
        <v>2022</v>
      </c>
      <c r="D953" t="s">
        <v>2102</v>
      </c>
      <c r="F953">
        <v>1202049905</v>
      </c>
      <c r="G953" t="s">
        <v>1557</v>
      </c>
      <c r="H953" t="s">
        <v>2146</v>
      </c>
      <c r="I953" t="s">
        <v>2148</v>
      </c>
      <c r="J953" t="s">
        <v>106</v>
      </c>
      <c r="K953">
        <v>7900016304</v>
      </c>
      <c r="L953" t="s">
        <v>2146</v>
      </c>
      <c r="M953" s="1633">
        <v>252366920000</v>
      </c>
      <c r="N953">
        <v>1</v>
      </c>
      <c r="O953">
        <v>40</v>
      </c>
      <c r="P953" s="1633">
        <v>252366920000</v>
      </c>
      <c r="Q953" t="s">
        <v>106</v>
      </c>
      <c r="R953" s="2392">
        <v>44918</v>
      </c>
      <c r="S953" s="2393">
        <f t="shared" si="62"/>
        <v>1</v>
      </c>
      <c r="T953" s="2394">
        <f>IF(OR(J953="COP",J953="EURO",J953="GBP"),0,IF(J953="USD",VLOOKUP(R953,'TRM BanRep'!$A:$G,7,0)))</f>
        <v>0</v>
      </c>
      <c r="U953" s="2395">
        <f t="shared" si="63"/>
        <v>0</v>
      </c>
      <c r="V953" s="2395" t="str">
        <f t="shared" si="59"/>
        <v/>
      </c>
    </row>
    <row r="954" spans="3:22" hidden="1">
      <c r="C954">
        <v>2022</v>
      </c>
      <c r="D954" t="s">
        <v>2102</v>
      </c>
      <c r="F954">
        <v>1202049905</v>
      </c>
      <c r="G954" t="s">
        <v>1557</v>
      </c>
      <c r="H954" t="s">
        <v>2149</v>
      </c>
      <c r="I954" t="s">
        <v>2150</v>
      </c>
      <c r="J954" t="s">
        <v>106</v>
      </c>
      <c r="K954">
        <v>7900016223</v>
      </c>
      <c r="L954" t="s">
        <v>2149</v>
      </c>
      <c r="M954" s="1633">
        <v>-418933679978</v>
      </c>
      <c r="N954">
        <v>1</v>
      </c>
      <c r="O954">
        <v>50</v>
      </c>
      <c r="P954" s="1633">
        <v>-418933679978</v>
      </c>
      <c r="Q954" t="s">
        <v>106</v>
      </c>
      <c r="R954" s="2392">
        <v>44922</v>
      </c>
      <c r="S954" s="2393">
        <f t="shared" si="62"/>
        <v>1</v>
      </c>
      <c r="T954" s="2394">
        <f>IF(OR(J954="COP",J954="EURO",J954="GBP"),0,IF(J954="USD",VLOOKUP(R954,'TRM BanRep'!$A:$G,7,0)))</f>
        <v>0</v>
      </c>
      <c r="U954" s="2395">
        <f t="shared" si="63"/>
        <v>0</v>
      </c>
      <c r="V954" s="2395" t="str">
        <f t="shared" si="59"/>
        <v/>
      </c>
    </row>
    <row r="955" spans="3:22" hidden="1">
      <c r="C955">
        <v>2022</v>
      </c>
      <c r="D955" t="s">
        <v>2102</v>
      </c>
      <c r="F955">
        <v>1202049905</v>
      </c>
      <c r="G955" t="s">
        <v>1557</v>
      </c>
      <c r="H955" t="s">
        <v>2149</v>
      </c>
      <c r="I955" t="s">
        <v>2151</v>
      </c>
      <c r="J955" t="s">
        <v>64</v>
      </c>
      <c r="K955">
        <v>7900016224</v>
      </c>
      <c r="L955" t="s">
        <v>2149</v>
      </c>
      <c r="M955" s="1860">
        <v>88000000</v>
      </c>
      <c r="N955" s="1860">
        <v>4760.6099999999997</v>
      </c>
      <c r="O955">
        <v>40</v>
      </c>
      <c r="P955" s="1633">
        <v>418933679978</v>
      </c>
      <c r="Q955" t="s">
        <v>106</v>
      </c>
      <c r="R955" s="2392">
        <v>44922</v>
      </c>
      <c r="S955" s="2393">
        <f t="shared" si="62"/>
        <v>4760.6099999999997</v>
      </c>
      <c r="T955" s="2394">
        <f>IF(OR(J955="COP",J955="EURO",J955="GBP"),0,IF(J955="USD",VLOOKUP(R955,'TRM BanRep'!$A:$G,7,0)))</f>
        <v>4745.04</v>
      </c>
      <c r="U955" s="2405">
        <f t="shared" si="63"/>
        <v>-1370159999.9999745</v>
      </c>
      <c r="V955" s="2397" t="str">
        <f t="shared" si="59"/>
        <v>1-INGRESO</v>
      </c>
    </row>
    <row r="956" spans="3:22" hidden="1">
      <c r="C956">
        <v>2022</v>
      </c>
      <c r="D956" t="s">
        <v>2102</v>
      </c>
      <c r="F956">
        <v>1202049905</v>
      </c>
      <c r="G956" t="s">
        <v>1557</v>
      </c>
      <c r="H956" t="s">
        <v>2152</v>
      </c>
      <c r="I956" t="s">
        <v>2153</v>
      </c>
      <c r="J956" t="s">
        <v>106</v>
      </c>
      <c r="K956">
        <v>7900016346</v>
      </c>
      <c r="L956" t="s">
        <v>2152</v>
      </c>
      <c r="M956" s="1633">
        <v>-7658486223</v>
      </c>
      <c r="N956">
        <v>1</v>
      </c>
      <c r="O956">
        <v>50</v>
      </c>
      <c r="P956" s="1633">
        <v>-7658486223</v>
      </c>
      <c r="Q956" t="s">
        <v>106</v>
      </c>
      <c r="R956" s="2392">
        <v>44923</v>
      </c>
      <c r="S956" s="2393">
        <f t="shared" si="62"/>
        <v>1</v>
      </c>
      <c r="T956" s="2394">
        <f>IF(OR(J956="COP",J956="EURO",J956="GBP"),0,IF(J956="USD",VLOOKUP(R956,'TRM BanRep'!$A:$G,7,0)))</f>
        <v>0</v>
      </c>
      <c r="U956" s="2395">
        <f t="shared" si="63"/>
        <v>0</v>
      </c>
      <c r="V956" s="2395" t="str">
        <f t="shared" si="59"/>
        <v/>
      </c>
    </row>
    <row r="957" spans="3:22" hidden="1">
      <c r="C957">
        <v>2022</v>
      </c>
      <c r="D957" t="s">
        <v>2102</v>
      </c>
      <c r="F957">
        <v>1202049905</v>
      </c>
      <c r="G957" t="s">
        <v>1557</v>
      </c>
      <c r="H957" t="s">
        <v>2152</v>
      </c>
      <c r="I957" t="s">
        <v>2154</v>
      </c>
      <c r="J957" t="s">
        <v>64</v>
      </c>
      <c r="K957">
        <v>7900016347</v>
      </c>
      <c r="L957" t="s">
        <v>2152</v>
      </c>
      <c r="M957" s="1860">
        <v>1608719.52</v>
      </c>
      <c r="N957" s="1860">
        <v>4760.6099899999999</v>
      </c>
      <c r="O957">
        <v>40</v>
      </c>
      <c r="P957" s="1633">
        <v>7658486223</v>
      </c>
      <c r="Q957" t="s">
        <v>106</v>
      </c>
      <c r="R957" s="2392">
        <v>44923</v>
      </c>
      <c r="S957" s="2393">
        <f t="shared" si="62"/>
        <v>4760.6099999999997</v>
      </c>
      <c r="T957" s="2394">
        <f>IF(OR(J957="COP",J957="EURO",J957="GBP"),0,IF(J957="USD",VLOOKUP(R957,'TRM BanRep'!$A:$G,7,0)))</f>
        <v>4766.82</v>
      </c>
      <c r="U957" s="2407">
        <f t="shared" si="63"/>
        <v>9990148.2192000579</v>
      </c>
      <c r="V957" s="2396" t="str">
        <f t="shared" si="59"/>
        <v>2-GASTO</v>
      </c>
    </row>
    <row r="958" spans="3:22" hidden="1">
      <c r="C958">
        <v>2022</v>
      </c>
      <c r="D958" t="s">
        <v>2102</v>
      </c>
      <c r="F958">
        <v>1202049905</v>
      </c>
      <c r="G958" t="s">
        <v>1557</v>
      </c>
      <c r="H958" t="s">
        <v>2152</v>
      </c>
      <c r="I958" t="s">
        <v>2155</v>
      </c>
      <c r="J958" t="s">
        <v>106</v>
      </c>
      <c r="K958">
        <v>7900016354</v>
      </c>
      <c r="L958" t="s">
        <v>2152</v>
      </c>
      <c r="M958" s="1633">
        <v>-12572303799</v>
      </c>
      <c r="N958">
        <v>1</v>
      </c>
      <c r="O958">
        <v>50</v>
      </c>
      <c r="P958" s="1633">
        <v>-12572303799</v>
      </c>
      <c r="Q958" t="s">
        <v>106</v>
      </c>
      <c r="R958" s="2392">
        <v>44923</v>
      </c>
      <c r="S958" s="2393">
        <f t="shared" si="62"/>
        <v>1</v>
      </c>
      <c r="T958" s="2394">
        <f>IF(OR(J958="COP",J958="EURO",J958="GBP"),0,IF(J958="USD",VLOOKUP(R958,'TRM BanRep'!$A:$G,7,0)))</f>
        <v>0</v>
      </c>
      <c r="U958" s="2395">
        <f t="shared" si="63"/>
        <v>0</v>
      </c>
      <c r="V958" s="2395" t="str">
        <f t="shared" si="59"/>
        <v/>
      </c>
    </row>
    <row r="959" spans="3:22" hidden="1">
      <c r="C959">
        <v>2022</v>
      </c>
      <c r="D959" t="s">
        <v>2102</v>
      </c>
      <c r="F959">
        <v>1202049905</v>
      </c>
      <c r="G959" t="s">
        <v>1557</v>
      </c>
      <c r="H959" t="s">
        <v>2152</v>
      </c>
      <c r="I959" t="s">
        <v>2156</v>
      </c>
      <c r="J959" t="s">
        <v>64</v>
      </c>
      <c r="K959">
        <v>7900016355</v>
      </c>
      <c r="L959" t="s">
        <v>2152</v>
      </c>
      <c r="M959" s="1860">
        <v>2640901.86</v>
      </c>
      <c r="N959" s="1860">
        <v>4760.6099999999997</v>
      </c>
      <c r="O959">
        <v>40</v>
      </c>
      <c r="P959" s="1633">
        <v>12572303799</v>
      </c>
      <c r="Q959" t="s">
        <v>106</v>
      </c>
      <c r="R959" s="2392">
        <v>44923</v>
      </c>
      <c r="S959" s="2393">
        <f t="shared" si="62"/>
        <v>4760.6099999999997</v>
      </c>
      <c r="T959" s="2394">
        <f>IF(OR(J959="COP",J959="EURO",J959="GBP"),0,IF(J959="USD",VLOOKUP(R959,'TRM BanRep'!$A:$G,7,0)))</f>
        <v>4766.82</v>
      </c>
      <c r="U959" s="2407">
        <f t="shared" si="63"/>
        <v>16400000.550600095</v>
      </c>
      <c r="V959" s="2396" t="str">
        <f t="shared" si="59"/>
        <v>2-GASTO</v>
      </c>
    </row>
    <row r="960" spans="3:22" hidden="1">
      <c r="C960">
        <v>2022</v>
      </c>
      <c r="D960" t="s">
        <v>2102</v>
      </c>
      <c r="F960">
        <v>2422999997</v>
      </c>
      <c r="G960" t="s">
        <v>1602</v>
      </c>
      <c r="H960" t="s">
        <v>2103</v>
      </c>
      <c r="I960" t="s">
        <v>2157</v>
      </c>
      <c r="J960" t="s">
        <v>106</v>
      </c>
      <c r="K960">
        <v>7900016038</v>
      </c>
      <c r="L960" t="s">
        <v>2103</v>
      </c>
      <c r="M960" s="1633">
        <v>-21393154463</v>
      </c>
      <c r="N960">
        <v>1</v>
      </c>
      <c r="O960">
        <v>50</v>
      </c>
      <c r="P960" s="1633">
        <v>-21393154463</v>
      </c>
      <c r="Q960" t="s">
        <v>106</v>
      </c>
      <c r="R960" s="2392">
        <v>44896</v>
      </c>
      <c r="S960" s="2393">
        <f t="shared" si="62"/>
        <v>1</v>
      </c>
      <c r="T960" s="2394">
        <f>IF(OR(J960="COP",J960="EURO",J960="GBP"),0,IF(J960="USD",VLOOKUP(R960,'TRM BanRep'!$A:$G,7,0)))</f>
        <v>0</v>
      </c>
      <c r="U960" s="2395">
        <f t="shared" si="63"/>
        <v>0</v>
      </c>
      <c r="V960" s="2395" t="str">
        <f t="shared" si="59"/>
        <v/>
      </c>
    </row>
    <row r="961" spans="3:22" hidden="1">
      <c r="C961">
        <v>2022</v>
      </c>
      <c r="D961" t="s">
        <v>2102</v>
      </c>
      <c r="F961">
        <v>2422999997</v>
      </c>
      <c r="G961" t="s">
        <v>1602</v>
      </c>
      <c r="H961" t="s">
        <v>2106</v>
      </c>
      <c r="I961" t="s">
        <v>2158</v>
      </c>
      <c r="J961" t="s">
        <v>106</v>
      </c>
      <c r="K961">
        <v>7900016057</v>
      </c>
      <c r="L961" t="s">
        <v>2106</v>
      </c>
      <c r="M961" s="1633">
        <v>-56072291894</v>
      </c>
      <c r="N961">
        <v>1</v>
      </c>
      <c r="O961">
        <v>50</v>
      </c>
      <c r="P961" s="1633">
        <v>-56072291894</v>
      </c>
      <c r="Q961" t="s">
        <v>106</v>
      </c>
      <c r="R961" s="2392">
        <v>44897</v>
      </c>
      <c r="S961" s="2393">
        <f t="shared" si="62"/>
        <v>1</v>
      </c>
      <c r="T961" s="2394">
        <f>IF(OR(J961="COP",J961="EURO",J961="GBP"),0,IF(J961="USD",VLOOKUP(R961,'TRM BanRep'!$A:$G,7,0)))</f>
        <v>0</v>
      </c>
      <c r="U961" s="2395">
        <f t="shared" si="63"/>
        <v>0</v>
      </c>
      <c r="V961" s="2395" t="str">
        <f t="shared" si="59"/>
        <v/>
      </c>
    </row>
    <row r="962" spans="3:22" hidden="1">
      <c r="C962">
        <v>2022</v>
      </c>
      <c r="D962" t="s">
        <v>2102</v>
      </c>
      <c r="F962">
        <v>2422999997</v>
      </c>
      <c r="G962" t="s">
        <v>1557</v>
      </c>
      <c r="H962" t="s">
        <v>2106</v>
      </c>
      <c r="I962" t="s">
        <v>2110</v>
      </c>
      <c r="J962" t="s">
        <v>106</v>
      </c>
      <c r="K962">
        <v>7900016076</v>
      </c>
      <c r="L962" t="s">
        <v>2106</v>
      </c>
      <c r="M962" s="1633">
        <v>-4772000010</v>
      </c>
      <c r="N962">
        <v>1</v>
      </c>
      <c r="O962">
        <v>50</v>
      </c>
      <c r="P962" s="1633">
        <v>-4772000010</v>
      </c>
      <c r="Q962" t="s">
        <v>106</v>
      </c>
      <c r="R962" s="2392">
        <v>44897</v>
      </c>
      <c r="S962" s="2393">
        <f t="shared" si="62"/>
        <v>1</v>
      </c>
      <c r="T962" s="2394">
        <f>IF(OR(J962="COP",J962="EURO",J962="GBP"),0,IF(J962="USD",VLOOKUP(R962,'TRM BanRep'!$A:$G,7,0)))</f>
        <v>0</v>
      </c>
      <c r="U962" s="2395">
        <f t="shared" si="63"/>
        <v>0</v>
      </c>
      <c r="V962" s="2395" t="str">
        <f t="shared" si="59"/>
        <v/>
      </c>
    </row>
    <row r="963" spans="3:22" hidden="1">
      <c r="C963">
        <v>2022</v>
      </c>
      <c r="D963" t="s">
        <v>2102</v>
      </c>
      <c r="F963">
        <v>2422999997</v>
      </c>
      <c r="G963" t="s">
        <v>1557</v>
      </c>
      <c r="H963" t="s">
        <v>2114</v>
      </c>
      <c r="I963" t="s">
        <v>2116</v>
      </c>
      <c r="J963" t="s">
        <v>64</v>
      </c>
      <c r="K963">
        <v>7900015954</v>
      </c>
      <c r="L963" t="s">
        <v>2114</v>
      </c>
      <c r="M963" s="1860">
        <v>-1000963.3</v>
      </c>
      <c r="N963" s="1860">
        <v>4767.1899599999997</v>
      </c>
      <c r="O963">
        <v>50</v>
      </c>
      <c r="P963" s="1633">
        <v>-4771782198</v>
      </c>
      <c r="Q963" t="s">
        <v>106</v>
      </c>
      <c r="R963" s="2392">
        <v>44901</v>
      </c>
      <c r="S963" s="2393">
        <f t="shared" si="62"/>
        <v>4767.1899999999996</v>
      </c>
      <c r="T963" s="2394">
        <f>IF(OR(J963="COP",J963="EURO",J963="GBP"),0,IF(J963="USD",VLOOKUP(R963,'TRM BanRep'!$A:$G,7,0)))</f>
        <v>4812.37</v>
      </c>
      <c r="U963" s="2395">
        <f t="shared" si="63"/>
        <v>45223521.894000292</v>
      </c>
      <c r="V963" s="2396" t="str">
        <f t="shared" si="59"/>
        <v>2-GASTO</v>
      </c>
    </row>
    <row r="964" spans="3:22" hidden="1">
      <c r="C964">
        <v>2022</v>
      </c>
      <c r="D964" t="s">
        <v>2102</v>
      </c>
      <c r="F964">
        <v>2422999997</v>
      </c>
      <c r="G964" t="s">
        <v>1557</v>
      </c>
      <c r="H964" t="s">
        <v>2117</v>
      </c>
      <c r="I964" t="s">
        <v>2119</v>
      </c>
      <c r="J964" t="s">
        <v>106</v>
      </c>
      <c r="K964">
        <v>7900016152</v>
      </c>
      <c r="L964" t="s">
        <v>2117</v>
      </c>
      <c r="M964" s="1633">
        <v>-58100000009</v>
      </c>
      <c r="N964">
        <v>1</v>
      </c>
      <c r="O964">
        <v>50</v>
      </c>
      <c r="P964" s="1633">
        <v>-58100000009</v>
      </c>
      <c r="Q964" t="s">
        <v>106</v>
      </c>
      <c r="R964" s="2392">
        <v>44902</v>
      </c>
      <c r="S964" s="2393">
        <f t="shared" si="62"/>
        <v>1</v>
      </c>
      <c r="T964" s="2394">
        <f>IF(OR(J964="COP",J964="EURO",J964="GBP"),0,IF(J964="USD",VLOOKUP(R964,'TRM BanRep'!$A:$G,7,0)))</f>
        <v>0</v>
      </c>
      <c r="U964" s="2395">
        <f t="shared" si="63"/>
        <v>0</v>
      </c>
      <c r="V964" s="2395" t="str">
        <f t="shared" si="59"/>
        <v/>
      </c>
    </row>
    <row r="965" spans="3:22" hidden="1">
      <c r="C965">
        <v>2022</v>
      </c>
      <c r="D965" t="s">
        <v>2102</v>
      </c>
      <c r="F965">
        <v>2422999997</v>
      </c>
      <c r="G965" t="s">
        <v>1557</v>
      </c>
      <c r="H965" t="s">
        <v>2127</v>
      </c>
      <c r="I965" t="s">
        <v>2129</v>
      </c>
      <c r="J965" t="s">
        <v>64</v>
      </c>
      <c r="K965">
        <v>7900016014</v>
      </c>
      <c r="L965" t="s">
        <v>2127</v>
      </c>
      <c r="M965" s="1860">
        <v>-4214460.17</v>
      </c>
      <c r="N965" s="1860">
        <v>4825.83</v>
      </c>
      <c r="O965">
        <v>50</v>
      </c>
      <c r="P965" s="1633">
        <v>-20338268329</v>
      </c>
      <c r="Q965" t="s">
        <v>106</v>
      </c>
      <c r="R965" s="2392">
        <v>44907</v>
      </c>
      <c r="S965" s="2393">
        <f t="shared" si="62"/>
        <v>4825.83</v>
      </c>
      <c r="T965" s="2394">
        <f>IF(OR(J965="COP",J965="EURO",J965="GBP"),0,IF(J965="USD",VLOOKUP(R965,'TRM BanRep'!$A:$G,7,0)))</f>
        <v>4815.99</v>
      </c>
      <c r="U965" s="2395">
        <f t="shared" si="63"/>
        <v>-41470288.072800614</v>
      </c>
      <c r="V965" s="2397" t="str">
        <f t="shared" si="59"/>
        <v>1-INGRESO</v>
      </c>
    </row>
    <row r="966" spans="3:22" hidden="1">
      <c r="C966">
        <v>2022</v>
      </c>
      <c r="D966" t="s">
        <v>2102</v>
      </c>
      <c r="F966">
        <v>2422999997</v>
      </c>
      <c r="G966" t="s">
        <v>1557</v>
      </c>
      <c r="H966" t="s">
        <v>2127</v>
      </c>
      <c r="I966" t="s">
        <v>2131</v>
      </c>
      <c r="J966" t="s">
        <v>64</v>
      </c>
      <c r="K966">
        <v>7900016022</v>
      </c>
      <c r="L966" t="s">
        <v>2127</v>
      </c>
      <c r="M966" s="1860">
        <v>-7823415.6699999999</v>
      </c>
      <c r="N966" s="1860">
        <v>4825.83</v>
      </c>
      <c r="O966">
        <v>50</v>
      </c>
      <c r="P966" s="1633">
        <v>-37754474066</v>
      </c>
      <c r="Q966" t="s">
        <v>106</v>
      </c>
      <c r="R966" s="2392">
        <v>44907</v>
      </c>
      <c r="S966" s="2393">
        <f t="shared" si="62"/>
        <v>4825.83</v>
      </c>
      <c r="T966" s="2394">
        <f>IF(OR(J966="COP",J966="EURO",J966="GBP"),0,IF(J966="USD",VLOOKUP(R966,'TRM BanRep'!$A:$G,7,0)))</f>
        <v>4815.99</v>
      </c>
      <c r="U966" s="2395">
        <f t="shared" si="63"/>
        <v>-76982410.192801133</v>
      </c>
      <c r="V966" s="2397" t="str">
        <f t="shared" si="59"/>
        <v>1-INGRESO</v>
      </c>
    </row>
    <row r="967" spans="3:22" hidden="1">
      <c r="C967">
        <v>2022</v>
      </c>
      <c r="D967" t="s">
        <v>2102</v>
      </c>
      <c r="F967">
        <v>2422999997</v>
      </c>
      <c r="G967" t="s">
        <v>1557</v>
      </c>
      <c r="H967" t="s">
        <v>2135</v>
      </c>
      <c r="I967" t="s">
        <v>2137</v>
      </c>
      <c r="J967" t="s">
        <v>64</v>
      </c>
      <c r="K967">
        <v>7900016292</v>
      </c>
      <c r="L967" t="s">
        <v>2135</v>
      </c>
      <c r="M967" s="1860">
        <v>-400000</v>
      </c>
      <c r="N967" s="1860">
        <v>4802.4799999999996</v>
      </c>
      <c r="O967">
        <v>50</v>
      </c>
      <c r="P967" s="1633">
        <v>-1920992000</v>
      </c>
      <c r="Q967" t="s">
        <v>106</v>
      </c>
      <c r="R967" s="2392">
        <v>44914</v>
      </c>
      <c r="S967" s="2393">
        <f t="shared" si="62"/>
        <v>4802.4799999999996</v>
      </c>
      <c r="T967" s="2394">
        <f>IF(OR(J967="COP",J967="EURO",J967="GBP"),0,IF(J967="USD",VLOOKUP(R967,'TRM BanRep'!$A:$G,7,0)))</f>
        <v>4802.4799999999996</v>
      </c>
      <c r="U967" s="2395">
        <f t="shared" si="63"/>
        <v>0</v>
      </c>
      <c r="V967" s="2395" t="str">
        <f t="shared" ref="V967:V1030" si="64">IF(U967=0,"",IF(U967&gt;0,"2-GASTO","1-INGRESO"))</f>
        <v/>
      </c>
    </row>
    <row r="968" spans="3:22" hidden="1">
      <c r="C968">
        <v>2022</v>
      </c>
      <c r="D968" t="s">
        <v>2102</v>
      </c>
      <c r="F968">
        <v>2422999997</v>
      </c>
      <c r="G968" t="s">
        <v>1557</v>
      </c>
      <c r="H968" t="s">
        <v>1495</v>
      </c>
      <c r="I968" t="s">
        <v>2145</v>
      </c>
      <c r="J968" t="s">
        <v>64</v>
      </c>
      <c r="K968">
        <v>7900016553</v>
      </c>
      <c r="L968" t="s">
        <v>1495</v>
      </c>
      <c r="M968" s="1860">
        <v>-15367</v>
      </c>
      <c r="N968" s="1860">
        <v>4761.6400100000001</v>
      </c>
      <c r="O968">
        <v>50</v>
      </c>
      <c r="P968" s="1633">
        <v>-73172122</v>
      </c>
      <c r="Q968" t="s">
        <v>106</v>
      </c>
      <c r="R968" s="2392">
        <v>44917</v>
      </c>
      <c r="S968" s="2393">
        <f t="shared" si="62"/>
        <v>4761.6400000000003</v>
      </c>
      <c r="T968" s="2394">
        <f>IF(OR(J968="COP",J968="EURO",J968="GBP"),0,IF(J968="USD",VLOOKUP(R968,'TRM BanRep'!$A:$G,7,0)))</f>
        <v>4761.6400000000003</v>
      </c>
      <c r="U968" s="2395">
        <f t="shared" si="63"/>
        <v>0</v>
      </c>
      <c r="V968" s="2395" t="str">
        <f t="shared" si="64"/>
        <v/>
      </c>
    </row>
    <row r="969" spans="3:22" hidden="1">
      <c r="C969">
        <v>2022</v>
      </c>
      <c r="D969" t="s">
        <v>2102</v>
      </c>
      <c r="F969">
        <v>2422999997</v>
      </c>
      <c r="G969" t="s">
        <v>1557</v>
      </c>
      <c r="H969" t="s">
        <v>2149</v>
      </c>
      <c r="I969" t="s">
        <v>2151</v>
      </c>
      <c r="J969" t="s">
        <v>64</v>
      </c>
      <c r="K969">
        <v>7900016224</v>
      </c>
      <c r="L969" t="s">
        <v>2149</v>
      </c>
      <c r="M969" s="1860">
        <v>-88000000</v>
      </c>
      <c r="N969" s="1860">
        <v>4760.6099999999997</v>
      </c>
      <c r="O969">
        <v>50</v>
      </c>
      <c r="P969" s="1633">
        <v>-418933679978</v>
      </c>
      <c r="Q969" t="s">
        <v>106</v>
      </c>
      <c r="R969" s="2392">
        <v>44922</v>
      </c>
      <c r="S969" s="2393">
        <f t="shared" si="62"/>
        <v>4760.6099999999997</v>
      </c>
      <c r="T969" s="2394">
        <f>IF(OR(J969="COP",J969="EURO",J969="GBP"),0,IF(J969="USD",VLOOKUP(R969,'TRM BanRep'!$A:$G,7,0)))</f>
        <v>4745.04</v>
      </c>
      <c r="U969" s="2395">
        <f t="shared" si="63"/>
        <v>-1370159999.9999745</v>
      </c>
      <c r="V969" s="2397" t="str">
        <f t="shared" si="64"/>
        <v>1-INGRESO</v>
      </c>
    </row>
    <row r="970" spans="3:22" hidden="1">
      <c r="C970">
        <v>2022</v>
      </c>
      <c r="D970" t="s">
        <v>2102</v>
      </c>
      <c r="F970">
        <v>2422999997</v>
      </c>
      <c r="G970" t="s">
        <v>1557</v>
      </c>
      <c r="H970" t="s">
        <v>2152</v>
      </c>
      <c r="I970" t="s">
        <v>2154</v>
      </c>
      <c r="J970" t="s">
        <v>64</v>
      </c>
      <c r="K970">
        <v>7900016347</v>
      </c>
      <c r="L970" t="s">
        <v>2152</v>
      </c>
      <c r="M970" s="1860">
        <v>-1608719.52</v>
      </c>
      <c r="N970" s="1860">
        <v>4760.6099899999999</v>
      </c>
      <c r="O970">
        <v>50</v>
      </c>
      <c r="P970" s="1633">
        <v>-7658486223</v>
      </c>
      <c r="Q970" t="s">
        <v>106</v>
      </c>
      <c r="R970" s="2392">
        <v>44923</v>
      </c>
      <c r="S970" s="2393">
        <f t="shared" si="62"/>
        <v>4760.6099999999997</v>
      </c>
      <c r="T970" s="2394">
        <f>IF(OR(J970="COP",J970="EURO",J970="GBP"),0,IF(J970="USD",VLOOKUP(R970,'TRM BanRep'!$A:$G,7,0)))</f>
        <v>4766.82</v>
      </c>
      <c r="U970" s="2395">
        <f t="shared" si="63"/>
        <v>9990148.2192000579</v>
      </c>
      <c r="V970" s="2396" t="str">
        <f t="shared" si="64"/>
        <v>2-GASTO</v>
      </c>
    </row>
    <row r="971" spans="3:22" hidden="1">
      <c r="C971">
        <v>2022</v>
      </c>
      <c r="D971" t="s">
        <v>2102</v>
      </c>
      <c r="F971">
        <v>2422999997</v>
      </c>
      <c r="G971" t="s">
        <v>1557</v>
      </c>
      <c r="H971" t="s">
        <v>2152</v>
      </c>
      <c r="I971" t="s">
        <v>2156</v>
      </c>
      <c r="J971" t="s">
        <v>64</v>
      </c>
      <c r="K971">
        <v>7900016355</v>
      </c>
      <c r="L971" t="s">
        <v>2152</v>
      </c>
      <c r="M971" s="1860">
        <v>-2640901.86</v>
      </c>
      <c r="N971" s="1860">
        <v>4760.6099999999997</v>
      </c>
      <c r="O971">
        <v>50</v>
      </c>
      <c r="P971" s="1633">
        <v>-12572303799</v>
      </c>
      <c r="Q971" t="s">
        <v>106</v>
      </c>
      <c r="R971" s="2392">
        <v>44923</v>
      </c>
      <c r="S971" s="2393">
        <f t="shared" si="62"/>
        <v>4760.6099999999997</v>
      </c>
      <c r="T971" s="2394">
        <f>IF(OR(J971="COP",J971="EURO",J971="GBP"),0,IF(J971="USD",VLOOKUP(R971,'TRM BanRep'!$A:$G,7,0)))</f>
        <v>4766.82</v>
      </c>
      <c r="U971" s="2395">
        <f t="shared" si="63"/>
        <v>16400000.550600095</v>
      </c>
      <c r="V971" s="2396" t="str">
        <f t="shared" si="64"/>
        <v>2-GASTO</v>
      </c>
    </row>
    <row r="972" spans="3:22" hidden="1">
      <c r="C972">
        <v>2022</v>
      </c>
      <c r="D972" t="s">
        <v>2102</v>
      </c>
      <c r="F972">
        <v>2422999997</v>
      </c>
      <c r="G972" t="s">
        <v>1608</v>
      </c>
      <c r="H972" t="s">
        <v>2103</v>
      </c>
      <c r="J972" t="s">
        <v>106</v>
      </c>
      <c r="K972">
        <v>2000012520</v>
      </c>
      <c r="L972" t="s">
        <v>2103</v>
      </c>
      <c r="M972" s="1633">
        <v>21393154463</v>
      </c>
      <c r="N972">
        <v>1</v>
      </c>
      <c r="O972">
        <v>40</v>
      </c>
      <c r="P972" s="1633">
        <v>21393154463</v>
      </c>
      <c r="Q972" t="s">
        <v>106</v>
      </c>
      <c r="R972" s="2392">
        <v>44896</v>
      </c>
      <c r="S972" s="2393">
        <f t="shared" si="62"/>
        <v>1</v>
      </c>
      <c r="T972" s="2394">
        <f>IF(OR(J972="COP",J972="EURO",J972="GBP"),0,IF(J972="USD",VLOOKUP(R972,'TRM BanRep'!$A:$G,7,0)))</f>
        <v>0</v>
      </c>
      <c r="U972" s="2395">
        <f t="shared" si="63"/>
        <v>0</v>
      </c>
      <c r="V972" s="2395" t="str">
        <f t="shared" si="64"/>
        <v/>
      </c>
    </row>
    <row r="973" spans="3:22" hidden="1">
      <c r="C973">
        <v>2022</v>
      </c>
      <c r="D973" t="s">
        <v>2102</v>
      </c>
      <c r="F973">
        <v>2422999997</v>
      </c>
      <c r="G973" t="s">
        <v>1608</v>
      </c>
      <c r="H973" t="s">
        <v>2106</v>
      </c>
      <c r="J973" t="s">
        <v>64</v>
      </c>
      <c r="K973">
        <v>2000012000</v>
      </c>
      <c r="L973" t="s">
        <v>2106</v>
      </c>
      <c r="M973" s="1860">
        <v>8386.7999999999993</v>
      </c>
      <c r="N973" s="1860">
        <v>4779.0599499999998</v>
      </c>
      <c r="O973">
        <v>40</v>
      </c>
      <c r="P973" s="1633">
        <v>40081020</v>
      </c>
      <c r="Q973" t="s">
        <v>106</v>
      </c>
      <c r="R973" s="2392">
        <v>44897</v>
      </c>
      <c r="S973" s="2393">
        <f t="shared" si="62"/>
        <v>4779.0600000000004</v>
      </c>
      <c r="T973" s="2394">
        <f>IF(OR(J973="COP",J973="EURO",J973="GBP"),0,IF(J973="USD",VLOOKUP(R973,'TRM BanRep'!$A:$G,7,0)))</f>
        <v>4779.0600000000004</v>
      </c>
      <c r="U973" s="2395">
        <f t="shared" si="63"/>
        <v>0</v>
      </c>
      <c r="V973" s="2395" t="str">
        <f t="shared" si="64"/>
        <v/>
      </c>
    </row>
    <row r="974" spans="3:22" hidden="1">
      <c r="C974">
        <v>2022</v>
      </c>
      <c r="D974" t="s">
        <v>2102</v>
      </c>
      <c r="F974">
        <v>2422999997</v>
      </c>
      <c r="G974" t="s">
        <v>1608</v>
      </c>
      <c r="H974" t="s">
        <v>2106</v>
      </c>
      <c r="J974" t="s">
        <v>106</v>
      </c>
      <c r="K974">
        <v>2000012524</v>
      </c>
      <c r="L974" t="s">
        <v>2106</v>
      </c>
      <c r="M974" s="1633">
        <v>56072291894</v>
      </c>
      <c r="N974">
        <v>1</v>
      </c>
      <c r="O974">
        <v>40</v>
      </c>
      <c r="P974" s="1633">
        <v>56072291894</v>
      </c>
      <c r="Q974" t="s">
        <v>106</v>
      </c>
      <c r="R974" s="2392">
        <v>44897</v>
      </c>
      <c r="S974" s="2393">
        <f t="shared" si="62"/>
        <v>1</v>
      </c>
      <c r="T974" s="2394">
        <f>IF(OR(J974="COP",J974="EURO",J974="GBP"),0,IF(J974="USD",VLOOKUP(R974,'TRM BanRep'!$A:$G,7,0)))</f>
        <v>0</v>
      </c>
      <c r="U974" s="2395">
        <f t="shared" si="63"/>
        <v>0</v>
      </c>
      <c r="V974" s="2395" t="str">
        <f t="shared" si="64"/>
        <v/>
      </c>
    </row>
    <row r="975" spans="3:22" hidden="1">
      <c r="C975">
        <v>2022</v>
      </c>
      <c r="D975" t="s">
        <v>2102</v>
      </c>
      <c r="F975">
        <v>2422999997</v>
      </c>
      <c r="G975" t="s">
        <v>1608</v>
      </c>
      <c r="H975" t="s">
        <v>2106</v>
      </c>
      <c r="J975" t="s">
        <v>106</v>
      </c>
      <c r="K975">
        <v>2000012525</v>
      </c>
      <c r="L975" t="s">
        <v>2106</v>
      </c>
      <c r="M975" s="1633">
        <v>4772000010</v>
      </c>
      <c r="N975">
        <v>1</v>
      </c>
      <c r="O975">
        <v>40</v>
      </c>
      <c r="P975" s="1633">
        <v>4772000010</v>
      </c>
      <c r="Q975" t="s">
        <v>106</v>
      </c>
      <c r="R975" s="2392">
        <v>44897</v>
      </c>
      <c r="S975" s="2393">
        <f t="shared" si="62"/>
        <v>1</v>
      </c>
      <c r="T975" s="2394">
        <f>IF(OR(J975="COP",J975="EURO",J975="GBP"),0,IF(J975="USD",VLOOKUP(R975,'TRM BanRep'!$A:$G,7,0)))</f>
        <v>0</v>
      </c>
      <c r="U975" s="2395">
        <f t="shared" si="63"/>
        <v>0</v>
      </c>
      <c r="V975" s="2395" t="str">
        <f t="shared" si="64"/>
        <v/>
      </c>
    </row>
    <row r="976" spans="3:22" hidden="1">
      <c r="C976">
        <v>2022</v>
      </c>
      <c r="D976" t="s">
        <v>2102</v>
      </c>
      <c r="F976">
        <v>2422999997</v>
      </c>
      <c r="G976" t="s">
        <v>1608</v>
      </c>
      <c r="H976" t="s">
        <v>2111</v>
      </c>
      <c r="J976" t="s">
        <v>106</v>
      </c>
      <c r="K976">
        <v>2000012004</v>
      </c>
      <c r="L976" t="s">
        <v>2111</v>
      </c>
      <c r="M976" s="1633">
        <v>12660219820</v>
      </c>
      <c r="N976">
        <v>1</v>
      </c>
      <c r="O976">
        <v>40</v>
      </c>
      <c r="P976" s="1633">
        <v>12660219820</v>
      </c>
      <c r="Q976" t="s">
        <v>106</v>
      </c>
      <c r="R976" s="2392">
        <v>44900</v>
      </c>
      <c r="S976" s="2393">
        <f t="shared" si="62"/>
        <v>1</v>
      </c>
      <c r="T976" s="2394">
        <f>IF(OR(J976="COP",J976="EURO",J976="GBP"),0,IF(J976="USD",VLOOKUP(R976,'TRM BanRep'!$A:$G,7,0)))</f>
        <v>0</v>
      </c>
      <c r="U976" s="2395">
        <f t="shared" si="63"/>
        <v>0</v>
      </c>
      <c r="V976" s="2395" t="str">
        <f t="shared" si="64"/>
        <v/>
      </c>
    </row>
    <row r="977" spans="3:22" hidden="1">
      <c r="C977">
        <v>2022</v>
      </c>
      <c r="D977" t="s">
        <v>2102</v>
      </c>
      <c r="F977">
        <v>2422999997</v>
      </c>
      <c r="G977" t="s">
        <v>1608</v>
      </c>
      <c r="H977" t="s">
        <v>2114</v>
      </c>
      <c r="J977" t="s">
        <v>64</v>
      </c>
      <c r="K977">
        <v>2000012056</v>
      </c>
      <c r="L977" t="s">
        <v>2114</v>
      </c>
      <c r="M977" s="1860">
        <v>1000963.3</v>
      </c>
      <c r="N977" s="1860">
        <v>4767.1899599999997</v>
      </c>
      <c r="O977">
        <v>40</v>
      </c>
      <c r="P977" s="1633">
        <v>4771782198</v>
      </c>
      <c r="Q977" t="s">
        <v>106</v>
      </c>
      <c r="R977" s="2392">
        <v>44901</v>
      </c>
      <c r="S977" s="2393">
        <f t="shared" si="62"/>
        <v>4767.1899999999996</v>
      </c>
      <c r="T977" s="2394">
        <f>IF(OR(J977="COP",J977="EURO",J977="GBP"),0,IF(J977="USD",VLOOKUP(R977,'TRM BanRep'!$A:$G,7,0)))</f>
        <v>4812.37</v>
      </c>
      <c r="U977" s="2395">
        <f t="shared" si="63"/>
        <v>-45223521.894000292</v>
      </c>
      <c r="V977" s="2397" t="str">
        <f t="shared" si="64"/>
        <v>1-INGRESO</v>
      </c>
    </row>
    <row r="978" spans="3:22" hidden="1">
      <c r="C978">
        <v>2022</v>
      </c>
      <c r="D978" t="s">
        <v>2102</v>
      </c>
      <c r="F978">
        <v>2422999997</v>
      </c>
      <c r="G978" t="s">
        <v>1608</v>
      </c>
      <c r="H978" t="s">
        <v>2114</v>
      </c>
      <c r="J978" t="s">
        <v>106</v>
      </c>
      <c r="K978">
        <v>2000012057</v>
      </c>
      <c r="L978" t="s">
        <v>2114</v>
      </c>
      <c r="M978" s="1633">
        <v>29155912436</v>
      </c>
      <c r="N978">
        <v>1</v>
      </c>
      <c r="O978">
        <v>40</v>
      </c>
      <c r="P978" s="1633">
        <v>29155912436</v>
      </c>
      <c r="Q978" t="s">
        <v>106</v>
      </c>
      <c r="R978" s="2392">
        <v>44901</v>
      </c>
      <c r="S978" s="2393">
        <f t="shared" si="62"/>
        <v>1</v>
      </c>
      <c r="T978" s="2394">
        <f>IF(OR(J978="COP",J978="EURO",J978="GBP"),0,IF(J978="USD",VLOOKUP(R978,'TRM BanRep'!$A:$G,7,0)))</f>
        <v>0</v>
      </c>
      <c r="U978" s="2395">
        <f t="shared" si="63"/>
        <v>0</v>
      </c>
      <c r="V978" s="2395" t="str">
        <f t="shared" si="64"/>
        <v/>
      </c>
    </row>
    <row r="979" spans="3:22" hidden="1">
      <c r="C979">
        <v>2022</v>
      </c>
      <c r="D979" t="s">
        <v>2102</v>
      </c>
      <c r="F979">
        <v>2422999997</v>
      </c>
      <c r="G979" t="s">
        <v>1608</v>
      </c>
      <c r="H979" t="s">
        <v>2117</v>
      </c>
      <c r="J979" t="s">
        <v>106</v>
      </c>
      <c r="K979">
        <v>2000012721</v>
      </c>
      <c r="L979" t="s">
        <v>2117</v>
      </c>
      <c r="M979" s="1633">
        <v>58100000009</v>
      </c>
      <c r="N979">
        <v>1</v>
      </c>
      <c r="O979">
        <v>40</v>
      </c>
      <c r="P979" s="1633">
        <v>58100000009</v>
      </c>
      <c r="Q979" t="s">
        <v>106</v>
      </c>
      <c r="R979" s="2392">
        <v>44902</v>
      </c>
      <c r="S979" s="2393">
        <f t="shared" si="62"/>
        <v>1</v>
      </c>
      <c r="T979" s="2394">
        <f>IF(OR(J979="COP",J979="EURO",J979="GBP"),0,IF(J979="USD",VLOOKUP(R979,'TRM BanRep'!$A:$G,7,0)))</f>
        <v>0</v>
      </c>
      <c r="U979" s="2395">
        <f t="shared" si="63"/>
        <v>0</v>
      </c>
      <c r="V979" s="2395" t="str">
        <f t="shared" si="64"/>
        <v/>
      </c>
    </row>
    <row r="980" spans="3:22" hidden="1">
      <c r="C980">
        <v>2022</v>
      </c>
      <c r="D980" t="s">
        <v>2102</v>
      </c>
      <c r="F980">
        <v>2422999997</v>
      </c>
      <c r="G980" t="s">
        <v>1608</v>
      </c>
      <c r="H980" t="s">
        <v>2127</v>
      </c>
      <c r="J980" t="s">
        <v>106</v>
      </c>
      <c r="K980">
        <v>2000012410</v>
      </c>
      <c r="L980" t="s">
        <v>2127</v>
      </c>
      <c r="M980" s="1633">
        <v>3005527778</v>
      </c>
      <c r="N980">
        <v>1</v>
      </c>
      <c r="O980">
        <v>40</v>
      </c>
      <c r="P980" s="1633">
        <v>3005527778</v>
      </c>
      <c r="Q980" t="s">
        <v>106</v>
      </c>
      <c r="R980" s="2392">
        <v>44907</v>
      </c>
      <c r="S980" s="2393">
        <f t="shared" si="62"/>
        <v>1</v>
      </c>
      <c r="T980" s="2394">
        <f>IF(OR(J980="COP",J980="EURO",J980="GBP"),0,IF(J980="USD",VLOOKUP(R980,'TRM BanRep'!$A:$G,7,0)))</f>
        <v>0</v>
      </c>
      <c r="U980" s="2395">
        <f t="shared" si="63"/>
        <v>0</v>
      </c>
      <c r="V980" s="2395" t="str">
        <f t="shared" si="64"/>
        <v/>
      </c>
    </row>
    <row r="981" spans="3:22" hidden="1">
      <c r="C981">
        <v>2022</v>
      </c>
      <c r="D981" t="s">
        <v>2102</v>
      </c>
      <c r="F981">
        <v>2422999997</v>
      </c>
      <c r="G981" t="s">
        <v>1608</v>
      </c>
      <c r="H981" t="s">
        <v>2127</v>
      </c>
      <c r="J981" t="s">
        <v>64</v>
      </c>
      <c r="K981">
        <v>2000012432</v>
      </c>
      <c r="L981" t="s">
        <v>2127</v>
      </c>
      <c r="M981" s="1860">
        <v>4214460.17</v>
      </c>
      <c r="N981" s="1860">
        <v>4825.83</v>
      </c>
      <c r="O981">
        <v>40</v>
      </c>
      <c r="P981" s="1633">
        <v>20338268329</v>
      </c>
      <c r="Q981" t="s">
        <v>106</v>
      </c>
      <c r="R981" s="2392">
        <v>44907</v>
      </c>
      <c r="S981" s="2393">
        <f t="shared" si="62"/>
        <v>4825.83</v>
      </c>
      <c r="T981" s="2394">
        <f>IF(OR(J981="COP",J981="EURO",J981="GBP"),0,IF(J981="USD",VLOOKUP(R981,'TRM BanRep'!$A:$G,7,0)))</f>
        <v>4815.99</v>
      </c>
      <c r="U981" s="2395">
        <f t="shared" si="63"/>
        <v>41470288.072800614</v>
      </c>
      <c r="V981" s="2396" t="str">
        <f t="shared" si="64"/>
        <v>2-GASTO</v>
      </c>
    </row>
    <row r="982" spans="3:22" hidden="1">
      <c r="C982">
        <v>2022</v>
      </c>
      <c r="D982" t="s">
        <v>2102</v>
      </c>
      <c r="F982">
        <v>2422999997</v>
      </c>
      <c r="G982" t="s">
        <v>1608</v>
      </c>
      <c r="H982" t="s">
        <v>2127</v>
      </c>
      <c r="J982" t="s">
        <v>64</v>
      </c>
      <c r="K982">
        <v>2000012433</v>
      </c>
      <c r="L982" t="s">
        <v>2127</v>
      </c>
      <c r="M982" s="1860">
        <v>7823415.6699999999</v>
      </c>
      <c r="N982" s="1860">
        <v>4825.83</v>
      </c>
      <c r="O982">
        <v>40</v>
      </c>
      <c r="P982" s="1633">
        <v>37754474066</v>
      </c>
      <c r="Q982" t="s">
        <v>106</v>
      </c>
      <c r="R982" s="2392">
        <v>44907</v>
      </c>
      <c r="S982" s="2393">
        <f t="shared" ref="S982:S1003" si="65">+ROUND(P982/M982,2)</f>
        <v>4825.83</v>
      </c>
      <c r="T982" s="2394">
        <f>IF(OR(J982="COP",J982="EURO",J982="GBP"),0,IF(J982="USD",VLOOKUP(R982,'TRM BanRep'!$A:$G,7,0)))</f>
        <v>4815.99</v>
      </c>
      <c r="U982" s="2395">
        <f t="shared" ref="U982:U1003" si="66">IF(F982=2422999997,-IF(T982=0,0,(T982-S982)*M982),IF(T982=0,0,(T982-S982)*M982))</f>
        <v>76982410.192801133</v>
      </c>
      <c r="V982" s="2396" t="str">
        <f t="shared" si="64"/>
        <v>2-GASTO</v>
      </c>
    </row>
    <row r="983" spans="3:22" hidden="1">
      <c r="C983">
        <v>2022</v>
      </c>
      <c r="D983" t="s">
        <v>2102</v>
      </c>
      <c r="F983">
        <v>2422999997</v>
      </c>
      <c r="G983" t="s">
        <v>1608</v>
      </c>
      <c r="H983" t="s">
        <v>2159</v>
      </c>
      <c r="J983" t="s">
        <v>106</v>
      </c>
      <c r="K983">
        <v>2000012438</v>
      </c>
      <c r="L983" t="s">
        <v>2159</v>
      </c>
      <c r="M983" s="1633">
        <v>7485692178</v>
      </c>
      <c r="N983">
        <v>1</v>
      </c>
      <c r="O983">
        <v>40</v>
      </c>
      <c r="P983" s="1633">
        <v>7485692178</v>
      </c>
      <c r="Q983" t="s">
        <v>106</v>
      </c>
      <c r="R983" s="2392">
        <v>44908</v>
      </c>
      <c r="S983" s="2393">
        <f t="shared" si="65"/>
        <v>1</v>
      </c>
      <c r="T983" s="2394">
        <f>IF(OR(J983="COP",J983="EURO",J983="GBP"),0,IF(J983="USD",VLOOKUP(R983,'TRM BanRep'!$A:$G,7,0)))</f>
        <v>0</v>
      </c>
      <c r="U983" s="2395">
        <f t="shared" si="66"/>
        <v>0</v>
      </c>
      <c r="V983" s="2395" t="str">
        <f t="shared" si="64"/>
        <v/>
      </c>
    </row>
    <row r="984" spans="3:22" hidden="1">
      <c r="C984">
        <v>2022</v>
      </c>
      <c r="D984" t="s">
        <v>2102</v>
      </c>
      <c r="F984">
        <v>2422999997</v>
      </c>
      <c r="G984" t="s">
        <v>1608</v>
      </c>
      <c r="H984" t="s">
        <v>2160</v>
      </c>
      <c r="J984" t="s">
        <v>106</v>
      </c>
      <c r="K984">
        <v>2000012791</v>
      </c>
      <c r="L984" t="s">
        <v>2160</v>
      </c>
      <c r="M984" s="1633">
        <v>31996084</v>
      </c>
      <c r="N984">
        <v>1</v>
      </c>
      <c r="O984">
        <v>40</v>
      </c>
      <c r="P984" s="1633">
        <v>31996084</v>
      </c>
      <c r="Q984" t="s">
        <v>106</v>
      </c>
      <c r="R984" s="2392">
        <v>44916</v>
      </c>
      <c r="S984" s="2393">
        <f t="shared" si="65"/>
        <v>1</v>
      </c>
      <c r="T984" s="2394">
        <f>IF(OR(J984="COP",J984="EURO",J984="GBP"),0,IF(J984="USD",VLOOKUP(R984,'TRM BanRep'!$A:$G,7,0)))</f>
        <v>0</v>
      </c>
      <c r="U984" s="2395">
        <f t="shared" si="66"/>
        <v>0</v>
      </c>
      <c r="V984" s="2395" t="str">
        <f t="shared" si="64"/>
        <v/>
      </c>
    </row>
    <row r="985" spans="3:22" hidden="1">
      <c r="C985">
        <v>2022</v>
      </c>
      <c r="D985" t="s">
        <v>2102</v>
      </c>
      <c r="F985">
        <v>2422999997</v>
      </c>
      <c r="G985" t="s">
        <v>1608</v>
      </c>
      <c r="H985" t="s">
        <v>1495</v>
      </c>
      <c r="J985" t="s">
        <v>64</v>
      </c>
      <c r="K985">
        <v>2000013515</v>
      </c>
      <c r="L985" t="s">
        <v>1495</v>
      </c>
      <c r="M985" s="1860">
        <v>15367</v>
      </c>
      <c r="N985" s="1860">
        <v>4761.6400100000001</v>
      </c>
      <c r="O985">
        <v>40</v>
      </c>
      <c r="P985" s="1633">
        <v>73172122</v>
      </c>
      <c r="Q985" t="s">
        <v>106</v>
      </c>
      <c r="R985" s="2392">
        <v>44917</v>
      </c>
      <c r="S985" s="2393">
        <f t="shared" si="65"/>
        <v>4761.6400000000003</v>
      </c>
      <c r="T985" s="2394">
        <f>IF(OR(J985="COP",J985="EURO",J985="GBP"),0,IF(J985="USD",VLOOKUP(R985,'TRM BanRep'!$A:$G,7,0)))</f>
        <v>4761.6400000000003</v>
      </c>
      <c r="U985" s="2395">
        <f t="shared" si="66"/>
        <v>0</v>
      </c>
      <c r="V985" s="2395" t="str">
        <f t="shared" si="64"/>
        <v/>
      </c>
    </row>
    <row r="986" spans="3:22" hidden="1">
      <c r="C986">
        <v>2022</v>
      </c>
      <c r="D986" t="s">
        <v>2102</v>
      </c>
      <c r="F986">
        <v>2422999997</v>
      </c>
      <c r="G986" t="s">
        <v>1608</v>
      </c>
      <c r="H986" t="s">
        <v>2161</v>
      </c>
      <c r="J986" t="s">
        <v>106</v>
      </c>
      <c r="K986">
        <v>2000012899</v>
      </c>
      <c r="L986" t="s">
        <v>2161</v>
      </c>
      <c r="M986" s="1633">
        <v>3296727777</v>
      </c>
      <c r="N986">
        <v>1</v>
      </c>
      <c r="O986">
        <v>40</v>
      </c>
      <c r="P986" s="1633">
        <v>3296727777</v>
      </c>
      <c r="Q986" t="s">
        <v>106</v>
      </c>
      <c r="R986" s="2392">
        <v>44921</v>
      </c>
      <c r="S986" s="2393">
        <f t="shared" si="65"/>
        <v>1</v>
      </c>
      <c r="T986" s="2394">
        <f>IF(OR(J986="COP",J986="EURO",J986="GBP"),0,IF(J986="USD",VLOOKUP(R986,'TRM BanRep'!$A:$G,7,0)))</f>
        <v>0</v>
      </c>
      <c r="U986" s="2395">
        <f t="shared" si="66"/>
        <v>0</v>
      </c>
      <c r="V986" s="2395" t="str">
        <f t="shared" si="64"/>
        <v/>
      </c>
    </row>
    <row r="987" spans="3:22" hidden="1">
      <c r="C987">
        <v>2022</v>
      </c>
      <c r="D987" t="s">
        <v>2102</v>
      </c>
      <c r="F987">
        <v>2422999997</v>
      </c>
      <c r="G987" t="s">
        <v>1608</v>
      </c>
      <c r="H987" t="s">
        <v>2149</v>
      </c>
      <c r="J987" t="s">
        <v>64</v>
      </c>
      <c r="K987">
        <v>2000012999</v>
      </c>
      <c r="L987" t="s">
        <v>2149</v>
      </c>
      <c r="M987" s="1860">
        <v>88000000</v>
      </c>
      <c r="N987" s="1860">
        <v>4760.6099999999997</v>
      </c>
      <c r="O987">
        <v>40</v>
      </c>
      <c r="P987" s="1633">
        <v>418933679978</v>
      </c>
      <c r="Q987" t="s">
        <v>106</v>
      </c>
      <c r="R987" s="2392">
        <v>44922</v>
      </c>
      <c r="S987" s="2393">
        <f t="shared" si="65"/>
        <v>4760.6099999999997</v>
      </c>
      <c r="T987" s="2394">
        <f>IF(OR(J987="COP",J987="EURO",J987="GBP"),0,IF(J987="USD",VLOOKUP(R987,'TRM BanRep'!$A:$G,7,0)))</f>
        <v>4745.04</v>
      </c>
      <c r="U987" s="2395">
        <f t="shared" si="66"/>
        <v>1370159999.9999745</v>
      </c>
      <c r="V987" s="2396" t="str">
        <f t="shared" si="64"/>
        <v>2-GASTO</v>
      </c>
    </row>
    <row r="988" spans="3:22" hidden="1">
      <c r="C988">
        <v>2022</v>
      </c>
      <c r="D988" t="s">
        <v>2102</v>
      </c>
      <c r="F988">
        <v>2422999997</v>
      </c>
      <c r="G988" t="s">
        <v>1608</v>
      </c>
      <c r="H988" t="s">
        <v>2149</v>
      </c>
      <c r="J988" t="s">
        <v>64</v>
      </c>
      <c r="K988">
        <v>2000013053</v>
      </c>
      <c r="L988" t="s">
        <v>2149</v>
      </c>
      <c r="M988" s="1860">
        <v>400000</v>
      </c>
      <c r="N988" s="1860">
        <v>4802.4799999999996</v>
      </c>
      <c r="O988">
        <v>40</v>
      </c>
      <c r="P988" s="1633">
        <v>1920992000</v>
      </c>
      <c r="Q988" t="s">
        <v>106</v>
      </c>
      <c r="R988" s="2392">
        <v>44922</v>
      </c>
      <c r="S988" s="2393">
        <f t="shared" si="65"/>
        <v>4802.4799999999996</v>
      </c>
      <c r="T988" s="2394">
        <f>IF(OR(J988="COP",J988="EURO",J988="GBP"),0,IF(J988="USD",VLOOKUP(R988,'TRM BanRep'!$A:$G,7,0)))</f>
        <v>4745.04</v>
      </c>
      <c r="U988" s="2395">
        <f t="shared" si="66"/>
        <v>22975999.99999984</v>
      </c>
      <c r="V988" s="2396" t="str">
        <f t="shared" si="64"/>
        <v>2-GASTO</v>
      </c>
    </row>
    <row r="989" spans="3:22" hidden="1">
      <c r="C989">
        <v>2022</v>
      </c>
      <c r="D989" t="s">
        <v>2102</v>
      </c>
      <c r="F989">
        <v>2422999997</v>
      </c>
      <c r="G989" t="s">
        <v>1608</v>
      </c>
      <c r="H989" t="s">
        <v>2152</v>
      </c>
      <c r="J989" t="s">
        <v>106</v>
      </c>
      <c r="K989">
        <v>2000013071</v>
      </c>
      <c r="L989" t="s">
        <v>2152</v>
      </c>
      <c r="M989" s="1633">
        <v>4937848333</v>
      </c>
      <c r="N989">
        <v>1</v>
      </c>
      <c r="O989">
        <v>40</v>
      </c>
      <c r="P989" s="1633">
        <v>4937848333</v>
      </c>
      <c r="Q989" t="s">
        <v>106</v>
      </c>
      <c r="R989" s="2392">
        <v>44923</v>
      </c>
      <c r="S989" s="2393">
        <f t="shared" si="65"/>
        <v>1</v>
      </c>
      <c r="T989" s="2394">
        <f>IF(OR(J989="COP",J989="EURO",J989="GBP"),0,IF(J989="USD",VLOOKUP(R989,'TRM BanRep'!$A:$G,7,0)))</f>
        <v>0</v>
      </c>
      <c r="U989" s="2395">
        <f t="shared" si="66"/>
        <v>0</v>
      </c>
      <c r="V989" s="2395" t="str">
        <f t="shared" si="64"/>
        <v/>
      </c>
    </row>
    <row r="990" spans="3:22" hidden="1">
      <c r="C990">
        <v>2022</v>
      </c>
      <c r="D990" t="s">
        <v>2102</v>
      </c>
      <c r="F990">
        <v>2422999997</v>
      </c>
      <c r="G990" t="s">
        <v>1608</v>
      </c>
      <c r="H990" t="s">
        <v>2152</v>
      </c>
      <c r="J990" t="s">
        <v>64</v>
      </c>
      <c r="K990">
        <v>2000013210</v>
      </c>
      <c r="L990" t="s">
        <v>2152</v>
      </c>
      <c r="M990" s="1860">
        <v>4249621.38</v>
      </c>
      <c r="N990" s="1860">
        <v>4760.6099999999997</v>
      </c>
      <c r="O990">
        <v>40</v>
      </c>
      <c r="P990" s="1633">
        <v>20230790022</v>
      </c>
      <c r="Q990" t="s">
        <v>106</v>
      </c>
      <c r="R990" s="2392">
        <v>44923</v>
      </c>
      <c r="S990" s="2393">
        <f t="shared" si="65"/>
        <v>4760.6099999999997</v>
      </c>
      <c r="T990" s="2394">
        <f>IF(OR(J990="COP",J990="EURO",J990="GBP"),0,IF(J990="USD",VLOOKUP(R990,'TRM BanRep'!$A:$G,7,0)))</f>
        <v>4766.82</v>
      </c>
      <c r="U990" s="2395">
        <f t="shared" si="66"/>
        <v>-26390148.769800153</v>
      </c>
      <c r="V990" s="2397" t="str">
        <f t="shared" si="64"/>
        <v>1-INGRESO</v>
      </c>
    </row>
    <row r="991" spans="3:22" hidden="1">
      <c r="C991">
        <v>2022</v>
      </c>
      <c r="D991" t="s">
        <v>2102</v>
      </c>
      <c r="F991">
        <v>2422999997</v>
      </c>
      <c r="G991" t="s">
        <v>1609</v>
      </c>
      <c r="H991" t="s">
        <v>2106</v>
      </c>
      <c r="I991" t="s">
        <v>2162</v>
      </c>
      <c r="J991" t="s">
        <v>64</v>
      </c>
      <c r="K991">
        <v>7900015911</v>
      </c>
      <c r="L991" t="s">
        <v>2106</v>
      </c>
      <c r="M991" s="1860">
        <v>-8386.7999999999993</v>
      </c>
      <c r="N991" s="1860">
        <v>4779.0599499999998</v>
      </c>
      <c r="O991">
        <v>50</v>
      </c>
      <c r="P991" s="1633">
        <v>-40081020</v>
      </c>
      <c r="Q991" t="s">
        <v>106</v>
      </c>
      <c r="R991" s="2392">
        <v>44897</v>
      </c>
      <c r="S991" s="2393">
        <f t="shared" si="65"/>
        <v>4779.0600000000004</v>
      </c>
      <c r="T991" s="2394">
        <f>IF(OR(J991="COP",J991="EURO",J991="GBP"),0,IF(J991="USD",VLOOKUP(R991,'TRM BanRep'!$A:$G,7,0)))</f>
        <v>4779.0600000000004</v>
      </c>
      <c r="U991" s="2395">
        <f t="shared" si="66"/>
        <v>0</v>
      </c>
      <c r="V991" s="2395" t="str">
        <f t="shared" si="64"/>
        <v/>
      </c>
    </row>
    <row r="992" spans="3:22" hidden="1">
      <c r="C992">
        <v>2022</v>
      </c>
      <c r="D992" t="s">
        <v>2102</v>
      </c>
      <c r="F992">
        <v>2422999997</v>
      </c>
      <c r="G992" t="s">
        <v>1609</v>
      </c>
      <c r="H992" t="s">
        <v>2111</v>
      </c>
      <c r="I992" t="s">
        <v>1927</v>
      </c>
      <c r="J992" t="s">
        <v>106</v>
      </c>
      <c r="K992">
        <v>7900015941</v>
      </c>
      <c r="L992" t="s">
        <v>2111</v>
      </c>
      <c r="M992" s="1633">
        <v>-3915112900</v>
      </c>
      <c r="N992">
        <v>1</v>
      </c>
      <c r="O992">
        <v>50</v>
      </c>
      <c r="P992" s="1633">
        <v>-3915112900</v>
      </c>
      <c r="Q992" t="s">
        <v>106</v>
      </c>
      <c r="R992" s="2392">
        <v>44900</v>
      </c>
      <c r="S992" s="2393">
        <f t="shared" si="65"/>
        <v>1</v>
      </c>
      <c r="T992" s="2394">
        <f>IF(OR(J992="COP",J992="EURO",J992="GBP"),0,IF(J992="USD",VLOOKUP(R992,'TRM BanRep'!$A:$G,7,0)))</f>
        <v>0</v>
      </c>
      <c r="U992" s="2395">
        <f t="shared" si="66"/>
        <v>0</v>
      </c>
      <c r="V992" s="2395" t="str">
        <f t="shared" si="64"/>
        <v/>
      </c>
    </row>
    <row r="993" spans="3:24" hidden="1">
      <c r="C993">
        <v>2022</v>
      </c>
      <c r="D993" t="s">
        <v>2102</v>
      </c>
      <c r="F993">
        <v>2422999997</v>
      </c>
      <c r="G993" t="s">
        <v>1609</v>
      </c>
      <c r="H993" t="s">
        <v>2111</v>
      </c>
      <c r="I993" t="s">
        <v>1926</v>
      </c>
      <c r="J993" t="s">
        <v>106</v>
      </c>
      <c r="K993">
        <v>7900015942</v>
      </c>
      <c r="L993" t="s">
        <v>2111</v>
      </c>
      <c r="M993" s="1633">
        <v>-8745106920</v>
      </c>
      <c r="N993">
        <v>1</v>
      </c>
      <c r="O993">
        <v>50</v>
      </c>
      <c r="P993" s="1633">
        <v>-8745106920</v>
      </c>
      <c r="Q993" t="s">
        <v>106</v>
      </c>
      <c r="R993" s="2392">
        <v>44900</v>
      </c>
      <c r="S993" s="2393">
        <f t="shared" si="65"/>
        <v>1</v>
      </c>
      <c r="T993" s="2394">
        <f>IF(OR(J993="COP",J993="EURO",J993="GBP"),0,IF(J993="USD",VLOOKUP(R993,'TRM BanRep'!$A:$G,7,0)))</f>
        <v>0</v>
      </c>
      <c r="U993" s="2395">
        <f t="shared" si="66"/>
        <v>0</v>
      </c>
      <c r="V993" s="2395" t="str">
        <f t="shared" si="64"/>
        <v/>
      </c>
    </row>
    <row r="994" spans="3:24" hidden="1">
      <c r="C994">
        <v>2022</v>
      </c>
      <c r="D994" t="s">
        <v>2102</v>
      </c>
      <c r="F994">
        <v>2422999997</v>
      </c>
      <c r="G994" t="s">
        <v>1609</v>
      </c>
      <c r="H994" t="s">
        <v>2114</v>
      </c>
      <c r="I994" t="s">
        <v>1749</v>
      </c>
      <c r="J994" t="s">
        <v>106</v>
      </c>
      <c r="K994">
        <v>7900015965</v>
      </c>
      <c r="L994" t="s">
        <v>2114</v>
      </c>
      <c r="M994" s="1633">
        <v>-7624759793</v>
      </c>
      <c r="N994">
        <v>1</v>
      </c>
      <c r="O994">
        <v>50</v>
      </c>
      <c r="P994" s="1633">
        <v>-7624759793</v>
      </c>
      <c r="Q994" t="s">
        <v>106</v>
      </c>
      <c r="R994" s="2392">
        <v>44901</v>
      </c>
      <c r="S994" s="2393">
        <f t="shared" si="65"/>
        <v>1</v>
      </c>
      <c r="T994" s="2394">
        <f>IF(OR(J994="COP",J994="EURO",J994="GBP"),0,IF(J994="USD",VLOOKUP(R994,'TRM BanRep'!$A:$G,7,0)))</f>
        <v>0</v>
      </c>
      <c r="U994" s="2395">
        <f t="shared" si="66"/>
        <v>0</v>
      </c>
      <c r="V994" s="2395" t="str">
        <f t="shared" si="64"/>
        <v/>
      </c>
    </row>
    <row r="995" spans="3:24" hidden="1">
      <c r="C995">
        <v>2022</v>
      </c>
      <c r="D995" t="s">
        <v>2102</v>
      </c>
      <c r="F995">
        <v>2422999997</v>
      </c>
      <c r="G995" t="s">
        <v>1609</v>
      </c>
      <c r="H995" t="s">
        <v>2114</v>
      </c>
      <c r="I995" t="s">
        <v>1747</v>
      </c>
      <c r="J995" t="s">
        <v>106</v>
      </c>
      <c r="K995">
        <v>7900015966</v>
      </c>
      <c r="L995" t="s">
        <v>2114</v>
      </c>
      <c r="M995" s="1633">
        <v>-2386905183</v>
      </c>
      <c r="N995">
        <v>1</v>
      </c>
      <c r="O995">
        <v>50</v>
      </c>
      <c r="P995" s="1633">
        <v>-2386905183</v>
      </c>
      <c r="Q995" t="s">
        <v>106</v>
      </c>
      <c r="R995" s="2392">
        <v>44901</v>
      </c>
      <c r="S995" s="2393">
        <f t="shared" si="65"/>
        <v>1</v>
      </c>
      <c r="T995" s="2394">
        <f>IF(OR(J995="COP",J995="EURO",J995="GBP"),0,IF(J995="USD",VLOOKUP(R995,'TRM BanRep'!$A:$G,7,0)))</f>
        <v>0</v>
      </c>
      <c r="U995" s="2395">
        <f t="shared" si="66"/>
        <v>0</v>
      </c>
      <c r="V995" s="2395" t="str">
        <f t="shared" si="64"/>
        <v/>
      </c>
    </row>
    <row r="996" spans="3:24" hidden="1">
      <c r="C996">
        <v>2022</v>
      </c>
      <c r="D996" t="s">
        <v>2102</v>
      </c>
      <c r="F996">
        <v>2422999997</v>
      </c>
      <c r="G996" t="s">
        <v>1609</v>
      </c>
      <c r="H996" t="s">
        <v>2114</v>
      </c>
      <c r="I996" t="s">
        <v>1748</v>
      </c>
      <c r="J996" t="s">
        <v>106</v>
      </c>
      <c r="K996">
        <v>7900015967</v>
      </c>
      <c r="L996" t="s">
        <v>2114</v>
      </c>
      <c r="M996" s="1633">
        <v>-6034589880</v>
      </c>
      <c r="N996">
        <v>1</v>
      </c>
      <c r="O996">
        <v>50</v>
      </c>
      <c r="P996" s="1633">
        <v>-6034589880</v>
      </c>
      <c r="Q996" t="s">
        <v>106</v>
      </c>
      <c r="R996" s="2392">
        <v>44901</v>
      </c>
      <c r="S996" s="2393">
        <f t="shared" si="65"/>
        <v>1</v>
      </c>
      <c r="T996" s="2394">
        <f>IF(OR(J996="COP",J996="EURO",J996="GBP"),0,IF(J996="USD",VLOOKUP(R996,'TRM BanRep'!$A:$G,7,0)))</f>
        <v>0</v>
      </c>
      <c r="U996" s="2395">
        <f t="shared" si="66"/>
        <v>0</v>
      </c>
      <c r="V996" s="2395" t="str">
        <f t="shared" si="64"/>
        <v/>
      </c>
    </row>
    <row r="997" spans="3:24" hidden="1">
      <c r="C997">
        <v>2022</v>
      </c>
      <c r="D997" t="s">
        <v>2102</v>
      </c>
      <c r="F997">
        <v>2422999997</v>
      </c>
      <c r="G997" t="s">
        <v>1609</v>
      </c>
      <c r="H997" t="s">
        <v>2114</v>
      </c>
      <c r="I997" t="s">
        <v>1750</v>
      </c>
      <c r="J997" t="s">
        <v>106</v>
      </c>
      <c r="K997">
        <v>7900015968</v>
      </c>
      <c r="L997" t="s">
        <v>2114</v>
      </c>
      <c r="M997" s="1633">
        <v>-13109657580</v>
      </c>
      <c r="N997">
        <v>1</v>
      </c>
      <c r="O997">
        <v>50</v>
      </c>
      <c r="P997" s="1633">
        <v>-13109657580</v>
      </c>
      <c r="Q997" t="s">
        <v>106</v>
      </c>
      <c r="R997" s="2392">
        <v>44901</v>
      </c>
      <c r="S997" s="2393">
        <f t="shared" si="65"/>
        <v>1</v>
      </c>
      <c r="T997" s="2394">
        <f>IF(OR(J997="COP",J997="EURO",J997="GBP"),0,IF(J997="USD",VLOOKUP(R997,'TRM BanRep'!$A:$G,7,0)))</f>
        <v>0</v>
      </c>
      <c r="U997" s="2395">
        <f t="shared" si="66"/>
        <v>0</v>
      </c>
      <c r="V997" s="2395" t="str">
        <f t="shared" si="64"/>
        <v/>
      </c>
    </row>
    <row r="998" spans="3:24" hidden="1">
      <c r="C998">
        <v>2022</v>
      </c>
      <c r="D998" t="s">
        <v>2102</v>
      </c>
      <c r="F998">
        <v>2422999997</v>
      </c>
      <c r="G998" t="s">
        <v>1609</v>
      </c>
      <c r="H998" t="s">
        <v>2127</v>
      </c>
      <c r="I998" t="s">
        <v>1751</v>
      </c>
      <c r="J998" t="s">
        <v>106</v>
      </c>
      <c r="K998">
        <v>7900015987</v>
      </c>
      <c r="L998" t="s">
        <v>2127</v>
      </c>
      <c r="M998" s="1633">
        <v>-3005527778</v>
      </c>
      <c r="N998">
        <v>1</v>
      </c>
      <c r="O998">
        <v>50</v>
      </c>
      <c r="P998" s="1633">
        <v>-3005527778</v>
      </c>
      <c r="Q998" t="s">
        <v>106</v>
      </c>
      <c r="R998" s="2392">
        <v>44907</v>
      </c>
      <c r="S998" s="2393">
        <f t="shared" si="65"/>
        <v>1</v>
      </c>
      <c r="T998" s="2394">
        <f>IF(OR(J998="COP",J998="EURO",J998="GBP"),0,IF(J998="USD",VLOOKUP(R998,'TRM BanRep'!$A:$G,7,0)))</f>
        <v>0</v>
      </c>
      <c r="U998" s="2395">
        <f t="shared" si="66"/>
        <v>0</v>
      </c>
      <c r="V998" s="2395" t="str">
        <f t="shared" si="64"/>
        <v/>
      </c>
    </row>
    <row r="999" spans="3:24" hidden="1">
      <c r="C999">
        <v>2022</v>
      </c>
      <c r="D999" t="s">
        <v>2102</v>
      </c>
      <c r="F999">
        <v>2422999997</v>
      </c>
      <c r="G999" t="s">
        <v>1609</v>
      </c>
      <c r="H999" t="s">
        <v>2159</v>
      </c>
      <c r="I999" t="s">
        <v>1753</v>
      </c>
      <c r="J999" t="s">
        <v>106</v>
      </c>
      <c r="K999">
        <v>7900016029</v>
      </c>
      <c r="L999" t="s">
        <v>2159</v>
      </c>
      <c r="M999" s="1633">
        <v>-3482107851</v>
      </c>
      <c r="N999">
        <v>1</v>
      </c>
      <c r="O999">
        <v>50</v>
      </c>
      <c r="P999" s="1633">
        <v>-3482107851</v>
      </c>
      <c r="Q999" t="s">
        <v>106</v>
      </c>
      <c r="R999" s="2392">
        <v>44908</v>
      </c>
      <c r="S999" s="2393">
        <f t="shared" si="65"/>
        <v>1</v>
      </c>
      <c r="T999" s="2394">
        <f>IF(OR(J999="COP",J999="EURO",J999="GBP"),0,IF(J999="USD",VLOOKUP(R999,'TRM BanRep'!$A:$G,7,0)))</f>
        <v>0</v>
      </c>
      <c r="U999" s="2395">
        <f t="shared" si="66"/>
        <v>0</v>
      </c>
      <c r="V999" s="2395" t="str">
        <f t="shared" si="64"/>
        <v/>
      </c>
    </row>
    <row r="1000" spans="3:24" hidden="1">
      <c r="C1000">
        <v>2022</v>
      </c>
      <c r="D1000" t="s">
        <v>2102</v>
      </c>
      <c r="F1000">
        <v>2422999997</v>
      </c>
      <c r="G1000" t="s">
        <v>1609</v>
      </c>
      <c r="H1000" t="s">
        <v>2159</v>
      </c>
      <c r="I1000" t="s">
        <v>1752</v>
      </c>
      <c r="J1000" t="s">
        <v>106</v>
      </c>
      <c r="K1000">
        <v>7900016030</v>
      </c>
      <c r="L1000" t="s">
        <v>2159</v>
      </c>
      <c r="M1000" s="1633">
        <v>-4003584327</v>
      </c>
      <c r="N1000">
        <v>1</v>
      </c>
      <c r="O1000">
        <v>50</v>
      </c>
      <c r="P1000" s="1633">
        <v>-4003584327</v>
      </c>
      <c r="Q1000" t="s">
        <v>106</v>
      </c>
      <c r="R1000" s="2392">
        <v>44908</v>
      </c>
      <c r="S1000" s="2393">
        <f t="shared" si="65"/>
        <v>1</v>
      </c>
      <c r="T1000" s="2394">
        <f>IF(OR(J1000="COP",J1000="EURO",J1000="GBP"),0,IF(J1000="USD",VLOOKUP(R1000,'TRM BanRep'!$A:$G,7,0)))</f>
        <v>0</v>
      </c>
      <c r="U1000" s="2395">
        <f t="shared" si="66"/>
        <v>0</v>
      </c>
      <c r="V1000" s="2395" t="str">
        <f t="shared" si="64"/>
        <v/>
      </c>
    </row>
    <row r="1001" spans="3:24" hidden="1">
      <c r="C1001">
        <v>2022</v>
      </c>
      <c r="D1001" t="s">
        <v>2102</v>
      </c>
      <c r="F1001">
        <v>2422999997</v>
      </c>
      <c r="G1001" t="s">
        <v>1609</v>
      </c>
      <c r="H1001" t="s">
        <v>2160</v>
      </c>
      <c r="I1001" t="s">
        <v>1925</v>
      </c>
      <c r="J1001" t="s">
        <v>106</v>
      </c>
      <c r="K1001">
        <v>7900016165</v>
      </c>
      <c r="L1001" t="s">
        <v>2160</v>
      </c>
      <c r="M1001" s="1633">
        <v>-31996084</v>
      </c>
      <c r="N1001">
        <v>1</v>
      </c>
      <c r="O1001">
        <v>50</v>
      </c>
      <c r="P1001" s="1633">
        <v>-31996084</v>
      </c>
      <c r="Q1001" t="s">
        <v>106</v>
      </c>
      <c r="R1001" s="2392">
        <v>44916</v>
      </c>
      <c r="S1001" s="2393">
        <f t="shared" si="65"/>
        <v>1</v>
      </c>
      <c r="T1001" s="2394">
        <f>IF(OR(J1001="COP",J1001="EURO",J1001="GBP"),0,IF(J1001="USD",VLOOKUP(R1001,'TRM BanRep'!$A:$G,7,0)))</f>
        <v>0</v>
      </c>
      <c r="U1001" s="2395">
        <f t="shared" si="66"/>
        <v>0</v>
      </c>
      <c r="V1001" s="2395" t="str">
        <f t="shared" si="64"/>
        <v/>
      </c>
    </row>
    <row r="1002" spans="3:24" hidden="1">
      <c r="C1002">
        <v>2022</v>
      </c>
      <c r="D1002" t="s">
        <v>2102</v>
      </c>
      <c r="F1002">
        <v>2422999997</v>
      </c>
      <c r="G1002" t="s">
        <v>1609</v>
      </c>
      <c r="H1002" t="s">
        <v>2161</v>
      </c>
      <c r="I1002" t="s">
        <v>1757</v>
      </c>
      <c r="J1002" t="s">
        <v>106</v>
      </c>
      <c r="K1002">
        <v>7900016121</v>
      </c>
      <c r="L1002" t="s">
        <v>2161</v>
      </c>
      <c r="M1002" s="1633">
        <v>-3296727777</v>
      </c>
      <c r="N1002">
        <v>1</v>
      </c>
      <c r="O1002">
        <v>50</v>
      </c>
      <c r="P1002" s="1633">
        <v>-3296727777</v>
      </c>
      <c r="Q1002" t="s">
        <v>106</v>
      </c>
      <c r="R1002" s="2392">
        <v>44921</v>
      </c>
      <c r="S1002" s="2393">
        <f t="shared" si="65"/>
        <v>1</v>
      </c>
      <c r="T1002" s="2394">
        <f>IF(OR(J1002="COP",J1002="EURO",J1002="GBP"),0,IF(J1002="USD",VLOOKUP(R1002,'TRM BanRep'!$A:$G,7,0)))</f>
        <v>0</v>
      </c>
      <c r="U1002" s="2395">
        <f t="shared" si="66"/>
        <v>0</v>
      </c>
      <c r="V1002" s="2395" t="str">
        <f t="shared" si="64"/>
        <v/>
      </c>
    </row>
    <row r="1003" spans="3:24" hidden="1">
      <c r="C1003">
        <v>2022</v>
      </c>
      <c r="D1003" t="s">
        <v>2102</v>
      </c>
      <c r="F1003">
        <v>2422999997</v>
      </c>
      <c r="G1003" t="s">
        <v>1609</v>
      </c>
      <c r="H1003" t="s">
        <v>2152</v>
      </c>
      <c r="I1003" t="s">
        <v>1930</v>
      </c>
      <c r="J1003" t="s">
        <v>106</v>
      </c>
      <c r="K1003">
        <v>7900016117</v>
      </c>
      <c r="L1003" t="s">
        <v>2152</v>
      </c>
      <c r="M1003" s="1633">
        <v>-4937848333</v>
      </c>
      <c r="N1003">
        <v>1</v>
      </c>
      <c r="O1003">
        <v>50</v>
      </c>
      <c r="P1003" s="1633">
        <v>-4937848333</v>
      </c>
      <c r="Q1003" t="s">
        <v>106</v>
      </c>
      <c r="R1003" s="2392">
        <v>44923</v>
      </c>
      <c r="S1003" s="2393">
        <f t="shared" si="65"/>
        <v>1</v>
      </c>
      <c r="T1003" s="2394">
        <f>IF(OR(J1003="COP",J1003="EURO",J1003="GBP"),0,IF(J1003="USD",VLOOKUP(R1003,'TRM BanRep'!$A:$G,7,0)))</f>
        <v>0</v>
      </c>
      <c r="U1003" s="2395">
        <f t="shared" si="66"/>
        <v>0</v>
      </c>
      <c r="V1003" s="2395" t="str">
        <f t="shared" si="64"/>
        <v/>
      </c>
    </row>
    <row r="1004" spans="3:24">
      <c r="M1004" s="1633"/>
      <c r="P1004" s="1633"/>
      <c r="R1004" s="2392"/>
      <c r="S1004" s="2393"/>
      <c r="T1004" s="2394"/>
      <c r="U1004" s="2395"/>
      <c r="V1004" s="2395" t="str">
        <f t="shared" si="64"/>
        <v/>
      </c>
    </row>
    <row r="1005" spans="3:24">
      <c r="C1005">
        <v>2023</v>
      </c>
      <c r="D1005" t="s">
        <v>2164</v>
      </c>
      <c r="F1005">
        <v>1202049905</v>
      </c>
      <c r="G1005" t="s">
        <v>1557</v>
      </c>
      <c r="H1005" t="s">
        <v>1478</v>
      </c>
      <c r="I1005" t="s">
        <v>2165</v>
      </c>
      <c r="J1005" t="s">
        <v>64</v>
      </c>
      <c r="K1005">
        <v>7900000657</v>
      </c>
      <c r="L1005" t="s">
        <v>1478</v>
      </c>
      <c r="M1005" s="2466">
        <v>-3400000</v>
      </c>
      <c r="N1005">
        <v>4989.62</v>
      </c>
      <c r="O1005">
        <v>50</v>
      </c>
      <c r="P1005" s="1633">
        <v>-16964708000</v>
      </c>
      <c r="Q1005" t="s">
        <v>106</v>
      </c>
      <c r="R1005" s="2392">
        <v>44931</v>
      </c>
      <c r="S1005" s="2393">
        <f t="shared" ref="S1005:S1067" si="67">+ROUND(P1005/M1005,2)</f>
        <v>4989.62</v>
      </c>
      <c r="T1005" s="2394">
        <f>IF(OR(J1005="COP",J1005="EURO",J1005="GBP"),0,IF(J1005="USD",VLOOKUP(R1005,'TRM BanRep'!$A:$G,7,0)))</f>
        <v>4924</v>
      </c>
      <c r="U1005" s="2407">
        <f>ROUND(IF(F1005=2422999997,-IF(T1005=0,0,(T1005-S1005)*M1005),IF(T1005=0,0,(T1005-S1005)*M1005)),0)</f>
        <v>223108000</v>
      </c>
      <c r="V1005" s="2395" t="str">
        <f t="shared" si="64"/>
        <v>2-GASTO</v>
      </c>
      <c r="X1005">
        <v>5803010300</v>
      </c>
    </row>
    <row r="1006" spans="3:24" hidden="1">
      <c r="C1006">
        <v>2023</v>
      </c>
      <c r="D1006" t="s">
        <v>2164</v>
      </c>
      <c r="F1006">
        <v>1202049905</v>
      </c>
      <c r="G1006" t="s">
        <v>1557</v>
      </c>
      <c r="H1006" t="s">
        <v>1478</v>
      </c>
      <c r="I1006" t="s">
        <v>2166</v>
      </c>
      <c r="J1006" t="s">
        <v>106</v>
      </c>
      <c r="K1006">
        <v>7900000658</v>
      </c>
      <c r="L1006" t="s">
        <v>1478</v>
      </c>
      <c r="M1006" s="1633">
        <v>16964708000</v>
      </c>
      <c r="N1006">
        <v>1</v>
      </c>
      <c r="O1006">
        <v>40</v>
      </c>
      <c r="P1006" s="1633">
        <v>16964708000</v>
      </c>
      <c r="Q1006" t="s">
        <v>106</v>
      </c>
      <c r="R1006" s="2392">
        <v>44931</v>
      </c>
      <c r="S1006" s="2393">
        <f t="shared" si="67"/>
        <v>1</v>
      </c>
      <c r="T1006" s="2394">
        <f>IF(OR(J1006="COP",J1006="EURO",J1006="GBP"),0,IF(J1006="USD",VLOOKUP(R1006,'TRM BanRep'!$A:$G,7,0)))</f>
        <v>0</v>
      </c>
      <c r="U1006" s="2395">
        <f t="shared" ref="U1006:U1069" si="68">ROUND(IF(F1006=2422999997,-IF(T1006=0,0,(T1006-S1006)*M1006),IF(T1006=0,0,(T1006-S1006)*M1006)),0)</f>
        <v>0</v>
      </c>
      <c r="V1006" s="2395" t="str">
        <f t="shared" si="64"/>
        <v/>
      </c>
    </row>
    <row r="1007" spans="3:24" hidden="1">
      <c r="C1007">
        <v>2023</v>
      </c>
      <c r="D1007" t="s">
        <v>2164</v>
      </c>
      <c r="F1007">
        <v>1202049905</v>
      </c>
      <c r="G1007" t="s">
        <v>1557</v>
      </c>
      <c r="H1007" t="s">
        <v>1480</v>
      </c>
      <c r="I1007" t="s">
        <v>2167</v>
      </c>
      <c r="J1007" t="s">
        <v>106</v>
      </c>
      <c r="K1007">
        <v>7900000597</v>
      </c>
      <c r="L1007" t="s">
        <v>1480</v>
      </c>
      <c r="M1007" s="1633">
        <v>-3933105888</v>
      </c>
      <c r="N1007">
        <v>1</v>
      </c>
      <c r="O1007">
        <v>50</v>
      </c>
      <c r="P1007" s="1633">
        <v>-3933105888</v>
      </c>
      <c r="Q1007" t="s">
        <v>106</v>
      </c>
      <c r="R1007" s="2392">
        <v>44936</v>
      </c>
      <c r="S1007" s="2393">
        <f t="shared" si="67"/>
        <v>1</v>
      </c>
      <c r="T1007" s="2394">
        <f>IF(OR(J1007="COP",J1007="EURO",J1007="GBP"),0,IF(J1007="USD",VLOOKUP(R1007,'TRM BanRep'!$A:$G,7,0)))</f>
        <v>0</v>
      </c>
      <c r="U1007" s="2395">
        <f t="shared" si="68"/>
        <v>0</v>
      </c>
      <c r="V1007" s="2395" t="str">
        <f t="shared" si="64"/>
        <v/>
      </c>
    </row>
    <row r="1008" spans="3:24">
      <c r="C1008">
        <v>2023</v>
      </c>
      <c r="D1008" t="s">
        <v>2164</v>
      </c>
      <c r="F1008">
        <v>1202049905</v>
      </c>
      <c r="G1008" t="s">
        <v>1557</v>
      </c>
      <c r="H1008" t="s">
        <v>1480</v>
      </c>
      <c r="I1008" t="s">
        <v>2168</v>
      </c>
      <c r="J1008" t="s">
        <v>64</v>
      </c>
      <c r="K1008">
        <v>7900000598</v>
      </c>
      <c r="L1008" t="s">
        <v>1480</v>
      </c>
      <c r="M1008" s="1633">
        <v>788263.92</v>
      </c>
      <c r="N1008">
        <v>4989.58</v>
      </c>
      <c r="O1008">
        <v>40</v>
      </c>
      <c r="P1008" s="1633">
        <v>3933105888</v>
      </c>
      <c r="Q1008" t="s">
        <v>106</v>
      </c>
      <c r="R1008" s="2392">
        <v>44936</v>
      </c>
      <c r="S1008" s="2393">
        <f t="shared" si="67"/>
        <v>4989.58</v>
      </c>
      <c r="T1008" s="2394">
        <f>IF(OR(J1008="COP",J1008="EURO",J1008="GBP"),0,IF(J1008="USD",VLOOKUP(R1008,'TRM BanRep'!$A:$G,7,0)))</f>
        <v>4885.66</v>
      </c>
      <c r="U1008" s="2395">
        <f t="shared" si="68"/>
        <v>-81916387</v>
      </c>
      <c r="V1008" s="2395" t="str">
        <f t="shared" si="64"/>
        <v>1-INGRESO</v>
      </c>
    </row>
    <row r="1009" spans="3:24" hidden="1">
      <c r="C1009">
        <v>2023</v>
      </c>
      <c r="D1009" t="s">
        <v>2164</v>
      </c>
      <c r="F1009">
        <v>1202049905</v>
      </c>
      <c r="G1009" t="s">
        <v>1557</v>
      </c>
      <c r="H1009" t="s">
        <v>1480</v>
      </c>
      <c r="I1009" t="s">
        <v>2169</v>
      </c>
      <c r="J1009" t="s">
        <v>106</v>
      </c>
      <c r="K1009">
        <v>7900000605</v>
      </c>
      <c r="L1009" t="s">
        <v>1480</v>
      </c>
      <c r="M1009" s="1633">
        <v>-3594191580</v>
      </c>
      <c r="N1009">
        <v>1</v>
      </c>
      <c r="O1009">
        <v>50</v>
      </c>
      <c r="P1009" s="1633">
        <v>-3594191580</v>
      </c>
      <c r="Q1009" t="s">
        <v>106</v>
      </c>
      <c r="R1009" s="2392">
        <v>44936</v>
      </c>
      <c r="S1009" s="2393">
        <f t="shared" si="67"/>
        <v>1</v>
      </c>
      <c r="T1009" s="2394">
        <f>IF(OR(J1009="COP",J1009="EURO",J1009="GBP"),0,IF(J1009="USD",VLOOKUP(R1009,'TRM BanRep'!$A:$G,7,0)))</f>
        <v>0</v>
      </c>
      <c r="U1009" s="2395">
        <f t="shared" si="68"/>
        <v>0</v>
      </c>
      <c r="V1009" s="2395" t="str">
        <f t="shared" si="64"/>
        <v/>
      </c>
    </row>
    <row r="1010" spans="3:24">
      <c r="C1010">
        <v>2023</v>
      </c>
      <c r="D1010" t="s">
        <v>2164</v>
      </c>
      <c r="F1010">
        <v>1202049905</v>
      </c>
      <c r="G1010" t="s">
        <v>1557</v>
      </c>
      <c r="H1010" t="s">
        <v>1480</v>
      </c>
      <c r="I1010" t="s">
        <v>2170</v>
      </c>
      <c r="J1010" t="s">
        <v>64</v>
      </c>
      <c r="K1010">
        <v>7900000606</v>
      </c>
      <c r="L1010" t="s">
        <v>1480</v>
      </c>
      <c r="M1010" s="1633">
        <v>720339.5</v>
      </c>
      <c r="N1010">
        <v>4989.5800200000003</v>
      </c>
      <c r="O1010">
        <v>40</v>
      </c>
      <c r="P1010" s="1633">
        <v>3594191580</v>
      </c>
      <c r="Q1010" t="s">
        <v>106</v>
      </c>
      <c r="R1010" s="2392">
        <v>44936</v>
      </c>
      <c r="S1010" s="2393">
        <f t="shared" si="67"/>
        <v>4989.58</v>
      </c>
      <c r="T1010" s="2394">
        <f>IF(OR(J1010="COP",J1010="EURO",J1010="GBP"),0,IF(J1010="USD",VLOOKUP(R1010,'TRM BanRep'!$A:$G,7,0)))</f>
        <v>4885.66</v>
      </c>
      <c r="U1010" s="2395">
        <f t="shared" si="68"/>
        <v>-74857681</v>
      </c>
      <c r="V1010" s="2395" t="str">
        <f t="shared" si="64"/>
        <v>1-INGRESO</v>
      </c>
    </row>
    <row r="1011" spans="3:24">
      <c r="C1011">
        <v>2023</v>
      </c>
      <c r="D1011" t="s">
        <v>2164</v>
      </c>
      <c r="F1011">
        <v>1202049905</v>
      </c>
      <c r="G1011" t="s">
        <v>1557</v>
      </c>
      <c r="H1011" t="s">
        <v>1482</v>
      </c>
      <c r="I1011" t="s">
        <v>2171</v>
      </c>
      <c r="J1011" t="s">
        <v>64</v>
      </c>
      <c r="K1011">
        <v>7900000677</v>
      </c>
      <c r="L1011" t="s">
        <v>1482</v>
      </c>
      <c r="M1011" s="1633">
        <v>-28000000</v>
      </c>
      <c r="N1011">
        <v>4700</v>
      </c>
      <c r="O1011">
        <v>50</v>
      </c>
      <c r="P1011" s="1633">
        <v>-131600000000</v>
      </c>
      <c r="Q1011" t="s">
        <v>106</v>
      </c>
      <c r="R1011" s="2392">
        <v>44938</v>
      </c>
      <c r="S1011" s="2393">
        <f t="shared" si="67"/>
        <v>4700</v>
      </c>
      <c r="T1011" s="2394">
        <f>IF(OR(J1011="COP",J1011="EURO",J1011="GBP"),0,IF(J1011="USD",VLOOKUP(R1011,'TRM BanRep'!$A:$G,7,0)))</f>
        <v>4748.54</v>
      </c>
      <c r="U1011" s="2395">
        <f t="shared" si="68"/>
        <v>-1359120000</v>
      </c>
      <c r="V1011" s="2395" t="str">
        <f t="shared" si="64"/>
        <v>1-INGRESO</v>
      </c>
    </row>
    <row r="1012" spans="3:24" hidden="1">
      <c r="C1012">
        <v>2023</v>
      </c>
      <c r="D1012" t="s">
        <v>2164</v>
      </c>
      <c r="F1012">
        <v>1202049905</v>
      </c>
      <c r="G1012" t="s">
        <v>1557</v>
      </c>
      <c r="H1012" t="s">
        <v>1482</v>
      </c>
      <c r="I1012" t="s">
        <v>2172</v>
      </c>
      <c r="J1012" t="s">
        <v>106</v>
      </c>
      <c r="K1012">
        <v>7900000678</v>
      </c>
      <c r="L1012" t="s">
        <v>1482</v>
      </c>
      <c r="M1012" s="1633">
        <v>131600000000</v>
      </c>
      <c r="N1012">
        <v>1</v>
      </c>
      <c r="O1012">
        <v>40</v>
      </c>
      <c r="P1012" s="1633">
        <v>131600000000</v>
      </c>
      <c r="Q1012" t="s">
        <v>106</v>
      </c>
      <c r="R1012" s="2392">
        <v>44938</v>
      </c>
      <c r="S1012" s="2393">
        <f t="shared" si="67"/>
        <v>1</v>
      </c>
      <c r="T1012" s="2394">
        <f>IF(OR(J1012="COP",J1012="EURO",J1012="GBP"),0,IF(J1012="USD",VLOOKUP(R1012,'TRM BanRep'!$A:$G,7,0)))</f>
        <v>0</v>
      </c>
      <c r="U1012" s="2395">
        <f t="shared" si="68"/>
        <v>0</v>
      </c>
      <c r="V1012" s="2395" t="str">
        <f t="shared" si="64"/>
        <v/>
      </c>
    </row>
    <row r="1013" spans="3:24">
      <c r="C1013">
        <v>2023</v>
      </c>
      <c r="D1013" t="s">
        <v>2164</v>
      </c>
      <c r="F1013">
        <v>1202049905</v>
      </c>
      <c r="G1013" t="s">
        <v>1557</v>
      </c>
      <c r="H1013" t="s">
        <v>1484</v>
      </c>
      <c r="I1013" t="s">
        <v>2173</v>
      </c>
      <c r="J1013" t="s">
        <v>64</v>
      </c>
      <c r="K1013">
        <v>7900000757</v>
      </c>
      <c r="L1013" t="s">
        <v>1484</v>
      </c>
      <c r="M1013" s="1633">
        <v>-2830000</v>
      </c>
      <c r="N1013">
        <v>4695</v>
      </c>
      <c r="O1013">
        <v>50</v>
      </c>
      <c r="P1013" s="1633">
        <v>-13286850000</v>
      </c>
      <c r="Q1013" t="s">
        <v>106</v>
      </c>
      <c r="R1013" s="2392">
        <v>44943</v>
      </c>
      <c r="S1013" s="2393">
        <f t="shared" si="67"/>
        <v>4695</v>
      </c>
      <c r="T1013" s="2394">
        <f>IF(OR(J1013="COP",J1013="EURO",J1013="GBP"),0,IF(J1013="USD",VLOOKUP(R1013,'TRM BanRep'!$A:$G,7,0)))</f>
        <v>4693.99</v>
      </c>
      <c r="U1013" s="2395">
        <f t="shared" si="68"/>
        <v>2858300</v>
      </c>
      <c r="V1013" s="2395" t="str">
        <f t="shared" si="64"/>
        <v>2-GASTO</v>
      </c>
    </row>
    <row r="1014" spans="3:24" hidden="1">
      <c r="C1014">
        <v>2023</v>
      </c>
      <c r="D1014" t="s">
        <v>2164</v>
      </c>
      <c r="F1014">
        <v>1202049905</v>
      </c>
      <c r="G1014" t="s">
        <v>1557</v>
      </c>
      <c r="H1014" t="s">
        <v>1484</v>
      </c>
      <c r="I1014" t="s">
        <v>2174</v>
      </c>
      <c r="J1014" t="s">
        <v>106</v>
      </c>
      <c r="K1014">
        <v>7900000758</v>
      </c>
      <c r="L1014" t="s">
        <v>1484</v>
      </c>
      <c r="M1014" s="1633">
        <v>13286850000</v>
      </c>
      <c r="N1014">
        <v>1</v>
      </c>
      <c r="O1014">
        <v>40</v>
      </c>
      <c r="P1014" s="1633">
        <v>13286850000</v>
      </c>
      <c r="Q1014" t="s">
        <v>106</v>
      </c>
      <c r="R1014" s="2392">
        <v>44943</v>
      </c>
      <c r="S1014" s="2393">
        <f t="shared" si="67"/>
        <v>1</v>
      </c>
      <c r="T1014" s="2394">
        <f>IF(OR(J1014="COP",J1014="EURO",J1014="GBP"),0,IF(J1014="USD",VLOOKUP(R1014,'TRM BanRep'!$A:$G,7,0)))</f>
        <v>0</v>
      </c>
      <c r="U1014" s="2395">
        <f t="shared" si="68"/>
        <v>0</v>
      </c>
      <c r="V1014" s="2395" t="str">
        <f t="shared" si="64"/>
        <v/>
      </c>
    </row>
    <row r="1015" spans="3:24">
      <c r="C1015">
        <v>2023</v>
      </c>
      <c r="D1015" t="s">
        <v>2164</v>
      </c>
      <c r="F1015">
        <v>1202049905</v>
      </c>
      <c r="G1015" t="s">
        <v>1557</v>
      </c>
      <c r="H1015" t="s">
        <v>1484</v>
      </c>
      <c r="I1015" t="s">
        <v>2175</v>
      </c>
      <c r="J1015" t="s">
        <v>64</v>
      </c>
      <c r="K1015">
        <v>7900000765</v>
      </c>
      <c r="L1015" t="s">
        <v>1484</v>
      </c>
      <c r="M1015" s="1633">
        <v>-2500000</v>
      </c>
      <c r="N1015">
        <v>4690.2</v>
      </c>
      <c r="O1015">
        <v>50</v>
      </c>
      <c r="P1015" s="1633">
        <v>-11725500000</v>
      </c>
      <c r="Q1015" t="s">
        <v>106</v>
      </c>
      <c r="R1015" s="2392">
        <v>44943</v>
      </c>
      <c r="S1015" s="2393">
        <f t="shared" si="67"/>
        <v>4690.2</v>
      </c>
      <c r="T1015" s="2394">
        <f>IF(OR(J1015="COP",J1015="EURO",J1015="GBP"),0,IF(J1015="USD",VLOOKUP(R1015,'TRM BanRep'!$A:$G,7,0)))</f>
        <v>4693.99</v>
      </c>
      <c r="U1015" s="2395">
        <f t="shared" si="68"/>
        <v>-9475000</v>
      </c>
      <c r="V1015" s="2395" t="str">
        <f t="shared" si="64"/>
        <v>1-INGRESO</v>
      </c>
    </row>
    <row r="1016" spans="3:24" hidden="1">
      <c r="C1016">
        <v>2023</v>
      </c>
      <c r="D1016" t="s">
        <v>2164</v>
      </c>
      <c r="F1016">
        <v>1202049905</v>
      </c>
      <c r="G1016" t="s">
        <v>1557</v>
      </c>
      <c r="H1016" t="s">
        <v>1484</v>
      </c>
      <c r="I1016" t="s">
        <v>2176</v>
      </c>
      <c r="J1016" t="s">
        <v>106</v>
      </c>
      <c r="K1016">
        <v>7900000766</v>
      </c>
      <c r="L1016" t="s">
        <v>1484</v>
      </c>
      <c r="M1016" s="1633">
        <v>11725500000</v>
      </c>
      <c r="N1016">
        <v>1</v>
      </c>
      <c r="O1016">
        <v>40</v>
      </c>
      <c r="P1016" s="1633">
        <v>11725500000</v>
      </c>
      <c r="Q1016" t="s">
        <v>106</v>
      </c>
      <c r="R1016" s="2392">
        <v>44943</v>
      </c>
      <c r="S1016" s="2393">
        <f t="shared" si="67"/>
        <v>1</v>
      </c>
      <c r="T1016" s="2394">
        <f>IF(OR(J1016="COP",J1016="EURO",J1016="GBP"),0,IF(J1016="USD",VLOOKUP(R1016,'TRM BanRep'!$A:$G,7,0)))</f>
        <v>0</v>
      </c>
      <c r="U1016" s="2395">
        <f t="shared" si="68"/>
        <v>0</v>
      </c>
      <c r="V1016" s="2395" t="str">
        <f t="shared" si="64"/>
        <v/>
      </c>
    </row>
    <row r="1017" spans="3:24" hidden="1">
      <c r="C1017">
        <v>2023</v>
      </c>
      <c r="D1017" t="s">
        <v>2164</v>
      </c>
      <c r="F1017">
        <v>1202049905</v>
      </c>
      <c r="G1017" t="s">
        <v>1557</v>
      </c>
      <c r="H1017" t="s">
        <v>1476</v>
      </c>
      <c r="I1017" t="s">
        <v>2177</v>
      </c>
      <c r="J1017" t="s">
        <v>106</v>
      </c>
      <c r="K1017">
        <v>7900001755</v>
      </c>
      <c r="L1017" t="s">
        <v>1476</v>
      </c>
      <c r="M1017" s="1633">
        <v>-44680927073</v>
      </c>
      <c r="N1017">
        <v>1</v>
      </c>
      <c r="O1017">
        <v>50</v>
      </c>
      <c r="P1017" s="1633">
        <v>-44680927073</v>
      </c>
      <c r="Q1017" t="s">
        <v>106</v>
      </c>
      <c r="R1017" s="2392">
        <v>44957</v>
      </c>
      <c r="S1017" s="2393">
        <f t="shared" si="67"/>
        <v>1</v>
      </c>
      <c r="T1017" s="2394">
        <f>IF(OR(J1017="COP",J1017="EURO",J1017="GBP"),0,IF(J1017="USD",VLOOKUP(R1017,'TRM BanRep'!$A:$G,7,0)))</f>
        <v>0</v>
      </c>
      <c r="U1017" s="2395">
        <f t="shared" si="68"/>
        <v>0</v>
      </c>
      <c r="V1017" s="2395" t="str">
        <f t="shared" si="64"/>
        <v/>
      </c>
    </row>
    <row r="1018" spans="3:24">
      <c r="C1018">
        <v>2023</v>
      </c>
      <c r="D1018" t="s">
        <v>2164</v>
      </c>
      <c r="F1018">
        <v>1202049905</v>
      </c>
      <c r="G1018" t="s">
        <v>1557</v>
      </c>
      <c r="H1018" t="s">
        <v>1476</v>
      </c>
      <c r="I1018" t="s">
        <v>2178</v>
      </c>
      <c r="J1018" t="s">
        <v>64</v>
      </c>
      <c r="K1018">
        <v>7900001756</v>
      </c>
      <c r="L1018" t="s">
        <v>1476</v>
      </c>
      <c r="M1018" s="2381">
        <v>9859530.4399999995</v>
      </c>
      <c r="N1018">
        <v>4531.75</v>
      </c>
      <c r="O1018">
        <v>40</v>
      </c>
      <c r="P1018" s="1633">
        <v>44680927073</v>
      </c>
      <c r="Q1018" t="s">
        <v>106</v>
      </c>
      <c r="R1018" s="2392">
        <v>44957</v>
      </c>
      <c r="S1018" s="2393">
        <f t="shared" si="67"/>
        <v>4531.75</v>
      </c>
      <c r="T1018" s="2394">
        <f>IF(OR(J1018="COP",J1018="EURO",J1018="GBP"),0,IF(J1018="USD",VLOOKUP(R1018,'TRM BanRep'!$A:$G,7,0)))</f>
        <v>4632.2</v>
      </c>
      <c r="U1018" s="2465">
        <f t="shared" si="68"/>
        <v>990389833</v>
      </c>
      <c r="V1018" s="2465" t="s">
        <v>2247</v>
      </c>
    </row>
    <row r="1019" spans="3:24">
      <c r="C1019">
        <v>2023</v>
      </c>
      <c r="D1019" t="s">
        <v>2164</v>
      </c>
      <c r="F1019">
        <v>1202049905</v>
      </c>
      <c r="G1019" t="s">
        <v>1557</v>
      </c>
      <c r="H1019" t="s">
        <v>1476</v>
      </c>
      <c r="I1019" t="s">
        <v>2179</v>
      </c>
      <c r="J1019" t="s">
        <v>64</v>
      </c>
      <c r="K1019">
        <v>7900001785</v>
      </c>
      <c r="L1019" t="s">
        <v>1476</v>
      </c>
      <c r="M1019" s="1633">
        <v>-4800000</v>
      </c>
      <c r="N1019">
        <v>4638</v>
      </c>
      <c r="O1019">
        <v>50</v>
      </c>
      <c r="P1019" s="1633">
        <v>-22262400000</v>
      </c>
      <c r="Q1019" t="s">
        <v>106</v>
      </c>
      <c r="R1019" s="2392">
        <v>44957</v>
      </c>
      <c r="S1019" s="2393">
        <f t="shared" si="67"/>
        <v>4638</v>
      </c>
      <c r="T1019" s="2394">
        <f>IF(OR(J1019="COP",J1019="EURO",J1019="GBP"),0,IF(J1019="USD",VLOOKUP(R1019,'TRM BanRep'!$A:$G,7,0)))</f>
        <v>4632.2</v>
      </c>
      <c r="U1019" s="2395">
        <f t="shared" si="68"/>
        <v>27840000</v>
      </c>
      <c r="V1019" s="2395" t="str">
        <f t="shared" si="64"/>
        <v>2-GASTO</v>
      </c>
    </row>
    <row r="1020" spans="3:24" hidden="1">
      <c r="C1020">
        <v>2023</v>
      </c>
      <c r="D1020" t="s">
        <v>2164</v>
      </c>
      <c r="F1020">
        <v>1202049905</v>
      </c>
      <c r="G1020" t="s">
        <v>1557</v>
      </c>
      <c r="H1020" t="s">
        <v>1476</v>
      </c>
      <c r="I1020" t="s">
        <v>2180</v>
      </c>
      <c r="J1020" t="s">
        <v>106</v>
      </c>
      <c r="K1020">
        <v>7900001786</v>
      </c>
      <c r="L1020" t="s">
        <v>1476</v>
      </c>
      <c r="M1020" s="1633">
        <v>22262400000</v>
      </c>
      <c r="N1020">
        <v>1</v>
      </c>
      <c r="O1020">
        <v>40</v>
      </c>
      <c r="P1020" s="1633">
        <v>22262400000</v>
      </c>
      <c r="Q1020" t="s">
        <v>106</v>
      </c>
      <c r="R1020" s="2392">
        <v>44957</v>
      </c>
      <c r="S1020" s="2393">
        <f t="shared" si="67"/>
        <v>1</v>
      </c>
      <c r="T1020" s="2394">
        <f>IF(OR(J1020="COP",J1020="EURO",J1020="GBP"),0,IF(J1020="USD",VLOOKUP(R1020,'TRM BanRep'!$A:$G,7,0)))</f>
        <v>0</v>
      </c>
      <c r="U1020" s="2395">
        <f t="shared" si="68"/>
        <v>0</v>
      </c>
      <c r="V1020" s="2395" t="str">
        <f t="shared" si="64"/>
        <v/>
      </c>
    </row>
    <row r="1021" spans="3:24" hidden="1">
      <c r="C1021">
        <v>2023</v>
      </c>
      <c r="D1021" t="s">
        <v>2164</v>
      </c>
      <c r="F1021">
        <v>1202049905</v>
      </c>
      <c r="G1021" t="s">
        <v>1557</v>
      </c>
      <c r="H1021" t="s">
        <v>1476</v>
      </c>
      <c r="I1021" t="s">
        <v>2177</v>
      </c>
      <c r="J1021" t="s">
        <v>106</v>
      </c>
      <c r="K1021">
        <v>7900001794</v>
      </c>
      <c r="L1021" t="s">
        <v>1476</v>
      </c>
      <c r="M1021" s="1633">
        <v>44680927073</v>
      </c>
      <c r="N1021">
        <v>1</v>
      </c>
      <c r="O1021">
        <v>40</v>
      </c>
      <c r="P1021" s="1633">
        <v>44680927073</v>
      </c>
      <c r="Q1021" t="s">
        <v>106</v>
      </c>
      <c r="R1021" s="2392">
        <v>44957</v>
      </c>
      <c r="S1021" s="2393">
        <f t="shared" si="67"/>
        <v>1</v>
      </c>
      <c r="T1021" s="2394">
        <f>IF(OR(J1021="COP",J1021="EURO",J1021="GBP"),0,IF(J1021="USD",VLOOKUP(R1021,'TRM BanRep'!$A:$G,7,0)))</f>
        <v>0</v>
      </c>
      <c r="U1021" s="2395">
        <f t="shared" si="68"/>
        <v>0</v>
      </c>
      <c r="V1021" s="2395" t="str">
        <f t="shared" si="64"/>
        <v/>
      </c>
    </row>
    <row r="1022" spans="3:24">
      <c r="C1022">
        <v>2023</v>
      </c>
      <c r="D1022" t="s">
        <v>2164</v>
      </c>
      <c r="F1022">
        <v>1202049905</v>
      </c>
      <c r="G1022" t="s">
        <v>1557</v>
      </c>
      <c r="H1022" t="s">
        <v>1476</v>
      </c>
      <c r="I1022" t="s">
        <v>2178</v>
      </c>
      <c r="J1022" t="s">
        <v>64</v>
      </c>
      <c r="K1022">
        <v>7900001795</v>
      </c>
      <c r="L1022" t="s">
        <v>1476</v>
      </c>
      <c r="M1022" s="2381">
        <v>-9859530.4399999995</v>
      </c>
      <c r="N1022">
        <v>4531.75</v>
      </c>
      <c r="O1022">
        <v>50</v>
      </c>
      <c r="P1022" s="1633">
        <v>-44680927073</v>
      </c>
      <c r="Q1022" t="s">
        <v>106</v>
      </c>
      <c r="R1022" s="2392">
        <v>44957</v>
      </c>
      <c r="S1022" s="2393">
        <f t="shared" si="67"/>
        <v>4531.75</v>
      </c>
      <c r="T1022" s="2394">
        <f>IF(OR(J1022="COP",J1022="EURO",J1022="GBP"),0,IF(J1022="USD",VLOOKUP(R1022,'TRM BanRep'!$A:$G,7,0)))</f>
        <v>4632.2</v>
      </c>
      <c r="U1022" s="2465">
        <f t="shared" si="68"/>
        <v>-990389833</v>
      </c>
      <c r="V1022" s="2465" t="s">
        <v>2247</v>
      </c>
    </row>
    <row r="1023" spans="3:24" hidden="1">
      <c r="C1023">
        <v>2023</v>
      </c>
      <c r="D1023" t="s">
        <v>2164</v>
      </c>
      <c r="F1023">
        <v>1202049905</v>
      </c>
      <c r="G1023" t="s">
        <v>1557</v>
      </c>
      <c r="H1023" t="s">
        <v>1476</v>
      </c>
      <c r="I1023" t="s">
        <v>2181</v>
      </c>
      <c r="J1023" t="s">
        <v>106</v>
      </c>
      <c r="K1023">
        <v>7900001803</v>
      </c>
      <c r="L1023" t="s">
        <v>1476</v>
      </c>
      <c r="M1023" s="1633">
        <v>-44680927073</v>
      </c>
      <c r="N1023">
        <v>1</v>
      </c>
      <c r="O1023">
        <v>50</v>
      </c>
      <c r="P1023" s="1633">
        <v>-44680927073</v>
      </c>
      <c r="Q1023" t="s">
        <v>106</v>
      </c>
      <c r="R1023" s="2392">
        <v>44957</v>
      </c>
      <c r="S1023" s="2393">
        <f t="shared" si="67"/>
        <v>1</v>
      </c>
      <c r="T1023" s="2394">
        <f>IF(OR(J1023="COP",J1023="EURO",J1023="GBP"),0,IF(J1023="USD",VLOOKUP(R1023,'TRM BanRep'!$A:$G,7,0)))</f>
        <v>0</v>
      </c>
      <c r="U1023" s="2395">
        <f t="shared" si="68"/>
        <v>0</v>
      </c>
      <c r="V1023" s="2395" t="str">
        <f t="shared" si="64"/>
        <v/>
      </c>
    </row>
    <row r="1024" spans="3:24">
      <c r="C1024">
        <v>2023</v>
      </c>
      <c r="D1024" t="s">
        <v>2164</v>
      </c>
      <c r="F1024">
        <v>1202049905</v>
      </c>
      <c r="G1024" t="s">
        <v>1557</v>
      </c>
      <c r="H1024" t="s">
        <v>1476</v>
      </c>
      <c r="I1024" t="s">
        <v>2182</v>
      </c>
      <c r="J1024" t="s">
        <v>64</v>
      </c>
      <c r="K1024">
        <v>7900001804</v>
      </c>
      <c r="L1024" t="s">
        <v>1476</v>
      </c>
      <c r="M1024" s="2547">
        <v>9859530.4399999995</v>
      </c>
      <c r="N1024">
        <v>4531.75</v>
      </c>
      <c r="O1024">
        <v>40</v>
      </c>
      <c r="P1024" s="1633">
        <v>44680927073</v>
      </c>
      <c r="Q1024" t="s">
        <v>106</v>
      </c>
      <c r="R1024" s="2392">
        <v>44957</v>
      </c>
      <c r="S1024" s="2393">
        <f t="shared" si="67"/>
        <v>4531.75</v>
      </c>
      <c r="T1024" s="2394">
        <f>IF(OR(J1024="COP",J1024="EURO",J1024="GBP"),0,IF(J1024="USD",VLOOKUP(R1024,'TRM BanRep'!$A:$G,7,0)))</f>
        <v>4632.2</v>
      </c>
      <c r="U1024" s="2407">
        <f t="shared" si="68"/>
        <v>990389833</v>
      </c>
      <c r="V1024" s="2395" t="str">
        <f t="shared" si="64"/>
        <v>2-GASTO</v>
      </c>
      <c r="X1024">
        <v>5803010300</v>
      </c>
    </row>
    <row r="1025" spans="3:22" hidden="1">
      <c r="C1025">
        <v>2023</v>
      </c>
      <c r="D1025" t="s">
        <v>2164</v>
      </c>
      <c r="F1025">
        <v>2422999997</v>
      </c>
      <c r="G1025" t="s">
        <v>1739</v>
      </c>
      <c r="H1025" t="s">
        <v>1480</v>
      </c>
      <c r="I1025" t="s">
        <v>1962</v>
      </c>
      <c r="J1025" t="s">
        <v>106</v>
      </c>
      <c r="K1025">
        <v>100000754</v>
      </c>
      <c r="L1025" t="s">
        <v>1480</v>
      </c>
      <c r="M1025" s="1633">
        <v>-3594191580</v>
      </c>
      <c r="N1025">
        <v>1</v>
      </c>
      <c r="O1025">
        <v>50</v>
      </c>
      <c r="P1025" s="1633">
        <v>-3594191580</v>
      </c>
      <c r="Q1025" t="s">
        <v>106</v>
      </c>
      <c r="R1025" s="2392">
        <v>44936</v>
      </c>
      <c r="S1025" s="2393">
        <f t="shared" si="67"/>
        <v>1</v>
      </c>
      <c r="T1025" s="2394">
        <f>IF(OR(J1025="COP",J1025="EURO",J1025="GBP"),0,IF(J1025="USD",VLOOKUP(R1025,'TRM BanRep'!$A:$G,7,0)))</f>
        <v>0</v>
      </c>
      <c r="U1025" s="2395">
        <f t="shared" si="68"/>
        <v>0</v>
      </c>
      <c r="V1025" s="2395" t="str">
        <f t="shared" si="64"/>
        <v/>
      </c>
    </row>
    <row r="1026" spans="3:22" hidden="1">
      <c r="C1026">
        <v>2023</v>
      </c>
      <c r="D1026" t="s">
        <v>2164</v>
      </c>
      <c r="F1026">
        <v>2422999997</v>
      </c>
      <c r="G1026" t="s">
        <v>1739</v>
      </c>
      <c r="H1026" t="s">
        <v>1480</v>
      </c>
      <c r="I1026" t="s">
        <v>2054</v>
      </c>
      <c r="J1026" t="s">
        <v>106</v>
      </c>
      <c r="K1026">
        <v>100000755</v>
      </c>
      <c r="L1026" t="s">
        <v>1480</v>
      </c>
      <c r="M1026" s="1633">
        <v>-3933105888</v>
      </c>
      <c r="N1026">
        <v>1</v>
      </c>
      <c r="O1026">
        <v>50</v>
      </c>
      <c r="P1026" s="1633">
        <v>-3933105888</v>
      </c>
      <c r="Q1026" t="s">
        <v>106</v>
      </c>
      <c r="R1026" s="2392">
        <v>44936</v>
      </c>
      <c r="S1026" s="2393">
        <f t="shared" si="67"/>
        <v>1</v>
      </c>
      <c r="T1026" s="2394">
        <f>IF(OR(J1026="COP",J1026="EURO",J1026="GBP"),0,IF(J1026="USD",VLOOKUP(R1026,'TRM BanRep'!$A:$G,7,0)))</f>
        <v>0</v>
      </c>
      <c r="U1026" s="2395">
        <f t="shared" si="68"/>
        <v>0</v>
      </c>
      <c r="V1026" s="2395" t="str">
        <f t="shared" si="64"/>
        <v/>
      </c>
    </row>
    <row r="1027" spans="3:22" hidden="1">
      <c r="C1027">
        <v>2023</v>
      </c>
      <c r="D1027" t="s">
        <v>2164</v>
      </c>
      <c r="F1027">
        <v>2422999997</v>
      </c>
      <c r="G1027" t="s">
        <v>1785</v>
      </c>
      <c r="H1027" t="s">
        <v>1480</v>
      </c>
      <c r="I1027" t="s">
        <v>2183</v>
      </c>
      <c r="J1027" t="s">
        <v>106</v>
      </c>
      <c r="K1027">
        <v>100004224</v>
      </c>
      <c r="L1027" t="s">
        <v>1480</v>
      </c>
      <c r="M1027" s="1633">
        <v>7527297468</v>
      </c>
      <c r="N1027">
        <v>1</v>
      </c>
      <c r="O1027">
        <v>40</v>
      </c>
      <c r="P1027" s="1633">
        <v>7527297468</v>
      </c>
      <c r="Q1027" t="s">
        <v>106</v>
      </c>
      <c r="R1027" s="2392">
        <v>44936</v>
      </c>
      <c r="S1027" s="2393">
        <f t="shared" si="67"/>
        <v>1</v>
      </c>
      <c r="T1027" s="2394">
        <f>IF(OR(J1027="COP",J1027="EURO",J1027="GBP"),0,IF(J1027="USD",VLOOKUP(R1027,'TRM BanRep'!$A:$G,7,0)))</f>
        <v>0</v>
      </c>
      <c r="U1027" s="2395">
        <f t="shared" si="68"/>
        <v>0</v>
      </c>
      <c r="V1027" s="2395" t="str">
        <f t="shared" si="64"/>
        <v/>
      </c>
    </row>
    <row r="1028" spans="3:22" hidden="1">
      <c r="C1028">
        <v>2023</v>
      </c>
      <c r="D1028" t="s">
        <v>2164</v>
      </c>
      <c r="F1028">
        <v>2422999997</v>
      </c>
      <c r="G1028" t="s">
        <v>1606</v>
      </c>
      <c r="H1028" t="s">
        <v>2184</v>
      </c>
      <c r="I1028" t="s">
        <v>1607</v>
      </c>
      <c r="J1028" t="s">
        <v>106</v>
      </c>
      <c r="K1028">
        <v>7900000513</v>
      </c>
      <c r="L1028" t="s">
        <v>2184</v>
      </c>
      <c r="M1028" s="1633">
        <v>-829484525</v>
      </c>
      <c r="N1028">
        <v>1</v>
      </c>
      <c r="O1028">
        <v>50</v>
      </c>
      <c r="P1028" s="1633">
        <v>-829484525</v>
      </c>
      <c r="Q1028" t="s">
        <v>106</v>
      </c>
      <c r="R1028" s="2392">
        <v>44928</v>
      </c>
      <c r="S1028" s="2393">
        <f t="shared" si="67"/>
        <v>1</v>
      </c>
      <c r="T1028" s="2394">
        <f>IF(OR(J1028="COP",J1028="EURO",J1028="GBP"),0,IF(J1028="USD",VLOOKUP(R1028,'TRM BanRep'!$A:$G,7,0)))</f>
        <v>0</v>
      </c>
      <c r="U1028" s="2395">
        <f t="shared" si="68"/>
        <v>0</v>
      </c>
      <c r="V1028" s="2395" t="str">
        <f t="shared" si="64"/>
        <v/>
      </c>
    </row>
    <row r="1029" spans="3:22" hidden="1">
      <c r="C1029">
        <v>2023</v>
      </c>
      <c r="D1029" t="s">
        <v>2164</v>
      </c>
      <c r="F1029">
        <v>2422999997</v>
      </c>
      <c r="G1029" t="s">
        <v>1606</v>
      </c>
      <c r="H1029" t="s">
        <v>2184</v>
      </c>
      <c r="I1029" t="s">
        <v>1966</v>
      </c>
      <c r="J1029" t="s">
        <v>106</v>
      </c>
      <c r="K1029">
        <v>7900000516</v>
      </c>
      <c r="L1029" t="s">
        <v>2184</v>
      </c>
      <c r="M1029" s="1633">
        <v>-3379824343</v>
      </c>
      <c r="N1029">
        <v>1</v>
      </c>
      <c r="O1029">
        <v>50</v>
      </c>
      <c r="P1029" s="1633">
        <v>-3379824343</v>
      </c>
      <c r="Q1029" t="s">
        <v>106</v>
      </c>
      <c r="R1029" s="2392">
        <v>44928</v>
      </c>
      <c r="S1029" s="2393">
        <f t="shared" si="67"/>
        <v>1</v>
      </c>
      <c r="T1029" s="2394">
        <f>IF(OR(J1029="COP",J1029="EURO",J1029="GBP"),0,IF(J1029="USD",VLOOKUP(R1029,'TRM BanRep'!$A:$G,7,0)))</f>
        <v>0</v>
      </c>
      <c r="U1029" s="2395">
        <f t="shared" si="68"/>
        <v>0</v>
      </c>
      <c r="V1029" s="2395" t="str">
        <f t="shared" si="64"/>
        <v/>
      </c>
    </row>
    <row r="1030" spans="3:22" hidden="1">
      <c r="C1030">
        <v>2023</v>
      </c>
      <c r="D1030" t="s">
        <v>2164</v>
      </c>
      <c r="F1030">
        <v>2422999997</v>
      </c>
      <c r="G1030" t="s">
        <v>1557</v>
      </c>
      <c r="H1030" t="s">
        <v>1478</v>
      </c>
      <c r="I1030" t="s">
        <v>2166</v>
      </c>
      <c r="J1030" t="s">
        <v>106</v>
      </c>
      <c r="K1030">
        <v>7900000658</v>
      </c>
      <c r="L1030" t="s">
        <v>1478</v>
      </c>
      <c r="M1030" s="1633">
        <v>-16964708000</v>
      </c>
      <c r="N1030">
        <v>1</v>
      </c>
      <c r="O1030">
        <v>50</v>
      </c>
      <c r="P1030" s="1633">
        <v>-16964708000</v>
      </c>
      <c r="Q1030" t="s">
        <v>106</v>
      </c>
      <c r="R1030" s="2392">
        <v>44931</v>
      </c>
      <c r="S1030" s="2393">
        <f t="shared" si="67"/>
        <v>1</v>
      </c>
      <c r="T1030" s="2394">
        <f>IF(OR(J1030="COP",J1030="EURO",J1030="GBP"),0,IF(J1030="USD",VLOOKUP(R1030,'TRM BanRep'!$A:$G,7,0)))</f>
        <v>0</v>
      </c>
      <c r="U1030" s="2395">
        <f t="shared" si="68"/>
        <v>0</v>
      </c>
      <c r="V1030" s="2395" t="str">
        <f t="shared" si="64"/>
        <v/>
      </c>
    </row>
    <row r="1031" spans="3:22" hidden="1">
      <c r="C1031">
        <v>2023</v>
      </c>
      <c r="D1031" t="s">
        <v>2164</v>
      </c>
      <c r="F1031">
        <v>2422999997</v>
      </c>
      <c r="G1031" t="s">
        <v>1557</v>
      </c>
      <c r="H1031" t="s">
        <v>1480</v>
      </c>
      <c r="I1031" t="s">
        <v>2168</v>
      </c>
      <c r="J1031" t="s">
        <v>64</v>
      </c>
      <c r="K1031">
        <v>7900000598</v>
      </c>
      <c r="L1031" t="s">
        <v>1480</v>
      </c>
      <c r="M1031" s="1633">
        <v>-788263.92</v>
      </c>
      <c r="N1031">
        <v>4989.58</v>
      </c>
      <c r="O1031">
        <v>50</v>
      </c>
      <c r="P1031" s="1633">
        <v>-3933105888</v>
      </c>
      <c r="Q1031" t="s">
        <v>106</v>
      </c>
      <c r="R1031" s="2392">
        <v>44936</v>
      </c>
      <c r="S1031" s="2393">
        <f t="shared" si="67"/>
        <v>4989.58</v>
      </c>
      <c r="T1031" s="2394">
        <f>IF(OR(J1031="COP",J1031="EURO",J1031="GBP"),0,IF(J1031="USD",VLOOKUP(R1031,'TRM BanRep'!$A:$G,7,0)))</f>
        <v>4885.66</v>
      </c>
      <c r="U1031" s="2395">
        <f t="shared" si="68"/>
        <v>-81916387</v>
      </c>
      <c r="V1031" s="2395" t="str">
        <f t="shared" ref="V1031:V1070" si="69">IF(U1031=0,"",IF(U1031&gt;0,"2-GASTO","1-INGRESO"))</f>
        <v>1-INGRESO</v>
      </c>
    </row>
    <row r="1032" spans="3:22" hidden="1">
      <c r="C1032">
        <v>2023</v>
      </c>
      <c r="D1032" t="s">
        <v>2164</v>
      </c>
      <c r="F1032">
        <v>2422999997</v>
      </c>
      <c r="G1032" t="s">
        <v>1557</v>
      </c>
      <c r="H1032" t="s">
        <v>1480</v>
      </c>
      <c r="I1032" t="s">
        <v>2170</v>
      </c>
      <c r="J1032" t="s">
        <v>64</v>
      </c>
      <c r="K1032">
        <v>7900000606</v>
      </c>
      <c r="L1032" t="s">
        <v>1480</v>
      </c>
      <c r="M1032" s="1633">
        <v>-720339.5</v>
      </c>
      <c r="N1032">
        <v>4989.5800200000003</v>
      </c>
      <c r="O1032">
        <v>50</v>
      </c>
      <c r="P1032" s="1633">
        <v>-3594191580</v>
      </c>
      <c r="Q1032" t="s">
        <v>106</v>
      </c>
      <c r="R1032" s="2392">
        <v>44936</v>
      </c>
      <c r="S1032" s="2393">
        <f t="shared" si="67"/>
        <v>4989.58</v>
      </c>
      <c r="T1032" s="2394">
        <f>IF(OR(J1032="COP",J1032="EURO",J1032="GBP"),0,IF(J1032="USD",VLOOKUP(R1032,'TRM BanRep'!$A:$G,7,0)))</f>
        <v>4885.66</v>
      </c>
      <c r="U1032" s="2395">
        <f t="shared" si="68"/>
        <v>-74857681</v>
      </c>
      <c r="V1032" s="2395" t="str">
        <f t="shared" si="69"/>
        <v>1-INGRESO</v>
      </c>
    </row>
    <row r="1033" spans="3:22" hidden="1">
      <c r="C1033">
        <v>2023</v>
      </c>
      <c r="D1033" t="s">
        <v>2164</v>
      </c>
      <c r="F1033">
        <v>2422999997</v>
      </c>
      <c r="G1033" t="s">
        <v>1557</v>
      </c>
      <c r="H1033" t="s">
        <v>1482</v>
      </c>
      <c r="I1033" t="s">
        <v>2172</v>
      </c>
      <c r="J1033" t="s">
        <v>106</v>
      </c>
      <c r="K1033">
        <v>7900000678</v>
      </c>
      <c r="L1033" t="s">
        <v>1482</v>
      </c>
      <c r="M1033" s="1633">
        <v>-131600000000</v>
      </c>
      <c r="N1033">
        <v>1</v>
      </c>
      <c r="O1033">
        <v>50</v>
      </c>
      <c r="P1033" s="1633">
        <v>-131600000000</v>
      </c>
      <c r="Q1033" t="s">
        <v>106</v>
      </c>
      <c r="R1033" s="2392">
        <v>44938</v>
      </c>
      <c r="S1033" s="2393">
        <f t="shared" si="67"/>
        <v>1</v>
      </c>
      <c r="T1033" s="2394">
        <f>IF(OR(J1033="COP",J1033="EURO",J1033="GBP"),0,IF(J1033="USD",VLOOKUP(R1033,'TRM BanRep'!$A:$G,7,0)))</f>
        <v>0</v>
      </c>
      <c r="U1033" s="2395">
        <f t="shared" si="68"/>
        <v>0</v>
      </c>
      <c r="V1033" s="2395" t="str">
        <f t="shared" si="69"/>
        <v/>
      </c>
    </row>
    <row r="1034" spans="3:22" hidden="1">
      <c r="C1034">
        <v>2023</v>
      </c>
      <c r="D1034" t="s">
        <v>2164</v>
      </c>
      <c r="F1034">
        <v>2422999997</v>
      </c>
      <c r="G1034" t="s">
        <v>1557</v>
      </c>
      <c r="H1034" t="s">
        <v>1484</v>
      </c>
      <c r="I1034" t="s">
        <v>2174</v>
      </c>
      <c r="J1034" t="s">
        <v>106</v>
      </c>
      <c r="K1034">
        <v>7900000758</v>
      </c>
      <c r="L1034" t="s">
        <v>1484</v>
      </c>
      <c r="M1034" s="1633">
        <v>-13286850000</v>
      </c>
      <c r="N1034">
        <v>1</v>
      </c>
      <c r="O1034">
        <v>50</v>
      </c>
      <c r="P1034" s="1633">
        <v>-13286850000</v>
      </c>
      <c r="Q1034" t="s">
        <v>106</v>
      </c>
      <c r="R1034" s="2392">
        <v>44943</v>
      </c>
      <c r="S1034" s="2393">
        <f t="shared" si="67"/>
        <v>1</v>
      </c>
      <c r="T1034" s="2394">
        <f>IF(OR(J1034="COP",J1034="EURO",J1034="GBP"),0,IF(J1034="USD",VLOOKUP(R1034,'TRM BanRep'!$A:$G,7,0)))</f>
        <v>0</v>
      </c>
      <c r="U1034" s="2395">
        <f t="shared" si="68"/>
        <v>0</v>
      </c>
      <c r="V1034" s="2395" t="str">
        <f t="shared" si="69"/>
        <v/>
      </c>
    </row>
    <row r="1035" spans="3:22" hidden="1">
      <c r="C1035">
        <v>2023</v>
      </c>
      <c r="D1035" t="s">
        <v>2164</v>
      </c>
      <c r="F1035">
        <v>2422999997</v>
      </c>
      <c r="G1035" t="s">
        <v>1557</v>
      </c>
      <c r="H1035" t="s">
        <v>1484</v>
      </c>
      <c r="I1035" t="s">
        <v>2176</v>
      </c>
      <c r="J1035" t="s">
        <v>106</v>
      </c>
      <c r="K1035">
        <v>7900000766</v>
      </c>
      <c r="L1035" t="s">
        <v>1484</v>
      </c>
      <c r="M1035" s="1633">
        <v>-11725500000</v>
      </c>
      <c r="N1035">
        <v>1</v>
      </c>
      <c r="O1035">
        <v>50</v>
      </c>
      <c r="P1035" s="1633">
        <v>-11725500000</v>
      </c>
      <c r="Q1035" t="s">
        <v>106</v>
      </c>
      <c r="R1035" s="2392">
        <v>44943</v>
      </c>
      <c r="S1035" s="2393">
        <f t="shared" si="67"/>
        <v>1</v>
      </c>
      <c r="T1035" s="2394">
        <f>IF(OR(J1035="COP",J1035="EURO",J1035="GBP"),0,IF(J1035="USD",VLOOKUP(R1035,'TRM BanRep'!$A:$G,7,0)))</f>
        <v>0</v>
      </c>
      <c r="U1035" s="2395">
        <f t="shared" si="68"/>
        <v>0</v>
      </c>
      <c r="V1035" s="2395" t="str">
        <f t="shared" si="69"/>
        <v/>
      </c>
    </row>
    <row r="1036" spans="3:22" hidden="1">
      <c r="C1036">
        <v>2023</v>
      </c>
      <c r="D1036" t="s">
        <v>2164</v>
      </c>
      <c r="F1036">
        <v>2422999997</v>
      </c>
      <c r="G1036" t="s">
        <v>1557</v>
      </c>
      <c r="H1036" t="s">
        <v>1476</v>
      </c>
      <c r="I1036" t="s">
        <v>2178</v>
      </c>
      <c r="J1036" t="s">
        <v>64</v>
      </c>
      <c r="K1036">
        <v>7900001756</v>
      </c>
      <c r="L1036" t="s">
        <v>1476</v>
      </c>
      <c r="M1036" s="1633">
        <v>-9859530.4399999995</v>
      </c>
      <c r="N1036">
        <v>4531.75</v>
      </c>
      <c r="O1036">
        <v>50</v>
      </c>
      <c r="P1036" s="1633">
        <v>-44680927073</v>
      </c>
      <c r="Q1036" t="s">
        <v>106</v>
      </c>
      <c r="R1036" s="2392">
        <v>44957</v>
      </c>
      <c r="S1036" s="2393">
        <f t="shared" si="67"/>
        <v>4531.75</v>
      </c>
      <c r="T1036" s="2394">
        <f>IF(OR(J1036="COP",J1036="EURO",J1036="GBP"),0,IF(J1036="USD",VLOOKUP(R1036,'TRM BanRep'!$A:$G,7,0)))</f>
        <v>4632.2</v>
      </c>
      <c r="U1036" s="2395">
        <f t="shared" si="68"/>
        <v>990389833</v>
      </c>
      <c r="V1036" s="2395" t="s">
        <v>2247</v>
      </c>
    </row>
    <row r="1037" spans="3:22" hidden="1">
      <c r="C1037">
        <v>2023</v>
      </c>
      <c r="D1037" t="s">
        <v>2164</v>
      </c>
      <c r="F1037">
        <v>2422999997</v>
      </c>
      <c r="G1037" t="s">
        <v>1557</v>
      </c>
      <c r="H1037" t="s">
        <v>1476</v>
      </c>
      <c r="I1037" t="s">
        <v>2180</v>
      </c>
      <c r="J1037" t="s">
        <v>106</v>
      </c>
      <c r="K1037">
        <v>7900001786</v>
      </c>
      <c r="L1037" t="s">
        <v>1476</v>
      </c>
      <c r="M1037" s="1633">
        <v>-22262400000</v>
      </c>
      <c r="N1037">
        <v>1</v>
      </c>
      <c r="O1037">
        <v>50</v>
      </c>
      <c r="P1037" s="1633">
        <v>-22262400000</v>
      </c>
      <c r="Q1037" t="s">
        <v>106</v>
      </c>
      <c r="R1037" s="2392">
        <v>44957</v>
      </c>
      <c r="S1037" s="2393">
        <f t="shared" si="67"/>
        <v>1</v>
      </c>
      <c r="T1037" s="2394">
        <f>IF(OR(J1037="COP",J1037="EURO",J1037="GBP"),0,IF(J1037="USD",VLOOKUP(R1037,'TRM BanRep'!$A:$G,7,0)))</f>
        <v>0</v>
      </c>
      <c r="U1037" s="2395">
        <f t="shared" si="68"/>
        <v>0</v>
      </c>
      <c r="V1037" s="2395" t="str">
        <f t="shared" si="69"/>
        <v/>
      </c>
    </row>
    <row r="1038" spans="3:22" hidden="1">
      <c r="C1038">
        <v>2023</v>
      </c>
      <c r="D1038" t="s">
        <v>2164</v>
      </c>
      <c r="F1038">
        <v>2422999997</v>
      </c>
      <c r="G1038" t="s">
        <v>1557</v>
      </c>
      <c r="H1038" t="s">
        <v>1476</v>
      </c>
      <c r="I1038" t="s">
        <v>2178</v>
      </c>
      <c r="J1038" t="s">
        <v>64</v>
      </c>
      <c r="K1038">
        <v>7900001795</v>
      </c>
      <c r="L1038" t="s">
        <v>1476</v>
      </c>
      <c r="M1038" s="1633">
        <v>9859530.4399999995</v>
      </c>
      <c r="N1038">
        <v>4531.75</v>
      </c>
      <c r="O1038">
        <v>40</v>
      </c>
      <c r="P1038" s="1633">
        <v>44680927073</v>
      </c>
      <c r="Q1038" t="s">
        <v>106</v>
      </c>
      <c r="R1038" s="2392">
        <v>44957</v>
      </c>
      <c r="S1038" s="2393">
        <f t="shared" si="67"/>
        <v>4531.75</v>
      </c>
      <c r="T1038" s="2394">
        <f>IF(OR(J1038="COP",J1038="EURO",J1038="GBP"),0,IF(J1038="USD",VLOOKUP(R1038,'TRM BanRep'!$A:$G,7,0)))</f>
        <v>4632.2</v>
      </c>
      <c r="U1038" s="2395">
        <f t="shared" si="68"/>
        <v>-990389833</v>
      </c>
      <c r="V1038" s="2395" t="s">
        <v>2247</v>
      </c>
    </row>
    <row r="1039" spans="3:22" hidden="1">
      <c r="C1039">
        <v>2023</v>
      </c>
      <c r="D1039" t="s">
        <v>2164</v>
      </c>
      <c r="F1039">
        <v>2422999997</v>
      </c>
      <c r="G1039" t="s">
        <v>1608</v>
      </c>
      <c r="H1039" t="s">
        <v>2184</v>
      </c>
      <c r="J1039" t="s">
        <v>106</v>
      </c>
      <c r="K1039">
        <v>2000000019</v>
      </c>
      <c r="L1039" t="s">
        <v>2184</v>
      </c>
      <c r="M1039" s="1633">
        <v>8997263052</v>
      </c>
      <c r="N1039">
        <v>1</v>
      </c>
      <c r="O1039">
        <v>40</v>
      </c>
      <c r="P1039" s="1633">
        <v>8997263052</v>
      </c>
      <c r="Q1039" t="s">
        <v>106</v>
      </c>
      <c r="R1039" s="2392">
        <v>44928</v>
      </c>
      <c r="S1039" s="2393">
        <f t="shared" si="67"/>
        <v>1</v>
      </c>
      <c r="T1039" s="2394">
        <f>IF(OR(J1039="COP",J1039="EURO",J1039="GBP"),0,IF(J1039="USD",VLOOKUP(R1039,'TRM BanRep'!$A:$G,7,0)))</f>
        <v>0</v>
      </c>
      <c r="U1039" s="2395">
        <f t="shared" si="68"/>
        <v>0</v>
      </c>
      <c r="V1039" s="2395" t="str">
        <f t="shared" si="69"/>
        <v/>
      </c>
    </row>
    <row r="1040" spans="3:22" hidden="1">
      <c r="C1040">
        <v>2023</v>
      </c>
      <c r="D1040" t="s">
        <v>2164</v>
      </c>
      <c r="F1040">
        <v>2422999997</v>
      </c>
      <c r="G1040" t="s">
        <v>1608</v>
      </c>
      <c r="H1040" t="s">
        <v>1478</v>
      </c>
      <c r="J1040" t="s">
        <v>106</v>
      </c>
      <c r="K1040">
        <v>2000000490</v>
      </c>
      <c r="L1040" t="s">
        <v>1478</v>
      </c>
      <c r="M1040" s="1633">
        <v>16964708000</v>
      </c>
      <c r="N1040">
        <v>1</v>
      </c>
      <c r="O1040">
        <v>40</v>
      </c>
      <c r="P1040" s="1633">
        <v>16964708000</v>
      </c>
      <c r="Q1040" t="s">
        <v>106</v>
      </c>
      <c r="R1040" s="2392">
        <v>44931</v>
      </c>
      <c r="S1040" s="2393">
        <f t="shared" si="67"/>
        <v>1</v>
      </c>
      <c r="T1040" s="2394">
        <f>IF(OR(J1040="COP",J1040="EURO",J1040="GBP"),0,IF(J1040="USD",VLOOKUP(R1040,'TRM BanRep'!$A:$G,7,0)))</f>
        <v>0</v>
      </c>
      <c r="U1040" s="2395">
        <f t="shared" si="68"/>
        <v>0</v>
      </c>
      <c r="V1040" s="2395" t="str">
        <f t="shared" si="69"/>
        <v/>
      </c>
    </row>
    <row r="1041" spans="3:22" hidden="1">
      <c r="C1041">
        <v>2023</v>
      </c>
      <c r="D1041" t="s">
        <v>2164</v>
      </c>
      <c r="F1041">
        <v>2422999997</v>
      </c>
      <c r="G1041" t="s">
        <v>1608</v>
      </c>
      <c r="H1041" t="s">
        <v>1479</v>
      </c>
      <c r="J1041" t="s">
        <v>106</v>
      </c>
      <c r="K1041">
        <v>2000000334</v>
      </c>
      <c r="L1041" t="s">
        <v>1479</v>
      </c>
      <c r="M1041" s="1633">
        <v>10370101152</v>
      </c>
      <c r="N1041">
        <v>1</v>
      </c>
      <c r="O1041">
        <v>40</v>
      </c>
      <c r="P1041" s="1633">
        <v>10370101152</v>
      </c>
      <c r="Q1041" t="s">
        <v>106</v>
      </c>
      <c r="R1041" s="2392">
        <v>44932</v>
      </c>
      <c r="S1041" s="2393">
        <f t="shared" si="67"/>
        <v>1</v>
      </c>
      <c r="T1041" s="2394">
        <f>IF(OR(J1041="COP",J1041="EURO",J1041="GBP"),0,IF(J1041="USD",VLOOKUP(R1041,'TRM BanRep'!$A:$G,7,0)))</f>
        <v>0</v>
      </c>
      <c r="U1041" s="2395">
        <f t="shared" si="68"/>
        <v>0</v>
      </c>
      <c r="V1041" s="2395" t="str">
        <f t="shared" si="69"/>
        <v/>
      </c>
    </row>
    <row r="1042" spans="3:22" hidden="1">
      <c r="C1042">
        <v>2023</v>
      </c>
      <c r="D1042" t="s">
        <v>2164</v>
      </c>
      <c r="F1042">
        <v>2422999997</v>
      </c>
      <c r="G1042" t="s">
        <v>1608</v>
      </c>
      <c r="H1042" t="s">
        <v>1480</v>
      </c>
      <c r="J1042" t="s">
        <v>64</v>
      </c>
      <c r="K1042">
        <v>2000000356</v>
      </c>
      <c r="L1042" t="s">
        <v>1480</v>
      </c>
      <c r="M1042" s="1633">
        <v>788263.92</v>
      </c>
      <c r="N1042">
        <v>4989.58</v>
      </c>
      <c r="O1042">
        <v>40</v>
      </c>
      <c r="P1042" s="1633">
        <v>3933105888</v>
      </c>
      <c r="Q1042" t="s">
        <v>106</v>
      </c>
      <c r="R1042" s="2392">
        <v>44936</v>
      </c>
      <c r="S1042" s="2393">
        <f t="shared" si="67"/>
        <v>4989.58</v>
      </c>
      <c r="T1042" s="2394">
        <f>IF(OR(J1042="COP",J1042="EURO",J1042="GBP"),0,IF(J1042="USD",VLOOKUP(R1042,'TRM BanRep'!$A:$G,7,0)))</f>
        <v>4885.66</v>
      </c>
      <c r="U1042" s="2395">
        <f t="shared" si="68"/>
        <v>81916387</v>
      </c>
      <c r="V1042" s="2395" t="str">
        <f t="shared" si="69"/>
        <v>2-GASTO</v>
      </c>
    </row>
    <row r="1043" spans="3:22" hidden="1">
      <c r="C1043">
        <v>2023</v>
      </c>
      <c r="D1043" t="s">
        <v>2164</v>
      </c>
      <c r="F1043">
        <v>2422999997</v>
      </c>
      <c r="G1043" t="s">
        <v>1608</v>
      </c>
      <c r="H1043" t="s">
        <v>1480</v>
      </c>
      <c r="J1043" t="s">
        <v>64</v>
      </c>
      <c r="K1043">
        <v>2000000357</v>
      </c>
      <c r="L1043" t="s">
        <v>1480</v>
      </c>
      <c r="M1043" s="1633">
        <v>720339.5</v>
      </c>
      <c r="N1043">
        <v>4989.5800200000003</v>
      </c>
      <c r="O1043">
        <v>40</v>
      </c>
      <c r="P1043" s="1633">
        <v>3594191580</v>
      </c>
      <c r="Q1043" t="s">
        <v>106</v>
      </c>
      <c r="R1043" s="2392">
        <v>44936</v>
      </c>
      <c r="S1043" s="2393">
        <f t="shared" si="67"/>
        <v>4989.58</v>
      </c>
      <c r="T1043" s="2394">
        <f>IF(OR(J1043="COP",J1043="EURO",J1043="GBP"),0,IF(J1043="USD",VLOOKUP(R1043,'TRM BanRep'!$A:$G,7,0)))</f>
        <v>4885.66</v>
      </c>
      <c r="U1043" s="2395">
        <f t="shared" si="68"/>
        <v>74857681</v>
      </c>
      <c r="V1043" s="2395" t="str">
        <f t="shared" si="69"/>
        <v>2-GASTO</v>
      </c>
    </row>
    <row r="1044" spans="3:22" hidden="1">
      <c r="C1044">
        <v>2023</v>
      </c>
      <c r="D1044" t="s">
        <v>2164</v>
      </c>
      <c r="F1044">
        <v>2422999997</v>
      </c>
      <c r="G1044" t="s">
        <v>1608</v>
      </c>
      <c r="H1044" t="s">
        <v>1480</v>
      </c>
      <c r="J1044" t="s">
        <v>64</v>
      </c>
      <c r="K1044">
        <v>2000000358</v>
      </c>
      <c r="L1044" t="s">
        <v>1480</v>
      </c>
      <c r="M1044" s="1633">
        <v>1820166.47</v>
      </c>
      <c r="N1044">
        <v>4885.66</v>
      </c>
      <c r="O1044">
        <v>40</v>
      </c>
      <c r="P1044" s="1633">
        <v>8892714516</v>
      </c>
      <c r="Q1044" t="s">
        <v>106</v>
      </c>
      <c r="R1044" s="2392">
        <v>44936</v>
      </c>
      <c r="S1044" s="2393">
        <f t="shared" si="67"/>
        <v>4885.66</v>
      </c>
      <c r="T1044" s="2394">
        <f>IF(OR(J1044="COP",J1044="EURO",J1044="GBP"),0,IF(J1044="USD",VLOOKUP(R1044,'TRM BanRep'!$A:$G,7,0)))</f>
        <v>4885.66</v>
      </c>
      <c r="U1044" s="2395">
        <f t="shared" si="68"/>
        <v>0</v>
      </c>
      <c r="V1044" s="2395" t="str">
        <f t="shared" si="69"/>
        <v/>
      </c>
    </row>
    <row r="1045" spans="3:22" hidden="1">
      <c r="C1045">
        <v>2023</v>
      </c>
      <c r="D1045" t="s">
        <v>2164</v>
      </c>
      <c r="F1045">
        <v>2422999997</v>
      </c>
      <c r="G1045" t="s">
        <v>1608</v>
      </c>
      <c r="H1045" t="s">
        <v>1481</v>
      </c>
      <c r="J1045" t="s">
        <v>106</v>
      </c>
      <c r="K1045">
        <v>2000000399</v>
      </c>
      <c r="L1045" t="s">
        <v>1481</v>
      </c>
      <c r="M1045" s="1633">
        <v>1517506566</v>
      </c>
      <c r="N1045">
        <v>1</v>
      </c>
      <c r="O1045">
        <v>40</v>
      </c>
      <c r="P1045" s="1633">
        <v>1517506566</v>
      </c>
      <c r="Q1045" t="s">
        <v>106</v>
      </c>
      <c r="R1045" s="2392">
        <v>44937</v>
      </c>
      <c r="S1045" s="2393">
        <f t="shared" si="67"/>
        <v>1</v>
      </c>
      <c r="T1045" s="2394">
        <f>IF(OR(J1045="COP",J1045="EURO",J1045="GBP"),0,IF(J1045="USD",VLOOKUP(R1045,'TRM BanRep'!$A:$G,7,0)))</f>
        <v>0</v>
      </c>
      <c r="U1045" s="2395">
        <f t="shared" si="68"/>
        <v>0</v>
      </c>
      <c r="V1045" s="2395" t="str">
        <f t="shared" si="69"/>
        <v/>
      </c>
    </row>
    <row r="1046" spans="3:22" hidden="1">
      <c r="C1046">
        <v>2023</v>
      </c>
      <c r="D1046" t="s">
        <v>2164</v>
      </c>
      <c r="F1046">
        <v>2422999997</v>
      </c>
      <c r="G1046" t="s">
        <v>1608</v>
      </c>
      <c r="H1046" t="s">
        <v>1481</v>
      </c>
      <c r="J1046" t="s">
        <v>106</v>
      </c>
      <c r="K1046">
        <v>2000000400</v>
      </c>
      <c r="L1046" t="s">
        <v>1481</v>
      </c>
      <c r="M1046" s="1633">
        <v>2759102839</v>
      </c>
      <c r="N1046">
        <v>1</v>
      </c>
      <c r="O1046">
        <v>40</v>
      </c>
      <c r="P1046" s="1633">
        <v>2759102839</v>
      </c>
      <c r="Q1046" t="s">
        <v>106</v>
      </c>
      <c r="R1046" s="2392">
        <v>44937</v>
      </c>
      <c r="S1046" s="2393">
        <f t="shared" si="67"/>
        <v>1</v>
      </c>
      <c r="T1046" s="2394">
        <f>IF(OR(J1046="COP",J1046="EURO",J1046="GBP"),0,IF(J1046="USD",VLOOKUP(R1046,'TRM BanRep'!$A:$G,7,0)))</f>
        <v>0</v>
      </c>
      <c r="U1046" s="2395">
        <f t="shared" si="68"/>
        <v>0</v>
      </c>
      <c r="V1046" s="2395" t="str">
        <f t="shared" si="69"/>
        <v/>
      </c>
    </row>
    <row r="1047" spans="3:22" hidden="1">
      <c r="C1047">
        <v>2023</v>
      </c>
      <c r="D1047" t="s">
        <v>2164</v>
      </c>
      <c r="F1047">
        <v>2422999997</v>
      </c>
      <c r="G1047" t="s">
        <v>1608</v>
      </c>
      <c r="H1047" t="s">
        <v>1481</v>
      </c>
      <c r="J1047" t="s">
        <v>106</v>
      </c>
      <c r="K1047">
        <v>2000000401</v>
      </c>
      <c r="L1047" t="s">
        <v>1481</v>
      </c>
      <c r="M1047" s="1633">
        <v>36635004</v>
      </c>
      <c r="N1047">
        <v>1</v>
      </c>
      <c r="O1047">
        <v>40</v>
      </c>
      <c r="P1047" s="1633">
        <v>36635004</v>
      </c>
      <c r="Q1047" t="s">
        <v>106</v>
      </c>
      <c r="R1047" s="2392">
        <v>44937</v>
      </c>
      <c r="S1047" s="2393">
        <f t="shared" si="67"/>
        <v>1</v>
      </c>
      <c r="T1047" s="2394">
        <f>IF(OR(J1047="COP",J1047="EURO",J1047="GBP"),0,IF(J1047="USD",VLOOKUP(R1047,'TRM BanRep'!$A:$G,7,0)))</f>
        <v>0</v>
      </c>
      <c r="U1047" s="2395">
        <f t="shared" si="68"/>
        <v>0</v>
      </c>
      <c r="V1047" s="2395" t="str">
        <f t="shared" si="69"/>
        <v/>
      </c>
    </row>
    <row r="1048" spans="3:22" hidden="1">
      <c r="C1048">
        <v>2023</v>
      </c>
      <c r="D1048" t="s">
        <v>2164</v>
      </c>
      <c r="F1048">
        <v>2422999997</v>
      </c>
      <c r="G1048" t="s">
        <v>1608</v>
      </c>
      <c r="H1048" t="s">
        <v>1482</v>
      </c>
      <c r="J1048" t="s">
        <v>106</v>
      </c>
      <c r="K1048">
        <v>2000000491</v>
      </c>
      <c r="L1048" t="s">
        <v>1482</v>
      </c>
      <c r="M1048" s="1633">
        <v>131600000000</v>
      </c>
      <c r="N1048">
        <v>1</v>
      </c>
      <c r="O1048">
        <v>40</v>
      </c>
      <c r="P1048" s="1633">
        <v>131600000000</v>
      </c>
      <c r="Q1048" t="s">
        <v>106</v>
      </c>
      <c r="R1048" s="2392">
        <v>44938</v>
      </c>
      <c r="S1048" s="2393">
        <f t="shared" si="67"/>
        <v>1</v>
      </c>
      <c r="T1048" s="2394">
        <f>IF(OR(J1048="COP",J1048="EURO",J1048="GBP"),0,IF(J1048="USD",VLOOKUP(R1048,'TRM BanRep'!$A:$G,7,0)))</f>
        <v>0</v>
      </c>
      <c r="U1048" s="2395">
        <f t="shared" si="68"/>
        <v>0</v>
      </c>
      <c r="V1048" s="2395" t="str">
        <f t="shared" si="69"/>
        <v/>
      </c>
    </row>
    <row r="1049" spans="3:22" hidden="1">
      <c r="C1049">
        <v>2023</v>
      </c>
      <c r="D1049" t="s">
        <v>2164</v>
      </c>
      <c r="F1049">
        <v>2422999997</v>
      </c>
      <c r="G1049" t="s">
        <v>1608</v>
      </c>
      <c r="H1049" t="s">
        <v>1483</v>
      </c>
      <c r="J1049" t="s">
        <v>106</v>
      </c>
      <c r="K1049">
        <v>2000000417</v>
      </c>
      <c r="L1049" t="s">
        <v>1483</v>
      </c>
      <c r="M1049" s="1633">
        <v>2324734983</v>
      </c>
      <c r="N1049">
        <v>1</v>
      </c>
      <c r="O1049">
        <v>40</v>
      </c>
      <c r="P1049" s="1633">
        <v>2324734983</v>
      </c>
      <c r="Q1049" t="s">
        <v>106</v>
      </c>
      <c r="R1049" s="2392">
        <v>44939</v>
      </c>
      <c r="S1049" s="2393">
        <f t="shared" si="67"/>
        <v>1</v>
      </c>
      <c r="T1049" s="2394">
        <f>IF(OR(J1049="COP",J1049="EURO",J1049="GBP"),0,IF(J1049="USD",VLOOKUP(R1049,'TRM BanRep'!$A:$G,7,0)))</f>
        <v>0</v>
      </c>
      <c r="U1049" s="2395">
        <f t="shared" si="68"/>
        <v>0</v>
      </c>
      <c r="V1049" s="2395" t="str">
        <f t="shared" si="69"/>
        <v/>
      </c>
    </row>
    <row r="1050" spans="3:22" hidden="1">
      <c r="C1050">
        <v>2023</v>
      </c>
      <c r="D1050" t="s">
        <v>2164</v>
      </c>
      <c r="F1050">
        <v>2422999997</v>
      </c>
      <c r="G1050" t="s">
        <v>1608</v>
      </c>
      <c r="H1050" t="s">
        <v>1494</v>
      </c>
      <c r="J1050" t="s">
        <v>106</v>
      </c>
      <c r="K1050">
        <v>2000000448</v>
      </c>
      <c r="L1050" t="s">
        <v>1494</v>
      </c>
      <c r="M1050" s="1633">
        <v>16508977070</v>
      </c>
      <c r="N1050">
        <v>1</v>
      </c>
      <c r="O1050">
        <v>40</v>
      </c>
      <c r="P1050" s="1633">
        <v>16508977070</v>
      </c>
      <c r="Q1050" t="s">
        <v>106</v>
      </c>
      <c r="R1050" s="2392">
        <v>44942</v>
      </c>
      <c r="S1050" s="2393">
        <f t="shared" si="67"/>
        <v>1</v>
      </c>
      <c r="T1050" s="2394">
        <f>IF(OR(J1050="COP",J1050="EURO",J1050="GBP"),0,IF(J1050="USD",VLOOKUP(R1050,'TRM BanRep'!$A:$G,7,0)))</f>
        <v>0</v>
      </c>
      <c r="U1050" s="2395">
        <f t="shared" si="68"/>
        <v>0</v>
      </c>
      <c r="V1050" s="2395" t="str">
        <f t="shared" si="69"/>
        <v/>
      </c>
    </row>
    <row r="1051" spans="3:22" hidden="1">
      <c r="C1051">
        <v>2023</v>
      </c>
      <c r="D1051" t="s">
        <v>2164</v>
      </c>
      <c r="F1051">
        <v>2422999997</v>
      </c>
      <c r="G1051" t="s">
        <v>1608</v>
      </c>
      <c r="H1051" t="s">
        <v>1484</v>
      </c>
      <c r="J1051" t="s">
        <v>106</v>
      </c>
      <c r="K1051">
        <v>2000000619</v>
      </c>
      <c r="L1051" t="s">
        <v>1484</v>
      </c>
      <c r="M1051" s="1633">
        <v>13286850000</v>
      </c>
      <c r="N1051">
        <v>1</v>
      </c>
      <c r="O1051">
        <v>40</v>
      </c>
      <c r="P1051" s="1633">
        <v>13286850000</v>
      </c>
      <c r="Q1051" t="s">
        <v>106</v>
      </c>
      <c r="R1051" s="2392">
        <v>44943</v>
      </c>
      <c r="S1051" s="2393">
        <f t="shared" si="67"/>
        <v>1</v>
      </c>
      <c r="T1051" s="2394">
        <f>IF(OR(J1051="COP",J1051="EURO",J1051="GBP"),0,IF(J1051="USD",VLOOKUP(R1051,'TRM BanRep'!$A:$G,7,0)))</f>
        <v>0</v>
      </c>
      <c r="U1051" s="2395">
        <f t="shared" si="68"/>
        <v>0</v>
      </c>
      <c r="V1051" s="2395" t="str">
        <f t="shared" si="69"/>
        <v/>
      </c>
    </row>
    <row r="1052" spans="3:22" hidden="1">
      <c r="C1052">
        <v>2023</v>
      </c>
      <c r="D1052" t="s">
        <v>2164</v>
      </c>
      <c r="F1052">
        <v>2422999997</v>
      </c>
      <c r="G1052" t="s">
        <v>1608</v>
      </c>
      <c r="H1052" t="s">
        <v>1484</v>
      </c>
      <c r="J1052" t="s">
        <v>106</v>
      </c>
      <c r="K1052">
        <v>2000000620</v>
      </c>
      <c r="L1052" t="s">
        <v>1484</v>
      </c>
      <c r="M1052" s="1633">
        <v>11725500000</v>
      </c>
      <c r="N1052">
        <v>1</v>
      </c>
      <c r="O1052">
        <v>40</v>
      </c>
      <c r="P1052" s="1633">
        <v>11725500000</v>
      </c>
      <c r="Q1052" t="s">
        <v>106</v>
      </c>
      <c r="R1052" s="2392">
        <v>44943</v>
      </c>
      <c r="S1052" s="2393">
        <f t="shared" si="67"/>
        <v>1</v>
      </c>
      <c r="T1052" s="2394">
        <f>IF(OR(J1052="COP",J1052="EURO",J1052="GBP"),0,IF(J1052="USD",VLOOKUP(R1052,'TRM BanRep'!$A:$G,7,0)))</f>
        <v>0</v>
      </c>
      <c r="U1052" s="2395">
        <f t="shared" si="68"/>
        <v>0</v>
      </c>
      <c r="V1052" s="2395" t="str">
        <f t="shared" si="69"/>
        <v/>
      </c>
    </row>
    <row r="1053" spans="3:22" hidden="1">
      <c r="C1053">
        <v>2023</v>
      </c>
      <c r="D1053" t="s">
        <v>2164</v>
      </c>
      <c r="F1053">
        <v>2422999997</v>
      </c>
      <c r="G1053" t="s">
        <v>1608</v>
      </c>
      <c r="H1053" t="s">
        <v>1476</v>
      </c>
      <c r="J1053" t="s">
        <v>64</v>
      </c>
      <c r="K1053">
        <v>2000000806</v>
      </c>
      <c r="L1053" t="s">
        <v>1476</v>
      </c>
      <c r="M1053" s="1633">
        <v>9859530.4399999995</v>
      </c>
      <c r="N1053">
        <v>4531.75</v>
      </c>
      <c r="O1053">
        <v>40</v>
      </c>
      <c r="P1053" s="1633">
        <v>44680927073</v>
      </c>
      <c r="Q1053" t="s">
        <v>106</v>
      </c>
      <c r="R1053" s="2392">
        <v>44957</v>
      </c>
      <c r="S1053" s="2393">
        <f t="shared" si="67"/>
        <v>4531.75</v>
      </c>
      <c r="T1053" s="2394">
        <f>IF(OR(J1053="COP",J1053="EURO",J1053="GBP"),0,IF(J1053="USD",VLOOKUP(R1053,'TRM BanRep'!$A:$G,7,0)))</f>
        <v>4632.2</v>
      </c>
      <c r="U1053" s="2395">
        <f t="shared" si="68"/>
        <v>-990389833</v>
      </c>
      <c r="V1053" s="2395" t="s">
        <v>2247</v>
      </c>
    </row>
    <row r="1054" spans="3:22" hidden="1">
      <c r="C1054">
        <v>2023</v>
      </c>
      <c r="D1054" t="s">
        <v>2164</v>
      </c>
      <c r="F1054">
        <v>2422999997</v>
      </c>
      <c r="G1054" t="s">
        <v>1608</v>
      </c>
      <c r="H1054" t="s">
        <v>1476</v>
      </c>
      <c r="J1054" t="s">
        <v>106</v>
      </c>
      <c r="K1054">
        <v>2000000834</v>
      </c>
      <c r="L1054" t="s">
        <v>1476</v>
      </c>
      <c r="M1054" s="1633">
        <v>22262400000</v>
      </c>
      <c r="N1054">
        <v>1</v>
      </c>
      <c r="O1054">
        <v>40</v>
      </c>
      <c r="P1054" s="1633">
        <v>22262400000</v>
      </c>
      <c r="Q1054" t="s">
        <v>106</v>
      </c>
      <c r="R1054" s="2392">
        <v>44957</v>
      </c>
      <c r="S1054" s="2393">
        <f t="shared" si="67"/>
        <v>1</v>
      </c>
      <c r="T1054" s="2394">
        <f>IF(OR(J1054="COP",J1054="EURO",J1054="GBP"),0,IF(J1054="USD",VLOOKUP(R1054,'TRM BanRep'!$A:$G,7,0)))</f>
        <v>0</v>
      </c>
      <c r="U1054" s="2395">
        <f t="shared" si="68"/>
        <v>0</v>
      </c>
      <c r="V1054" s="2395" t="str">
        <f t="shared" si="69"/>
        <v/>
      </c>
    </row>
    <row r="1055" spans="3:22" hidden="1">
      <c r="C1055">
        <v>2023</v>
      </c>
      <c r="D1055" t="s">
        <v>2164</v>
      </c>
      <c r="F1055">
        <v>2422999997</v>
      </c>
      <c r="G1055" t="s">
        <v>1608</v>
      </c>
      <c r="H1055" t="s">
        <v>1476</v>
      </c>
      <c r="J1055" t="s">
        <v>64</v>
      </c>
      <c r="K1055">
        <v>2000000860</v>
      </c>
      <c r="L1055" t="s">
        <v>1476</v>
      </c>
      <c r="M1055" s="1633">
        <v>-9859530.4399999995</v>
      </c>
      <c r="N1055">
        <v>4531.75</v>
      </c>
      <c r="O1055">
        <v>50</v>
      </c>
      <c r="P1055" s="1633">
        <v>-44680927073</v>
      </c>
      <c r="Q1055" t="s">
        <v>106</v>
      </c>
      <c r="R1055" s="2392">
        <v>44957</v>
      </c>
      <c r="S1055" s="2393">
        <f t="shared" si="67"/>
        <v>4531.75</v>
      </c>
      <c r="T1055" s="2394">
        <f>IF(OR(J1055="COP",J1055="EURO",J1055="GBP"),0,IF(J1055="USD",VLOOKUP(R1055,'TRM BanRep'!$A:$G,7,0)))</f>
        <v>4632.2</v>
      </c>
      <c r="U1055" s="2395">
        <f t="shared" si="68"/>
        <v>990389833</v>
      </c>
      <c r="V1055" s="2395" t="s">
        <v>2247</v>
      </c>
    </row>
    <row r="1056" spans="3:22" hidden="1">
      <c r="C1056">
        <v>2023</v>
      </c>
      <c r="D1056" t="s">
        <v>2164</v>
      </c>
      <c r="F1056">
        <v>2422999997</v>
      </c>
      <c r="G1056" t="s">
        <v>1609</v>
      </c>
      <c r="H1056" t="s">
        <v>2184</v>
      </c>
      <c r="I1056" t="s">
        <v>1611</v>
      </c>
      <c r="J1056" t="s">
        <v>106</v>
      </c>
      <c r="K1056">
        <v>7900000514</v>
      </c>
      <c r="L1056" t="s">
        <v>2184</v>
      </c>
      <c r="M1056" s="1633">
        <v>-903649676</v>
      </c>
      <c r="N1056">
        <v>1</v>
      </c>
      <c r="O1056">
        <v>50</v>
      </c>
      <c r="P1056" s="1633">
        <v>-903649676</v>
      </c>
      <c r="Q1056" t="s">
        <v>106</v>
      </c>
      <c r="R1056" s="2392">
        <v>44928</v>
      </c>
      <c r="S1056" s="2393">
        <f t="shared" si="67"/>
        <v>1</v>
      </c>
      <c r="T1056" s="2394">
        <f>IF(OR(J1056="COP",J1056="EURO",J1056="GBP"),0,IF(J1056="USD",VLOOKUP(R1056,'TRM BanRep'!$A:$G,7,0)))</f>
        <v>0</v>
      </c>
      <c r="U1056" s="2395">
        <f t="shared" si="68"/>
        <v>0</v>
      </c>
      <c r="V1056" s="2395" t="str">
        <f t="shared" si="69"/>
        <v/>
      </c>
    </row>
    <row r="1057" spans="3:24" hidden="1">
      <c r="C1057">
        <v>2023</v>
      </c>
      <c r="D1057" t="s">
        <v>2164</v>
      </c>
      <c r="F1057">
        <v>2422999997</v>
      </c>
      <c r="G1057" t="s">
        <v>1609</v>
      </c>
      <c r="H1057" t="s">
        <v>2184</v>
      </c>
      <c r="I1057" t="s">
        <v>1610</v>
      </c>
      <c r="J1057" t="s">
        <v>106</v>
      </c>
      <c r="K1057">
        <v>7900000515</v>
      </c>
      <c r="L1057" t="s">
        <v>2184</v>
      </c>
      <c r="M1057" s="1633">
        <v>-3884304508</v>
      </c>
      <c r="N1057">
        <v>1</v>
      </c>
      <c r="O1057">
        <v>50</v>
      </c>
      <c r="P1057" s="1633">
        <v>-3884304508</v>
      </c>
      <c r="Q1057" t="s">
        <v>106</v>
      </c>
      <c r="R1057" s="2392">
        <v>44928</v>
      </c>
      <c r="S1057" s="2393">
        <f t="shared" si="67"/>
        <v>1</v>
      </c>
      <c r="T1057" s="2394">
        <f>IF(OR(J1057="COP",J1057="EURO",J1057="GBP"),0,IF(J1057="USD",VLOOKUP(R1057,'TRM BanRep'!$A:$G,7,0)))</f>
        <v>0</v>
      </c>
      <c r="U1057" s="2395">
        <f t="shared" si="68"/>
        <v>0</v>
      </c>
      <c r="V1057" s="2395" t="str">
        <f t="shared" si="69"/>
        <v/>
      </c>
    </row>
    <row r="1058" spans="3:24" hidden="1">
      <c r="C1058">
        <v>2023</v>
      </c>
      <c r="D1058" t="s">
        <v>2164</v>
      </c>
      <c r="F1058">
        <v>2422999997</v>
      </c>
      <c r="G1058" t="s">
        <v>1609</v>
      </c>
      <c r="H1058" t="s">
        <v>1479</v>
      </c>
      <c r="I1058" t="s">
        <v>1612</v>
      </c>
      <c r="J1058" t="s">
        <v>106</v>
      </c>
      <c r="K1058">
        <v>7900000535</v>
      </c>
      <c r="L1058" t="s">
        <v>1479</v>
      </c>
      <c r="M1058" s="1633">
        <v>-10370101152</v>
      </c>
      <c r="N1058">
        <v>1</v>
      </c>
      <c r="O1058">
        <v>50</v>
      </c>
      <c r="P1058" s="1633">
        <v>-10370101152</v>
      </c>
      <c r="Q1058" t="s">
        <v>106</v>
      </c>
      <c r="R1058" s="2392">
        <v>44932</v>
      </c>
      <c r="S1058" s="2393">
        <f t="shared" si="67"/>
        <v>1</v>
      </c>
      <c r="T1058" s="2394">
        <f>IF(OR(J1058="COP",J1058="EURO",J1058="GBP"),0,IF(J1058="USD",VLOOKUP(R1058,'TRM BanRep'!$A:$G,7,0)))</f>
        <v>0</v>
      </c>
      <c r="U1058" s="2395">
        <f t="shared" si="68"/>
        <v>0</v>
      </c>
      <c r="V1058" s="2395" t="str">
        <f t="shared" si="69"/>
        <v/>
      </c>
    </row>
    <row r="1059" spans="3:24" hidden="1">
      <c r="C1059">
        <v>2023</v>
      </c>
      <c r="D1059" t="s">
        <v>2164</v>
      </c>
      <c r="F1059">
        <v>2422999997</v>
      </c>
      <c r="G1059" t="s">
        <v>1609</v>
      </c>
      <c r="H1059" t="s">
        <v>1480</v>
      </c>
      <c r="I1059" t="s">
        <v>1969</v>
      </c>
      <c r="J1059" t="s">
        <v>64</v>
      </c>
      <c r="K1059">
        <v>7900000589</v>
      </c>
      <c r="L1059" t="s">
        <v>1480</v>
      </c>
      <c r="M1059" s="1633">
        <v>-769623.88</v>
      </c>
      <c r="N1059">
        <v>4885.66</v>
      </c>
      <c r="O1059">
        <v>50</v>
      </c>
      <c r="P1059" s="1633">
        <v>-3760120606</v>
      </c>
      <c r="Q1059" t="s">
        <v>106</v>
      </c>
      <c r="R1059" s="2392">
        <v>44936</v>
      </c>
      <c r="S1059" s="2393">
        <f t="shared" si="67"/>
        <v>4885.66</v>
      </c>
      <c r="T1059" s="2394">
        <f>IF(OR(J1059="COP",J1059="EURO",J1059="GBP"),0,IF(J1059="USD",VLOOKUP(R1059,'TRM BanRep'!$A:$G,7,0)))</f>
        <v>4885.66</v>
      </c>
      <c r="U1059" s="2395">
        <f t="shared" si="68"/>
        <v>0</v>
      </c>
      <c r="V1059" s="2395" t="str">
        <f t="shared" si="69"/>
        <v/>
      </c>
    </row>
    <row r="1060" spans="3:24" hidden="1">
      <c r="C1060">
        <v>2023</v>
      </c>
      <c r="D1060" t="s">
        <v>2164</v>
      </c>
      <c r="F1060">
        <v>2422999997</v>
      </c>
      <c r="G1060" t="s">
        <v>1609</v>
      </c>
      <c r="H1060" t="s">
        <v>1480</v>
      </c>
      <c r="I1060" t="s">
        <v>1970</v>
      </c>
      <c r="J1060" t="s">
        <v>64</v>
      </c>
      <c r="K1060">
        <v>7900000590</v>
      </c>
      <c r="L1060" t="s">
        <v>1480</v>
      </c>
      <c r="M1060" s="1633">
        <v>-1050542.5900000001</v>
      </c>
      <c r="N1060">
        <v>4885.66</v>
      </c>
      <c r="O1060">
        <v>50</v>
      </c>
      <c r="P1060" s="1633">
        <v>-5132593910</v>
      </c>
      <c r="Q1060" t="s">
        <v>106</v>
      </c>
      <c r="R1060" s="2392">
        <v>44936</v>
      </c>
      <c r="S1060" s="2393">
        <f t="shared" si="67"/>
        <v>4885.66</v>
      </c>
      <c r="T1060" s="2394">
        <f>IF(OR(J1060="COP",J1060="EURO",J1060="GBP"),0,IF(J1060="USD",VLOOKUP(R1060,'TRM BanRep'!$A:$G,7,0)))</f>
        <v>4885.66</v>
      </c>
      <c r="U1060" s="2395">
        <f t="shared" si="68"/>
        <v>0</v>
      </c>
      <c r="V1060" s="2395" t="str">
        <f t="shared" si="69"/>
        <v/>
      </c>
    </row>
    <row r="1061" spans="3:24" hidden="1">
      <c r="C1061">
        <v>2023</v>
      </c>
      <c r="D1061" t="s">
        <v>2164</v>
      </c>
      <c r="F1061">
        <v>2422999997</v>
      </c>
      <c r="G1061" t="s">
        <v>1609</v>
      </c>
      <c r="H1061" t="s">
        <v>1481</v>
      </c>
      <c r="I1061" t="s">
        <v>2185</v>
      </c>
      <c r="J1061" t="s">
        <v>106</v>
      </c>
      <c r="K1061">
        <v>7900000575</v>
      </c>
      <c r="L1061" t="s">
        <v>1481</v>
      </c>
      <c r="M1061" s="1633">
        <v>-36635004</v>
      </c>
      <c r="N1061">
        <v>1</v>
      </c>
      <c r="O1061">
        <v>50</v>
      </c>
      <c r="P1061" s="1633">
        <v>-36635004</v>
      </c>
      <c r="Q1061" t="s">
        <v>106</v>
      </c>
      <c r="R1061" s="2392">
        <v>44937</v>
      </c>
      <c r="S1061" s="2393">
        <f t="shared" si="67"/>
        <v>1</v>
      </c>
      <c r="T1061" s="2394">
        <f>IF(OR(J1061="COP",J1061="EURO",J1061="GBP"),0,IF(J1061="USD",VLOOKUP(R1061,'TRM BanRep'!$A:$G,7,0)))</f>
        <v>0</v>
      </c>
      <c r="U1061" s="2395">
        <f t="shared" si="68"/>
        <v>0</v>
      </c>
      <c r="V1061" s="2395" t="str">
        <f t="shared" si="69"/>
        <v/>
      </c>
    </row>
    <row r="1062" spans="3:24" hidden="1">
      <c r="C1062">
        <v>2023</v>
      </c>
      <c r="D1062" t="s">
        <v>2164</v>
      </c>
      <c r="F1062">
        <v>2422999997</v>
      </c>
      <c r="G1062" t="s">
        <v>1609</v>
      </c>
      <c r="H1062" t="s">
        <v>1481</v>
      </c>
      <c r="I1062" t="s">
        <v>1613</v>
      </c>
      <c r="J1062" t="s">
        <v>106</v>
      </c>
      <c r="K1062">
        <v>7900000579</v>
      </c>
      <c r="L1062" t="s">
        <v>1481</v>
      </c>
      <c r="M1062" s="1633">
        <v>-2759102839</v>
      </c>
      <c r="N1062">
        <v>1</v>
      </c>
      <c r="O1062">
        <v>50</v>
      </c>
      <c r="P1062" s="1633">
        <v>-2759102839</v>
      </c>
      <c r="Q1062" t="s">
        <v>106</v>
      </c>
      <c r="R1062" s="2392">
        <v>44937</v>
      </c>
      <c r="S1062" s="2393">
        <f t="shared" si="67"/>
        <v>1</v>
      </c>
      <c r="T1062" s="2394">
        <f>IF(OR(J1062="COP",J1062="EURO",J1062="GBP"),0,IF(J1062="USD",VLOOKUP(R1062,'TRM BanRep'!$A:$G,7,0)))</f>
        <v>0</v>
      </c>
      <c r="U1062" s="2395">
        <f t="shared" si="68"/>
        <v>0</v>
      </c>
      <c r="V1062" s="2395" t="str">
        <f t="shared" si="69"/>
        <v/>
      </c>
    </row>
    <row r="1063" spans="3:24" hidden="1">
      <c r="C1063">
        <v>2023</v>
      </c>
      <c r="D1063" t="s">
        <v>2164</v>
      </c>
      <c r="F1063">
        <v>2422999997</v>
      </c>
      <c r="G1063" t="s">
        <v>1609</v>
      </c>
      <c r="H1063" t="s">
        <v>1481</v>
      </c>
      <c r="I1063" t="s">
        <v>1614</v>
      </c>
      <c r="J1063" t="s">
        <v>106</v>
      </c>
      <c r="K1063">
        <v>7900000583</v>
      </c>
      <c r="L1063" t="s">
        <v>1481</v>
      </c>
      <c r="M1063" s="1633">
        <v>-1517506566</v>
      </c>
      <c r="N1063">
        <v>1</v>
      </c>
      <c r="O1063">
        <v>50</v>
      </c>
      <c r="P1063" s="1633">
        <v>-1517506566</v>
      </c>
      <c r="Q1063" t="s">
        <v>106</v>
      </c>
      <c r="R1063" s="2392">
        <v>44937</v>
      </c>
      <c r="S1063" s="2393">
        <f t="shared" si="67"/>
        <v>1</v>
      </c>
      <c r="T1063" s="2394">
        <f>IF(OR(J1063="COP",J1063="EURO",J1063="GBP"),0,IF(J1063="USD",VLOOKUP(R1063,'TRM BanRep'!$A:$G,7,0)))</f>
        <v>0</v>
      </c>
      <c r="U1063" s="2395">
        <f t="shared" si="68"/>
        <v>0</v>
      </c>
      <c r="V1063" s="2395" t="str">
        <f t="shared" si="69"/>
        <v/>
      </c>
    </row>
    <row r="1064" spans="3:24" hidden="1">
      <c r="C1064">
        <v>2023</v>
      </c>
      <c r="D1064" t="s">
        <v>2164</v>
      </c>
      <c r="F1064">
        <v>2422999997</v>
      </c>
      <c r="G1064" t="s">
        <v>1609</v>
      </c>
      <c r="H1064" t="s">
        <v>1483</v>
      </c>
      <c r="I1064" t="s">
        <v>1615</v>
      </c>
      <c r="J1064" t="s">
        <v>106</v>
      </c>
      <c r="K1064">
        <v>7900000635</v>
      </c>
      <c r="L1064" t="s">
        <v>1483</v>
      </c>
      <c r="M1064" s="1633">
        <v>-2324734983</v>
      </c>
      <c r="N1064">
        <v>1</v>
      </c>
      <c r="O1064">
        <v>50</v>
      </c>
      <c r="P1064" s="1633">
        <v>-2324734983</v>
      </c>
      <c r="Q1064" t="s">
        <v>106</v>
      </c>
      <c r="R1064" s="2392">
        <v>44939</v>
      </c>
      <c r="S1064" s="2393">
        <f t="shared" si="67"/>
        <v>1</v>
      </c>
      <c r="T1064" s="2394">
        <f>IF(OR(J1064="COP",J1064="EURO",J1064="GBP"),0,IF(J1064="USD",VLOOKUP(R1064,'TRM BanRep'!$A:$G,7,0)))</f>
        <v>0</v>
      </c>
      <c r="U1064" s="2395">
        <f t="shared" si="68"/>
        <v>0</v>
      </c>
      <c r="V1064" s="2395" t="str">
        <f t="shared" si="69"/>
        <v/>
      </c>
    </row>
    <row r="1065" spans="3:24" hidden="1">
      <c r="C1065">
        <v>2023</v>
      </c>
      <c r="D1065" t="s">
        <v>2164</v>
      </c>
      <c r="F1065">
        <v>2422999997</v>
      </c>
      <c r="G1065" t="s">
        <v>1609</v>
      </c>
      <c r="H1065" t="s">
        <v>1494</v>
      </c>
      <c r="I1065" t="s">
        <v>1616</v>
      </c>
      <c r="J1065" t="s">
        <v>106</v>
      </c>
      <c r="K1065">
        <v>7900000651</v>
      </c>
      <c r="L1065" t="s">
        <v>1494</v>
      </c>
      <c r="M1065" s="1633">
        <v>-16508977070</v>
      </c>
      <c r="N1065">
        <v>1</v>
      </c>
      <c r="O1065">
        <v>50</v>
      </c>
      <c r="P1065" s="1633">
        <v>-16508977070</v>
      </c>
      <c r="Q1065" t="s">
        <v>106</v>
      </c>
      <c r="R1065" s="2392">
        <v>44942</v>
      </c>
      <c r="S1065" s="2393">
        <f t="shared" si="67"/>
        <v>1</v>
      </c>
      <c r="T1065" s="2394">
        <f>IF(OR(J1065="COP",J1065="EURO",J1065="GBP"),0,IF(J1065="USD",VLOOKUP(R1065,'TRM BanRep'!$A:$G,7,0)))</f>
        <v>0</v>
      </c>
      <c r="U1065" s="2395">
        <f t="shared" si="68"/>
        <v>0</v>
      </c>
      <c r="V1065" s="2395" t="str">
        <f t="shared" si="69"/>
        <v/>
      </c>
    </row>
    <row r="1066" spans="3:24">
      <c r="M1066" s="1633"/>
      <c r="P1066" s="1633"/>
      <c r="R1066" s="2392"/>
      <c r="S1066" s="2393"/>
      <c r="T1066" s="2394"/>
      <c r="U1066" s="2395"/>
      <c r="V1066" s="2395"/>
    </row>
    <row r="1067" spans="3:24">
      <c r="C1067">
        <v>2023</v>
      </c>
      <c r="D1067" t="s">
        <v>2192</v>
      </c>
      <c r="F1067">
        <v>1202049905</v>
      </c>
      <c r="G1067" t="s">
        <v>1557</v>
      </c>
      <c r="H1067" t="s">
        <v>2235</v>
      </c>
      <c r="I1067" t="s">
        <v>2236</v>
      </c>
      <c r="J1067" t="s">
        <v>146</v>
      </c>
      <c r="K1067">
        <v>7900002139</v>
      </c>
      <c r="L1067" t="s">
        <v>2235</v>
      </c>
      <c r="M1067" s="1860">
        <v>-7568</v>
      </c>
      <c r="N1067" s="1860">
        <v>5111.5310499999996</v>
      </c>
      <c r="O1067">
        <v>50</v>
      </c>
      <c r="P1067" s="1633">
        <v>-38684067</v>
      </c>
      <c r="Q1067" t="s">
        <v>106</v>
      </c>
      <c r="R1067" s="2392">
        <v>44984</v>
      </c>
      <c r="S1067" s="2393">
        <f t="shared" si="67"/>
        <v>5111.53</v>
      </c>
      <c r="T1067" s="2394">
        <f>IF(OR(J1067="COP",J1067="EURO",J1067="GBP"),0,IF(J1067="USD",VLOOKUP(R1067,'TRM BanRep'!$A:$G,7,0)))</f>
        <v>0</v>
      </c>
      <c r="U1067" s="2395">
        <f t="shared" si="68"/>
        <v>0</v>
      </c>
      <c r="V1067" s="2395" t="str">
        <f t="shared" si="69"/>
        <v/>
      </c>
    </row>
    <row r="1068" spans="3:24">
      <c r="C1068">
        <v>2023</v>
      </c>
      <c r="D1068" t="s">
        <v>2192</v>
      </c>
      <c r="F1068">
        <v>1202049905</v>
      </c>
      <c r="G1068" t="s">
        <v>1557</v>
      </c>
      <c r="H1068" t="s">
        <v>2235</v>
      </c>
      <c r="I1068" t="s">
        <v>2237</v>
      </c>
      <c r="J1068" t="s">
        <v>64</v>
      </c>
      <c r="K1068">
        <v>7900002140</v>
      </c>
      <c r="L1068" t="s">
        <v>2235</v>
      </c>
      <c r="M1068" s="1860">
        <v>8207.5</v>
      </c>
      <c r="N1068" s="1860">
        <v>4713.2582400000001</v>
      </c>
      <c r="O1068">
        <v>40</v>
      </c>
      <c r="P1068" s="1633">
        <v>38684067</v>
      </c>
      <c r="Q1068" t="s">
        <v>106</v>
      </c>
      <c r="R1068" s="2392">
        <v>44984</v>
      </c>
      <c r="S1068" s="2393">
        <f t="shared" ref="S1068:S1070" si="70">+ROUND(P1068/M1068,2)</f>
        <v>4713.26</v>
      </c>
      <c r="T1068" s="2394">
        <f>IF(OR(J1068="COP",J1068="EURO",J1068="GBP"),0,IF(J1068="USD",VLOOKUP(R1068,'TRM BanRep'!$A:$G,7,0)))</f>
        <v>4849.6499999999996</v>
      </c>
      <c r="U1068" s="2395">
        <f t="shared" si="68"/>
        <v>1119421</v>
      </c>
      <c r="V1068" s="2395" t="str">
        <f t="shared" si="69"/>
        <v>2-GASTO</v>
      </c>
    </row>
    <row r="1069" spans="3:24" hidden="1">
      <c r="C1069">
        <v>2023</v>
      </c>
      <c r="D1069" t="s">
        <v>2192</v>
      </c>
      <c r="F1069">
        <v>1202049905</v>
      </c>
      <c r="G1069" t="s">
        <v>1557</v>
      </c>
      <c r="H1069" t="s">
        <v>2238</v>
      </c>
      <c r="I1069" t="s">
        <v>2239</v>
      </c>
      <c r="J1069" t="s">
        <v>106</v>
      </c>
      <c r="K1069">
        <v>7900002183</v>
      </c>
      <c r="L1069" t="s">
        <v>2238</v>
      </c>
      <c r="M1069" s="1633">
        <v>-38053335039</v>
      </c>
      <c r="N1069">
        <v>1</v>
      </c>
      <c r="O1069">
        <v>50</v>
      </c>
      <c r="P1069" s="1633">
        <v>-38053335039</v>
      </c>
      <c r="Q1069" t="s">
        <v>106</v>
      </c>
      <c r="R1069" s="2392">
        <v>44985</v>
      </c>
      <c r="S1069" s="2393">
        <f t="shared" si="70"/>
        <v>1</v>
      </c>
      <c r="T1069" s="2394">
        <f>IF(OR(J1069="COP",J1069="EURO",J1069="GBP"),0,IF(J1069="USD",VLOOKUP(R1069,'TRM BanRep'!$A:$G,7,0)))</f>
        <v>0</v>
      </c>
      <c r="U1069" s="2395">
        <f t="shared" si="68"/>
        <v>0</v>
      </c>
      <c r="V1069" s="2395" t="str">
        <f t="shared" si="69"/>
        <v/>
      </c>
    </row>
    <row r="1070" spans="3:24">
      <c r="C1070">
        <v>2023</v>
      </c>
      <c r="D1070" t="s">
        <v>2192</v>
      </c>
      <c r="F1070">
        <v>1202049905</v>
      </c>
      <c r="G1070" t="s">
        <v>1557</v>
      </c>
      <c r="H1070" t="s">
        <v>2238</v>
      </c>
      <c r="I1070" t="s">
        <v>2240</v>
      </c>
      <c r="J1070" t="s">
        <v>64</v>
      </c>
      <c r="K1070">
        <v>7900002184</v>
      </c>
      <c r="L1070" t="s">
        <v>2238</v>
      </c>
      <c r="M1070" s="2546">
        <v>7839744.3399999999</v>
      </c>
      <c r="N1070" s="1860">
        <v>4853.8999999999996</v>
      </c>
      <c r="O1070">
        <v>40</v>
      </c>
      <c r="P1070" s="1633">
        <v>38053335039</v>
      </c>
      <c r="Q1070" t="s">
        <v>106</v>
      </c>
      <c r="R1070" s="2392">
        <v>44985</v>
      </c>
      <c r="S1070" s="2393">
        <f t="shared" si="70"/>
        <v>4853.8999999999996</v>
      </c>
      <c r="T1070" s="2394">
        <f>IF(OR(J1070="COP",J1070="EURO",J1070="GBP"),0,IF(J1070="USD",VLOOKUP(R1070,'TRM BanRep'!$A:$G,7,0)))</f>
        <v>4808.1400000000003</v>
      </c>
      <c r="U1070" s="2399">
        <f t="shared" ref="U1070" si="71">ROUND(IF(F1070=2422999997,-IF(T1070=0,0,(T1070-S1070)*M1070),IF(T1070=0,0,(T1070-S1070)*M1070)),0)</f>
        <v>-358746701</v>
      </c>
      <c r="V1070" s="2395" t="str">
        <f t="shared" si="69"/>
        <v>1-INGRESO</v>
      </c>
      <c r="X1070">
        <v>4806010300</v>
      </c>
    </row>
    <row r="1071" spans="3:24">
      <c r="C1071">
        <v>2023</v>
      </c>
      <c r="D1071" t="s">
        <v>2192</v>
      </c>
      <c r="F1071">
        <v>1202049905</v>
      </c>
      <c r="G1071" t="s">
        <v>1557</v>
      </c>
      <c r="H1071" t="s">
        <v>2238</v>
      </c>
      <c r="I1071" t="s">
        <v>2241</v>
      </c>
      <c r="J1071" t="s">
        <v>64</v>
      </c>
      <c r="K1071">
        <v>7900003115</v>
      </c>
      <c r="L1071" t="s">
        <v>2238</v>
      </c>
      <c r="M1071" s="1860">
        <v>-256730.18</v>
      </c>
      <c r="N1071" s="1860">
        <v>4853.90002</v>
      </c>
      <c r="O1071">
        <v>50</v>
      </c>
      <c r="P1071" s="1633">
        <v>-1246142625</v>
      </c>
      <c r="Q1071" t="s">
        <v>106</v>
      </c>
      <c r="R1071" s="2392">
        <v>44985</v>
      </c>
      <c r="S1071" s="2393">
        <f t="shared" ref="S1071:S1092" si="72">+ROUND(P1071/M1071,2)</f>
        <v>4853.8999999999996</v>
      </c>
      <c r="T1071" s="2394">
        <f>IF(OR(J1071="COP",J1071="EURO",J1071="GBP"),0,IF(J1071="USD",VLOOKUP(R1071,'TRM BanRep'!$A:$G,7,0)))</f>
        <v>4808.1400000000003</v>
      </c>
      <c r="U1071" s="2395">
        <f t="shared" ref="U1071:U1092" si="73">ROUND(IF(F1071=2422999997,-IF(T1071=0,0,(T1071-S1071)*M1071),IF(T1071=0,0,(T1071-S1071)*M1071)),0)</f>
        <v>11747973</v>
      </c>
      <c r="V1071" s="2395" t="str">
        <f t="shared" ref="V1071:V1092" si="74">IF(U1071=0,"",IF(U1071&gt;0,"2-GASTO","1-INGRESO"))</f>
        <v>2-GASTO</v>
      </c>
    </row>
    <row r="1072" spans="3:24" hidden="1">
      <c r="C1072">
        <v>2023</v>
      </c>
      <c r="D1072" t="s">
        <v>2192</v>
      </c>
      <c r="F1072">
        <v>1202049905</v>
      </c>
      <c r="G1072" t="s">
        <v>1557</v>
      </c>
      <c r="H1072" t="s">
        <v>2238</v>
      </c>
      <c r="I1072" t="s">
        <v>2242</v>
      </c>
      <c r="J1072" t="s">
        <v>106</v>
      </c>
      <c r="K1072">
        <v>7900003116</v>
      </c>
      <c r="L1072" t="s">
        <v>2238</v>
      </c>
      <c r="M1072" s="1633">
        <v>1246142625</v>
      </c>
      <c r="N1072">
        <v>1</v>
      </c>
      <c r="O1072">
        <v>40</v>
      </c>
      <c r="P1072" s="1633">
        <v>1246142625</v>
      </c>
      <c r="Q1072" t="s">
        <v>106</v>
      </c>
      <c r="R1072" s="2392">
        <v>44985</v>
      </c>
      <c r="S1072" s="2393">
        <f t="shared" si="72"/>
        <v>1</v>
      </c>
      <c r="T1072" s="2394">
        <f>IF(OR(J1072="COP",J1072="EURO",J1072="GBP"),0,IF(J1072="USD",VLOOKUP(R1072,'TRM BanRep'!$A:$G,7,0)))</f>
        <v>0</v>
      </c>
      <c r="U1072" s="2395">
        <f t="shared" si="73"/>
        <v>0</v>
      </c>
      <c r="V1072" s="2395" t="str">
        <f t="shared" si="74"/>
        <v/>
      </c>
    </row>
    <row r="1073" spans="3:22" hidden="1">
      <c r="C1073">
        <v>2023</v>
      </c>
      <c r="D1073" t="s">
        <v>2192</v>
      </c>
      <c r="F1073">
        <v>2422999997</v>
      </c>
      <c r="G1073" t="s">
        <v>1557</v>
      </c>
      <c r="H1073" t="s">
        <v>2238</v>
      </c>
      <c r="I1073" t="s">
        <v>2240</v>
      </c>
      <c r="J1073" t="s">
        <v>64</v>
      </c>
      <c r="K1073">
        <v>7900002184</v>
      </c>
      <c r="L1073" t="s">
        <v>2238</v>
      </c>
      <c r="M1073" s="1860">
        <v>-7839744.3399999999</v>
      </c>
      <c r="N1073" s="1860">
        <v>4853.8999999999996</v>
      </c>
      <c r="O1073">
        <v>50</v>
      </c>
      <c r="P1073" s="1633">
        <v>-38053335039</v>
      </c>
      <c r="Q1073" t="s">
        <v>106</v>
      </c>
      <c r="R1073" s="2392">
        <v>44985</v>
      </c>
      <c r="S1073" s="2393">
        <f t="shared" si="72"/>
        <v>4853.8999999999996</v>
      </c>
      <c r="T1073" s="2394">
        <f>IF(OR(J1073="COP",J1073="EURO",J1073="GBP"),0,IF(J1073="USD",VLOOKUP(R1073,'TRM BanRep'!$A:$G,7,0)))</f>
        <v>4808.1400000000003</v>
      </c>
      <c r="U1073" s="2395">
        <f t="shared" si="73"/>
        <v>-358746701</v>
      </c>
      <c r="V1073" s="2395" t="str">
        <f t="shared" si="74"/>
        <v>1-INGRESO</v>
      </c>
    </row>
    <row r="1074" spans="3:22" hidden="1">
      <c r="C1074">
        <v>2023</v>
      </c>
      <c r="D1074" t="s">
        <v>2192</v>
      </c>
      <c r="F1074">
        <v>2422999997</v>
      </c>
      <c r="G1074" t="s">
        <v>1608</v>
      </c>
      <c r="H1074" t="s">
        <v>2243</v>
      </c>
      <c r="J1074" t="s">
        <v>106</v>
      </c>
      <c r="K1074">
        <v>2000001428</v>
      </c>
      <c r="L1074" t="s">
        <v>2243</v>
      </c>
      <c r="M1074" s="1633">
        <v>4058222222</v>
      </c>
      <c r="N1074">
        <v>1</v>
      </c>
      <c r="O1074">
        <v>40</v>
      </c>
      <c r="P1074" s="1633">
        <v>4058222222</v>
      </c>
      <c r="Q1074" t="s">
        <v>106</v>
      </c>
      <c r="R1074" s="2392">
        <v>44970</v>
      </c>
      <c r="S1074" s="2393">
        <f t="shared" si="72"/>
        <v>1</v>
      </c>
      <c r="T1074" s="2394">
        <f>IF(OR(J1074="COP",J1074="EURO",J1074="GBP"),0,IF(J1074="USD",VLOOKUP(R1074,'TRM BanRep'!$A:$G,7,0)))</f>
        <v>0</v>
      </c>
      <c r="U1074" s="2395">
        <f t="shared" si="73"/>
        <v>0</v>
      </c>
      <c r="V1074" s="2395" t="str">
        <f t="shared" si="74"/>
        <v/>
      </c>
    </row>
    <row r="1075" spans="3:22" hidden="1">
      <c r="C1075">
        <v>2023</v>
      </c>
      <c r="D1075" t="s">
        <v>2192</v>
      </c>
      <c r="F1075">
        <v>2422999997</v>
      </c>
      <c r="G1075" t="s">
        <v>1608</v>
      </c>
      <c r="H1075" t="s">
        <v>2244</v>
      </c>
      <c r="J1075" t="s">
        <v>106</v>
      </c>
      <c r="K1075">
        <v>2000001505</v>
      </c>
      <c r="L1075" t="s">
        <v>2244</v>
      </c>
      <c r="M1075" s="1633">
        <v>8621524444</v>
      </c>
      <c r="N1075">
        <v>1</v>
      </c>
      <c r="O1075">
        <v>40</v>
      </c>
      <c r="P1075" s="1633">
        <v>8621524444</v>
      </c>
      <c r="Q1075" t="s">
        <v>106</v>
      </c>
      <c r="R1075" s="2392">
        <v>44974</v>
      </c>
      <c r="S1075" s="2393">
        <f t="shared" si="72"/>
        <v>1</v>
      </c>
      <c r="T1075" s="2394">
        <f>IF(OR(J1075="COP",J1075="EURO",J1075="GBP"),0,IF(J1075="USD",VLOOKUP(R1075,'TRM BanRep'!$A:$G,7,0)))</f>
        <v>0</v>
      </c>
      <c r="U1075" s="2395">
        <f t="shared" si="73"/>
        <v>0</v>
      </c>
      <c r="V1075" s="2395" t="str">
        <f t="shared" si="74"/>
        <v/>
      </c>
    </row>
    <row r="1076" spans="3:22" hidden="1">
      <c r="C1076">
        <v>2023</v>
      </c>
      <c r="D1076" t="s">
        <v>2192</v>
      </c>
      <c r="F1076">
        <v>2422999997</v>
      </c>
      <c r="G1076" t="s">
        <v>1608</v>
      </c>
      <c r="H1076" t="s">
        <v>2245</v>
      </c>
      <c r="J1076" t="s">
        <v>106</v>
      </c>
      <c r="K1076">
        <v>2000001554</v>
      </c>
      <c r="L1076" t="s">
        <v>2245</v>
      </c>
      <c r="M1076" s="1633">
        <v>21833133333</v>
      </c>
      <c r="N1076">
        <v>1</v>
      </c>
      <c r="O1076">
        <v>40</v>
      </c>
      <c r="P1076" s="1633">
        <v>21833133333</v>
      </c>
      <c r="Q1076" t="s">
        <v>106</v>
      </c>
      <c r="R1076" s="2392">
        <v>44977</v>
      </c>
      <c r="S1076" s="2393">
        <f t="shared" si="72"/>
        <v>1</v>
      </c>
      <c r="T1076" s="2394">
        <f>IF(OR(J1076="COP",J1076="EURO",J1076="GBP"),0,IF(J1076="USD",VLOOKUP(R1076,'TRM BanRep'!$A:$G,7,0)))</f>
        <v>0</v>
      </c>
      <c r="U1076" s="2395">
        <f t="shared" si="73"/>
        <v>0</v>
      </c>
      <c r="V1076" s="2395" t="str">
        <f t="shared" si="74"/>
        <v/>
      </c>
    </row>
    <row r="1077" spans="3:22" hidden="1">
      <c r="C1077">
        <v>2023</v>
      </c>
      <c r="D1077" t="s">
        <v>2192</v>
      </c>
      <c r="F1077">
        <v>2422999997</v>
      </c>
      <c r="G1077" t="s">
        <v>1608</v>
      </c>
      <c r="H1077" t="s">
        <v>2245</v>
      </c>
      <c r="J1077" t="s">
        <v>106</v>
      </c>
      <c r="K1077">
        <v>2000001559</v>
      </c>
      <c r="L1077" t="s">
        <v>2245</v>
      </c>
      <c r="M1077" s="1633">
        <v>18031124640</v>
      </c>
      <c r="N1077">
        <v>1</v>
      </c>
      <c r="O1077">
        <v>40</v>
      </c>
      <c r="P1077" s="1633">
        <v>18031124640</v>
      </c>
      <c r="Q1077" t="s">
        <v>106</v>
      </c>
      <c r="R1077" s="2392">
        <v>44977</v>
      </c>
      <c r="S1077" s="2393">
        <f t="shared" si="72"/>
        <v>1</v>
      </c>
      <c r="T1077" s="2394">
        <f>IF(OR(J1077="COP",J1077="EURO",J1077="GBP"),0,IF(J1077="USD",VLOOKUP(R1077,'TRM BanRep'!$A:$G,7,0)))</f>
        <v>0</v>
      </c>
      <c r="U1077" s="2395">
        <f t="shared" si="73"/>
        <v>0</v>
      </c>
      <c r="V1077" s="2395" t="str">
        <f t="shared" si="74"/>
        <v/>
      </c>
    </row>
    <row r="1078" spans="3:22" hidden="1">
      <c r="C1078">
        <v>2023</v>
      </c>
      <c r="D1078" t="s">
        <v>2192</v>
      </c>
      <c r="F1078">
        <v>2422999997</v>
      </c>
      <c r="G1078" t="s">
        <v>1608</v>
      </c>
      <c r="H1078" t="s">
        <v>2235</v>
      </c>
      <c r="J1078" t="s">
        <v>106</v>
      </c>
      <c r="K1078">
        <v>2000001638</v>
      </c>
      <c r="L1078" t="s">
        <v>2235</v>
      </c>
      <c r="M1078" s="1633">
        <v>33035300000</v>
      </c>
      <c r="N1078">
        <v>1</v>
      </c>
      <c r="O1078">
        <v>40</v>
      </c>
      <c r="P1078" s="1633">
        <v>33035300000</v>
      </c>
      <c r="Q1078" t="s">
        <v>106</v>
      </c>
      <c r="R1078" s="2392">
        <v>44984</v>
      </c>
      <c r="S1078" s="2393">
        <f t="shared" si="72"/>
        <v>1</v>
      </c>
      <c r="T1078" s="2394">
        <f>IF(OR(J1078="COP",J1078="EURO",J1078="GBP"),0,IF(J1078="USD",VLOOKUP(R1078,'TRM BanRep'!$A:$G,7,0)))</f>
        <v>0</v>
      </c>
      <c r="U1078" s="2395">
        <f t="shared" si="73"/>
        <v>0</v>
      </c>
      <c r="V1078" s="2395" t="str">
        <f t="shared" si="74"/>
        <v/>
      </c>
    </row>
    <row r="1079" spans="3:22" hidden="1">
      <c r="C1079">
        <v>2023</v>
      </c>
      <c r="D1079" t="s">
        <v>2192</v>
      </c>
      <c r="F1079">
        <v>2422999997</v>
      </c>
      <c r="G1079" t="s">
        <v>1608</v>
      </c>
      <c r="H1079" t="s">
        <v>2235</v>
      </c>
      <c r="J1079" t="s">
        <v>106</v>
      </c>
      <c r="K1079">
        <v>2000001640</v>
      </c>
      <c r="L1079" t="s">
        <v>2235</v>
      </c>
      <c r="M1079" s="1633">
        <v>17739175636</v>
      </c>
      <c r="N1079">
        <v>1</v>
      </c>
      <c r="O1079">
        <v>40</v>
      </c>
      <c r="P1079" s="1633">
        <v>17739175636</v>
      </c>
      <c r="Q1079" t="s">
        <v>106</v>
      </c>
      <c r="R1079" s="2392">
        <v>44984</v>
      </c>
      <c r="S1079" s="2393">
        <f t="shared" si="72"/>
        <v>1</v>
      </c>
      <c r="T1079" s="2394">
        <f>IF(OR(J1079="COP",J1079="EURO",J1079="GBP"),0,IF(J1079="USD",VLOOKUP(R1079,'TRM BanRep'!$A:$G,7,0)))</f>
        <v>0</v>
      </c>
      <c r="U1079" s="2395">
        <f t="shared" si="73"/>
        <v>0</v>
      </c>
      <c r="V1079" s="2395" t="str">
        <f t="shared" si="74"/>
        <v/>
      </c>
    </row>
    <row r="1080" spans="3:22" hidden="1">
      <c r="C1080">
        <v>2023</v>
      </c>
      <c r="D1080" t="s">
        <v>2192</v>
      </c>
      <c r="F1080">
        <v>2422999997</v>
      </c>
      <c r="G1080" t="s">
        <v>1608</v>
      </c>
      <c r="H1080" t="s">
        <v>2238</v>
      </c>
      <c r="J1080" t="s">
        <v>64</v>
      </c>
      <c r="K1080">
        <v>2000001667</v>
      </c>
      <c r="L1080" t="s">
        <v>2238</v>
      </c>
      <c r="M1080" s="1860">
        <v>7839744.3399999999</v>
      </c>
      <c r="N1080" s="1860">
        <v>4853.8999999999996</v>
      </c>
      <c r="O1080">
        <v>40</v>
      </c>
      <c r="P1080" s="1633">
        <v>38053335039</v>
      </c>
      <c r="Q1080" t="s">
        <v>106</v>
      </c>
      <c r="R1080" s="2392">
        <v>44985</v>
      </c>
      <c r="S1080" s="2393">
        <f t="shared" si="72"/>
        <v>4853.8999999999996</v>
      </c>
      <c r="T1080" s="2394">
        <f>IF(OR(J1080="COP",J1080="EURO",J1080="GBP"),0,IF(J1080="USD",VLOOKUP(R1080,'TRM BanRep'!$A:$G,7,0)))</f>
        <v>4808.1400000000003</v>
      </c>
      <c r="U1080" s="2395">
        <f t="shared" si="73"/>
        <v>358746701</v>
      </c>
      <c r="V1080" s="2395" t="str">
        <f t="shared" si="74"/>
        <v>2-GASTO</v>
      </c>
    </row>
    <row r="1081" spans="3:22" hidden="1">
      <c r="C1081">
        <v>2023</v>
      </c>
      <c r="D1081" t="s">
        <v>2192</v>
      </c>
      <c r="F1081">
        <v>2422999997</v>
      </c>
      <c r="G1081" t="s">
        <v>1609</v>
      </c>
      <c r="H1081" t="s">
        <v>2243</v>
      </c>
      <c r="I1081" t="s">
        <v>2096</v>
      </c>
      <c r="J1081" t="s">
        <v>106</v>
      </c>
      <c r="K1081">
        <v>7900001813</v>
      </c>
      <c r="L1081" t="s">
        <v>2243</v>
      </c>
      <c r="M1081" s="1633">
        <v>-4058222222</v>
      </c>
      <c r="N1081">
        <v>1</v>
      </c>
      <c r="O1081">
        <v>50</v>
      </c>
      <c r="P1081" s="1633">
        <v>-4058222222</v>
      </c>
      <c r="Q1081" t="s">
        <v>106</v>
      </c>
      <c r="R1081" s="2392">
        <v>44970</v>
      </c>
      <c r="S1081" s="2393">
        <f t="shared" si="72"/>
        <v>1</v>
      </c>
      <c r="T1081" s="2394">
        <f>IF(OR(J1081="COP",J1081="EURO",J1081="GBP"),0,IF(J1081="USD",VLOOKUP(R1081,'TRM BanRep'!$A:$G,7,0)))</f>
        <v>0</v>
      </c>
      <c r="U1081" s="2395">
        <f t="shared" si="73"/>
        <v>0</v>
      </c>
      <c r="V1081" s="2395" t="str">
        <f t="shared" si="74"/>
        <v/>
      </c>
    </row>
    <row r="1082" spans="3:22" hidden="1">
      <c r="C1082">
        <v>2023</v>
      </c>
      <c r="D1082" t="s">
        <v>2192</v>
      </c>
      <c r="F1082">
        <v>2422999997</v>
      </c>
      <c r="G1082" t="s">
        <v>1609</v>
      </c>
      <c r="H1082" t="s">
        <v>2244</v>
      </c>
      <c r="I1082" t="s">
        <v>2246</v>
      </c>
      <c r="J1082" t="s">
        <v>106</v>
      </c>
      <c r="K1082">
        <v>7900001853</v>
      </c>
      <c r="L1082" t="s">
        <v>2244</v>
      </c>
      <c r="M1082" s="1633">
        <v>-8621524444</v>
      </c>
      <c r="N1082">
        <v>1</v>
      </c>
      <c r="O1082">
        <v>50</v>
      </c>
      <c r="P1082" s="1633">
        <v>-8621524444</v>
      </c>
      <c r="Q1082" t="s">
        <v>106</v>
      </c>
      <c r="R1082" s="2392">
        <v>44974</v>
      </c>
      <c r="S1082" s="2393">
        <f t="shared" si="72"/>
        <v>1</v>
      </c>
      <c r="T1082" s="2394">
        <f>IF(OR(J1082="COP",J1082="EURO",J1082="GBP"),0,IF(J1082="USD",VLOOKUP(R1082,'TRM BanRep'!$A:$G,7,0)))</f>
        <v>0</v>
      </c>
      <c r="U1082" s="2395">
        <f t="shared" si="73"/>
        <v>0</v>
      </c>
      <c r="V1082" s="2395" t="str">
        <f t="shared" si="74"/>
        <v/>
      </c>
    </row>
    <row r="1083" spans="3:22" hidden="1">
      <c r="C1083">
        <v>2023</v>
      </c>
      <c r="D1083" t="s">
        <v>2192</v>
      </c>
      <c r="F1083">
        <v>2422999997</v>
      </c>
      <c r="G1083" t="s">
        <v>1609</v>
      </c>
      <c r="H1083" t="s">
        <v>2245</v>
      </c>
      <c r="I1083" t="s">
        <v>2007</v>
      </c>
      <c r="J1083" t="s">
        <v>106</v>
      </c>
      <c r="K1083">
        <v>7900001893</v>
      </c>
      <c r="L1083" t="s">
        <v>2245</v>
      </c>
      <c r="M1083" s="1633">
        <v>-21833133333</v>
      </c>
      <c r="N1083">
        <v>1</v>
      </c>
      <c r="O1083">
        <v>50</v>
      </c>
      <c r="P1083" s="1633">
        <v>-21833133333</v>
      </c>
      <c r="Q1083" t="s">
        <v>106</v>
      </c>
      <c r="R1083" s="2392">
        <v>44977</v>
      </c>
      <c r="S1083" s="2393">
        <f t="shared" si="72"/>
        <v>1</v>
      </c>
      <c r="T1083" s="2394">
        <f>IF(OR(J1083="COP",J1083="EURO",J1083="GBP"),0,IF(J1083="USD",VLOOKUP(R1083,'TRM BanRep'!$A:$G,7,0)))</f>
        <v>0</v>
      </c>
      <c r="U1083" s="2395">
        <f t="shared" si="73"/>
        <v>0</v>
      </c>
      <c r="V1083" s="2395" t="str">
        <f t="shared" si="74"/>
        <v/>
      </c>
    </row>
    <row r="1084" spans="3:22" hidden="1">
      <c r="C1084">
        <v>2023</v>
      </c>
      <c r="D1084" t="s">
        <v>2192</v>
      </c>
      <c r="F1084">
        <v>2422999997</v>
      </c>
      <c r="G1084" t="s">
        <v>1609</v>
      </c>
      <c r="H1084" t="s">
        <v>2245</v>
      </c>
      <c r="I1084" t="s">
        <v>1654</v>
      </c>
      <c r="J1084" t="s">
        <v>106</v>
      </c>
      <c r="K1084">
        <v>7900001901</v>
      </c>
      <c r="L1084" t="s">
        <v>2245</v>
      </c>
      <c r="M1084" s="1633">
        <v>-3816183800</v>
      </c>
      <c r="N1084">
        <v>1</v>
      </c>
      <c r="O1084">
        <v>50</v>
      </c>
      <c r="P1084" s="1633">
        <v>-3816183800</v>
      </c>
      <c r="Q1084" t="s">
        <v>106</v>
      </c>
      <c r="R1084" s="2392">
        <v>44977</v>
      </c>
      <c r="S1084" s="2393">
        <f t="shared" si="72"/>
        <v>1</v>
      </c>
      <c r="T1084" s="2394">
        <f>IF(OR(J1084="COP",J1084="EURO",J1084="GBP"),0,IF(J1084="USD",VLOOKUP(R1084,'TRM BanRep'!$A:$G,7,0)))</f>
        <v>0</v>
      </c>
      <c r="U1084" s="2395">
        <f t="shared" si="73"/>
        <v>0</v>
      </c>
      <c r="V1084" s="2395" t="str">
        <f t="shared" si="74"/>
        <v/>
      </c>
    </row>
    <row r="1085" spans="3:22" hidden="1">
      <c r="C1085">
        <v>2023</v>
      </c>
      <c r="D1085" t="s">
        <v>2192</v>
      </c>
      <c r="F1085">
        <v>2422999997</v>
      </c>
      <c r="G1085" t="s">
        <v>1609</v>
      </c>
      <c r="H1085" t="s">
        <v>2245</v>
      </c>
      <c r="I1085" t="s">
        <v>1652</v>
      </c>
      <c r="J1085" t="s">
        <v>106</v>
      </c>
      <c r="K1085">
        <v>7900001902</v>
      </c>
      <c r="L1085" t="s">
        <v>2245</v>
      </c>
      <c r="M1085" s="1633">
        <v>-6834726240</v>
      </c>
      <c r="N1085">
        <v>1</v>
      </c>
      <c r="O1085">
        <v>50</v>
      </c>
      <c r="P1085" s="1633">
        <v>-6834726240</v>
      </c>
      <c r="Q1085" t="s">
        <v>106</v>
      </c>
      <c r="R1085" s="2392">
        <v>44977</v>
      </c>
      <c r="S1085" s="2393">
        <f t="shared" si="72"/>
        <v>1</v>
      </c>
      <c r="T1085" s="2394">
        <f>IF(OR(J1085="COP",J1085="EURO",J1085="GBP"),0,IF(J1085="USD",VLOOKUP(R1085,'TRM BanRep'!$A:$G,7,0)))</f>
        <v>0</v>
      </c>
      <c r="U1085" s="2395">
        <f t="shared" si="73"/>
        <v>0</v>
      </c>
      <c r="V1085" s="2395" t="str">
        <f t="shared" si="74"/>
        <v/>
      </c>
    </row>
    <row r="1086" spans="3:22" hidden="1">
      <c r="C1086">
        <v>2023</v>
      </c>
      <c r="D1086" t="s">
        <v>2192</v>
      </c>
      <c r="F1086">
        <v>2422999997</v>
      </c>
      <c r="G1086" t="s">
        <v>1609</v>
      </c>
      <c r="H1086" t="s">
        <v>2245</v>
      </c>
      <c r="I1086" t="s">
        <v>1653</v>
      </c>
      <c r="J1086" t="s">
        <v>106</v>
      </c>
      <c r="K1086">
        <v>7900001903</v>
      </c>
      <c r="L1086" t="s">
        <v>2245</v>
      </c>
      <c r="M1086" s="1633">
        <v>-7380214600</v>
      </c>
      <c r="N1086">
        <v>1</v>
      </c>
      <c r="O1086">
        <v>50</v>
      </c>
      <c r="P1086" s="1633">
        <v>-7380214600</v>
      </c>
      <c r="Q1086" t="s">
        <v>106</v>
      </c>
      <c r="R1086" s="2392">
        <v>44977</v>
      </c>
      <c r="S1086" s="2393">
        <f t="shared" si="72"/>
        <v>1</v>
      </c>
      <c r="T1086" s="2394">
        <f>IF(OR(J1086="COP",J1086="EURO",J1086="GBP"),0,IF(J1086="USD",VLOOKUP(R1086,'TRM BanRep'!$A:$G,7,0)))</f>
        <v>0</v>
      </c>
      <c r="U1086" s="2395">
        <f t="shared" si="73"/>
        <v>0</v>
      </c>
      <c r="V1086" s="2395" t="str">
        <f t="shared" si="74"/>
        <v/>
      </c>
    </row>
    <row r="1087" spans="3:22" hidden="1">
      <c r="C1087">
        <v>2023</v>
      </c>
      <c r="D1087" t="s">
        <v>2192</v>
      </c>
      <c r="F1087">
        <v>2422999997</v>
      </c>
      <c r="G1087" t="s">
        <v>1609</v>
      </c>
      <c r="H1087" t="s">
        <v>2235</v>
      </c>
      <c r="I1087" t="s">
        <v>1655</v>
      </c>
      <c r="J1087" t="s">
        <v>106</v>
      </c>
      <c r="K1087">
        <v>7900001981</v>
      </c>
      <c r="L1087" t="s">
        <v>2235</v>
      </c>
      <c r="M1087" s="1633">
        <v>-17739175636</v>
      </c>
      <c r="N1087">
        <v>1</v>
      </c>
      <c r="O1087">
        <v>50</v>
      </c>
      <c r="P1087" s="1633">
        <v>-17739175636</v>
      </c>
      <c r="Q1087" t="s">
        <v>106</v>
      </c>
      <c r="R1087" s="2392">
        <v>44984</v>
      </c>
      <c r="S1087" s="2393">
        <f t="shared" si="72"/>
        <v>1</v>
      </c>
      <c r="T1087" s="2394">
        <f>IF(OR(J1087="COP",J1087="EURO",J1087="GBP"),0,IF(J1087="USD",VLOOKUP(R1087,'TRM BanRep'!$A:$G,7,0)))</f>
        <v>0</v>
      </c>
      <c r="U1087" s="2395">
        <f t="shared" si="73"/>
        <v>0</v>
      </c>
      <c r="V1087" s="2395" t="str">
        <f t="shared" si="74"/>
        <v/>
      </c>
    </row>
    <row r="1088" spans="3:22" hidden="1">
      <c r="C1088">
        <v>2023</v>
      </c>
      <c r="D1088" t="s">
        <v>2192</v>
      </c>
      <c r="F1088">
        <v>2422999997</v>
      </c>
      <c r="G1088" t="s">
        <v>1609</v>
      </c>
      <c r="H1088" t="s">
        <v>2235</v>
      </c>
      <c r="I1088" t="s">
        <v>1657</v>
      </c>
      <c r="J1088" t="s">
        <v>106</v>
      </c>
      <c r="K1088">
        <v>7900002089</v>
      </c>
      <c r="L1088" t="s">
        <v>2235</v>
      </c>
      <c r="M1088" s="1633">
        <v>-7894400000</v>
      </c>
      <c r="N1088">
        <v>1</v>
      </c>
      <c r="O1088">
        <v>50</v>
      </c>
      <c r="P1088" s="1633">
        <v>-7894400000</v>
      </c>
      <c r="Q1088" t="s">
        <v>106</v>
      </c>
      <c r="R1088" s="2392">
        <v>44984</v>
      </c>
      <c r="S1088" s="2393">
        <f t="shared" si="72"/>
        <v>1</v>
      </c>
      <c r="T1088" s="2394">
        <f>IF(OR(J1088="COP",J1088="EURO",J1088="GBP"),0,IF(J1088="USD",VLOOKUP(R1088,'TRM BanRep'!$A:$G,7,0)))</f>
        <v>0</v>
      </c>
      <c r="U1088" s="2395">
        <f t="shared" si="73"/>
        <v>0</v>
      </c>
      <c r="V1088" s="2395" t="str">
        <f t="shared" si="74"/>
        <v/>
      </c>
    </row>
    <row r="1089" spans="3:24" hidden="1">
      <c r="C1089">
        <v>2023</v>
      </c>
      <c r="D1089" t="s">
        <v>2192</v>
      </c>
      <c r="F1089">
        <v>2422999997</v>
      </c>
      <c r="G1089" t="s">
        <v>1609</v>
      </c>
      <c r="H1089" t="s">
        <v>2235</v>
      </c>
      <c r="I1089" t="s">
        <v>1660</v>
      </c>
      <c r="J1089" t="s">
        <v>106</v>
      </c>
      <c r="K1089">
        <v>7900002090</v>
      </c>
      <c r="L1089" t="s">
        <v>2235</v>
      </c>
      <c r="M1089" s="1633">
        <v>-3856500000</v>
      </c>
      <c r="N1089">
        <v>1</v>
      </c>
      <c r="O1089">
        <v>50</v>
      </c>
      <c r="P1089" s="1633">
        <v>-3856500000</v>
      </c>
      <c r="Q1089" t="s">
        <v>106</v>
      </c>
      <c r="R1089" s="2392">
        <v>44984</v>
      </c>
      <c r="S1089" s="2393">
        <f t="shared" si="72"/>
        <v>1</v>
      </c>
      <c r="T1089" s="2394">
        <f>IF(OR(J1089="COP",J1089="EURO",J1089="GBP"),0,IF(J1089="USD",VLOOKUP(R1089,'TRM BanRep'!$A:$G,7,0)))</f>
        <v>0</v>
      </c>
      <c r="U1089" s="2395">
        <f t="shared" si="73"/>
        <v>0</v>
      </c>
      <c r="V1089" s="2395" t="str">
        <f t="shared" si="74"/>
        <v/>
      </c>
    </row>
    <row r="1090" spans="3:24" hidden="1">
      <c r="C1090">
        <v>2023</v>
      </c>
      <c r="D1090" t="s">
        <v>2192</v>
      </c>
      <c r="F1090">
        <v>2422999997</v>
      </c>
      <c r="G1090" t="s">
        <v>1609</v>
      </c>
      <c r="H1090" t="s">
        <v>2235</v>
      </c>
      <c r="I1090" t="s">
        <v>1659</v>
      </c>
      <c r="J1090" t="s">
        <v>106</v>
      </c>
      <c r="K1090">
        <v>7900002091</v>
      </c>
      <c r="L1090" t="s">
        <v>2235</v>
      </c>
      <c r="M1090" s="1633">
        <v>-8932275000</v>
      </c>
      <c r="N1090">
        <v>1</v>
      </c>
      <c r="O1090">
        <v>50</v>
      </c>
      <c r="P1090" s="1633">
        <v>-8932275000</v>
      </c>
      <c r="Q1090" t="s">
        <v>106</v>
      </c>
      <c r="R1090" s="2392">
        <v>44984</v>
      </c>
      <c r="S1090" s="2393">
        <f t="shared" si="72"/>
        <v>1</v>
      </c>
      <c r="T1090" s="2394">
        <f>IF(OR(J1090="COP",J1090="EURO",J1090="GBP"),0,IF(J1090="USD",VLOOKUP(R1090,'TRM BanRep'!$A:$G,7,0)))</f>
        <v>0</v>
      </c>
      <c r="U1090" s="2395">
        <f t="shared" si="73"/>
        <v>0</v>
      </c>
      <c r="V1090" s="2395" t="str">
        <f t="shared" si="74"/>
        <v/>
      </c>
    </row>
    <row r="1091" spans="3:24" hidden="1">
      <c r="C1091">
        <v>2023</v>
      </c>
      <c r="D1091" t="s">
        <v>2192</v>
      </c>
      <c r="F1091">
        <v>2422999997</v>
      </c>
      <c r="G1091" t="s">
        <v>1609</v>
      </c>
      <c r="H1091" t="s">
        <v>2235</v>
      </c>
      <c r="I1091" t="s">
        <v>1656</v>
      </c>
      <c r="J1091" t="s">
        <v>106</v>
      </c>
      <c r="K1091">
        <v>7900002092</v>
      </c>
      <c r="L1091" t="s">
        <v>2235</v>
      </c>
      <c r="M1091" s="1633">
        <v>-6559875000</v>
      </c>
      <c r="N1091">
        <v>1</v>
      </c>
      <c r="O1091">
        <v>50</v>
      </c>
      <c r="P1091" s="1633">
        <v>-6559875000</v>
      </c>
      <c r="Q1091" t="s">
        <v>106</v>
      </c>
      <c r="R1091" s="2392">
        <v>44984</v>
      </c>
      <c r="S1091" s="2393">
        <f t="shared" si="72"/>
        <v>1</v>
      </c>
      <c r="T1091" s="2394">
        <f>IF(OR(J1091="COP",J1091="EURO",J1091="GBP"),0,IF(J1091="USD",VLOOKUP(R1091,'TRM BanRep'!$A:$G,7,0)))</f>
        <v>0</v>
      </c>
      <c r="U1091" s="2395">
        <f t="shared" si="73"/>
        <v>0</v>
      </c>
      <c r="V1091" s="2395" t="str">
        <f t="shared" si="74"/>
        <v/>
      </c>
    </row>
    <row r="1092" spans="3:24" hidden="1">
      <c r="C1092">
        <v>2023</v>
      </c>
      <c r="D1092" t="s">
        <v>2192</v>
      </c>
      <c r="F1092">
        <v>2422999997</v>
      </c>
      <c r="G1092" t="s">
        <v>1609</v>
      </c>
      <c r="H1092" t="s">
        <v>2235</v>
      </c>
      <c r="I1092" t="s">
        <v>1658</v>
      </c>
      <c r="J1092" t="s">
        <v>106</v>
      </c>
      <c r="K1092">
        <v>7900002093</v>
      </c>
      <c r="L1092" t="s">
        <v>2235</v>
      </c>
      <c r="M1092" s="1633">
        <v>-5792250000</v>
      </c>
      <c r="N1092">
        <v>1</v>
      </c>
      <c r="O1092">
        <v>50</v>
      </c>
      <c r="P1092" s="1633">
        <v>-5792250000</v>
      </c>
      <c r="Q1092" t="s">
        <v>106</v>
      </c>
      <c r="R1092" s="2392">
        <v>44984</v>
      </c>
      <c r="S1092" s="2393">
        <f t="shared" si="72"/>
        <v>1</v>
      </c>
      <c r="T1092" s="2394">
        <f>IF(OR(J1092="COP",J1092="EURO",J1092="GBP"),0,IF(J1092="USD",VLOOKUP(R1092,'TRM BanRep'!$A:$G,7,0)))</f>
        <v>0</v>
      </c>
      <c r="U1092" s="2395">
        <f t="shared" si="73"/>
        <v>0</v>
      </c>
      <c r="V1092" s="2395" t="str">
        <f t="shared" si="74"/>
        <v/>
      </c>
    </row>
    <row r="1093" spans="3:24">
      <c r="M1093" s="1633"/>
      <c r="P1093" s="1633"/>
      <c r="R1093" s="2392"/>
      <c r="S1093" s="2393"/>
      <c r="T1093" s="2394"/>
      <c r="U1093" s="2395"/>
      <c r="V1093" s="2395"/>
    </row>
    <row r="1094" spans="3:24">
      <c r="C1094">
        <v>2023</v>
      </c>
      <c r="D1094" t="s">
        <v>2193</v>
      </c>
      <c r="F1094">
        <v>1202049905</v>
      </c>
      <c r="G1094" t="s">
        <v>1557</v>
      </c>
      <c r="H1094" t="s">
        <v>2377</v>
      </c>
      <c r="I1094" t="s">
        <v>2465</v>
      </c>
      <c r="J1094" t="s">
        <v>64</v>
      </c>
      <c r="K1094">
        <v>7900003131</v>
      </c>
      <c r="L1094" t="s">
        <v>2377</v>
      </c>
      <c r="M1094" s="1633">
        <v>-2540000</v>
      </c>
      <c r="N1094">
        <v>4850.5</v>
      </c>
      <c r="O1094">
        <v>50</v>
      </c>
      <c r="P1094" s="1633">
        <v>-12320270000</v>
      </c>
      <c r="Q1094" t="s">
        <v>106</v>
      </c>
      <c r="R1094" s="2392">
        <v>44986</v>
      </c>
      <c r="S1094" s="2393">
        <f t="shared" ref="S1094:S1157" si="75">+ROUND(P1094/M1094,2)</f>
        <v>4850.5</v>
      </c>
      <c r="T1094" s="2394">
        <f>IF(OR(J1094="COP",J1094="EURO",J1094="GBP"),0,IF(J1094="USD",VLOOKUP(R1094,'TRM BanRep'!$A:$G,7,0)))</f>
        <v>4814.1099999999997</v>
      </c>
      <c r="U1094" s="2407">
        <f t="shared" ref="U1094:U1157" si="76">ROUND(IF(F1094=2422999997,-IF(T1094=0,0,(T1094-S1094)*M1094),IF(T1094=0,0,(T1094-S1094)*M1094)),0)</f>
        <v>92430600</v>
      </c>
      <c r="V1094" s="2395" t="str">
        <f t="shared" ref="V1094:V1157" si="77">IF(U1094=0,"",IF(U1094&gt;0,"2-GASTO","1-INGRESO"))</f>
        <v>2-GASTO</v>
      </c>
      <c r="X1094">
        <v>5803010300</v>
      </c>
    </row>
    <row r="1095" spans="3:24" hidden="1">
      <c r="C1095">
        <v>2023</v>
      </c>
      <c r="D1095" t="s">
        <v>2193</v>
      </c>
      <c r="F1095">
        <v>1202049905</v>
      </c>
      <c r="G1095" t="s">
        <v>1557</v>
      </c>
      <c r="H1095" t="s">
        <v>2377</v>
      </c>
      <c r="I1095" t="s">
        <v>2466</v>
      </c>
      <c r="J1095" t="s">
        <v>106</v>
      </c>
      <c r="K1095">
        <v>7900003132</v>
      </c>
      <c r="L1095" t="s">
        <v>2377</v>
      </c>
      <c r="M1095" s="1633">
        <v>12320270000</v>
      </c>
      <c r="N1095">
        <v>1</v>
      </c>
      <c r="O1095">
        <v>40</v>
      </c>
      <c r="P1095" s="1633">
        <v>12320270000</v>
      </c>
      <c r="Q1095" t="s">
        <v>106</v>
      </c>
      <c r="R1095" s="2392">
        <v>44986</v>
      </c>
      <c r="S1095" s="2393">
        <f t="shared" si="75"/>
        <v>1</v>
      </c>
      <c r="T1095" s="2394">
        <f>IF(OR(J1095="COP",J1095="EURO",J1095="GBP"),0,IF(J1095="USD",VLOOKUP(R1095,'TRM BanRep'!$A:$G,7,0)))</f>
        <v>0</v>
      </c>
      <c r="U1095" s="2395">
        <f t="shared" si="76"/>
        <v>0</v>
      </c>
      <c r="V1095" s="2395" t="str">
        <f t="shared" si="77"/>
        <v/>
      </c>
    </row>
    <row r="1096" spans="3:24">
      <c r="C1096">
        <v>2023</v>
      </c>
      <c r="D1096" t="s">
        <v>2193</v>
      </c>
      <c r="F1096">
        <v>1202049905</v>
      </c>
      <c r="G1096" t="s">
        <v>1557</v>
      </c>
      <c r="H1096" t="s">
        <v>2375</v>
      </c>
      <c r="I1096" t="s">
        <v>2467</v>
      </c>
      <c r="J1096" t="s">
        <v>64</v>
      </c>
      <c r="K1096">
        <v>7900003251</v>
      </c>
      <c r="L1096" t="s">
        <v>2375</v>
      </c>
      <c r="M1096" s="1633">
        <v>-1100000</v>
      </c>
      <c r="N1096">
        <v>4856.04</v>
      </c>
      <c r="O1096">
        <v>50</v>
      </c>
      <c r="P1096" s="1633">
        <v>-5341644000</v>
      </c>
      <c r="Q1096" t="s">
        <v>106</v>
      </c>
      <c r="R1096" s="2392">
        <v>44987</v>
      </c>
      <c r="S1096" s="2393">
        <f t="shared" si="75"/>
        <v>4856.04</v>
      </c>
      <c r="T1096" s="2394">
        <f>IF(OR(J1096="COP",J1096="EURO",J1096="GBP"),0,IF(J1096="USD",VLOOKUP(R1096,'TRM BanRep'!$A:$G,7,0)))</f>
        <v>4848.78</v>
      </c>
      <c r="U1096" s="2407">
        <f t="shared" si="76"/>
        <v>7986000</v>
      </c>
      <c r="V1096" s="2395" t="str">
        <f t="shared" si="77"/>
        <v>2-GASTO</v>
      </c>
      <c r="X1096">
        <v>5803010300</v>
      </c>
    </row>
    <row r="1097" spans="3:24" hidden="1">
      <c r="C1097">
        <v>2023</v>
      </c>
      <c r="D1097" t="s">
        <v>2193</v>
      </c>
      <c r="F1097">
        <v>1202049905</v>
      </c>
      <c r="G1097" t="s">
        <v>1557</v>
      </c>
      <c r="H1097" t="s">
        <v>2375</v>
      </c>
      <c r="I1097" t="s">
        <v>2468</v>
      </c>
      <c r="J1097" t="s">
        <v>106</v>
      </c>
      <c r="K1097">
        <v>7900003252</v>
      </c>
      <c r="L1097" t="s">
        <v>2375</v>
      </c>
      <c r="M1097" s="1633">
        <v>5341644000</v>
      </c>
      <c r="N1097">
        <v>1</v>
      </c>
      <c r="O1097">
        <v>40</v>
      </c>
      <c r="P1097" s="1633">
        <v>5341644000</v>
      </c>
      <c r="Q1097" t="s">
        <v>106</v>
      </c>
      <c r="R1097" s="2392">
        <v>44987</v>
      </c>
      <c r="S1097" s="2393">
        <f t="shared" si="75"/>
        <v>1</v>
      </c>
      <c r="T1097" s="2394">
        <f>IF(OR(J1097="COP",J1097="EURO",J1097="GBP"),0,IF(J1097="USD",VLOOKUP(R1097,'TRM BanRep'!$A:$G,7,0)))</f>
        <v>0</v>
      </c>
      <c r="U1097" s="2395">
        <f t="shared" si="76"/>
        <v>0</v>
      </c>
      <c r="V1097" s="2395" t="str">
        <f t="shared" si="77"/>
        <v/>
      </c>
    </row>
    <row r="1098" spans="3:24" hidden="1">
      <c r="C1098">
        <v>2023</v>
      </c>
      <c r="D1098" t="s">
        <v>2193</v>
      </c>
      <c r="F1098">
        <v>1202049905</v>
      </c>
      <c r="G1098" t="s">
        <v>1557</v>
      </c>
      <c r="H1098" t="s">
        <v>2373</v>
      </c>
      <c r="I1098" t="s">
        <v>2469</v>
      </c>
      <c r="J1098" t="s">
        <v>106</v>
      </c>
      <c r="K1098">
        <v>7900003167</v>
      </c>
      <c r="L1098" t="s">
        <v>2373</v>
      </c>
      <c r="M1098" s="1633">
        <v>-5318412911</v>
      </c>
      <c r="N1098">
        <v>1</v>
      </c>
      <c r="O1098">
        <v>50</v>
      </c>
      <c r="P1098" s="1633">
        <v>-5318412911</v>
      </c>
      <c r="Q1098" t="s">
        <v>106</v>
      </c>
      <c r="R1098" s="2392">
        <v>44991</v>
      </c>
      <c r="S1098" s="2393">
        <f t="shared" si="75"/>
        <v>1</v>
      </c>
      <c r="T1098" s="2394">
        <f>IF(OR(J1098="COP",J1098="EURO",J1098="GBP"),0,IF(J1098="USD",VLOOKUP(R1098,'TRM BanRep'!$A:$G,7,0)))</f>
        <v>0</v>
      </c>
      <c r="U1098" s="2395">
        <f t="shared" si="76"/>
        <v>0</v>
      </c>
      <c r="V1098" s="2395" t="str">
        <f t="shared" si="77"/>
        <v/>
      </c>
    </row>
    <row r="1099" spans="3:24">
      <c r="C1099">
        <v>2023</v>
      </c>
      <c r="D1099" t="s">
        <v>2193</v>
      </c>
      <c r="F1099">
        <v>1202049905</v>
      </c>
      <c r="G1099" t="s">
        <v>1557</v>
      </c>
      <c r="H1099" t="s">
        <v>2373</v>
      </c>
      <c r="I1099" t="s">
        <v>2470</v>
      </c>
      <c r="J1099" t="s">
        <v>64</v>
      </c>
      <c r="K1099">
        <v>7900003168</v>
      </c>
      <c r="L1099" t="s">
        <v>2373</v>
      </c>
      <c r="M1099" s="1633">
        <v>1095263.3999999999</v>
      </c>
      <c r="N1099">
        <v>4855.8300300000001</v>
      </c>
      <c r="O1099">
        <v>40</v>
      </c>
      <c r="P1099" s="1633">
        <v>5318412911</v>
      </c>
      <c r="Q1099" t="s">
        <v>106</v>
      </c>
      <c r="R1099" s="2392">
        <v>44991</v>
      </c>
      <c r="S1099" s="2393">
        <f t="shared" si="75"/>
        <v>4855.83</v>
      </c>
      <c r="T1099" s="2394">
        <f>IF(OR(J1099="COP",J1099="EURO",J1099="GBP"),0,IF(J1099="USD",VLOOKUP(R1099,'TRM BanRep'!$A:$G,7,0)))</f>
        <v>4780.8900000000003</v>
      </c>
      <c r="U1099" s="2399">
        <f t="shared" si="76"/>
        <v>-82079039</v>
      </c>
      <c r="V1099" s="2395" t="str">
        <f t="shared" si="77"/>
        <v>1-INGRESO</v>
      </c>
      <c r="X1099">
        <v>4806010300</v>
      </c>
    </row>
    <row r="1100" spans="3:24">
      <c r="C1100">
        <v>2023</v>
      </c>
      <c r="D1100" t="s">
        <v>2193</v>
      </c>
      <c r="F1100">
        <v>1202049905</v>
      </c>
      <c r="G1100" t="s">
        <v>1557</v>
      </c>
      <c r="H1100" t="s">
        <v>2373</v>
      </c>
      <c r="I1100" t="s">
        <v>2471</v>
      </c>
      <c r="J1100" t="s">
        <v>146</v>
      </c>
      <c r="K1100">
        <v>7900003191</v>
      </c>
      <c r="L1100" t="s">
        <v>2373</v>
      </c>
      <c r="M1100" s="1633">
        <v>-25975.200000000001</v>
      </c>
      <c r="N1100">
        <v>5065.8310199999996</v>
      </c>
      <c r="O1100">
        <v>50</v>
      </c>
      <c r="P1100" s="1633">
        <v>-131585974</v>
      </c>
      <c r="Q1100" t="s">
        <v>106</v>
      </c>
      <c r="R1100" s="2392">
        <v>44991</v>
      </c>
      <c r="S1100" s="2393">
        <f t="shared" si="75"/>
        <v>5065.83</v>
      </c>
      <c r="T1100" s="2394">
        <f>IF(OR(J1100="COP",J1100="EURO",J1100="GBP"),0,IF(J1100="USD",VLOOKUP(R1100,'TRM BanRep'!$A:$G,7,0)))</f>
        <v>0</v>
      </c>
      <c r="U1100" s="2395">
        <f t="shared" si="76"/>
        <v>0</v>
      </c>
      <c r="V1100" s="2395" t="str">
        <f t="shared" si="77"/>
        <v/>
      </c>
    </row>
    <row r="1101" spans="3:24">
      <c r="C1101">
        <v>2023</v>
      </c>
      <c r="D1101" t="s">
        <v>2193</v>
      </c>
      <c r="F1101">
        <v>1202049905</v>
      </c>
      <c r="G1101" t="s">
        <v>1557</v>
      </c>
      <c r="H1101" t="s">
        <v>2373</v>
      </c>
      <c r="I1101" t="s">
        <v>2472</v>
      </c>
      <c r="J1101" t="s">
        <v>64</v>
      </c>
      <c r="K1101">
        <v>7900003192</v>
      </c>
      <c r="L1101" t="s">
        <v>2373</v>
      </c>
      <c r="M1101" s="1633">
        <v>28453.23</v>
      </c>
      <c r="N1101">
        <v>4624.6409999999996</v>
      </c>
      <c r="O1101">
        <v>40</v>
      </c>
      <c r="P1101" s="1633">
        <v>131585974</v>
      </c>
      <c r="Q1101" t="s">
        <v>106</v>
      </c>
      <c r="R1101" s="2392">
        <v>44991</v>
      </c>
      <c r="S1101" s="2393">
        <f t="shared" si="75"/>
        <v>4624.6400000000003</v>
      </c>
      <c r="T1101" s="2394">
        <f>IF(OR(J1101="COP",J1101="EURO",J1101="GBP"),0,IF(J1101="USD",VLOOKUP(R1101,'TRM BanRep'!$A:$G,7,0)))</f>
        <v>4780.8900000000003</v>
      </c>
      <c r="U1101" s="2407">
        <f t="shared" si="76"/>
        <v>4445817</v>
      </c>
      <c r="V1101" s="2395" t="str">
        <f t="shared" si="77"/>
        <v>2-GASTO</v>
      </c>
      <c r="X1101">
        <v>5803010300</v>
      </c>
    </row>
    <row r="1102" spans="3:24" hidden="1">
      <c r="C1102">
        <v>2023</v>
      </c>
      <c r="D1102" t="s">
        <v>2193</v>
      </c>
      <c r="F1102">
        <v>1202049905</v>
      </c>
      <c r="G1102" t="s">
        <v>1557</v>
      </c>
      <c r="H1102" t="s">
        <v>2373</v>
      </c>
      <c r="I1102" t="s">
        <v>2473</v>
      </c>
      <c r="J1102" t="s">
        <v>106</v>
      </c>
      <c r="K1102">
        <v>7900003223</v>
      </c>
      <c r="L1102" t="s">
        <v>2373</v>
      </c>
      <c r="M1102" s="1633">
        <v>-107652457280</v>
      </c>
      <c r="N1102">
        <v>1</v>
      </c>
      <c r="O1102">
        <v>50</v>
      </c>
      <c r="P1102" s="1633">
        <v>-107652457280</v>
      </c>
      <c r="Q1102" t="s">
        <v>106</v>
      </c>
      <c r="R1102" s="2392">
        <v>44991</v>
      </c>
      <c r="S1102" s="2393">
        <f t="shared" si="75"/>
        <v>1</v>
      </c>
      <c r="T1102" s="2394">
        <f>IF(OR(J1102="COP",J1102="EURO",J1102="GBP"),0,IF(J1102="USD",VLOOKUP(R1102,'TRM BanRep'!$A:$G,7,0)))</f>
        <v>0</v>
      </c>
      <c r="U1102" s="2395">
        <f t="shared" si="76"/>
        <v>0</v>
      </c>
      <c r="V1102" s="2395" t="str">
        <f t="shared" si="77"/>
        <v/>
      </c>
    </row>
    <row r="1103" spans="3:24">
      <c r="C1103">
        <v>2023</v>
      </c>
      <c r="D1103" t="s">
        <v>2193</v>
      </c>
      <c r="F1103">
        <v>1202049905</v>
      </c>
      <c r="G1103" t="s">
        <v>1557</v>
      </c>
      <c r="H1103" t="s">
        <v>2373</v>
      </c>
      <c r="I1103" t="s">
        <v>2474</v>
      </c>
      <c r="J1103" t="s">
        <v>64</v>
      </c>
      <c r="K1103">
        <v>7900003224</v>
      </c>
      <c r="L1103" t="s">
        <v>2373</v>
      </c>
      <c r="M1103" s="1633">
        <v>22807724</v>
      </c>
      <c r="N1103">
        <v>4720</v>
      </c>
      <c r="O1103">
        <v>40</v>
      </c>
      <c r="P1103" s="1633">
        <v>107652457280</v>
      </c>
      <c r="Q1103" t="s">
        <v>106</v>
      </c>
      <c r="R1103" s="2392">
        <v>44991</v>
      </c>
      <c r="S1103" s="2393">
        <f t="shared" si="75"/>
        <v>4720</v>
      </c>
      <c r="T1103" s="2394">
        <f>IF(OR(J1103="COP",J1103="EURO",J1103="GBP"),0,IF(J1103="USD",VLOOKUP(R1103,'TRM BanRep'!$A:$G,7,0)))</f>
        <v>4780.8900000000003</v>
      </c>
      <c r="U1103" s="2475">
        <f t="shared" si="76"/>
        <v>1388762314</v>
      </c>
      <c r="V1103" s="2395" t="str">
        <f t="shared" si="77"/>
        <v>2-GASTO</v>
      </c>
      <c r="X1103">
        <v>5803451210</v>
      </c>
    </row>
    <row r="1104" spans="3:24">
      <c r="C1104">
        <v>2023</v>
      </c>
      <c r="D1104" t="s">
        <v>2193</v>
      </c>
      <c r="F1104">
        <v>1202049905</v>
      </c>
      <c r="G1104" t="s">
        <v>1557</v>
      </c>
      <c r="H1104" t="s">
        <v>2373</v>
      </c>
      <c r="I1104" t="s">
        <v>2475</v>
      </c>
      <c r="J1104" t="s">
        <v>64</v>
      </c>
      <c r="K1104">
        <v>7900003231</v>
      </c>
      <c r="L1104" t="s">
        <v>2373</v>
      </c>
      <c r="M1104" s="1633">
        <v>-4000000</v>
      </c>
      <c r="N1104">
        <v>4721</v>
      </c>
      <c r="O1104">
        <v>50</v>
      </c>
      <c r="P1104" s="1633">
        <v>-18884000000</v>
      </c>
      <c r="Q1104" t="s">
        <v>106</v>
      </c>
      <c r="R1104" s="2392">
        <v>44991</v>
      </c>
      <c r="S1104" s="2393">
        <f t="shared" si="75"/>
        <v>4721</v>
      </c>
      <c r="T1104" s="2394">
        <f>IF(OR(J1104="COP",J1104="EURO",J1104="GBP"),0,IF(J1104="USD",VLOOKUP(R1104,'TRM BanRep'!$A:$G,7,0)))</f>
        <v>4780.8900000000003</v>
      </c>
      <c r="U1104" s="2399">
        <f t="shared" si="76"/>
        <v>-239560000</v>
      </c>
      <c r="V1104" s="2395" t="str">
        <f t="shared" si="77"/>
        <v>1-INGRESO</v>
      </c>
      <c r="X1104">
        <v>4806010300</v>
      </c>
    </row>
    <row r="1105" spans="3:24" hidden="1">
      <c r="C1105">
        <v>2023</v>
      </c>
      <c r="D1105" t="s">
        <v>2193</v>
      </c>
      <c r="F1105">
        <v>1202049905</v>
      </c>
      <c r="G1105" t="s">
        <v>1557</v>
      </c>
      <c r="H1105" t="s">
        <v>2373</v>
      </c>
      <c r="I1105" t="s">
        <v>2476</v>
      </c>
      <c r="J1105" t="s">
        <v>106</v>
      </c>
      <c r="K1105">
        <v>7900003232</v>
      </c>
      <c r="L1105" t="s">
        <v>2373</v>
      </c>
      <c r="M1105" s="1633">
        <v>18884000000</v>
      </c>
      <c r="N1105">
        <v>1</v>
      </c>
      <c r="O1105">
        <v>40</v>
      </c>
      <c r="P1105" s="1633">
        <v>18884000000</v>
      </c>
      <c r="Q1105" t="s">
        <v>106</v>
      </c>
      <c r="R1105" s="2392">
        <v>44991</v>
      </c>
      <c r="S1105" s="2393">
        <f t="shared" si="75"/>
        <v>1</v>
      </c>
      <c r="T1105" s="2394">
        <f>IF(OR(J1105="COP",J1105="EURO",J1105="GBP"),0,IF(J1105="USD",VLOOKUP(R1105,'TRM BanRep'!$A:$G,7,0)))</f>
        <v>0</v>
      </c>
      <c r="U1105" s="2395">
        <f t="shared" si="76"/>
        <v>0</v>
      </c>
      <c r="V1105" s="2395" t="str">
        <f t="shared" si="77"/>
        <v/>
      </c>
    </row>
    <row r="1106" spans="3:24" hidden="1">
      <c r="C1106">
        <v>2023</v>
      </c>
      <c r="D1106" t="s">
        <v>2193</v>
      </c>
      <c r="F1106">
        <v>1202049905</v>
      </c>
      <c r="G1106" t="s">
        <v>1557</v>
      </c>
      <c r="H1106" t="s">
        <v>2433</v>
      </c>
      <c r="I1106" t="s">
        <v>2477</v>
      </c>
      <c r="J1106" t="s">
        <v>106</v>
      </c>
      <c r="K1106">
        <v>7900003271</v>
      </c>
      <c r="L1106" t="s">
        <v>2433</v>
      </c>
      <c r="M1106" s="1633">
        <v>-85729863</v>
      </c>
      <c r="N1106">
        <v>1</v>
      </c>
      <c r="O1106">
        <v>50</v>
      </c>
      <c r="P1106" s="1633">
        <v>-85729863</v>
      </c>
      <c r="Q1106" t="s">
        <v>106</v>
      </c>
      <c r="R1106" s="2392">
        <v>45000</v>
      </c>
      <c r="S1106" s="2393">
        <f t="shared" si="75"/>
        <v>1</v>
      </c>
      <c r="T1106" s="2394">
        <f>IF(OR(J1106="COP",J1106="EURO",J1106="GBP"),0,IF(J1106="USD",VLOOKUP(R1106,'TRM BanRep'!$A:$G,7,0)))</f>
        <v>0</v>
      </c>
      <c r="U1106" s="2395">
        <f t="shared" si="76"/>
        <v>0</v>
      </c>
      <c r="V1106" s="2395" t="str">
        <f t="shared" si="77"/>
        <v/>
      </c>
    </row>
    <row r="1107" spans="3:24">
      <c r="C1107">
        <v>2023</v>
      </c>
      <c r="D1107" t="s">
        <v>2193</v>
      </c>
      <c r="F1107">
        <v>1202049905</v>
      </c>
      <c r="G1107" t="s">
        <v>1557</v>
      </c>
      <c r="H1107" t="s">
        <v>2433</v>
      </c>
      <c r="I1107" t="s">
        <v>2478</v>
      </c>
      <c r="J1107" t="s">
        <v>64</v>
      </c>
      <c r="K1107">
        <v>7900003272</v>
      </c>
      <c r="L1107" t="s">
        <v>2433</v>
      </c>
      <c r="M1107" s="1633">
        <v>18101.63</v>
      </c>
      <c r="N1107">
        <v>4736.0300100000004</v>
      </c>
      <c r="O1107">
        <v>40</v>
      </c>
      <c r="P1107" s="1633">
        <v>85729863</v>
      </c>
      <c r="Q1107" t="s">
        <v>106</v>
      </c>
      <c r="R1107" s="2392">
        <v>45000</v>
      </c>
      <c r="S1107" s="2393">
        <f t="shared" si="75"/>
        <v>4736.03</v>
      </c>
      <c r="T1107" s="2394">
        <f>IF(OR(J1107="COP",J1107="EURO",J1107="GBP"),0,IF(J1107="USD",VLOOKUP(R1107,'TRM BanRep'!$A:$G,7,0)))</f>
        <v>4736.03</v>
      </c>
      <c r="U1107" s="2395">
        <f t="shared" si="76"/>
        <v>0</v>
      </c>
      <c r="V1107" s="2395" t="str">
        <f t="shared" si="77"/>
        <v/>
      </c>
    </row>
    <row r="1108" spans="3:24">
      <c r="C1108">
        <v>2023</v>
      </c>
      <c r="D1108" t="s">
        <v>2193</v>
      </c>
      <c r="F1108">
        <v>1202049905</v>
      </c>
      <c r="G1108" t="s">
        <v>1557</v>
      </c>
      <c r="H1108" t="s">
        <v>2371</v>
      </c>
      <c r="I1108" t="s">
        <v>2479</v>
      </c>
      <c r="J1108" t="s">
        <v>64</v>
      </c>
      <c r="K1108">
        <v>7900003321</v>
      </c>
      <c r="L1108" t="s">
        <v>2371</v>
      </c>
      <c r="M1108" s="1633">
        <v>-6841145.1500000004</v>
      </c>
      <c r="N1108">
        <v>4741.75</v>
      </c>
      <c r="O1108">
        <v>50</v>
      </c>
      <c r="P1108" s="1633">
        <v>-32439000015</v>
      </c>
      <c r="Q1108" t="s">
        <v>106</v>
      </c>
      <c r="R1108" s="2392">
        <v>45009</v>
      </c>
      <c r="S1108" s="2393">
        <f t="shared" si="75"/>
        <v>4741.75</v>
      </c>
      <c r="T1108" s="2394">
        <f>IF(OR(J1108="COP",J1108="EURO",J1108="GBP"),0,IF(J1108="USD",VLOOKUP(R1108,'TRM BanRep'!$A:$G,7,0)))</f>
        <v>4755.12</v>
      </c>
      <c r="U1108" s="2395">
        <f t="shared" si="76"/>
        <v>-91466111</v>
      </c>
      <c r="V1108" s="2395" t="str">
        <f t="shared" si="77"/>
        <v>1-INGRESO</v>
      </c>
    </row>
    <row r="1109" spans="3:24" hidden="1">
      <c r="C1109">
        <v>2023</v>
      </c>
      <c r="D1109" t="s">
        <v>2193</v>
      </c>
      <c r="F1109">
        <v>1202049905</v>
      </c>
      <c r="G1109" t="s">
        <v>1557</v>
      </c>
      <c r="H1109" t="s">
        <v>2371</v>
      </c>
      <c r="I1109" t="s">
        <v>2480</v>
      </c>
      <c r="J1109" t="s">
        <v>106</v>
      </c>
      <c r="K1109">
        <v>7900003322</v>
      </c>
      <c r="L1109" t="s">
        <v>2371</v>
      </c>
      <c r="M1109" s="1633">
        <v>32439000015</v>
      </c>
      <c r="N1109">
        <v>1</v>
      </c>
      <c r="O1109">
        <v>40</v>
      </c>
      <c r="P1109" s="1633">
        <v>32439000015</v>
      </c>
      <c r="Q1109" t="s">
        <v>106</v>
      </c>
      <c r="R1109" s="2392">
        <v>45009</v>
      </c>
      <c r="S1109" s="2393">
        <f t="shared" si="75"/>
        <v>1</v>
      </c>
      <c r="T1109" s="2394">
        <f>IF(OR(J1109="COP",J1109="EURO",J1109="GBP"),0,IF(J1109="USD",VLOOKUP(R1109,'TRM BanRep'!$A:$G,7,0)))</f>
        <v>0</v>
      </c>
      <c r="U1109" s="2395">
        <f t="shared" si="76"/>
        <v>0</v>
      </c>
      <c r="V1109" s="2395" t="str">
        <f t="shared" si="77"/>
        <v/>
      </c>
    </row>
    <row r="1110" spans="3:24" hidden="1">
      <c r="C1110">
        <v>2023</v>
      </c>
      <c r="D1110" t="s">
        <v>2193</v>
      </c>
      <c r="F1110">
        <v>1202049905</v>
      </c>
      <c r="G1110" t="s">
        <v>1557</v>
      </c>
      <c r="H1110" t="s">
        <v>2391</v>
      </c>
      <c r="I1110" t="s">
        <v>2481</v>
      </c>
      <c r="J1110" t="s">
        <v>106</v>
      </c>
      <c r="K1110">
        <v>7900003341</v>
      </c>
      <c r="L1110" t="s">
        <v>2391</v>
      </c>
      <c r="M1110" s="1633">
        <v>-13611371902</v>
      </c>
      <c r="N1110">
        <v>1</v>
      </c>
      <c r="O1110">
        <v>50</v>
      </c>
      <c r="P1110" s="1633">
        <v>-13611371902</v>
      </c>
      <c r="Q1110" t="s">
        <v>106</v>
      </c>
      <c r="R1110" s="2392">
        <v>45013</v>
      </c>
      <c r="S1110" s="2393">
        <f t="shared" si="75"/>
        <v>1</v>
      </c>
      <c r="T1110" s="2394">
        <f>IF(OR(J1110="COP",J1110="EURO",J1110="GBP"),0,IF(J1110="USD",VLOOKUP(R1110,'TRM BanRep'!$A:$G,7,0)))</f>
        <v>0</v>
      </c>
      <c r="U1110" s="2395">
        <f t="shared" si="76"/>
        <v>0</v>
      </c>
      <c r="V1110" s="2395" t="str">
        <f t="shared" si="77"/>
        <v/>
      </c>
    </row>
    <row r="1111" spans="3:24">
      <c r="C1111">
        <v>2023</v>
      </c>
      <c r="D1111" t="s">
        <v>2193</v>
      </c>
      <c r="F1111">
        <v>1202049905</v>
      </c>
      <c r="G1111" t="s">
        <v>1557</v>
      </c>
      <c r="H1111" t="s">
        <v>2391</v>
      </c>
      <c r="I1111" t="s">
        <v>2482</v>
      </c>
      <c r="J1111" t="s">
        <v>64</v>
      </c>
      <c r="K1111">
        <v>7900003342</v>
      </c>
      <c r="L1111" t="s">
        <v>2391</v>
      </c>
      <c r="M1111" s="1633">
        <v>2870531.6</v>
      </c>
      <c r="N1111">
        <v>4741.7599899999996</v>
      </c>
      <c r="O1111">
        <v>40</v>
      </c>
      <c r="P1111" s="1633">
        <v>13611371902</v>
      </c>
      <c r="Q1111" t="s">
        <v>106</v>
      </c>
      <c r="R1111" s="2392">
        <v>45013</v>
      </c>
      <c r="S1111" s="2393">
        <f t="shared" si="75"/>
        <v>4741.76</v>
      </c>
      <c r="T1111" s="2394">
        <f>IF(OR(J1111="COP",J1111="EURO",J1111="GBP"),0,IF(J1111="USD",VLOOKUP(R1111,'TRM BanRep'!$A:$G,7,0)))</f>
        <v>4686.83</v>
      </c>
      <c r="U1111" s="2399">
        <f t="shared" si="76"/>
        <v>-157678301</v>
      </c>
      <c r="V1111" s="2395" t="str">
        <f t="shared" si="77"/>
        <v>1-INGRESO</v>
      </c>
      <c r="X1111">
        <v>4806010300</v>
      </c>
    </row>
    <row r="1112" spans="3:24" hidden="1">
      <c r="C1112">
        <v>2023</v>
      </c>
      <c r="D1112" t="s">
        <v>2193</v>
      </c>
      <c r="F1112">
        <v>1202049905</v>
      </c>
      <c r="G1112" t="s">
        <v>1557</v>
      </c>
      <c r="H1112" t="s">
        <v>2391</v>
      </c>
      <c r="I1112" t="s">
        <v>2483</v>
      </c>
      <c r="J1112" t="s">
        <v>106</v>
      </c>
      <c r="K1112">
        <v>7900003349</v>
      </c>
      <c r="L1112" t="s">
        <v>2391</v>
      </c>
      <c r="M1112" s="1633">
        <v>-8291440125</v>
      </c>
      <c r="N1112">
        <v>1</v>
      </c>
      <c r="O1112">
        <v>50</v>
      </c>
      <c r="P1112" s="1633">
        <v>-8291440125</v>
      </c>
      <c r="Q1112" t="s">
        <v>106</v>
      </c>
      <c r="R1112" s="2392">
        <v>45013</v>
      </c>
      <c r="S1112" s="2393">
        <f t="shared" si="75"/>
        <v>1</v>
      </c>
      <c r="T1112" s="2394">
        <f>IF(OR(J1112="COP",J1112="EURO",J1112="GBP"),0,IF(J1112="USD",VLOOKUP(R1112,'TRM BanRep'!$A:$G,7,0)))</f>
        <v>0</v>
      </c>
      <c r="U1112" s="2395">
        <f t="shared" si="76"/>
        <v>0</v>
      </c>
      <c r="V1112" s="2395" t="str">
        <f t="shared" si="77"/>
        <v/>
      </c>
    </row>
    <row r="1113" spans="3:24">
      <c r="C1113">
        <v>2023</v>
      </c>
      <c r="D1113" t="s">
        <v>2193</v>
      </c>
      <c r="F1113">
        <v>1202049905</v>
      </c>
      <c r="G1113" t="s">
        <v>1557</v>
      </c>
      <c r="H1113" t="s">
        <v>2391</v>
      </c>
      <c r="I1113" t="s">
        <v>2484</v>
      </c>
      <c r="J1113" t="s">
        <v>64</v>
      </c>
      <c r="K1113">
        <v>7900003350</v>
      </c>
      <c r="L1113" t="s">
        <v>2391</v>
      </c>
      <c r="M1113" s="1633">
        <v>1748599.7</v>
      </c>
      <c r="N1113">
        <v>4741.76001</v>
      </c>
      <c r="O1113">
        <v>40</v>
      </c>
      <c r="P1113" s="1633">
        <v>8291440125</v>
      </c>
      <c r="Q1113" t="s">
        <v>106</v>
      </c>
      <c r="R1113" s="2392">
        <v>45013</v>
      </c>
      <c r="S1113" s="2393">
        <f t="shared" si="75"/>
        <v>4741.76</v>
      </c>
      <c r="T1113" s="2394">
        <f>IF(OR(J1113="COP",J1113="EURO",J1113="GBP"),0,IF(J1113="USD",VLOOKUP(R1113,'TRM BanRep'!$A:$G,7,0)))</f>
        <v>4686.83</v>
      </c>
      <c r="U1113" s="2399">
        <f t="shared" si="76"/>
        <v>-96050582</v>
      </c>
      <c r="V1113" s="2395" t="str">
        <f t="shared" si="77"/>
        <v>1-INGRESO</v>
      </c>
      <c r="X1113">
        <v>4806010300</v>
      </c>
    </row>
    <row r="1114" spans="3:24" hidden="1">
      <c r="C1114">
        <v>2023</v>
      </c>
      <c r="D1114" t="s">
        <v>2193</v>
      </c>
      <c r="F1114">
        <v>1202049905</v>
      </c>
      <c r="G1114" t="s">
        <v>1557</v>
      </c>
      <c r="H1114" t="s">
        <v>2391</v>
      </c>
      <c r="I1114" t="s">
        <v>2485</v>
      </c>
      <c r="J1114" t="s">
        <v>106</v>
      </c>
      <c r="K1114">
        <v>7900003357</v>
      </c>
      <c r="L1114" t="s">
        <v>2391</v>
      </c>
      <c r="M1114" s="1633">
        <v>-10535617891</v>
      </c>
      <c r="N1114">
        <v>1</v>
      </c>
      <c r="O1114">
        <v>50</v>
      </c>
      <c r="P1114" s="1633">
        <v>-10535617891</v>
      </c>
      <c r="Q1114" t="s">
        <v>106</v>
      </c>
      <c r="R1114" s="2392">
        <v>45013</v>
      </c>
      <c r="S1114" s="2393">
        <f t="shared" si="75"/>
        <v>1</v>
      </c>
      <c r="T1114" s="2394">
        <f>IF(OR(J1114="COP",J1114="EURO",J1114="GBP"),0,IF(J1114="USD",VLOOKUP(R1114,'TRM BanRep'!$A:$G,7,0)))</f>
        <v>0</v>
      </c>
      <c r="U1114" s="2395">
        <f t="shared" si="76"/>
        <v>0</v>
      </c>
      <c r="V1114" s="2395" t="str">
        <f t="shared" si="77"/>
        <v/>
      </c>
    </row>
    <row r="1115" spans="3:24">
      <c r="C1115">
        <v>2023</v>
      </c>
      <c r="D1115" t="s">
        <v>2193</v>
      </c>
      <c r="F1115">
        <v>1202049905</v>
      </c>
      <c r="G1115" t="s">
        <v>1557</v>
      </c>
      <c r="H1115" t="s">
        <v>2391</v>
      </c>
      <c r="I1115" t="s">
        <v>2486</v>
      </c>
      <c r="J1115" t="s">
        <v>64</v>
      </c>
      <c r="K1115">
        <v>7900003358</v>
      </c>
      <c r="L1115" t="s">
        <v>2391</v>
      </c>
      <c r="M1115" s="1633">
        <v>2221879.19</v>
      </c>
      <c r="N1115">
        <v>4741.76001</v>
      </c>
      <c r="O1115">
        <v>40</v>
      </c>
      <c r="P1115" s="1633">
        <v>10535617891</v>
      </c>
      <c r="Q1115" t="s">
        <v>106</v>
      </c>
      <c r="R1115" s="2392">
        <v>45013</v>
      </c>
      <c r="S1115" s="2393">
        <f t="shared" si="75"/>
        <v>4741.76</v>
      </c>
      <c r="T1115" s="2394">
        <f>IF(OR(J1115="COP",J1115="EURO",J1115="GBP"),0,IF(J1115="USD",VLOOKUP(R1115,'TRM BanRep'!$A:$G,7,0)))</f>
        <v>4686.83</v>
      </c>
      <c r="U1115" s="2399">
        <f t="shared" si="76"/>
        <v>-122047824</v>
      </c>
      <c r="V1115" s="2395" t="str">
        <f t="shared" si="77"/>
        <v>1-INGRESO</v>
      </c>
      <c r="X1115">
        <v>4806010300</v>
      </c>
    </row>
    <row r="1116" spans="3:24">
      <c r="C1116">
        <v>2023</v>
      </c>
      <c r="D1116" t="s">
        <v>2193</v>
      </c>
      <c r="F1116">
        <v>1202049905</v>
      </c>
      <c r="G1116" t="s">
        <v>1557</v>
      </c>
      <c r="H1116" t="s">
        <v>2412</v>
      </c>
      <c r="I1116" t="s">
        <v>2487</v>
      </c>
      <c r="J1116" t="s">
        <v>64</v>
      </c>
      <c r="K1116">
        <v>7900003851</v>
      </c>
      <c r="L1116" t="s">
        <v>2412</v>
      </c>
      <c r="M1116" s="1633">
        <v>-5850643</v>
      </c>
      <c r="N1116">
        <v>4658.79</v>
      </c>
      <c r="O1116">
        <v>50</v>
      </c>
      <c r="P1116" s="1633">
        <v>-27256917102</v>
      </c>
      <c r="Q1116" t="s">
        <v>106</v>
      </c>
      <c r="R1116" s="2392">
        <v>45014</v>
      </c>
      <c r="S1116" s="2393">
        <f t="shared" si="75"/>
        <v>4658.79</v>
      </c>
      <c r="T1116" s="2394">
        <f>IF(OR(J1116="COP",J1116="EURO",J1116="GBP"),0,IF(J1116="USD",VLOOKUP(R1116,'TRM BanRep'!$A:$G,7,0)))</f>
        <v>4658.79</v>
      </c>
      <c r="U1116" s="2395">
        <f t="shared" si="76"/>
        <v>0</v>
      </c>
      <c r="V1116" s="2395" t="str">
        <f t="shared" si="77"/>
        <v/>
      </c>
    </row>
    <row r="1117" spans="3:24" hidden="1">
      <c r="C1117">
        <v>2023</v>
      </c>
      <c r="D1117" t="s">
        <v>2193</v>
      </c>
      <c r="F1117">
        <v>1202049905</v>
      </c>
      <c r="G1117" t="s">
        <v>1557</v>
      </c>
      <c r="H1117" t="s">
        <v>2412</v>
      </c>
      <c r="I1117" t="s">
        <v>2488</v>
      </c>
      <c r="J1117" t="s">
        <v>106</v>
      </c>
      <c r="K1117">
        <v>7900003852</v>
      </c>
      <c r="L1117" t="s">
        <v>2412</v>
      </c>
      <c r="M1117" s="1633">
        <v>27256917102</v>
      </c>
      <c r="N1117">
        <v>1</v>
      </c>
      <c r="O1117">
        <v>40</v>
      </c>
      <c r="P1117" s="1633">
        <v>27256917102</v>
      </c>
      <c r="Q1117" t="s">
        <v>106</v>
      </c>
      <c r="R1117" s="2392">
        <v>45014</v>
      </c>
      <c r="S1117" s="2393">
        <f t="shared" si="75"/>
        <v>1</v>
      </c>
      <c r="T1117" s="2394">
        <f>IF(OR(J1117="COP",J1117="EURO",J1117="GBP"),0,IF(J1117="USD",VLOOKUP(R1117,'TRM BanRep'!$A:$G,7,0)))</f>
        <v>0</v>
      </c>
      <c r="U1117" s="2395">
        <f t="shared" si="76"/>
        <v>0</v>
      </c>
      <c r="V1117" s="2395" t="str">
        <f t="shared" si="77"/>
        <v/>
      </c>
    </row>
    <row r="1118" spans="3:24">
      <c r="C1118">
        <v>2023</v>
      </c>
      <c r="D1118" t="s">
        <v>2193</v>
      </c>
      <c r="F1118">
        <v>1202049905</v>
      </c>
      <c r="G1118" t="s">
        <v>1557</v>
      </c>
      <c r="H1118" t="s">
        <v>2415</v>
      </c>
      <c r="I1118" t="s">
        <v>2489</v>
      </c>
      <c r="J1118" t="s">
        <v>146</v>
      </c>
      <c r="K1118">
        <v>7900004373</v>
      </c>
      <c r="L1118" t="s">
        <v>2415</v>
      </c>
      <c r="M1118" s="1633">
        <v>-2120</v>
      </c>
      <c r="N1118">
        <v>5049.6698100000003</v>
      </c>
      <c r="O1118">
        <v>50</v>
      </c>
      <c r="P1118" s="1633">
        <v>-10705300</v>
      </c>
      <c r="Q1118" t="s">
        <v>106</v>
      </c>
      <c r="R1118" s="2392">
        <v>45015</v>
      </c>
      <c r="S1118" s="2393">
        <f t="shared" si="75"/>
        <v>5049.67</v>
      </c>
      <c r="T1118" s="2394">
        <f>IF(OR(J1118="COP",J1118="EURO",J1118="GBP"),0,IF(J1118="USD",VLOOKUP(R1118,'TRM BanRep'!$A:$G,7,0)))</f>
        <v>0</v>
      </c>
      <c r="U1118" s="2395">
        <f t="shared" si="76"/>
        <v>0</v>
      </c>
      <c r="V1118" s="2395" t="str">
        <f t="shared" si="77"/>
        <v/>
      </c>
    </row>
    <row r="1119" spans="3:24">
      <c r="C1119">
        <v>2023</v>
      </c>
      <c r="D1119" t="s">
        <v>2193</v>
      </c>
      <c r="F1119">
        <v>1202049905</v>
      </c>
      <c r="G1119" t="s">
        <v>1557</v>
      </c>
      <c r="H1119" t="s">
        <v>2415</v>
      </c>
      <c r="I1119" t="s">
        <v>2490</v>
      </c>
      <c r="J1119" t="s">
        <v>64</v>
      </c>
      <c r="K1119">
        <v>7900004374</v>
      </c>
      <c r="L1119" t="s">
        <v>2415</v>
      </c>
      <c r="M1119" s="1633">
        <v>2373.34</v>
      </c>
      <c r="N1119">
        <v>4510.6474399999997</v>
      </c>
      <c r="O1119">
        <v>40</v>
      </c>
      <c r="P1119" s="1633">
        <v>10705300</v>
      </c>
      <c r="Q1119" t="s">
        <v>106</v>
      </c>
      <c r="R1119" s="2392">
        <v>45015</v>
      </c>
      <c r="S1119" s="2393">
        <f t="shared" si="75"/>
        <v>4510.6499999999996</v>
      </c>
      <c r="T1119" s="2394">
        <f>IF(OR(J1119="COP",J1119="EURO",J1119="GBP"),0,IF(J1119="USD",VLOOKUP(R1119,'TRM BanRep'!$A:$G,7,0)))</f>
        <v>4627.63</v>
      </c>
      <c r="U1119" s="2407">
        <f t="shared" si="76"/>
        <v>277633</v>
      </c>
      <c r="V1119" s="2395" t="str">
        <f t="shared" si="77"/>
        <v>2-GASTO</v>
      </c>
      <c r="X1119">
        <v>5803010300</v>
      </c>
    </row>
    <row r="1120" spans="3:24" hidden="1">
      <c r="C1120">
        <v>2023</v>
      </c>
      <c r="D1120" t="s">
        <v>2193</v>
      </c>
      <c r="F1120">
        <v>1202049905</v>
      </c>
      <c r="G1120" t="s">
        <v>1557</v>
      </c>
      <c r="H1120" t="s">
        <v>2432</v>
      </c>
      <c r="I1120" t="s">
        <v>2491</v>
      </c>
      <c r="J1120" t="s">
        <v>106</v>
      </c>
      <c r="K1120">
        <v>7900004365</v>
      </c>
      <c r="L1120" t="s">
        <v>2432</v>
      </c>
      <c r="M1120" s="1633">
        <v>-42164139239</v>
      </c>
      <c r="N1120">
        <v>1</v>
      </c>
      <c r="O1120">
        <v>50</v>
      </c>
      <c r="P1120" s="1633">
        <v>-42164139239</v>
      </c>
      <c r="Q1120" t="s">
        <v>106</v>
      </c>
      <c r="R1120" s="2392">
        <v>45016</v>
      </c>
      <c r="S1120" s="2393">
        <f t="shared" si="75"/>
        <v>1</v>
      </c>
      <c r="T1120" s="2394">
        <f>IF(OR(J1120="COP",J1120="EURO",J1120="GBP"),0,IF(J1120="USD",VLOOKUP(R1120,'TRM BanRep'!$A:$G,7,0)))</f>
        <v>0</v>
      </c>
      <c r="U1120" s="2395">
        <f t="shared" si="76"/>
        <v>0</v>
      </c>
      <c r="V1120" s="2395" t="str">
        <f t="shared" si="77"/>
        <v/>
      </c>
    </row>
    <row r="1121" spans="3:24">
      <c r="C1121">
        <v>2023</v>
      </c>
      <c r="D1121" t="s">
        <v>2193</v>
      </c>
      <c r="F1121">
        <v>1202049905</v>
      </c>
      <c r="G1121" t="s">
        <v>1557</v>
      </c>
      <c r="H1121" t="s">
        <v>2432</v>
      </c>
      <c r="I1121" t="s">
        <v>2492</v>
      </c>
      <c r="J1121" t="s">
        <v>64</v>
      </c>
      <c r="K1121">
        <v>7900004366</v>
      </c>
      <c r="L1121" t="s">
        <v>2432</v>
      </c>
      <c r="M1121" s="2547">
        <v>9050448.5600000005</v>
      </c>
      <c r="N1121">
        <v>4658.79</v>
      </c>
      <c r="O1121">
        <v>40</v>
      </c>
      <c r="P1121" s="1633">
        <v>42164139239</v>
      </c>
      <c r="Q1121" t="s">
        <v>106</v>
      </c>
      <c r="R1121" s="2392">
        <v>45016</v>
      </c>
      <c r="S1121" s="2393">
        <f t="shared" si="75"/>
        <v>4658.79</v>
      </c>
      <c r="T1121" s="2394">
        <f>IF(OR(J1121="COP",J1121="EURO",J1121="GBP"),0,IF(J1121="USD",VLOOKUP(R1121,'TRM BanRep'!$A:$G,7,0)))</f>
        <v>4627.2700000000004</v>
      </c>
      <c r="U1121" s="2399">
        <f t="shared" si="76"/>
        <v>-285270139</v>
      </c>
      <c r="V1121" s="2395" t="str">
        <f t="shared" si="77"/>
        <v>1-INGRESO</v>
      </c>
      <c r="X1121">
        <v>4806010300</v>
      </c>
    </row>
    <row r="1122" spans="3:24" hidden="1">
      <c r="C1122">
        <v>2023</v>
      </c>
      <c r="D1122" t="s">
        <v>2193</v>
      </c>
      <c r="F1122">
        <v>2422999997</v>
      </c>
      <c r="G1122" t="s">
        <v>1602</v>
      </c>
      <c r="H1122" t="s">
        <v>2412</v>
      </c>
      <c r="I1122" t="s">
        <v>2493</v>
      </c>
      <c r="J1122" t="s">
        <v>106</v>
      </c>
      <c r="K1122">
        <v>7900003489</v>
      </c>
      <c r="L1122" t="s">
        <v>2412</v>
      </c>
      <c r="M1122" s="1633">
        <v>-27752291045</v>
      </c>
      <c r="N1122">
        <v>1</v>
      </c>
      <c r="O1122">
        <v>50</v>
      </c>
      <c r="P1122" s="1633">
        <v>-27752291045</v>
      </c>
      <c r="Q1122" t="s">
        <v>106</v>
      </c>
      <c r="R1122" s="2392">
        <v>45014</v>
      </c>
      <c r="S1122" s="2393">
        <f t="shared" si="75"/>
        <v>1</v>
      </c>
      <c r="T1122" s="2394">
        <f>IF(OR(J1122="COP",J1122="EURO",J1122="GBP"),0,IF(J1122="USD",VLOOKUP(R1122,'TRM BanRep'!$A:$G,7,0)))</f>
        <v>0</v>
      </c>
      <c r="U1122" s="2395">
        <f t="shared" si="76"/>
        <v>0</v>
      </c>
      <c r="V1122" s="2395" t="str">
        <f t="shared" si="77"/>
        <v/>
      </c>
    </row>
    <row r="1123" spans="3:24" hidden="1">
      <c r="C1123">
        <v>2023</v>
      </c>
      <c r="D1123" t="s">
        <v>2193</v>
      </c>
      <c r="F1123">
        <v>2422999997</v>
      </c>
      <c r="G1123" t="s">
        <v>1606</v>
      </c>
      <c r="H1123" t="s">
        <v>2375</v>
      </c>
      <c r="I1123" t="s">
        <v>1758</v>
      </c>
      <c r="J1123" t="s">
        <v>64</v>
      </c>
      <c r="K1123">
        <v>7900003124</v>
      </c>
      <c r="L1123" t="s">
        <v>2375</v>
      </c>
      <c r="M1123" s="1633">
        <v>-1715255.57</v>
      </c>
      <c r="N1123">
        <v>4814.1099999999997</v>
      </c>
      <c r="O1123">
        <v>50</v>
      </c>
      <c r="P1123" s="1633">
        <v>-8257428992</v>
      </c>
      <c r="Q1123" t="s">
        <v>106</v>
      </c>
      <c r="R1123" s="2392">
        <v>44987</v>
      </c>
      <c r="S1123" s="2393">
        <f t="shared" si="75"/>
        <v>4814.1099999999997</v>
      </c>
      <c r="T1123" s="2394">
        <f>IF(OR(J1123="COP",J1123="EURO",J1123="GBP"),0,IF(J1123="USD",VLOOKUP(R1123,'TRM BanRep'!$A:$G,7,0)))</f>
        <v>4848.78</v>
      </c>
      <c r="U1123" s="2395">
        <f t="shared" si="76"/>
        <v>59467911</v>
      </c>
      <c r="V1123" s="2395" t="str">
        <f t="shared" si="77"/>
        <v>2-GASTO</v>
      </c>
    </row>
    <row r="1124" spans="3:24" hidden="1">
      <c r="C1124">
        <v>2023</v>
      </c>
      <c r="D1124" t="s">
        <v>2193</v>
      </c>
      <c r="F1124">
        <v>2422999997</v>
      </c>
      <c r="G1124" t="s">
        <v>1606</v>
      </c>
      <c r="H1124" t="s">
        <v>2378</v>
      </c>
      <c r="I1124" t="s">
        <v>2494</v>
      </c>
      <c r="J1124" t="s">
        <v>106</v>
      </c>
      <c r="K1124">
        <v>7900003290</v>
      </c>
      <c r="L1124" t="s">
        <v>2378</v>
      </c>
      <c r="M1124" s="1633">
        <v>-5903753585</v>
      </c>
      <c r="N1124">
        <v>1</v>
      </c>
      <c r="O1124">
        <v>50</v>
      </c>
      <c r="P1124" s="1633">
        <v>-5903753585</v>
      </c>
      <c r="Q1124" t="s">
        <v>106</v>
      </c>
      <c r="R1124" s="2392">
        <v>45008</v>
      </c>
      <c r="S1124" s="2393">
        <f t="shared" si="75"/>
        <v>1</v>
      </c>
      <c r="T1124" s="2394">
        <f>IF(OR(J1124="COP",J1124="EURO",J1124="GBP"),0,IF(J1124="USD",VLOOKUP(R1124,'TRM BanRep'!$A:$G,7,0)))</f>
        <v>0</v>
      </c>
      <c r="U1124" s="2395">
        <f t="shared" si="76"/>
        <v>0</v>
      </c>
      <c r="V1124" s="2395" t="str">
        <f t="shared" si="77"/>
        <v/>
      </c>
    </row>
    <row r="1125" spans="3:24" hidden="1">
      <c r="C1125">
        <v>2023</v>
      </c>
      <c r="D1125" t="s">
        <v>2193</v>
      </c>
      <c r="F1125">
        <v>2422999997</v>
      </c>
      <c r="G1125" t="s">
        <v>1557</v>
      </c>
      <c r="H1125" t="s">
        <v>2377</v>
      </c>
      <c r="I1125" t="s">
        <v>2466</v>
      </c>
      <c r="J1125" t="s">
        <v>106</v>
      </c>
      <c r="K1125">
        <v>7900003132</v>
      </c>
      <c r="L1125" t="s">
        <v>2377</v>
      </c>
      <c r="M1125" s="1633">
        <v>-12320270000</v>
      </c>
      <c r="N1125">
        <v>1</v>
      </c>
      <c r="O1125">
        <v>50</v>
      </c>
      <c r="P1125" s="1633">
        <v>-12320270000</v>
      </c>
      <c r="Q1125" t="s">
        <v>106</v>
      </c>
      <c r="R1125" s="2392">
        <v>44986</v>
      </c>
      <c r="S1125" s="2393">
        <f t="shared" si="75"/>
        <v>1</v>
      </c>
      <c r="T1125" s="2394">
        <f>IF(OR(J1125="COP",J1125="EURO",J1125="GBP"),0,IF(J1125="USD",VLOOKUP(R1125,'TRM BanRep'!$A:$G,7,0)))</f>
        <v>0</v>
      </c>
      <c r="U1125" s="2395">
        <f t="shared" si="76"/>
        <v>0</v>
      </c>
      <c r="V1125" s="2395" t="str">
        <f t="shared" si="77"/>
        <v/>
      </c>
    </row>
    <row r="1126" spans="3:24" hidden="1">
      <c r="C1126">
        <v>2023</v>
      </c>
      <c r="D1126" t="s">
        <v>2193</v>
      </c>
      <c r="F1126">
        <v>2422999997</v>
      </c>
      <c r="G1126" t="s">
        <v>1557</v>
      </c>
      <c r="H1126" t="s">
        <v>2375</v>
      </c>
      <c r="I1126" t="s">
        <v>2468</v>
      </c>
      <c r="J1126" t="s">
        <v>106</v>
      </c>
      <c r="K1126">
        <v>7900003252</v>
      </c>
      <c r="L1126" t="s">
        <v>2375</v>
      </c>
      <c r="M1126" s="1633">
        <v>-5341644000</v>
      </c>
      <c r="N1126">
        <v>1</v>
      </c>
      <c r="O1126">
        <v>50</v>
      </c>
      <c r="P1126" s="1633">
        <v>-5341644000</v>
      </c>
      <c r="Q1126" t="s">
        <v>106</v>
      </c>
      <c r="R1126" s="2392">
        <v>44987</v>
      </c>
      <c r="S1126" s="2393">
        <f t="shared" si="75"/>
        <v>1</v>
      </c>
      <c r="T1126" s="2394">
        <f>IF(OR(J1126="COP",J1126="EURO",J1126="GBP"),0,IF(J1126="USD",VLOOKUP(R1126,'TRM BanRep'!$A:$G,7,0)))</f>
        <v>0</v>
      </c>
      <c r="U1126" s="2395">
        <f t="shared" si="76"/>
        <v>0</v>
      </c>
      <c r="V1126" s="2395" t="str">
        <f t="shared" si="77"/>
        <v/>
      </c>
    </row>
    <row r="1127" spans="3:24" hidden="1">
      <c r="C1127">
        <v>2023</v>
      </c>
      <c r="D1127" t="s">
        <v>2193</v>
      </c>
      <c r="F1127">
        <v>2422999997</v>
      </c>
      <c r="G1127" t="s">
        <v>1557</v>
      </c>
      <c r="H1127" t="s">
        <v>2373</v>
      </c>
      <c r="I1127" t="s">
        <v>2470</v>
      </c>
      <c r="J1127" t="s">
        <v>64</v>
      </c>
      <c r="K1127">
        <v>7900003168</v>
      </c>
      <c r="L1127" t="s">
        <v>2373</v>
      </c>
      <c r="M1127" s="1633">
        <v>-1095263.3999999999</v>
      </c>
      <c r="N1127">
        <v>4855.8300300000001</v>
      </c>
      <c r="O1127">
        <v>50</v>
      </c>
      <c r="P1127" s="1633">
        <v>-5318412911</v>
      </c>
      <c r="Q1127" t="s">
        <v>106</v>
      </c>
      <c r="R1127" s="2392">
        <v>44991</v>
      </c>
      <c r="S1127" s="2393">
        <f t="shared" si="75"/>
        <v>4855.83</v>
      </c>
      <c r="T1127" s="2394">
        <f>IF(OR(J1127="COP",J1127="EURO",J1127="GBP"),0,IF(J1127="USD",VLOOKUP(R1127,'TRM BanRep'!$A:$G,7,0)))</f>
        <v>4780.8900000000003</v>
      </c>
      <c r="U1127" s="2395">
        <f t="shared" si="76"/>
        <v>-82079039</v>
      </c>
      <c r="V1127" s="2395" t="str">
        <f t="shared" si="77"/>
        <v>1-INGRESO</v>
      </c>
    </row>
    <row r="1128" spans="3:24" hidden="1">
      <c r="C1128">
        <v>2023</v>
      </c>
      <c r="D1128" t="s">
        <v>2193</v>
      </c>
      <c r="F1128">
        <v>2422999997</v>
      </c>
      <c r="G1128" t="s">
        <v>1557</v>
      </c>
      <c r="H1128" t="s">
        <v>2373</v>
      </c>
      <c r="I1128" t="s">
        <v>2474</v>
      </c>
      <c r="J1128" t="s">
        <v>64</v>
      </c>
      <c r="K1128">
        <v>7900003224</v>
      </c>
      <c r="L1128" t="s">
        <v>2373</v>
      </c>
      <c r="M1128" s="1633">
        <v>-22807724</v>
      </c>
      <c r="N1128">
        <v>4720</v>
      </c>
      <c r="O1128">
        <v>50</v>
      </c>
      <c r="P1128" s="1633">
        <v>-107652457280</v>
      </c>
      <c r="Q1128" t="s">
        <v>106</v>
      </c>
      <c r="R1128" s="2392">
        <v>44991</v>
      </c>
      <c r="S1128" s="2393">
        <f t="shared" si="75"/>
        <v>4720</v>
      </c>
      <c r="T1128" s="2394">
        <f>IF(OR(J1128="COP",J1128="EURO",J1128="GBP"),0,IF(J1128="USD",VLOOKUP(R1128,'TRM BanRep'!$A:$G,7,0)))</f>
        <v>4780.8900000000003</v>
      </c>
      <c r="U1128" s="2395">
        <f t="shared" si="76"/>
        <v>1388762314</v>
      </c>
      <c r="V1128" s="2395" t="str">
        <f t="shared" si="77"/>
        <v>2-GASTO</v>
      </c>
    </row>
    <row r="1129" spans="3:24" hidden="1">
      <c r="C1129">
        <v>2023</v>
      </c>
      <c r="D1129" t="s">
        <v>2193</v>
      </c>
      <c r="F1129">
        <v>2422999997</v>
      </c>
      <c r="G1129" t="s">
        <v>1557</v>
      </c>
      <c r="H1129" t="s">
        <v>2373</v>
      </c>
      <c r="I1129" t="s">
        <v>2476</v>
      </c>
      <c r="J1129" t="s">
        <v>106</v>
      </c>
      <c r="K1129">
        <v>7900003232</v>
      </c>
      <c r="L1129" t="s">
        <v>2373</v>
      </c>
      <c r="M1129" s="1633">
        <v>-18884000000</v>
      </c>
      <c r="N1129">
        <v>1</v>
      </c>
      <c r="O1129">
        <v>50</v>
      </c>
      <c r="P1129" s="1633">
        <v>-18884000000</v>
      </c>
      <c r="Q1129" t="s">
        <v>106</v>
      </c>
      <c r="R1129" s="2392">
        <v>44991</v>
      </c>
      <c r="S1129" s="2393">
        <f t="shared" si="75"/>
        <v>1</v>
      </c>
      <c r="T1129" s="2394">
        <f>IF(OR(J1129="COP",J1129="EURO",J1129="GBP"),0,IF(J1129="USD",VLOOKUP(R1129,'TRM BanRep'!$A:$G,7,0)))</f>
        <v>0</v>
      </c>
      <c r="U1129" s="2395">
        <f t="shared" si="76"/>
        <v>0</v>
      </c>
      <c r="V1129" s="2395" t="str">
        <f t="shared" si="77"/>
        <v/>
      </c>
    </row>
    <row r="1130" spans="3:24" hidden="1">
      <c r="C1130">
        <v>2023</v>
      </c>
      <c r="D1130" t="s">
        <v>2193</v>
      </c>
      <c r="F1130">
        <v>2422999997</v>
      </c>
      <c r="G1130" t="s">
        <v>1557</v>
      </c>
      <c r="H1130" t="s">
        <v>2433</v>
      </c>
      <c r="I1130" t="s">
        <v>2478</v>
      </c>
      <c r="J1130" t="s">
        <v>64</v>
      </c>
      <c r="K1130">
        <v>7900003272</v>
      </c>
      <c r="L1130" t="s">
        <v>2433</v>
      </c>
      <c r="M1130" s="1633">
        <v>-18101.63</v>
      </c>
      <c r="N1130">
        <v>4736.0300100000004</v>
      </c>
      <c r="O1130">
        <v>50</v>
      </c>
      <c r="P1130" s="1633">
        <v>-85729863</v>
      </c>
      <c r="Q1130" t="s">
        <v>106</v>
      </c>
      <c r="R1130" s="2392">
        <v>45000</v>
      </c>
      <c r="S1130" s="2393">
        <f t="shared" si="75"/>
        <v>4736.03</v>
      </c>
      <c r="T1130" s="2394">
        <f>IF(OR(J1130="COP",J1130="EURO",J1130="GBP"),0,IF(J1130="USD",VLOOKUP(R1130,'TRM BanRep'!$A:$G,7,0)))</f>
        <v>4736.03</v>
      </c>
      <c r="U1130" s="2395">
        <f t="shared" si="76"/>
        <v>0</v>
      </c>
      <c r="V1130" s="2395" t="str">
        <f t="shared" si="77"/>
        <v/>
      </c>
    </row>
    <row r="1131" spans="3:24" hidden="1">
      <c r="C1131">
        <v>2023</v>
      </c>
      <c r="D1131" t="s">
        <v>2193</v>
      </c>
      <c r="F1131">
        <v>2422999997</v>
      </c>
      <c r="G1131" t="s">
        <v>1557</v>
      </c>
      <c r="H1131" t="s">
        <v>2371</v>
      </c>
      <c r="I1131" t="s">
        <v>2480</v>
      </c>
      <c r="J1131" t="s">
        <v>106</v>
      </c>
      <c r="K1131">
        <v>7900003322</v>
      </c>
      <c r="L1131" t="s">
        <v>2371</v>
      </c>
      <c r="M1131" s="1633">
        <v>-32439000015</v>
      </c>
      <c r="N1131">
        <v>1</v>
      </c>
      <c r="O1131">
        <v>50</v>
      </c>
      <c r="P1131" s="1633">
        <v>-32439000015</v>
      </c>
      <c r="Q1131" t="s">
        <v>106</v>
      </c>
      <c r="R1131" s="2392">
        <v>45009</v>
      </c>
      <c r="S1131" s="2393">
        <f t="shared" si="75"/>
        <v>1</v>
      </c>
      <c r="T1131" s="2394">
        <f>IF(OR(J1131="COP",J1131="EURO",J1131="GBP"),0,IF(J1131="USD",VLOOKUP(R1131,'TRM BanRep'!$A:$G,7,0)))</f>
        <v>0</v>
      </c>
      <c r="U1131" s="2395">
        <f t="shared" si="76"/>
        <v>0</v>
      </c>
      <c r="V1131" s="2395" t="str">
        <f t="shared" si="77"/>
        <v/>
      </c>
    </row>
    <row r="1132" spans="3:24" hidden="1">
      <c r="C1132">
        <v>2023</v>
      </c>
      <c r="D1132" t="s">
        <v>2193</v>
      </c>
      <c r="F1132">
        <v>2422999997</v>
      </c>
      <c r="G1132" t="s">
        <v>1557</v>
      </c>
      <c r="H1132" t="s">
        <v>2391</v>
      </c>
      <c r="I1132" t="s">
        <v>2482</v>
      </c>
      <c r="J1132" t="s">
        <v>64</v>
      </c>
      <c r="K1132">
        <v>7900003342</v>
      </c>
      <c r="L1132" t="s">
        <v>2391</v>
      </c>
      <c r="M1132" s="1633">
        <v>-2870531.6</v>
      </c>
      <c r="N1132">
        <v>4741.7599899999996</v>
      </c>
      <c r="O1132">
        <v>50</v>
      </c>
      <c r="P1132" s="1633">
        <v>-13611371902</v>
      </c>
      <c r="Q1132" t="s">
        <v>106</v>
      </c>
      <c r="R1132" s="2392">
        <v>45013</v>
      </c>
      <c r="S1132" s="2393">
        <f t="shared" si="75"/>
        <v>4741.76</v>
      </c>
      <c r="T1132" s="2394">
        <f>IF(OR(J1132="COP",J1132="EURO",J1132="GBP"),0,IF(J1132="USD",VLOOKUP(R1132,'TRM BanRep'!$A:$G,7,0)))</f>
        <v>4686.83</v>
      </c>
      <c r="U1132" s="2395">
        <f t="shared" si="76"/>
        <v>-157678301</v>
      </c>
      <c r="V1132" s="2395" t="str">
        <f t="shared" si="77"/>
        <v>1-INGRESO</v>
      </c>
    </row>
    <row r="1133" spans="3:24" hidden="1">
      <c r="C1133">
        <v>2023</v>
      </c>
      <c r="D1133" t="s">
        <v>2193</v>
      </c>
      <c r="F1133">
        <v>2422999997</v>
      </c>
      <c r="G1133" t="s">
        <v>1557</v>
      </c>
      <c r="H1133" t="s">
        <v>2391</v>
      </c>
      <c r="I1133" t="s">
        <v>2484</v>
      </c>
      <c r="J1133" t="s">
        <v>64</v>
      </c>
      <c r="K1133">
        <v>7900003350</v>
      </c>
      <c r="L1133" t="s">
        <v>2391</v>
      </c>
      <c r="M1133" s="1633">
        <v>-1748599.7</v>
      </c>
      <c r="N1133">
        <v>4741.76001</v>
      </c>
      <c r="O1133">
        <v>50</v>
      </c>
      <c r="P1133" s="1633">
        <v>-8291440125</v>
      </c>
      <c r="Q1133" t="s">
        <v>106</v>
      </c>
      <c r="R1133" s="2392">
        <v>45013</v>
      </c>
      <c r="S1133" s="2393">
        <f t="shared" si="75"/>
        <v>4741.76</v>
      </c>
      <c r="T1133" s="2394">
        <f>IF(OR(J1133="COP",J1133="EURO",J1133="GBP"),0,IF(J1133="USD",VLOOKUP(R1133,'TRM BanRep'!$A:$G,7,0)))</f>
        <v>4686.83</v>
      </c>
      <c r="U1133" s="2395">
        <f t="shared" si="76"/>
        <v>-96050582</v>
      </c>
      <c r="V1133" s="2395" t="str">
        <f t="shared" si="77"/>
        <v>1-INGRESO</v>
      </c>
    </row>
    <row r="1134" spans="3:24" hidden="1">
      <c r="C1134">
        <v>2023</v>
      </c>
      <c r="D1134" t="s">
        <v>2193</v>
      </c>
      <c r="F1134">
        <v>2422999997</v>
      </c>
      <c r="G1134" t="s">
        <v>1557</v>
      </c>
      <c r="H1134" t="s">
        <v>2391</v>
      </c>
      <c r="I1134" t="s">
        <v>2486</v>
      </c>
      <c r="J1134" t="s">
        <v>64</v>
      </c>
      <c r="K1134">
        <v>7900003358</v>
      </c>
      <c r="L1134" t="s">
        <v>2391</v>
      </c>
      <c r="M1134" s="1633">
        <v>-2221879.19</v>
      </c>
      <c r="N1134">
        <v>4741.76001</v>
      </c>
      <c r="O1134">
        <v>50</v>
      </c>
      <c r="P1134" s="1633">
        <v>-10535617891</v>
      </c>
      <c r="Q1134" t="s">
        <v>106</v>
      </c>
      <c r="R1134" s="2392">
        <v>45013</v>
      </c>
      <c r="S1134" s="2393">
        <f t="shared" si="75"/>
        <v>4741.76</v>
      </c>
      <c r="T1134" s="2394">
        <f>IF(OR(J1134="COP",J1134="EURO",J1134="GBP"),0,IF(J1134="USD",VLOOKUP(R1134,'TRM BanRep'!$A:$G,7,0)))</f>
        <v>4686.83</v>
      </c>
      <c r="U1134" s="2395">
        <f t="shared" si="76"/>
        <v>-122047824</v>
      </c>
      <c r="V1134" s="2395" t="str">
        <f t="shared" si="77"/>
        <v>1-INGRESO</v>
      </c>
    </row>
    <row r="1135" spans="3:24" hidden="1">
      <c r="C1135">
        <v>2023</v>
      </c>
      <c r="D1135" t="s">
        <v>2193</v>
      </c>
      <c r="F1135">
        <v>2422999997</v>
      </c>
      <c r="G1135" t="s">
        <v>1557</v>
      </c>
      <c r="H1135" t="s">
        <v>2432</v>
      </c>
      <c r="I1135" t="s">
        <v>2492</v>
      </c>
      <c r="J1135" t="s">
        <v>64</v>
      </c>
      <c r="K1135">
        <v>7900004366</v>
      </c>
      <c r="L1135" t="s">
        <v>2432</v>
      </c>
      <c r="M1135" s="1633">
        <v>-9050448.5600000005</v>
      </c>
      <c r="N1135">
        <v>4658.79</v>
      </c>
      <c r="O1135">
        <v>50</v>
      </c>
      <c r="P1135" s="1633">
        <v>-42164139239</v>
      </c>
      <c r="Q1135" t="s">
        <v>106</v>
      </c>
      <c r="R1135" s="2392">
        <v>45016</v>
      </c>
      <c r="S1135" s="2393">
        <f t="shared" si="75"/>
        <v>4658.79</v>
      </c>
      <c r="T1135" s="2394">
        <f>IF(OR(J1135="COP",J1135="EURO",J1135="GBP"),0,IF(J1135="USD",VLOOKUP(R1135,'TRM BanRep'!$A:$G,7,0)))</f>
        <v>4627.2700000000004</v>
      </c>
      <c r="U1135" s="2395">
        <f t="shared" si="76"/>
        <v>-285270139</v>
      </c>
      <c r="V1135" s="2395" t="str">
        <f t="shared" si="77"/>
        <v>1-INGRESO</v>
      </c>
    </row>
    <row r="1136" spans="3:24" hidden="1">
      <c r="C1136">
        <v>2023</v>
      </c>
      <c r="D1136" t="s">
        <v>2193</v>
      </c>
      <c r="F1136">
        <v>2422999997</v>
      </c>
      <c r="G1136" t="s">
        <v>1608</v>
      </c>
      <c r="H1136" t="s">
        <v>2377</v>
      </c>
      <c r="J1136" t="s">
        <v>106</v>
      </c>
      <c r="K1136">
        <v>2000001766</v>
      </c>
      <c r="L1136" t="s">
        <v>2377</v>
      </c>
      <c r="M1136" s="1633">
        <v>12320270000</v>
      </c>
      <c r="N1136">
        <v>1</v>
      </c>
      <c r="O1136">
        <v>40</v>
      </c>
      <c r="P1136" s="1633">
        <v>12320270000</v>
      </c>
      <c r="Q1136" t="s">
        <v>106</v>
      </c>
      <c r="R1136" s="2392">
        <v>44986</v>
      </c>
      <c r="S1136" s="2393">
        <f t="shared" si="75"/>
        <v>1</v>
      </c>
      <c r="T1136" s="2394">
        <f>IF(OR(J1136="COP",J1136="EURO",J1136="GBP"),0,IF(J1136="USD",VLOOKUP(R1136,'TRM BanRep'!$A:$G,7,0)))</f>
        <v>0</v>
      </c>
      <c r="U1136" s="2395">
        <f t="shared" si="76"/>
        <v>0</v>
      </c>
      <c r="V1136" s="2395" t="str">
        <f t="shared" si="77"/>
        <v/>
      </c>
    </row>
    <row r="1137" spans="3:22" hidden="1">
      <c r="C1137">
        <v>2023</v>
      </c>
      <c r="D1137" t="s">
        <v>2193</v>
      </c>
      <c r="F1137">
        <v>2422999997</v>
      </c>
      <c r="G1137" t="s">
        <v>1608</v>
      </c>
      <c r="H1137" t="s">
        <v>2375</v>
      </c>
      <c r="J1137" t="s">
        <v>64</v>
      </c>
      <c r="K1137">
        <v>2000001743</v>
      </c>
      <c r="L1137" t="s">
        <v>2375</v>
      </c>
      <c r="M1137" s="1633">
        <v>2538301.7599999998</v>
      </c>
      <c r="N1137">
        <v>4814.1099999999997</v>
      </c>
      <c r="O1137">
        <v>40</v>
      </c>
      <c r="P1137" s="1633">
        <v>12219663886</v>
      </c>
      <c r="Q1137" t="s">
        <v>106</v>
      </c>
      <c r="R1137" s="2392">
        <v>44987</v>
      </c>
      <c r="S1137" s="2393">
        <f t="shared" si="75"/>
        <v>4814.1099999999997</v>
      </c>
      <c r="T1137" s="2394">
        <f>IF(OR(J1137="COP",J1137="EURO",J1137="GBP"),0,IF(J1137="USD",VLOOKUP(R1137,'TRM BanRep'!$A:$G,7,0)))</f>
        <v>4848.78</v>
      </c>
      <c r="U1137" s="2395">
        <f t="shared" si="76"/>
        <v>-88002922</v>
      </c>
      <c r="V1137" s="2395" t="str">
        <f t="shared" si="77"/>
        <v>1-INGRESO</v>
      </c>
    </row>
    <row r="1138" spans="3:22" hidden="1">
      <c r="C1138">
        <v>2023</v>
      </c>
      <c r="D1138" t="s">
        <v>2193</v>
      </c>
      <c r="F1138">
        <v>2422999997</v>
      </c>
      <c r="G1138" t="s">
        <v>1608</v>
      </c>
      <c r="H1138" t="s">
        <v>2375</v>
      </c>
      <c r="J1138" t="s">
        <v>106</v>
      </c>
      <c r="K1138">
        <v>2000002251</v>
      </c>
      <c r="L1138" t="s">
        <v>2375</v>
      </c>
      <c r="M1138" s="1633">
        <v>5341644000</v>
      </c>
      <c r="N1138">
        <v>1</v>
      </c>
      <c r="O1138">
        <v>40</v>
      </c>
      <c r="P1138" s="1633">
        <v>5341644000</v>
      </c>
      <c r="Q1138" t="s">
        <v>106</v>
      </c>
      <c r="R1138" s="2392">
        <v>44987</v>
      </c>
      <c r="S1138" s="2393">
        <f t="shared" si="75"/>
        <v>1</v>
      </c>
      <c r="T1138" s="2394">
        <f>IF(OR(J1138="COP",J1138="EURO",J1138="GBP"),0,IF(J1138="USD",VLOOKUP(R1138,'TRM BanRep'!$A:$G,7,0)))</f>
        <v>0</v>
      </c>
      <c r="U1138" s="2395">
        <f t="shared" si="76"/>
        <v>0</v>
      </c>
      <c r="V1138" s="2395" t="str">
        <f t="shared" si="77"/>
        <v/>
      </c>
    </row>
    <row r="1139" spans="3:22" hidden="1">
      <c r="C1139">
        <v>2023</v>
      </c>
      <c r="D1139" t="s">
        <v>2193</v>
      </c>
      <c r="F1139">
        <v>2422999997</v>
      </c>
      <c r="G1139" t="s">
        <v>1608</v>
      </c>
      <c r="H1139" t="s">
        <v>2372</v>
      </c>
      <c r="J1139" t="s">
        <v>106</v>
      </c>
      <c r="K1139">
        <v>2000001794</v>
      </c>
      <c r="L1139" t="s">
        <v>2372</v>
      </c>
      <c r="M1139" s="1633">
        <v>14169299210</v>
      </c>
      <c r="N1139">
        <v>1</v>
      </c>
      <c r="O1139">
        <v>40</v>
      </c>
      <c r="P1139" s="1633">
        <v>14169299210</v>
      </c>
      <c r="Q1139" t="s">
        <v>106</v>
      </c>
      <c r="R1139" s="2392">
        <v>44988</v>
      </c>
      <c r="S1139" s="2393">
        <f t="shared" si="75"/>
        <v>1</v>
      </c>
      <c r="T1139" s="2394">
        <f>IF(OR(J1139="COP",J1139="EURO",J1139="GBP"),0,IF(J1139="USD",VLOOKUP(R1139,'TRM BanRep'!$A:$G,7,0)))</f>
        <v>0</v>
      </c>
      <c r="U1139" s="2395">
        <f t="shared" si="76"/>
        <v>0</v>
      </c>
      <c r="V1139" s="2395" t="str">
        <f t="shared" si="77"/>
        <v/>
      </c>
    </row>
    <row r="1140" spans="3:22" hidden="1">
      <c r="C1140">
        <v>2023</v>
      </c>
      <c r="D1140" t="s">
        <v>2193</v>
      </c>
      <c r="F1140">
        <v>2422999997</v>
      </c>
      <c r="G1140" t="s">
        <v>1608</v>
      </c>
      <c r="H1140" t="s">
        <v>2373</v>
      </c>
      <c r="J1140" t="s">
        <v>106</v>
      </c>
      <c r="K1140">
        <v>2000001825</v>
      </c>
      <c r="L1140" t="s">
        <v>2373</v>
      </c>
      <c r="M1140" s="1633">
        <v>31094401753</v>
      </c>
      <c r="N1140">
        <v>1</v>
      </c>
      <c r="O1140">
        <v>40</v>
      </c>
      <c r="P1140" s="1633">
        <v>31094401753</v>
      </c>
      <c r="Q1140" t="s">
        <v>106</v>
      </c>
      <c r="R1140" s="2392">
        <v>44991</v>
      </c>
      <c r="S1140" s="2393">
        <f t="shared" si="75"/>
        <v>1</v>
      </c>
      <c r="T1140" s="2394">
        <f>IF(OR(J1140="COP",J1140="EURO",J1140="GBP"),0,IF(J1140="USD",VLOOKUP(R1140,'TRM BanRep'!$A:$G,7,0)))</f>
        <v>0</v>
      </c>
      <c r="U1140" s="2395">
        <f t="shared" si="76"/>
        <v>0</v>
      </c>
      <c r="V1140" s="2395" t="str">
        <f t="shared" si="77"/>
        <v/>
      </c>
    </row>
    <row r="1141" spans="3:22" hidden="1">
      <c r="C1141">
        <v>2023</v>
      </c>
      <c r="D1141" t="s">
        <v>2193</v>
      </c>
      <c r="F1141">
        <v>2422999997</v>
      </c>
      <c r="G1141" t="s">
        <v>1608</v>
      </c>
      <c r="H1141" t="s">
        <v>2373</v>
      </c>
      <c r="J1141" t="s">
        <v>64</v>
      </c>
      <c r="K1141">
        <v>2000001854</v>
      </c>
      <c r="L1141" t="s">
        <v>2373</v>
      </c>
      <c r="M1141" s="1633">
        <v>1095263.3999999999</v>
      </c>
      <c r="N1141">
        <v>4855.8300300000001</v>
      </c>
      <c r="O1141">
        <v>40</v>
      </c>
      <c r="P1141" s="1633">
        <v>5318412911</v>
      </c>
      <c r="Q1141" t="s">
        <v>106</v>
      </c>
      <c r="R1141" s="2392">
        <v>44991</v>
      </c>
      <c r="S1141" s="2393">
        <f t="shared" si="75"/>
        <v>4855.83</v>
      </c>
      <c r="T1141" s="2394">
        <f>IF(OR(J1141="COP",J1141="EURO",J1141="GBP"),0,IF(J1141="USD",VLOOKUP(R1141,'TRM BanRep'!$A:$G,7,0)))</f>
        <v>4780.8900000000003</v>
      </c>
      <c r="U1141" s="2395">
        <f t="shared" si="76"/>
        <v>82079039</v>
      </c>
      <c r="V1141" s="2395" t="str">
        <f t="shared" si="77"/>
        <v>2-GASTO</v>
      </c>
    </row>
    <row r="1142" spans="3:22" hidden="1">
      <c r="C1142">
        <v>2023</v>
      </c>
      <c r="D1142" t="s">
        <v>2193</v>
      </c>
      <c r="F1142">
        <v>2422999997</v>
      </c>
      <c r="G1142" t="s">
        <v>1608</v>
      </c>
      <c r="H1142" t="s">
        <v>2373</v>
      </c>
      <c r="J1142" t="s">
        <v>64</v>
      </c>
      <c r="K1142">
        <v>2000002224</v>
      </c>
      <c r="L1142" t="s">
        <v>2373</v>
      </c>
      <c r="M1142" s="1633">
        <v>22807724</v>
      </c>
      <c r="N1142">
        <v>4720</v>
      </c>
      <c r="O1142">
        <v>40</v>
      </c>
      <c r="P1142" s="1633">
        <v>107652457280</v>
      </c>
      <c r="Q1142" t="s">
        <v>106</v>
      </c>
      <c r="R1142" s="2392">
        <v>44991</v>
      </c>
      <c r="S1142" s="2393">
        <f t="shared" si="75"/>
        <v>4720</v>
      </c>
      <c r="T1142" s="2394">
        <f>IF(OR(J1142="COP",J1142="EURO",J1142="GBP"),0,IF(J1142="USD",VLOOKUP(R1142,'TRM BanRep'!$A:$G,7,0)))</f>
        <v>4780.8900000000003</v>
      </c>
      <c r="U1142" s="2395">
        <f t="shared" si="76"/>
        <v>-1388762314</v>
      </c>
      <c r="V1142" s="2395" t="str">
        <f t="shared" si="77"/>
        <v>1-INGRESO</v>
      </c>
    </row>
    <row r="1143" spans="3:22" hidden="1">
      <c r="C1143">
        <v>2023</v>
      </c>
      <c r="D1143" t="s">
        <v>2193</v>
      </c>
      <c r="F1143">
        <v>2422999997</v>
      </c>
      <c r="G1143" t="s">
        <v>1608</v>
      </c>
      <c r="H1143" t="s">
        <v>2373</v>
      </c>
      <c r="J1143" t="s">
        <v>106</v>
      </c>
      <c r="K1143">
        <v>2000002244</v>
      </c>
      <c r="L1143" t="s">
        <v>2373</v>
      </c>
      <c r="M1143" s="1633">
        <v>18884000000</v>
      </c>
      <c r="N1143">
        <v>1</v>
      </c>
      <c r="O1143">
        <v>40</v>
      </c>
      <c r="P1143" s="1633">
        <v>18884000000</v>
      </c>
      <c r="Q1143" t="s">
        <v>106</v>
      </c>
      <c r="R1143" s="2392">
        <v>44991</v>
      </c>
      <c r="S1143" s="2393">
        <f t="shared" si="75"/>
        <v>1</v>
      </c>
      <c r="T1143" s="2394">
        <f>IF(OR(J1143="COP",J1143="EURO",J1143="GBP"),0,IF(J1143="USD",VLOOKUP(R1143,'TRM BanRep'!$A:$G,7,0)))</f>
        <v>0</v>
      </c>
      <c r="U1143" s="2395">
        <f t="shared" si="76"/>
        <v>0</v>
      </c>
      <c r="V1143" s="2395" t="str">
        <f t="shared" si="77"/>
        <v/>
      </c>
    </row>
    <row r="1144" spans="3:22" hidden="1">
      <c r="C1144">
        <v>2023</v>
      </c>
      <c r="D1144" t="s">
        <v>2193</v>
      </c>
      <c r="F1144">
        <v>2422999997</v>
      </c>
      <c r="G1144" t="s">
        <v>1608</v>
      </c>
      <c r="H1144" t="s">
        <v>2374</v>
      </c>
      <c r="J1144" t="s">
        <v>106</v>
      </c>
      <c r="K1144">
        <v>2000002222</v>
      </c>
      <c r="L1144" t="s">
        <v>2374</v>
      </c>
      <c r="M1144" s="1633">
        <v>3303750000</v>
      </c>
      <c r="N1144">
        <v>1</v>
      </c>
      <c r="O1144">
        <v>40</v>
      </c>
      <c r="P1144" s="1633">
        <v>3303750000</v>
      </c>
      <c r="Q1144" t="s">
        <v>106</v>
      </c>
      <c r="R1144" s="2392">
        <v>44998</v>
      </c>
      <c r="S1144" s="2393">
        <f t="shared" si="75"/>
        <v>1</v>
      </c>
      <c r="T1144" s="2394">
        <f>IF(OR(J1144="COP",J1144="EURO",J1144="GBP"),0,IF(J1144="USD",VLOOKUP(R1144,'TRM BanRep'!$A:$G,7,0)))</f>
        <v>0</v>
      </c>
      <c r="U1144" s="2395">
        <f t="shared" si="76"/>
        <v>0</v>
      </c>
      <c r="V1144" s="2395" t="str">
        <f t="shared" si="77"/>
        <v/>
      </c>
    </row>
    <row r="1145" spans="3:22" hidden="1">
      <c r="C1145">
        <v>2023</v>
      </c>
      <c r="D1145" t="s">
        <v>2193</v>
      </c>
      <c r="F1145">
        <v>2422999997</v>
      </c>
      <c r="G1145" t="s">
        <v>1608</v>
      </c>
      <c r="H1145" t="s">
        <v>2374</v>
      </c>
      <c r="J1145" t="s">
        <v>106</v>
      </c>
      <c r="K1145">
        <v>2000002223</v>
      </c>
      <c r="L1145" t="s">
        <v>2374</v>
      </c>
      <c r="M1145" s="1633">
        <v>7782842265</v>
      </c>
      <c r="N1145">
        <v>1</v>
      </c>
      <c r="O1145">
        <v>40</v>
      </c>
      <c r="P1145" s="1633">
        <v>7782842265</v>
      </c>
      <c r="Q1145" t="s">
        <v>106</v>
      </c>
      <c r="R1145" s="2392">
        <v>44998</v>
      </c>
      <c r="S1145" s="2393">
        <f t="shared" si="75"/>
        <v>1</v>
      </c>
      <c r="T1145" s="2394">
        <f>IF(OR(J1145="COP",J1145="EURO",J1145="GBP"),0,IF(J1145="USD",VLOOKUP(R1145,'TRM BanRep'!$A:$G,7,0)))</f>
        <v>0</v>
      </c>
      <c r="U1145" s="2395">
        <f t="shared" si="76"/>
        <v>0</v>
      </c>
      <c r="V1145" s="2395" t="str">
        <f t="shared" si="77"/>
        <v/>
      </c>
    </row>
    <row r="1146" spans="3:22" hidden="1">
      <c r="C1146">
        <v>2023</v>
      </c>
      <c r="D1146" t="s">
        <v>2193</v>
      </c>
      <c r="F1146">
        <v>2422999997</v>
      </c>
      <c r="G1146" t="s">
        <v>1608</v>
      </c>
      <c r="H1146" t="s">
        <v>2433</v>
      </c>
      <c r="J1146" t="s">
        <v>106</v>
      </c>
      <c r="K1146">
        <v>2000002295</v>
      </c>
      <c r="L1146" t="s">
        <v>2433</v>
      </c>
      <c r="M1146" s="1633">
        <v>37186524250</v>
      </c>
      <c r="N1146">
        <v>1</v>
      </c>
      <c r="O1146">
        <v>40</v>
      </c>
      <c r="P1146" s="1633">
        <v>37186524250</v>
      </c>
      <c r="Q1146" t="s">
        <v>106</v>
      </c>
      <c r="R1146" s="2392">
        <v>45000</v>
      </c>
      <c r="S1146" s="2393">
        <f t="shared" si="75"/>
        <v>1</v>
      </c>
      <c r="T1146" s="2394">
        <f>IF(OR(J1146="COP",J1146="EURO",J1146="GBP"),0,IF(J1146="USD",VLOOKUP(R1146,'TRM BanRep'!$A:$G,7,0)))</f>
        <v>0</v>
      </c>
      <c r="U1146" s="2395">
        <f t="shared" si="76"/>
        <v>0</v>
      </c>
      <c r="V1146" s="2395" t="str">
        <f t="shared" si="77"/>
        <v/>
      </c>
    </row>
    <row r="1147" spans="3:22" hidden="1">
      <c r="C1147">
        <v>2023</v>
      </c>
      <c r="D1147" t="s">
        <v>2193</v>
      </c>
      <c r="F1147">
        <v>2422999997</v>
      </c>
      <c r="G1147" t="s">
        <v>1608</v>
      </c>
      <c r="H1147" t="s">
        <v>2433</v>
      </c>
      <c r="J1147" t="s">
        <v>64</v>
      </c>
      <c r="K1147">
        <v>2000002334</v>
      </c>
      <c r="L1147" t="s">
        <v>2433</v>
      </c>
      <c r="M1147" s="1633">
        <v>18101.63</v>
      </c>
      <c r="N1147">
        <v>4736.0300100000004</v>
      </c>
      <c r="O1147">
        <v>40</v>
      </c>
      <c r="P1147" s="1633">
        <v>85729863</v>
      </c>
      <c r="Q1147" t="s">
        <v>106</v>
      </c>
      <c r="R1147" s="2392">
        <v>45000</v>
      </c>
      <c r="S1147" s="2393">
        <f t="shared" si="75"/>
        <v>4736.03</v>
      </c>
      <c r="T1147" s="2394">
        <f>IF(OR(J1147="COP",J1147="EURO",J1147="GBP"),0,IF(J1147="USD",VLOOKUP(R1147,'TRM BanRep'!$A:$G,7,0)))</f>
        <v>4736.03</v>
      </c>
      <c r="U1147" s="2395">
        <f t="shared" si="76"/>
        <v>0</v>
      </c>
      <c r="V1147" s="2395" t="str">
        <f t="shared" si="77"/>
        <v/>
      </c>
    </row>
    <row r="1148" spans="3:22" hidden="1">
      <c r="C1148">
        <v>2023</v>
      </c>
      <c r="D1148" t="s">
        <v>2193</v>
      </c>
      <c r="F1148">
        <v>2422999997</v>
      </c>
      <c r="G1148" t="s">
        <v>1608</v>
      </c>
      <c r="H1148" t="s">
        <v>2378</v>
      </c>
      <c r="J1148" t="s">
        <v>106</v>
      </c>
      <c r="K1148">
        <v>2000002508</v>
      </c>
      <c r="L1148" t="s">
        <v>2378</v>
      </c>
      <c r="M1148" s="1633">
        <v>7631870816</v>
      </c>
      <c r="N1148">
        <v>1</v>
      </c>
      <c r="O1148">
        <v>40</v>
      </c>
      <c r="P1148" s="1633">
        <v>7631870816</v>
      </c>
      <c r="Q1148" t="s">
        <v>106</v>
      </c>
      <c r="R1148" s="2392">
        <v>45008</v>
      </c>
      <c r="S1148" s="2393">
        <f t="shared" si="75"/>
        <v>1</v>
      </c>
      <c r="T1148" s="2394">
        <f>IF(OR(J1148="COP",J1148="EURO",J1148="GBP"),0,IF(J1148="USD",VLOOKUP(R1148,'TRM BanRep'!$A:$G,7,0)))</f>
        <v>0</v>
      </c>
      <c r="U1148" s="2395">
        <f t="shared" si="76"/>
        <v>0</v>
      </c>
      <c r="V1148" s="2395" t="str">
        <f t="shared" si="77"/>
        <v/>
      </c>
    </row>
    <row r="1149" spans="3:22" hidden="1">
      <c r="C1149">
        <v>2023</v>
      </c>
      <c r="D1149" t="s">
        <v>2193</v>
      </c>
      <c r="F1149">
        <v>2422999997</v>
      </c>
      <c r="G1149" t="s">
        <v>1608</v>
      </c>
      <c r="H1149" t="s">
        <v>2371</v>
      </c>
      <c r="J1149" t="s">
        <v>106</v>
      </c>
      <c r="K1149">
        <v>2000002651</v>
      </c>
      <c r="L1149" t="s">
        <v>2371</v>
      </c>
      <c r="M1149" s="1633">
        <v>32439000015</v>
      </c>
      <c r="N1149">
        <v>1</v>
      </c>
      <c r="O1149">
        <v>40</v>
      </c>
      <c r="P1149" s="1633">
        <v>32439000015</v>
      </c>
      <c r="Q1149" t="s">
        <v>106</v>
      </c>
      <c r="R1149" s="2392">
        <v>45009</v>
      </c>
      <c r="S1149" s="2393">
        <f t="shared" si="75"/>
        <v>1</v>
      </c>
      <c r="T1149" s="2394">
        <f>IF(OR(J1149="COP",J1149="EURO",J1149="GBP"),0,IF(J1149="USD",VLOOKUP(R1149,'TRM BanRep'!$A:$G,7,0)))</f>
        <v>0</v>
      </c>
      <c r="U1149" s="2395">
        <f t="shared" si="76"/>
        <v>0</v>
      </c>
      <c r="V1149" s="2395" t="str">
        <f t="shared" si="77"/>
        <v/>
      </c>
    </row>
    <row r="1150" spans="3:22" hidden="1">
      <c r="C1150">
        <v>2023</v>
      </c>
      <c r="D1150" t="s">
        <v>2193</v>
      </c>
      <c r="F1150">
        <v>2422999997</v>
      </c>
      <c r="G1150" t="s">
        <v>1608</v>
      </c>
      <c r="H1150" t="s">
        <v>2376</v>
      </c>
      <c r="J1150" t="s">
        <v>106</v>
      </c>
      <c r="K1150">
        <v>2000002577</v>
      </c>
      <c r="L1150" t="s">
        <v>2376</v>
      </c>
      <c r="M1150" s="1633">
        <v>3585000000</v>
      </c>
      <c r="N1150">
        <v>1</v>
      </c>
      <c r="O1150">
        <v>40</v>
      </c>
      <c r="P1150" s="1633">
        <v>3585000000</v>
      </c>
      <c r="Q1150" t="s">
        <v>106</v>
      </c>
      <c r="R1150" s="2392">
        <v>45012</v>
      </c>
      <c r="S1150" s="2393">
        <f t="shared" si="75"/>
        <v>1</v>
      </c>
      <c r="T1150" s="2394">
        <f>IF(OR(J1150="COP",J1150="EURO",J1150="GBP"),0,IF(J1150="USD",VLOOKUP(R1150,'TRM BanRep'!$A:$G,7,0)))</f>
        <v>0</v>
      </c>
      <c r="U1150" s="2395">
        <f t="shared" si="76"/>
        <v>0</v>
      </c>
      <c r="V1150" s="2395" t="str">
        <f t="shared" si="77"/>
        <v/>
      </c>
    </row>
    <row r="1151" spans="3:22" hidden="1">
      <c r="C1151">
        <v>2023</v>
      </c>
      <c r="D1151" t="s">
        <v>2193</v>
      </c>
      <c r="F1151">
        <v>2422999997</v>
      </c>
      <c r="G1151" t="s">
        <v>1608</v>
      </c>
      <c r="H1151" t="s">
        <v>2391</v>
      </c>
      <c r="J1151" t="s">
        <v>64</v>
      </c>
      <c r="K1151">
        <v>2000002655</v>
      </c>
      <c r="L1151" t="s">
        <v>2391</v>
      </c>
      <c r="M1151" s="1633">
        <v>6841010.4900000002</v>
      </c>
      <c r="N1151">
        <v>4741.76</v>
      </c>
      <c r="O1151">
        <v>40</v>
      </c>
      <c r="P1151" s="1633">
        <v>32438429918</v>
      </c>
      <c r="Q1151" t="s">
        <v>106</v>
      </c>
      <c r="R1151" s="2392">
        <v>45013</v>
      </c>
      <c r="S1151" s="2393">
        <f t="shared" si="75"/>
        <v>4741.76</v>
      </c>
      <c r="T1151" s="2394">
        <f>IF(OR(J1151="COP",J1151="EURO",J1151="GBP"),0,IF(J1151="USD",VLOOKUP(R1151,'TRM BanRep'!$A:$G,7,0)))</f>
        <v>4686.83</v>
      </c>
      <c r="U1151" s="2395">
        <f t="shared" si="76"/>
        <v>375776706</v>
      </c>
      <c r="V1151" s="2395" t="str">
        <f t="shared" si="77"/>
        <v>2-GASTO</v>
      </c>
    </row>
    <row r="1152" spans="3:22" hidden="1">
      <c r="C1152">
        <v>2023</v>
      </c>
      <c r="D1152" t="s">
        <v>2193</v>
      </c>
      <c r="F1152">
        <v>2422999997</v>
      </c>
      <c r="G1152" t="s">
        <v>1608</v>
      </c>
      <c r="H1152" t="s">
        <v>2391</v>
      </c>
      <c r="J1152" t="s">
        <v>64</v>
      </c>
      <c r="K1152">
        <v>2000002676</v>
      </c>
      <c r="L1152" t="s">
        <v>2391</v>
      </c>
      <c r="M1152" s="1633">
        <v>-6841010.4900000002</v>
      </c>
      <c r="N1152">
        <v>4741.76</v>
      </c>
      <c r="O1152">
        <v>50</v>
      </c>
      <c r="P1152" s="1633">
        <v>-32438429918</v>
      </c>
      <c r="Q1152" t="s">
        <v>106</v>
      </c>
      <c r="R1152" s="2392">
        <v>45013</v>
      </c>
      <c r="S1152" s="2393">
        <f t="shared" si="75"/>
        <v>4741.76</v>
      </c>
      <c r="T1152" s="2394">
        <f>IF(OR(J1152="COP",J1152="EURO",J1152="GBP"),0,IF(J1152="USD",VLOOKUP(R1152,'TRM BanRep'!$A:$G,7,0)))</f>
        <v>4686.83</v>
      </c>
      <c r="U1152" s="2395">
        <f t="shared" si="76"/>
        <v>-375776706</v>
      </c>
      <c r="V1152" s="2395" t="str">
        <f t="shared" si="77"/>
        <v>1-INGRESO</v>
      </c>
    </row>
    <row r="1153" spans="3:22" hidden="1">
      <c r="C1153">
        <v>2023</v>
      </c>
      <c r="D1153" t="s">
        <v>2193</v>
      </c>
      <c r="F1153">
        <v>2422999997</v>
      </c>
      <c r="G1153" t="s">
        <v>1608</v>
      </c>
      <c r="H1153" t="s">
        <v>2391</v>
      </c>
      <c r="J1153" t="s">
        <v>64</v>
      </c>
      <c r="K1153">
        <v>2000002677</v>
      </c>
      <c r="L1153" t="s">
        <v>2391</v>
      </c>
      <c r="M1153" s="1633">
        <v>6841010.4900000002</v>
      </c>
      <c r="N1153">
        <v>4741.76</v>
      </c>
      <c r="O1153">
        <v>40</v>
      </c>
      <c r="P1153" s="1633">
        <v>32438429918</v>
      </c>
      <c r="Q1153" t="s">
        <v>106</v>
      </c>
      <c r="R1153" s="2392">
        <v>45013</v>
      </c>
      <c r="S1153" s="2393">
        <f t="shared" si="75"/>
        <v>4741.76</v>
      </c>
      <c r="T1153" s="2394">
        <f>IF(OR(J1153="COP",J1153="EURO",J1153="GBP"),0,IF(J1153="USD",VLOOKUP(R1153,'TRM BanRep'!$A:$G,7,0)))</f>
        <v>4686.83</v>
      </c>
      <c r="U1153" s="2395">
        <f t="shared" si="76"/>
        <v>375776706</v>
      </c>
      <c r="V1153" s="2395" t="str">
        <f t="shared" si="77"/>
        <v>2-GASTO</v>
      </c>
    </row>
    <row r="1154" spans="3:22" hidden="1">
      <c r="C1154">
        <v>2023</v>
      </c>
      <c r="D1154" t="s">
        <v>2193</v>
      </c>
      <c r="F1154">
        <v>2422999997</v>
      </c>
      <c r="G1154" t="s">
        <v>1608</v>
      </c>
      <c r="H1154" t="s">
        <v>2412</v>
      </c>
      <c r="J1154" t="s">
        <v>106</v>
      </c>
      <c r="K1154">
        <v>2000002750</v>
      </c>
      <c r="L1154" t="s">
        <v>2412</v>
      </c>
      <c r="M1154" s="1633">
        <v>27752291045</v>
      </c>
      <c r="N1154">
        <v>1</v>
      </c>
      <c r="O1154">
        <v>40</v>
      </c>
      <c r="P1154" s="1633">
        <v>27752291045</v>
      </c>
      <c r="Q1154" t="s">
        <v>106</v>
      </c>
      <c r="R1154" s="2392">
        <v>45014</v>
      </c>
      <c r="S1154" s="2393">
        <f t="shared" si="75"/>
        <v>1</v>
      </c>
      <c r="T1154" s="2394">
        <f>IF(OR(J1154="COP",J1154="EURO",J1154="GBP"),0,IF(J1154="USD",VLOOKUP(R1154,'TRM BanRep'!$A:$G,7,0)))</f>
        <v>0</v>
      </c>
      <c r="U1154" s="2395">
        <f t="shared" si="76"/>
        <v>0</v>
      </c>
      <c r="V1154" s="2395" t="str">
        <f t="shared" si="77"/>
        <v/>
      </c>
    </row>
    <row r="1155" spans="3:22" hidden="1">
      <c r="C1155">
        <v>2023</v>
      </c>
      <c r="D1155" t="s">
        <v>2193</v>
      </c>
      <c r="F1155">
        <v>2422999997</v>
      </c>
      <c r="G1155" t="s">
        <v>1608</v>
      </c>
      <c r="H1155" t="s">
        <v>2432</v>
      </c>
      <c r="J1155" t="s">
        <v>64</v>
      </c>
      <c r="K1155">
        <v>2000002770</v>
      </c>
      <c r="L1155" t="s">
        <v>2432</v>
      </c>
      <c r="M1155" s="1633">
        <v>9050448.5600000005</v>
      </c>
      <c r="N1155">
        <v>4658.79</v>
      </c>
      <c r="O1155">
        <v>40</v>
      </c>
      <c r="P1155" s="1633">
        <v>42164139239</v>
      </c>
      <c r="Q1155" t="s">
        <v>106</v>
      </c>
      <c r="R1155" s="2392">
        <v>45016</v>
      </c>
      <c r="S1155" s="2393">
        <f t="shared" si="75"/>
        <v>4658.79</v>
      </c>
      <c r="T1155" s="2394">
        <f>IF(OR(J1155="COP",J1155="EURO",J1155="GBP"),0,IF(J1155="USD",VLOOKUP(R1155,'TRM BanRep'!$A:$G,7,0)))</f>
        <v>4627.2700000000004</v>
      </c>
      <c r="U1155" s="2395">
        <f t="shared" si="76"/>
        <v>285270139</v>
      </c>
      <c r="V1155" s="2395" t="str">
        <f t="shared" si="77"/>
        <v>2-GASTO</v>
      </c>
    </row>
    <row r="1156" spans="3:22" hidden="1">
      <c r="C1156">
        <v>2023</v>
      </c>
      <c r="D1156" t="s">
        <v>2193</v>
      </c>
      <c r="F1156">
        <v>2422999997</v>
      </c>
      <c r="G1156" t="s">
        <v>1609</v>
      </c>
      <c r="H1156" t="s">
        <v>2375</v>
      </c>
      <c r="I1156" t="s">
        <v>1759</v>
      </c>
      <c r="J1156" t="s">
        <v>64</v>
      </c>
      <c r="K1156">
        <v>7900003123</v>
      </c>
      <c r="L1156" t="s">
        <v>2375</v>
      </c>
      <c r="M1156" s="1633">
        <v>-823046.19</v>
      </c>
      <c r="N1156">
        <v>4814.1099999999997</v>
      </c>
      <c r="O1156">
        <v>50</v>
      </c>
      <c r="P1156" s="1633">
        <v>-3962234894</v>
      </c>
      <c r="Q1156" t="s">
        <v>106</v>
      </c>
      <c r="R1156" s="2392">
        <v>44987</v>
      </c>
      <c r="S1156" s="2393">
        <f t="shared" si="75"/>
        <v>4814.1099999999997</v>
      </c>
      <c r="T1156" s="2394">
        <f>IF(OR(J1156="COP",J1156="EURO",J1156="GBP"),0,IF(J1156="USD",VLOOKUP(R1156,'TRM BanRep'!$A:$G,7,0)))</f>
        <v>4848.78</v>
      </c>
      <c r="U1156" s="2395">
        <f t="shared" si="76"/>
        <v>28535011</v>
      </c>
      <c r="V1156" s="2395" t="str">
        <f t="shared" si="77"/>
        <v>2-GASTO</v>
      </c>
    </row>
    <row r="1157" spans="3:22" hidden="1">
      <c r="C1157">
        <v>2023</v>
      </c>
      <c r="D1157" t="s">
        <v>2193</v>
      </c>
      <c r="F1157">
        <v>2422999997</v>
      </c>
      <c r="G1157" t="s">
        <v>1609</v>
      </c>
      <c r="H1157" t="s">
        <v>2372</v>
      </c>
      <c r="I1157" t="s">
        <v>1927</v>
      </c>
      <c r="J1157" t="s">
        <v>106</v>
      </c>
      <c r="K1157">
        <v>7900003139</v>
      </c>
      <c r="L1157" t="s">
        <v>2372</v>
      </c>
      <c r="M1157" s="1633">
        <v>-4391848070</v>
      </c>
      <c r="N1157">
        <v>1</v>
      </c>
      <c r="O1157">
        <v>50</v>
      </c>
      <c r="P1157" s="1633">
        <v>-4391848070</v>
      </c>
      <c r="Q1157" t="s">
        <v>106</v>
      </c>
      <c r="R1157" s="2392">
        <v>44988</v>
      </c>
      <c r="S1157" s="2393">
        <f t="shared" si="75"/>
        <v>1</v>
      </c>
      <c r="T1157" s="2394">
        <f>IF(OR(J1157="COP",J1157="EURO",J1157="GBP"),0,IF(J1157="USD",VLOOKUP(R1157,'TRM BanRep'!$A:$G,7,0)))</f>
        <v>0</v>
      </c>
      <c r="U1157" s="2395">
        <f t="shared" si="76"/>
        <v>0</v>
      </c>
      <c r="V1157" s="2395" t="str">
        <f t="shared" si="77"/>
        <v/>
      </c>
    </row>
    <row r="1158" spans="3:22" hidden="1">
      <c r="C1158">
        <v>2023</v>
      </c>
      <c r="D1158" t="s">
        <v>2193</v>
      </c>
      <c r="F1158">
        <v>2422999997</v>
      </c>
      <c r="G1158" t="s">
        <v>1609</v>
      </c>
      <c r="H1158" t="s">
        <v>2372</v>
      </c>
      <c r="I1158" t="s">
        <v>1926</v>
      </c>
      <c r="J1158" t="s">
        <v>106</v>
      </c>
      <c r="K1158">
        <v>7900003140</v>
      </c>
      <c r="L1158" t="s">
        <v>2372</v>
      </c>
      <c r="M1158" s="1633">
        <v>-9777451140</v>
      </c>
      <c r="N1158">
        <v>1</v>
      </c>
      <c r="O1158">
        <v>50</v>
      </c>
      <c r="P1158" s="1633">
        <v>-9777451140</v>
      </c>
      <c r="Q1158" t="s">
        <v>106</v>
      </c>
      <c r="R1158" s="2392">
        <v>44988</v>
      </c>
      <c r="S1158" s="2393">
        <f t="shared" ref="S1158:S1169" si="78">+ROUND(P1158/M1158,2)</f>
        <v>1</v>
      </c>
      <c r="T1158" s="2394">
        <f>IF(OR(J1158="COP",J1158="EURO",J1158="GBP"),0,IF(J1158="USD",VLOOKUP(R1158,'TRM BanRep'!$A:$G,7,0)))</f>
        <v>0</v>
      </c>
      <c r="U1158" s="2395">
        <f t="shared" ref="U1158:U1169" si="79">ROUND(IF(F1158=2422999997,-IF(T1158=0,0,(T1158-S1158)*M1158),IF(T1158=0,0,(T1158-S1158)*M1158)),0)</f>
        <v>0</v>
      </c>
      <c r="V1158" s="2395" t="str">
        <f t="shared" ref="V1158:V1169" si="80">IF(U1158=0,"",IF(U1158&gt;0,"2-GASTO","1-INGRESO"))</f>
        <v/>
      </c>
    </row>
    <row r="1159" spans="3:22" hidden="1">
      <c r="C1159">
        <v>2023</v>
      </c>
      <c r="D1159" t="s">
        <v>2193</v>
      </c>
      <c r="F1159">
        <v>2422999997</v>
      </c>
      <c r="G1159" t="s">
        <v>1609</v>
      </c>
      <c r="H1159" t="s">
        <v>2373</v>
      </c>
      <c r="I1159" t="s">
        <v>1748</v>
      </c>
      <c r="J1159" t="s">
        <v>106</v>
      </c>
      <c r="K1159">
        <v>7900003155</v>
      </c>
      <c r="L1159" t="s">
        <v>2373</v>
      </c>
      <c r="M1159" s="1633">
        <v>-5968381320</v>
      </c>
      <c r="N1159">
        <v>1</v>
      </c>
      <c r="O1159">
        <v>50</v>
      </c>
      <c r="P1159" s="1633">
        <v>-5968381320</v>
      </c>
      <c r="Q1159" t="s">
        <v>106</v>
      </c>
      <c r="R1159" s="2392">
        <v>44991</v>
      </c>
      <c r="S1159" s="2393">
        <f t="shared" si="78"/>
        <v>1</v>
      </c>
      <c r="T1159" s="2394">
        <f>IF(OR(J1159="COP",J1159="EURO",J1159="GBP"),0,IF(J1159="USD",VLOOKUP(R1159,'TRM BanRep'!$A:$G,7,0)))</f>
        <v>0</v>
      </c>
      <c r="U1159" s="2395">
        <f t="shared" si="79"/>
        <v>0</v>
      </c>
      <c r="V1159" s="2395" t="str">
        <f t="shared" si="80"/>
        <v/>
      </c>
    </row>
    <row r="1160" spans="3:22" hidden="1">
      <c r="C1160">
        <v>2023</v>
      </c>
      <c r="D1160" t="s">
        <v>2193</v>
      </c>
      <c r="F1160">
        <v>2422999997</v>
      </c>
      <c r="G1160" t="s">
        <v>1609</v>
      </c>
      <c r="H1160" t="s">
        <v>2373</v>
      </c>
      <c r="I1160" t="s">
        <v>1749</v>
      </c>
      <c r="J1160" t="s">
        <v>106</v>
      </c>
      <c r="K1160">
        <v>7900003156</v>
      </c>
      <c r="L1160" t="s">
        <v>2373</v>
      </c>
      <c r="M1160" s="1633">
        <v>-8360952261</v>
      </c>
      <c r="N1160">
        <v>1</v>
      </c>
      <c r="O1160">
        <v>50</v>
      </c>
      <c r="P1160" s="1633">
        <v>-8360952261</v>
      </c>
      <c r="Q1160" t="s">
        <v>106</v>
      </c>
      <c r="R1160" s="2392">
        <v>44991</v>
      </c>
      <c r="S1160" s="2393">
        <f t="shared" si="78"/>
        <v>1</v>
      </c>
      <c r="T1160" s="2394">
        <f>IF(OR(J1160="COP",J1160="EURO",J1160="GBP"),0,IF(J1160="USD",VLOOKUP(R1160,'TRM BanRep'!$A:$G,7,0)))</f>
        <v>0</v>
      </c>
      <c r="U1160" s="2395">
        <f t="shared" si="79"/>
        <v>0</v>
      </c>
      <c r="V1160" s="2395" t="str">
        <f t="shared" si="80"/>
        <v/>
      </c>
    </row>
    <row r="1161" spans="3:22" hidden="1">
      <c r="C1161">
        <v>2023</v>
      </c>
      <c r="D1161" t="s">
        <v>2193</v>
      </c>
      <c r="F1161">
        <v>2422999997</v>
      </c>
      <c r="G1161" t="s">
        <v>1609</v>
      </c>
      <c r="H1161" t="s">
        <v>2373</v>
      </c>
      <c r="I1161" t="s">
        <v>1750</v>
      </c>
      <c r="J1161" t="s">
        <v>106</v>
      </c>
      <c r="K1161">
        <v>7900003157</v>
      </c>
      <c r="L1161" t="s">
        <v>2373</v>
      </c>
      <c r="M1161" s="1633">
        <v>-14404346820</v>
      </c>
      <c r="N1161">
        <v>1</v>
      </c>
      <c r="O1161">
        <v>50</v>
      </c>
      <c r="P1161" s="1633">
        <v>-14404346820</v>
      </c>
      <c r="Q1161" t="s">
        <v>106</v>
      </c>
      <c r="R1161" s="2392">
        <v>44991</v>
      </c>
      <c r="S1161" s="2393">
        <f t="shared" si="78"/>
        <v>1</v>
      </c>
      <c r="T1161" s="2394">
        <f>IF(OR(J1161="COP",J1161="EURO",J1161="GBP"),0,IF(J1161="USD",VLOOKUP(R1161,'TRM BanRep'!$A:$G,7,0)))</f>
        <v>0</v>
      </c>
      <c r="U1161" s="2395">
        <f t="shared" si="79"/>
        <v>0</v>
      </c>
      <c r="V1161" s="2395" t="str">
        <f t="shared" si="80"/>
        <v/>
      </c>
    </row>
    <row r="1162" spans="3:22" hidden="1">
      <c r="C1162">
        <v>2023</v>
      </c>
      <c r="D1162" t="s">
        <v>2193</v>
      </c>
      <c r="F1162">
        <v>2422999997</v>
      </c>
      <c r="G1162" t="s">
        <v>1609</v>
      </c>
      <c r="H1162" t="s">
        <v>2373</v>
      </c>
      <c r="I1162" t="s">
        <v>1747</v>
      </c>
      <c r="J1162" t="s">
        <v>106</v>
      </c>
      <c r="K1162">
        <v>7900003158</v>
      </c>
      <c r="L1162" t="s">
        <v>2373</v>
      </c>
      <c r="M1162" s="1633">
        <v>-2360721352</v>
      </c>
      <c r="N1162">
        <v>1</v>
      </c>
      <c r="O1162">
        <v>50</v>
      </c>
      <c r="P1162" s="1633">
        <v>-2360721352</v>
      </c>
      <c r="Q1162" t="s">
        <v>106</v>
      </c>
      <c r="R1162" s="2392">
        <v>44991</v>
      </c>
      <c r="S1162" s="2393">
        <f t="shared" si="78"/>
        <v>1</v>
      </c>
      <c r="T1162" s="2394">
        <f>IF(OR(J1162="COP",J1162="EURO",J1162="GBP"),0,IF(J1162="USD",VLOOKUP(R1162,'TRM BanRep'!$A:$G,7,0)))</f>
        <v>0</v>
      </c>
      <c r="U1162" s="2395">
        <f t="shared" si="79"/>
        <v>0</v>
      </c>
      <c r="V1162" s="2395" t="str">
        <f t="shared" si="80"/>
        <v/>
      </c>
    </row>
    <row r="1163" spans="3:22" hidden="1">
      <c r="C1163">
        <v>2023</v>
      </c>
      <c r="D1163" t="s">
        <v>2193</v>
      </c>
      <c r="F1163">
        <v>2422999997</v>
      </c>
      <c r="G1163" t="s">
        <v>1609</v>
      </c>
      <c r="H1163" t="s">
        <v>2374</v>
      </c>
      <c r="I1163" t="s">
        <v>1751</v>
      </c>
      <c r="J1163" t="s">
        <v>106</v>
      </c>
      <c r="K1163">
        <v>7900003209</v>
      </c>
      <c r="L1163" t="s">
        <v>2374</v>
      </c>
      <c r="M1163" s="1633">
        <v>-3303750000</v>
      </c>
      <c r="N1163">
        <v>1</v>
      </c>
      <c r="O1163">
        <v>50</v>
      </c>
      <c r="P1163" s="1633">
        <v>-3303750000</v>
      </c>
      <c r="Q1163" t="s">
        <v>106</v>
      </c>
      <c r="R1163" s="2392">
        <v>44998</v>
      </c>
      <c r="S1163" s="2393">
        <f t="shared" si="78"/>
        <v>1</v>
      </c>
      <c r="T1163" s="2394">
        <f>IF(OR(J1163="COP",J1163="EURO",J1163="GBP"),0,IF(J1163="USD",VLOOKUP(R1163,'TRM BanRep'!$A:$G,7,0)))</f>
        <v>0</v>
      </c>
      <c r="U1163" s="2395">
        <f t="shared" si="79"/>
        <v>0</v>
      </c>
      <c r="V1163" s="2395" t="str">
        <f t="shared" si="80"/>
        <v/>
      </c>
    </row>
    <row r="1164" spans="3:22" hidden="1">
      <c r="C1164">
        <v>2023</v>
      </c>
      <c r="D1164" t="s">
        <v>2193</v>
      </c>
      <c r="F1164">
        <v>2422999997</v>
      </c>
      <c r="G1164" t="s">
        <v>1609</v>
      </c>
      <c r="H1164" t="s">
        <v>2374</v>
      </c>
      <c r="I1164" t="s">
        <v>1752</v>
      </c>
      <c r="J1164" t="s">
        <v>106</v>
      </c>
      <c r="K1164">
        <v>7900003215</v>
      </c>
      <c r="L1164" t="s">
        <v>2374</v>
      </c>
      <c r="M1164" s="1633">
        <v>-3959551161</v>
      </c>
      <c r="N1164">
        <v>1</v>
      </c>
      <c r="O1164">
        <v>50</v>
      </c>
      <c r="P1164" s="1633">
        <v>-3959551161</v>
      </c>
      <c r="Q1164" t="s">
        <v>106</v>
      </c>
      <c r="R1164" s="2392">
        <v>44998</v>
      </c>
      <c r="S1164" s="2393">
        <f t="shared" si="78"/>
        <v>1</v>
      </c>
      <c r="T1164" s="2394">
        <f>IF(OR(J1164="COP",J1164="EURO",J1164="GBP"),0,IF(J1164="USD",VLOOKUP(R1164,'TRM BanRep'!$A:$G,7,0)))</f>
        <v>0</v>
      </c>
      <c r="U1164" s="2395">
        <f t="shared" si="79"/>
        <v>0</v>
      </c>
      <c r="V1164" s="2395" t="str">
        <f t="shared" si="80"/>
        <v/>
      </c>
    </row>
    <row r="1165" spans="3:22" hidden="1">
      <c r="C1165">
        <v>2023</v>
      </c>
      <c r="D1165" t="s">
        <v>2193</v>
      </c>
      <c r="F1165">
        <v>2422999997</v>
      </c>
      <c r="G1165" t="s">
        <v>1609</v>
      </c>
      <c r="H1165" t="s">
        <v>2374</v>
      </c>
      <c r="I1165" t="s">
        <v>1753</v>
      </c>
      <c r="J1165" t="s">
        <v>106</v>
      </c>
      <c r="K1165">
        <v>7900003216</v>
      </c>
      <c r="L1165" t="s">
        <v>2374</v>
      </c>
      <c r="M1165" s="1633">
        <v>-3823291104</v>
      </c>
      <c r="N1165">
        <v>1</v>
      </c>
      <c r="O1165">
        <v>50</v>
      </c>
      <c r="P1165" s="1633">
        <v>-3823291104</v>
      </c>
      <c r="Q1165" t="s">
        <v>106</v>
      </c>
      <c r="R1165" s="2392">
        <v>44998</v>
      </c>
      <c r="S1165" s="2393">
        <f t="shared" si="78"/>
        <v>1</v>
      </c>
      <c r="T1165" s="2394">
        <f>IF(OR(J1165="COP",J1165="EURO",J1165="GBP"),0,IF(J1165="USD",VLOOKUP(R1165,'TRM BanRep'!$A:$G,7,0)))</f>
        <v>0</v>
      </c>
      <c r="U1165" s="2395">
        <f t="shared" si="79"/>
        <v>0</v>
      </c>
      <c r="V1165" s="2395" t="str">
        <f t="shared" si="80"/>
        <v/>
      </c>
    </row>
    <row r="1166" spans="3:22" hidden="1">
      <c r="C1166">
        <v>2023</v>
      </c>
      <c r="D1166" t="s">
        <v>2193</v>
      </c>
      <c r="F1166">
        <v>2422999997</v>
      </c>
      <c r="G1166" t="s">
        <v>1609</v>
      </c>
      <c r="H1166" t="s">
        <v>2433</v>
      </c>
      <c r="I1166" t="s">
        <v>1754</v>
      </c>
      <c r="J1166" t="s">
        <v>106</v>
      </c>
      <c r="K1166">
        <v>7900003259</v>
      </c>
      <c r="L1166" t="s">
        <v>2433</v>
      </c>
      <c r="M1166" s="1633">
        <v>-20181254250</v>
      </c>
      <c r="N1166">
        <v>1</v>
      </c>
      <c r="O1166">
        <v>50</v>
      </c>
      <c r="P1166" s="1633">
        <v>-20181254250</v>
      </c>
      <c r="Q1166" t="s">
        <v>106</v>
      </c>
      <c r="R1166" s="2392">
        <v>45000</v>
      </c>
      <c r="S1166" s="2393">
        <f t="shared" si="78"/>
        <v>1</v>
      </c>
      <c r="T1166" s="2394">
        <f>IF(OR(J1166="COP",J1166="EURO",J1166="GBP"),0,IF(J1166="USD",VLOOKUP(R1166,'TRM BanRep'!$A:$G,7,0)))</f>
        <v>0</v>
      </c>
      <c r="U1166" s="2395">
        <f t="shared" si="79"/>
        <v>0</v>
      </c>
      <c r="V1166" s="2395" t="str">
        <f t="shared" si="80"/>
        <v/>
      </c>
    </row>
    <row r="1167" spans="3:22" hidden="1">
      <c r="C1167">
        <v>2023</v>
      </c>
      <c r="D1167" t="s">
        <v>2193</v>
      </c>
      <c r="F1167">
        <v>2422999997</v>
      </c>
      <c r="G1167" t="s">
        <v>1609</v>
      </c>
      <c r="H1167" t="s">
        <v>2433</v>
      </c>
      <c r="I1167" t="s">
        <v>1755</v>
      </c>
      <c r="J1167" t="s">
        <v>106</v>
      </c>
      <c r="K1167">
        <v>7900003260</v>
      </c>
      <c r="L1167" t="s">
        <v>2433</v>
      </c>
      <c r="M1167" s="1633">
        <v>-17005270000</v>
      </c>
      <c r="N1167">
        <v>1</v>
      </c>
      <c r="O1167">
        <v>50</v>
      </c>
      <c r="P1167" s="1633">
        <v>-17005270000</v>
      </c>
      <c r="Q1167" t="s">
        <v>106</v>
      </c>
      <c r="R1167" s="2392">
        <v>45000</v>
      </c>
      <c r="S1167" s="2393">
        <f t="shared" si="78"/>
        <v>1</v>
      </c>
      <c r="T1167" s="2394">
        <f>IF(OR(J1167="COP",J1167="EURO",J1167="GBP"),0,IF(J1167="USD",VLOOKUP(R1167,'TRM BanRep'!$A:$G,7,0)))</f>
        <v>0</v>
      </c>
      <c r="U1167" s="2395">
        <f t="shared" si="79"/>
        <v>0</v>
      </c>
      <c r="V1167" s="2395" t="str">
        <f t="shared" si="80"/>
        <v/>
      </c>
    </row>
    <row r="1168" spans="3:22" hidden="1">
      <c r="C1168">
        <v>2023</v>
      </c>
      <c r="D1168" t="s">
        <v>2193</v>
      </c>
      <c r="F1168">
        <v>2422999997</v>
      </c>
      <c r="G1168" t="s">
        <v>1609</v>
      </c>
      <c r="H1168" t="s">
        <v>2378</v>
      </c>
      <c r="I1168" t="s">
        <v>1756</v>
      </c>
      <c r="J1168" t="s">
        <v>106</v>
      </c>
      <c r="K1168">
        <v>7900003289</v>
      </c>
      <c r="L1168" t="s">
        <v>2378</v>
      </c>
      <c r="M1168" s="1633">
        <v>-1728117231</v>
      </c>
      <c r="N1168">
        <v>1</v>
      </c>
      <c r="O1168">
        <v>50</v>
      </c>
      <c r="P1168" s="1633">
        <v>-1728117231</v>
      </c>
      <c r="Q1168" t="s">
        <v>106</v>
      </c>
      <c r="R1168" s="2392">
        <v>45008</v>
      </c>
      <c r="S1168" s="2393">
        <f t="shared" si="78"/>
        <v>1</v>
      </c>
      <c r="T1168" s="2394">
        <f>IF(OR(J1168="COP",J1168="EURO",J1168="GBP"),0,IF(J1168="USD",VLOOKUP(R1168,'TRM BanRep'!$A:$G,7,0)))</f>
        <v>0</v>
      </c>
      <c r="U1168" s="2395">
        <f t="shared" si="79"/>
        <v>0</v>
      </c>
      <c r="V1168" s="2395" t="str">
        <f t="shared" si="80"/>
        <v/>
      </c>
    </row>
    <row r="1169" spans="3:24" hidden="1">
      <c r="C1169">
        <v>2023</v>
      </c>
      <c r="D1169" t="s">
        <v>2193</v>
      </c>
      <c r="F1169">
        <v>2422999997</v>
      </c>
      <c r="G1169" t="s">
        <v>1609</v>
      </c>
      <c r="H1169" t="s">
        <v>2376</v>
      </c>
      <c r="I1169" t="s">
        <v>1757</v>
      </c>
      <c r="J1169" t="s">
        <v>106</v>
      </c>
      <c r="K1169">
        <v>7900003295</v>
      </c>
      <c r="L1169" t="s">
        <v>2376</v>
      </c>
      <c r="M1169" s="1633">
        <v>-3585000000</v>
      </c>
      <c r="N1169">
        <v>1</v>
      </c>
      <c r="O1169">
        <v>50</v>
      </c>
      <c r="P1169" s="1633">
        <v>-3585000000</v>
      </c>
      <c r="Q1169" t="s">
        <v>106</v>
      </c>
      <c r="R1169" s="2392">
        <v>45012</v>
      </c>
      <c r="S1169" s="2393">
        <f t="shared" si="78"/>
        <v>1</v>
      </c>
      <c r="T1169" s="2394">
        <f>IF(OR(J1169="COP",J1169="EURO",J1169="GBP"),0,IF(J1169="USD",VLOOKUP(R1169,'TRM BanRep'!$A:$G,7,0)))</f>
        <v>0</v>
      </c>
      <c r="U1169" s="2395">
        <f t="shared" si="79"/>
        <v>0</v>
      </c>
      <c r="V1169" s="2395" t="str">
        <f t="shared" si="80"/>
        <v/>
      </c>
    </row>
    <row r="1170" spans="3:24">
      <c r="M1170" s="1633"/>
      <c r="P1170" s="1633"/>
      <c r="R1170" s="2392"/>
      <c r="S1170" s="2393"/>
      <c r="T1170" s="2394"/>
      <c r="U1170" s="2395"/>
      <c r="V1170" s="2395"/>
    </row>
    <row r="1171" spans="3:24">
      <c r="C1171">
        <v>2023</v>
      </c>
      <c r="D1171" t="s">
        <v>2194</v>
      </c>
      <c r="F1171">
        <v>1202049905</v>
      </c>
      <c r="G1171" t="s">
        <v>1557</v>
      </c>
      <c r="H1171" t="s">
        <v>2568</v>
      </c>
      <c r="I1171" t="s">
        <v>2639</v>
      </c>
      <c r="J1171" t="s">
        <v>64</v>
      </c>
      <c r="K1171">
        <v>7900005510</v>
      </c>
      <c r="L1171" t="s">
        <v>2568</v>
      </c>
      <c r="M1171" s="1860">
        <v>-8600107</v>
      </c>
      <c r="N1171" s="1860">
        <v>4603</v>
      </c>
      <c r="O1171">
        <v>50</v>
      </c>
      <c r="P1171" s="1633">
        <v>-39586292521</v>
      </c>
      <c r="Q1171" t="s">
        <v>106</v>
      </c>
      <c r="R1171" s="2392">
        <v>45020</v>
      </c>
      <c r="S1171" s="2393">
        <f t="shared" ref="S1171:S1222" si="81">+ROUND(P1171/M1171,2)</f>
        <v>4603</v>
      </c>
      <c r="T1171" s="2394">
        <f>IF(OR(J1171="COP",J1171="EURO",J1171="GBP"),0,IF(J1171="USD",VLOOKUP(R1171,'TRM BanRep'!$A:$G,7,0)))</f>
        <v>4603</v>
      </c>
      <c r="U1171" s="2395">
        <f t="shared" ref="U1171:U1222" si="82">ROUND(IF(F1171=2422999997,-IF(T1171=0,0,(T1171-S1171)*M1171),IF(T1171=0,0,(T1171-S1171)*M1171)),0)</f>
        <v>0</v>
      </c>
      <c r="V1171" s="2395" t="str">
        <f t="shared" ref="V1171:V1222" si="83">IF(U1171=0,"",IF(U1171&gt;0,"2-GASTO","1-INGRESO"))</f>
        <v/>
      </c>
    </row>
    <row r="1172" spans="3:24" hidden="1">
      <c r="C1172">
        <v>2023</v>
      </c>
      <c r="D1172" t="s">
        <v>2194</v>
      </c>
      <c r="F1172">
        <v>1202049905</v>
      </c>
      <c r="G1172" t="s">
        <v>1557</v>
      </c>
      <c r="H1172" t="s">
        <v>2568</v>
      </c>
      <c r="I1172" t="s">
        <v>2640</v>
      </c>
      <c r="J1172" t="s">
        <v>106</v>
      </c>
      <c r="K1172">
        <v>7900005511</v>
      </c>
      <c r="L1172" t="s">
        <v>2568</v>
      </c>
      <c r="M1172" s="1633">
        <v>39586292521</v>
      </c>
      <c r="N1172">
        <v>1</v>
      </c>
      <c r="O1172">
        <v>40</v>
      </c>
      <c r="P1172" s="1633">
        <v>39586292521</v>
      </c>
      <c r="Q1172" t="s">
        <v>106</v>
      </c>
      <c r="R1172" s="2392">
        <v>45020</v>
      </c>
      <c r="S1172" s="2393">
        <f t="shared" si="81"/>
        <v>1</v>
      </c>
      <c r="T1172" s="2394">
        <f>IF(OR(J1172="COP",J1172="EURO",J1172="GBP"),0,IF(J1172="USD",VLOOKUP(R1172,'TRM BanRep'!$A:$G,7,0)))</f>
        <v>0</v>
      </c>
      <c r="U1172" s="2395">
        <f t="shared" si="82"/>
        <v>0</v>
      </c>
      <c r="V1172" s="2395" t="str">
        <f t="shared" si="83"/>
        <v/>
      </c>
    </row>
    <row r="1173" spans="3:24">
      <c r="C1173">
        <v>2023</v>
      </c>
      <c r="D1173" t="s">
        <v>2194</v>
      </c>
      <c r="F1173">
        <v>1202049905</v>
      </c>
      <c r="G1173" t="s">
        <v>1557</v>
      </c>
      <c r="H1173" t="s">
        <v>2568</v>
      </c>
      <c r="I1173" t="s">
        <v>2641</v>
      </c>
      <c r="J1173" t="s">
        <v>64</v>
      </c>
      <c r="K1173">
        <v>7900005518</v>
      </c>
      <c r="L1173" t="s">
        <v>2568</v>
      </c>
      <c r="M1173" s="1860">
        <v>-3762000</v>
      </c>
      <c r="N1173" s="1860">
        <v>4587.16</v>
      </c>
      <c r="O1173">
        <v>50</v>
      </c>
      <c r="P1173" s="1633">
        <v>-17256895920</v>
      </c>
      <c r="Q1173" t="s">
        <v>106</v>
      </c>
      <c r="R1173" s="2392">
        <v>45020</v>
      </c>
      <c r="S1173" s="2393">
        <f t="shared" si="81"/>
        <v>4587.16</v>
      </c>
      <c r="T1173" s="2394">
        <f>IF(OR(J1173="COP",J1173="EURO",J1173="GBP"),0,IF(J1173="USD",VLOOKUP(R1173,'TRM BanRep'!$A:$G,7,0)))</f>
        <v>4603</v>
      </c>
      <c r="U1173" s="2399">
        <f t="shared" si="82"/>
        <v>-59590080</v>
      </c>
      <c r="V1173" s="2395" t="str">
        <f t="shared" si="83"/>
        <v>1-INGRESO</v>
      </c>
      <c r="X1173">
        <v>4806010300</v>
      </c>
    </row>
    <row r="1174" spans="3:24" hidden="1">
      <c r="C1174">
        <v>2023</v>
      </c>
      <c r="D1174" t="s">
        <v>2194</v>
      </c>
      <c r="F1174">
        <v>1202049905</v>
      </c>
      <c r="G1174" t="s">
        <v>1557</v>
      </c>
      <c r="H1174" t="s">
        <v>2568</v>
      </c>
      <c r="I1174" t="s">
        <v>2642</v>
      </c>
      <c r="J1174" t="s">
        <v>106</v>
      </c>
      <c r="K1174">
        <v>7900005519</v>
      </c>
      <c r="L1174" t="s">
        <v>2568</v>
      </c>
      <c r="M1174" s="1633">
        <v>17256895920</v>
      </c>
      <c r="N1174">
        <v>1</v>
      </c>
      <c r="O1174">
        <v>40</v>
      </c>
      <c r="P1174" s="1633">
        <v>17256895920</v>
      </c>
      <c r="Q1174" t="s">
        <v>106</v>
      </c>
      <c r="R1174" s="2392">
        <v>45020</v>
      </c>
      <c r="S1174" s="2393">
        <f t="shared" si="81"/>
        <v>1</v>
      </c>
      <c r="T1174" s="2394">
        <f>IF(OR(J1174="COP",J1174="EURO",J1174="GBP"),0,IF(J1174="USD",VLOOKUP(R1174,'TRM BanRep'!$A:$G,7,0)))</f>
        <v>0</v>
      </c>
      <c r="U1174" s="2395">
        <f t="shared" si="82"/>
        <v>0</v>
      </c>
      <c r="V1174" s="2395" t="str">
        <f t="shared" si="83"/>
        <v/>
      </c>
    </row>
    <row r="1175" spans="3:24">
      <c r="C1175">
        <v>2023</v>
      </c>
      <c r="D1175" t="s">
        <v>2194</v>
      </c>
      <c r="F1175">
        <v>1202049905</v>
      </c>
      <c r="G1175" t="s">
        <v>1557</v>
      </c>
      <c r="H1175" t="s">
        <v>2568</v>
      </c>
      <c r="I1175" t="s">
        <v>2643</v>
      </c>
      <c r="J1175" t="s">
        <v>146</v>
      </c>
      <c r="K1175">
        <v>7900005526</v>
      </c>
      <c r="L1175" t="s">
        <v>2568</v>
      </c>
      <c r="M1175">
        <v>-488.58</v>
      </c>
      <c r="N1175" s="1860">
        <v>4901.1420900000003</v>
      </c>
      <c r="O1175">
        <v>50</v>
      </c>
      <c r="P1175" s="1633">
        <v>-2394600</v>
      </c>
      <c r="Q1175" t="s">
        <v>106</v>
      </c>
      <c r="R1175" s="2392">
        <v>45020</v>
      </c>
      <c r="S1175" s="2393">
        <f t="shared" si="81"/>
        <v>4901.1400000000003</v>
      </c>
      <c r="T1175" s="2394">
        <f>IF(OR(J1175="COP",J1175="EURO",J1175="GBP"),0,IF(J1175="USD",VLOOKUP(R1175,'TRM BanRep'!$A:$G,7,0)))</f>
        <v>0</v>
      </c>
      <c r="U1175" s="2395">
        <f t="shared" si="82"/>
        <v>0</v>
      </c>
      <c r="V1175" s="2395" t="str">
        <f t="shared" si="83"/>
        <v/>
      </c>
    </row>
    <row r="1176" spans="3:24">
      <c r="C1176">
        <v>2023</v>
      </c>
      <c r="D1176" t="s">
        <v>2194</v>
      </c>
      <c r="F1176">
        <v>1202049905</v>
      </c>
      <c r="G1176" t="s">
        <v>1557</v>
      </c>
      <c r="H1176" t="s">
        <v>2568</v>
      </c>
      <c r="I1176" t="s">
        <v>2644</v>
      </c>
      <c r="J1176" t="s">
        <v>64</v>
      </c>
      <c r="K1176">
        <v>7900005527</v>
      </c>
      <c r="L1176" t="s">
        <v>2568</v>
      </c>
      <c r="M1176">
        <v>549.41</v>
      </c>
      <c r="N1176" s="1860">
        <v>4358.4936600000001</v>
      </c>
      <c r="O1176">
        <v>40</v>
      </c>
      <c r="P1176" s="1633">
        <v>2394600</v>
      </c>
      <c r="Q1176" t="s">
        <v>106</v>
      </c>
      <c r="R1176" s="2392">
        <v>45020</v>
      </c>
      <c r="S1176" s="2393">
        <f t="shared" si="81"/>
        <v>4358.49</v>
      </c>
      <c r="T1176" s="2394">
        <f>IF(OR(J1176="COP",J1176="EURO",J1176="GBP"),0,IF(J1176="USD",VLOOKUP(R1176,'TRM BanRep'!$A:$G,7,0)))</f>
        <v>4603</v>
      </c>
      <c r="U1176" s="2407">
        <f t="shared" si="82"/>
        <v>134336</v>
      </c>
      <c r="V1176" s="2395" t="str">
        <f t="shared" si="83"/>
        <v>2-GASTO</v>
      </c>
      <c r="X1176">
        <v>5803010300</v>
      </c>
    </row>
    <row r="1177" spans="3:24" hidden="1">
      <c r="C1177">
        <v>2023</v>
      </c>
      <c r="D1177" t="s">
        <v>2194</v>
      </c>
      <c r="F1177">
        <v>1202049905</v>
      </c>
      <c r="G1177" t="s">
        <v>1557</v>
      </c>
      <c r="H1177" t="s">
        <v>2563</v>
      </c>
      <c r="I1177" t="s">
        <v>2645</v>
      </c>
      <c r="J1177" t="s">
        <v>106</v>
      </c>
      <c r="K1177">
        <v>7900005356</v>
      </c>
      <c r="L1177" t="s">
        <v>2563</v>
      </c>
      <c r="M1177" s="1633">
        <v>-4358575576</v>
      </c>
      <c r="N1177">
        <v>1</v>
      </c>
      <c r="O1177">
        <v>50</v>
      </c>
      <c r="P1177" s="1633">
        <v>-4358575576</v>
      </c>
      <c r="Q1177" t="s">
        <v>106</v>
      </c>
      <c r="R1177" s="2392">
        <v>45026</v>
      </c>
      <c r="S1177" s="2393">
        <f t="shared" si="81"/>
        <v>1</v>
      </c>
      <c r="T1177" s="2394">
        <f>IF(OR(J1177="COP",J1177="EURO",J1177="GBP"),0,IF(J1177="USD",VLOOKUP(R1177,'TRM BanRep'!$A:$G,7,0)))</f>
        <v>0</v>
      </c>
      <c r="U1177" s="2395">
        <f t="shared" si="82"/>
        <v>0</v>
      </c>
      <c r="V1177" s="2395" t="str">
        <f t="shared" si="83"/>
        <v/>
      </c>
    </row>
    <row r="1178" spans="3:24">
      <c r="C1178">
        <v>2023</v>
      </c>
      <c r="D1178" t="s">
        <v>2194</v>
      </c>
      <c r="F1178">
        <v>1202049905</v>
      </c>
      <c r="G1178" t="s">
        <v>1557</v>
      </c>
      <c r="H1178" t="s">
        <v>2563</v>
      </c>
      <c r="I1178" t="s">
        <v>2646</v>
      </c>
      <c r="J1178" t="s">
        <v>64</v>
      </c>
      <c r="K1178">
        <v>7900005357</v>
      </c>
      <c r="L1178" t="s">
        <v>2563</v>
      </c>
      <c r="M1178" s="1860">
        <v>950137.57</v>
      </c>
      <c r="N1178" s="1860">
        <v>4587.3100000000004</v>
      </c>
      <c r="O1178">
        <v>40</v>
      </c>
      <c r="P1178" s="1633">
        <v>4358575576</v>
      </c>
      <c r="Q1178" t="s">
        <v>106</v>
      </c>
      <c r="R1178" s="2392">
        <v>45026</v>
      </c>
      <c r="S1178" s="2393">
        <f t="shared" si="81"/>
        <v>4587.3100000000004</v>
      </c>
      <c r="T1178" s="2394">
        <f>IF(OR(J1178="COP",J1178="EURO",J1178="GBP"),0,IF(J1178="USD",VLOOKUP(R1178,'TRM BanRep'!$A:$G,7,0)))</f>
        <v>4570.91</v>
      </c>
      <c r="U1178" s="2399">
        <f t="shared" si="82"/>
        <v>-15582256</v>
      </c>
      <c r="V1178" s="2395" t="str">
        <f t="shared" si="83"/>
        <v>1-INGRESO</v>
      </c>
      <c r="X1178">
        <v>4806010300</v>
      </c>
    </row>
    <row r="1179" spans="3:24" hidden="1">
      <c r="C1179">
        <v>2023</v>
      </c>
      <c r="D1179" t="s">
        <v>2194</v>
      </c>
      <c r="F1179">
        <v>1202049905</v>
      </c>
      <c r="G1179" t="s">
        <v>1557</v>
      </c>
      <c r="H1179" t="s">
        <v>2563</v>
      </c>
      <c r="I1179" t="s">
        <v>2647</v>
      </c>
      <c r="J1179" t="s">
        <v>106</v>
      </c>
      <c r="K1179">
        <v>7900005364</v>
      </c>
      <c r="L1179" t="s">
        <v>2563</v>
      </c>
      <c r="M1179" s="1633">
        <v>-3923163800</v>
      </c>
      <c r="N1179">
        <v>1</v>
      </c>
      <c r="O1179">
        <v>50</v>
      </c>
      <c r="P1179" s="1633">
        <v>-3923163800</v>
      </c>
      <c r="Q1179" t="s">
        <v>106</v>
      </c>
      <c r="R1179" s="2392">
        <v>45026</v>
      </c>
      <c r="S1179" s="2393">
        <f t="shared" si="81"/>
        <v>1</v>
      </c>
      <c r="T1179" s="2394">
        <f>IF(OR(J1179="COP",J1179="EURO",J1179="GBP"),0,IF(J1179="USD",VLOOKUP(R1179,'TRM BanRep'!$A:$G,7,0)))</f>
        <v>0</v>
      </c>
      <c r="U1179" s="2395">
        <f t="shared" si="82"/>
        <v>0</v>
      </c>
      <c r="V1179" s="2395" t="str">
        <f t="shared" si="83"/>
        <v/>
      </c>
    </row>
    <row r="1180" spans="3:24">
      <c r="C1180">
        <v>2023</v>
      </c>
      <c r="D1180" t="s">
        <v>2194</v>
      </c>
      <c r="F1180">
        <v>1202049905</v>
      </c>
      <c r="G1180" t="s">
        <v>1557</v>
      </c>
      <c r="H1180" t="s">
        <v>2563</v>
      </c>
      <c r="I1180" t="s">
        <v>2648</v>
      </c>
      <c r="J1180" t="s">
        <v>64</v>
      </c>
      <c r="K1180">
        <v>7900005365</v>
      </c>
      <c r="L1180" t="s">
        <v>2563</v>
      </c>
      <c r="M1180" s="1860">
        <v>855220.99</v>
      </c>
      <c r="N1180" s="1860">
        <v>4587.3100000000004</v>
      </c>
      <c r="O1180">
        <v>40</v>
      </c>
      <c r="P1180" s="1633">
        <v>3923163800</v>
      </c>
      <c r="Q1180" t="s">
        <v>106</v>
      </c>
      <c r="R1180" s="2392">
        <v>45026</v>
      </c>
      <c r="S1180" s="2393">
        <f t="shared" si="81"/>
        <v>4587.3100000000004</v>
      </c>
      <c r="T1180" s="2394">
        <f>IF(OR(J1180="COP",J1180="EURO",J1180="GBP"),0,IF(J1180="USD",VLOOKUP(R1180,'TRM BanRep'!$A:$G,7,0)))</f>
        <v>4570.91</v>
      </c>
      <c r="U1180" s="2399">
        <f t="shared" si="82"/>
        <v>-14025624</v>
      </c>
      <c r="V1180" s="2395" t="str">
        <f t="shared" si="83"/>
        <v>1-INGRESO</v>
      </c>
      <c r="X1180">
        <v>4806010300</v>
      </c>
    </row>
    <row r="1181" spans="3:24">
      <c r="C1181">
        <v>2023</v>
      </c>
      <c r="D1181" t="s">
        <v>2194</v>
      </c>
      <c r="F1181">
        <v>1202049905</v>
      </c>
      <c r="G1181" t="s">
        <v>1557</v>
      </c>
      <c r="H1181" t="s">
        <v>2564</v>
      </c>
      <c r="I1181" t="s">
        <v>2649</v>
      </c>
      <c r="J1181" t="s">
        <v>64</v>
      </c>
      <c r="K1181">
        <v>7900005606</v>
      </c>
      <c r="L1181" t="s">
        <v>2564</v>
      </c>
      <c r="M1181" s="1860">
        <v>-23716111.969999999</v>
      </c>
      <c r="N1181" s="1860">
        <v>4537</v>
      </c>
      <c r="O1181">
        <v>50</v>
      </c>
      <c r="P1181" s="1633">
        <v>-107600000008</v>
      </c>
      <c r="Q1181" t="s">
        <v>106</v>
      </c>
      <c r="R1181" s="2392">
        <v>45042</v>
      </c>
      <c r="S1181" s="2393">
        <f t="shared" si="81"/>
        <v>4537</v>
      </c>
      <c r="T1181" s="2394">
        <f>IF(OR(J1181="COP",J1181="EURO",J1181="GBP"),0,IF(J1181="USD",VLOOKUP(R1181,'TRM BanRep'!$A:$G,7,0)))</f>
        <v>4486.6000000000004</v>
      </c>
      <c r="U1181" s="2544">
        <f t="shared" si="82"/>
        <v>1195292043</v>
      </c>
      <c r="V1181" s="2395" t="str">
        <f t="shared" si="83"/>
        <v>2-GASTO</v>
      </c>
      <c r="X1181">
        <v>5803010500</v>
      </c>
    </row>
    <row r="1182" spans="3:24" hidden="1">
      <c r="C1182">
        <v>2023</v>
      </c>
      <c r="D1182" t="s">
        <v>2194</v>
      </c>
      <c r="F1182">
        <v>1202049905</v>
      </c>
      <c r="G1182" t="s">
        <v>1557</v>
      </c>
      <c r="H1182" t="s">
        <v>2564</v>
      </c>
      <c r="I1182" t="s">
        <v>2650</v>
      </c>
      <c r="J1182" t="s">
        <v>106</v>
      </c>
      <c r="K1182">
        <v>7900005607</v>
      </c>
      <c r="L1182" t="s">
        <v>2564</v>
      </c>
      <c r="M1182" s="1633">
        <v>107600000008</v>
      </c>
      <c r="N1182">
        <v>1</v>
      </c>
      <c r="O1182">
        <v>40</v>
      </c>
      <c r="P1182" s="1633">
        <v>107600000008</v>
      </c>
      <c r="Q1182" t="s">
        <v>106</v>
      </c>
      <c r="R1182" s="2392">
        <v>45042</v>
      </c>
      <c r="S1182" s="2393">
        <f t="shared" si="81"/>
        <v>1</v>
      </c>
      <c r="T1182" s="2394">
        <f>IF(OR(J1182="COP",J1182="EURO",J1182="GBP"),0,IF(J1182="USD",VLOOKUP(R1182,'TRM BanRep'!$A:$G,7,0)))</f>
        <v>0</v>
      </c>
      <c r="U1182" s="2395">
        <f t="shared" si="82"/>
        <v>0</v>
      </c>
      <c r="V1182" s="2395" t="str">
        <f t="shared" si="83"/>
        <v/>
      </c>
    </row>
    <row r="1183" spans="3:24">
      <c r="C1183">
        <v>2023</v>
      </c>
      <c r="D1183" t="s">
        <v>2194</v>
      </c>
      <c r="F1183">
        <v>1202049905</v>
      </c>
      <c r="G1183" t="s">
        <v>1557</v>
      </c>
      <c r="H1183" t="s">
        <v>2564</v>
      </c>
      <c r="I1183" t="s">
        <v>2651</v>
      </c>
      <c r="J1183" t="s">
        <v>64</v>
      </c>
      <c r="K1183">
        <v>7900005614</v>
      </c>
      <c r="L1183" t="s">
        <v>2564</v>
      </c>
      <c r="M1183" s="1860">
        <v>-7546853</v>
      </c>
      <c r="N1183" s="1860">
        <v>4486.6000000000004</v>
      </c>
      <c r="O1183">
        <v>50</v>
      </c>
      <c r="P1183" s="1633">
        <v>-33859710670</v>
      </c>
      <c r="Q1183" t="s">
        <v>106</v>
      </c>
      <c r="R1183" s="2392">
        <v>45042</v>
      </c>
      <c r="S1183" s="2393">
        <f t="shared" si="81"/>
        <v>4486.6000000000004</v>
      </c>
      <c r="T1183" s="2394">
        <f>IF(OR(J1183="COP",J1183="EURO",J1183="GBP"),0,IF(J1183="USD",VLOOKUP(R1183,'TRM BanRep'!$A:$G,7,0)))</f>
        <v>4486.6000000000004</v>
      </c>
      <c r="U1183" s="2395">
        <f t="shared" si="82"/>
        <v>0</v>
      </c>
      <c r="V1183" s="2395" t="str">
        <f t="shared" si="83"/>
        <v/>
      </c>
    </row>
    <row r="1184" spans="3:24" hidden="1">
      <c r="C1184">
        <v>2023</v>
      </c>
      <c r="D1184" t="s">
        <v>2194</v>
      </c>
      <c r="F1184">
        <v>1202049905</v>
      </c>
      <c r="G1184" t="s">
        <v>1557</v>
      </c>
      <c r="H1184" t="s">
        <v>2564</v>
      </c>
      <c r="I1184" t="s">
        <v>2652</v>
      </c>
      <c r="J1184" t="s">
        <v>106</v>
      </c>
      <c r="K1184">
        <v>7900005615</v>
      </c>
      <c r="L1184" t="s">
        <v>2564</v>
      </c>
      <c r="M1184" s="1633">
        <v>33859710670</v>
      </c>
      <c r="N1184">
        <v>1</v>
      </c>
      <c r="O1184">
        <v>40</v>
      </c>
      <c r="P1184" s="1633">
        <v>33859710670</v>
      </c>
      <c r="Q1184" t="s">
        <v>106</v>
      </c>
      <c r="R1184" s="2392">
        <v>45042</v>
      </c>
      <c r="S1184" s="2393">
        <f t="shared" si="81"/>
        <v>1</v>
      </c>
      <c r="T1184" s="2394">
        <f>IF(OR(J1184="COP",J1184="EURO",J1184="GBP"),0,IF(J1184="USD",VLOOKUP(R1184,'TRM BanRep'!$A:$G,7,0)))</f>
        <v>0</v>
      </c>
      <c r="U1184" s="2395">
        <f t="shared" si="82"/>
        <v>0</v>
      </c>
      <c r="V1184" s="2395" t="str">
        <f t="shared" si="83"/>
        <v/>
      </c>
    </row>
    <row r="1185" spans="3:24" hidden="1">
      <c r="C1185">
        <v>2023</v>
      </c>
      <c r="D1185" t="s">
        <v>2194</v>
      </c>
      <c r="F1185">
        <v>1202049905</v>
      </c>
      <c r="G1185" t="s">
        <v>1557</v>
      </c>
      <c r="H1185" t="s">
        <v>2554</v>
      </c>
      <c r="I1185" t="s">
        <v>2653</v>
      </c>
      <c r="J1185" t="s">
        <v>106</v>
      </c>
      <c r="K1185">
        <v>7900005598</v>
      </c>
      <c r="L1185" t="s">
        <v>2554</v>
      </c>
      <c r="M1185" s="1633">
        <v>-38053335039</v>
      </c>
      <c r="N1185">
        <v>1</v>
      </c>
      <c r="O1185">
        <v>50</v>
      </c>
      <c r="P1185" s="1633">
        <v>-38053335039</v>
      </c>
      <c r="Q1185" t="s">
        <v>106</v>
      </c>
      <c r="R1185" s="2392">
        <v>45044</v>
      </c>
      <c r="S1185" s="2393">
        <f t="shared" si="81"/>
        <v>1</v>
      </c>
      <c r="T1185" s="2394">
        <f>IF(OR(J1185="COP",J1185="EURO",J1185="GBP"),0,IF(J1185="USD",VLOOKUP(R1185,'TRM BanRep'!$A:$G,7,0)))</f>
        <v>0</v>
      </c>
      <c r="U1185" s="2395">
        <f t="shared" si="82"/>
        <v>0</v>
      </c>
      <c r="V1185" s="2395" t="str">
        <f t="shared" si="83"/>
        <v/>
      </c>
    </row>
    <row r="1186" spans="3:24">
      <c r="C1186">
        <v>2023</v>
      </c>
      <c r="D1186" t="s">
        <v>2194</v>
      </c>
      <c r="F1186">
        <v>1202049905</v>
      </c>
      <c r="G1186" t="s">
        <v>1557</v>
      </c>
      <c r="H1186" t="s">
        <v>2554</v>
      </c>
      <c r="I1186" t="s">
        <v>2654</v>
      </c>
      <c r="J1186" t="s">
        <v>64</v>
      </c>
      <c r="K1186">
        <v>7900005599</v>
      </c>
      <c r="L1186" t="s">
        <v>2554</v>
      </c>
      <c r="M1186" s="2546">
        <v>8481552.8499999996</v>
      </c>
      <c r="N1186" s="1860">
        <v>4486.6000000000004</v>
      </c>
      <c r="O1186">
        <v>40</v>
      </c>
      <c r="P1186" s="1633">
        <v>38053335039</v>
      </c>
      <c r="Q1186" t="s">
        <v>106</v>
      </c>
      <c r="R1186" s="2392">
        <v>45044</v>
      </c>
      <c r="S1186" s="2393">
        <f t="shared" si="81"/>
        <v>4486.6000000000004</v>
      </c>
      <c r="T1186" s="2394">
        <f>IF(OR(J1186="COP",J1186="EURO",J1186="GBP"),0,IF(J1186="USD",VLOOKUP(R1186,'TRM BanRep'!$A:$G,7,0)))</f>
        <v>4654.1400000000003</v>
      </c>
      <c r="U1186" s="2407">
        <f t="shared" si="82"/>
        <v>1420999364</v>
      </c>
      <c r="V1186" s="2395" t="str">
        <f t="shared" si="83"/>
        <v>2-GASTO</v>
      </c>
      <c r="X1186">
        <v>5803010300</v>
      </c>
    </row>
    <row r="1187" spans="3:24" hidden="1">
      <c r="C1187">
        <v>2023</v>
      </c>
      <c r="D1187" t="s">
        <v>2194</v>
      </c>
      <c r="F1187">
        <v>2422999997</v>
      </c>
      <c r="G1187" t="s">
        <v>1739</v>
      </c>
      <c r="H1187" t="s">
        <v>2563</v>
      </c>
      <c r="I1187" t="s">
        <v>2054</v>
      </c>
      <c r="J1187" t="s">
        <v>106</v>
      </c>
      <c r="K1187">
        <v>100019778</v>
      </c>
      <c r="L1187" t="s">
        <v>2563</v>
      </c>
      <c r="M1187" s="1633">
        <v>-4358575576</v>
      </c>
      <c r="N1187">
        <v>1</v>
      </c>
      <c r="O1187">
        <v>50</v>
      </c>
      <c r="P1187" s="1633">
        <v>-4358575576</v>
      </c>
      <c r="Q1187" t="s">
        <v>106</v>
      </c>
      <c r="R1187" s="2392">
        <v>45026</v>
      </c>
      <c r="S1187" s="2393">
        <f t="shared" si="81"/>
        <v>1</v>
      </c>
      <c r="T1187" s="2394">
        <f>IF(OR(J1187="COP",J1187="EURO",J1187="GBP"),0,IF(J1187="USD",VLOOKUP(R1187,'TRM BanRep'!$A:$G,7,0)))</f>
        <v>0</v>
      </c>
      <c r="U1187" s="2395">
        <f t="shared" si="82"/>
        <v>0</v>
      </c>
      <c r="V1187" s="2395" t="str">
        <f t="shared" si="83"/>
        <v/>
      </c>
    </row>
    <row r="1188" spans="3:24" hidden="1">
      <c r="C1188">
        <v>2023</v>
      </c>
      <c r="D1188" t="s">
        <v>2194</v>
      </c>
      <c r="F1188">
        <v>2422999997</v>
      </c>
      <c r="G1188" t="s">
        <v>1739</v>
      </c>
      <c r="H1188" t="s">
        <v>2563</v>
      </c>
      <c r="I1188" t="s">
        <v>1962</v>
      </c>
      <c r="J1188" t="s">
        <v>106</v>
      </c>
      <c r="K1188">
        <v>100019779</v>
      </c>
      <c r="L1188" t="s">
        <v>2563</v>
      </c>
      <c r="M1188" s="1633">
        <v>-3923163800</v>
      </c>
      <c r="N1188">
        <v>1</v>
      </c>
      <c r="O1188">
        <v>50</v>
      </c>
      <c r="P1188" s="1633">
        <v>-3923163800</v>
      </c>
      <c r="Q1188" t="s">
        <v>106</v>
      </c>
      <c r="R1188" s="2392">
        <v>45026</v>
      </c>
      <c r="S1188" s="2393">
        <f t="shared" si="81"/>
        <v>1</v>
      </c>
      <c r="T1188" s="2394">
        <f>IF(OR(J1188="COP",J1188="EURO",J1188="GBP"),0,IF(J1188="USD",VLOOKUP(R1188,'TRM BanRep'!$A:$G,7,0)))</f>
        <v>0</v>
      </c>
      <c r="U1188" s="2395">
        <f t="shared" si="82"/>
        <v>0</v>
      </c>
      <c r="V1188" s="2395" t="str">
        <f t="shared" si="83"/>
        <v/>
      </c>
    </row>
    <row r="1189" spans="3:24" hidden="1">
      <c r="C1189">
        <v>2023</v>
      </c>
      <c r="D1189" t="s">
        <v>2194</v>
      </c>
      <c r="F1189">
        <v>2422999997</v>
      </c>
      <c r="G1189" t="s">
        <v>1785</v>
      </c>
      <c r="H1189" t="s">
        <v>2563</v>
      </c>
      <c r="I1189" t="s">
        <v>2655</v>
      </c>
      <c r="J1189" t="s">
        <v>106</v>
      </c>
      <c r="K1189">
        <v>100022061</v>
      </c>
      <c r="L1189" t="s">
        <v>2563</v>
      </c>
      <c r="M1189" s="1633">
        <v>8281739376</v>
      </c>
      <c r="N1189">
        <v>1</v>
      </c>
      <c r="O1189">
        <v>40</v>
      </c>
      <c r="P1189" s="1633">
        <v>8281739376</v>
      </c>
      <c r="Q1189" t="s">
        <v>106</v>
      </c>
      <c r="R1189" s="2392">
        <v>45026</v>
      </c>
      <c r="S1189" s="2393">
        <f t="shared" si="81"/>
        <v>1</v>
      </c>
      <c r="T1189" s="2394">
        <f>IF(OR(J1189="COP",J1189="EURO",J1189="GBP"),0,IF(J1189="USD",VLOOKUP(R1189,'TRM BanRep'!$A:$G,7,0)))</f>
        <v>0</v>
      </c>
      <c r="U1189" s="2395">
        <f t="shared" si="82"/>
        <v>0</v>
      </c>
      <c r="V1189" s="2395" t="str">
        <f t="shared" si="83"/>
        <v/>
      </c>
    </row>
    <row r="1190" spans="3:24" hidden="1">
      <c r="C1190">
        <v>2023</v>
      </c>
      <c r="D1190" t="s">
        <v>2194</v>
      </c>
      <c r="F1190">
        <v>2422999997</v>
      </c>
      <c r="G1190" t="s">
        <v>1602</v>
      </c>
      <c r="H1190" t="s">
        <v>2568</v>
      </c>
      <c r="I1190" t="s">
        <v>2656</v>
      </c>
      <c r="J1190" t="s">
        <v>106</v>
      </c>
      <c r="K1190">
        <v>7900005500</v>
      </c>
      <c r="L1190" t="s">
        <v>2568</v>
      </c>
      <c r="M1190" s="1633">
        <v>-40931951263</v>
      </c>
      <c r="N1190">
        <v>1</v>
      </c>
      <c r="O1190">
        <v>50</v>
      </c>
      <c r="P1190" s="1633">
        <v>-40931951263</v>
      </c>
      <c r="Q1190" t="s">
        <v>106</v>
      </c>
      <c r="R1190" s="2392">
        <v>45020</v>
      </c>
      <c r="S1190" s="2393">
        <f t="shared" si="81"/>
        <v>1</v>
      </c>
      <c r="T1190" s="2394">
        <f>IF(OR(J1190="COP",J1190="EURO",J1190="GBP"),0,IF(J1190="USD",VLOOKUP(R1190,'TRM BanRep'!$A:$G,7,0)))</f>
        <v>0</v>
      </c>
      <c r="U1190" s="2395">
        <f t="shared" si="82"/>
        <v>0</v>
      </c>
      <c r="V1190" s="2395" t="str">
        <f t="shared" si="83"/>
        <v/>
      </c>
    </row>
    <row r="1191" spans="3:24" hidden="1">
      <c r="C1191">
        <v>2023</v>
      </c>
      <c r="D1191" t="s">
        <v>2194</v>
      </c>
      <c r="F1191">
        <v>2422999997</v>
      </c>
      <c r="G1191" t="s">
        <v>1602</v>
      </c>
      <c r="H1191" t="s">
        <v>2564</v>
      </c>
      <c r="I1191" t="s">
        <v>2657</v>
      </c>
      <c r="J1191" t="s">
        <v>106</v>
      </c>
      <c r="K1191">
        <v>7900005623</v>
      </c>
      <c r="L1191" t="s">
        <v>2564</v>
      </c>
      <c r="M1191" s="1633">
        <v>-36011393929</v>
      </c>
      <c r="N1191">
        <v>1</v>
      </c>
      <c r="O1191">
        <v>50</v>
      </c>
      <c r="P1191" s="1633">
        <v>-36011393929</v>
      </c>
      <c r="Q1191" t="s">
        <v>106</v>
      </c>
      <c r="R1191" s="2392">
        <v>45042</v>
      </c>
      <c r="S1191" s="2393">
        <f t="shared" si="81"/>
        <v>1</v>
      </c>
      <c r="T1191" s="2394">
        <f>IF(OR(J1191="COP",J1191="EURO",J1191="GBP"),0,IF(J1191="USD",VLOOKUP(R1191,'TRM BanRep'!$A:$G,7,0)))</f>
        <v>0</v>
      </c>
      <c r="U1191" s="2395">
        <f t="shared" si="82"/>
        <v>0</v>
      </c>
      <c r="V1191" s="2395" t="str">
        <f t="shared" si="83"/>
        <v/>
      </c>
    </row>
    <row r="1192" spans="3:24" hidden="1">
      <c r="C1192">
        <v>2023</v>
      </c>
      <c r="D1192" t="s">
        <v>2194</v>
      </c>
      <c r="F1192">
        <v>2422999997</v>
      </c>
      <c r="G1192" t="s">
        <v>1606</v>
      </c>
      <c r="H1192" t="s">
        <v>2563</v>
      </c>
      <c r="I1192" t="s">
        <v>2057</v>
      </c>
      <c r="J1192" t="s">
        <v>106</v>
      </c>
      <c r="K1192">
        <v>7900005341</v>
      </c>
      <c r="L1192" t="s">
        <v>2563</v>
      </c>
      <c r="M1192" s="1633">
        <v>-11906812837</v>
      </c>
      <c r="N1192">
        <v>1</v>
      </c>
      <c r="O1192">
        <v>50</v>
      </c>
      <c r="P1192" s="1633">
        <v>-11906812837</v>
      </c>
      <c r="Q1192" t="s">
        <v>106</v>
      </c>
      <c r="R1192" s="2392">
        <v>45026</v>
      </c>
      <c r="S1192" s="2393">
        <f t="shared" si="81"/>
        <v>1</v>
      </c>
      <c r="T1192" s="2394">
        <f>IF(OR(J1192="COP",J1192="EURO",J1192="GBP"),0,IF(J1192="USD",VLOOKUP(R1192,'TRM BanRep'!$A:$G,7,0)))</f>
        <v>0</v>
      </c>
      <c r="U1192" s="2395">
        <f t="shared" si="82"/>
        <v>0</v>
      </c>
      <c r="V1192" s="2395" t="str">
        <f t="shared" si="83"/>
        <v/>
      </c>
    </row>
    <row r="1193" spans="3:24" hidden="1">
      <c r="C1193">
        <v>2023</v>
      </c>
      <c r="D1193" t="s">
        <v>2194</v>
      </c>
      <c r="F1193">
        <v>2422999997</v>
      </c>
      <c r="G1193" t="s">
        <v>1606</v>
      </c>
      <c r="H1193" t="s">
        <v>2562</v>
      </c>
      <c r="I1193" t="s">
        <v>2058</v>
      </c>
      <c r="J1193" t="s">
        <v>106</v>
      </c>
      <c r="K1193">
        <v>7900005317</v>
      </c>
      <c r="L1193" t="s">
        <v>2562</v>
      </c>
      <c r="M1193" s="1633">
        <v>-3162725135</v>
      </c>
      <c r="N1193">
        <v>1</v>
      </c>
      <c r="O1193">
        <v>50</v>
      </c>
      <c r="P1193" s="1633">
        <v>-3162725135</v>
      </c>
      <c r="Q1193" t="s">
        <v>106</v>
      </c>
      <c r="R1193" s="2392">
        <v>45027</v>
      </c>
      <c r="S1193" s="2393">
        <f t="shared" si="81"/>
        <v>1</v>
      </c>
      <c r="T1193" s="2394">
        <f>IF(OR(J1193="COP",J1193="EURO",J1193="GBP"),0,IF(J1193="USD",VLOOKUP(R1193,'TRM BanRep'!$A:$G,7,0)))</f>
        <v>0</v>
      </c>
      <c r="U1193" s="2395">
        <f t="shared" si="82"/>
        <v>0</v>
      </c>
      <c r="V1193" s="2395" t="str">
        <f t="shared" si="83"/>
        <v/>
      </c>
    </row>
    <row r="1194" spans="3:24" hidden="1">
      <c r="C1194">
        <v>2023</v>
      </c>
      <c r="D1194" t="s">
        <v>2194</v>
      </c>
      <c r="F1194">
        <v>2422999997</v>
      </c>
      <c r="G1194" t="s">
        <v>1606</v>
      </c>
      <c r="H1194" t="s">
        <v>2562</v>
      </c>
      <c r="I1194" t="s">
        <v>2059</v>
      </c>
      <c r="J1194" t="s">
        <v>106</v>
      </c>
      <c r="K1194">
        <v>7900005325</v>
      </c>
      <c r="L1194" t="s">
        <v>2562</v>
      </c>
      <c r="M1194" s="1633">
        <v>-1739498824</v>
      </c>
      <c r="N1194">
        <v>1</v>
      </c>
      <c r="O1194">
        <v>50</v>
      </c>
      <c r="P1194" s="1633">
        <v>-1739498824</v>
      </c>
      <c r="Q1194" t="s">
        <v>106</v>
      </c>
      <c r="R1194" s="2392">
        <v>45027</v>
      </c>
      <c r="S1194" s="2393">
        <f t="shared" si="81"/>
        <v>1</v>
      </c>
      <c r="T1194" s="2394">
        <f>IF(OR(J1194="COP",J1194="EURO",J1194="GBP"),0,IF(J1194="USD",VLOOKUP(R1194,'TRM BanRep'!$A:$G,7,0)))</f>
        <v>0</v>
      </c>
      <c r="U1194" s="2395">
        <f t="shared" si="82"/>
        <v>0</v>
      </c>
      <c r="V1194" s="2395" t="str">
        <f t="shared" si="83"/>
        <v/>
      </c>
    </row>
    <row r="1195" spans="3:24" hidden="1">
      <c r="C1195">
        <v>2023</v>
      </c>
      <c r="D1195" t="s">
        <v>2194</v>
      </c>
      <c r="F1195">
        <v>2422999997</v>
      </c>
      <c r="G1195" t="s">
        <v>1606</v>
      </c>
      <c r="H1195" t="s">
        <v>2569</v>
      </c>
      <c r="I1195" t="s">
        <v>1793</v>
      </c>
      <c r="J1195" t="s">
        <v>106</v>
      </c>
      <c r="K1195">
        <v>7900005333</v>
      </c>
      <c r="L1195" t="s">
        <v>2569</v>
      </c>
      <c r="M1195" s="1633">
        <v>-4568380000</v>
      </c>
      <c r="N1195">
        <v>1</v>
      </c>
      <c r="O1195">
        <v>50</v>
      </c>
      <c r="P1195" s="1633">
        <v>-4568380000</v>
      </c>
      <c r="Q1195" t="s">
        <v>106</v>
      </c>
      <c r="R1195" s="2392">
        <v>45029</v>
      </c>
      <c r="S1195" s="2393">
        <f t="shared" si="81"/>
        <v>1</v>
      </c>
      <c r="T1195" s="2394">
        <f>IF(OR(J1195="COP",J1195="EURO",J1195="GBP"),0,IF(J1195="USD",VLOOKUP(R1195,'TRM BanRep'!$A:$G,7,0)))</f>
        <v>0</v>
      </c>
      <c r="U1195" s="2395">
        <f t="shared" si="82"/>
        <v>0</v>
      </c>
      <c r="V1195" s="2395" t="str">
        <f t="shared" si="83"/>
        <v/>
      </c>
    </row>
    <row r="1196" spans="3:24" hidden="1">
      <c r="C1196">
        <v>2023</v>
      </c>
      <c r="D1196" t="s">
        <v>2194</v>
      </c>
      <c r="F1196">
        <v>2422999997</v>
      </c>
      <c r="G1196" t="s">
        <v>1557</v>
      </c>
      <c r="H1196" t="s">
        <v>2568</v>
      </c>
      <c r="I1196" t="s">
        <v>2642</v>
      </c>
      <c r="J1196" t="s">
        <v>106</v>
      </c>
      <c r="K1196">
        <v>7900005519</v>
      </c>
      <c r="L1196" t="s">
        <v>2568</v>
      </c>
      <c r="M1196" s="1633">
        <v>-17256895920</v>
      </c>
      <c r="N1196">
        <v>1</v>
      </c>
      <c r="O1196">
        <v>50</v>
      </c>
      <c r="P1196" s="1633">
        <v>-17256895920</v>
      </c>
      <c r="Q1196" t="s">
        <v>106</v>
      </c>
      <c r="R1196" s="2392">
        <v>45020</v>
      </c>
      <c r="S1196" s="2393">
        <f t="shared" si="81"/>
        <v>1</v>
      </c>
      <c r="T1196" s="2394">
        <f>IF(OR(J1196="COP",J1196="EURO",J1196="GBP"),0,IF(J1196="USD",VLOOKUP(R1196,'TRM BanRep'!$A:$G,7,0)))</f>
        <v>0</v>
      </c>
      <c r="U1196" s="2395">
        <f t="shared" si="82"/>
        <v>0</v>
      </c>
      <c r="V1196" s="2395" t="str">
        <f t="shared" si="83"/>
        <v/>
      </c>
    </row>
    <row r="1197" spans="3:24" hidden="1">
      <c r="C1197">
        <v>2023</v>
      </c>
      <c r="D1197" t="s">
        <v>2194</v>
      </c>
      <c r="F1197">
        <v>2422999997</v>
      </c>
      <c r="G1197" t="s">
        <v>1557</v>
      </c>
      <c r="H1197" t="s">
        <v>2563</v>
      </c>
      <c r="I1197" t="s">
        <v>2646</v>
      </c>
      <c r="J1197" t="s">
        <v>64</v>
      </c>
      <c r="K1197">
        <v>7900005357</v>
      </c>
      <c r="L1197" t="s">
        <v>2563</v>
      </c>
      <c r="M1197" s="1860">
        <v>-950137.57</v>
      </c>
      <c r="N1197" s="1860">
        <v>4587.3100000000004</v>
      </c>
      <c r="O1197">
        <v>50</v>
      </c>
      <c r="P1197" s="1633">
        <v>-4358575576</v>
      </c>
      <c r="Q1197" t="s">
        <v>106</v>
      </c>
      <c r="R1197" s="2392">
        <v>45026</v>
      </c>
      <c r="S1197" s="2393">
        <f t="shared" si="81"/>
        <v>4587.3100000000004</v>
      </c>
      <c r="T1197" s="2394">
        <f>IF(OR(J1197="COP",J1197="EURO",J1197="GBP"),0,IF(J1197="USD",VLOOKUP(R1197,'TRM BanRep'!$A:$G,7,0)))</f>
        <v>4570.91</v>
      </c>
      <c r="U1197" s="2395">
        <f t="shared" si="82"/>
        <v>-15582256</v>
      </c>
      <c r="V1197" s="2395" t="str">
        <f t="shared" si="83"/>
        <v>1-INGRESO</v>
      </c>
    </row>
    <row r="1198" spans="3:24" hidden="1">
      <c r="C1198">
        <v>2023</v>
      </c>
      <c r="D1198" t="s">
        <v>2194</v>
      </c>
      <c r="F1198">
        <v>2422999997</v>
      </c>
      <c r="G1198" t="s">
        <v>1557</v>
      </c>
      <c r="H1198" t="s">
        <v>2563</v>
      </c>
      <c r="I1198" t="s">
        <v>2648</v>
      </c>
      <c r="J1198" t="s">
        <v>64</v>
      </c>
      <c r="K1198">
        <v>7900005365</v>
      </c>
      <c r="L1198" t="s">
        <v>2563</v>
      </c>
      <c r="M1198" s="1860">
        <v>-855220.99</v>
      </c>
      <c r="N1198" s="1860">
        <v>4587.3100000000004</v>
      </c>
      <c r="O1198">
        <v>50</v>
      </c>
      <c r="P1198" s="1633">
        <v>-3923163800</v>
      </c>
      <c r="Q1198" t="s">
        <v>106</v>
      </c>
      <c r="R1198" s="2392">
        <v>45026</v>
      </c>
      <c r="S1198" s="2393">
        <f t="shared" si="81"/>
        <v>4587.3100000000004</v>
      </c>
      <c r="T1198" s="2394">
        <f>IF(OR(J1198="COP",J1198="EURO",J1198="GBP"),0,IF(J1198="USD",VLOOKUP(R1198,'TRM BanRep'!$A:$G,7,0)))</f>
        <v>4570.91</v>
      </c>
      <c r="U1198" s="2395">
        <f t="shared" si="82"/>
        <v>-14025624</v>
      </c>
      <c r="V1198" s="2395" t="str">
        <f t="shared" si="83"/>
        <v>1-INGRESO</v>
      </c>
    </row>
    <row r="1199" spans="3:24" hidden="1">
      <c r="C1199">
        <v>2023</v>
      </c>
      <c r="D1199" t="s">
        <v>2194</v>
      </c>
      <c r="F1199">
        <v>2422999997</v>
      </c>
      <c r="G1199" t="s">
        <v>1557</v>
      </c>
      <c r="H1199" t="s">
        <v>2564</v>
      </c>
      <c r="I1199" t="s">
        <v>2650</v>
      </c>
      <c r="J1199" t="s">
        <v>106</v>
      </c>
      <c r="K1199">
        <v>7900005607</v>
      </c>
      <c r="L1199" t="s">
        <v>2564</v>
      </c>
      <c r="M1199" s="1633">
        <v>-107600000008</v>
      </c>
      <c r="N1199">
        <v>1</v>
      </c>
      <c r="O1199">
        <v>50</v>
      </c>
      <c r="P1199" s="1633">
        <v>-107600000008</v>
      </c>
      <c r="Q1199" t="s">
        <v>106</v>
      </c>
      <c r="R1199" s="2392">
        <v>45042</v>
      </c>
      <c r="S1199" s="2393">
        <f t="shared" si="81"/>
        <v>1</v>
      </c>
      <c r="T1199" s="2394">
        <f>IF(OR(J1199="COP",J1199="EURO",J1199="GBP"),0,IF(J1199="USD",VLOOKUP(R1199,'TRM BanRep'!$A:$G,7,0)))</f>
        <v>0</v>
      </c>
      <c r="U1199" s="2395">
        <f t="shared" si="82"/>
        <v>0</v>
      </c>
      <c r="V1199" s="2395" t="str">
        <f t="shared" si="83"/>
        <v/>
      </c>
    </row>
    <row r="1200" spans="3:24" hidden="1">
      <c r="C1200">
        <v>2023</v>
      </c>
      <c r="D1200" t="s">
        <v>2194</v>
      </c>
      <c r="F1200">
        <v>2422999997</v>
      </c>
      <c r="G1200" t="s">
        <v>1557</v>
      </c>
      <c r="H1200" t="s">
        <v>2554</v>
      </c>
      <c r="I1200" t="s">
        <v>2654</v>
      </c>
      <c r="J1200" t="s">
        <v>64</v>
      </c>
      <c r="K1200">
        <v>7900005599</v>
      </c>
      <c r="L1200" t="s">
        <v>2554</v>
      </c>
      <c r="M1200" s="1860">
        <v>-8481552.8499999996</v>
      </c>
      <c r="N1200" s="1860">
        <v>4486.6000000000004</v>
      </c>
      <c r="O1200">
        <v>50</v>
      </c>
      <c r="P1200" s="1633">
        <v>-38053335039</v>
      </c>
      <c r="Q1200" t="s">
        <v>106</v>
      </c>
      <c r="R1200" s="2392">
        <v>45044</v>
      </c>
      <c r="S1200" s="2393">
        <f t="shared" si="81"/>
        <v>4486.6000000000004</v>
      </c>
      <c r="T1200" s="2394">
        <f>IF(OR(J1200="COP",J1200="EURO",J1200="GBP"),0,IF(J1200="USD",VLOOKUP(R1200,'TRM BanRep'!$A:$G,7,0)))</f>
        <v>4654.1400000000003</v>
      </c>
      <c r="U1200" s="2395">
        <f t="shared" si="82"/>
        <v>1420999364</v>
      </c>
      <c r="V1200" s="2395" t="str">
        <f t="shared" si="83"/>
        <v>2-GASTO</v>
      </c>
    </row>
    <row r="1201" spans="3:22" hidden="1">
      <c r="C1201">
        <v>2023</v>
      </c>
      <c r="D1201" t="s">
        <v>2194</v>
      </c>
      <c r="F1201">
        <v>2422999997</v>
      </c>
      <c r="G1201" t="s">
        <v>1608</v>
      </c>
      <c r="H1201" t="s">
        <v>2568</v>
      </c>
      <c r="J1201" t="s">
        <v>106</v>
      </c>
      <c r="K1201">
        <v>2000003433</v>
      </c>
      <c r="L1201" t="s">
        <v>2568</v>
      </c>
      <c r="M1201" s="1633">
        <v>40931951263</v>
      </c>
      <c r="N1201">
        <v>1</v>
      </c>
      <c r="O1201">
        <v>40</v>
      </c>
      <c r="P1201" s="1633">
        <v>40931951263</v>
      </c>
      <c r="Q1201" t="s">
        <v>106</v>
      </c>
      <c r="R1201" s="2392">
        <v>45020</v>
      </c>
      <c r="S1201" s="2393">
        <f t="shared" si="81"/>
        <v>1</v>
      </c>
      <c r="T1201" s="2394">
        <f>IF(OR(J1201="COP",J1201="EURO",J1201="GBP"),0,IF(J1201="USD",VLOOKUP(R1201,'TRM BanRep'!$A:$G,7,0)))</f>
        <v>0</v>
      </c>
      <c r="U1201" s="2395">
        <f t="shared" si="82"/>
        <v>0</v>
      </c>
      <c r="V1201" s="2395" t="str">
        <f t="shared" si="83"/>
        <v/>
      </c>
    </row>
    <row r="1202" spans="3:22" hidden="1">
      <c r="C1202">
        <v>2023</v>
      </c>
      <c r="D1202" t="s">
        <v>2194</v>
      </c>
      <c r="F1202">
        <v>2422999997</v>
      </c>
      <c r="G1202" t="s">
        <v>1608</v>
      </c>
      <c r="H1202" t="s">
        <v>2568</v>
      </c>
      <c r="J1202" t="s">
        <v>106</v>
      </c>
      <c r="K1202">
        <v>2000003579</v>
      </c>
      <c r="L1202" t="s">
        <v>2568</v>
      </c>
      <c r="M1202" s="1633">
        <v>17256895920</v>
      </c>
      <c r="N1202">
        <v>1</v>
      </c>
      <c r="O1202">
        <v>40</v>
      </c>
      <c r="P1202" s="1633">
        <v>17256895920</v>
      </c>
      <c r="Q1202" t="s">
        <v>106</v>
      </c>
      <c r="R1202" s="2392">
        <v>45020</v>
      </c>
      <c r="S1202" s="2393">
        <f t="shared" si="81"/>
        <v>1</v>
      </c>
      <c r="T1202" s="2394">
        <f>IF(OR(J1202="COP",J1202="EURO",J1202="GBP"),0,IF(J1202="USD",VLOOKUP(R1202,'TRM BanRep'!$A:$G,7,0)))</f>
        <v>0</v>
      </c>
      <c r="U1202" s="2395">
        <f t="shared" si="82"/>
        <v>0</v>
      </c>
      <c r="V1202" s="2395" t="str">
        <f t="shared" si="83"/>
        <v/>
      </c>
    </row>
    <row r="1203" spans="3:22" hidden="1">
      <c r="C1203">
        <v>2023</v>
      </c>
      <c r="D1203" t="s">
        <v>2194</v>
      </c>
      <c r="F1203">
        <v>2422999997</v>
      </c>
      <c r="G1203" t="s">
        <v>1608</v>
      </c>
      <c r="H1203" t="s">
        <v>2563</v>
      </c>
      <c r="J1203" t="s">
        <v>106</v>
      </c>
      <c r="K1203">
        <v>2000002975</v>
      </c>
      <c r="L1203" t="s">
        <v>2563</v>
      </c>
      <c r="M1203" s="1633">
        <v>23861305618</v>
      </c>
      <c r="N1203">
        <v>1</v>
      </c>
      <c r="O1203">
        <v>40</v>
      </c>
      <c r="P1203" s="1633">
        <v>23861305618</v>
      </c>
      <c r="Q1203" t="s">
        <v>106</v>
      </c>
      <c r="R1203" s="2392">
        <v>45026</v>
      </c>
      <c r="S1203" s="2393">
        <f t="shared" si="81"/>
        <v>1</v>
      </c>
      <c r="T1203" s="2394">
        <f>IF(OR(J1203="COP",J1203="EURO",J1203="GBP"),0,IF(J1203="USD",VLOOKUP(R1203,'TRM BanRep'!$A:$G,7,0)))</f>
        <v>0</v>
      </c>
      <c r="U1203" s="2395">
        <f t="shared" si="82"/>
        <v>0</v>
      </c>
      <c r="V1203" s="2395" t="str">
        <f t="shared" si="83"/>
        <v/>
      </c>
    </row>
    <row r="1204" spans="3:22" hidden="1">
      <c r="C1204">
        <v>2023</v>
      </c>
      <c r="D1204" t="s">
        <v>2194</v>
      </c>
      <c r="F1204">
        <v>2422999997</v>
      </c>
      <c r="G1204" t="s">
        <v>1608</v>
      </c>
      <c r="H1204" t="s">
        <v>2563</v>
      </c>
      <c r="J1204" t="s">
        <v>64</v>
      </c>
      <c r="K1204">
        <v>2000003024</v>
      </c>
      <c r="L1204" t="s">
        <v>2563</v>
      </c>
      <c r="M1204" s="1860">
        <v>2006114.48</v>
      </c>
      <c r="N1204" s="1860">
        <v>4570.91</v>
      </c>
      <c r="O1204">
        <v>40</v>
      </c>
      <c r="P1204" s="1633">
        <v>9169768738</v>
      </c>
      <c r="Q1204" t="s">
        <v>106</v>
      </c>
      <c r="R1204" s="2392">
        <v>45026</v>
      </c>
      <c r="S1204" s="2393">
        <f t="shared" si="81"/>
        <v>4570.91</v>
      </c>
      <c r="T1204" s="2394">
        <f>IF(OR(J1204="COP",J1204="EURO",J1204="GBP"),0,IF(J1204="USD",VLOOKUP(R1204,'TRM BanRep'!$A:$G,7,0)))</f>
        <v>4570.91</v>
      </c>
      <c r="U1204" s="2395">
        <f t="shared" si="82"/>
        <v>0</v>
      </c>
      <c r="V1204" s="2395" t="str">
        <f t="shared" si="83"/>
        <v/>
      </c>
    </row>
    <row r="1205" spans="3:22" hidden="1">
      <c r="C1205">
        <v>2023</v>
      </c>
      <c r="D1205" t="s">
        <v>2194</v>
      </c>
      <c r="F1205">
        <v>2422999997</v>
      </c>
      <c r="G1205" t="s">
        <v>1608</v>
      </c>
      <c r="H1205" t="s">
        <v>2563</v>
      </c>
      <c r="J1205" t="s">
        <v>64</v>
      </c>
      <c r="K1205">
        <v>2000003033</v>
      </c>
      <c r="L1205" t="s">
        <v>2563</v>
      </c>
      <c r="M1205" s="1860">
        <v>1805358.56</v>
      </c>
      <c r="N1205" s="1860">
        <v>4587.3100000000004</v>
      </c>
      <c r="O1205">
        <v>40</v>
      </c>
      <c r="P1205" s="1633">
        <v>8281739376</v>
      </c>
      <c r="Q1205" t="s">
        <v>106</v>
      </c>
      <c r="R1205" s="2392">
        <v>45026</v>
      </c>
      <c r="S1205" s="2393">
        <f t="shared" si="81"/>
        <v>4587.3100000000004</v>
      </c>
      <c r="T1205" s="2394">
        <f>IF(OR(J1205="COP",J1205="EURO",J1205="GBP"),0,IF(J1205="USD",VLOOKUP(R1205,'TRM BanRep'!$A:$G,7,0)))</f>
        <v>4570.91</v>
      </c>
      <c r="U1205" s="2395">
        <f t="shared" si="82"/>
        <v>29607880</v>
      </c>
      <c r="V1205" s="2395" t="str">
        <f t="shared" si="83"/>
        <v>2-GASTO</v>
      </c>
    </row>
    <row r="1206" spans="3:22" hidden="1">
      <c r="C1206">
        <v>2023</v>
      </c>
      <c r="D1206" t="s">
        <v>2194</v>
      </c>
      <c r="F1206">
        <v>2422999997</v>
      </c>
      <c r="G1206" t="s">
        <v>1608</v>
      </c>
      <c r="H1206" t="s">
        <v>2562</v>
      </c>
      <c r="J1206" t="s">
        <v>106</v>
      </c>
      <c r="K1206">
        <v>2000003034</v>
      </c>
      <c r="L1206" t="s">
        <v>2562</v>
      </c>
      <c r="M1206" s="1633">
        <v>6205021604</v>
      </c>
      <c r="N1206">
        <v>1</v>
      </c>
      <c r="O1206">
        <v>40</v>
      </c>
      <c r="P1206" s="1633">
        <v>6205021604</v>
      </c>
      <c r="Q1206" t="s">
        <v>106</v>
      </c>
      <c r="R1206" s="2392">
        <v>45027</v>
      </c>
      <c r="S1206" s="2393">
        <f t="shared" si="81"/>
        <v>1</v>
      </c>
      <c r="T1206" s="2394">
        <f>IF(OR(J1206="COP",J1206="EURO",J1206="GBP"),0,IF(J1206="USD",VLOOKUP(R1206,'TRM BanRep'!$A:$G,7,0)))</f>
        <v>0</v>
      </c>
      <c r="U1206" s="2395">
        <f t="shared" si="82"/>
        <v>0</v>
      </c>
      <c r="V1206" s="2395" t="str">
        <f t="shared" si="83"/>
        <v/>
      </c>
    </row>
    <row r="1207" spans="3:22" hidden="1">
      <c r="C1207">
        <v>2023</v>
      </c>
      <c r="D1207" t="s">
        <v>2194</v>
      </c>
      <c r="F1207">
        <v>2422999997</v>
      </c>
      <c r="G1207" t="s">
        <v>1608</v>
      </c>
      <c r="H1207" t="s">
        <v>2562</v>
      </c>
      <c r="J1207" t="s">
        <v>106</v>
      </c>
      <c r="K1207">
        <v>2000003035</v>
      </c>
      <c r="L1207" t="s">
        <v>2562</v>
      </c>
      <c r="M1207" s="1633">
        <v>3412761882</v>
      </c>
      <c r="N1207">
        <v>1</v>
      </c>
      <c r="O1207">
        <v>40</v>
      </c>
      <c r="P1207" s="1633">
        <v>3412761882</v>
      </c>
      <c r="Q1207" t="s">
        <v>106</v>
      </c>
      <c r="R1207" s="2392">
        <v>45027</v>
      </c>
      <c r="S1207" s="2393">
        <f t="shared" si="81"/>
        <v>1</v>
      </c>
      <c r="T1207" s="2394">
        <f>IF(OR(J1207="COP",J1207="EURO",J1207="GBP"),0,IF(J1207="USD",VLOOKUP(R1207,'TRM BanRep'!$A:$G,7,0)))</f>
        <v>0</v>
      </c>
      <c r="U1207" s="2395">
        <f t="shared" si="82"/>
        <v>0</v>
      </c>
      <c r="V1207" s="2395" t="str">
        <f t="shared" si="83"/>
        <v/>
      </c>
    </row>
    <row r="1208" spans="3:22" hidden="1">
      <c r="C1208">
        <v>2023</v>
      </c>
      <c r="D1208" t="s">
        <v>2194</v>
      </c>
      <c r="F1208">
        <v>2422999997</v>
      </c>
      <c r="G1208" t="s">
        <v>1608</v>
      </c>
      <c r="H1208" t="s">
        <v>2569</v>
      </c>
      <c r="J1208" t="s">
        <v>106</v>
      </c>
      <c r="K1208">
        <v>2000003098</v>
      </c>
      <c r="L1208" t="s">
        <v>2569</v>
      </c>
      <c r="M1208" s="1633">
        <v>7120277739</v>
      </c>
      <c r="N1208">
        <v>1</v>
      </c>
      <c r="O1208">
        <v>40</v>
      </c>
      <c r="P1208" s="1633">
        <v>7120277739</v>
      </c>
      <c r="Q1208" t="s">
        <v>106</v>
      </c>
      <c r="R1208" s="2392">
        <v>45029</v>
      </c>
      <c r="S1208" s="2393">
        <f t="shared" si="81"/>
        <v>1</v>
      </c>
      <c r="T1208" s="2394">
        <f>IF(OR(J1208="COP",J1208="EURO",J1208="GBP"),0,IF(J1208="USD",VLOOKUP(R1208,'TRM BanRep'!$A:$G,7,0)))</f>
        <v>0</v>
      </c>
      <c r="U1208" s="2395">
        <f t="shared" si="82"/>
        <v>0</v>
      </c>
      <c r="V1208" s="2395" t="str">
        <f t="shared" si="83"/>
        <v/>
      </c>
    </row>
    <row r="1209" spans="3:22" hidden="1">
      <c r="C1209">
        <v>2023</v>
      </c>
      <c r="D1209" t="s">
        <v>2194</v>
      </c>
      <c r="F1209">
        <v>2422999997</v>
      </c>
      <c r="G1209" t="s">
        <v>1608</v>
      </c>
      <c r="H1209" t="s">
        <v>2547</v>
      </c>
      <c r="J1209" t="s">
        <v>106</v>
      </c>
      <c r="K1209">
        <v>2000003339</v>
      </c>
      <c r="L1209" t="s">
        <v>2547</v>
      </c>
      <c r="M1209" s="1633">
        <v>19445972814</v>
      </c>
      <c r="N1209">
        <v>1</v>
      </c>
      <c r="O1209">
        <v>40</v>
      </c>
      <c r="P1209" s="1633">
        <v>19445972814</v>
      </c>
      <c r="Q1209" t="s">
        <v>106</v>
      </c>
      <c r="R1209" s="2392">
        <v>45033</v>
      </c>
      <c r="S1209" s="2393">
        <f t="shared" si="81"/>
        <v>1</v>
      </c>
      <c r="T1209" s="2394">
        <f>IF(OR(J1209="COP",J1209="EURO",J1209="GBP"),0,IF(J1209="USD",VLOOKUP(R1209,'TRM BanRep'!$A:$G,7,0)))</f>
        <v>0</v>
      </c>
      <c r="U1209" s="2395">
        <f t="shared" si="82"/>
        <v>0</v>
      </c>
      <c r="V1209" s="2395" t="str">
        <f t="shared" si="83"/>
        <v/>
      </c>
    </row>
    <row r="1210" spans="3:22" hidden="1">
      <c r="C1210">
        <v>2023</v>
      </c>
      <c r="D1210" t="s">
        <v>2194</v>
      </c>
      <c r="F1210">
        <v>2422999997</v>
      </c>
      <c r="G1210" t="s">
        <v>1608</v>
      </c>
      <c r="H1210" t="s">
        <v>2570</v>
      </c>
      <c r="J1210" t="s">
        <v>106</v>
      </c>
      <c r="K1210">
        <v>2000003578</v>
      </c>
      <c r="L1210" t="s">
        <v>2570</v>
      </c>
      <c r="M1210" s="1633">
        <v>14065358904</v>
      </c>
      <c r="N1210">
        <v>1</v>
      </c>
      <c r="O1210">
        <v>40</v>
      </c>
      <c r="P1210" s="1633">
        <v>14065358904</v>
      </c>
      <c r="Q1210" t="s">
        <v>106</v>
      </c>
      <c r="R1210" s="2392">
        <v>45040</v>
      </c>
      <c r="S1210" s="2393">
        <f t="shared" si="81"/>
        <v>1</v>
      </c>
      <c r="T1210" s="2394">
        <f>IF(OR(J1210="COP",J1210="EURO",J1210="GBP"),0,IF(J1210="USD",VLOOKUP(R1210,'TRM BanRep'!$A:$G,7,0)))</f>
        <v>0</v>
      </c>
      <c r="U1210" s="2395">
        <f t="shared" si="82"/>
        <v>0</v>
      </c>
      <c r="V1210" s="2395" t="str">
        <f t="shared" si="83"/>
        <v/>
      </c>
    </row>
    <row r="1211" spans="3:22" hidden="1">
      <c r="C1211">
        <v>2023</v>
      </c>
      <c r="D1211" t="s">
        <v>2194</v>
      </c>
      <c r="F1211">
        <v>2422999997</v>
      </c>
      <c r="G1211" t="s">
        <v>1608</v>
      </c>
      <c r="H1211" t="s">
        <v>2564</v>
      </c>
      <c r="J1211" t="s">
        <v>106</v>
      </c>
      <c r="K1211">
        <v>2000003721</v>
      </c>
      <c r="L1211" t="s">
        <v>2564</v>
      </c>
      <c r="M1211" s="1633">
        <v>107600000008</v>
      </c>
      <c r="N1211">
        <v>1</v>
      </c>
      <c r="O1211">
        <v>40</v>
      </c>
      <c r="P1211" s="1633">
        <v>107600000008</v>
      </c>
      <c r="Q1211" t="s">
        <v>106</v>
      </c>
      <c r="R1211" s="2392">
        <v>45042</v>
      </c>
      <c r="S1211" s="2393">
        <f t="shared" si="81"/>
        <v>1</v>
      </c>
      <c r="T1211" s="2394">
        <f>IF(OR(J1211="COP",J1211="EURO",J1211="GBP"),0,IF(J1211="USD",VLOOKUP(R1211,'TRM BanRep'!$A:$G,7,0)))</f>
        <v>0</v>
      </c>
      <c r="U1211" s="2395">
        <f t="shared" si="82"/>
        <v>0</v>
      </c>
      <c r="V1211" s="2395" t="str">
        <f t="shared" si="83"/>
        <v/>
      </c>
    </row>
    <row r="1212" spans="3:22" hidden="1">
      <c r="C1212">
        <v>2023</v>
      </c>
      <c r="D1212" t="s">
        <v>2194</v>
      </c>
      <c r="F1212">
        <v>2422999997</v>
      </c>
      <c r="G1212" t="s">
        <v>1608</v>
      </c>
      <c r="H1212" t="s">
        <v>2564</v>
      </c>
      <c r="J1212" t="s">
        <v>106</v>
      </c>
      <c r="K1212">
        <v>2000003722</v>
      </c>
      <c r="L1212" t="s">
        <v>2564</v>
      </c>
      <c r="M1212" s="1633">
        <v>36011393929</v>
      </c>
      <c r="N1212">
        <v>1</v>
      </c>
      <c r="O1212">
        <v>40</v>
      </c>
      <c r="P1212" s="1633">
        <v>36011393929</v>
      </c>
      <c r="Q1212" t="s">
        <v>106</v>
      </c>
      <c r="R1212" s="2392">
        <v>45042</v>
      </c>
      <c r="S1212" s="2393">
        <f t="shared" si="81"/>
        <v>1</v>
      </c>
      <c r="T1212" s="2394">
        <f>IF(OR(J1212="COP",J1212="EURO",J1212="GBP"),0,IF(J1212="USD",VLOOKUP(R1212,'TRM BanRep'!$A:$G,7,0)))</f>
        <v>0</v>
      </c>
      <c r="U1212" s="2395">
        <f t="shared" si="82"/>
        <v>0</v>
      </c>
      <c r="V1212" s="2395" t="str">
        <f t="shared" si="83"/>
        <v/>
      </c>
    </row>
    <row r="1213" spans="3:22" hidden="1">
      <c r="C1213">
        <v>2023</v>
      </c>
      <c r="D1213" t="s">
        <v>2194</v>
      </c>
      <c r="F1213">
        <v>2422999997</v>
      </c>
      <c r="G1213" t="s">
        <v>1608</v>
      </c>
      <c r="H1213" t="s">
        <v>2554</v>
      </c>
      <c r="J1213" t="s">
        <v>64</v>
      </c>
      <c r="K1213">
        <v>2000003719</v>
      </c>
      <c r="L1213" t="s">
        <v>2554</v>
      </c>
      <c r="M1213" s="1860">
        <v>8481552.8499999996</v>
      </c>
      <c r="N1213" s="1860">
        <v>4486.6000000000004</v>
      </c>
      <c r="O1213">
        <v>40</v>
      </c>
      <c r="P1213" s="1633">
        <v>38053335039</v>
      </c>
      <c r="Q1213" t="s">
        <v>106</v>
      </c>
      <c r="R1213" s="2392">
        <v>45044</v>
      </c>
      <c r="S1213" s="2393">
        <f t="shared" si="81"/>
        <v>4486.6000000000004</v>
      </c>
      <c r="T1213" s="2394">
        <f>IF(OR(J1213="COP",J1213="EURO",J1213="GBP"),0,IF(J1213="USD",VLOOKUP(R1213,'TRM BanRep'!$A:$G,7,0)))</f>
        <v>4654.1400000000003</v>
      </c>
      <c r="U1213" s="2395">
        <f t="shared" si="82"/>
        <v>-1420999364</v>
      </c>
      <c r="V1213" s="2395" t="str">
        <f t="shared" si="83"/>
        <v>1-INGRESO</v>
      </c>
    </row>
    <row r="1214" spans="3:22" hidden="1">
      <c r="C1214">
        <v>2023</v>
      </c>
      <c r="D1214" t="s">
        <v>2194</v>
      </c>
      <c r="F1214">
        <v>2422999997</v>
      </c>
      <c r="G1214" t="s">
        <v>1609</v>
      </c>
      <c r="H1214" t="s">
        <v>2563</v>
      </c>
      <c r="I1214" t="s">
        <v>1612</v>
      </c>
      <c r="J1214" t="s">
        <v>106</v>
      </c>
      <c r="K1214">
        <v>7900005340</v>
      </c>
      <c r="L1214" t="s">
        <v>2563</v>
      </c>
      <c r="M1214" s="1633">
        <v>-11954492781</v>
      </c>
      <c r="N1214">
        <v>1</v>
      </c>
      <c r="O1214">
        <v>50</v>
      </c>
      <c r="P1214" s="1633">
        <v>-11954492781</v>
      </c>
      <c r="Q1214" t="s">
        <v>106</v>
      </c>
      <c r="R1214" s="2392">
        <v>45026</v>
      </c>
      <c r="S1214" s="2393">
        <f t="shared" si="81"/>
        <v>1</v>
      </c>
      <c r="T1214" s="2394">
        <f>IF(OR(J1214="COP",J1214="EURO",J1214="GBP"),0,IF(J1214="USD",VLOOKUP(R1214,'TRM BanRep'!$A:$G,7,0)))</f>
        <v>0</v>
      </c>
      <c r="U1214" s="2395">
        <f t="shared" si="82"/>
        <v>0</v>
      </c>
      <c r="V1214" s="2395" t="str">
        <f t="shared" si="83"/>
        <v/>
      </c>
    </row>
    <row r="1215" spans="3:22" hidden="1">
      <c r="C1215">
        <v>2023</v>
      </c>
      <c r="D1215" t="s">
        <v>2194</v>
      </c>
      <c r="F1215">
        <v>2422999997</v>
      </c>
      <c r="G1215" t="s">
        <v>1609</v>
      </c>
      <c r="H1215" t="s">
        <v>2563</v>
      </c>
      <c r="I1215" t="s">
        <v>1970</v>
      </c>
      <c r="J1215" t="s">
        <v>64</v>
      </c>
      <c r="K1215">
        <v>7900005348</v>
      </c>
      <c r="L1215" t="s">
        <v>2563</v>
      </c>
      <c r="M1215" s="1860">
        <v>-1155313.23</v>
      </c>
      <c r="N1215" s="1860">
        <v>4570.91</v>
      </c>
      <c r="O1215">
        <v>50</v>
      </c>
      <c r="P1215" s="1633">
        <v>-5280832796</v>
      </c>
      <c r="Q1215" t="s">
        <v>106</v>
      </c>
      <c r="R1215" s="2392">
        <v>45026</v>
      </c>
      <c r="S1215" s="2393">
        <f t="shared" si="81"/>
        <v>4570.91</v>
      </c>
      <c r="T1215" s="2394">
        <f>IF(OR(J1215="COP",J1215="EURO",J1215="GBP"),0,IF(J1215="USD",VLOOKUP(R1215,'TRM BanRep'!$A:$G,7,0)))</f>
        <v>4570.91</v>
      </c>
      <c r="U1215" s="2395">
        <f t="shared" si="82"/>
        <v>0</v>
      </c>
      <c r="V1215" s="2395" t="str">
        <f t="shared" si="83"/>
        <v/>
      </c>
    </row>
    <row r="1216" spans="3:22" hidden="1">
      <c r="C1216">
        <v>2023</v>
      </c>
      <c r="D1216" t="s">
        <v>2194</v>
      </c>
      <c r="F1216">
        <v>2422999997</v>
      </c>
      <c r="G1216" t="s">
        <v>1609</v>
      </c>
      <c r="H1216" t="s">
        <v>2563</v>
      </c>
      <c r="I1216" t="s">
        <v>1969</v>
      </c>
      <c r="J1216" t="s">
        <v>64</v>
      </c>
      <c r="K1216">
        <v>7900005349</v>
      </c>
      <c r="L1216" t="s">
        <v>2563</v>
      </c>
      <c r="M1216" s="1860">
        <v>-850801.25</v>
      </c>
      <c r="N1216" s="1860">
        <v>4570.91</v>
      </c>
      <c r="O1216">
        <v>50</v>
      </c>
      <c r="P1216" s="1633">
        <v>-3888935942</v>
      </c>
      <c r="Q1216" t="s">
        <v>106</v>
      </c>
      <c r="R1216" s="2392">
        <v>45026</v>
      </c>
      <c r="S1216" s="2393">
        <f t="shared" si="81"/>
        <v>4570.91</v>
      </c>
      <c r="T1216" s="2394">
        <f>IF(OR(J1216="COP",J1216="EURO",J1216="GBP"),0,IF(J1216="USD",VLOOKUP(R1216,'TRM BanRep'!$A:$G,7,0)))</f>
        <v>4570.91</v>
      </c>
      <c r="U1216" s="2395">
        <f t="shared" si="82"/>
        <v>0</v>
      </c>
      <c r="V1216" s="2395" t="str">
        <f t="shared" si="83"/>
        <v/>
      </c>
    </row>
    <row r="1217" spans="2:22" hidden="1">
      <c r="C1217">
        <v>2023</v>
      </c>
      <c r="D1217" t="s">
        <v>2194</v>
      </c>
      <c r="F1217">
        <v>2422999997</v>
      </c>
      <c r="G1217" t="s">
        <v>1609</v>
      </c>
      <c r="H1217" t="s">
        <v>2562</v>
      </c>
      <c r="I1217" t="s">
        <v>1613</v>
      </c>
      <c r="J1217" t="s">
        <v>106</v>
      </c>
      <c r="K1217">
        <v>7900005316</v>
      </c>
      <c r="L1217" t="s">
        <v>2562</v>
      </c>
      <c r="M1217" s="1633">
        <v>-3042296469</v>
      </c>
      <c r="N1217">
        <v>1</v>
      </c>
      <c r="O1217">
        <v>50</v>
      </c>
      <c r="P1217" s="1633">
        <v>-3042296469</v>
      </c>
      <c r="Q1217" t="s">
        <v>106</v>
      </c>
      <c r="R1217" s="2392">
        <v>45027</v>
      </c>
      <c r="S1217" s="2393">
        <f t="shared" si="81"/>
        <v>1</v>
      </c>
      <c r="T1217" s="2394">
        <f>IF(OR(J1217="COP",J1217="EURO",J1217="GBP"),0,IF(J1217="USD",VLOOKUP(R1217,'TRM BanRep'!$A:$G,7,0)))</f>
        <v>0</v>
      </c>
      <c r="U1217" s="2395">
        <f t="shared" si="82"/>
        <v>0</v>
      </c>
      <c r="V1217" s="2395" t="str">
        <f t="shared" si="83"/>
        <v/>
      </c>
    </row>
    <row r="1218" spans="2:22" hidden="1">
      <c r="C1218">
        <v>2023</v>
      </c>
      <c r="D1218" t="s">
        <v>2194</v>
      </c>
      <c r="F1218">
        <v>2422999997</v>
      </c>
      <c r="G1218" t="s">
        <v>1609</v>
      </c>
      <c r="H1218" t="s">
        <v>2562</v>
      </c>
      <c r="I1218" t="s">
        <v>1614</v>
      </c>
      <c r="J1218" t="s">
        <v>106</v>
      </c>
      <c r="K1218">
        <v>7900005324</v>
      </c>
      <c r="L1218" t="s">
        <v>2562</v>
      </c>
      <c r="M1218" s="1633">
        <v>-1673263058</v>
      </c>
      <c r="N1218">
        <v>1</v>
      </c>
      <c r="O1218">
        <v>50</v>
      </c>
      <c r="P1218" s="1633">
        <v>-1673263058</v>
      </c>
      <c r="Q1218" t="s">
        <v>106</v>
      </c>
      <c r="R1218" s="2392">
        <v>45027</v>
      </c>
      <c r="S1218" s="2393">
        <f t="shared" si="81"/>
        <v>1</v>
      </c>
      <c r="T1218" s="2394">
        <f>IF(OR(J1218="COP",J1218="EURO",J1218="GBP"),0,IF(J1218="USD",VLOOKUP(R1218,'TRM BanRep'!$A:$G,7,0)))</f>
        <v>0</v>
      </c>
      <c r="U1218" s="2395">
        <f t="shared" si="82"/>
        <v>0</v>
      </c>
      <c r="V1218" s="2395" t="str">
        <f t="shared" si="83"/>
        <v/>
      </c>
    </row>
    <row r="1219" spans="2:22" hidden="1">
      <c r="C1219">
        <v>2023</v>
      </c>
      <c r="D1219" t="s">
        <v>2194</v>
      </c>
      <c r="F1219">
        <v>2422999997</v>
      </c>
      <c r="G1219" t="s">
        <v>1609</v>
      </c>
      <c r="H1219" t="s">
        <v>2569</v>
      </c>
      <c r="I1219" t="s">
        <v>1615</v>
      </c>
      <c r="J1219" t="s">
        <v>106</v>
      </c>
      <c r="K1219">
        <v>7900005332</v>
      </c>
      <c r="L1219" t="s">
        <v>2569</v>
      </c>
      <c r="M1219" s="1633">
        <v>-2551897739</v>
      </c>
      <c r="N1219">
        <v>1</v>
      </c>
      <c r="O1219">
        <v>50</v>
      </c>
      <c r="P1219" s="1633">
        <v>-2551897739</v>
      </c>
      <c r="Q1219" t="s">
        <v>106</v>
      </c>
      <c r="R1219" s="2392">
        <v>45029</v>
      </c>
      <c r="S1219" s="2393">
        <f t="shared" si="81"/>
        <v>1</v>
      </c>
      <c r="T1219" s="2394">
        <f>IF(OR(J1219="COP",J1219="EURO",J1219="GBP"),0,IF(J1219="USD",VLOOKUP(R1219,'TRM BanRep'!$A:$G,7,0)))</f>
        <v>0</v>
      </c>
      <c r="U1219" s="2395">
        <f t="shared" si="82"/>
        <v>0</v>
      </c>
      <c r="V1219" s="2395" t="str">
        <f t="shared" si="83"/>
        <v/>
      </c>
    </row>
    <row r="1220" spans="2:22" hidden="1">
      <c r="C1220">
        <v>2023</v>
      </c>
      <c r="D1220" t="s">
        <v>2194</v>
      </c>
      <c r="F1220">
        <v>2422999997</v>
      </c>
      <c r="G1220" t="s">
        <v>1609</v>
      </c>
      <c r="H1220" t="s">
        <v>2547</v>
      </c>
      <c r="I1220" t="s">
        <v>1616</v>
      </c>
      <c r="J1220" t="s">
        <v>106</v>
      </c>
      <c r="K1220">
        <v>7900005443</v>
      </c>
      <c r="L1220" t="s">
        <v>2547</v>
      </c>
      <c r="M1220" s="1633">
        <v>-18005081927</v>
      </c>
      <c r="N1220">
        <v>1</v>
      </c>
      <c r="O1220">
        <v>50</v>
      </c>
      <c r="P1220" s="1633">
        <v>-18005081927</v>
      </c>
      <c r="Q1220" t="s">
        <v>106</v>
      </c>
      <c r="R1220" s="2392">
        <v>45033</v>
      </c>
      <c r="S1220" s="2393">
        <f t="shared" si="81"/>
        <v>1</v>
      </c>
      <c r="T1220" s="2394">
        <f>IF(OR(J1220="COP",J1220="EURO",J1220="GBP"),0,IF(J1220="USD",VLOOKUP(R1220,'TRM BanRep'!$A:$G,7,0)))</f>
        <v>0</v>
      </c>
      <c r="U1220" s="2395">
        <f t="shared" si="82"/>
        <v>0</v>
      </c>
      <c r="V1220" s="2395" t="str">
        <f t="shared" si="83"/>
        <v/>
      </c>
    </row>
    <row r="1221" spans="2:22" hidden="1">
      <c r="C1221">
        <v>2023</v>
      </c>
      <c r="D1221" t="s">
        <v>2194</v>
      </c>
      <c r="F1221">
        <v>2422999997</v>
      </c>
      <c r="G1221" t="s">
        <v>1609</v>
      </c>
      <c r="H1221" t="s">
        <v>2547</v>
      </c>
      <c r="I1221" t="s">
        <v>2658</v>
      </c>
      <c r="J1221" t="s">
        <v>106</v>
      </c>
      <c r="K1221">
        <v>7900005444</v>
      </c>
      <c r="L1221" t="s">
        <v>2547</v>
      </c>
      <c r="M1221" s="1633">
        <v>-1440890887</v>
      </c>
      <c r="N1221">
        <v>1</v>
      </c>
      <c r="O1221">
        <v>50</v>
      </c>
      <c r="P1221" s="1633">
        <v>-1440890887</v>
      </c>
      <c r="Q1221" t="s">
        <v>106</v>
      </c>
      <c r="R1221" s="2392">
        <v>45033</v>
      </c>
      <c r="S1221" s="2393">
        <f t="shared" si="81"/>
        <v>1</v>
      </c>
      <c r="T1221" s="2394">
        <f>IF(OR(J1221="COP",J1221="EURO",J1221="GBP"),0,IF(J1221="USD",VLOOKUP(R1221,'TRM BanRep'!$A:$G,7,0)))</f>
        <v>0</v>
      </c>
      <c r="U1221" s="2395">
        <f t="shared" si="82"/>
        <v>0</v>
      </c>
      <c r="V1221" s="2395" t="str">
        <f t="shared" si="83"/>
        <v/>
      </c>
    </row>
    <row r="1222" spans="2:22" hidden="1">
      <c r="C1222">
        <v>2023</v>
      </c>
      <c r="D1222" t="s">
        <v>2194</v>
      </c>
      <c r="F1222">
        <v>2422999997</v>
      </c>
      <c r="G1222" t="s">
        <v>1609</v>
      </c>
      <c r="H1222" t="s">
        <v>2570</v>
      </c>
      <c r="I1222" t="s">
        <v>1795</v>
      </c>
      <c r="J1222" t="s">
        <v>106</v>
      </c>
      <c r="K1222">
        <v>7900005532</v>
      </c>
      <c r="L1222" t="s">
        <v>2570</v>
      </c>
      <c r="M1222" s="1633">
        <v>-14065358904</v>
      </c>
      <c r="N1222">
        <v>1</v>
      </c>
      <c r="O1222">
        <v>50</v>
      </c>
      <c r="P1222" s="1633">
        <v>-14065358904</v>
      </c>
      <c r="Q1222" t="s">
        <v>106</v>
      </c>
      <c r="R1222" s="2392">
        <v>45040</v>
      </c>
      <c r="S1222" s="2393">
        <f t="shared" si="81"/>
        <v>1</v>
      </c>
      <c r="T1222" s="2394">
        <f>IF(OR(J1222="COP",J1222="EURO",J1222="GBP"),0,IF(J1222="USD",VLOOKUP(R1222,'TRM BanRep'!$A:$G,7,0)))</f>
        <v>0</v>
      </c>
      <c r="U1222" s="2395">
        <f t="shared" si="82"/>
        <v>0</v>
      </c>
      <c r="V1222" s="2395" t="str">
        <f t="shared" si="83"/>
        <v/>
      </c>
    </row>
    <row r="1223" spans="2:22">
      <c r="M1223" s="1633"/>
      <c r="P1223" s="1633"/>
      <c r="R1223" s="2392"/>
      <c r="S1223" s="2393"/>
      <c r="T1223" s="2394"/>
      <c r="U1223" s="2395"/>
      <c r="V1223" s="2395"/>
    </row>
    <row r="1224" spans="2:22">
      <c r="M1224" s="1633"/>
      <c r="P1224" s="1633"/>
      <c r="R1224" s="2392"/>
      <c r="S1224" s="2393"/>
      <c r="T1224" s="2394"/>
      <c r="U1224" s="2395"/>
      <c r="V1224" s="2395"/>
    </row>
    <row r="1225" spans="2:22">
      <c r="M1225" s="1633"/>
      <c r="P1225" s="1633"/>
      <c r="R1225" s="2392"/>
      <c r="S1225" s="2393"/>
      <c r="T1225" s="2394"/>
      <c r="U1225" s="2395"/>
      <c r="V1225" s="2395"/>
    </row>
    <row r="1226" spans="2:22">
      <c r="M1226" s="1633"/>
      <c r="P1226" s="1633"/>
      <c r="R1226" s="2392"/>
      <c r="S1226" s="2393"/>
      <c r="T1226" s="2394"/>
      <c r="U1226" s="2395"/>
      <c r="V1226" s="2395"/>
    </row>
    <row r="1227" spans="2:22">
      <c r="M1227" s="1633"/>
      <c r="P1227" s="1633"/>
      <c r="R1227" s="2392"/>
      <c r="S1227" s="2393"/>
      <c r="T1227" s="2394"/>
      <c r="U1227" s="2395"/>
      <c r="V1227" s="2395"/>
    </row>
    <row r="1228" spans="2:22">
      <c r="M1228" s="1633"/>
      <c r="P1228" s="1633"/>
      <c r="R1228" s="2392"/>
      <c r="S1228" s="2393"/>
      <c r="T1228" s="2394"/>
      <c r="U1228" s="2395"/>
      <c r="V1228" s="2395"/>
    </row>
    <row r="1229" spans="2:22" hidden="1">
      <c r="B1229" t="s">
        <v>1531</v>
      </c>
      <c r="J1229" t="s">
        <v>106</v>
      </c>
      <c r="M1229" s="1633">
        <v>0</v>
      </c>
      <c r="P1229">
        <v>0</v>
      </c>
      <c r="Q1229" t="s">
        <v>106</v>
      </c>
    </row>
    <row r="1230" spans="2:22">
      <c r="J1230" t="s">
        <v>146</v>
      </c>
      <c r="M1230" s="1860">
        <v>0</v>
      </c>
    </row>
    <row r="1231" spans="2:22">
      <c r="J1231" t="s">
        <v>64</v>
      </c>
      <c r="M1231" s="1860">
        <v>0</v>
      </c>
      <c r="S1231" s="2408" t="s">
        <v>2163</v>
      </c>
      <c r="U1231" s="2408">
        <f>SUBTOTAL(9,U6:U1230)</f>
        <v>2319925909</v>
      </c>
      <c r="V1231" s="2408"/>
    </row>
    <row r="1233" spans="1:34">
      <c r="A1233" t="s">
        <v>294</v>
      </c>
      <c r="B1233" t="s">
        <v>294</v>
      </c>
      <c r="C1233" t="s">
        <v>294</v>
      </c>
      <c r="D1233" t="s">
        <v>294</v>
      </c>
      <c r="E1233" t="s">
        <v>294</v>
      </c>
      <c r="F1233" t="s">
        <v>294</v>
      </c>
      <c r="G1233" t="s">
        <v>294</v>
      </c>
      <c r="H1233" t="s">
        <v>294</v>
      </c>
      <c r="I1233" t="s">
        <v>294</v>
      </c>
      <c r="J1233" t="s">
        <v>294</v>
      </c>
      <c r="K1233" t="s">
        <v>294</v>
      </c>
      <c r="L1233" t="s">
        <v>294</v>
      </c>
      <c r="M1233" t="s">
        <v>294</v>
      </c>
      <c r="N1233" t="s">
        <v>294</v>
      </c>
      <c r="O1233" t="s">
        <v>294</v>
      </c>
      <c r="P1233" t="s">
        <v>294</v>
      </c>
      <c r="Q1233" t="s">
        <v>294</v>
      </c>
      <c r="R1233" t="s">
        <v>294</v>
      </c>
      <c r="S1233" t="s">
        <v>294</v>
      </c>
      <c r="T1233" t="s">
        <v>294</v>
      </c>
      <c r="U1233" t="s">
        <v>294</v>
      </c>
      <c r="V1233" t="s">
        <v>294</v>
      </c>
      <c r="W1233" t="s">
        <v>294</v>
      </c>
      <c r="X1233" t="s">
        <v>294</v>
      </c>
      <c r="Y1233" t="s">
        <v>294</v>
      </c>
      <c r="Z1233" t="s">
        <v>294</v>
      </c>
      <c r="AA1233" t="s">
        <v>294</v>
      </c>
      <c r="AB1233" t="s">
        <v>294</v>
      </c>
      <c r="AC1233" t="s">
        <v>294</v>
      </c>
      <c r="AD1233" t="s">
        <v>294</v>
      </c>
      <c r="AE1233" t="s">
        <v>294</v>
      </c>
      <c r="AF1233" t="s">
        <v>294</v>
      </c>
      <c r="AG1233" t="s">
        <v>294</v>
      </c>
      <c r="AH1233" t="s">
        <v>294</v>
      </c>
    </row>
  </sheetData>
  <autoFilter ref="B5:Y1229" xr:uid="{1F563E6E-57D4-4DBB-931A-BF32A98E32ED}">
    <filterColumn colId="1">
      <filters blank="1">
        <filter val="2023"/>
      </filters>
    </filterColumn>
    <filterColumn colId="4">
      <filters blank="1">
        <filter val="1202049905"/>
      </filters>
    </filterColumn>
    <filterColumn colId="8">
      <filters blank="1">
        <filter val="EURO"/>
        <filter val="USD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FC0F-0B83-4C79-84CB-35A00A34775F}">
  <sheetPr codeName="Hoja5">
    <tabColor rgb="FFFFC000"/>
  </sheetPr>
  <dimension ref="A1:F10"/>
  <sheetViews>
    <sheetView zoomScale="80" zoomScaleNormal="80" workbookViewId="0">
      <selection activeCell="B7" sqref="B7"/>
    </sheetView>
  </sheetViews>
  <sheetFormatPr baseColWidth="10" defaultRowHeight="15"/>
  <cols>
    <col min="1" max="1" width="28.85546875" bestFit="1" customWidth="1"/>
    <col min="2" max="2" width="25.5703125" bestFit="1" customWidth="1"/>
    <col min="3" max="3" width="13.140625" customWidth="1"/>
    <col min="4" max="4" width="14.85546875" bestFit="1" customWidth="1"/>
    <col min="5" max="5" width="14.140625" bestFit="1" customWidth="1"/>
    <col min="6" max="6" width="14.85546875" bestFit="1" customWidth="1"/>
    <col min="7" max="9" width="12.7109375" bestFit="1" customWidth="1"/>
    <col min="10" max="10" width="11.7109375" bestFit="1" customWidth="1"/>
    <col min="11" max="14" width="12.7109375" bestFit="1" customWidth="1"/>
    <col min="15" max="15" width="11" bestFit="1" customWidth="1"/>
    <col min="16" max="16" width="12.7109375" bestFit="1" customWidth="1"/>
  </cols>
  <sheetData>
    <row r="1" spans="1:6">
      <c r="A1" s="2411" t="s">
        <v>1535</v>
      </c>
      <c r="B1" s="2412">
        <v>2023</v>
      </c>
    </row>
    <row r="2" spans="1:6">
      <c r="A2" s="2411" t="s">
        <v>1538</v>
      </c>
      <c r="B2" s="2412">
        <v>1202049905</v>
      </c>
    </row>
    <row r="4" spans="1:6">
      <c r="A4" s="2411" t="s">
        <v>2191</v>
      </c>
      <c r="B4" s="2411" t="s">
        <v>2188</v>
      </c>
    </row>
    <row r="5" spans="1:6">
      <c r="A5" s="2411" t="s">
        <v>2186</v>
      </c>
      <c r="B5" t="s">
        <v>2164</v>
      </c>
      <c r="C5" t="s">
        <v>2192</v>
      </c>
      <c r="D5" t="s">
        <v>2193</v>
      </c>
      <c r="E5" t="s">
        <v>2194</v>
      </c>
      <c r="F5" t="s">
        <v>2187</v>
      </c>
    </row>
    <row r="6" spans="1:6">
      <c r="A6" s="2412" t="s">
        <v>2189</v>
      </c>
      <c r="B6" s="2413">
        <v>-1525369068</v>
      </c>
      <c r="C6" s="2413">
        <v>-358746701</v>
      </c>
      <c r="D6" s="2413">
        <v>-1074151996</v>
      </c>
      <c r="E6" s="2413">
        <v>-89197960</v>
      </c>
      <c r="F6" s="2413">
        <v>-3047465725</v>
      </c>
    </row>
    <row r="7" spans="1:6">
      <c r="A7" s="2412" t="s">
        <v>2190</v>
      </c>
      <c r="B7" s="2413">
        <v>1244196133</v>
      </c>
      <c r="C7" s="2413">
        <v>12867394</v>
      </c>
      <c r="D7" s="2413">
        <v>1493902364</v>
      </c>
      <c r="E7" s="2413">
        <v>2616425743</v>
      </c>
      <c r="F7" s="2413">
        <v>5367391634</v>
      </c>
    </row>
    <row r="8" spans="1:6">
      <c r="A8" s="2412"/>
      <c r="B8" s="2413">
        <v>0</v>
      </c>
      <c r="C8" s="2413">
        <v>0</v>
      </c>
      <c r="D8" s="2413">
        <v>0</v>
      </c>
      <c r="E8" s="2413">
        <v>0</v>
      </c>
      <c r="F8" s="2413">
        <v>0</v>
      </c>
    </row>
    <row r="9" spans="1:6">
      <c r="A9" s="2412" t="s">
        <v>2247</v>
      </c>
      <c r="B9" s="2413">
        <v>0</v>
      </c>
      <c r="C9" s="2413"/>
      <c r="D9" s="2413"/>
      <c r="E9" s="2413"/>
      <c r="F9" s="2413">
        <v>0</v>
      </c>
    </row>
    <row r="10" spans="1:6">
      <c r="A10" s="2412" t="s">
        <v>2187</v>
      </c>
      <c r="B10" s="2413">
        <v>-281172935</v>
      </c>
      <c r="C10" s="2413">
        <v>-345879307</v>
      </c>
      <c r="D10" s="2413">
        <v>419750368</v>
      </c>
      <c r="E10" s="2413">
        <v>2527227783</v>
      </c>
      <c r="F10" s="2413">
        <v>2319925909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rgb="FFFFFF00"/>
  </sheetPr>
  <dimension ref="A1:K97"/>
  <sheetViews>
    <sheetView zoomScale="80" zoomScaleNormal="80" workbookViewId="0">
      <pane xSplit="3" ySplit="5" topLeftCell="D48" activePane="bottomRight" state="frozen"/>
      <selection activeCell="C25" sqref="C25:C42"/>
      <selection pane="topRight" activeCell="C25" sqref="C25:C42"/>
      <selection pane="bottomLeft" activeCell="C25" sqref="C25:C42"/>
      <selection pane="bottomRight" activeCell="G79" sqref="G79"/>
    </sheetView>
  </sheetViews>
  <sheetFormatPr baseColWidth="10" defaultRowHeight="12.75"/>
  <cols>
    <col min="1" max="1" width="12.7109375" style="1728" bestFit="1" customWidth="1"/>
    <col min="2" max="2" width="50.140625" style="1728" bestFit="1" customWidth="1"/>
    <col min="3" max="3" width="20.28515625" style="1761" customWidth="1"/>
    <col min="4" max="4" width="20" style="1728" bestFit="1" customWidth="1"/>
    <col min="5" max="6" width="21.28515625" style="1728" bestFit="1" customWidth="1"/>
    <col min="7" max="7" width="19.85546875" style="1728" customWidth="1"/>
    <col min="8" max="8" width="40.5703125" style="1728" customWidth="1"/>
    <col min="9" max="9" width="16.5703125" style="1728" bestFit="1" customWidth="1"/>
    <col min="10" max="10" width="17.5703125" style="1728" customWidth="1"/>
    <col min="11" max="11" width="17.85546875" style="1728" customWidth="1"/>
    <col min="12" max="12" width="11.42578125" style="1728"/>
    <col min="13" max="13" width="12.5703125" style="1728" bestFit="1" customWidth="1"/>
    <col min="14" max="14" width="14" style="1728" bestFit="1" customWidth="1"/>
    <col min="15" max="16384" width="11.42578125" style="1728"/>
  </cols>
  <sheetData>
    <row r="1" spans="1:9">
      <c r="A1" s="1129"/>
      <c r="B1" s="1723"/>
      <c r="C1" s="1724"/>
      <c r="D1" s="1723"/>
      <c r="E1" s="1723"/>
      <c r="F1" s="1725"/>
      <c r="G1" s="1726"/>
      <c r="H1" s="1727"/>
    </row>
    <row r="2" spans="1:9" ht="13.5" thickBot="1">
      <c r="A2" s="1130"/>
      <c r="B2" s="1729"/>
      <c r="C2" s="1131"/>
      <c r="D2" s="1730"/>
      <c r="E2" s="1731"/>
      <c r="F2" s="1732"/>
      <c r="G2" s="1733"/>
      <c r="H2" s="1734"/>
    </row>
    <row r="3" spans="1:9" ht="13.5" thickBot="1">
      <c r="A3" s="1132"/>
      <c r="B3" s="1735"/>
      <c r="C3" s="1736"/>
      <c r="D3" s="1736"/>
      <c r="E3" s="1736"/>
      <c r="F3" s="1736"/>
      <c r="G3" s="1736"/>
      <c r="H3" s="1737"/>
    </row>
    <row r="4" spans="1:9" ht="17.25" customHeight="1">
      <c r="A4" s="2615" t="s">
        <v>45</v>
      </c>
      <c r="B4" s="2617" t="s">
        <v>48</v>
      </c>
      <c r="C4" s="2619" t="s">
        <v>49</v>
      </c>
      <c r="D4" s="2621" t="s">
        <v>50</v>
      </c>
      <c r="E4" s="2622"/>
      <c r="F4" s="2619" t="s">
        <v>225</v>
      </c>
      <c r="G4" s="2611" t="s">
        <v>51</v>
      </c>
      <c r="H4" s="2613" t="s">
        <v>52</v>
      </c>
    </row>
    <row r="5" spans="1:9">
      <c r="A5" s="2616"/>
      <c r="B5" s="2618"/>
      <c r="C5" s="2620"/>
      <c r="D5" s="1738" t="s">
        <v>53</v>
      </c>
      <c r="E5" s="1738" t="s">
        <v>54</v>
      </c>
      <c r="F5" s="2620" t="s">
        <v>55</v>
      </c>
      <c r="G5" s="2612"/>
      <c r="H5" s="2614"/>
    </row>
    <row r="6" spans="1:9" s="1744" customFormat="1">
      <c r="A6" s="1826">
        <v>4806010000</v>
      </c>
      <c r="B6" s="1827" t="s">
        <v>24</v>
      </c>
      <c r="C6" s="1994">
        <f>IF(ISERROR(VLOOKUP(A6,Balance!E:K,7,0)),0,VLOOKUP(A6,Balance!E:K,7,0))</f>
        <v>0</v>
      </c>
      <c r="D6" s="1997">
        <f>IF(C6&gt;0,0,-C6)</f>
        <v>0</v>
      </c>
      <c r="E6" s="2090">
        <f>'Ingreso-Gasto Mes'!Q63</f>
        <v>-3047465725</v>
      </c>
      <c r="F6" s="2006">
        <f t="shared" ref="F6:F19" si="0">+C6+D6+E6</f>
        <v>-3047465725</v>
      </c>
      <c r="G6" s="1750" t="s">
        <v>1201</v>
      </c>
      <c r="H6" s="1743" t="s">
        <v>1203</v>
      </c>
      <c r="I6" s="2137" t="s">
        <v>1347</v>
      </c>
    </row>
    <row r="7" spans="1:9" s="1744" customFormat="1">
      <c r="A7" s="1739">
        <v>4806010300</v>
      </c>
      <c r="B7" s="1740" t="s">
        <v>1189</v>
      </c>
      <c r="C7" s="1994">
        <f>IF(ISERROR(VLOOKUP(A7,Balance!E:K,7,0)),0,VLOOKUP(A7,Balance!E:K,7,0))</f>
        <v>-4528741482</v>
      </c>
      <c r="D7" s="1997">
        <f>IF(C7&gt;0,+MonExtranjera!X463+MonExtranjera!X558,-C7)</f>
        <v>4528741482</v>
      </c>
      <c r="E7" s="1741">
        <f ca="1">IF(C7&lt;0,+MonExtranjera!X463+MonExtranjera!X558,-C7)</f>
        <v>-3973240473.7682052</v>
      </c>
      <c r="F7" s="1742">
        <f t="shared" ca="1" si="0"/>
        <v>-3973240473.7682052</v>
      </c>
      <c r="G7" s="1750" t="s">
        <v>1201</v>
      </c>
      <c r="H7" s="1743" t="s">
        <v>1203</v>
      </c>
    </row>
    <row r="8" spans="1:9" s="1744" customFormat="1">
      <c r="A8" s="1745">
        <v>4806011000</v>
      </c>
      <c r="B8" s="1746" t="s">
        <v>25</v>
      </c>
      <c r="C8" s="1747">
        <f>IF(ISERROR(VLOOKUP(A8,Balance!E:K,7,0)),0,VLOOKUP(A8,Balance!E:K,7,0))</f>
        <v>-9718752387</v>
      </c>
      <c r="D8" s="1995">
        <f>IF(C8&gt;0,0,-C8)</f>
        <v>9718752387</v>
      </c>
      <c r="E8" s="1996">
        <f>IF(C8&lt;0,0,-C8)</f>
        <v>0</v>
      </c>
      <c r="F8" s="1998">
        <f t="shared" si="0"/>
        <v>0</v>
      </c>
      <c r="G8" s="1999" t="s">
        <v>1202</v>
      </c>
      <c r="H8" s="1743" t="s">
        <v>1203</v>
      </c>
    </row>
    <row r="9" spans="1:9" s="1744" customFormat="1">
      <c r="A9" s="1745">
        <v>4806011400</v>
      </c>
      <c r="B9" s="1746" t="s">
        <v>1186</v>
      </c>
      <c r="C9" s="1747">
        <f>IF(ISERROR(VLOOKUP(A9,Balance!E:K,7,0)),0,VLOOKUP(A9,Balance!E:K,7,0))</f>
        <v>0</v>
      </c>
      <c r="D9" s="1995">
        <f>IF(C9&gt;0,0,-C9)</f>
        <v>0</v>
      </c>
      <c r="E9" s="1996">
        <f>IF(C9&lt;0,0,-C9)</f>
        <v>0</v>
      </c>
      <c r="F9" s="1998">
        <f t="shared" si="0"/>
        <v>0</v>
      </c>
      <c r="G9" s="1999" t="s">
        <v>1202</v>
      </c>
      <c r="H9" s="1743" t="s">
        <v>1203</v>
      </c>
    </row>
    <row r="10" spans="1:9" s="1744" customFormat="1">
      <c r="A10" s="1739">
        <v>4806011500</v>
      </c>
      <c r="B10" s="1740" t="s">
        <v>1237</v>
      </c>
      <c r="C10" s="1994">
        <f>IF(ISERROR(VLOOKUP(A10,Balance!E:K,7,0)),0,VLOOKUP(A10,Balance!E:K,7,0))</f>
        <v>-11643978794</v>
      </c>
      <c r="D10" s="1997">
        <f>IF(C10&gt;0,+MonExtranjera!X758+MonExtranjera!X827,-C10)</f>
        <v>11643978794</v>
      </c>
      <c r="E10" s="1741">
        <f ca="1">IF(C10&lt;0,+MonExtranjera!X758+MonExtranjera!X827,-C10)</f>
        <v>-5561655937.1832047</v>
      </c>
      <c r="F10" s="1742">
        <f t="shared" ca="1" si="0"/>
        <v>-5561655937.1832047</v>
      </c>
      <c r="G10" s="1750" t="s">
        <v>1201</v>
      </c>
      <c r="H10" s="1743" t="s">
        <v>1203</v>
      </c>
    </row>
    <row r="11" spans="1:9" s="1744" customFormat="1">
      <c r="A11" s="1745">
        <v>4806011600</v>
      </c>
      <c r="B11" s="2135" t="s">
        <v>1187</v>
      </c>
      <c r="C11" s="1747">
        <f>IF(ISERROR(VLOOKUP(A11,Balance!E:K,7,0)),0,VLOOKUP(A11,Balance!E:K,7,0))</f>
        <v>-124006657</v>
      </c>
      <c r="D11" s="1995">
        <f>IF(C11&gt;0,0,-C11)</f>
        <v>124006657</v>
      </c>
      <c r="E11" s="1996">
        <f>IF(C11&lt;0,0,-C11)</f>
        <v>0</v>
      </c>
      <c r="F11" s="1998">
        <f t="shared" si="0"/>
        <v>0</v>
      </c>
      <c r="G11" s="1999" t="s">
        <v>1202</v>
      </c>
      <c r="H11" s="1743" t="s">
        <v>1203</v>
      </c>
    </row>
    <row r="12" spans="1:9" s="1744" customFormat="1">
      <c r="A12" s="1739">
        <v>4806020000</v>
      </c>
      <c r="B12" s="1740" t="s">
        <v>175</v>
      </c>
      <c r="C12" s="1994">
        <f>IF(ISERROR(VLOOKUP(A12,Balance!E:K,7,0)),0,VLOOKUP(A12,Balance!E:K,7,0))</f>
        <v>-933856</v>
      </c>
      <c r="D12" s="1997">
        <f>-C12</f>
        <v>933856</v>
      </c>
      <c r="E12" s="1741">
        <f ca="1">+MonExtranjera!X1534+MonExtranjera!X1459</f>
        <v>-16700462.576800015</v>
      </c>
      <c r="F12" s="1742">
        <f t="shared" ca="1" si="0"/>
        <v>-16700462.576800015</v>
      </c>
      <c r="G12" s="1750" t="s">
        <v>1201</v>
      </c>
      <c r="H12" s="1743" t="s">
        <v>1204</v>
      </c>
    </row>
    <row r="13" spans="1:9" s="1744" customFormat="1">
      <c r="A13" s="1745">
        <v>4806021000</v>
      </c>
      <c r="B13" s="1746" t="s">
        <v>26</v>
      </c>
      <c r="C13" s="1747">
        <f>IF(ISERROR(VLOOKUP(A13,Balance!E:K,7,0)),0,VLOOKUP(A13,Balance!E:K,7,0))</f>
        <v>10126861</v>
      </c>
      <c r="D13" s="1995">
        <f>IF(C13&gt;0,0,-C13)</f>
        <v>0</v>
      </c>
      <c r="E13" s="1996">
        <f>IF(C13&lt;0,0,-C13)</f>
        <v>-10126861</v>
      </c>
      <c r="F13" s="1998">
        <f t="shared" si="0"/>
        <v>0</v>
      </c>
      <c r="G13" s="1999" t="s">
        <v>1202</v>
      </c>
      <c r="H13" s="1743" t="s">
        <v>1204</v>
      </c>
    </row>
    <row r="14" spans="1:9" s="1744" customFormat="1">
      <c r="A14" s="1739">
        <v>4806022000</v>
      </c>
      <c r="B14" s="1740" t="s">
        <v>208</v>
      </c>
      <c r="C14" s="1994">
        <f>IF(ISERROR(VLOOKUP(A14,Balance!E:K,7,0)),0,VLOOKUP(A14,Balance!E:K,7,0))</f>
        <v>0</v>
      </c>
      <c r="D14" s="1997">
        <f>-C14</f>
        <v>0</v>
      </c>
      <c r="E14" s="1741">
        <f>+MonExtranjera!X945</f>
        <v>0</v>
      </c>
      <c r="F14" s="1742">
        <f t="shared" si="0"/>
        <v>0</v>
      </c>
      <c r="G14" s="1750" t="s">
        <v>1201</v>
      </c>
      <c r="H14" s="1743" t="s">
        <v>1205</v>
      </c>
    </row>
    <row r="15" spans="1:9" s="1744" customFormat="1">
      <c r="A15" s="1745">
        <v>4806023000</v>
      </c>
      <c r="B15" s="1746" t="s">
        <v>207</v>
      </c>
      <c r="C15" s="1747">
        <f>IF(ISERROR(VLOOKUP(A15,Balance!E:K,7,0)),0,VLOOKUP(A15,Balance!E:K,7,0))</f>
        <v>0</v>
      </c>
      <c r="D15" s="1995">
        <f>IF(C15&gt;0,0,-C15)</f>
        <v>0</v>
      </c>
      <c r="E15" s="1996">
        <f>IF(C15&lt;0,0,-C15)</f>
        <v>0</v>
      </c>
      <c r="F15" s="1998">
        <f t="shared" si="0"/>
        <v>0</v>
      </c>
      <c r="G15" s="1999" t="s">
        <v>1202</v>
      </c>
      <c r="H15" s="1743" t="s">
        <v>1205</v>
      </c>
    </row>
    <row r="16" spans="1:9" s="1744" customFormat="1">
      <c r="A16" s="1739">
        <v>4806120100</v>
      </c>
      <c r="B16" s="1740" t="s">
        <v>27</v>
      </c>
      <c r="C16" s="1994">
        <f>IF(ISERROR(VLOOKUP(A16,Balance!E:K,7,0)),0,VLOOKUP(A16,Balance!E:K,7,0))</f>
        <v>-704788499</v>
      </c>
      <c r="D16" s="1997">
        <f>-C16</f>
        <v>704788499</v>
      </c>
      <c r="E16" s="1741">
        <f ca="1">+MonExtranjera!X1983</f>
        <v>-360659593.87966776</v>
      </c>
      <c r="F16" s="1742">
        <f t="shared" ca="1" si="0"/>
        <v>-360659593.87966776</v>
      </c>
      <c r="G16" s="1750" t="s">
        <v>1201</v>
      </c>
      <c r="H16" s="1743" t="s">
        <v>1206</v>
      </c>
    </row>
    <row r="17" spans="1:8" s="1744" customFormat="1">
      <c r="A17" s="1745">
        <v>4806120200</v>
      </c>
      <c r="B17" s="1746" t="s">
        <v>28</v>
      </c>
      <c r="C17" s="1747">
        <f>IF(ISERROR(VLOOKUP(A17,Balance!E:K,7,0)),0,VLOOKUP(A17,Balance!E:K,7,0))</f>
        <v>401673333</v>
      </c>
      <c r="D17" s="1995">
        <f>IF(C17&gt;0,0,-C17)</f>
        <v>0</v>
      </c>
      <c r="E17" s="1996">
        <f>IF(C17&lt;0,0,-C17)</f>
        <v>-401673333</v>
      </c>
      <c r="F17" s="1998">
        <f t="shared" si="0"/>
        <v>0</v>
      </c>
      <c r="G17" s="1999" t="s">
        <v>1202</v>
      </c>
      <c r="H17" s="1743" t="s">
        <v>1206</v>
      </c>
    </row>
    <row r="18" spans="1:8" s="1744" customFormat="1">
      <c r="A18" s="1739">
        <v>4806130100</v>
      </c>
      <c r="B18" s="1740" t="s">
        <v>29</v>
      </c>
      <c r="C18" s="1994">
        <f>IF(ISERROR(VLOOKUP(A18,Balance!E:K,7,0)),0,VLOOKUP(A18,Balance!E:K,7,0))</f>
        <v>-60578464</v>
      </c>
      <c r="D18" s="1997">
        <f>-C18</f>
        <v>60578464</v>
      </c>
      <c r="E18" s="1741">
        <f ca="1">+MonExtranjera!X2195</f>
        <v>-42024520.370384961</v>
      </c>
      <c r="F18" s="1742">
        <f t="shared" ca="1" si="0"/>
        <v>-42024520.370384961</v>
      </c>
      <c r="G18" s="1750" t="s">
        <v>1201</v>
      </c>
      <c r="H18" s="1743" t="s">
        <v>1206</v>
      </c>
    </row>
    <row r="19" spans="1:8" s="1744" customFormat="1">
      <c r="A19" s="1739">
        <v>4806130110</v>
      </c>
      <c r="B19" s="1740" t="s">
        <v>29</v>
      </c>
      <c r="C19" s="1994">
        <f>IF(ISERROR(VLOOKUP(A19,Balance!E:K,7,0)),0,VLOOKUP(A19,Balance!E:K,7,0))</f>
        <v>-463836388</v>
      </c>
      <c r="D19" s="1997">
        <f>-C19</f>
        <v>463836388</v>
      </c>
      <c r="E19" s="1741">
        <v>0</v>
      </c>
      <c r="F19" s="1742">
        <f t="shared" si="0"/>
        <v>0</v>
      </c>
      <c r="G19" s="1750" t="s">
        <v>1201</v>
      </c>
      <c r="H19" s="1743" t="s">
        <v>1206</v>
      </c>
    </row>
    <row r="20" spans="1:8" s="1744" customFormat="1">
      <c r="A20" s="1745">
        <v>4806130200</v>
      </c>
      <c r="B20" s="1746" t="s">
        <v>28</v>
      </c>
      <c r="C20" s="1747">
        <f>IF(ISERROR(VLOOKUP(A20,Balance!E:K,7,0)),0,VLOOKUP(A20,Balance!E:K,7,0))</f>
        <v>265793285</v>
      </c>
      <c r="D20" s="1995">
        <f t="shared" ref="D20:D23" si="1">IF(C20&gt;0,0,-C20)</f>
        <v>0</v>
      </c>
      <c r="E20" s="1996">
        <f t="shared" ref="E20:E23" si="2">IF(C20&lt;0,0,-C20)</f>
        <v>-265793285</v>
      </c>
      <c r="F20" s="1998">
        <f t="shared" ref="F20:F23" si="3">+C20+D20+E20</f>
        <v>0</v>
      </c>
      <c r="G20" s="1999" t="s">
        <v>1202</v>
      </c>
      <c r="H20" s="1743" t="s">
        <v>1206</v>
      </c>
    </row>
    <row r="21" spans="1:8" s="1744" customFormat="1">
      <c r="A21" s="1739">
        <v>4806360100</v>
      </c>
      <c r="B21" s="1740" t="s">
        <v>1314</v>
      </c>
      <c r="C21" s="1994">
        <f>IF(ISERROR(VLOOKUP(A21,Balance!E:K,7,0)),0,VLOOKUP(A21,Balance!E:K,7,0))</f>
        <v>-417394800</v>
      </c>
      <c r="D21" s="1997">
        <f t="shared" si="1"/>
        <v>417394800</v>
      </c>
      <c r="E21" s="1741">
        <f ca="1">MonExtranjera!X854</f>
        <v>-417394799.99999809</v>
      </c>
      <c r="F21" s="1742">
        <f t="shared" ca="1" si="3"/>
        <v>-417394799.99999809</v>
      </c>
      <c r="G21" s="1750" t="s">
        <v>1201</v>
      </c>
      <c r="H21" s="2018" t="s">
        <v>1272</v>
      </c>
    </row>
    <row r="22" spans="1:8" s="1744" customFormat="1">
      <c r="A22" s="1745">
        <v>4806360200</v>
      </c>
      <c r="B22" s="1746" t="s">
        <v>1270</v>
      </c>
      <c r="C22" s="1747">
        <f>IF(ISERROR(VLOOKUP(A22,Balance!E:K,7,0)),0,VLOOKUP(A22,Balance!E:K,7,0))</f>
        <v>0</v>
      </c>
      <c r="D22" s="1995">
        <f t="shared" ref="D22" si="4">IF(C22&gt;0,0,-C22)</f>
        <v>0</v>
      </c>
      <c r="E22" s="1996">
        <f t="shared" ref="E22" si="5">IF(C22&lt;0,0,-C22)</f>
        <v>0</v>
      </c>
      <c r="F22" s="1998">
        <f t="shared" ref="F22" si="6">+C22+D22+E22</f>
        <v>0</v>
      </c>
      <c r="G22" s="1999" t="s">
        <v>1202</v>
      </c>
      <c r="H22" s="2018" t="s">
        <v>1272</v>
      </c>
    </row>
    <row r="23" spans="1:8" s="1744" customFormat="1">
      <c r="A23" s="1745">
        <v>4806451000</v>
      </c>
      <c r="B23" s="1746" t="s">
        <v>30</v>
      </c>
      <c r="C23" s="1747">
        <f>IF(ISERROR(VLOOKUP(A23,Balance!E:K,7,0)),0,VLOOKUP(A23,Balance!E:K,7,0))</f>
        <v>-4452263613</v>
      </c>
      <c r="D23" s="1995">
        <f t="shared" si="1"/>
        <v>4452263613</v>
      </c>
      <c r="E23" s="1996">
        <f t="shared" si="2"/>
        <v>0</v>
      </c>
      <c r="F23" s="1998">
        <f t="shared" si="3"/>
        <v>0</v>
      </c>
      <c r="G23" s="1999" t="s">
        <v>1202</v>
      </c>
      <c r="H23" s="1743" t="s">
        <v>1207</v>
      </c>
    </row>
    <row r="24" spans="1:8" s="1744" customFormat="1">
      <c r="A24" s="2132">
        <v>4806451110</v>
      </c>
      <c r="B24" s="2133" t="s">
        <v>1251</v>
      </c>
      <c r="C24" s="1994">
        <f>IF(ISERROR(VLOOKUP(A24,Balance!E:K,7,0)),0,VLOOKUP(A24,Balance!E:K,7,0))</f>
        <v>0</v>
      </c>
      <c r="D24" s="1997">
        <f>-C24</f>
        <v>0</v>
      </c>
      <c r="E24" s="1741">
        <v>0</v>
      </c>
      <c r="F24" s="2134">
        <f>+C24+D24+E24</f>
        <v>0</v>
      </c>
      <c r="G24" s="1750" t="s">
        <v>1201</v>
      </c>
      <c r="H24" s="1743" t="s">
        <v>1203</v>
      </c>
    </row>
    <row r="25" spans="1:8" s="1744" customFormat="1">
      <c r="A25" s="2132">
        <v>4806451210</v>
      </c>
      <c r="B25" s="2133" t="s">
        <v>1341</v>
      </c>
      <c r="C25" s="1994">
        <f>IF(ISERROR(VLOOKUP(A25,Balance!E:K,7,0)),0,VLOOKUP(A25,Balance!E:K,7,0))</f>
        <v>0</v>
      </c>
      <c r="D25" s="1997">
        <f>-C25</f>
        <v>0</v>
      </c>
      <c r="E25" s="1741">
        <v>0</v>
      </c>
      <c r="F25" s="2134">
        <f>+C25+D25+E25</f>
        <v>0</v>
      </c>
      <c r="G25" s="1750" t="s">
        <v>1201</v>
      </c>
      <c r="H25" s="1743" t="s">
        <v>1203</v>
      </c>
    </row>
    <row r="26" spans="1:8" s="1744" customFormat="1">
      <c r="A26" s="1739">
        <v>4806452000</v>
      </c>
      <c r="B26" s="1740" t="s">
        <v>31</v>
      </c>
      <c r="C26" s="1994">
        <f>IF(ISERROR(VLOOKUP(A26,Balance!E:K,7,0)),0,VLOOKUP(A26,Balance!E:K,7,0))</f>
        <v>0</v>
      </c>
      <c r="D26" s="1997">
        <f>-C26</f>
        <v>0</v>
      </c>
      <c r="E26" s="1741">
        <f ca="1">+MonExtranjera!X1387</f>
        <v>-215645668.52980077</v>
      </c>
      <c r="F26" s="1742">
        <f ca="1">+C26+D26+E26</f>
        <v>-215645668.52980077</v>
      </c>
      <c r="G26" s="1750" t="s">
        <v>1201</v>
      </c>
      <c r="H26" s="1743" t="s">
        <v>1207</v>
      </c>
    </row>
    <row r="27" spans="1:8" s="1744" customFormat="1">
      <c r="A27" s="1739">
        <v>4806452102</v>
      </c>
      <c r="B27" s="1740" t="s">
        <v>1362</v>
      </c>
      <c r="C27" s="2151">
        <f>IF(ISERROR(VLOOKUP(A27,Balance!E:K,7,0)),0,VLOOKUP(A27,Balance!E:K,7,0))</f>
        <v>-319643025</v>
      </c>
      <c r="D27" s="1997">
        <f>-C27</f>
        <v>319643025</v>
      </c>
      <c r="E27" s="1741">
        <f>+MonExtranjera!X1388</f>
        <v>0</v>
      </c>
      <c r="F27" s="1742">
        <f>+C27+D27+E27</f>
        <v>0</v>
      </c>
      <c r="G27" s="1750" t="s">
        <v>1201</v>
      </c>
      <c r="H27" s="2017" t="s">
        <v>1208</v>
      </c>
    </row>
    <row r="28" spans="1:8" s="1744" customFormat="1">
      <c r="A28" s="1745">
        <v>4806452103</v>
      </c>
      <c r="B28" s="1746" t="s">
        <v>267</v>
      </c>
      <c r="C28" s="1747">
        <f>IF(ISERROR(VLOOKUP(A28,Balance!E:K,7,0)),0,VLOOKUP(A28,Balance!E:K,7,0))</f>
        <v>0</v>
      </c>
      <c r="D28" s="1995">
        <f t="shared" ref="D28:D30" si="7">IF(C28&gt;0,0,-C28)</f>
        <v>0</v>
      </c>
      <c r="E28" s="1996">
        <f t="shared" ref="E28:E30" si="8">IF(C28&lt;0,0,-C28)</f>
        <v>0</v>
      </c>
      <c r="F28" s="1998">
        <f t="shared" ref="F28:F30" si="9">+C28+D28+E28</f>
        <v>0</v>
      </c>
      <c r="G28" s="1999" t="s">
        <v>1202</v>
      </c>
      <c r="H28" s="2017" t="s">
        <v>1208</v>
      </c>
    </row>
    <row r="29" spans="1:8" s="1744" customFormat="1">
      <c r="A29" s="1745">
        <v>4806452105</v>
      </c>
      <c r="B29" s="1746" t="s">
        <v>1342</v>
      </c>
      <c r="C29" s="1747">
        <f>IF(ISERROR(VLOOKUP(A29,Balance!E:K,7,0)),0,VLOOKUP(A29,Balance!E:K,7,0))</f>
        <v>23295532563</v>
      </c>
      <c r="D29" s="1995">
        <f t="shared" ref="D29" si="10">IF(C29&gt;0,0,-C29)</f>
        <v>0</v>
      </c>
      <c r="E29" s="1996">
        <f t="shared" ref="E29" si="11">IF(C29&lt;0,0,-C29)</f>
        <v>-23295532563</v>
      </c>
      <c r="F29" s="1998">
        <f t="shared" ref="F29" si="12">+C29+D29+E29</f>
        <v>0</v>
      </c>
      <c r="G29" s="1999" t="s">
        <v>1202</v>
      </c>
      <c r="H29" s="2017" t="s">
        <v>1208</v>
      </c>
    </row>
    <row r="30" spans="1:8" s="1744" customFormat="1">
      <c r="A30" s="1745">
        <v>4806453000</v>
      </c>
      <c r="B30" s="1746" t="s">
        <v>32</v>
      </c>
      <c r="C30" s="1747">
        <f>IF(ISERROR(VLOOKUP(A30,Balance!E:K,7,0)),0,VLOOKUP(A30,Balance!E:K,7,0))</f>
        <v>0</v>
      </c>
      <c r="D30" s="1995">
        <f t="shared" si="7"/>
        <v>0</v>
      </c>
      <c r="E30" s="1996">
        <f t="shared" si="8"/>
        <v>0</v>
      </c>
      <c r="F30" s="1998">
        <f t="shared" si="9"/>
        <v>0</v>
      </c>
      <c r="G30" s="1999" t="s">
        <v>1202</v>
      </c>
      <c r="H30" s="1743" t="s">
        <v>1206</v>
      </c>
    </row>
    <row r="31" spans="1:8" s="1744" customFormat="1">
      <c r="A31" s="1739">
        <v>4806900100</v>
      </c>
      <c r="B31" s="1740" t="s">
        <v>176</v>
      </c>
      <c r="C31" s="1994">
        <f>IF(ISERROR(VLOOKUP(A31,Balance!E:K,7,0)),0,VLOOKUP(A31,Balance!E:K,7,0))</f>
        <v>0</v>
      </c>
      <c r="D31" s="1997">
        <f>-C31</f>
        <v>0</v>
      </c>
      <c r="E31" s="1741">
        <f ca="1">+MonExtranjera!X2349+IF(+MonExtranjera!W2349&lt;0,MonExtranjera!W2349,0)</f>
        <v>-34084127.903800003</v>
      </c>
      <c r="F31" s="1742">
        <f ca="1">+C31+D31+E31</f>
        <v>-34084127.903800003</v>
      </c>
      <c r="G31" s="1750" t="s">
        <v>1201</v>
      </c>
      <c r="H31" s="1743" t="s">
        <v>1206</v>
      </c>
    </row>
    <row r="32" spans="1:8" s="1744" customFormat="1">
      <c r="A32" s="1739">
        <v>4806900110</v>
      </c>
      <c r="B32" s="1748" t="s">
        <v>240</v>
      </c>
      <c r="C32" s="1994">
        <f>IF(ISERROR(VLOOKUP(A32,Balance!E:K,7,0)),0,VLOOKUP(A32,Balance!E:K,7,0))</f>
        <v>0</v>
      </c>
      <c r="D32" s="1997">
        <f>-C32</f>
        <v>0</v>
      </c>
      <c r="E32" s="1741">
        <f>+MonExtranjera!X2369</f>
        <v>0</v>
      </c>
      <c r="F32" s="1742">
        <f>+C32+D32+E32</f>
        <v>0</v>
      </c>
      <c r="G32" s="1750" t="s">
        <v>1201</v>
      </c>
      <c r="H32" s="1743" t="s">
        <v>1206</v>
      </c>
    </row>
    <row r="33" spans="1:11" s="1744" customFormat="1">
      <c r="A33" s="1745">
        <v>4806900200</v>
      </c>
      <c r="B33" s="1746" t="s">
        <v>33</v>
      </c>
      <c r="C33" s="1747">
        <f>IF(ISERROR(VLOOKUP(A33,Balance!E:K,7,0)),0,VLOOKUP(A33,Balance!E:K,7,0))</f>
        <v>0</v>
      </c>
      <c r="D33" s="1995">
        <f t="shared" ref="D33:D34" si="13">IF(C33&gt;0,0,-C33)</f>
        <v>0</v>
      </c>
      <c r="E33" s="1996">
        <f t="shared" ref="E33:E34" si="14">IF(C33&lt;0,0,-C33)</f>
        <v>0</v>
      </c>
      <c r="F33" s="1998">
        <f t="shared" ref="F33:F34" si="15">+C33+D33+E33</f>
        <v>0</v>
      </c>
      <c r="G33" s="1999" t="s">
        <v>1202</v>
      </c>
      <c r="H33" s="1743" t="s">
        <v>1206</v>
      </c>
      <c r="I33" s="1749"/>
      <c r="J33" s="1749"/>
      <c r="K33" s="1749"/>
    </row>
    <row r="34" spans="1:11" s="1744" customFormat="1">
      <c r="A34" s="1745">
        <v>4806900210</v>
      </c>
      <c r="B34" s="1746" t="s">
        <v>239</v>
      </c>
      <c r="C34" s="1747">
        <f>IF(ISERROR(VLOOKUP(A34,Balance!E:K,7,0)),0,VLOOKUP(A34,Balance!E:K,7,0))</f>
        <v>0</v>
      </c>
      <c r="D34" s="1995">
        <f t="shared" si="13"/>
        <v>0</v>
      </c>
      <c r="E34" s="1996">
        <f t="shared" si="14"/>
        <v>0</v>
      </c>
      <c r="F34" s="1998">
        <f t="shared" si="15"/>
        <v>0</v>
      </c>
      <c r="G34" s="1999" t="s">
        <v>1202</v>
      </c>
      <c r="H34" s="1743" t="s">
        <v>1206</v>
      </c>
      <c r="I34" s="1749"/>
      <c r="J34" s="1749"/>
      <c r="K34" s="1749"/>
    </row>
    <row r="35" spans="1:11" s="1744" customFormat="1">
      <c r="A35" s="1826">
        <v>5803010100</v>
      </c>
      <c r="B35" s="1827" t="s">
        <v>34</v>
      </c>
      <c r="C35" s="1994">
        <f>IF(ISERROR(VLOOKUP(A35,Balance!E:K,7,0)),0,VLOOKUP(A35,Balance!E:K,7,0))</f>
        <v>463462</v>
      </c>
      <c r="D35" s="2089">
        <f>'Ingreso-Gasto Mes'!Q64</f>
        <v>5367391634</v>
      </c>
      <c r="E35" s="1994">
        <f>IF(C35&lt;0,0,-C35)</f>
        <v>-463462</v>
      </c>
      <c r="F35" s="2006">
        <f t="shared" ref="F35:F41" si="16">+C35+D35+E35</f>
        <v>5367391634</v>
      </c>
      <c r="G35" s="1750" t="s">
        <v>1201</v>
      </c>
      <c r="H35" s="1743" t="s">
        <v>1203</v>
      </c>
      <c r="I35" s="2137" t="s">
        <v>1347</v>
      </c>
    </row>
    <row r="36" spans="1:11" s="1744" customFormat="1">
      <c r="A36" s="2130">
        <v>5803010200</v>
      </c>
      <c r="B36" s="2131" t="s">
        <v>35</v>
      </c>
      <c r="C36" s="1747">
        <f>IF(ISERROR(VLOOKUP(A36,Balance!E:K,7,0)),0,VLOOKUP(A36,Balance!E:K,7,0))</f>
        <v>-5284159</v>
      </c>
      <c r="D36" s="1995">
        <f>IF(C36&gt;0,0,-C36)</f>
        <v>5284159</v>
      </c>
      <c r="E36" s="1996">
        <f>IF(C36&lt;0,0,-C36)</f>
        <v>0</v>
      </c>
      <c r="F36" s="1998">
        <f t="shared" si="16"/>
        <v>0</v>
      </c>
      <c r="G36" s="1999" t="s">
        <v>1202</v>
      </c>
      <c r="H36" s="1743" t="s">
        <v>1203</v>
      </c>
    </row>
    <row r="37" spans="1:11" s="1744" customFormat="1">
      <c r="A37" s="1739">
        <v>5803010300</v>
      </c>
      <c r="B37" s="1740" t="s">
        <v>1235</v>
      </c>
      <c r="C37" s="1994">
        <f>IF(ISERROR(VLOOKUP(A37,Balance!E:K,7,0)),0,VLOOKUP(A37,Balance!E:K,7,0))</f>
        <v>2741982078</v>
      </c>
      <c r="D37" s="1750">
        <f ca="1">IF(C37&gt;0,+MonExtranjera!W463+MonExtranjera!W558,-C37)</f>
        <v>3842737212.2916918</v>
      </c>
      <c r="E37" s="1994">
        <f>IF(C37&lt;0,+MonExtranjera!W463+MonExtranjera!W558,-C37)</f>
        <v>-2741982078</v>
      </c>
      <c r="F37" s="1742">
        <f t="shared" ca="1" si="16"/>
        <v>3842737212.2916918</v>
      </c>
      <c r="G37" s="1750" t="s">
        <v>1201</v>
      </c>
      <c r="H37" s="1743" t="s">
        <v>1203</v>
      </c>
    </row>
    <row r="38" spans="1:11" s="1744" customFormat="1">
      <c r="A38" s="1745">
        <v>5803010400</v>
      </c>
      <c r="B38" s="2135" t="s">
        <v>1186</v>
      </c>
      <c r="C38" s="1747">
        <f>IF(ISERROR(VLOOKUP(A38,Balance!E:K,7,0)),0,VLOOKUP(A38,Balance!E:K,7,0))</f>
        <v>1716187137</v>
      </c>
      <c r="D38" s="1995">
        <f>IF(C38&gt;0,0,-C38)</f>
        <v>0</v>
      </c>
      <c r="E38" s="1996">
        <f>IF(C38&lt;0,0,-C38)</f>
        <v>-1716187137</v>
      </c>
      <c r="F38" s="1998">
        <f t="shared" si="16"/>
        <v>0</v>
      </c>
      <c r="G38" s="1999" t="s">
        <v>1202</v>
      </c>
      <c r="H38" s="1743" t="s">
        <v>1203</v>
      </c>
    </row>
    <row r="39" spans="1:11" s="1744" customFormat="1">
      <c r="A39" s="1739">
        <v>5803010500</v>
      </c>
      <c r="B39" s="1740" t="s">
        <v>1236</v>
      </c>
      <c r="C39" s="1994">
        <f>IF(ISERROR(VLOOKUP(A39,Balance!E:K,7,0)),0,VLOOKUP(A39,Balance!E:K,7,0))</f>
        <v>2094741425</v>
      </c>
      <c r="D39" s="1750">
        <f ca="1">IF(C39&gt;0,+MonExtranjera!W758+MonExtranjera!W827,-C39)</f>
        <v>1890190901.9876857</v>
      </c>
      <c r="E39" s="1994">
        <f>IF(C39&lt;0,+MonExtranjera!W758+MonExtranjera!W827,-C39)</f>
        <v>-2094741425</v>
      </c>
      <c r="F39" s="1742">
        <f t="shared" ca="1" si="16"/>
        <v>1890190901.9876857</v>
      </c>
      <c r="G39" s="1750" t="s">
        <v>1201</v>
      </c>
      <c r="H39" s="1743" t="s">
        <v>1203</v>
      </c>
    </row>
    <row r="40" spans="1:11" s="1744" customFormat="1">
      <c r="A40" s="1745">
        <v>5803010600</v>
      </c>
      <c r="B40" s="1746" t="s">
        <v>1187</v>
      </c>
      <c r="C40" s="1747">
        <f>IF(ISERROR(VLOOKUP(A40,Balance!E:K,7,0)),0,VLOOKUP(A40,Balance!E:K,7,0))</f>
        <v>-309462</v>
      </c>
      <c r="D40" s="1995">
        <f>IF(C40&gt;0,0,-C40)</f>
        <v>309462</v>
      </c>
      <c r="E40" s="1996">
        <f>IF(C40&lt;0,0,-C40)</f>
        <v>0</v>
      </c>
      <c r="F40" s="1998">
        <f t="shared" si="16"/>
        <v>0</v>
      </c>
      <c r="G40" s="1999" t="s">
        <v>1202</v>
      </c>
      <c r="H40" s="1743" t="s">
        <v>1203</v>
      </c>
    </row>
    <row r="41" spans="1:11" s="1744" customFormat="1">
      <c r="A41" s="1739">
        <v>5803020100</v>
      </c>
      <c r="B41" s="1740" t="s">
        <v>36</v>
      </c>
      <c r="C41" s="1994">
        <f>IF(ISERROR(VLOOKUP(A41,Balance!E:K,7,0)),0,VLOOKUP(A41,Balance!E:K,7,0))</f>
        <v>1206856</v>
      </c>
      <c r="D41" s="1750">
        <f ca="1">+MonExtranjera!W1534+MonExtranjera!W1459</f>
        <v>23852398.665999968</v>
      </c>
      <c r="E41" s="1994">
        <f>-C41</f>
        <v>-1206856</v>
      </c>
      <c r="F41" s="1742">
        <f t="shared" ca="1" si="16"/>
        <v>23852398.665999968</v>
      </c>
      <c r="G41" s="1750" t="s">
        <v>1201</v>
      </c>
      <c r="H41" s="1743" t="s">
        <v>1204</v>
      </c>
    </row>
    <row r="42" spans="1:11" s="1744" customFormat="1">
      <c r="A42" s="1745">
        <v>5803020200</v>
      </c>
      <c r="B42" s="1746" t="s">
        <v>37</v>
      </c>
      <c r="C42" s="1747">
        <f>IF(ISERROR(VLOOKUP(A42,Balance!E:K,7,0)),0,VLOOKUP(A42,Balance!E:K,7,0))</f>
        <v>-3604826</v>
      </c>
      <c r="D42" s="1995">
        <f t="shared" ref="D42:D43" si="17">IF(C42&gt;0,0,-C42)</f>
        <v>3604826</v>
      </c>
      <c r="E42" s="1996">
        <f t="shared" ref="E42:E43" si="18">IF(C42&lt;0,0,-C42)</f>
        <v>0</v>
      </c>
      <c r="F42" s="1998">
        <f t="shared" ref="F42:F43" si="19">+C42+D42+E42</f>
        <v>0</v>
      </c>
      <c r="G42" s="1999" t="s">
        <v>1202</v>
      </c>
      <c r="H42" s="1743" t="s">
        <v>1204</v>
      </c>
    </row>
    <row r="43" spans="1:11" s="1744" customFormat="1">
      <c r="A43" s="1745">
        <v>5803023000</v>
      </c>
      <c r="B43" s="1746" t="s">
        <v>38</v>
      </c>
      <c r="C43" s="1747">
        <f>IF(ISERROR(VLOOKUP(A43,Balance!E:K,7,0)),0,VLOOKUP(A43,Balance!E:K,7,0))</f>
        <v>0</v>
      </c>
      <c r="D43" s="1995">
        <f t="shared" si="17"/>
        <v>0</v>
      </c>
      <c r="E43" s="1996">
        <f t="shared" si="18"/>
        <v>0</v>
      </c>
      <c r="F43" s="1998">
        <f t="shared" si="19"/>
        <v>0</v>
      </c>
      <c r="G43" s="1999" t="s">
        <v>1202</v>
      </c>
      <c r="H43" s="1743" t="s">
        <v>1205</v>
      </c>
    </row>
    <row r="44" spans="1:11" s="1744" customFormat="1">
      <c r="A44" s="1739">
        <v>5803120000</v>
      </c>
      <c r="B44" s="1740" t="s">
        <v>39</v>
      </c>
      <c r="C44" s="1994">
        <f>IF(ISERROR(VLOOKUP(A44,Balance!E:K,7,0)),0,VLOOKUP(A44,Balance!E:K,7,0))</f>
        <v>17710294</v>
      </c>
      <c r="D44" s="1750">
        <f ca="1">+MonExtranjera!W1983</f>
        <v>106248078.38714699</v>
      </c>
      <c r="E44" s="1994">
        <f>-C44</f>
        <v>-17710294</v>
      </c>
      <c r="F44" s="1742">
        <f ca="1">+C44+D44+E44</f>
        <v>106248078.38714699</v>
      </c>
      <c r="G44" s="1750" t="s">
        <v>1201</v>
      </c>
      <c r="H44" s="1743" t="s">
        <v>1206</v>
      </c>
    </row>
    <row r="45" spans="1:11" s="1744" customFormat="1">
      <c r="A45" s="1745">
        <v>5803120200</v>
      </c>
      <c r="B45" s="1746" t="s">
        <v>40</v>
      </c>
      <c r="C45" s="1747">
        <f>IF(ISERROR(VLOOKUP(A45,Balance!E:K,7,0)),0,VLOOKUP(A45,Balance!E:K,7,0))</f>
        <v>40732564</v>
      </c>
      <c r="D45" s="1995">
        <f>IF(C45&gt;0,0,-C45)</f>
        <v>0</v>
      </c>
      <c r="E45" s="1996">
        <f>IF(C45&lt;0,0,-C45)</f>
        <v>-40732564</v>
      </c>
      <c r="F45" s="1998">
        <f>+C45+D45+E45</f>
        <v>0</v>
      </c>
      <c r="G45" s="1999" t="s">
        <v>1202</v>
      </c>
      <c r="H45" s="1743" t="s">
        <v>1206</v>
      </c>
    </row>
    <row r="46" spans="1:11" s="1744" customFormat="1">
      <c r="A46" s="1739">
        <v>5803130000</v>
      </c>
      <c r="B46" s="1740" t="s">
        <v>41</v>
      </c>
      <c r="C46" s="1994">
        <f>IF(ISERROR(VLOOKUP(A46,Balance!E:K,7,0)),0,VLOOKUP(A46,Balance!E:K,7,0))</f>
        <v>3451705130</v>
      </c>
      <c r="D46" s="1750">
        <f ca="1">+MonExtranjera!W2195</f>
        <v>361372795.00279778</v>
      </c>
      <c r="E46" s="1994">
        <f>-C46</f>
        <v>-3451705130</v>
      </c>
      <c r="F46" s="1742">
        <f ca="1">+C46+D46+E46</f>
        <v>361372795.0027976</v>
      </c>
      <c r="G46" s="1750" t="s">
        <v>1201</v>
      </c>
      <c r="H46" s="1743" t="s">
        <v>1206</v>
      </c>
    </row>
    <row r="47" spans="1:11" s="1744" customFormat="1">
      <c r="A47" s="1745">
        <v>5803130200</v>
      </c>
      <c r="B47" s="1746" t="s">
        <v>42</v>
      </c>
      <c r="C47" s="1747">
        <f>IF(ISERROR(VLOOKUP(A47,Balance!E:K,7,0)),0,VLOOKUP(A47,Balance!E:K,7,0))</f>
        <v>-2776196643</v>
      </c>
      <c r="D47" s="1995">
        <f t="shared" ref="D47:D50" si="20">IF(C47&gt;0,0,-C47)</f>
        <v>2776196643</v>
      </c>
      <c r="E47" s="1996">
        <f t="shared" ref="E47:E50" si="21">IF(C47&lt;0,0,-C47)</f>
        <v>0</v>
      </c>
      <c r="F47" s="1998">
        <f t="shared" ref="F47:F50" si="22">+C47+D47+E47</f>
        <v>0</v>
      </c>
      <c r="G47" s="1999" t="s">
        <v>1202</v>
      </c>
      <c r="H47" s="1743" t="s">
        <v>1206</v>
      </c>
    </row>
    <row r="48" spans="1:11" s="1744" customFormat="1">
      <c r="A48" s="1739">
        <v>5803360100</v>
      </c>
      <c r="B48" s="1740" t="s">
        <v>1367</v>
      </c>
      <c r="C48" s="1994">
        <f>IF(ISERROR(VLOOKUP(A48,Balance!E:K,7,0)),0,VLOOKUP(A48,Balance!E:K,7,0))</f>
        <v>5685956769</v>
      </c>
      <c r="D48" s="1750">
        <f ca="1">MonExtranjera!W854</f>
        <v>5685956768.4399986</v>
      </c>
      <c r="E48" s="1994">
        <f t="shared" si="21"/>
        <v>-5685956769</v>
      </c>
      <c r="F48" s="1742">
        <f t="shared" ca="1" si="22"/>
        <v>5685956768.4399986</v>
      </c>
      <c r="G48" s="1750" t="s">
        <v>1201</v>
      </c>
      <c r="H48" s="2018" t="s">
        <v>1272</v>
      </c>
    </row>
    <row r="49" spans="1:8" s="1744" customFormat="1">
      <c r="A49" s="1745">
        <v>5803360200</v>
      </c>
      <c r="B49" s="1746" t="s">
        <v>1270</v>
      </c>
      <c r="C49" s="1747">
        <f>IF(ISERROR(VLOOKUP(A49,Balance!E:K,7,0)),0,VLOOKUP(A49,Balance!E:K,7,0))</f>
        <v>0</v>
      </c>
      <c r="D49" s="1995">
        <f t="shared" ref="D49" si="23">IF(C49&gt;0,0,-C49)</f>
        <v>0</v>
      </c>
      <c r="E49" s="1996">
        <f t="shared" ref="E49" si="24">IF(C49&lt;0,0,-C49)</f>
        <v>0</v>
      </c>
      <c r="F49" s="1998">
        <f t="shared" ref="F49" si="25">+C49+D49+E49</f>
        <v>0</v>
      </c>
      <c r="G49" s="1999" t="s">
        <v>1202</v>
      </c>
      <c r="H49" s="2018" t="s">
        <v>1272</v>
      </c>
    </row>
    <row r="50" spans="1:8" s="1744" customFormat="1">
      <c r="A50" s="1745">
        <v>5803451000</v>
      </c>
      <c r="B50" s="1746" t="s">
        <v>177</v>
      </c>
      <c r="C50" s="1747">
        <f>IF(ISERROR(VLOOKUP(A50,Balance!E:K,7,0)),0,VLOOKUP(A50,Balance!E:K,7,0))</f>
        <v>-17981354605</v>
      </c>
      <c r="D50" s="1995">
        <f t="shared" si="20"/>
        <v>17981354605</v>
      </c>
      <c r="E50" s="1996">
        <f t="shared" si="21"/>
        <v>0</v>
      </c>
      <c r="F50" s="1998">
        <f t="shared" si="22"/>
        <v>0</v>
      </c>
      <c r="G50" s="1999" t="s">
        <v>1202</v>
      </c>
      <c r="H50" s="1743" t="s">
        <v>1207</v>
      </c>
    </row>
    <row r="51" spans="1:8" s="1744" customFormat="1">
      <c r="A51" s="2132">
        <v>5803451110</v>
      </c>
      <c r="B51" s="2133" t="s">
        <v>1188</v>
      </c>
      <c r="C51" s="1994">
        <f>IF(ISERROR(VLOOKUP(A51,Balance!E:K,7,0)),0,VLOOKUP(A51,Balance!E:K,7,0))</f>
        <v>88002922</v>
      </c>
      <c r="D51" s="1750">
        <v>0</v>
      </c>
      <c r="E51" s="1994">
        <f>-C51</f>
        <v>-88002922</v>
      </c>
      <c r="F51" s="2134">
        <f>+C51+D51+E51</f>
        <v>0</v>
      </c>
      <c r="G51" s="1750" t="s">
        <v>1201</v>
      </c>
      <c r="H51" s="1743" t="s">
        <v>1203</v>
      </c>
    </row>
    <row r="52" spans="1:8" s="1744" customFormat="1">
      <c r="A52" s="2132">
        <v>5803451210</v>
      </c>
      <c r="B52" s="2133" t="s">
        <v>2509</v>
      </c>
      <c r="C52" s="1994">
        <f>IF(ISERROR(VLOOKUP(A52,Balance!E:K,7,0)),0,VLOOKUP(A52,Balance!E:K,7,0))</f>
        <v>1388762314</v>
      </c>
      <c r="D52" s="1750">
        <v>0</v>
      </c>
      <c r="E52" s="1994">
        <f>-C52</f>
        <v>-1388762314</v>
      </c>
      <c r="F52" s="2134">
        <f>+C52+D52+E52</f>
        <v>0</v>
      </c>
      <c r="G52" s="1750" t="s">
        <v>1201</v>
      </c>
      <c r="H52" s="1743" t="s">
        <v>1203</v>
      </c>
    </row>
    <row r="53" spans="1:8" s="1744" customFormat="1">
      <c r="A53" s="1739">
        <v>5803452000</v>
      </c>
      <c r="B53" s="1740" t="s">
        <v>209</v>
      </c>
      <c r="C53" s="1994">
        <f>IF(ISERROR(VLOOKUP(A53,Balance!E:K,7,0)),0,VLOOKUP(A53,Balance!E:K,7,0))</f>
        <v>6849388</v>
      </c>
      <c r="D53" s="1750">
        <f ca="1">+MonExtranjera!W1387</f>
        <v>3380740805.5234995</v>
      </c>
      <c r="E53" s="1994">
        <f>-C53</f>
        <v>-6849388</v>
      </c>
      <c r="F53" s="1742">
        <f ca="1">+C53+D53+E53</f>
        <v>3380740805.5234995</v>
      </c>
      <c r="G53" s="1750" t="s">
        <v>1201</v>
      </c>
      <c r="H53" s="1743" t="s">
        <v>1207</v>
      </c>
    </row>
    <row r="54" spans="1:8" s="1744" customFormat="1">
      <c r="A54" s="1739">
        <v>5803452102</v>
      </c>
      <c r="B54" s="1748" t="s">
        <v>1112</v>
      </c>
      <c r="C54" s="2151">
        <f>IF(ISERROR(VLOOKUP(A54,Balance!E:K,7,0)),0,VLOOKUP(A54,Balance!E:K,7,0))</f>
        <v>502911554</v>
      </c>
      <c r="D54" s="1750"/>
      <c r="E54" s="1994">
        <f>-C54</f>
        <v>-502911554</v>
      </c>
      <c r="F54" s="1742">
        <f>+C54+D54+E54</f>
        <v>0</v>
      </c>
      <c r="G54" s="1750" t="s">
        <v>1201</v>
      </c>
      <c r="H54" s="2017" t="s">
        <v>1208</v>
      </c>
    </row>
    <row r="55" spans="1:8" s="1744" customFormat="1">
      <c r="A55" s="1745">
        <v>5803452103</v>
      </c>
      <c r="B55" s="1751" t="s">
        <v>266</v>
      </c>
      <c r="C55" s="1747">
        <f>IF(ISERROR(VLOOKUP(A55,Balance!E:K,7,0)),0,VLOOKUP(A55,Balance!E:K,7,0))</f>
        <v>0</v>
      </c>
      <c r="D55" s="1995">
        <f t="shared" ref="D55:D56" si="26">IF(C55&gt;0,0,-C55)</f>
        <v>0</v>
      </c>
      <c r="E55" s="1996">
        <f t="shared" ref="E55:E56" si="27">IF(C55&lt;0,0,-C55)</f>
        <v>0</v>
      </c>
      <c r="F55" s="1998">
        <f t="shared" ref="F55:F56" si="28">+C55+D55+E55</f>
        <v>0</v>
      </c>
      <c r="G55" s="1999" t="s">
        <v>1202</v>
      </c>
      <c r="H55" s="2017" t="s">
        <v>1208</v>
      </c>
    </row>
    <row r="56" spans="1:8" s="1744" customFormat="1">
      <c r="A56" s="1745">
        <v>5803453000</v>
      </c>
      <c r="B56" s="1746" t="s">
        <v>188</v>
      </c>
      <c r="C56" s="1747">
        <f>IF(ISERROR(VLOOKUP(A56,Balance!E:K,7,0)),0,VLOOKUP(A56,Balance!E:K,7,0))</f>
        <v>-58944289</v>
      </c>
      <c r="D56" s="1995">
        <f t="shared" si="26"/>
        <v>58944289</v>
      </c>
      <c r="E56" s="1996">
        <f t="shared" si="27"/>
        <v>0</v>
      </c>
      <c r="F56" s="1998">
        <f t="shared" si="28"/>
        <v>0</v>
      </c>
      <c r="G56" s="1999" t="s">
        <v>1202</v>
      </c>
      <c r="H56" s="1743" t="s">
        <v>1206</v>
      </c>
    </row>
    <row r="57" spans="1:8" s="1744" customFormat="1">
      <c r="A57" s="1739">
        <v>5803900300</v>
      </c>
      <c r="B57" s="1740" t="s">
        <v>241</v>
      </c>
      <c r="C57" s="1994">
        <f>IF(ISERROR(VLOOKUP(A57,Balance!E:K,7,0)),0,VLOOKUP(A57,Balance!E:K,7,0))</f>
        <v>29155</v>
      </c>
      <c r="D57" s="1750">
        <f ca="1">IF(+MonExtranjera!W2349&lt;0,0,MonExtranjera!W2349)</f>
        <v>58945234.91999995</v>
      </c>
      <c r="E57" s="1994">
        <f>-C57</f>
        <v>-29155</v>
      </c>
      <c r="F57" s="1742">
        <f ca="1">+C57+D57+E57</f>
        <v>58945234.91999995</v>
      </c>
      <c r="G57" s="1750" t="s">
        <v>1201</v>
      </c>
      <c r="H57" s="1743" t="s">
        <v>1206</v>
      </c>
    </row>
    <row r="58" spans="1:8" s="1744" customFormat="1">
      <c r="A58" s="1739">
        <v>5803900310</v>
      </c>
      <c r="B58" s="1740" t="s">
        <v>242</v>
      </c>
      <c r="C58" s="1994">
        <f>IF(ISERROR(VLOOKUP(A58,Balance!E:K,7,0)),0,VLOOKUP(A58,Balance!E:K,7,0))</f>
        <v>0</v>
      </c>
      <c r="D58" s="1750">
        <f>+MonExtranjera!W2369</f>
        <v>0</v>
      </c>
      <c r="E58" s="1994">
        <f>-C58</f>
        <v>0</v>
      </c>
      <c r="F58" s="1742">
        <f>+C58+D58+E58</f>
        <v>0</v>
      </c>
      <c r="G58" s="1750" t="s">
        <v>1201</v>
      </c>
      <c r="H58" s="1743" t="s">
        <v>1206</v>
      </c>
    </row>
    <row r="59" spans="1:8" s="1744" customFormat="1">
      <c r="A59" s="1745">
        <v>5803901300</v>
      </c>
      <c r="B59" s="1746" t="s">
        <v>43</v>
      </c>
      <c r="C59" s="1747">
        <f>IF(ISERROR(VLOOKUP(A59,Balance!E:K,7,0)),0,VLOOKUP(A59,Balance!E:K,7,0))</f>
        <v>-15130</v>
      </c>
      <c r="D59" s="1995">
        <f t="shared" ref="D59:D60" si="29">IF(C59&gt;0,0,-C59)</f>
        <v>15130</v>
      </c>
      <c r="E59" s="1996">
        <f t="shared" ref="E59:E60" si="30">IF(C59&lt;0,0,-C59)</f>
        <v>0</v>
      </c>
      <c r="F59" s="1998">
        <f t="shared" ref="F59:F60" si="31">+C59+D59+E59</f>
        <v>0</v>
      </c>
      <c r="G59" s="1999" t="s">
        <v>1202</v>
      </c>
      <c r="H59" s="1743" t="s">
        <v>1206</v>
      </c>
    </row>
    <row r="60" spans="1:8" s="1744" customFormat="1">
      <c r="A60" s="1745">
        <v>5803901310</v>
      </c>
      <c r="B60" s="1746" t="s">
        <v>44</v>
      </c>
      <c r="C60" s="1747">
        <f>IF(ISERROR(VLOOKUP(A60,Balance!E:K,7,0)),0,VLOOKUP(A60,Balance!E:K,7,0))</f>
        <v>0</v>
      </c>
      <c r="D60" s="1995">
        <f t="shared" si="29"/>
        <v>0</v>
      </c>
      <c r="E60" s="1996">
        <f t="shared" si="30"/>
        <v>0</v>
      </c>
      <c r="F60" s="1998">
        <f t="shared" si="31"/>
        <v>0</v>
      </c>
      <c r="G60" s="1999" t="s">
        <v>1202</v>
      </c>
      <c r="H60" s="1743" t="s">
        <v>1206</v>
      </c>
    </row>
    <row r="61" spans="1:8" s="1744" customFormat="1">
      <c r="A61" s="1752"/>
      <c r="B61" s="1752"/>
      <c r="C61" s="1753"/>
      <c r="D61" s="1753"/>
      <c r="E61" s="1753"/>
      <c r="F61" s="1754"/>
      <c r="G61" s="1753"/>
      <c r="H61" s="1753"/>
    </row>
    <row r="62" spans="1:8" s="1744" customFormat="1">
      <c r="A62" s="1752"/>
      <c r="B62" s="1752"/>
      <c r="C62" s="1755">
        <f>SUM(C6:C61)</f>
        <v>-11550259989</v>
      </c>
      <c r="D62" s="1756">
        <f ca="1">SUM(D6:D61)</f>
        <v>73978062908.218826</v>
      </c>
      <c r="E62" s="1757">
        <f ca="1">SUM(E6:E61)</f>
        <v>-55379238399.211861</v>
      </c>
      <c r="F62" s="1758">
        <f ca="1">SUM(F6:F61)</f>
        <v>7048564520.0069618</v>
      </c>
      <c r="G62" s="1753"/>
      <c r="H62" s="1753"/>
    </row>
    <row r="63" spans="1:8" s="1744" customFormat="1" ht="13.5" thickBot="1">
      <c r="A63" s="2039" t="s">
        <v>1283</v>
      </c>
      <c r="B63" s="2039" t="s">
        <v>1116</v>
      </c>
      <c r="C63" s="2050">
        <f>IF(ISERROR(VLOOKUP(B63,Balance!E:K,7,0)),0,VLOOKUP(B63,Balance!E:K,7,0))</f>
        <v>-11550259989</v>
      </c>
      <c r="H63" s="1743" t="s">
        <v>1209</v>
      </c>
    </row>
    <row r="64" spans="1:8" s="1744" customFormat="1" ht="13.5" thickBot="1">
      <c r="B64" s="1759" t="s">
        <v>1216</v>
      </c>
      <c r="C64" s="1759"/>
      <c r="D64" s="1759">
        <f ca="1">D35+D37+D39+D41+D44+D46+D48+D51+D53+D57+D58</f>
        <v>20717435829.218819</v>
      </c>
      <c r="E64" s="1759">
        <f ca="1">+E6+E7+E10+E12+E16+E18+E21+E26+E31</f>
        <v>-13668871309.211859</v>
      </c>
      <c r="F64" s="1749"/>
    </row>
    <row r="65" spans="2:8" s="1744" customFormat="1">
      <c r="B65" s="1760"/>
      <c r="C65" s="1760"/>
      <c r="D65" s="1760"/>
      <c r="E65" s="1760"/>
      <c r="F65" s="2464"/>
    </row>
    <row r="66" spans="2:8" ht="13.5" thickBot="1">
      <c r="B66" s="2168"/>
      <c r="C66" s="2169"/>
      <c r="D66" s="2170" t="s">
        <v>253</v>
      </c>
      <c r="E66" s="2170" t="s">
        <v>254</v>
      </c>
    </row>
    <row r="67" spans="2:8" ht="13.5" thickBot="1">
      <c r="B67" s="2171" t="s">
        <v>250</v>
      </c>
      <c r="C67" s="2171"/>
      <c r="D67" s="2171">
        <f ca="1">+MonExtranjera!W2372</f>
        <v>15350044195.218819</v>
      </c>
      <c r="E67" s="2171">
        <f ca="1">+MonExtranjera!X2372</f>
        <v>-10621405584.211861</v>
      </c>
    </row>
    <row r="68" spans="2:8">
      <c r="B68" s="2168"/>
      <c r="C68" s="1762" t="s">
        <v>251</v>
      </c>
      <c r="D68" s="2218">
        <f ca="1">+D64-D67</f>
        <v>5367391634</v>
      </c>
      <c r="E68" s="2218">
        <f ca="1">+E64-E67</f>
        <v>-3047465724.9999981</v>
      </c>
      <c r="F68" s="2172" t="s">
        <v>1377</v>
      </c>
    </row>
    <row r="69" spans="2:8">
      <c r="B69" s="2168"/>
      <c r="C69" s="1762"/>
      <c r="D69" s="1763"/>
      <c r="E69" s="1763"/>
      <c r="F69" s="2172"/>
    </row>
    <row r="70" spans="2:8">
      <c r="G70" s="2043" t="s">
        <v>1211</v>
      </c>
    </row>
    <row r="71" spans="2:8" s="1828" customFormat="1" ht="15.75">
      <c r="B71" s="1837" t="s">
        <v>1190</v>
      </c>
      <c r="C71" s="1838">
        <f>+C6+C7+C8+C9+C10+C11+C24+C25+C35+C36+C37+C38+C39+C40+C51+C52</f>
        <v>-17990933603</v>
      </c>
      <c r="D71" s="1838">
        <f ca="1">+D6+D7+D8+D9+D10+D11+D24+D25+D35+D36+D37+D38+D39+D40+D51+D52</f>
        <v>37121392689.279381</v>
      </c>
      <c r="E71" s="1838">
        <f ca="1">+E6+E7+E8+E9+E10+E11+E24+E25+E35+E36+E37+E38+E39+E40+E51+E52</f>
        <v>-20612501473.951408</v>
      </c>
      <c r="F71" s="1838">
        <f ca="1">+F6+F7+F8+F9+F10+F11+F24+F25+F35+F36+F37+F38+F39+F40+F51+F52</f>
        <v>-1482042387.6720328</v>
      </c>
      <c r="G71" s="1938">
        <f ca="1">F71-C71</f>
        <v>16508891215.327967</v>
      </c>
    </row>
    <row r="72" spans="2:8" s="1828" customFormat="1" ht="15.75">
      <c r="B72" s="1837" t="s">
        <v>1191</v>
      </c>
      <c r="C72" s="1838">
        <f>+C23+C26+C50+C53</f>
        <v>-22426768830</v>
      </c>
      <c r="D72" s="1838">
        <f ca="1">+D23+D26+D50+D53</f>
        <v>25814359023.523499</v>
      </c>
      <c r="E72" s="1838">
        <f ca="1">+E23+E26+E50+E53</f>
        <v>-222495056.52980077</v>
      </c>
      <c r="F72" s="1838">
        <f ca="1">+F23+F26+F50+F53</f>
        <v>3165095136.9936986</v>
      </c>
      <c r="G72" s="1938">
        <f t="shared" ref="G72:G76" ca="1" si="32">F72-C72</f>
        <v>25591863966.993698</v>
      </c>
    </row>
    <row r="73" spans="2:8" s="1828" customFormat="1" ht="15.75">
      <c r="B73" s="1837" t="s">
        <v>1214</v>
      </c>
      <c r="C73" s="1838">
        <f>+C12+C13+C14+C15+C41+C42+C43</f>
        <v>6795035</v>
      </c>
      <c r="D73" s="1838">
        <f ca="1">+D12+D13+D14+D15+D41+D42+D43</f>
        <v>28391080.665999968</v>
      </c>
      <c r="E73" s="1838">
        <f ca="1">+E12+E13+E14+E15+E41+E42+E43</f>
        <v>-28034179.576800015</v>
      </c>
      <c r="F73" s="1838">
        <f ca="1">+F12+F13+F14+F15+F41+F42+F43</f>
        <v>7151936.0891999528</v>
      </c>
      <c r="G73" s="1938">
        <f t="shared" ca="1" si="32"/>
        <v>356901.08919995278</v>
      </c>
    </row>
    <row r="74" spans="2:8" s="1828" customFormat="1" ht="15.75">
      <c r="B74" s="1837" t="s">
        <v>1215</v>
      </c>
      <c r="C74" s="1838">
        <f>+C16+C17+C18+C19+C20+C30+C31+C32+C33+C34+C44+C45+C46+C47+C56+C57+C58+C59+C60</f>
        <v>113284348</v>
      </c>
      <c r="D74" s="1838">
        <f ca="1">+D16+D17+D18+D19+D20+D30+D31+D32+D33+D34+D44+D45+D46+D47+D56+D57+D58+D59+D60</f>
        <v>4590925521.3099451</v>
      </c>
      <c r="E74" s="1838">
        <f ca="1">+E16+E17+E18+E19+E20+E30+E31+E32+E33+E34+E44+E45+E46+E47+E56+E57+E58+E59+E60</f>
        <v>-4614412003.1538525</v>
      </c>
      <c r="F74" s="1838">
        <f ca="1">+F16+F17+F18+F19+F20+F30+F31+F32+F33+F34+F44+F45+F46+F47+F56+F57+F58+F59+F60</f>
        <v>89797866.156091869</v>
      </c>
      <c r="G74" s="1938">
        <f t="shared" ca="1" si="32"/>
        <v>-23486481.843908131</v>
      </c>
    </row>
    <row r="75" spans="2:8" s="1828" customFormat="1" ht="15.75">
      <c r="B75" s="1837" t="s">
        <v>1196</v>
      </c>
      <c r="C75" s="1838">
        <f>C27+C28+C29+C54+C55</f>
        <v>23478801092</v>
      </c>
      <c r="D75" s="1838">
        <f t="shared" ref="D75:F75" si="33">D27+D28+D29+D54+D55</f>
        <v>319643025</v>
      </c>
      <c r="E75" s="1838">
        <f t="shared" si="33"/>
        <v>-23798444117</v>
      </c>
      <c r="F75" s="1838">
        <f t="shared" si="33"/>
        <v>0</v>
      </c>
      <c r="G75" s="1938">
        <f t="shared" si="32"/>
        <v>-23478801092</v>
      </c>
    </row>
    <row r="76" spans="2:8" s="1828" customFormat="1" ht="15.75">
      <c r="B76" s="1837" t="s">
        <v>1273</v>
      </c>
      <c r="C76" s="1838">
        <f>+C49+C48+C22+C21</f>
        <v>5268561969</v>
      </c>
      <c r="D76" s="1838">
        <f t="shared" ref="D76:F76" ca="1" si="34">+D49+D48+D22+D21</f>
        <v>6103351568.4399986</v>
      </c>
      <c r="E76" s="1838">
        <f t="shared" ca="1" si="34"/>
        <v>-6103351568.9999981</v>
      </c>
      <c r="F76" s="1838">
        <f t="shared" ca="1" si="34"/>
        <v>5268561968.4400005</v>
      </c>
      <c r="G76" s="1938">
        <f t="shared" ca="1" si="32"/>
        <v>-0.55999946594238281</v>
      </c>
    </row>
    <row r="77" spans="2:8" s="1829" customFormat="1" ht="15.75">
      <c r="B77" s="1829" t="s">
        <v>1277</v>
      </c>
      <c r="C77" s="1839">
        <f>SUM(C71:C76)</f>
        <v>-11550259989</v>
      </c>
      <c r="D77" s="1840"/>
      <c r="E77" s="1840"/>
      <c r="F77" s="1839">
        <f ca="1">SUM(F71:F76)</f>
        <v>7048564520.006958</v>
      </c>
      <c r="G77" s="1939">
        <f ca="1">SUM(G71:G76)</f>
        <v>18598824509.006958</v>
      </c>
    </row>
    <row r="78" spans="2:8" ht="15.75">
      <c r="F78" s="2038"/>
    </row>
    <row r="79" spans="2:8" ht="15.75">
      <c r="E79" s="2044" t="s">
        <v>1282</v>
      </c>
      <c r="F79" s="2045">
        <f ca="1">+F77</f>
        <v>7048564520.006958</v>
      </c>
      <c r="G79" s="2045">
        <f ca="1">+G77</f>
        <v>18598824509.006958</v>
      </c>
      <c r="H79" s="2044" t="s">
        <v>1281</v>
      </c>
    </row>
    <row r="81" spans="4:7" ht="18">
      <c r="D81" s="2042" t="s">
        <v>2248</v>
      </c>
      <c r="E81" s="2042" t="s">
        <v>1346</v>
      </c>
      <c r="F81" s="2173" t="s">
        <v>1378</v>
      </c>
    </row>
    <row r="82" spans="4:7" ht="15.75">
      <c r="D82" s="2040" t="s">
        <v>1260</v>
      </c>
      <c r="E82" s="2040" t="str">
        <f>IF(F82&lt;0,"Ingreso","Gasto")</f>
        <v>Ingreso</v>
      </c>
      <c r="F82" s="2041">
        <f>NegoDivisa!B$10</f>
        <v>-281172935</v>
      </c>
    </row>
    <row r="83" spans="4:7" ht="15.75">
      <c r="D83" s="2040" t="s">
        <v>1261</v>
      </c>
      <c r="E83" s="2040" t="str">
        <f t="shared" ref="E83:E93" si="35">IF(F83&lt;0,"Ingreso","Gasto")</f>
        <v>Ingreso</v>
      </c>
      <c r="F83" s="2041">
        <f>NegoDivisa!C$10</f>
        <v>-345879307</v>
      </c>
    </row>
    <row r="84" spans="4:7" ht="15.75">
      <c r="D84" s="2040" t="s">
        <v>1274</v>
      </c>
      <c r="E84" s="2040" t="str">
        <f t="shared" si="35"/>
        <v>Gasto</v>
      </c>
      <c r="F84" s="2041">
        <f>NegoDivisa!D$10</f>
        <v>419750368</v>
      </c>
    </row>
    <row r="85" spans="4:7" ht="15.75">
      <c r="D85" s="2040" t="s">
        <v>1303</v>
      </c>
      <c r="E85" s="2040" t="str">
        <f t="shared" si="35"/>
        <v>Gasto</v>
      </c>
      <c r="F85" s="2041">
        <f>NegoDivisa!E$10</f>
        <v>2527227783</v>
      </c>
    </row>
    <row r="86" spans="4:7" ht="15.75">
      <c r="D86" s="2040" t="s">
        <v>1321</v>
      </c>
      <c r="E86" s="2040" t="str">
        <f t="shared" si="35"/>
        <v>Gasto</v>
      </c>
      <c r="F86" s="2041">
        <v>0</v>
      </c>
    </row>
    <row r="87" spans="4:7" ht="15.75">
      <c r="D87" s="2040" t="s">
        <v>1345</v>
      </c>
      <c r="E87" s="2040" t="str">
        <f t="shared" si="35"/>
        <v>Gasto</v>
      </c>
      <c r="F87" s="2041">
        <v>0</v>
      </c>
    </row>
    <row r="88" spans="4:7" ht="15.75">
      <c r="D88" s="2040" t="s">
        <v>1365</v>
      </c>
      <c r="E88" s="2040" t="str">
        <f t="shared" si="35"/>
        <v>Gasto</v>
      </c>
      <c r="F88" s="2041">
        <v>0</v>
      </c>
    </row>
    <row r="89" spans="4:7" ht="15.75">
      <c r="D89" s="2040" t="s">
        <v>1368</v>
      </c>
      <c r="E89" s="2040" t="str">
        <f t="shared" si="35"/>
        <v>Gasto</v>
      </c>
      <c r="F89" s="2041">
        <v>0</v>
      </c>
    </row>
    <row r="90" spans="4:7" ht="15.75">
      <c r="D90" s="2040" t="s">
        <v>1376</v>
      </c>
      <c r="E90" s="2040" t="str">
        <f t="shared" si="35"/>
        <v>Gasto</v>
      </c>
      <c r="F90" s="2041">
        <v>0</v>
      </c>
    </row>
    <row r="91" spans="4:7" ht="15.75">
      <c r="D91" s="2040" t="s">
        <v>1389</v>
      </c>
      <c r="E91" s="2040" t="str">
        <f t="shared" si="35"/>
        <v>Gasto</v>
      </c>
      <c r="F91" s="2041">
        <v>0</v>
      </c>
    </row>
    <row r="92" spans="4:7" ht="15.75">
      <c r="D92" s="2040" t="s">
        <v>1412</v>
      </c>
      <c r="E92" s="2040" t="str">
        <f t="shared" si="35"/>
        <v>Gasto</v>
      </c>
      <c r="F92" s="2041">
        <v>0</v>
      </c>
    </row>
    <row r="93" spans="4:7" ht="15.75">
      <c r="D93" s="2040" t="s">
        <v>1467</v>
      </c>
      <c r="E93" s="2040" t="str">
        <f t="shared" si="35"/>
        <v>Gasto</v>
      </c>
      <c r="F93" s="2041">
        <v>0</v>
      </c>
    </row>
    <row r="95" spans="4:7" ht="15.75">
      <c r="E95" s="2139" t="s">
        <v>1348</v>
      </c>
      <c r="F95" s="2138">
        <f>SUM(F82:F94)</f>
        <v>2319925909</v>
      </c>
    </row>
    <row r="96" spans="4:7">
      <c r="F96" s="2136">
        <f>+F6+F35</f>
        <v>2319925909</v>
      </c>
      <c r="G96" s="2141" t="s">
        <v>1213</v>
      </c>
    </row>
    <row r="97" spans="6:7">
      <c r="F97" s="2142">
        <f>F95-F96</f>
        <v>0</v>
      </c>
      <c r="G97" s="2140"/>
    </row>
  </sheetData>
  <autoFilter ref="A5:H60" xr:uid="{00000000-0009-0000-0000-000009000000}"/>
  <mergeCells count="7">
    <mergeCell ref="G4:G5"/>
    <mergeCell ref="H4:H5"/>
    <mergeCell ref="A4:A5"/>
    <mergeCell ref="B4:B5"/>
    <mergeCell ref="C4:C5"/>
    <mergeCell ref="D4:E4"/>
    <mergeCell ref="F4:F5"/>
  </mergeCells>
  <phoneticPr fontId="257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B73B-BABF-4675-A2CA-740AC29ED7D0}">
  <sheetPr codeName="Hoja7"/>
  <dimension ref="A1:S87"/>
  <sheetViews>
    <sheetView zoomScale="80" zoomScaleNormal="80" workbookViewId="0">
      <pane xSplit="4" ySplit="5" topLeftCell="F39" activePane="bottomRight" state="frozen"/>
      <selection activeCell="E79" sqref="E79"/>
      <selection pane="topRight" activeCell="E79" sqref="E79"/>
      <selection pane="bottomLeft" activeCell="E79" sqref="E79"/>
      <selection pane="bottomRight" activeCell="H63" activeCellId="1" sqref="H6:H59 H63:H64"/>
    </sheetView>
  </sheetViews>
  <sheetFormatPr baseColWidth="10" defaultRowHeight="15"/>
  <cols>
    <col min="1" max="1" width="14.42578125" style="216" bestFit="1" customWidth="1"/>
    <col min="2" max="2" width="43.140625" style="216" customWidth="1"/>
    <col min="3" max="3" width="18.5703125" style="2106" bestFit="1" customWidth="1"/>
    <col min="4" max="4" width="15.85546875" style="1815" customWidth="1"/>
    <col min="5" max="5" width="17.28515625" style="216" customWidth="1"/>
    <col min="6" max="7" width="17.42578125" style="216" bestFit="1" customWidth="1"/>
    <col min="8" max="9" width="17" style="216" bestFit="1" customWidth="1"/>
    <col min="10" max="10" width="18" style="216" bestFit="1" customWidth="1"/>
    <col min="11" max="11" width="17.42578125" style="216" bestFit="1" customWidth="1"/>
    <col min="12" max="12" width="16.7109375" style="216" bestFit="1" customWidth="1"/>
    <col min="13" max="13" width="17" style="216" bestFit="1" customWidth="1"/>
    <col min="14" max="14" width="16.42578125" style="216" bestFit="1" customWidth="1"/>
    <col min="15" max="15" width="16.7109375" style="216" bestFit="1" customWidth="1"/>
    <col min="16" max="16" width="16.7109375" style="216" customWidth="1"/>
    <col min="17" max="17" width="18.7109375" style="216" customWidth="1"/>
    <col min="18" max="18" width="17.42578125" style="216" customWidth="1"/>
    <col min="19" max="19" width="15.7109375" style="216" bestFit="1" customWidth="1"/>
    <col min="20" max="16384" width="11.42578125" style="216"/>
  </cols>
  <sheetData>
    <row r="1" spans="1:18" hidden="1"/>
    <row r="2" spans="1:18" hidden="1"/>
    <row r="3" spans="1:18" ht="15.75" thickBot="1">
      <c r="P3" s="1815" t="s">
        <v>251</v>
      </c>
      <c r="Q3" s="1816">
        <f ca="1">SUM(Q6:Q60)-' Depuración Renta'!D67-' Depuración Renta'!E67</f>
        <v>0</v>
      </c>
      <c r="R3" s="1785"/>
    </row>
    <row r="4" spans="1:18">
      <c r="A4" s="2631" t="s">
        <v>45</v>
      </c>
      <c r="B4" s="2633" t="s">
        <v>48</v>
      </c>
      <c r="C4" s="2627" t="s">
        <v>256</v>
      </c>
      <c r="D4" s="2629" t="s">
        <v>251</v>
      </c>
      <c r="E4" s="2623" t="s">
        <v>2164</v>
      </c>
      <c r="F4" s="2623" t="s">
        <v>2192</v>
      </c>
      <c r="G4" s="2623" t="s">
        <v>2193</v>
      </c>
      <c r="H4" s="2623" t="s">
        <v>2194</v>
      </c>
      <c r="I4" s="2623" t="s">
        <v>2195</v>
      </c>
      <c r="J4" s="2623" t="s">
        <v>2196</v>
      </c>
      <c r="K4" s="2623" t="s">
        <v>2197</v>
      </c>
      <c r="L4" s="2623" t="s">
        <v>2198</v>
      </c>
      <c r="M4" s="2623" t="s">
        <v>2199</v>
      </c>
      <c r="N4" s="2623" t="s">
        <v>2200</v>
      </c>
      <c r="O4" s="2623" t="s">
        <v>2201</v>
      </c>
      <c r="P4" s="2623" t="s">
        <v>2202</v>
      </c>
      <c r="Q4" s="2625" t="s">
        <v>245</v>
      </c>
    </row>
    <row r="5" spans="1:18">
      <c r="A5" s="2632"/>
      <c r="B5" s="2634"/>
      <c r="C5" s="2628"/>
      <c r="D5" s="2630"/>
      <c r="E5" s="2624">
        <v>1</v>
      </c>
      <c r="F5" s="2624">
        <v>2</v>
      </c>
      <c r="G5" s="2624">
        <v>3</v>
      </c>
      <c r="H5" s="2624">
        <v>4</v>
      </c>
      <c r="I5" s="2624">
        <v>5</v>
      </c>
      <c r="J5" s="2624">
        <v>6</v>
      </c>
      <c r="K5" s="2624">
        <v>7</v>
      </c>
      <c r="L5" s="2624">
        <v>8</v>
      </c>
      <c r="M5" s="2624">
        <v>9</v>
      </c>
      <c r="N5" s="2624">
        <v>10</v>
      </c>
      <c r="O5" s="2624">
        <v>11</v>
      </c>
      <c r="P5" s="2624">
        <v>12</v>
      </c>
      <c r="Q5" s="2626" t="s">
        <v>255</v>
      </c>
    </row>
    <row r="6" spans="1:18">
      <c r="A6" s="1141">
        <v>4806010000</v>
      </c>
      <c r="B6" s="1142" t="s">
        <v>24</v>
      </c>
      <c r="C6" s="2282">
        <v>0</v>
      </c>
      <c r="D6" s="2283">
        <f t="shared" ref="D6:D59" si="0">+Q6-C6</f>
        <v>0</v>
      </c>
      <c r="E6" s="1146">
        <v>0</v>
      </c>
      <c r="F6" s="1146">
        <v>0</v>
      </c>
      <c r="G6" s="1146">
        <v>0</v>
      </c>
      <c r="H6" s="1146">
        <v>0</v>
      </c>
      <c r="I6" s="1146">
        <v>0</v>
      </c>
      <c r="J6" s="1146">
        <v>0</v>
      </c>
      <c r="K6" s="1146">
        <v>0</v>
      </c>
      <c r="L6" s="1146">
        <v>0</v>
      </c>
      <c r="M6" s="1146">
        <v>0</v>
      </c>
      <c r="N6" s="1146">
        <v>0</v>
      </c>
      <c r="O6" s="1146">
        <v>0</v>
      </c>
      <c r="P6" s="1146">
        <v>0</v>
      </c>
      <c r="Q6" s="1693">
        <f t="shared" ref="Q6:Q59" si="1">SUM(E6:P6)</f>
        <v>0</v>
      </c>
    </row>
    <row r="7" spans="1:18">
      <c r="A7" s="1141">
        <v>4806010300</v>
      </c>
      <c r="B7" s="1142" t="s">
        <v>1189</v>
      </c>
      <c r="C7" s="2284">
        <f ca="1">VLOOKUP(A7,' Depuración Renta'!$A$6:$F$60,6,0)</f>
        <v>-3973240473.7682052</v>
      </c>
      <c r="D7" s="2283">
        <f t="shared" ref="D7" ca="1" si="2">+Q7-C7</f>
        <v>0</v>
      </c>
      <c r="E7" s="1146">
        <v>-821730807.9740026</v>
      </c>
      <c r="F7" s="1146">
        <v>-1603590307.3314011</v>
      </c>
      <c r="G7" s="1146">
        <v>-1142354864.7850018</v>
      </c>
      <c r="H7" s="1146">
        <f ca="1">' Depuración Renta'!$F7-SUM($E7:G7)</f>
        <v>-405564493.6777997</v>
      </c>
      <c r="I7" s="1146">
        <f ca="1">' Depuración Renta'!$F7-SUM($E7:H7)</f>
        <v>0</v>
      </c>
      <c r="J7" s="1146">
        <f ca="1">' Depuración Renta'!$F7-SUM($E7:I7)</f>
        <v>0</v>
      </c>
      <c r="K7" s="1146">
        <f ca="1">' Depuración Renta'!$F7-SUM($E7:J7)</f>
        <v>0</v>
      </c>
      <c r="L7" s="1146">
        <f ca="1">' Depuración Renta'!$F7-SUM($E7:K7)</f>
        <v>0</v>
      </c>
      <c r="M7" s="1146">
        <f ca="1">' Depuración Renta'!$F7-SUM($E7:L7)</f>
        <v>0</v>
      </c>
      <c r="N7" s="1146">
        <f ca="1">' Depuración Renta'!$F7-SUM($E7:M7)</f>
        <v>0</v>
      </c>
      <c r="O7" s="1146">
        <f ca="1">' Depuración Renta'!$F7-SUM($E7:N7)</f>
        <v>0</v>
      </c>
      <c r="P7" s="1146">
        <f ca="1">' Depuración Renta'!$F7-SUM($E7:O7)</f>
        <v>0</v>
      </c>
      <c r="Q7" s="2143">
        <f ca="1">SUM(E7:P7)</f>
        <v>-3973240473.7682052</v>
      </c>
    </row>
    <row r="8" spans="1:18">
      <c r="A8" s="1139">
        <v>4806011000</v>
      </c>
      <c r="B8" s="1140" t="s">
        <v>25</v>
      </c>
      <c r="C8" s="2284">
        <f>VLOOKUP(A8,' Depuración Renta'!$A$6:$F$60,6,0)</f>
        <v>0</v>
      </c>
      <c r="D8" s="2283">
        <f t="shared" si="0"/>
        <v>0</v>
      </c>
      <c r="E8" s="1147">
        <v>0</v>
      </c>
      <c r="F8" s="1147">
        <v>0</v>
      </c>
      <c r="G8" s="1147">
        <v>0</v>
      </c>
      <c r="H8" s="1147">
        <f>' Depuración Renta'!$F8-SUM($E8:G8)</f>
        <v>0</v>
      </c>
      <c r="I8" s="1147">
        <f>' Depuración Renta'!$F8-SUM($E8:H8)</f>
        <v>0</v>
      </c>
      <c r="J8" s="1147">
        <f>' Depuración Renta'!$F8-SUM($E8:I8)</f>
        <v>0</v>
      </c>
      <c r="K8" s="1147">
        <f>' Depuración Renta'!$F8-SUM($E8:J8)</f>
        <v>0</v>
      </c>
      <c r="L8" s="1147">
        <f>' Depuración Renta'!$F8-SUM($E8:K8)</f>
        <v>0</v>
      </c>
      <c r="M8" s="1147">
        <f>' Depuración Renta'!$F8-SUM($E8:L8)</f>
        <v>0</v>
      </c>
      <c r="N8" s="1147">
        <f>' Depuración Renta'!$F8-SUM($E8:M8)</f>
        <v>0</v>
      </c>
      <c r="O8" s="1147">
        <f>' Depuración Renta'!$F8-SUM($E8:N8)</f>
        <v>0</v>
      </c>
      <c r="P8" s="1147">
        <f>' Depuración Renta'!$F8-SUM($E8:O8)</f>
        <v>0</v>
      </c>
      <c r="Q8" s="1147">
        <f t="shared" si="1"/>
        <v>0</v>
      </c>
    </row>
    <row r="9" spans="1:18">
      <c r="A9" s="1139">
        <v>4806011400</v>
      </c>
      <c r="B9" s="1140" t="s">
        <v>1186</v>
      </c>
      <c r="C9" s="2284">
        <f>VLOOKUP(A9,' Depuración Renta'!$A$6:$F$60,6,0)</f>
        <v>0</v>
      </c>
      <c r="D9" s="2283">
        <f t="shared" ref="D9" si="3">+Q9-C9</f>
        <v>0</v>
      </c>
      <c r="E9" s="1147">
        <v>0</v>
      </c>
      <c r="F9" s="1147">
        <v>0</v>
      </c>
      <c r="G9" s="1147">
        <v>0</v>
      </c>
      <c r="H9" s="1147">
        <f>' Depuración Renta'!$F9-SUM($E9:G9)</f>
        <v>0</v>
      </c>
      <c r="I9" s="1147">
        <f>' Depuración Renta'!$F9-SUM($E9:H9)</f>
        <v>0</v>
      </c>
      <c r="J9" s="1147">
        <f>' Depuración Renta'!$F9-SUM($E9:I9)</f>
        <v>0</v>
      </c>
      <c r="K9" s="1147">
        <f>' Depuración Renta'!$F9-SUM($E9:J9)</f>
        <v>0</v>
      </c>
      <c r="L9" s="1147">
        <f>' Depuración Renta'!$F9-SUM($E9:K9)</f>
        <v>0</v>
      </c>
      <c r="M9" s="1147">
        <f>' Depuración Renta'!$F9-SUM($E9:L9)</f>
        <v>0</v>
      </c>
      <c r="N9" s="1147">
        <f>' Depuración Renta'!$F9-SUM($E9:M9)</f>
        <v>0</v>
      </c>
      <c r="O9" s="1147">
        <f>' Depuración Renta'!$F9-SUM($E9:N9)</f>
        <v>0</v>
      </c>
      <c r="P9" s="1147">
        <f>' Depuración Renta'!$F9-SUM($E9:O9)</f>
        <v>0</v>
      </c>
      <c r="Q9" s="1147">
        <f t="shared" ref="Q9" si="4">SUM(E9:P9)</f>
        <v>0</v>
      </c>
    </row>
    <row r="10" spans="1:18">
      <c r="A10" s="1141">
        <v>4806011500</v>
      </c>
      <c r="B10" s="1142" t="s">
        <v>1237</v>
      </c>
      <c r="C10" s="2284">
        <f ca="1">VLOOKUP(A10,' Depuración Renta'!$A$6:$F$60,6,0)</f>
        <v>-5561655937.1832047</v>
      </c>
      <c r="D10" s="2283">
        <f t="shared" ref="D10" ca="1" si="5">+Q10-C10</f>
        <v>0</v>
      </c>
      <c r="E10" s="1146">
        <v>-19551712.065198898</v>
      </c>
      <c r="F10" s="1146">
        <v>-2705.4899999983609</v>
      </c>
      <c r="G10" s="1146">
        <v>-5542101519.628006</v>
      </c>
      <c r="H10" s="1146">
        <f ca="1">' Depuración Renta'!$F10-SUM($E10:G10)</f>
        <v>0</v>
      </c>
      <c r="I10" s="1146">
        <f ca="1">' Depuración Renta'!$F10-SUM($E10:H10)</f>
        <v>0</v>
      </c>
      <c r="J10" s="1146">
        <f ca="1">' Depuración Renta'!$F10-SUM($E10:I10)</f>
        <v>0</v>
      </c>
      <c r="K10" s="1146">
        <f ca="1">' Depuración Renta'!$F10-SUM($E10:J10)</f>
        <v>0</v>
      </c>
      <c r="L10" s="1693">
        <f ca="1">' Depuración Renta'!$F10-SUM($E10:K10)</f>
        <v>0</v>
      </c>
      <c r="M10" s="1146">
        <f ca="1">' Depuración Renta'!$F10-SUM($E10:L10)</f>
        <v>0</v>
      </c>
      <c r="N10" s="1146">
        <f ca="1">' Depuración Renta'!$F10-SUM($E10:M10)</f>
        <v>0</v>
      </c>
      <c r="O10" s="1146">
        <f ca="1">' Depuración Renta'!$F10-SUM($E10:N10)</f>
        <v>0</v>
      </c>
      <c r="P10" s="1146">
        <f ca="1">' Depuración Renta'!$F10-SUM($E10:O10)</f>
        <v>0</v>
      </c>
      <c r="Q10" s="2143">
        <f t="shared" ref="Q10" ca="1" si="6">SUM(E10:P10)</f>
        <v>-5561655937.1832047</v>
      </c>
    </row>
    <row r="11" spans="1:18">
      <c r="A11" s="1139">
        <v>4806011600</v>
      </c>
      <c r="B11" s="1140" t="s">
        <v>1187</v>
      </c>
      <c r="C11" s="2284">
        <f>VLOOKUP(A11,' Depuración Renta'!$A$6:$F$60,6,0)</f>
        <v>0</v>
      </c>
      <c r="D11" s="2283">
        <f t="shared" ref="D11" si="7">+Q11-C11</f>
        <v>0</v>
      </c>
      <c r="E11" s="1147">
        <v>0</v>
      </c>
      <c r="F11" s="1147">
        <v>0</v>
      </c>
      <c r="G11" s="1147">
        <v>0</v>
      </c>
      <c r="H11" s="1147">
        <f>' Depuración Renta'!$F11-SUM($E11:G11)</f>
        <v>0</v>
      </c>
      <c r="I11" s="1147">
        <f>' Depuración Renta'!$F11-SUM($E11:H11)</f>
        <v>0</v>
      </c>
      <c r="J11" s="1147">
        <f>' Depuración Renta'!$F11-SUM($E11:I11)</f>
        <v>0</v>
      </c>
      <c r="K11" s="1147">
        <f>' Depuración Renta'!$F11-SUM($E11:J11)</f>
        <v>0</v>
      </c>
      <c r="L11" s="1147">
        <f>' Depuración Renta'!$F11-SUM($E11:K11)</f>
        <v>0</v>
      </c>
      <c r="M11" s="1147">
        <f>' Depuración Renta'!$F11-SUM($E11:L11)</f>
        <v>0</v>
      </c>
      <c r="N11" s="1147">
        <f>' Depuración Renta'!$F11-SUM($E11:M11)</f>
        <v>0</v>
      </c>
      <c r="O11" s="1147">
        <f>' Depuración Renta'!$F11-SUM($E11:N11)</f>
        <v>0</v>
      </c>
      <c r="P11" s="1147">
        <f>' Depuración Renta'!$F11-SUM($E11:O11)</f>
        <v>0</v>
      </c>
      <c r="Q11" s="1147">
        <f t="shared" ref="Q11" si="8">SUM(E11:P11)</f>
        <v>0</v>
      </c>
    </row>
    <row r="12" spans="1:18">
      <c r="A12" s="1141">
        <v>4806020000</v>
      </c>
      <c r="B12" s="1142" t="s">
        <v>175</v>
      </c>
      <c r="C12" s="2284">
        <f ca="1">VLOOKUP(A12,' Depuración Renta'!$A$6:$F$60,6,0)</f>
        <v>-16700462.576800015</v>
      </c>
      <c r="D12" s="2283">
        <f t="shared" ca="1" si="0"/>
        <v>0</v>
      </c>
      <c r="E12" s="1146">
        <v>0</v>
      </c>
      <c r="F12" s="1146">
        <v>-10511533.520000007</v>
      </c>
      <c r="G12" s="1146">
        <v>0</v>
      </c>
      <c r="H12" s="1146">
        <f ca="1">' Depuración Renta'!$F12-SUM($E12:G12)</f>
        <v>-6188929.0568000078</v>
      </c>
      <c r="I12" s="1146">
        <f ca="1">' Depuración Renta'!$F12-SUM($E12:H12)</f>
        <v>0</v>
      </c>
      <c r="J12" s="1146">
        <f ca="1">' Depuración Renta'!$F12-SUM($E12:I12)</f>
        <v>0</v>
      </c>
      <c r="K12" s="1146">
        <f ca="1">' Depuración Renta'!$F12-SUM($E12:J12)</f>
        <v>0</v>
      </c>
      <c r="L12" s="1146">
        <f ca="1">' Depuración Renta'!$F12-SUM($E12:K12)</f>
        <v>0</v>
      </c>
      <c r="M12" s="1146">
        <f ca="1">' Depuración Renta'!$F12-SUM($E12:L12)</f>
        <v>0</v>
      </c>
      <c r="N12" s="1146">
        <f ca="1">' Depuración Renta'!$F12-SUM($E12:M12)</f>
        <v>0</v>
      </c>
      <c r="O12" s="1146">
        <f ca="1">' Depuración Renta'!$F12-SUM($E12:N12)</f>
        <v>0</v>
      </c>
      <c r="P12" s="1146">
        <f ca="1">' Depuración Renta'!$F12-SUM($E12:O12)</f>
        <v>0</v>
      </c>
      <c r="Q12" s="1825">
        <f t="shared" ca="1" si="1"/>
        <v>-16700462.576800015</v>
      </c>
    </row>
    <row r="13" spans="1:18">
      <c r="A13" s="1139">
        <v>4806021000</v>
      </c>
      <c r="B13" s="1140" t="s">
        <v>26</v>
      </c>
      <c r="C13" s="2284">
        <f>VLOOKUP(A13,' Depuración Renta'!$A$6:$F$60,6,0)</f>
        <v>0</v>
      </c>
      <c r="D13" s="2283">
        <f t="shared" si="0"/>
        <v>0</v>
      </c>
      <c r="E13" s="1147">
        <v>0</v>
      </c>
      <c r="F13" s="1147">
        <v>0</v>
      </c>
      <c r="G13" s="1147">
        <v>0</v>
      </c>
      <c r="H13" s="1147">
        <f>' Depuración Renta'!$F13-SUM($E13:G13)</f>
        <v>0</v>
      </c>
      <c r="I13" s="1147">
        <f>' Depuración Renta'!$F13-SUM($E13:H13)</f>
        <v>0</v>
      </c>
      <c r="J13" s="1147">
        <f>' Depuración Renta'!$F13-SUM($E13:I13)</f>
        <v>0</v>
      </c>
      <c r="K13" s="1147">
        <f>' Depuración Renta'!$F13-SUM($E13:J13)</f>
        <v>0</v>
      </c>
      <c r="L13" s="1147">
        <f>' Depuración Renta'!$F13-SUM($E13:K13)</f>
        <v>0</v>
      </c>
      <c r="M13" s="1147">
        <f>' Depuración Renta'!$F13-SUM($E13:L13)</f>
        <v>0</v>
      </c>
      <c r="N13" s="1147">
        <f>' Depuración Renta'!$F13-SUM($E13:M13)</f>
        <v>0</v>
      </c>
      <c r="O13" s="1147">
        <f>' Depuración Renta'!$F13-SUM($E13:N13)</f>
        <v>0</v>
      </c>
      <c r="P13" s="1147">
        <f>' Depuración Renta'!$F13-SUM($E13:O13)</f>
        <v>0</v>
      </c>
      <c r="Q13" s="1147">
        <f t="shared" si="1"/>
        <v>0</v>
      </c>
    </row>
    <row r="14" spans="1:18">
      <c r="A14" s="1141">
        <v>4806022000</v>
      </c>
      <c r="B14" s="1142" t="s">
        <v>208</v>
      </c>
      <c r="C14" s="2284">
        <f>VLOOKUP(A14,' Depuración Renta'!$A$6:$F$60,6,0)</f>
        <v>0</v>
      </c>
      <c r="D14" s="2283">
        <f t="shared" si="0"/>
        <v>0</v>
      </c>
      <c r="E14" s="1146">
        <v>0</v>
      </c>
      <c r="F14" s="1146">
        <v>0</v>
      </c>
      <c r="G14" s="1146">
        <v>0</v>
      </c>
      <c r="H14" s="1146">
        <f>' Depuración Renta'!$F14-SUM($E14:G14)</f>
        <v>0</v>
      </c>
      <c r="I14" s="1146">
        <f>' Depuración Renta'!$F14-SUM($E14:H14)</f>
        <v>0</v>
      </c>
      <c r="J14" s="1146">
        <f>' Depuración Renta'!$F14-SUM($E14:I14)</f>
        <v>0</v>
      </c>
      <c r="K14" s="1146">
        <f>' Depuración Renta'!$F14-SUM($E14:J14)</f>
        <v>0</v>
      </c>
      <c r="L14" s="1146">
        <f>' Depuración Renta'!$F14-SUM($E14:K14)</f>
        <v>0</v>
      </c>
      <c r="M14" s="1146">
        <f>' Depuración Renta'!$F14-SUM($E14:L14)</f>
        <v>0</v>
      </c>
      <c r="N14" s="1146">
        <f>' Depuración Renta'!$F14-SUM($E14:M14)</f>
        <v>0</v>
      </c>
      <c r="O14" s="1146">
        <f>' Depuración Renta'!$F14-SUM($E14:N14)</f>
        <v>0</v>
      </c>
      <c r="P14" s="1146">
        <f>' Depuración Renta'!$F14-SUM($E14:O14)</f>
        <v>0</v>
      </c>
      <c r="Q14" s="1146">
        <f t="shared" si="1"/>
        <v>0</v>
      </c>
    </row>
    <row r="15" spans="1:18">
      <c r="A15" s="1139">
        <v>4806023000</v>
      </c>
      <c r="B15" s="1140" t="s">
        <v>207</v>
      </c>
      <c r="C15" s="2284">
        <f>VLOOKUP(A15,' Depuración Renta'!$A$6:$F$60,6,0)</f>
        <v>0</v>
      </c>
      <c r="D15" s="2283">
        <f t="shared" si="0"/>
        <v>0</v>
      </c>
      <c r="E15" s="1147">
        <v>0</v>
      </c>
      <c r="F15" s="1147">
        <v>0</v>
      </c>
      <c r="G15" s="1147">
        <v>0</v>
      </c>
      <c r="H15" s="1147">
        <f>' Depuración Renta'!$F15-SUM($E15:G15)</f>
        <v>0</v>
      </c>
      <c r="I15" s="1147">
        <f>' Depuración Renta'!$F15-SUM($E15:H15)</f>
        <v>0</v>
      </c>
      <c r="J15" s="1147">
        <f>' Depuración Renta'!$F15-SUM($E15:I15)</f>
        <v>0</v>
      </c>
      <c r="K15" s="1147">
        <f>' Depuración Renta'!$F15-SUM($E15:J15)</f>
        <v>0</v>
      </c>
      <c r="L15" s="1147">
        <f>' Depuración Renta'!$F15-SUM($E15:K15)</f>
        <v>0</v>
      </c>
      <c r="M15" s="1147">
        <f>' Depuración Renta'!$F15-SUM($E15:L15)</f>
        <v>0</v>
      </c>
      <c r="N15" s="1147">
        <f>' Depuración Renta'!$F15-SUM($E15:M15)</f>
        <v>0</v>
      </c>
      <c r="O15" s="1147">
        <f>' Depuración Renta'!$F15-SUM($E15:N15)</f>
        <v>0</v>
      </c>
      <c r="P15" s="1147">
        <f>' Depuración Renta'!$F15-SUM($E15:O15)</f>
        <v>0</v>
      </c>
      <c r="Q15" s="1147">
        <f t="shared" si="1"/>
        <v>0</v>
      </c>
    </row>
    <row r="16" spans="1:18">
      <c r="A16" s="1141">
        <v>4806120100</v>
      </c>
      <c r="B16" s="1142" t="s">
        <v>27</v>
      </c>
      <c r="C16" s="2284">
        <f ca="1">VLOOKUP(A16,' Depuración Renta'!$A$6:$F$60,6,0)</f>
        <v>-360659593.87966776</v>
      </c>
      <c r="D16" s="2283">
        <f t="shared" ca="1" si="0"/>
        <v>0</v>
      </c>
      <c r="E16" s="1146">
        <v>-191208378.01038608</v>
      </c>
      <c r="F16" s="1146">
        <v>-11142486.790600061</v>
      </c>
      <c r="G16" s="1146">
        <v>-19431959.173384547</v>
      </c>
      <c r="H16" s="1146">
        <f ca="1">' Depuración Renta'!$F16-SUM($E16:G16)</f>
        <v>-138876769.90529707</v>
      </c>
      <c r="I16" s="1146">
        <f ca="1">' Depuración Renta'!$F16-SUM($E16:H16)</f>
        <v>0</v>
      </c>
      <c r="J16" s="1146">
        <f ca="1">' Depuración Renta'!$F16-SUM($E16:I16)</f>
        <v>0</v>
      </c>
      <c r="K16" s="1146">
        <f ca="1">' Depuración Renta'!$F16-SUM($E16:J16)</f>
        <v>0</v>
      </c>
      <c r="L16" s="1146">
        <f ca="1">' Depuración Renta'!$F16-SUM($E16:K16)</f>
        <v>0</v>
      </c>
      <c r="M16" s="1146">
        <f ca="1">' Depuración Renta'!$F16-SUM($E16:L16)</f>
        <v>0</v>
      </c>
      <c r="N16" s="1146">
        <f ca="1">' Depuración Renta'!$F16-SUM($E16:M16)</f>
        <v>0</v>
      </c>
      <c r="O16" s="1146">
        <f ca="1">' Depuración Renta'!$F16-SUM($E16:N16)</f>
        <v>0</v>
      </c>
      <c r="P16" s="1146">
        <f ca="1">' Depuración Renta'!$F16-SUM($E16:O16)</f>
        <v>0</v>
      </c>
      <c r="Q16" s="1721">
        <f t="shared" ca="1" si="1"/>
        <v>-360659593.87966776</v>
      </c>
    </row>
    <row r="17" spans="1:17">
      <c r="A17" s="1139">
        <v>4806120200</v>
      </c>
      <c r="B17" s="1140" t="s">
        <v>28</v>
      </c>
      <c r="C17" s="2284">
        <f>VLOOKUP(A17,' Depuración Renta'!$A$6:$F$60,6,0)</f>
        <v>0</v>
      </c>
      <c r="D17" s="2283">
        <f t="shared" si="0"/>
        <v>0</v>
      </c>
      <c r="E17" s="1147">
        <v>0</v>
      </c>
      <c r="F17" s="1147">
        <v>0</v>
      </c>
      <c r="G17" s="1147">
        <v>0</v>
      </c>
      <c r="H17" s="1147">
        <f>' Depuración Renta'!$F17-SUM($E17:G17)</f>
        <v>0</v>
      </c>
      <c r="I17" s="1147">
        <f>' Depuración Renta'!$F17-SUM($E17:H17)</f>
        <v>0</v>
      </c>
      <c r="J17" s="1147">
        <f>' Depuración Renta'!$F17-SUM($E17:I17)</f>
        <v>0</v>
      </c>
      <c r="K17" s="1147">
        <f>' Depuración Renta'!$F17-SUM($E17:J17)</f>
        <v>0</v>
      </c>
      <c r="L17" s="1147">
        <f>' Depuración Renta'!$F17-SUM($E17:K17)</f>
        <v>0</v>
      </c>
      <c r="M17" s="1147">
        <f>' Depuración Renta'!$F17-SUM($E17:L17)</f>
        <v>0</v>
      </c>
      <c r="N17" s="1147">
        <f>' Depuración Renta'!$F17-SUM($E17:M17)</f>
        <v>0</v>
      </c>
      <c r="O17" s="1147">
        <f>' Depuración Renta'!$F17-SUM($E17:N17)</f>
        <v>0</v>
      </c>
      <c r="P17" s="1147">
        <f>' Depuración Renta'!$F17-SUM($E17:O17)</f>
        <v>0</v>
      </c>
      <c r="Q17" s="1147">
        <f t="shared" si="1"/>
        <v>0</v>
      </c>
    </row>
    <row r="18" spans="1:17">
      <c r="A18" s="1141">
        <v>4806130100</v>
      </c>
      <c r="B18" s="1142" t="s">
        <v>29</v>
      </c>
      <c r="C18" s="2284">
        <f ca="1">VLOOKUP(A18,' Depuración Renta'!$A$6:$F$60,6,0)</f>
        <v>-42024520.370384961</v>
      </c>
      <c r="D18" s="2283">
        <f t="shared" ca="1" si="0"/>
        <v>0</v>
      </c>
      <c r="E18" s="1146">
        <v>-1074282</v>
      </c>
      <c r="F18" s="1146">
        <v>-6691576.7199999988</v>
      </c>
      <c r="G18" s="1146">
        <v>-843211.10963999853</v>
      </c>
      <c r="H18" s="1146">
        <f ca="1">' Depuración Renta'!$F18-SUM($E18:G18)</f>
        <v>-33415450.540744964</v>
      </c>
      <c r="I18" s="1146">
        <f ca="1">' Depuración Renta'!$F18-SUM($E18:H18)</f>
        <v>0</v>
      </c>
      <c r="J18" s="1146">
        <f ca="1">' Depuración Renta'!$F18-SUM($E18:I18)</f>
        <v>0</v>
      </c>
      <c r="K18" s="1146">
        <f ca="1">' Depuración Renta'!$F18-SUM($E18:J18)</f>
        <v>0</v>
      </c>
      <c r="L18" s="1146">
        <f ca="1">' Depuración Renta'!$F18-SUM($E18:K18)</f>
        <v>0</v>
      </c>
      <c r="M18" s="1146">
        <f ca="1">' Depuración Renta'!$F18-SUM($E18:L18)</f>
        <v>0</v>
      </c>
      <c r="N18" s="1146">
        <f ca="1">' Depuración Renta'!$F18-SUM($E18:M18)</f>
        <v>0</v>
      </c>
      <c r="O18" s="1146">
        <f ca="1">' Depuración Renta'!$F18-SUM($E18:N18)</f>
        <v>0</v>
      </c>
      <c r="P18" s="1146">
        <f ca="1">' Depuración Renta'!$F18-SUM($E18:O18)</f>
        <v>0</v>
      </c>
      <c r="Q18" s="1721">
        <f t="shared" ca="1" si="1"/>
        <v>-42024520.370384961</v>
      </c>
    </row>
    <row r="19" spans="1:17">
      <c r="A19" s="1141">
        <v>4806130110</v>
      </c>
      <c r="B19" s="1143" t="s">
        <v>29</v>
      </c>
      <c r="C19" s="2284">
        <f>VLOOKUP(A19,' Depuración Renta'!$A$6:$F$60,6,0)</f>
        <v>0</v>
      </c>
      <c r="D19" s="2283">
        <f t="shared" si="0"/>
        <v>0</v>
      </c>
      <c r="E19" s="1146">
        <v>0</v>
      </c>
      <c r="F19" s="1146">
        <v>0</v>
      </c>
      <c r="G19" s="1146">
        <v>0</v>
      </c>
      <c r="H19" s="1146">
        <f>' Depuración Renta'!$F19-SUM($E19:G19)</f>
        <v>0</v>
      </c>
      <c r="I19" s="1146">
        <f>' Depuración Renta'!$F19-SUM($E19:H19)</f>
        <v>0</v>
      </c>
      <c r="J19" s="1146">
        <f>' Depuración Renta'!$F19-SUM($E19:I19)</f>
        <v>0</v>
      </c>
      <c r="K19" s="1146">
        <f>' Depuración Renta'!$F19-SUM($E19:J19)</f>
        <v>0</v>
      </c>
      <c r="L19" s="1146">
        <f>' Depuración Renta'!$F19-SUM($E19:K19)</f>
        <v>0</v>
      </c>
      <c r="M19" s="1146">
        <f>' Depuración Renta'!$F19-SUM($E19:L19)</f>
        <v>0</v>
      </c>
      <c r="N19" s="1146">
        <f>' Depuración Renta'!$F19-SUM($E19:M19)</f>
        <v>0</v>
      </c>
      <c r="O19" s="1146">
        <f>' Depuración Renta'!$F19-SUM($E19:N19)</f>
        <v>0</v>
      </c>
      <c r="P19" s="1146">
        <f>' Depuración Renta'!$F19-SUM($E19:O19)</f>
        <v>0</v>
      </c>
      <c r="Q19" s="1146">
        <f t="shared" ref="Q19" si="9">SUM(E19:P19)</f>
        <v>0</v>
      </c>
    </row>
    <row r="20" spans="1:17" ht="15" customHeight="1">
      <c r="A20" s="1139">
        <v>4806130200</v>
      </c>
      <c r="B20" s="1140" t="s">
        <v>28</v>
      </c>
      <c r="C20" s="2284">
        <f>VLOOKUP(A20,' Depuración Renta'!$A$6:$F$60,6,0)</f>
        <v>0</v>
      </c>
      <c r="D20" s="2283">
        <f t="shared" si="0"/>
        <v>0</v>
      </c>
      <c r="E20" s="1147">
        <v>0</v>
      </c>
      <c r="F20" s="1147">
        <v>0</v>
      </c>
      <c r="G20" s="1147">
        <v>0</v>
      </c>
      <c r="H20" s="1147">
        <f>' Depuración Renta'!$F20-SUM($E20:G20)</f>
        <v>0</v>
      </c>
      <c r="I20" s="1147">
        <f>' Depuración Renta'!$F20-SUM($E20:H20)</f>
        <v>0</v>
      </c>
      <c r="J20" s="1147">
        <f>' Depuración Renta'!$F20-SUM($E20:I20)</f>
        <v>0</v>
      </c>
      <c r="K20" s="1147">
        <f>' Depuración Renta'!$F20-SUM($E20:J20)</f>
        <v>0</v>
      </c>
      <c r="L20" s="1147">
        <f>' Depuración Renta'!$F20-SUM($E20:K20)</f>
        <v>0</v>
      </c>
      <c r="M20" s="1147">
        <f>' Depuración Renta'!$F20-SUM($E20:L20)</f>
        <v>0</v>
      </c>
      <c r="N20" s="1147">
        <f>' Depuración Renta'!$F20-SUM($E20:M20)</f>
        <v>0</v>
      </c>
      <c r="O20" s="1147">
        <f>' Depuración Renta'!$F20-SUM($E20:N20)</f>
        <v>0</v>
      </c>
      <c r="P20" s="1147">
        <f>' Depuración Renta'!$F20-SUM($E20:O20)</f>
        <v>0</v>
      </c>
      <c r="Q20" s="1147">
        <f t="shared" si="1"/>
        <v>0</v>
      </c>
    </row>
    <row r="21" spans="1:17">
      <c r="A21" s="1141">
        <v>4806360100</v>
      </c>
      <c r="B21" s="1143" t="s">
        <v>1314</v>
      </c>
      <c r="C21" s="2284">
        <f ca="1">VLOOKUP(A21,' Depuración Renta'!$A$6:$F$60,6,0)</f>
        <v>-417394799.99999809</v>
      </c>
      <c r="D21" s="2283">
        <f t="shared" ref="D21" ca="1" si="10">+Q21-C21</f>
        <v>0</v>
      </c>
      <c r="E21" s="1146">
        <v>0</v>
      </c>
      <c r="F21" s="1146">
        <v>-417394799.99999809</v>
      </c>
      <c r="G21" s="1146">
        <v>0</v>
      </c>
      <c r="H21" s="1146">
        <f ca="1">' Depuración Renta'!$F21-SUM($E21:G21)</f>
        <v>0</v>
      </c>
      <c r="I21" s="1146">
        <f ca="1">' Depuración Renta'!$F21-SUM($E21:H21)</f>
        <v>0</v>
      </c>
      <c r="J21" s="1146">
        <f ca="1">' Depuración Renta'!$F21-SUM($E21:I21)</f>
        <v>0</v>
      </c>
      <c r="K21" s="1146">
        <f ca="1">' Depuración Renta'!$F21-SUM($E21:J21)</f>
        <v>0</v>
      </c>
      <c r="L21" s="1146">
        <f ca="1">' Depuración Renta'!$F21-SUM($E21:K21)</f>
        <v>0</v>
      </c>
      <c r="M21" s="1146">
        <f ca="1">' Depuración Renta'!$F21-SUM($E21:L21)</f>
        <v>0</v>
      </c>
      <c r="N21" s="1146">
        <f ca="1">' Depuración Renta'!$F21-SUM($E21:M21)</f>
        <v>0</v>
      </c>
      <c r="O21" s="1146">
        <f ca="1">' Depuración Renta'!$F21-SUM($E21:N21)</f>
        <v>0</v>
      </c>
      <c r="P21" s="1146">
        <f ca="1">' Depuración Renta'!$F21-SUM($E21:O21)</f>
        <v>0</v>
      </c>
      <c r="Q21" s="1146">
        <f t="shared" ca="1" si="1"/>
        <v>-417394799.99999809</v>
      </c>
    </row>
    <row r="22" spans="1:17" ht="15" customHeight="1">
      <c r="A22" s="2109">
        <v>4806360200</v>
      </c>
      <c r="B22" s="2110" t="s">
        <v>1270</v>
      </c>
      <c r="C22" s="2284">
        <f>VLOOKUP(A22,' Depuración Renta'!$A$6:$F$60,6,0)</f>
        <v>0</v>
      </c>
      <c r="D22" s="2283">
        <f t="shared" ref="D22" si="11">+Q22-C22</f>
        <v>0</v>
      </c>
      <c r="E22" s="1147">
        <v>0</v>
      </c>
      <c r="F22" s="1147">
        <v>0</v>
      </c>
      <c r="G22" s="1147">
        <v>0</v>
      </c>
      <c r="H22" s="1147">
        <f>' Depuración Renta'!$F22-SUM($E22:G22)</f>
        <v>0</v>
      </c>
      <c r="I22" s="1147">
        <f>' Depuración Renta'!$F22-SUM($E22:H22)</f>
        <v>0</v>
      </c>
      <c r="J22" s="1147">
        <f>' Depuración Renta'!$F22-SUM($E22:I22)</f>
        <v>0</v>
      </c>
      <c r="K22" s="1147">
        <f>' Depuración Renta'!$F22-SUM($E22:J22)</f>
        <v>0</v>
      </c>
      <c r="L22" s="1147">
        <f>' Depuración Renta'!$F22-SUM($E22:K22)</f>
        <v>0</v>
      </c>
      <c r="M22" s="1147">
        <f>' Depuración Renta'!$F22-SUM($E22:L22)</f>
        <v>0</v>
      </c>
      <c r="N22" s="1147">
        <f>' Depuración Renta'!$F22-SUM($E22:M22)</f>
        <v>0</v>
      </c>
      <c r="O22" s="1147">
        <f>' Depuración Renta'!$F22-SUM($E22:N22)</f>
        <v>0</v>
      </c>
      <c r="P22" s="1147">
        <f>' Depuración Renta'!$F22-SUM($E22:O22)</f>
        <v>0</v>
      </c>
      <c r="Q22" s="1147">
        <f t="shared" ref="Q22" si="12">SUM(E22:P22)</f>
        <v>0</v>
      </c>
    </row>
    <row r="23" spans="1:17" ht="15" customHeight="1">
      <c r="A23" s="1139">
        <v>4806451000</v>
      </c>
      <c r="B23" s="1140" t="s">
        <v>30</v>
      </c>
      <c r="C23" s="2284">
        <f>VLOOKUP(A23,' Depuración Renta'!$A$6:$F$60,6,0)</f>
        <v>0</v>
      </c>
      <c r="D23" s="2283">
        <f t="shared" si="0"/>
        <v>0</v>
      </c>
      <c r="E23" s="1147">
        <v>0</v>
      </c>
      <c r="F23" s="1147">
        <v>0</v>
      </c>
      <c r="G23" s="1147">
        <v>0</v>
      </c>
      <c r="H23" s="1147">
        <f>' Depuración Renta'!$F23-SUM($E23:G23)</f>
        <v>0</v>
      </c>
      <c r="I23" s="1147">
        <f>' Depuración Renta'!$F23-SUM($E23:H23)</f>
        <v>0</v>
      </c>
      <c r="J23" s="1147">
        <f>' Depuración Renta'!$F23-SUM($E23:I23)</f>
        <v>0</v>
      </c>
      <c r="K23" s="1147">
        <f>' Depuración Renta'!$F23-SUM($E23:J23)</f>
        <v>0</v>
      </c>
      <c r="L23" s="1147">
        <f>' Depuración Renta'!$F23-SUM($E23:K23)</f>
        <v>0</v>
      </c>
      <c r="M23" s="1147">
        <f>' Depuración Renta'!$F23-SUM($E23:L23)</f>
        <v>0</v>
      </c>
      <c r="N23" s="1147">
        <f>' Depuración Renta'!$F23-SUM($E23:M23)</f>
        <v>0</v>
      </c>
      <c r="O23" s="1147">
        <f>' Depuración Renta'!$F23-SUM($E23:N23)</f>
        <v>0</v>
      </c>
      <c r="P23" s="1147">
        <f>' Depuración Renta'!$F23-SUM($E23:O23)</f>
        <v>0</v>
      </c>
      <c r="Q23" s="1147">
        <f t="shared" si="1"/>
        <v>0</v>
      </c>
    </row>
    <row r="24" spans="1:17">
      <c r="A24" s="1141">
        <v>4806451110</v>
      </c>
      <c r="B24" s="1142" t="s">
        <v>1251</v>
      </c>
      <c r="C24" s="2284">
        <f>VLOOKUP(A24,' Depuración Renta'!$A$6:$F$60,6,0)</f>
        <v>0</v>
      </c>
      <c r="D24" s="2283">
        <f t="shared" ref="D24" si="13">+Q24-C24</f>
        <v>0</v>
      </c>
      <c r="E24" s="1146">
        <v>0</v>
      </c>
      <c r="F24" s="1146">
        <v>0</v>
      </c>
      <c r="G24" s="1146">
        <v>0</v>
      </c>
      <c r="H24" s="1146">
        <f>' Depuración Renta'!$F24-SUM($E24:G24)</f>
        <v>0</v>
      </c>
      <c r="I24" s="1146">
        <f>' Depuración Renta'!$F24-SUM($E24:H24)</f>
        <v>0</v>
      </c>
      <c r="J24" s="1146">
        <f>' Depuración Renta'!$F24-SUM($E24:I24)</f>
        <v>0</v>
      </c>
      <c r="K24" s="1146">
        <f>' Depuración Renta'!$F24-SUM($E24:J24)</f>
        <v>0</v>
      </c>
      <c r="L24" s="1146">
        <f>' Depuración Renta'!$F24-SUM($E24:K24)</f>
        <v>0</v>
      </c>
      <c r="M24" s="1146">
        <f>' Depuración Renta'!$F24-SUM($E24:L24)</f>
        <v>0</v>
      </c>
      <c r="N24" s="1146">
        <f>' Depuración Renta'!$F24-SUM($E24:M24)</f>
        <v>0</v>
      </c>
      <c r="O24" s="1146">
        <f>' Depuración Renta'!$F24-SUM($E24:N24)</f>
        <v>0</v>
      </c>
      <c r="P24" s="1146">
        <f>' Depuración Renta'!$F24-SUM($E24:O24)</f>
        <v>0</v>
      </c>
      <c r="Q24" s="1720">
        <f t="shared" ref="Q24" si="14">SUM(E24:P24)</f>
        <v>0</v>
      </c>
    </row>
    <row r="25" spans="1:17">
      <c r="A25" s="1141">
        <v>4806451210</v>
      </c>
      <c r="B25" s="1142" t="s">
        <v>1341</v>
      </c>
      <c r="C25" s="2284">
        <f>VLOOKUP(A25,' Depuración Renta'!$A$6:$F$60,6,0)</f>
        <v>0</v>
      </c>
      <c r="D25" s="2283">
        <f t="shared" ref="D25" si="15">+Q25-C25</f>
        <v>0</v>
      </c>
      <c r="E25" s="1146">
        <v>0</v>
      </c>
      <c r="F25" s="1146">
        <v>0</v>
      </c>
      <c r="G25" s="1146">
        <v>0</v>
      </c>
      <c r="H25" s="1146">
        <f>' Depuración Renta'!$F25-SUM($E25:G25)</f>
        <v>0</v>
      </c>
      <c r="I25" s="1146">
        <f>' Depuración Renta'!$F25-SUM($E25:H25)</f>
        <v>0</v>
      </c>
      <c r="J25" s="1146">
        <f>' Depuración Renta'!$F25-SUM($E25:I25)</f>
        <v>0</v>
      </c>
      <c r="K25" s="1146">
        <f>' Depuración Renta'!$F25-SUM($E25:J25)</f>
        <v>0</v>
      </c>
      <c r="L25" s="1146">
        <f>' Depuración Renta'!$F25-SUM($E25:K25)</f>
        <v>0</v>
      </c>
      <c r="M25" s="1146">
        <f>' Depuración Renta'!$F25-SUM($E25:L25)</f>
        <v>0</v>
      </c>
      <c r="N25" s="1146">
        <f>' Depuración Renta'!$F25-SUM($E25:M25)</f>
        <v>0</v>
      </c>
      <c r="O25" s="1146">
        <f>' Depuración Renta'!$F25-SUM($E25:N25)</f>
        <v>0</v>
      </c>
      <c r="P25" s="1146">
        <f>' Depuración Renta'!$F25-SUM($E25:O25)</f>
        <v>0</v>
      </c>
      <c r="Q25" s="1720">
        <f t="shared" ref="Q25" si="16">SUM(E25:P25)</f>
        <v>0</v>
      </c>
    </row>
    <row r="26" spans="1:17">
      <c r="A26" s="1141">
        <v>4806452000</v>
      </c>
      <c r="B26" s="1142" t="s">
        <v>31</v>
      </c>
      <c r="C26" s="2284">
        <f ca="1">VLOOKUP(A26,' Depuración Renta'!$A$6:$F$60,6,0)</f>
        <v>-215645668.52980077</v>
      </c>
      <c r="D26" s="2283">
        <f t="shared" ca="1" si="0"/>
        <v>0</v>
      </c>
      <c r="E26" s="1146">
        <v>0</v>
      </c>
      <c r="F26" s="1146">
        <v>0</v>
      </c>
      <c r="G26" s="1146">
        <v>0</v>
      </c>
      <c r="H26" s="1146">
        <f ca="1">' Depuración Renta'!$F26-SUM($E26:G26)</f>
        <v>-215645668.52980077</v>
      </c>
      <c r="I26" s="1146">
        <f ca="1">' Depuración Renta'!$F26-SUM($E26:H26)</f>
        <v>0</v>
      </c>
      <c r="J26" s="1146">
        <f ca="1">' Depuración Renta'!$F26-SUM($E26:I26)</f>
        <v>0</v>
      </c>
      <c r="K26" s="1146">
        <f ca="1">' Depuración Renta'!$F26-SUM($E26:J26)</f>
        <v>0</v>
      </c>
      <c r="L26" s="1146">
        <f ca="1">' Depuración Renta'!$F26-SUM($E26:K26)</f>
        <v>0</v>
      </c>
      <c r="M26" s="1146">
        <f ca="1">' Depuración Renta'!$F26-SUM($E26:L26)</f>
        <v>0</v>
      </c>
      <c r="N26" s="1146">
        <f ca="1">' Depuración Renta'!$F26-SUM($E26:M26)</f>
        <v>0</v>
      </c>
      <c r="O26" s="1146">
        <f ca="1">' Depuración Renta'!$F26-SUM($E26:N26)</f>
        <v>0</v>
      </c>
      <c r="P26" s="1146">
        <f ca="1">' Depuración Renta'!$F26-SUM($E26:O26)</f>
        <v>0</v>
      </c>
      <c r="Q26" s="1720">
        <f t="shared" ca="1" si="1"/>
        <v>-215645668.52980077</v>
      </c>
    </row>
    <row r="27" spans="1:17">
      <c r="A27" s="1141">
        <v>4806452102</v>
      </c>
      <c r="B27" s="1142" t="s">
        <v>1362</v>
      </c>
      <c r="C27" s="2284">
        <f>VLOOKUP(A27,' Depuración Renta'!$A$6:$F$60,6,0)</f>
        <v>0</v>
      </c>
      <c r="D27" s="2283">
        <f t="shared" si="0"/>
        <v>0</v>
      </c>
      <c r="E27" s="1146">
        <v>0</v>
      </c>
      <c r="F27" s="1146">
        <v>0</v>
      </c>
      <c r="G27" s="1146">
        <v>0</v>
      </c>
      <c r="H27" s="1146">
        <f>' Depuración Renta'!$F27-SUM($E27:G27)</f>
        <v>0</v>
      </c>
      <c r="I27" s="1146">
        <f>' Depuración Renta'!$F27-SUM($E27:H27)</f>
        <v>0</v>
      </c>
      <c r="J27" s="1146">
        <f>' Depuración Renta'!$F27-SUM($E27:I27)</f>
        <v>0</v>
      </c>
      <c r="K27" s="1146">
        <f>' Depuración Renta'!$F27-SUM($E27:J27)</f>
        <v>0</v>
      </c>
      <c r="L27" s="1146">
        <f>' Depuración Renta'!$F27-SUM($E27:K27)</f>
        <v>0</v>
      </c>
      <c r="M27" s="1146">
        <f>' Depuración Renta'!$F27-SUM($E27:L27)</f>
        <v>0</v>
      </c>
      <c r="N27" s="1146">
        <f>' Depuración Renta'!$F27-SUM($E27:M27)</f>
        <v>0</v>
      </c>
      <c r="O27" s="1146">
        <f>' Depuración Renta'!$F27-SUM($E27:N27)</f>
        <v>0</v>
      </c>
      <c r="P27" s="1146">
        <f>' Depuración Renta'!$F27-SUM($E27:O27)</f>
        <v>0</v>
      </c>
      <c r="Q27" s="1720">
        <f t="shared" ref="Q27" si="17">SUM(E27:P27)</f>
        <v>0</v>
      </c>
    </row>
    <row r="28" spans="1:17" ht="15" customHeight="1">
      <c r="A28" s="1139">
        <v>4806452103</v>
      </c>
      <c r="B28" s="1140" t="s">
        <v>267</v>
      </c>
      <c r="C28" s="2284">
        <f>VLOOKUP(A28,' Depuración Renta'!$A$6:$F$60,6,0)</f>
        <v>0</v>
      </c>
      <c r="D28" s="2283">
        <f t="shared" ref="D28" si="18">+Q28-C28</f>
        <v>0</v>
      </c>
      <c r="E28" s="1147">
        <v>0</v>
      </c>
      <c r="F28" s="1147">
        <v>0</v>
      </c>
      <c r="G28" s="1147">
        <v>0</v>
      </c>
      <c r="H28" s="1147">
        <f>' Depuración Renta'!$F28-SUM($E28:G28)</f>
        <v>0</v>
      </c>
      <c r="I28" s="1147">
        <f>' Depuración Renta'!$F28-SUM($E28:H28)</f>
        <v>0</v>
      </c>
      <c r="J28" s="1147">
        <f>' Depuración Renta'!$F28-SUM($E28:I28)</f>
        <v>0</v>
      </c>
      <c r="K28" s="1147">
        <f>' Depuración Renta'!$F28-SUM($E28:J28)</f>
        <v>0</v>
      </c>
      <c r="L28" s="1147">
        <f>' Depuración Renta'!$F28-SUM($E28:K28)</f>
        <v>0</v>
      </c>
      <c r="M28" s="1147">
        <f>' Depuración Renta'!$F28-SUM($E28:L28)</f>
        <v>0</v>
      </c>
      <c r="N28" s="1147">
        <f>' Depuración Renta'!$F28-SUM($E28:M28)</f>
        <v>0</v>
      </c>
      <c r="O28" s="1147">
        <f>' Depuración Renta'!$F28-SUM($E28:N28)</f>
        <v>0</v>
      </c>
      <c r="P28" s="1147">
        <f>' Depuración Renta'!$F28-SUM($E28:O28)</f>
        <v>0</v>
      </c>
      <c r="Q28" s="1147">
        <f t="shared" ref="Q28" si="19">SUM(E28:P28)</f>
        <v>0</v>
      </c>
    </row>
    <row r="29" spans="1:17" ht="15" customHeight="1">
      <c r="A29" s="1139">
        <v>4806452105</v>
      </c>
      <c r="B29" s="1140" t="s">
        <v>1342</v>
      </c>
      <c r="C29" s="2284">
        <f>VLOOKUP(A29,' Depuración Renta'!$A$6:$F$60,6,0)</f>
        <v>0</v>
      </c>
      <c r="D29" s="2283">
        <f t="shared" ref="D29" si="20">+Q29-C29</f>
        <v>0</v>
      </c>
      <c r="E29" s="1147">
        <v>0</v>
      </c>
      <c r="F29" s="1147">
        <v>0</v>
      </c>
      <c r="G29" s="1147">
        <v>0</v>
      </c>
      <c r="H29" s="1147">
        <f>' Depuración Renta'!$F29-SUM($E29:G29)</f>
        <v>0</v>
      </c>
      <c r="I29" s="1147">
        <f>' Depuración Renta'!$F29-SUM($E29:H29)</f>
        <v>0</v>
      </c>
      <c r="J29" s="1147">
        <f>' Depuración Renta'!$F29-SUM($E29:I29)</f>
        <v>0</v>
      </c>
      <c r="K29" s="1147">
        <f>' Depuración Renta'!$F29-SUM($E29:J29)</f>
        <v>0</v>
      </c>
      <c r="L29" s="1147">
        <f>' Depuración Renta'!$F29-SUM($E29:K29)</f>
        <v>0</v>
      </c>
      <c r="M29" s="1147">
        <f>' Depuración Renta'!$F29-SUM($E29:L29)</f>
        <v>0</v>
      </c>
      <c r="N29" s="1147">
        <f>' Depuración Renta'!$F29-SUM($E29:M29)</f>
        <v>0</v>
      </c>
      <c r="O29" s="1147">
        <f>' Depuración Renta'!$F29-SUM($E29:N29)</f>
        <v>0</v>
      </c>
      <c r="P29" s="1147">
        <f>' Depuración Renta'!$F29-SUM($E29:O29)</f>
        <v>0</v>
      </c>
      <c r="Q29" s="1147">
        <f t="shared" ref="Q29" si="21">SUM(E29:P29)</f>
        <v>0</v>
      </c>
    </row>
    <row r="30" spans="1:17" ht="15" customHeight="1">
      <c r="A30" s="1139">
        <v>4806453000</v>
      </c>
      <c r="B30" s="1140" t="s">
        <v>32</v>
      </c>
      <c r="C30" s="2284">
        <f>VLOOKUP(A30,' Depuración Renta'!$A$6:$F$60,6,0)</f>
        <v>0</v>
      </c>
      <c r="D30" s="2283">
        <f t="shared" si="0"/>
        <v>0</v>
      </c>
      <c r="E30" s="1147">
        <v>0</v>
      </c>
      <c r="F30" s="1147">
        <v>0</v>
      </c>
      <c r="G30" s="1147">
        <v>0</v>
      </c>
      <c r="H30" s="1147">
        <f>' Depuración Renta'!$F30-SUM($E30:G30)</f>
        <v>0</v>
      </c>
      <c r="I30" s="1147">
        <f>' Depuración Renta'!$F30-SUM($E30:H30)</f>
        <v>0</v>
      </c>
      <c r="J30" s="1147">
        <f>' Depuración Renta'!$F30-SUM($E30:I30)</f>
        <v>0</v>
      </c>
      <c r="K30" s="1147">
        <f>' Depuración Renta'!$F30-SUM($E30:J30)</f>
        <v>0</v>
      </c>
      <c r="L30" s="1147">
        <f>' Depuración Renta'!$F30-SUM($E30:K30)</f>
        <v>0</v>
      </c>
      <c r="M30" s="1147">
        <f>' Depuración Renta'!$F30-SUM($E30:L30)</f>
        <v>0</v>
      </c>
      <c r="N30" s="1147">
        <f>' Depuración Renta'!$F30-SUM($E30:M30)</f>
        <v>0</v>
      </c>
      <c r="O30" s="1147">
        <f>' Depuración Renta'!$F30-SUM($E30:N30)</f>
        <v>0</v>
      </c>
      <c r="P30" s="1147">
        <f>' Depuración Renta'!$F30-SUM($E30:O30)</f>
        <v>0</v>
      </c>
      <c r="Q30" s="1147">
        <f t="shared" si="1"/>
        <v>0</v>
      </c>
    </row>
    <row r="31" spans="1:17">
      <c r="A31" s="1141">
        <v>4806900100</v>
      </c>
      <c r="B31" s="1142" t="s">
        <v>176</v>
      </c>
      <c r="C31" s="2284">
        <f ca="1">VLOOKUP(A31,' Depuración Renta'!$A$6:$F$60,6,0)+IF(VLOOKUP(A56,' Depuración Renta'!$A$6:$F$60,6,0)&lt;0,VLOOKUP(A56,' Depuración Renta'!$A$6:$F$60,6,0),0)</f>
        <v>-34084127.903800003</v>
      </c>
      <c r="D31" s="2283">
        <f t="shared" ca="1" si="0"/>
        <v>0</v>
      </c>
      <c r="E31" s="1146">
        <v>-32204679</v>
      </c>
      <c r="F31" s="1146">
        <v>0</v>
      </c>
      <c r="G31" s="1146">
        <v>-48334</v>
      </c>
      <c r="H31" s="1146">
        <f ca="1">' Depuración Renta'!$F31-SUM($E31:G31)</f>
        <v>-1831114.9038000032</v>
      </c>
      <c r="I31" s="1146">
        <f ca="1">' Depuración Renta'!$F31-SUM($E31:H31)</f>
        <v>0</v>
      </c>
      <c r="J31" s="1146">
        <f ca="1">' Depuración Renta'!$F31-SUM($E31:I31)</f>
        <v>0</v>
      </c>
      <c r="K31" s="1146">
        <f ca="1">' Depuración Renta'!$F31-SUM($E31:J31)</f>
        <v>0</v>
      </c>
      <c r="L31" s="1146">
        <f ca="1">' Depuración Renta'!$F31-SUM($E31:K31)</f>
        <v>0</v>
      </c>
      <c r="M31" s="1146">
        <f ca="1">' Depuración Renta'!$F31-SUM($E31:L31)</f>
        <v>0</v>
      </c>
      <c r="N31" s="1146">
        <f ca="1">' Depuración Renta'!$F31-SUM($E31:M31)</f>
        <v>0</v>
      </c>
      <c r="O31" s="1146">
        <f ca="1">' Depuración Renta'!$F31-SUM($E31:N31)</f>
        <v>0</v>
      </c>
      <c r="P31" s="1146">
        <f ca="1">' Depuración Renta'!$F31-SUM($E31:O31)</f>
        <v>0</v>
      </c>
      <c r="Q31" s="1721">
        <f t="shared" ca="1" si="1"/>
        <v>-34084127.903800003</v>
      </c>
    </row>
    <row r="32" spans="1:17">
      <c r="A32" s="1141">
        <v>4806900110</v>
      </c>
      <c r="B32" s="1143" t="s">
        <v>240</v>
      </c>
      <c r="C32" s="2284">
        <f>VLOOKUP(A32,' Depuración Renta'!$A$6:$F$60,6,0)</f>
        <v>0</v>
      </c>
      <c r="D32" s="2283">
        <f t="shared" si="0"/>
        <v>0</v>
      </c>
      <c r="E32" s="1146">
        <v>0</v>
      </c>
      <c r="F32" s="1146">
        <v>0</v>
      </c>
      <c r="G32" s="1146">
        <v>0</v>
      </c>
      <c r="H32" s="1146">
        <f>' Depuración Renta'!$F32-SUM($E32:G32)</f>
        <v>0</v>
      </c>
      <c r="I32" s="1146">
        <f>' Depuración Renta'!$F32-SUM($E32:H32)</f>
        <v>0</v>
      </c>
      <c r="J32" s="1146">
        <f>' Depuración Renta'!$F32-SUM($E32:I32)</f>
        <v>0</v>
      </c>
      <c r="K32" s="1146">
        <f>' Depuración Renta'!$F32-SUM($E32:J32)</f>
        <v>0</v>
      </c>
      <c r="L32" s="1146">
        <f>' Depuración Renta'!$F32-SUM($E32:K32)</f>
        <v>0</v>
      </c>
      <c r="M32" s="1146">
        <f>' Depuración Renta'!$F32-SUM($E32:L32)</f>
        <v>0</v>
      </c>
      <c r="N32" s="1146">
        <f>' Depuración Renta'!$F32-SUM($E32:M32)</f>
        <v>0</v>
      </c>
      <c r="O32" s="1146">
        <f>' Depuración Renta'!$F32-SUM($E32:N32)</f>
        <v>0</v>
      </c>
      <c r="P32" s="1146">
        <f>' Depuración Renta'!$F32-SUM($E32:O32)</f>
        <v>0</v>
      </c>
      <c r="Q32" s="1146">
        <f t="shared" si="1"/>
        <v>0</v>
      </c>
    </row>
    <row r="33" spans="1:17">
      <c r="A33" s="1139">
        <v>4806900200</v>
      </c>
      <c r="B33" s="1140" t="s">
        <v>33</v>
      </c>
      <c r="C33" s="2284">
        <f>VLOOKUP(A33,' Depuración Renta'!$A$6:$F$60,6,0)</f>
        <v>0</v>
      </c>
      <c r="D33" s="2283">
        <f t="shared" si="0"/>
        <v>0</v>
      </c>
      <c r="E33" s="1147">
        <v>0</v>
      </c>
      <c r="F33" s="1147">
        <v>0</v>
      </c>
      <c r="G33" s="1147">
        <v>0</v>
      </c>
      <c r="H33" s="1147">
        <f>' Depuración Renta'!$F33-SUM($E33:G33)</f>
        <v>0</v>
      </c>
      <c r="I33" s="1147">
        <f>' Depuración Renta'!$F33-SUM($E33:H33)</f>
        <v>0</v>
      </c>
      <c r="J33" s="1147">
        <f>' Depuración Renta'!$F33-SUM($E33:I33)</f>
        <v>0</v>
      </c>
      <c r="K33" s="1147">
        <f>' Depuración Renta'!$F33-SUM($E33:J33)</f>
        <v>0</v>
      </c>
      <c r="L33" s="1147">
        <f>' Depuración Renta'!$F33-SUM($E33:K33)</f>
        <v>0</v>
      </c>
      <c r="M33" s="1147">
        <f>' Depuración Renta'!$F33-SUM($E33:L33)</f>
        <v>0</v>
      </c>
      <c r="N33" s="1147">
        <f>' Depuración Renta'!$F33-SUM($E33:M33)</f>
        <v>0</v>
      </c>
      <c r="O33" s="1147">
        <f>' Depuración Renta'!$F33-SUM($E33:N33)</f>
        <v>0</v>
      </c>
      <c r="P33" s="1147">
        <f>' Depuración Renta'!$F33-SUM($E33:O33)</f>
        <v>0</v>
      </c>
      <c r="Q33" s="1147">
        <f t="shared" si="1"/>
        <v>0</v>
      </c>
    </row>
    <row r="34" spans="1:17">
      <c r="A34" s="1139">
        <v>4806900210</v>
      </c>
      <c r="B34" s="1140" t="s">
        <v>239</v>
      </c>
      <c r="C34" s="2284">
        <f>VLOOKUP(A34,' Depuración Renta'!$A$6:$F$60,6,0)</f>
        <v>0</v>
      </c>
      <c r="D34" s="2283">
        <f t="shared" si="0"/>
        <v>0</v>
      </c>
      <c r="E34" s="1147">
        <v>0</v>
      </c>
      <c r="F34" s="1147">
        <v>0</v>
      </c>
      <c r="G34" s="1147">
        <v>0</v>
      </c>
      <c r="H34" s="1147">
        <f>' Depuración Renta'!$F34-SUM($E34:G34)</f>
        <v>0</v>
      </c>
      <c r="I34" s="1147">
        <f>' Depuración Renta'!$F34-SUM($E34:H34)</f>
        <v>0</v>
      </c>
      <c r="J34" s="1147">
        <f>' Depuración Renta'!$F34-SUM($E34:I34)</f>
        <v>0</v>
      </c>
      <c r="K34" s="1147">
        <f>' Depuración Renta'!$F34-SUM($E34:J34)</f>
        <v>0</v>
      </c>
      <c r="L34" s="1147">
        <f>' Depuración Renta'!$F34-SUM($E34:K34)</f>
        <v>0</v>
      </c>
      <c r="M34" s="1147">
        <f>' Depuración Renta'!$F34-SUM($E34:L34)</f>
        <v>0</v>
      </c>
      <c r="N34" s="1147">
        <f>' Depuración Renta'!$F34-SUM($E34:M34)</f>
        <v>0</v>
      </c>
      <c r="O34" s="1147">
        <f>' Depuración Renta'!$F34-SUM($E34:N34)</f>
        <v>0</v>
      </c>
      <c r="P34" s="1147">
        <f>' Depuración Renta'!$F34-SUM($E34:O34)</f>
        <v>0</v>
      </c>
      <c r="Q34" s="1147">
        <f t="shared" si="1"/>
        <v>0</v>
      </c>
    </row>
    <row r="35" spans="1:17">
      <c r="A35" s="1141">
        <v>5803010100</v>
      </c>
      <c r="B35" s="1142" t="s">
        <v>265</v>
      </c>
      <c r="C35" s="2282">
        <v>0</v>
      </c>
      <c r="D35" s="2283">
        <f t="shared" si="0"/>
        <v>0</v>
      </c>
      <c r="E35" s="1146">
        <v>0</v>
      </c>
      <c r="F35" s="1146">
        <v>0</v>
      </c>
      <c r="G35" s="1146">
        <v>0</v>
      </c>
      <c r="H35" s="1146">
        <v>0</v>
      </c>
      <c r="I35" s="1146">
        <v>0</v>
      </c>
      <c r="J35" s="1146">
        <v>0</v>
      </c>
      <c r="K35" s="1146">
        <v>0</v>
      </c>
      <c r="L35" s="1146">
        <v>0</v>
      </c>
      <c r="M35" s="1146">
        <v>0</v>
      </c>
      <c r="N35" s="1146">
        <v>0</v>
      </c>
      <c r="O35" s="1146">
        <v>0</v>
      </c>
      <c r="P35" s="1146">
        <v>0</v>
      </c>
      <c r="Q35" s="1693">
        <f t="shared" si="1"/>
        <v>0</v>
      </c>
    </row>
    <row r="36" spans="1:17" ht="15" customHeight="1">
      <c r="A36" s="1139">
        <v>5803010200</v>
      </c>
      <c r="B36" s="1140" t="s">
        <v>35</v>
      </c>
      <c r="C36" s="2284">
        <f>VLOOKUP(A36,' Depuración Renta'!$A$6:$F$60,6,0)</f>
        <v>0</v>
      </c>
      <c r="D36" s="2283">
        <f t="shared" si="0"/>
        <v>0</v>
      </c>
      <c r="E36" s="1147">
        <v>0</v>
      </c>
      <c r="F36" s="1147">
        <v>0</v>
      </c>
      <c r="G36" s="1147">
        <v>0</v>
      </c>
      <c r="H36" s="1147">
        <f>' Depuración Renta'!$F36-SUM($E36:G36)</f>
        <v>0</v>
      </c>
      <c r="I36" s="1147">
        <f>' Depuración Renta'!$F36-SUM($E36:H36)</f>
        <v>0</v>
      </c>
      <c r="J36" s="1147">
        <f>' Depuración Renta'!$F36-SUM($E36:I36)</f>
        <v>0</v>
      </c>
      <c r="K36" s="1147">
        <f>' Depuración Renta'!$F36-SUM($E36:J36)</f>
        <v>0</v>
      </c>
      <c r="L36" s="1147">
        <f>' Depuración Renta'!$F36-SUM($E36:K36)</f>
        <v>0</v>
      </c>
      <c r="M36" s="1147">
        <f>' Depuración Renta'!$F36-SUM($E36:L36)</f>
        <v>0</v>
      </c>
      <c r="N36" s="1147">
        <f>' Depuración Renta'!$F36-SUM($E36:M36)</f>
        <v>0</v>
      </c>
      <c r="O36" s="1147">
        <f>' Depuración Renta'!$F36-SUM($E36:N36)</f>
        <v>0</v>
      </c>
      <c r="P36" s="1147">
        <f>' Depuración Renta'!$F36-SUM($E36:O36)</f>
        <v>0</v>
      </c>
      <c r="Q36" s="1147">
        <f t="shared" si="1"/>
        <v>0</v>
      </c>
    </row>
    <row r="37" spans="1:17">
      <c r="A37" s="1141">
        <v>5803010300</v>
      </c>
      <c r="B37" s="1142" t="s">
        <v>1235</v>
      </c>
      <c r="C37" s="2284">
        <f ca="1">VLOOKUP(A37,' Depuración Renta'!$A$6:$F$60,6,0)</f>
        <v>3842737212.2916918</v>
      </c>
      <c r="D37" s="2283">
        <f t="shared" ca="1" si="0"/>
        <v>0</v>
      </c>
      <c r="E37" s="1146">
        <v>1826532777.2881975</v>
      </c>
      <c r="F37" s="1146">
        <v>50154286.750199318</v>
      </c>
      <c r="G37" s="1146">
        <v>1451236593.9006948</v>
      </c>
      <c r="H37" s="1146">
        <f ca="1">' Depuración Renta'!$F37-SUM($E37:G37)</f>
        <v>514813554.3526001</v>
      </c>
      <c r="I37" s="1146">
        <f ca="1">' Depuración Renta'!$F37-SUM($E37:H37)</f>
        <v>0</v>
      </c>
      <c r="J37" s="1146">
        <f ca="1">' Depuración Renta'!$F37-SUM($E37:I37)</f>
        <v>0</v>
      </c>
      <c r="K37" s="1146">
        <f ca="1">' Depuración Renta'!$F37-SUM($E37:J37)</f>
        <v>0</v>
      </c>
      <c r="L37" s="1146">
        <f ca="1">' Depuración Renta'!$F37-SUM($E37:K37)</f>
        <v>0</v>
      </c>
      <c r="M37" s="1146">
        <f ca="1">' Depuración Renta'!$F37-SUM($E37:L37)</f>
        <v>0</v>
      </c>
      <c r="N37" s="1146">
        <f ca="1">' Depuración Renta'!$F37-SUM($E37:M37)</f>
        <v>0</v>
      </c>
      <c r="O37" s="1146">
        <f ca="1">' Depuración Renta'!$F37-SUM($E37:N37)</f>
        <v>0</v>
      </c>
      <c r="P37" s="1146">
        <f ca="1">' Depuración Renta'!$F37-SUM($E37:O37)</f>
        <v>0</v>
      </c>
      <c r="Q37" s="2143">
        <f t="shared" ca="1" si="1"/>
        <v>3842737212.2916918</v>
      </c>
    </row>
    <row r="38" spans="1:17" ht="15" customHeight="1">
      <c r="A38" s="1139">
        <v>5803010400</v>
      </c>
      <c r="B38" s="1140" t="s">
        <v>1186</v>
      </c>
      <c r="C38" s="2284">
        <f>VLOOKUP(A38,' Depuración Renta'!$A$6:$F$60,6,0)</f>
        <v>0</v>
      </c>
      <c r="D38" s="2283">
        <f t="shared" ref="D38:D39" si="22">+Q38-C38</f>
        <v>0</v>
      </c>
      <c r="E38" s="1147">
        <v>0</v>
      </c>
      <c r="F38" s="1147">
        <v>0</v>
      </c>
      <c r="G38" s="1147">
        <v>0</v>
      </c>
      <c r="H38" s="1147">
        <f>' Depuración Renta'!$F38-SUM($E38:G38)</f>
        <v>0</v>
      </c>
      <c r="I38" s="1147">
        <f>' Depuración Renta'!$F38-SUM($E38:H38)</f>
        <v>0</v>
      </c>
      <c r="J38" s="1147">
        <f>' Depuración Renta'!$F38-SUM($E38:I38)</f>
        <v>0</v>
      </c>
      <c r="K38" s="1147">
        <f>' Depuración Renta'!$F38-SUM($E38:J38)</f>
        <v>0</v>
      </c>
      <c r="L38" s="1147">
        <f>' Depuración Renta'!$F38-SUM($E38:K38)</f>
        <v>0</v>
      </c>
      <c r="M38" s="1147">
        <f>' Depuración Renta'!$F38-SUM($E38:L38)</f>
        <v>0</v>
      </c>
      <c r="N38" s="1147">
        <f>' Depuración Renta'!$F38-SUM($E38:M38)</f>
        <v>0</v>
      </c>
      <c r="O38" s="1147">
        <f>' Depuración Renta'!$F38-SUM($E38:N38)</f>
        <v>0</v>
      </c>
      <c r="P38" s="1147">
        <f>' Depuración Renta'!$F38-SUM($E38:O38)</f>
        <v>0</v>
      </c>
      <c r="Q38" s="1147">
        <f t="shared" ref="Q38:Q39" si="23">SUM(E38:P38)</f>
        <v>0</v>
      </c>
    </row>
    <row r="39" spans="1:17">
      <c r="A39" s="1141">
        <v>5803010500</v>
      </c>
      <c r="B39" s="1142" t="s">
        <v>1236</v>
      </c>
      <c r="C39" s="2284">
        <f ca="1">VLOOKUP(A39,' Depuración Renta'!$A$6:$F$60,6,0)</f>
        <v>1890190901.9876857</v>
      </c>
      <c r="D39" s="2283">
        <f t="shared" ca="1" si="22"/>
        <v>0</v>
      </c>
      <c r="E39" s="1146">
        <v>1833345912.7476878</v>
      </c>
      <c r="F39" s="1146">
        <v>0</v>
      </c>
      <c r="G39" s="1146">
        <v>56836232.239997864</v>
      </c>
      <c r="H39" s="1146">
        <f ca="1">' Depuración Renta'!$F39-SUM($E39:G39)</f>
        <v>8757</v>
      </c>
      <c r="I39" s="1146">
        <f ca="1">' Depuración Renta'!$F39-SUM($E39:H39)</f>
        <v>0</v>
      </c>
      <c r="J39" s="1146">
        <f ca="1">' Depuración Renta'!$F39-SUM($E39:I39)</f>
        <v>0</v>
      </c>
      <c r="K39" s="1146">
        <f ca="1">' Depuración Renta'!$F39-SUM($E39:J39)</f>
        <v>0</v>
      </c>
      <c r="L39" s="1146">
        <f ca="1">' Depuración Renta'!$F39-SUM($E39:K39)</f>
        <v>0</v>
      </c>
      <c r="M39" s="1146">
        <f ca="1">' Depuración Renta'!$F39-SUM($E39:L39)</f>
        <v>0</v>
      </c>
      <c r="N39" s="1146">
        <f ca="1">' Depuración Renta'!$F39-SUM($E39:M39)</f>
        <v>0</v>
      </c>
      <c r="O39" s="1146">
        <f ca="1">' Depuración Renta'!$F39-SUM($E39:N39)</f>
        <v>0</v>
      </c>
      <c r="P39" s="1146">
        <f ca="1">' Depuración Renta'!$F39-SUM($E39:O39)</f>
        <v>0</v>
      </c>
      <c r="Q39" s="2143">
        <f t="shared" ca="1" si="23"/>
        <v>1890190901.9876857</v>
      </c>
    </row>
    <row r="40" spans="1:17" ht="15" customHeight="1">
      <c r="A40" s="1139">
        <v>5803010600</v>
      </c>
      <c r="B40" s="1140" t="s">
        <v>1187</v>
      </c>
      <c r="C40" s="2284">
        <f>VLOOKUP(A40,' Depuración Renta'!$A$6:$F$60,6,0)</f>
        <v>0</v>
      </c>
      <c r="D40" s="2283">
        <f t="shared" ref="D40" si="24">+Q40-C40</f>
        <v>0</v>
      </c>
      <c r="E40" s="1147">
        <v>0</v>
      </c>
      <c r="F40" s="1147">
        <v>0</v>
      </c>
      <c r="G40" s="1147">
        <v>0</v>
      </c>
      <c r="H40" s="1147">
        <f>' Depuración Renta'!$F40-SUM($E40:G40)</f>
        <v>0</v>
      </c>
      <c r="I40" s="1147">
        <f>' Depuración Renta'!$F40-SUM($E40:H40)</f>
        <v>0</v>
      </c>
      <c r="J40" s="1147">
        <f>' Depuración Renta'!$F40-SUM($E40:I40)</f>
        <v>0</v>
      </c>
      <c r="K40" s="1147">
        <f>' Depuración Renta'!$F40-SUM($E40:J40)</f>
        <v>0</v>
      </c>
      <c r="L40" s="1147">
        <f>' Depuración Renta'!$F40-SUM($E40:K40)</f>
        <v>0</v>
      </c>
      <c r="M40" s="1147">
        <f>' Depuración Renta'!$F40-SUM($E40:L40)</f>
        <v>0</v>
      </c>
      <c r="N40" s="1147">
        <f>' Depuración Renta'!$F40-SUM($E40:M40)</f>
        <v>0</v>
      </c>
      <c r="O40" s="1147">
        <f>' Depuración Renta'!$F40-SUM($E40:N40)</f>
        <v>0</v>
      </c>
      <c r="P40" s="1147">
        <f>' Depuración Renta'!$F40-SUM($E40:O40)</f>
        <v>0</v>
      </c>
      <c r="Q40" s="1147">
        <f t="shared" ref="Q40" si="25">SUM(E40:P40)</f>
        <v>0</v>
      </c>
    </row>
    <row r="41" spans="1:17">
      <c r="A41" s="1141">
        <v>5803020100</v>
      </c>
      <c r="B41" s="1142" t="s">
        <v>36</v>
      </c>
      <c r="C41" s="2284">
        <f ca="1">VLOOKUP(A41,' Depuración Renta'!$A$6:$F$60,6,0)</f>
        <v>23852398.665999968</v>
      </c>
      <c r="D41" s="2283">
        <f t="shared" ca="1" si="0"/>
        <v>0</v>
      </c>
      <c r="E41" s="1146">
        <v>0</v>
      </c>
      <c r="F41" s="1146">
        <v>993310.95999999763</v>
      </c>
      <c r="G41" s="1146">
        <v>0</v>
      </c>
      <c r="H41" s="1146">
        <f ca="1">' Depuración Renta'!$F41-SUM($E41:G41)</f>
        <v>22859087.70599997</v>
      </c>
      <c r="I41" s="1146">
        <f ca="1">' Depuración Renta'!$F41-SUM($E41:H41)</f>
        <v>0</v>
      </c>
      <c r="J41" s="1146">
        <f ca="1">' Depuración Renta'!$F41-SUM($E41:I41)</f>
        <v>0</v>
      </c>
      <c r="K41" s="1146">
        <f ca="1">' Depuración Renta'!$F41-SUM($E41:J41)</f>
        <v>0</v>
      </c>
      <c r="L41" s="1146">
        <f ca="1">' Depuración Renta'!$F41-SUM($E41:K41)</f>
        <v>0</v>
      </c>
      <c r="M41" s="1146">
        <f ca="1">' Depuración Renta'!$F41-SUM($E41:L41)</f>
        <v>0</v>
      </c>
      <c r="N41" s="1146">
        <f ca="1">' Depuración Renta'!$F41-SUM($E41:M41)</f>
        <v>0</v>
      </c>
      <c r="O41" s="1146">
        <f ca="1">' Depuración Renta'!$F41-SUM($E41:N41)</f>
        <v>0</v>
      </c>
      <c r="P41" s="1146">
        <f ca="1">' Depuración Renta'!$F41-SUM($E41:O41)</f>
        <v>0</v>
      </c>
      <c r="Q41" s="1825">
        <f t="shared" ca="1" si="1"/>
        <v>23852398.665999968</v>
      </c>
    </row>
    <row r="42" spans="1:17" ht="15" customHeight="1">
      <c r="A42" s="1139">
        <v>5803020200</v>
      </c>
      <c r="B42" s="1140" t="s">
        <v>37</v>
      </c>
      <c r="C42" s="2284">
        <f>VLOOKUP(A42,' Depuración Renta'!$A$6:$F$60,6,0)</f>
        <v>0</v>
      </c>
      <c r="D42" s="2283">
        <f t="shared" si="0"/>
        <v>0</v>
      </c>
      <c r="E42" s="1147">
        <v>0</v>
      </c>
      <c r="F42" s="1147">
        <v>0</v>
      </c>
      <c r="G42" s="1147">
        <v>0</v>
      </c>
      <c r="H42" s="1147">
        <f>' Depuración Renta'!$F42-SUM($E42:G42)</f>
        <v>0</v>
      </c>
      <c r="I42" s="1147">
        <f>' Depuración Renta'!$F42-SUM($E42:H42)</f>
        <v>0</v>
      </c>
      <c r="J42" s="1147">
        <f>' Depuración Renta'!$F42-SUM($E42:I42)</f>
        <v>0</v>
      </c>
      <c r="K42" s="1147">
        <f>' Depuración Renta'!$F42-SUM($E42:J42)</f>
        <v>0</v>
      </c>
      <c r="L42" s="1147">
        <f>' Depuración Renta'!$F42-SUM($E42:K42)</f>
        <v>0</v>
      </c>
      <c r="M42" s="1147">
        <f>' Depuración Renta'!$F42-SUM($E42:L42)</f>
        <v>0</v>
      </c>
      <c r="N42" s="1147">
        <f>' Depuración Renta'!$F42-SUM($E42:M42)</f>
        <v>0</v>
      </c>
      <c r="O42" s="1147">
        <f>' Depuración Renta'!$F42-SUM($E42:N42)</f>
        <v>0</v>
      </c>
      <c r="P42" s="1147">
        <f>' Depuración Renta'!$F42-SUM($E42:O42)</f>
        <v>0</v>
      </c>
      <c r="Q42" s="1147">
        <f t="shared" si="1"/>
        <v>0</v>
      </c>
    </row>
    <row r="43" spans="1:17" ht="15" customHeight="1">
      <c r="A43" s="1139">
        <v>5803023000</v>
      </c>
      <c r="B43" s="1140" t="s">
        <v>38</v>
      </c>
      <c r="C43" s="2284">
        <f>VLOOKUP(A43,' Depuración Renta'!$A$6:$F$60,6,0)</f>
        <v>0</v>
      </c>
      <c r="D43" s="2283">
        <f t="shared" si="0"/>
        <v>0</v>
      </c>
      <c r="E43" s="1147">
        <v>0</v>
      </c>
      <c r="F43" s="1147">
        <v>0</v>
      </c>
      <c r="G43" s="1147">
        <v>0</v>
      </c>
      <c r="H43" s="1147">
        <f>' Depuración Renta'!$F43-SUM($E43:G43)</f>
        <v>0</v>
      </c>
      <c r="I43" s="1147">
        <f>' Depuración Renta'!$F43-SUM($E43:H43)</f>
        <v>0</v>
      </c>
      <c r="J43" s="1147">
        <f>' Depuración Renta'!$F43-SUM($E43:I43)</f>
        <v>0</v>
      </c>
      <c r="K43" s="1147">
        <f>' Depuración Renta'!$F43-SUM($E43:J43)</f>
        <v>0</v>
      </c>
      <c r="L43" s="1147">
        <f>' Depuración Renta'!$F43-SUM($E43:K43)</f>
        <v>0</v>
      </c>
      <c r="M43" s="1147">
        <f>' Depuración Renta'!$F43-SUM($E43:L43)</f>
        <v>0</v>
      </c>
      <c r="N43" s="1147">
        <f>' Depuración Renta'!$F43-SUM($E43:M43)</f>
        <v>0</v>
      </c>
      <c r="O43" s="1147">
        <f>' Depuración Renta'!$F43-SUM($E43:N43)</f>
        <v>0</v>
      </c>
      <c r="P43" s="1147">
        <f>' Depuración Renta'!$F43-SUM($E43:O43)</f>
        <v>0</v>
      </c>
      <c r="Q43" s="1147">
        <f t="shared" si="1"/>
        <v>0</v>
      </c>
    </row>
    <row r="44" spans="1:17">
      <c r="A44" s="1141">
        <v>5803120000</v>
      </c>
      <c r="B44" s="1142" t="s">
        <v>39</v>
      </c>
      <c r="C44" s="2284">
        <f ca="1">VLOOKUP(A44,' Depuración Renta'!$A$6:$F$60,6,0)</f>
        <v>106248078.38714699</v>
      </c>
      <c r="D44" s="2283">
        <f t="shared" ca="1" si="0"/>
        <v>0</v>
      </c>
      <c r="E44" s="1146">
        <v>54454927.145880915</v>
      </c>
      <c r="F44" s="1146">
        <v>29432976.834338211</v>
      </c>
      <c r="G44" s="1146">
        <v>22348444.994927868</v>
      </c>
      <c r="H44" s="1146">
        <f ca="1">' Depuración Renta'!$F44-SUM($E44:G44)</f>
        <v>11729.412000000477</v>
      </c>
      <c r="I44" s="1146">
        <f ca="1">' Depuración Renta'!$F44-SUM($E44:H44)</f>
        <v>0</v>
      </c>
      <c r="J44" s="1146">
        <f ca="1">' Depuración Renta'!$F44-SUM($E44:I44)</f>
        <v>0</v>
      </c>
      <c r="K44" s="1146">
        <f ca="1">' Depuración Renta'!$F44-SUM($E44:J44)</f>
        <v>0</v>
      </c>
      <c r="L44" s="1146">
        <f ca="1">' Depuración Renta'!$F44-SUM($E44:K44)</f>
        <v>0</v>
      </c>
      <c r="M44" s="1146">
        <f ca="1">' Depuración Renta'!$F44-SUM($E44:L44)</f>
        <v>0</v>
      </c>
      <c r="N44" s="1146">
        <f ca="1">' Depuración Renta'!$F44-SUM($E44:M44)</f>
        <v>0</v>
      </c>
      <c r="O44" s="1146">
        <f ca="1">' Depuración Renta'!$F44-SUM($E44:N44)</f>
        <v>0</v>
      </c>
      <c r="P44" s="1146">
        <f ca="1">' Depuración Renta'!$F44-SUM($E44:O44)</f>
        <v>0</v>
      </c>
      <c r="Q44" s="1721">
        <f t="shared" ca="1" si="1"/>
        <v>106248078.38714699</v>
      </c>
    </row>
    <row r="45" spans="1:17" ht="15" customHeight="1">
      <c r="A45" s="1139">
        <v>5803120200</v>
      </c>
      <c r="B45" s="1140" t="s">
        <v>40</v>
      </c>
      <c r="C45" s="2284">
        <f>VLOOKUP(A45,' Depuración Renta'!$A$6:$F$60,6,0)</f>
        <v>0</v>
      </c>
      <c r="D45" s="2283">
        <f t="shared" si="0"/>
        <v>0</v>
      </c>
      <c r="E45" s="1147">
        <v>0</v>
      </c>
      <c r="F45" s="1147">
        <v>0</v>
      </c>
      <c r="G45" s="1147">
        <v>0</v>
      </c>
      <c r="H45" s="1147">
        <f>' Depuración Renta'!$F45-SUM($E45:G45)</f>
        <v>0</v>
      </c>
      <c r="I45" s="1147">
        <f>' Depuración Renta'!$F45-SUM($E45:H45)</f>
        <v>0</v>
      </c>
      <c r="J45" s="1147">
        <f>' Depuración Renta'!$F45-SUM($E45:I45)</f>
        <v>0</v>
      </c>
      <c r="K45" s="1147">
        <f>' Depuración Renta'!$F45-SUM($E45:J45)</f>
        <v>0</v>
      </c>
      <c r="L45" s="1147">
        <f>' Depuración Renta'!$F45-SUM($E45:K45)</f>
        <v>0</v>
      </c>
      <c r="M45" s="1147">
        <f>' Depuración Renta'!$F45-SUM($E45:L45)</f>
        <v>0</v>
      </c>
      <c r="N45" s="1147">
        <f>' Depuración Renta'!$F45-SUM($E45:M45)</f>
        <v>0</v>
      </c>
      <c r="O45" s="1147">
        <f>' Depuración Renta'!$F45-SUM($E45:N45)</f>
        <v>0</v>
      </c>
      <c r="P45" s="1147">
        <f>' Depuración Renta'!$F45-SUM($E45:O45)</f>
        <v>0</v>
      </c>
      <c r="Q45" s="1147">
        <f t="shared" si="1"/>
        <v>0</v>
      </c>
    </row>
    <row r="46" spans="1:17">
      <c r="A46" s="1141">
        <v>5803130000</v>
      </c>
      <c r="B46" s="1142" t="s">
        <v>41</v>
      </c>
      <c r="C46" s="2284">
        <f ca="1">VLOOKUP(A46,' Depuración Renta'!$A$6:$F$60,6,0)</f>
        <v>361372795.0027976</v>
      </c>
      <c r="D46" s="2283">
        <f t="shared" ca="1" si="0"/>
        <v>0</v>
      </c>
      <c r="E46" s="1146">
        <v>304031230.65010118</v>
      </c>
      <c r="F46" s="1146">
        <v>5907892.8655276299</v>
      </c>
      <c r="G46" s="1146">
        <v>42666663.483169079</v>
      </c>
      <c r="H46" s="1146">
        <f ca="1">' Depuración Renta'!$F46-SUM($E46:G46)</f>
        <v>8767008.0039997101</v>
      </c>
      <c r="I46" s="1146">
        <f ca="1">' Depuración Renta'!$F46-SUM($E46:H46)</f>
        <v>0</v>
      </c>
      <c r="J46" s="1146">
        <f ca="1">' Depuración Renta'!$F46-SUM($E46:I46)</f>
        <v>0</v>
      </c>
      <c r="K46" s="1146">
        <f ca="1">' Depuración Renta'!$F46-SUM($E46:J46)</f>
        <v>0</v>
      </c>
      <c r="L46" s="1146">
        <f ca="1">' Depuración Renta'!$F46-SUM($E46:K46)</f>
        <v>0</v>
      </c>
      <c r="M46" s="1146">
        <f ca="1">' Depuración Renta'!$F46-SUM($E46:L46)</f>
        <v>0</v>
      </c>
      <c r="N46" s="1146">
        <f ca="1">' Depuración Renta'!$F46-SUM($E46:M46)</f>
        <v>0</v>
      </c>
      <c r="O46" s="1146">
        <f ca="1">' Depuración Renta'!$F46-SUM($E46:N46)</f>
        <v>0</v>
      </c>
      <c r="P46" s="1146">
        <f ca="1">' Depuración Renta'!$F46-SUM($E46:O46)</f>
        <v>0</v>
      </c>
      <c r="Q46" s="1721">
        <f t="shared" ca="1" si="1"/>
        <v>361372795.0027976</v>
      </c>
    </row>
    <row r="47" spans="1:17" ht="15" customHeight="1">
      <c r="A47" s="1139">
        <v>5803130200</v>
      </c>
      <c r="B47" s="1140" t="s">
        <v>42</v>
      </c>
      <c r="C47" s="2284">
        <f>VLOOKUP(A47,' Depuración Renta'!$A$6:$F$60,6,0)</f>
        <v>0</v>
      </c>
      <c r="D47" s="2283">
        <f t="shared" si="0"/>
        <v>0</v>
      </c>
      <c r="E47" s="1147">
        <v>0</v>
      </c>
      <c r="F47" s="1147">
        <v>0</v>
      </c>
      <c r="G47" s="1147">
        <v>0</v>
      </c>
      <c r="H47" s="1147">
        <f>' Depuración Renta'!$F47-SUM($E47:G47)</f>
        <v>0</v>
      </c>
      <c r="I47" s="1147">
        <f>' Depuración Renta'!$F47-SUM($E47:H47)</f>
        <v>0</v>
      </c>
      <c r="J47" s="1147">
        <f>' Depuración Renta'!$F47-SUM($E47:I47)</f>
        <v>0</v>
      </c>
      <c r="K47" s="1147">
        <f>' Depuración Renta'!$F47-SUM($E47:J47)</f>
        <v>0</v>
      </c>
      <c r="L47" s="1147">
        <f>' Depuración Renta'!$F47-SUM($E47:K47)</f>
        <v>0</v>
      </c>
      <c r="M47" s="1147">
        <f>' Depuración Renta'!$F47-SUM($E47:L47)</f>
        <v>0</v>
      </c>
      <c r="N47" s="1147">
        <f>' Depuración Renta'!$F47-SUM($E47:M47)</f>
        <v>0</v>
      </c>
      <c r="O47" s="1147">
        <f>' Depuración Renta'!$F47-SUM($E47:N47)</f>
        <v>0</v>
      </c>
      <c r="P47" s="1147">
        <f>' Depuración Renta'!$F47-SUM($E47:O47)</f>
        <v>0</v>
      </c>
      <c r="Q47" s="1147">
        <f t="shared" si="1"/>
        <v>0</v>
      </c>
    </row>
    <row r="48" spans="1:17">
      <c r="A48" s="1141">
        <v>5803360100</v>
      </c>
      <c r="B48" s="1142" t="s">
        <v>1367</v>
      </c>
      <c r="C48" s="2284">
        <f ca="1">VLOOKUP(A48,' Depuración Renta'!$A$6:$F$60,6,0)</f>
        <v>5685956768.4399986</v>
      </c>
      <c r="D48" s="2283">
        <f t="shared" ca="1" si="0"/>
        <v>0</v>
      </c>
      <c r="E48" s="1146">
        <v>4488120000</v>
      </c>
      <c r="F48" s="1146">
        <v>0</v>
      </c>
      <c r="G48" s="1146">
        <v>112332800</v>
      </c>
      <c r="H48" s="1146">
        <f ca="1">' Depuración Renta'!$F48-SUM($E48:G48)</f>
        <v>1085503968.4399986</v>
      </c>
      <c r="I48" s="1146">
        <f ca="1">' Depuración Renta'!$F48-SUM($E48:H48)</f>
        <v>0</v>
      </c>
      <c r="J48" s="1146">
        <f ca="1">' Depuración Renta'!$F48-SUM($E48:I48)</f>
        <v>0</v>
      </c>
      <c r="K48" s="1146">
        <f ca="1">' Depuración Renta'!$F48-SUM($E48:J48)</f>
        <v>0</v>
      </c>
      <c r="L48" s="1146">
        <f ca="1">' Depuración Renta'!$F48-SUM($E48:K48)</f>
        <v>0</v>
      </c>
      <c r="M48" s="1146">
        <f ca="1">' Depuración Renta'!$F48-SUM($E48:L48)</f>
        <v>0</v>
      </c>
      <c r="N48" s="1146">
        <f ca="1">' Depuración Renta'!$F48-SUM($E48:M48)</f>
        <v>0</v>
      </c>
      <c r="O48" s="1146">
        <f ca="1">' Depuración Renta'!$F48-SUM($E48:N48)</f>
        <v>0</v>
      </c>
      <c r="P48" s="1146">
        <f ca="1">' Depuración Renta'!$F48-SUM($E48:O48)</f>
        <v>0</v>
      </c>
      <c r="Q48" s="1721">
        <f t="shared" ca="1" si="1"/>
        <v>5685956768.4399986</v>
      </c>
    </row>
    <row r="49" spans="1:19" ht="15" customHeight="1">
      <c r="A49" s="1139">
        <v>5803360200</v>
      </c>
      <c r="B49" s="1140" t="s">
        <v>1270</v>
      </c>
      <c r="C49" s="2284">
        <f>VLOOKUP(A49,' Depuración Renta'!$A$6:$F$60,6,0)</f>
        <v>0</v>
      </c>
      <c r="D49" s="2283">
        <f t="shared" ref="D49" si="26">+Q49-C49</f>
        <v>0</v>
      </c>
      <c r="E49" s="1147">
        <v>0</v>
      </c>
      <c r="F49" s="1147">
        <v>0</v>
      </c>
      <c r="G49" s="1147">
        <v>0</v>
      </c>
      <c r="H49" s="1147">
        <f>' Depuración Renta'!$F49-SUM($E49:G49)</f>
        <v>0</v>
      </c>
      <c r="I49" s="1147">
        <f>' Depuración Renta'!$F49-SUM($E49:H49)</f>
        <v>0</v>
      </c>
      <c r="J49" s="1147">
        <f>' Depuración Renta'!$F49-SUM($E49:I49)</f>
        <v>0</v>
      </c>
      <c r="K49" s="1147">
        <f>' Depuración Renta'!$F49-SUM($E49:J49)</f>
        <v>0</v>
      </c>
      <c r="L49" s="1147">
        <f>' Depuración Renta'!$F49-SUM($E49:K49)</f>
        <v>0</v>
      </c>
      <c r="M49" s="1147">
        <f>' Depuración Renta'!$F49-SUM($E49:L49)</f>
        <v>0</v>
      </c>
      <c r="N49" s="1147">
        <f>' Depuración Renta'!$F49-SUM($E49:M49)</f>
        <v>0</v>
      </c>
      <c r="O49" s="1147">
        <f>' Depuración Renta'!$F49-SUM($E49:N49)</f>
        <v>0</v>
      </c>
      <c r="P49" s="1147">
        <f>' Depuración Renta'!$F49-SUM($E49:O49)</f>
        <v>0</v>
      </c>
      <c r="Q49" s="1147">
        <f t="shared" ref="Q49" si="27">SUM(E49:P49)</f>
        <v>0</v>
      </c>
    </row>
    <row r="50" spans="1:19" ht="15" customHeight="1">
      <c r="A50" s="1139">
        <v>5803451000</v>
      </c>
      <c r="B50" s="1140" t="s">
        <v>177</v>
      </c>
      <c r="C50" s="2284">
        <f>VLOOKUP(A50,' Depuración Renta'!$A$6:$F$60,6,0)</f>
        <v>0</v>
      </c>
      <c r="D50" s="2283">
        <f t="shared" si="0"/>
        <v>0</v>
      </c>
      <c r="E50" s="1147">
        <v>0</v>
      </c>
      <c r="F50" s="1147">
        <v>0</v>
      </c>
      <c r="G50" s="1147">
        <v>0</v>
      </c>
      <c r="H50" s="1147">
        <f>' Depuración Renta'!$F50-SUM($E50:G50)</f>
        <v>0</v>
      </c>
      <c r="I50" s="1147">
        <f>' Depuración Renta'!$F50-SUM($E50:H50)</f>
        <v>0</v>
      </c>
      <c r="J50" s="1147">
        <f>' Depuración Renta'!$F50-SUM($E50:I50)</f>
        <v>0</v>
      </c>
      <c r="K50" s="1147">
        <f>' Depuración Renta'!$F50-SUM($E50:J50)</f>
        <v>0</v>
      </c>
      <c r="L50" s="1147">
        <f>' Depuración Renta'!$F50-SUM($E50:K50)</f>
        <v>0</v>
      </c>
      <c r="M50" s="1147">
        <f>' Depuración Renta'!$F50-SUM($E50:L50)</f>
        <v>0</v>
      </c>
      <c r="N50" s="1147">
        <f>' Depuración Renta'!$F50-SUM($E50:M50)</f>
        <v>0</v>
      </c>
      <c r="O50" s="1147">
        <f>' Depuración Renta'!$F50-SUM($E50:N50)</f>
        <v>0</v>
      </c>
      <c r="P50" s="1147">
        <f>' Depuración Renta'!$F50-SUM($E50:O50)</f>
        <v>0</v>
      </c>
      <c r="Q50" s="1147">
        <f t="shared" si="1"/>
        <v>0</v>
      </c>
    </row>
    <row r="51" spans="1:19">
      <c r="A51" s="1141">
        <v>5803451110</v>
      </c>
      <c r="B51" s="1142" t="s">
        <v>1188</v>
      </c>
      <c r="C51" s="2284">
        <f>VLOOKUP(A51,' Depuración Renta'!$A$6:$F$60,6,0)</f>
        <v>0</v>
      </c>
      <c r="D51" s="2283">
        <f t="shared" ref="D51" si="28">+Q51-C51</f>
        <v>0</v>
      </c>
      <c r="E51" s="1146">
        <v>0</v>
      </c>
      <c r="F51" s="1146">
        <v>0</v>
      </c>
      <c r="G51" s="1146">
        <v>0</v>
      </c>
      <c r="H51" s="1146">
        <f>' Depuración Renta'!$F51-SUM($E51:G51)</f>
        <v>0</v>
      </c>
      <c r="I51" s="1146">
        <f>' Depuración Renta'!$F51-SUM($E51:H51)</f>
        <v>0</v>
      </c>
      <c r="J51" s="1146">
        <f>' Depuración Renta'!$F51-SUM($E51:I51)</f>
        <v>0</v>
      </c>
      <c r="K51" s="1146">
        <f>' Depuración Renta'!$F51-SUM($E51:J51)</f>
        <v>0</v>
      </c>
      <c r="L51" s="1146">
        <f>' Depuración Renta'!$F51-SUM($E51:K51)</f>
        <v>0</v>
      </c>
      <c r="M51" s="1146">
        <f>' Depuración Renta'!$F51-SUM($E51:L51)</f>
        <v>0</v>
      </c>
      <c r="N51" s="1146">
        <f>' Depuración Renta'!$F51-SUM($E51:M51)</f>
        <v>0</v>
      </c>
      <c r="O51" s="1146">
        <f>' Depuración Renta'!$F51-SUM($E51:N51)</f>
        <v>0</v>
      </c>
      <c r="P51" s="1146">
        <f>' Depuración Renta'!$F51-SUM($E51:O51)</f>
        <v>0</v>
      </c>
      <c r="Q51" s="1720">
        <f t="shared" ref="Q51" si="29">SUM(E51:P51)</f>
        <v>0</v>
      </c>
    </row>
    <row r="52" spans="1:19">
      <c r="A52" s="1141">
        <v>5803452000</v>
      </c>
      <c r="B52" s="1142" t="s">
        <v>209</v>
      </c>
      <c r="C52" s="2284">
        <f ca="1">VLOOKUP(A52,' Depuración Renta'!$A$6:$F$60,6,0)</f>
        <v>3380740805.5234995</v>
      </c>
      <c r="D52" s="2283">
        <f t="shared" ca="1" si="0"/>
        <v>0</v>
      </c>
      <c r="E52" s="1146">
        <v>118933389.66309977</v>
      </c>
      <c r="F52" s="1146">
        <v>0</v>
      </c>
      <c r="G52" s="1146">
        <v>3261807415.8603997</v>
      </c>
      <c r="H52" s="1146">
        <f ca="1">' Depuración Renta'!$F53-SUM($E52:G52)</f>
        <v>0</v>
      </c>
      <c r="I52" s="1146">
        <f ca="1">' Depuración Renta'!$F53-SUM($E52:H52)</f>
        <v>0</v>
      </c>
      <c r="J52" s="1146">
        <f ca="1">' Depuración Renta'!$F53-SUM($E52:I52)</f>
        <v>0</v>
      </c>
      <c r="K52" s="1146">
        <f ca="1">' Depuración Renta'!$F53-SUM($E52:J52)</f>
        <v>0</v>
      </c>
      <c r="L52" s="1146">
        <f ca="1">' Depuración Renta'!$F53-SUM($E52:K52)</f>
        <v>0</v>
      </c>
      <c r="M52" s="1146">
        <f ca="1">' Depuración Renta'!$F53-SUM($E52:L52)</f>
        <v>0</v>
      </c>
      <c r="N52" s="1146">
        <f ca="1">' Depuración Renta'!$F53-SUM($E52:M52)</f>
        <v>0</v>
      </c>
      <c r="O52" s="1146">
        <f ca="1">' Depuración Renta'!$F53-SUM($E52:N52)</f>
        <v>0</v>
      </c>
      <c r="P52" s="1146">
        <f ca="1">' Depuración Renta'!$F53-SUM($E52:O52)</f>
        <v>0</v>
      </c>
      <c r="Q52" s="1720">
        <f t="shared" ca="1" si="1"/>
        <v>3380740805.5234995</v>
      </c>
    </row>
    <row r="53" spans="1:19">
      <c r="A53" s="1717">
        <v>5803452102</v>
      </c>
      <c r="B53" s="1718" t="s">
        <v>1112</v>
      </c>
      <c r="C53" s="2284">
        <f>VLOOKUP(A53,' Depuración Renta'!$A$6:$F$60,6,0)</f>
        <v>0</v>
      </c>
      <c r="D53" s="2283">
        <f t="shared" ref="D53" si="30">+Q53-C53</f>
        <v>0</v>
      </c>
      <c r="E53" s="1146">
        <v>0</v>
      </c>
      <c r="F53" s="1146">
        <v>0</v>
      </c>
      <c r="G53" s="1146">
        <v>0</v>
      </c>
      <c r="H53" s="1146">
        <f>' Depuración Renta'!$F54-SUM($E53:G53)</f>
        <v>0</v>
      </c>
      <c r="I53" s="1146">
        <f>' Depuración Renta'!$F54-SUM($E53:H53)</f>
        <v>0</v>
      </c>
      <c r="J53" s="1146">
        <f>' Depuración Renta'!$F54-SUM($E53:I53)</f>
        <v>0</v>
      </c>
      <c r="K53" s="1146">
        <f>' Depuración Renta'!$F54-SUM($E53:J53)</f>
        <v>0</v>
      </c>
      <c r="L53" s="1146">
        <f>' Depuración Renta'!$F54-SUM($E53:K53)</f>
        <v>0</v>
      </c>
      <c r="M53" s="1146">
        <f>' Depuración Renta'!$F54-SUM($E53:L53)</f>
        <v>0</v>
      </c>
      <c r="N53" s="1146">
        <f>' Depuración Renta'!$F54-SUM($E53:M53)</f>
        <v>0</v>
      </c>
      <c r="O53" s="1146">
        <f>' Depuración Renta'!$F54-SUM($E53:N53)</f>
        <v>0</v>
      </c>
      <c r="P53" s="1146">
        <f>' Depuración Renta'!$F54-SUM($E53:O53)</f>
        <v>0</v>
      </c>
      <c r="Q53" s="1146">
        <f t="shared" ref="Q53" si="31">SUM(E53:P53)</f>
        <v>0</v>
      </c>
    </row>
    <row r="54" spans="1:19" ht="15" customHeight="1">
      <c r="A54" s="1139">
        <v>5803452103</v>
      </c>
      <c r="B54" s="1140" t="s">
        <v>266</v>
      </c>
      <c r="C54" s="2284">
        <f>VLOOKUP(A54,' Depuración Renta'!$A$6:$F$60,6,0)</f>
        <v>0</v>
      </c>
      <c r="D54" s="2283">
        <f t="shared" ref="D54" si="32">+Q54-C54</f>
        <v>0</v>
      </c>
      <c r="E54" s="1147">
        <v>0</v>
      </c>
      <c r="F54" s="1147">
        <v>0</v>
      </c>
      <c r="G54" s="1147">
        <v>0</v>
      </c>
      <c r="H54" s="1147">
        <f>' Depuración Renta'!$F55-SUM($E54:G54)</f>
        <v>0</v>
      </c>
      <c r="I54" s="1147">
        <f>' Depuración Renta'!$F55-SUM($E54:H54)</f>
        <v>0</v>
      </c>
      <c r="J54" s="1147">
        <f>' Depuración Renta'!$F55-SUM($E54:I54)</f>
        <v>0</v>
      </c>
      <c r="K54" s="1147">
        <f>' Depuración Renta'!$F55-SUM($E54:J54)</f>
        <v>0</v>
      </c>
      <c r="L54" s="1147">
        <f>' Depuración Renta'!$F55-SUM($E54:K54)</f>
        <v>0</v>
      </c>
      <c r="M54" s="1147">
        <f>' Depuración Renta'!$F55-SUM($E54:L54)</f>
        <v>0</v>
      </c>
      <c r="N54" s="1147">
        <f>' Depuración Renta'!$F55-SUM($E54:M54)</f>
        <v>0</v>
      </c>
      <c r="O54" s="1147">
        <f>' Depuración Renta'!$F55-SUM($E54:N54)</f>
        <v>0</v>
      </c>
      <c r="P54" s="1147">
        <f>' Depuración Renta'!$F55-SUM($E54:O54)</f>
        <v>0</v>
      </c>
      <c r="Q54" s="1147">
        <f t="shared" ref="Q54" si="33">SUM(E54:P54)</f>
        <v>0</v>
      </c>
    </row>
    <row r="55" spans="1:19" ht="15" customHeight="1">
      <c r="A55" s="1139">
        <v>5803453000</v>
      </c>
      <c r="B55" s="1140" t="s">
        <v>188</v>
      </c>
      <c r="C55" s="2284">
        <f>VLOOKUP(A55,' Depuración Renta'!$A$6:$F$60,6,0)</f>
        <v>0</v>
      </c>
      <c r="D55" s="2283">
        <f t="shared" si="0"/>
        <v>0</v>
      </c>
      <c r="E55" s="1147">
        <v>0</v>
      </c>
      <c r="F55" s="1147">
        <v>0</v>
      </c>
      <c r="G55" s="1147">
        <v>0</v>
      </c>
      <c r="H55" s="1147">
        <f>' Depuración Renta'!$F56-SUM($E55:G55)</f>
        <v>0</v>
      </c>
      <c r="I55" s="1147">
        <f>' Depuración Renta'!$F56-SUM($E55:H55)</f>
        <v>0</v>
      </c>
      <c r="J55" s="1147">
        <f>' Depuración Renta'!$F56-SUM($E55:I55)</f>
        <v>0</v>
      </c>
      <c r="K55" s="1147">
        <f>' Depuración Renta'!$F56-SUM($E55:J55)</f>
        <v>0</v>
      </c>
      <c r="L55" s="1147">
        <f>' Depuración Renta'!$F56-SUM($E55:K55)</f>
        <v>0</v>
      </c>
      <c r="M55" s="1147">
        <f>' Depuración Renta'!$F56-SUM($E55:L55)</f>
        <v>0</v>
      </c>
      <c r="N55" s="1147">
        <f>' Depuración Renta'!$F56-SUM($E55:M55)</f>
        <v>0</v>
      </c>
      <c r="O55" s="1147">
        <f>' Depuración Renta'!$F56-SUM($E55:N55)</f>
        <v>0</v>
      </c>
      <c r="P55" s="1147">
        <f>' Depuración Renta'!$F56-SUM($E55:O55)</f>
        <v>0</v>
      </c>
      <c r="Q55" s="1147">
        <f t="shared" si="1"/>
        <v>0</v>
      </c>
    </row>
    <row r="56" spans="1:19">
      <c r="A56" s="1141">
        <v>5803900300</v>
      </c>
      <c r="B56" s="1142" t="s">
        <v>241</v>
      </c>
      <c r="C56" s="2284">
        <f ca="1">IF(VLOOKUP(A56,' Depuración Renta'!$A$6:$F$60,6,0)&lt;0,0,VLOOKUP(A56,' Depuración Renta'!$A$6:$F$60,6,0))</f>
        <v>58945234.91999995</v>
      </c>
      <c r="D56" s="2283">
        <f t="shared" ca="1" si="0"/>
        <v>0</v>
      </c>
      <c r="E56" s="1146">
        <v>0</v>
      </c>
      <c r="F56" s="1146">
        <v>58857483.299999952</v>
      </c>
      <c r="G56" s="1146">
        <v>0</v>
      </c>
      <c r="H56" s="1146">
        <f ca="1">' Depuración Renta'!$F57-SUM($E56:G56)</f>
        <v>87751.619999997318</v>
      </c>
      <c r="I56" s="1146">
        <f ca="1">' Depuración Renta'!$F57-SUM($E56:H56)</f>
        <v>0</v>
      </c>
      <c r="J56" s="1146">
        <f ca="1">' Depuración Renta'!$F57-SUM($E56:I56)</f>
        <v>0</v>
      </c>
      <c r="K56" s="1146">
        <f ca="1">' Depuración Renta'!$F57-SUM($E56:J56)</f>
        <v>0</v>
      </c>
      <c r="L56" s="1146">
        <f ca="1">' Depuración Renta'!$F57-SUM($E56:K56)</f>
        <v>0</v>
      </c>
      <c r="M56" s="1146">
        <f ca="1">' Depuración Renta'!$F57-SUM($E56:L56)</f>
        <v>0</v>
      </c>
      <c r="N56" s="1146">
        <f ca="1">' Depuración Renta'!$F57-SUM($E56:M56)</f>
        <v>0</v>
      </c>
      <c r="O56" s="1146">
        <f ca="1">' Depuración Renta'!$F57-SUM($E56:N56)</f>
        <v>0</v>
      </c>
      <c r="P56" s="1146">
        <f ca="1">' Depuración Renta'!$F57-SUM($E56:O56)</f>
        <v>0</v>
      </c>
      <c r="Q56" s="1721">
        <f t="shared" ca="1" si="1"/>
        <v>58945234.91999995</v>
      </c>
    </row>
    <row r="57" spans="1:19">
      <c r="A57" s="1141">
        <v>5803900310</v>
      </c>
      <c r="B57" s="1142" t="s">
        <v>242</v>
      </c>
      <c r="C57" s="2284">
        <f>VLOOKUP(A57,' Depuración Renta'!$A$6:$F$60,6,0)</f>
        <v>0</v>
      </c>
      <c r="D57" s="2283">
        <f t="shared" si="0"/>
        <v>0</v>
      </c>
      <c r="E57" s="1146">
        <v>0</v>
      </c>
      <c r="F57" s="1146">
        <v>0</v>
      </c>
      <c r="G57" s="1146">
        <v>0</v>
      </c>
      <c r="H57" s="1146">
        <f>' Depuración Renta'!$F58-SUM($E57:G57)</f>
        <v>0</v>
      </c>
      <c r="I57" s="1146">
        <f>' Depuración Renta'!$F58-SUM($E57:H57)</f>
        <v>0</v>
      </c>
      <c r="J57" s="1146">
        <f>' Depuración Renta'!$F58-SUM($E57:I57)</f>
        <v>0</v>
      </c>
      <c r="K57" s="1146">
        <f>' Depuración Renta'!$F58-SUM($E57:J57)</f>
        <v>0</v>
      </c>
      <c r="L57" s="1146">
        <f>' Depuración Renta'!$F58-SUM($E57:K57)</f>
        <v>0</v>
      </c>
      <c r="M57" s="1146">
        <f>' Depuración Renta'!$F58-SUM($E57:L57)</f>
        <v>0</v>
      </c>
      <c r="N57" s="1146">
        <f>' Depuración Renta'!$F58-SUM($E57:M57)</f>
        <v>0</v>
      </c>
      <c r="O57" s="1146">
        <f>' Depuración Renta'!$F58-SUM($E57:N57)</f>
        <v>0</v>
      </c>
      <c r="P57" s="1146">
        <f>' Depuración Renta'!$F58-SUM($E57:O57)</f>
        <v>0</v>
      </c>
      <c r="Q57" s="1721">
        <f t="shared" si="1"/>
        <v>0</v>
      </c>
    </row>
    <row r="58" spans="1:19" ht="15" customHeight="1">
      <c r="A58" s="1139">
        <v>5803901300</v>
      </c>
      <c r="B58" s="1140" t="s">
        <v>43</v>
      </c>
      <c r="C58" s="2284">
        <f>VLOOKUP(A58,' Depuración Renta'!$A$6:$F$60,6,0)</f>
        <v>0</v>
      </c>
      <c r="D58" s="2283">
        <f t="shared" si="0"/>
        <v>0</v>
      </c>
      <c r="E58" s="1147">
        <v>0</v>
      </c>
      <c r="F58" s="1147">
        <v>0</v>
      </c>
      <c r="G58" s="1147">
        <v>0</v>
      </c>
      <c r="H58" s="1147">
        <f>' Depuración Renta'!$F59-SUM($E58:G58)</f>
        <v>0</v>
      </c>
      <c r="I58" s="1147">
        <f>' Depuración Renta'!$F59-SUM($E58:H58)</f>
        <v>0</v>
      </c>
      <c r="J58" s="1147">
        <f>' Depuración Renta'!$F59-SUM($E58:I58)</f>
        <v>0</v>
      </c>
      <c r="K58" s="1147">
        <f>' Depuración Renta'!$F59-SUM($E58:J58)</f>
        <v>0</v>
      </c>
      <c r="L58" s="1147">
        <f>' Depuración Renta'!$F59-SUM($E58:K58)</f>
        <v>0</v>
      </c>
      <c r="M58" s="1147">
        <f>' Depuración Renta'!$F59-SUM($E58:L58)</f>
        <v>0</v>
      </c>
      <c r="N58" s="1147">
        <f>' Depuración Renta'!$F59-SUM($E58:M58)</f>
        <v>0</v>
      </c>
      <c r="O58" s="1147">
        <f>' Depuración Renta'!$F59-SUM($E58:N58)</f>
        <v>0</v>
      </c>
      <c r="P58" s="1147">
        <f>' Depuración Renta'!$F59-SUM($E58:O58)</f>
        <v>0</v>
      </c>
      <c r="Q58" s="1147">
        <f t="shared" si="1"/>
        <v>0</v>
      </c>
    </row>
    <row r="59" spans="1:19" ht="15" customHeight="1">
      <c r="A59" s="1139">
        <v>5803901310</v>
      </c>
      <c r="B59" s="1140" t="s">
        <v>44</v>
      </c>
      <c r="C59" s="2284">
        <f>VLOOKUP(A59,' Depuración Renta'!$A$6:$F$60,6,0)</f>
        <v>0</v>
      </c>
      <c r="D59" s="2283">
        <f t="shared" si="0"/>
        <v>0</v>
      </c>
      <c r="E59" s="1147">
        <v>0</v>
      </c>
      <c r="F59" s="1147">
        <v>0</v>
      </c>
      <c r="G59" s="1147">
        <v>0</v>
      </c>
      <c r="H59" s="1147">
        <f>' Depuración Renta'!$F60-SUM($E59:G59)</f>
        <v>0</v>
      </c>
      <c r="I59" s="1147">
        <f>' Depuración Renta'!$F60-SUM($E59:H59)</f>
        <v>0</v>
      </c>
      <c r="J59" s="1147">
        <f>' Depuración Renta'!$F60-SUM($E59:I59)</f>
        <v>0</v>
      </c>
      <c r="K59" s="1147">
        <f>' Depuración Renta'!$F60-SUM($E59:J59)</f>
        <v>0</v>
      </c>
      <c r="L59" s="1147">
        <f>' Depuración Renta'!$F60-SUM($E59:K59)</f>
        <v>0</v>
      </c>
      <c r="M59" s="1147">
        <f>' Depuración Renta'!$F60-SUM($E59:L59)</f>
        <v>0</v>
      </c>
      <c r="N59" s="1147">
        <f>' Depuración Renta'!$F60-SUM($E59:M59)</f>
        <v>0</v>
      </c>
      <c r="O59" s="1147">
        <f>' Depuración Renta'!$F60-SUM($E59:N59)</f>
        <v>0</v>
      </c>
      <c r="P59" s="1147">
        <f>' Depuración Renta'!$F60-SUM($E59:O59)</f>
        <v>0</v>
      </c>
      <c r="Q59" s="1147">
        <f t="shared" si="1"/>
        <v>0</v>
      </c>
    </row>
    <row r="61" spans="1:19" s="2289" customFormat="1">
      <c r="A61" s="2285" t="s">
        <v>261</v>
      </c>
      <c r="B61" s="2286"/>
      <c r="C61" s="2287"/>
      <c r="D61" s="2288"/>
      <c r="E61" s="1166">
        <f>SUM(E6:E60)</f>
        <v>7559648378.4453793</v>
      </c>
      <c r="F61" s="1166">
        <f t="shared" ref="F61:Q61" si="34">SUM(F6:F60)</f>
        <v>-1903987459.1419342</v>
      </c>
      <c r="G61" s="1166">
        <f t="shared" si="34"/>
        <v>-1757551738.2168441</v>
      </c>
      <c r="H61" s="1166">
        <f t="shared" ca="1" si="34"/>
        <v>830529429.92035592</v>
      </c>
      <c r="I61" s="1166">
        <f t="shared" ca="1" si="34"/>
        <v>0</v>
      </c>
      <c r="J61" s="1166">
        <f t="shared" ca="1" si="34"/>
        <v>0</v>
      </c>
      <c r="K61" s="1166">
        <f t="shared" ca="1" si="34"/>
        <v>0</v>
      </c>
      <c r="L61" s="1166">
        <f t="shared" ca="1" si="34"/>
        <v>0</v>
      </c>
      <c r="M61" s="1166">
        <f t="shared" ca="1" si="34"/>
        <v>0</v>
      </c>
      <c r="N61" s="1166">
        <f t="shared" ca="1" si="34"/>
        <v>0</v>
      </c>
      <c r="O61" s="1166">
        <f t="shared" ca="1" si="34"/>
        <v>0</v>
      </c>
      <c r="P61" s="1166">
        <f t="shared" ca="1" si="34"/>
        <v>0</v>
      </c>
      <c r="Q61" s="1166">
        <f t="shared" ca="1" si="34"/>
        <v>4728638611.0069609</v>
      </c>
      <c r="S61" s="2290">
        <f ca="1">+Q61-'Seguimiento Dif Patrimonial'!E142</f>
        <v>0</v>
      </c>
    </row>
    <row r="62" spans="1:19">
      <c r="F62" s="1816">
        <f>SUM($E61:F61)</f>
        <v>5655660919.3034449</v>
      </c>
      <c r="G62" s="1816">
        <f>SUM($E61:G61)</f>
        <v>3898109181.0866008</v>
      </c>
      <c r="H62" s="1816">
        <f ca="1">SUM($E61:H61)</f>
        <v>4728638611.0069571</v>
      </c>
      <c r="I62" s="1816">
        <f ca="1">SUM($E61:I61)</f>
        <v>4728638611.0069571</v>
      </c>
      <c r="J62" s="1816">
        <f ca="1">SUM($E61:J61)</f>
        <v>4728638611.0069571</v>
      </c>
      <c r="K62" s="1816">
        <f ca="1">SUM($E61:K61)</f>
        <v>4728638611.0069571</v>
      </c>
      <c r="L62" s="1816">
        <f ca="1">SUM($E61:L61)</f>
        <v>4728638611.0069571</v>
      </c>
      <c r="M62" s="1816">
        <f ca="1">SUM($E61:M61)</f>
        <v>4728638611.0069571</v>
      </c>
      <c r="N62" s="1816">
        <f ca="1">SUM($E61:N61)</f>
        <v>4728638611.0069571</v>
      </c>
      <c r="O62" s="1816">
        <f ca="1">SUM($E61:O61)</f>
        <v>4728638611.0069571</v>
      </c>
      <c r="P62" s="1816">
        <f ca="1">SUM($E61:P61)</f>
        <v>4728638611.0069571</v>
      </c>
    </row>
    <row r="63" spans="1:19">
      <c r="A63" s="2051" t="s">
        <v>76</v>
      </c>
      <c r="B63" s="2052" t="s">
        <v>1284</v>
      </c>
      <c r="C63" s="2282">
        <f>'Seguimiento Dif Patrimonial'!U68</f>
        <v>-3047465725</v>
      </c>
      <c r="D63" s="2291">
        <f>+Q63-C63</f>
        <v>0</v>
      </c>
      <c r="E63" s="2053">
        <f>IF(ISERROR(HLOOKUP(E$4,NegoDivisa!$B$5:$P$9,2,0)),0,HLOOKUP(E$4,NegoDivisa!$B$5:$P$9,2,0))</f>
        <v>-1525369068</v>
      </c>
      <c r="F63" s="2053">
        <f>IF(ISERROR(HLOOKUP(F$4,NegoDivisa!$B$5:$P$9,2,0)),0,HLOOKUP(F$4,NegoDivisa!$B$5:$P$9,2,0))</f>
        <v>-358746701</v>
      </c>
      <c r="G63" s="2053">
        <f>IF(ISERROR(HLOOKUP(G$4,NegoDivisa!$B$5:$P$9,2,0)),0,HLOOKUP(G$4,NegoDivisa!$B$5:$P$9,2,0))</f>
        <v>-1074151996</v>
      </c>
      <c r="H63" s="2053">
        <f>IF(ISERROR(HLOOKUP(H$4,NegoDivisa!$B$5:$P$9,2,0)),0,HLOOKUP(H$4,NegoDivisa!$B$5:$P$9,2,0))</f>
        <v>-89197960</v>
      </c>
      <c r="I63" s="2053">
        <f>IF(ISERROR(HLOOKUP(I$4,NegoDivisa!$B$5:$P$9,2,0)),0,HLOOKUP(I$4,NegoDivisa!$B$5:$P$9,2,0))</f>
        <v>0</v>
      </c>
      <c r="J63" s="2053">
        <f>IF(ISERROR(HLOOKUP(J$4,NegoDivisa!$B$5:$P$9,2,0)),0,HLOOKUP(J$4,NegoDivisa!$B$5:$P$9,2,0))</f>
        <v>0</v>
      </c>
      <c r="K63" s="2053">
        <f>IF(ISERROR(HLOOKUP(K$4,NegoDivisa!$B$5:$P$9,2,0)),0,HLOOKUP(K$4,NegoDivisa!$B$5:$P$9,2,0))</f>
        <v>0</v>
      </c>
      <c r="L63" s="2053">
        <f>IF(ISERROR(HLOOKUP(L$4,NegoDivisa!$B$5:$P$9,2,0)),0,HLOOKUP(L$4,NegoDivisa!$B$5:$P$9,2,0))</f>
        <v>0</v>
      </c>
      <c r="M63" s="2053">
        <f>IF(ISERROR(HLOOKUP(M$4,NegoDivisa!$B$5:$P$9,2,0)),0,HLOOKUP(M$4,NegoDivisa!$B$5:$P$9,2,0))</f>
        <v>0</v>
      </c>
      <c r="N63" s="2053">
        <f>IF(ISERROR(HLOOKUP(N$4,NegoDivisa!$B$5:$P$9,2,0)),0,HLOOKUP(N$4,NegoDivisa!$B$5:$P$9,2,0))</f>
        <v>0</v>
      </c>
      <c r="O63" s="2053">
        <f>IF(ISERROR(HLOOKUP(O$4,NegoDivisa!$B$5:$P$9,2,0)),0,HLOOKUP(O$4,NegoDivisa!$B$5:$P$9,2,0))</f>
        <v>0</v>
      </c>
      <c r="P63" s="2053">
        <f>IF(ISERROR(HLOOKUP(P$4,NegoDivisa!$B$5:$P$9,2,0)),0,HLOOKUP(P$4,NegoDivisa!$B$5:$P$9,2,0))</f>
        <v>0</v>
      </c>
      <c r="Q63" s="1693">
        <f t="shared" ref="Q63" si="35">SUM(E63:P63)</f>
        <v>-3047465725</v>
      </c>
      <c r="S63" s="1785"/>
    </row>
    <row r="64" spans="1:19">
      <c r="A64" s="2051" t="s">
        <v>75</v>
      </c>
      <c r="B64" s="2052" t="s">
        <v>1284</v>
      </c>
      <c r="C64" s="2282">
        <f>'Seguimiento Dif Patrimonial'!U69</f>
        <v>5367391634</v>
      </c>
      <c r="D64" s="2291">
        <f>+Q64-C64</f>
        <v>0</v>
      </c>
      <c r="E64" s="2053">
        <f>IF(ISERROR(HLOOKUP(E$4,NegoDivisa!$B$5:$P$9,2,0)),0,HLOOKUP(E$4,NegoDivisa!$B$5:$P$9,3,0))</f>
        <v>1244196133</v>
      </c>
      <c r="F64" s="2053">
        <f>IF(ISERROR(HLOOKUP(F$4,NegoDivisa!$B$5:$P$9,2,0)),0,HLOOKUP(F$4,NegoDivisa!$B$5:$P$9,3,0))</f>
        <v>12867394</v>
      </c>
      <c r="G64" s="2053">
        <f>IF(ISERROR(HLOOKUP(G$4,NegoDivisa!$B$5:$P$9,2,0)),0,HLOOKUP(G$4,NegoDivisa!$B$5:$P$9,3,0))</f>
        <v>1493902364</v>
      </c>
      <c r="H64" s="2053">
        <f>IF(ISERROR(HLOOKUP(H$4,NegoDivisa!$B$5:$P$9,2,0)),0,HLOOKUP(H$4,NegoDivisa!$B$5:$P$9,3,0))</f>
        <v>2616425743</v>
      </c>
      <c r="I64" s="2053">
        <f>IF(ISERROR(HLOOKUP(I$4,NegoDivisa!$B$5:$P$9,2,0)),0,HLOOKUP(I$4,NegoDivisa!$B$5:$P$9,3,0))</f>
        <v>0</v>
      </c>
      <c r="J64" s="2053">
        <f>IF(ISERROR(HLOOKUP(J$4,NegoDivisa!$B$5:$P$9,2,0)),0,HLOOKUP(J$4,NegoDivisa!$B$5:$P$9,3,0))</f>
        <v>0</v>
      </c>
      <c r="K64" s="2053">
        <f>IF(ISERROR(HLOOKUP(K$4,NegoDivisa!$B$5:$P$9,2,0)),0,HLOOKUP(K$4,NegoDivisa!$B$5:$P$9,3,0))</f>
        <v>0</v>
      </c>
      <c r="L64" s="2053">
        <f>IF(ISERROR(HLOOKUP(L$4,NegoDivisa!$B$5:$P$9,2,0)),0,HLOOKUP(L$4,NegoDivisa!$B$5:$P$9,3,0))</f>
        <v>0</v>
      </c>
      <c r="M64" s="2053">
        <f>IF(ISERROR(HLOOKUP(M$4,NegoDivisa!$B$5:$P$9,2,0)),0,HLOOKUP(M$4,NegoDivisa!$B$5:$P$9,3,0))</f>
        <v>0</v>
      </c>
      <c r="N64" s="2053">
        <f>IF(ISERROR(HLOOKUP(N$4,NegoDivisa!$B$5:$P$9,2,0)),0,HLOOKUP(N$4,NegoDivisa!$B$5:$P$9,3,0))</f>
        <v>0</v>
      </c>
      <c r="O64" s="2053">
        <f>IF(ISERROR(HLOOKUP(O$4,NegoDivisa!$B$5:$P$9,2,0)),0,HLOOKUP(O$4,NegoDivisa!$B$5:$P$9,3,0))</f>
        <v>0</v>
      </c>
      <c r="P64" s="2053">
        <f>IF(ISERROR(HLOOKUP(P$4,NegoDivisa!$B$5:$P$9,2,0)),0,HLOOKUP(P$4,NegoDivisa!$B$5:$P$9,3,0))</f>
        <v>0</v>
      </c>
      <c r="Q64" s="1693">
        <f t="shared" ref="Q64" si="36">SUM(E64:P64)</f>
        <v>5367391634</v>
      </c>
    </row>
    <row r="66" spans="1:19">
      <c r="E66" s="2053">
        <f t="shared" ref="E66:L66" si="37">+E63+E64</f>
        <v>-281172935</v>
      </c>
      <c r="F66" s="2053">
        <f t="shared" si="37"/>
        <v>-345879307</v>
      </c>
      <c r="G66" s="2053">
        <f t="shared" si="37"/>
        <v>419750368</v>
      </c>
      <c r="H66" s="2053">
        <f t="shared" si="37"/>
        <v>2527227783</v>
      </c>
      <c r="I66" s="2053">
        <f t="shared" si="37"/>
        <v>0</v>
      </c>
      <c r="J66" s="2053">
        <f t="shared" si="37"/>
        <v>0</v>
      </c>
      <c r="K66" s="2053">
        <f t="shared" si="37"/>
        <v>0</v>
      </c>
      <c r="L66" s="2053">
        <f t="shared" si="37"/>
        <v>0</v>
      </c>
      <c r="M66" s="2053">
        <f>+M63+M64</f>
        <v>0</v>
      </c>
      <c r="N66" s="2053">
        <f t="shared" ref="N66:P66" si="38">+N63+N64</f>
        <v>0</v>
      </c>
      <c r="O66" s="2053">
        <f t="shared" si="38"/>
        <v>0</v>
      </c>
      <c r="P66" s="2053">
        <f t="shared" si="38"/>
        <v>0</v>
      </c>
      <c r="Q66" s="2292">
        <f ca="1">+Q61+Q63+Q64</f>
        <v>7048564520.0069609</v>
      </c>
      <c r="R66" s="2293" t="s">
        <v>2365</v>
      </c>
    </row>
    <row r="67" spans="1:19">
      <c r="F67" s="1816">
        <f>SUM($E66:F66)</f>
        <v>-627052242</v>
      </c>
      <c r="G67" s="1816">
        <f>SUM($E66:G66)</f>
        <v>-207301874</v>
      </c>
      <c r="H67" s="1816">
        <f>SUM($E66:H66)</f>
        <v>2319925909</v>
      </c>
      <c r="I67" s="1816">
        <f>SUM($E66:I66)</f>
        <v>2319925909</v>
      </c>
      <c r="J67" s="1816">
        <f>SUM($E66:J66)</f>
        <v>2319925909</v>
      </c>
      <c r="K67" s="1816">
        <f>SUM($E66:K66)</f>
        <v>2319925909</v>
      </c>
      <c r="L67" s="1816">
        <f>SUM($E66:L66)</f>
        <v>2319925909</v>
      </c>
      <c r="M67" s="1816">
        <f>SUM($E66:M66)</f>
        <v>2319925909</v>
      </c>
      <c r="N67" s="1816">
        <f>SUM($E66:N66)</f>
        <v>2319925909</v>
      </c>
      <c r="O67" s="1816">
        <f>SUM($E66:O66)</f>
        <v>2319925909</v>
      </c>
      <c r="P67" s="1816">
        <f>SUM($E66:P66)</f>
        <v>2319925909</v>
      </c>
    </row>
    <row r="68" spans="1:19">
      <c r="E68" s="1785">
        <f>+E63+E64-E66</f>
        <v>0</v>
      </c>
      <c r="F68" s="1785">
        <f t="shared" ref="F68:P68" si="39">+F63+F64-F66</f>
        <v>0</v>
      </c>
      <c r="G68" s="1785">
        <f t="shared" si="39"/>
        <v>0</v>
      </c>
      <c r="H68" s="1785">
        <f t="shared" si="39"/>
        <v>0</v>
      </c>
      <c r="I68" s="1785">
        <f t="shared" si="39"/>
        <v>0</v>
      </c>
      <c r="J68" s="1785">
        <f t="shared" si="39"/>
        <v>0</v>
      </c>
      <c r="K68" s="1785">
        <f t="shared" si="39"/>
        <v>0</v>
      </c>
      <c r="L68" s="1785">
        <f t="shared" si="39"/>
        <v>0</v>
      </c>
      <c r="M68" s="1785">
        <f t="shared" si="39"/>
        <v>0</v>
      </c>
      <c r="N68" s="1785">
        <f t="shared" si="39"/>
        <v>0</v>
      </c>
      <c r="O68" s="1785">
        <f t="shared" si="39"/>
        <v>0</v>
      </c>
      <c r="P68" s="1785">
        <f t="shared" si="39"/>
        <v>0</v>
      </c>
    </row>
    <row r="69" spans="1:19">
      <c r="D69" s="2296" t="s">
        <v>1464</v>
      </c>
      <c r="E69" s="2297"/>
      <c r="F69" s="2297"/>
      <c r="G69" s="2297"/>
      <c r="H69" s="2297"/>
      <c r="I69" s="2297"/>
      <c r="J69" s="2297"/>
      <c r="K69" s="2297"/>
      <c r="L69" s="2297"/>
      <c r="M69" s="2297"/>
      <c r="N69" s="2297"/>
      <c r="O69" s="2297"/>
      <c r="P69" s="2297"/>
      <c r="Q69" s="2298" t="s">
        <v>1465</v>
      </c>
    </row>
    <row r="70" spans="1:19">
      <c r="D70" s="2299" t="s">
        <v>1413</v>
      </c>
      <c r="E70" s="2294">
        <f t="shared" ref="E70:N70" si="40">E61+E63+E64</f>
        <v>7278475443.4453793</v>
      </c>
      <c r="F70" s="2294">
        <f t="shared" si="40"/>
        <v>-2249866766.1419344</v>
      </c>
      <c r="G70" s="2294">
        <f t="shared" si="40"/>
        <v>-1337801370.2168441</v>
      </c>
      <c r="H70" s="2294">
        <f t="shared" ca="1" si="40"/>
        <v>3357757212.9203558</v>
      </c>
      <c r="I70" s="2294">
        <f t="shared" ca="1" si="40"/>
        <v>0</v>
      </c>
      <c r="J70" s="2294">
        <f t="shared" ca="1" si="40"/>
        <v>0</v>
      </c>
      <c r="K70" s="2294">
        <f t="shared" ca="1" si="40"/>
        <v>0</v>
      </c>
      <c r="L70" s="2294">
        <f t="shared" ca="1" si="40"/>
        <v>0</v>
      </c>
      <c r="M70" s="2294">
        <f t="shared" ca="1" si="40"/>
        <v>0</v>
      </c>
      <c r="N70" s="2294">
        <f t="shared" ca="1" si="40"/>
        <v>0</v>
      </c>
      <c r="O70" s="2294">
        <f ca="1">O61+O63+O64</f>
        <v>0</v>
      </c>
      <c r="P70" s="2294">
        <f ca="1">P61+P63+P64</f>
        <v>0</v>
      </c>
      <c r="Q70" s="2295">
        <f ca="1">SUM(E70:P70)</f>
        <v>7048564520.0069561</v>
      </c>
    </row>
    <row r="71" spans="1:19">
      <c r="D71" s="2299" t="s">
        <v>1466</v>
      </c>
      <c r="E71" s="1146">
        <f>'Seguimiento Dif Patrimonial'!I129</f>
        <v>-19015455379</v>
      </c>
      <c r="F71" s="1146">
        <f>'Seguimiento Dif Patrimonial'!J129</f>
        <v>17700965872</v>
      </c>
      <c r="G71" s="1146">
        <f>'Seguimiento Dif Patrimonial'!K129</f>
        <v>-13762685037</v>
      </c>
      <c r="H71" s="1146">
        <f>'Seguimiento Dif Patrimonial'!L129</f>
        <v>3526914555</v>
      </c>
      <c r="I71" s="1146">
        <f>'Seguimiento Dif Patrimonial'!M129</f>
        <v>0</v>
      </c>
      <c r="J71" s="1146">
        <f>'Seguimiento Dif Patrimonial'!N129</f>
        <v>0</v>
      </c>
      <c r="K71" s="1146">
        <f>'Seguimiento Dif Patrimonial'!O129</f>
        <v>0</v>
      </c>
      <c r="L71" s="1146">
        <f>'Seguimiento Dif Patrimonial'!P129</f>
        <v>0</v>
      </c>
      <c r="M71" s="1146">
        <f>'Seguimiento Dif Patrimonial'!Q129</f>
        <v>0</v>
      </c>
      <c r="N71" s="1146">
        <f>'Seguimiento Dif Patrimonial'!R129</f>
        <v>0</v>
      </c>
      <c r="O71" s="1146">
        <f>'Seguimiento Dif Patrimonial'!S129</f>
        <v>0</v>
      </c>
      <c r="P71" s="1146">
        <f>'Seguimiento Dif Patrimonial'!T129</f>
        <v>0</v>
      </c>
      <c r="Q71" s="2281">
        <f>SUM(E71:P71)</f>
        <v>-11550259989</v>
      </c>
    </row>
    <row r="72" spans="1:19">
      <c r="G72" s="1785"/>
      <c r="Q72" s="1785"/>
    </row>
    <row r="73" spans="1:19">
      <c r="E73" s="2463">
        <f t="shared" ref="E73:N73" si="41">+E70-E71</f>
        <v>26293930822.445381</v>
      </c>
      <c r="F73" s="2463">
        <f t="shared" si="41"/>
        <v>-19950832638.141933</v>
      </c>
      <c r="G73" s="2463">
        <f t="shared" si="41"/>
        <v>12424883666.783155</v>
      </c>
      <c r="H73" s="2463">
        <f t="shared" ca="1" si="41"/>
        <v>-169157342.0796442</v>
      </c>
      <c r="I73" s="2463">
        <f t="shared" ca="1" si="41"/>
        <v>0</v>
      </c>
      <c r="J73" s="2463">
        <f t="shared" ca="1" si="41"/>
        <v>0</v>
      </c>
      <c r="K73" s="2463">
        <f t="shared" ca="1" si="41"/>
        <v>0</v>
      </c>
      <c r="L73" s="2463">
        <f t="shared" ca="1" si="41"/>
        <v>0</v>
      </c>
      <c r="M73" s="2463">
        <f t="shared" ca="1" si="41"/>
        <v>0</v>
      </c>
      <c r="N73" s="2463">
        <f t="shared" ca="1" si="41"/>
        <v>0</v>
      </c>
      <c r="O73" s="2463">
        <f ca="1">+O70-O71</f>
        <v>0</v>
      </c>
      <c r="P73" s="2463">
        <f ca="1">+P70-P71</f>
        <v>0</v>
      </c>
      <c r="Q73" s="2463">
        <f ca="1">SUM(E73:P73)</f>
        <v>18598824509.006958</v>
      </c>
    </row>
    <row r="74" spans="1:19">
      <c r="F74" s="1785"/>
      <c r="G74" s="1785"/>
      <c r="H74" s="1785"/>
      <c r="I74" s="1785"/>
      <c r="J74" s="1785"/>
      <c r="K74" s="1785"/>
      <c r="L74" s="1785"/>
      <c r="M74" s="1785"/>
      <c r="N74" s="1785"/>
      <c r="O74" s="1785"/>
    </row>
    <row r="75" spans="1:19" hidden="1">
      <c r="A75" s="1815"/>
      <c r="B75" s="1815"/>
      <c r="C75" s="1815"/>
      <c r="E75" s="2053">
        <v>-188952.7775</v>
      </c>
      <c r="F75" s="2053">
        <v>-1466878911.0037034</v>
      </c>
      <c r="G75" s="2053">
        <v>-2685689730.2107868</v>
      </c>
      <c r="H75" s="2053">
        <v>-1856999.9999999937</v>
      </c>
      <c r="I75" s="2053">
        <v>-1403150516.6721022</v>
      </c>
      <c r="J75" s="2053">
        <v>-23007595615.940857</v>
      </c>
      <c r="K75" s="2053">
        <v>-845886009.55790269</v>
      </c>
      <c r="L75" s="2053">
        <v>-1718739988.0303874</v>
      </c>
      <c r="M75" s="2053">
        <v>-625664736.15751064</v>
      </c>
      <c r="N75" s="2053">
        <v>-903777597.84709966</v>
      </c>
      <c r="O75" s="2053">
        <v>-3495609999.9999824</v>
      </c>
      <c r="P75" s="2053">
        <v>-1505708523.5831769</v>
      </c>
      <c r="Q75" s="1693">
        <f t="shared" ref="Q75:Q76" si="42">SUM(E75:P75)</f>
        <v>-37660747581.781006</v>
      </c>
      <c r="S75" s="1785"/>
    </row>
    <row r="76" spans="1:19" hidden="1">
      <c r="A76" s="1815"/>
      <c r="B76" s="1815"/>
      <c r="C76" s="1815"/>
      <c r="E76" s="2053">
        <v>566138245.65150023</v>
      </c>
      <c r="F76" s="2053">
        <v>295251800.08080059</v>
      </c>
      <c r="G76" s="2053">
        <v>2893220624.2376003</v>
      </c>
      <c r="H76" s="2053">
        <v>283703604.53179902</v>
      </c>
      <c r="I76" s="2053">
        <v>26016160905.048752</v>
      </c>
      <c r="J76" s="2053">
        <v>383471542.02439892</v>
      </c>
      <c r="K76" s="2053">
        <v>566190430.48509967</v>
      </c>
      <c r="L76" s="2053">
        <v>1422445530.3920698</v>
      </c>
      <c r="M76" s="2053">
        <v>1657323346.5443034</v>
      </c>
      <c r="N76" s="2053">
        <v>334649304.17919791</v>
      </c>
      <c r="O76" s="2053">
        <v>301668695.42160398</v>
      </c>
      <c r="P76" s="2053">
        <v>1650449358.9746568</v>
      </c>
      <c r="Q76" s="1693">
        <f t="shared" si="42"/>
        <v>36370673387.571777</v>
      </c>
    </row>
    <row r="77" spans="1:19" hidden="1">
      <c r="A77" s="1815"/>
      <c r="B77" s="1815"/>
      <c r="C77" s="1815"/>
      <c r="O77" s="1790"/>
      <c r="P77" s="1790"/>
    </row>
    <row r="78" spans="1:19" hidden="1">
      <c r="E78" s="2053">
        <f t="shared" ref="E78:L78" si="43">+E75+E76</f>
        <v>565949292.87400019</v>
      </c>
      <c r="F78" s="2053">
        <f t="shared" si="43"/>
        <v>-1171627110.9229028</v>
      </c>
      <c r="G78" s="2053">
        <f t="shared" si="43"/>
        <v>207530894.02681351</v>
      </c>
      <c r="H78" s="2053">
        <f t="shared" si="43"/>
        <v>281846604.53179902</v>
      </c>
      <c r="I78" s="2053">
        <f t="shared" si="43"/>
        <v>24613010388.376648</v>
      </c>
      <c r="J78" s="2053">
        <f t="shared" si="43"/>
        <v>-22624124073.916458</v>
      </c>
      <c r="K78" s="2053">
        <f t="shared" si="43"/>
        <v>-279695579.07280302</v>
      </c>
      <c r="L78" s="2053">
        <f t="shared" si="43"/>
        <v>-296294457.63831758</v>
      </c>
      <c r="M78" s="2053">
        <f>+M75+M76</f>
        <v>1031658610.3867928</v>
      </c>
      <c r="N78" s="2053">
        <f t="shared" ref="N78:P78" si="44">+N75+N76</f>
        <v>-569128293.66790175</v>
      </c>
      <c r="O78" s="2053">
        <f t="shared" si="44"/>
        <v>-3193941304.5783782</v>
      </c>
      <c r="P78" s="2053">
        <f t="shared" si="44"/>
        <v>144740835.39147997</v>
      </c>
      <c r="Q78" s="2292">
        <f ca="1">+Q73+Q75+Q76</f>
        <v>17308750314.797729</v>
      </c>
    </row>
    <row r="79" spans="1:19" hidden="1">
      <c r="F79" s="1816">
        <f>SUM($E78:F78)</f>
        <v>-605677818.04890263</v>
      </c>
      <c r="G79" s="1816">
        <f>SUM($E78:G78)</f>
        <v>-398146924.02208912</v>
      </c>
      <c r="H79" s="1816">
        <f>SUM($E78:H78)</f>
        <v>-116300319.49029011</v>
      </c>
      <c r="I79" s="1816">
        <f>SUM($E78:I78)</f>
        <v>24496710068.886356</v>
      </c>
      <c r="J79" s="1816">
        <f>SUM($E78:J78)</f>
        <v>1872585994.9698982</v>
      </c>
      <c r="K79" s="1816">
        <f>SUM($E78:K78)</f>
        <v>1592890415.8970952</v>
      </c>
      <c r="L79" s="1816">
        <f>SUM($E78:L78)</f>
        <v>1296595958.2587776</v>
      </c>
      <c r="M79" s="1816">
        <f>SUM($E78:M78)</f>
        <v>2328254568.6455703</v>
      </c>
      <c r="N79" s="1816">
        <f>SUM($E78:N78)</f>
        <v>1759126274.9776685</v>
      </c>
      <c r="O79" s="1816">
        <f>SUM($E78:O78)</f>
        <v>-1434815029.6007097</v>
      </c>
      <c r="P79" s="1816">
        <f>SUM($E78:P78)</f>
        <v>-1290074194.2092297</v>
      </c>
    </row>
    <row r="80" spans="1:19" hidden="1">
      <c r="E80" s="1785">
        <f t="shared" ref="E80:O80" si="45">+E75+E76-E78</f>
        <v>0</v>
      </c>
      <c r="F80" s="1785">
        <f t="shared" si="45"/>
        <v>0</v>
      </c>
      <c r="G80" s="1785">
        <f t="shared" si="45"/>
        <v>0</v>
      </c>
      <c r="H80" s="1785">
        <f t="shared" si="45"/>
        <v>0</v>
      </c>
      <c r="I80" s="1785">
        <f t="shared" si="45"/>
        <v>0</v>
      </c>
      <c r="J80" s="1785">
        <f t="shared" si="45"/>
        <v>0</v>
      </c>
      <c r="K80" s="1785">
        <f t="shared" si="45"/>
        <v>0</v>
      </c>
      <c r="L80" s="1785">
        <f t="shared" si="45"/>
        <v>0</v>
      </c>
      <c r="M80" s="1785">
        <f t="shared" si="45"/>
        <v>0</v>
      </c>
      <c r="N80" s="1785">
        <f t="shared" si="45"/>
        <v>0</v>
      </c>
      <c r="O80" s="1785">
        <f t="shared" si="45"/>
        <v>0</v>
      </c>
      <c r="P80" s="1785">
        <f t="shared" ref="P80" si="46">+P75+P76-P78</f>
        <v>0</v>
      </c>
    </row>
    <row r="81" spans="5:18" hidden="1"/>
    <row r="82" spans="5:18" hidden="1">
      <c r="E82" s="2053">
        <v>-188953</v>
      </c>
      <c r="F82" s="2053">
        <v>-1466878911</v>
      </c>
      <c r="G82" s="2053">
        <v>-2685794472</v>
      </c>
      <c r="H82" s="2053">
        <v>-2189354</v>
      </c>
      <c r="I82" s="2053">
        <v>-1403438909</v>
      </c>
      <c r="J82" s="2053">
        <v>-23007595616</v>
      </c>
      <c r="K82" s="2053">
        <v>-848208350</v>
      </c>
      <c r="L82" s="2053">
        <v>-1718923473</v>
      </c>
      <c r="M82" s="2053">
        <v>-625664736</v>
      </c>
      <c r="N82" s="2053">
        <v>-903777598</v>
      </c>
      <c r="O82" s="2053">
        <v>-3497022253</v>
      </c>
      <c r="P82" s="2053">
        <v>-1505735733</v>
      </c>
      <c r="Q82" s="1693">
        <f t="shared" ref="Q82:Q83" si="47">SUM(E82:P82)</f>
        <v>-37665418358</v>
      </c>
    </row>
    <row r="83" spans="5:18" hidden="1">
      <c r="E83" s="2053">
        <v>566360865</v>
      </c>
      <c r="F83" s="2053">
        <v>295251800</v>
      </c>
      <c r="G83" s="2053">
        <v>2893220624</v>
      </c>
      <c r="H83" s="2053">
        <v>283703604</v>
      </c>
      <c r="I83" s="2053">
        <v>26016160905</v>
      </c>
      <c r="J83" s="2053">
        <v>383471542</v>
      </c>
      <c r="K83" s="2053">
        <v>566244238</v>
      </c>
      <c r="L83" s="2053">
        <v>1422445530</v>
      </c>
      <c r="M83" s="2053">
        <v>1657323347</v>
      </c>
      <c r="N83" s="2053">
        <v>334890905</v>
      </c>
      <c r="O83" s="2053">
        <v>301668695</v>
      </c>
      <c r="P83" s="2053">
        <v>1651854752</v>
      </c>
      <c r="Q83" s="1693">
        <f t="shared" si="47"/>
        <v>36372596807</v>
      </c>
    </row>
    <row r="84" spans="5:18" hidden="1"/>
    <row r="85" spans="5:18" hidden="1">
      <c r="E85" s="2053">
        <f t="shared" ref="E85:L85" si="48">+E82+E83</f>
        <v>566171912</v>
      </c>
      <c r="F85" s="2053">
        <f t="shared" si="48"/>
        <v>-1171627111</v>
      </c>
      <c r="G85" s="2053">
        <f t="shared" si="48"/>
        <v>207426152</v>
      </c>
      <c r="H85" s="2053">
        <f t="shared" si="48"/>
        <v>281514250</v>
      </c>
      <c r="I85" s="2053">
        <f t="shared" si="48"/>
        <v>24612721996</v>
      </c>
      <c r="J85" s="2053">
        <f t="shared" si="48"/>
        <v>-22624124074</v>
      </c>
      <c r="K85" s="2053">
        <f t="shared" si="48"/>
        <v>-281964112</v>
      </c>
      <c r="L85" s="2053">
        <f t="shared" si="48"/>
        <v>-296477943</v>
      </c>
      <c r="M85" s="2053">
        <f>+M82+M83</f>
        <v>1031658611</v>
      </c>
      <c r="N85" s="2053">
        <f t="shared" ref="N85:P85" si="49">+N82+N83</f>
        <v>-568886693</v>
      </c>
      <c r="O85" s="2053">
        <f t="shared" si="49"/>
        <v>-3195353558</v>
      </c>
      <c r="P85" s="2053">
        <f t="shared" si="49"/>
        <v>146119019</v>
      </c>
      <c r="Q85" s="2292">
        <f>+Q80+Q82+Q83</f>
        <v>-1292821551</v>
      </c>
      <c r="R85" s="2293" t="s">
        <v>1285</v>
      </c>
    </row>
    <row r="86" spans="5:18" hidden="1">
      <c r="F86" s="1816">
        <f>SUM($E85:F85)</f>
        <v>-605455199</v>
      </c>
      <c r="G86" s="1816">
        <f>SUM($E85:G85)</f>
        <v>-398029047</v>
      </c>
      <c r="H86" s="1816">
        <f>SUM($E85:H85)</f>
        <v>-116514797</v>
      </c>
      <c r="I86" s="1816">
        <f>SUM($E85:I85)</f>
        <v>24496207199</v>
      </c>
      <c r="J86" s="1816">
        <f>SUM($E85:J85)</f>
        <v>1872083125</v>
      </c>
      <c r="K86" s="1816">
        <f>SUM($E85:K85)</f>
        <v>1590119013</v>
      </c>
      <c r="L86" s="1816">
        <f>SUM($E85:L85)</f>
        <v>1293641070</v>
      </c>
      <c r="M86" s="1816">
        <f>SUM($E85:M85)</f>
        <v>2325299681</v>
      </c>
      <c r="N86" s="1816">
        <f>SUM($E85:N85)</f>
        <v>1756412988</v>
      </c>
      <c r="O86" s="1816">
        <f>SUM($E85:O85)</f>
        <v>-1438940570</v>
      </c>
      <c r="P86" s="1816">
        <f>SUM($E85:P85)</f>
        <v>-1292821551</v>
      </c>
    </row>
    <row r="87" spans="5:18" hidden="1">
      <c r="E87" s="1785">
        <f>+E82+E83-E85</f>
        <v>0</v>
      </c>
      <c r="F87" s="1785">
        <f t="shared" ref="F87:P87" si="50">+F82+F83-F85</f>
        <v>0</v>
      </c>
      <c r="G87" s="1785">
        <f t="shared" si="50"/>
        <v>0</v>
      </c>
      <c r="H87" s="1785">
        <f t="shared" si="50"/>
        <v>0</v>
      </c>
      <c r="I87" s="1785">
        <f t="shared" si="50"/>
        <v>0</v>
      </c>
      <c r="J87" s="1785">
        <f t="shared" si="50"/>
        <v>0</v>
      </c>
      <c r="K87" s="1785">
        <f t="shared" si="50"/>
        <v>0</v>
      </c>
      <c r="L87" s="1785">
        <f t="shared" si="50"/>
        <v>0</v>
      </c>
      <c r="M87" s="1785">
        <f t="shared" si="50"/>
        <v>0</v>
      </c>
      <c r="N87" s="1785">
        <f t="shared" si="50"/>
        <v>0</v>
      </c>
      <c r="O87" s="1785">
        <f t="shared" si="50"/>
        <v>0</v>
      </c>
      <c r="P87" s="1785">
        <f t="shared" si="50"/>
        <v>0</v>
      </c>
    </row>
  </sheetData>
  <autoFilter ref="A4:Q59" xr:uid="{B4E8D360-1FA8-4BFC-822F-B26B09BBABA8}"/>
  <mergeCells count="17">
    <mergeCell ref="A4:A5"/>
    <mergeCell ref="B4:B5"/>
    <mergeCell ref="E4:E5"/>
    <mergeCell ref="F4:F5"/>
    <mergeCell ref="G4:G5"/>
    <mergeCell ref="O4:O5"/>
    <mergeCell ref="P4:P5"/>
    <mergeCell ref="Q4:Q5"/>
    <mergeCell ref="C4:C5"/>
    <mergeCell ref="D4:D5"/>
    <mergeCell ref="I4:I5"/>
    <mergeCell ref="J4:J5"/>
    <mergeCell ref="K4:K5"/>
    <mergeCell ref="L4:L5"/>
    <mergeCell ref="M4:M5"/>
    <mergeCell ref="N4:N5"/>
    <mergeCell ref="H4:H5"/>
  </mergeCells>
  <phoneticPr fontId="257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4A5A-9799-4F66-8197-512A241D1C3E}">
  <sheetPr codeName="Hoja8"/>
  <dimension ref="A1:R1201"/>
  <sheetViews>
    <sheetView showGridLines="0" topLeftCell="A1076" zoomScale="80" zoomScaleNormal="80" workbookViewId="0">
      <selection activeCell="K1117" sqref="K1117"/>
    </sheetView>
  </sheetViews>
  <sheetFormatPr baseColWidth="10" defaultRowHeight="15"/>
  <cols>
    <col min="1" max="2" width="5.28515625" customWidth="1"/>
    <col min="3" max="3" width="6" customWidth="1"/>
    <col min="4" max="4" width="5.28515625" customWidth="1"/>
    <col min="5" max="5" width="13.28515625" customWidth="1"/>
    <col min="6" max="7" width="5.5703125" customWidth="1"/>
    <col min="8" max="8" width="46.5703125" customWidth="1"/>
    <col min="9" max="9" width="5" customWidth="1"/>
    <col min="10" max="10" width="4" customWidth="1"/>
    <col min="11" max="11" width="18.140625" style="1633" bestFit="1" customWidth="1"/>
    <col min="12" max="12" width="4.42578125" style="1633" customWidth="1"/>
    <col min="13" max="13" width="18.140625" style="1633" bestFit="1" customWidth="1"/>
    <col min="14" max="14" width="4.140625" style="1633" customWidth="1"/>
    <col min="15" max="15" width="17.140625" style="1633" bestFit="1" customWidth="1"/>
    <col min="16" max="16" width="4.7109375" bestFit="1" customWidth="1"/>
    <col min="17" max="17" width="8" bestFit="1" customWidth="1"/>
    <col min="18" max="18" width="5.85546875" bestFit="1" customWidth="1"/>
    <col min="19" max="19" width="14.5703125" bestFit="1" customWidth="1"/>
  </cols>
  <sheetData>
    <row r="1" spans="1:18">
      <c r="A1" t="s">
        <v>2619</v>
      </c>
    </row>
    <row r="2" spans="1:18">
      <c r="A2" t="s">
        <v>295</v>
      </c>
    </row>
    <row r="4" spans="1:18">
      <c r="A4" t="s">
        <v>296</v>
      </c>
      <c r="F4" t="s">
        <v>297</v>
      </c>
      <c r="G4" t="s">
        <v>298</v>
      </c>
      <c r="I4" t="s">
        <v>299</v>
      </c>
      <c r="N4" s="1633" t="s">
        <v>300</v>
      </c>
      <c r="P4" t="s">
        <v>106</v>
      </c>
    </row>
    <row r="6" spans="1:18">
      <c r="B6" t="s">
        <v>301</v>
      </c>
      <c r="C6" t="s">
        <v>302</v>
      </c>
      <c r="D6" t="s">
        <v>303</v>
      </c>
      <c r="E6" t="s">
        <v>304</v>
      </c>
      <c r="J6" t="s">
        <v>305</v>
      </c>
      <c r="L6" s="1633" t="s">
        <v>306</v>
      </c>
      <c r="O6" s="1633" t="s">
        <v>307</v>
      </c>
      <c r="Q6" t="s">
        <v>308</v>
      </c>
      <c r="R6" t="s">
        <v>309</v>
      </c>
    </row>
    <row r="7" spans="1:18">
      <c r="B7" t="s">
        <v>310</v>
      </c>
      <c r="C7" t="s">
        <v>311</v>
      </c>
      <c r="D7" t="s">
        <v>312</v>
      </c>
      <c r="E7" t="s">
        <v>313</v>
      </c>
      <c r="J7" t="s">
        <v>2620</v>
      </c>
      <c r="L7" s="1633" t="s">
        <v>1419</v>
      </c>
      <c r="O7" s="1633" t="s">
        <v>314</v>
      </c>
      <c r="Q7" t="s">
        <v>315</v>
      </c>
      <c r="R7" t="s">
        <v>316</v>
      </c>
    </row>
    <row r="9" spans="1:18">
      <c r="E9" t="s">
        <v>317</v>
      </c>
    </row>
    <row r="10" spans="1:18">
      <c r="E10" t="s">
        <v>318</v>
      </c>
    </row>
    <row r="11" spans="1:18">
      <c r="E11" t="s">
        <v>319</v>
      </c>
    </row>
    <row r="12" spans="1:18">
      <c r="E12" t="s">
        <v>320</v>
      </c>
    </row>
    <row r="13" spans="1:18">
      <c r="E13" t="s">
        <v>321</v>
      </c>
    </row>
    <row r="14" spans="1:18">
      <c r="C14" t="s">
        <v>297</v>
      </c>
      <c r="D14" t="s">
        <v>299</v>
      </c>
      <c r="E14">
        <v>1518000997</v>
      </c>
      <c r="H14" t="s">
        <v>322</v>
      </c>
      <c r="K14" s="1633">
        <v>22629122389</v>
      </c>
      <c r="M14" s="1633">
        <v>23152289034</v>
      </c>
      <c r="O14" s="1633">
        <v>-523166645</v>
      </c>
      <c r="Q14">
        <v>-2.2999999999999998</v>
      </c>
    </row>
    <row r="15" spans="1:18">
      <c r="C15" t="s">
        <v>297</v>
      </c>
      <c r="D15" t="s">
        <v>299</v>
      </c>
      <c r="E15">
        <v>1640220000</v>
      </c>
      <c r="H15" t="s">
        <v>323</v>
      </c>
      <c r="K15" s="1633">
        <v>11180390052639</v>
      </c>
      <c r="M15" s="1633">
        <v>11179883026096</v>
      </c>
      <c r="O15" s="1633">
        <v>507026543</v>
      </c>
    </row>
    <row r="16" spans="1:18">
      <c r="C16" t="s">
        <v>297</v>
      </c>
      <c r="D16" t="s">
        <v>299</v>
      </c>
      <c r="E16">
        <v>1645011000</v>
      </c>
      <c r="H16" t="s">
        <v>324</v>
      </c>
      <c r="K16" s="1633">
        <v>6348633174069</v>
      </c>
      <c r="M16" s="1633">
        <v>6372571038651</v>
      </c>
      <c r="O16" s="1633">
        <v>-23937864582</v>
      </c>
      <c r="Q16">
        <v>-0.4</v>
      </c>
    </row>
    <row r="17" spans="3:18">
      <c r="C17" t="s">
        <v>297</v>
      </c>
      <c r="D17" t="s">
        <v>299</v>
      </c>
      <c r="E17">
        <v>1645011100</v>
      </c>
      <c r="H17" t="s">
        <v>1420</v>
      </c>
      <c r="K17" s="1633">
        <v>0</v>
      </c>
      <c r="M17" s="1633">
        <v>-3182516008</v>
      </c>
      <c r="O17" s="1633">
        <v>3182516008</v>
      </c>
      <c r="Q17">
        <v>100</v>
      </c>
    </row>
    <row r="18" spans="3:18">
      <c r="C18" t="s">
        <v>297</v>
      </c>
      <c r="D18" t="s">
        <v>299</v>
      </c>
      <c r="E18">
        <v>1941035000</v>
      </c>
      <c r="H18" t="s">
        <v>325</v>
      </c>
      <c r="K18" s="1633">
        <v>119003225372</v>
      </c>
      <c r="M18" s="1633">
        <v>119003225372</v>
      </c>
      <c r="O18" s="1633">
        <v>0</v>
      </c>
    </row>
    <row r="19" spans="3:18">
      <c r="E19" t="s">
        <v>326</v>
      </c>
      <c r="K19" s="1633">
        <v>17670655574469</v>
      </c>
      <c r="M19" s="1633">
        <v>17691427063145</v>
      </c>
      <c r="O19" s="1633">
        <v>-20771488676</v>
      </c>
      <c r="Q19">
        <v>-0.1</v>
      </c>
      <c r="R19" t="s">
        <v>327</v>
      </c>
    </row>
    <row r="20" spans="3:18">
      <c r="E20" t="s">
        <v>328</v>
      </c>
    </row>
    <row r="21" spans="3:18">
      <c r="C21" t="s">
        <v>297</v>
      </c>
      <c r="D21" t="s">
        <v>299</v>
      </c>
      <c r="E21">
        <v>1580090197</v>
      </c>
      <c r="H21" t="s">
        <v>329</v>
      </c>
      <c r="K21" s="1633">
        <v>-1202317311</v>
      </c>
      <c r="M21" s="1633">
        <v>-1202317311</v>
      </c>
      <c r="O21" s="1633">
        <v>0</v>
      </c>
    </row>
    <row r="22" spans="3:18">
      <c r="E22" t="s">
        <v>330</v>
      </c>
      <c r="K22" s="1633">
        <v>-1202317311</v>
      </c>
      <c r="M22" s="1633">
        <v>-1202317311</v>
      </c>
      <c r="O22" s="1633">
        <v>0</v>
      </c>
      <c r="R22" t="s">
        <v>327</v>
      </c>
    </row>
    <row r="23" spans="3:18">
      <c r="E23" t="s">
        <v>331</v>
      </c>
    </row>
    <row r="24" spans="3:18">
      <c r="C24" t="s">
        <v>297</v>
      </c>
      <c r="D24" t="s">
        <v>299</v>
      </c>
      <c r="E24">
        <v>1518000999</v>
      </c>
      <c r="H24" t="s">
        <v>332</v>
      </c>
      <c r="K24" s="1633">
        <v>0</v>
      </c>
      <c r="M24" s="1633">
        <v>27848886323</v>
      </c>
      <c r="O24" s="1633">
        <v>-27848886323</v>
      </c>
      <c r="Q24">
        <v>-100</v>
      </c>
    </row>
    <row r="25" spans="3:18">
      <c r="C25" t="s">
        <v>297</v>
      </c>
      <c r="D25" t="s">
        <v>299</v>
      </c>
      <c r="E25">
        <v>1645012000</v>
      </c>
      <c r="H25" t="s">
        <v>333</v>
      </c>
      <c r="K25" s="1633">
        <v>0</v>
      </c>
      <c r="M25" s="1633">
        <v>56939515351</v>
      </c>
      <c r="O25" s="1633">
        <v>-56939515351</v>
      </c>
      <c r="Q25">
        <v>-100</v>
      </c>
    </row>
    <row r="26" spans="3:18">
      <c r="C26" t="s">
        <v>297</v>
      </c>
      <c r="D26" t="s">
        <v>299</v>
      </c>
      <c r="E26">
        <v>1645012100</v>
      </c>
      <c r="H26" t="s">
        <v>1421</v>
      </c>
      <c r="K26" s="1633">
        <v>0</v>
      </c>
      <c r="M26" s="1633">
        <v>-42981344201</v>
      </c>
      <c r="O26" s="1633">
        <v>42981344201</v>
      </c>
      <c r="Q26">
        <v>100</v>
      </c>
    </row>
    <row r="27" spans="3:18">
      <c r="C27" t="s">
        <v>297</v>
      </c>
      <c r="D27" t="s">
        <v>299</v>
      </c>
      <c r="E27">
        <v>1645012110</v>
      </c>
      <c r="H27" t="s">
        <v>1422</v>
      </c>
      <c r="K27" s="1633">
        <v>0</v>
      </c>
      <c r="M27" s="1633">
        <v>3182516008</v>
      </c>
      <c r="O27" s="1633">
        <v>-3182516008</v>
      </c>
      <c r="Q27">
        <v>-100</v>
      </c>
    </row>
    <row r="28" spans="3:18">
      <c r="C28" t="s">
        <v>297</v>
      </c>
      <c r="D28" t="s">
        <v>299</v>
      </c>
      <c r="E28">
        <v>1645012111</v>
      </c>
      <c r="H28" t="s">
        <v>1423</v>
      </c>
      <c r="K28" s="1633">
        <v>0</v>
      </c>
      <c r="M28" s="1633">
        <v>3433947461</v>
      </c>
      <c r="O28" s="1633">
        <v>-3433947461</v>
      </c>
      <c r="Q28">
        <v>-100</v>
      </c>
    </row>
    <row r="29" spans="3:18">
      <c r="C29" t="s">
        <v>297</v>
      </c>
      <c r="D29" t="s">
        <v>299</v>
      </c>
      <c r="E29">
        <v>1645012112</v>
      </c>
      <c r="H29" t="s">
        <v>1424</v>
      </c>
      <c r="K29" s="1633">
        <v>0</v>
      </c>
      <c r="M29" s="1633">
        <v>-24623104942</v>
      </c>
      <c r="O29" s="1633">
        <v>24623104942</v>
      </c>
      <c r="Q29">
        <v>100</v>
      </c>
    </row>
    <row r="30" spans="3:18">
      <c r="E30" t="s">
        <v>334</v>
      </c>
      <c r="K30" s="1633">
        <v>0</v>
      </c>
      <c r="M30" s="1633">
        <v>23800416000</v>
      </c>
      <c r="O30" s="1633">
        <v>-23800416000</v>
      </c>
      <c r="Q30">
        <v>-100</v>
      </c>
      <c r="R30" t="s">
        <v>327</v>
      </c>
    </row>
    <row r="31" spans="3:18">
      <c r="E31" t="s">
        <v>335</v>
      </c>
    </row>
    <row r="32" spans="3:18">
      <c r="C32" t="s">
        <v>297</v>
      </c>
      <c r="D32" t="s">
        <v>299</v>
      </c>
      <c r="E32">
        <v>1580090195</v>
      </c>
      <c r="H32" t="s">
        <v>1425</v>
      </c>
      <c r="K32" s="1633">
        <v>0</v>
      </c>
      <c r="M32" s="1633">
        <v>119545963</v>
      </c>
      <c r="O32" s="1633">
        <v>-119545963</v>
      </c>
      <c r="Q32">
        <v>-100</v>
      </c>
    </row>
    <row r="33" spans="3:18">
      <c r="C33" t="s">
        <v>297</v>
      </c>
      <c r="D33" t="s">
        <v>299</v>
      </c>
      <c r="E33">
        <v>1580090198</v>
      </c>
      <c r="H33" t="s">
        <v>336</v>
      </c>
      <c r="K33" s="1633">
        <v>0</v>
      </c>
      <c r="M33" s="1633">
        <v>-119545963</v>
      </c>
      <c r="O33" s="1633">
        <v>119545963</v>
      </c>
      <c r="Q33">
        <v>100</v>
      </c>
    </row>
    <row r="34" spans="3:18">
      <c r="E34" t="s">
        <v>337</v>
      </c>
      <c r="K34" s="1633">
        <v>0</v>
      </c>
      <c r="M34" s="1633">
        <v>0</v>
      </c>
      <c r="O34" s="1633">
        <v>0</v>
      </c>
      <c r="R34" t="s">
        <v>327</v>
      </c>
    </row>
    <row r="35" spans="3:18">
      <c r="E35" t="s">
        <v>338</v>
      </c>
    </row>
    <row r="36" spans="3:18">
      <c r="C36" t="s">
        <v>297</v>
      </c>
      <c r="D36" t="s">
        <v>299</v>
      </c>
      <c r="E36">
        <v>1640010000</v>
      </c>
      <c r="H36" t="s">
        <v>339</v>
      </c>
      <c r="K36" s="1633">
        <v>360561908244</v>
      </c>
      <c r="M36" s="1633">
        <v>362401847841</v>
      </c>
      <c r="O36" s="1633">
        <v>-1839939597</v>
      </c>
      <c r="Q36">
        <v>-0.5</v>
      </c>
    </row>
    <row r="37" spans="3:18">
      <c r="C37" t="s">
        <v>297</v>
      </c>
      <c r="D37" t="s">
        <v>299</v>
      </c>
      <c r="E37">
        <v>1640020000</v>
      </c>
      <c r="H37" t="s">
        <v>340</v>
      </c>
      <c r="K37" s="1633">
        <v>86028058931</v>
      </c>
      <c r="M37" s="1633">
        <v>86028058931</v>
      </c>
      <c r="O37" s="1633">
        <v>0</v>
      </c>
    </row>
    <row r="38" spans="3:18">
      <c r="C38" t="s">
        <v>297</v>
      </c>
      <c r="D38" t="s">
        <v>299</v>
      </c>
      <c r="E38">
        <v>1640080000</v>
      </c>
      <c r="H38" t="s">
        <v>341</v>
      </c>
      <c r="K38" s="1633">
        <v>130053037</v>
      </c>
      <c r="M38" s="1633">
        <v>130053037</v>
      </c>
      <c r="O38" s="1633">
        <v>0</v>
      </c>
    </row>
    <row r="39" spans="3:18">
      <c r="C39" t="s">
        <v>297</v>
      </c>
      <c r="D39" t="s">
        <v>299</v>
      </c>
      <c r="E39">
        <v>1640150000</v>
      </c>
      <c r="H39" t="s">
        <v>342</v>
      </c>
      <c r="K39" s="1633">
        <v>18958700168</v>
      </c>
      <c r="M39" s="1633">
        <v>19146580701</v>
      </c>
      <c r="O39" s="1633">
        <v>-187880533</v>
      </c>
      <c r="Q39">
        <v>-1</v>
      </c>
    </row>
    <row r="40" spans="3:18">
      <c r="C40" t="s">
        <v>297</v>
      </c>
      <c r="D40" t="s">
        <v>299</v>
      </c>
      <c r="E40">
        <v>1640180000</v>
      </c>
      <c r="H40" t="s">
        <v>343</v>
      </c>
      <c r="K40" s="1633">
        <v>3146228210</v>
      </c>
      <c r="M40" s="1633">
        <v>3247833911</v>
      </c>
      <c r="O40" s="1633">
        <v>-101605701</v>
      </c>
      <c r="Q40">
        <v>-3.1</v>
      </c>
    </row>
    <row r="41" spans="3:18">
      <c r="C41" t="s">
        <v>297</v>
      </c>
      <c r="D41" t="s">
        <v>299</v>
      </c>
      <c r="E41">
        <v>1640210000</v>
      </c>
      <c r="H41" t="s">
        <v>344</v>
      </c>
      <c r="K41" s="1633">
        <v>977101110</v>
      </c>
      <c r="M41" s="1633">
        <v>977101110</v>
      </c>
      <c r="O41" s="1633">
        <v>0</v>
      </c>
    </row>
    <row r="42" spans="3:18">
      <c r="C42" t="s">
        <v>297</v>
      </c>
      <c r="D42" t="s">
        <v>299</v>
      </c>
      <c r="E42">
        <v>1640999999</v>
      </c>
      <c r="H42" t="s">
        <v>1426</v>
      </c>
      <c r="K42" s="1633">
        <v>0</v>
      </c>
      <c r="M42" s="1633">
        <v>-2129425831</v>
      </c>
      <c r="O42" s="1633">
        <v>2129425831</v>
      </c>
      <c r="Q42">
        <v>100</v>
      </c>
    </row>
    <row r="43" spans="3:18">
      <c r="C43" t="s">
        <v>297</v>
      </c>
      <c r="D43" t="s">
        <v>299</v>
      </c>
      <c r="E43">
        <v>1941035800</v>
      </c>
      <c r="H43" t="s">
        <v>345</v>
      </c>
      <c r="K43" s="1633">
        <v>97430829997</v>
      </c>
      <c r="M43" s="1633">
        <v>89703291002</v>
      </c>
      <c r="O43" s="1633">
        <v>7727538995</v>
      </c>
      <c r="Q43">
        <v>8.6</v>
      </c>
    </row>
    <row r="44" spans="3:18">
      <c r="E44" t="s">
        <v>346</v>
      </c>
      <c r="K44" s="1633">
        <v>567232879697</v>
      </c>
      <c r="M44" s="1633">
        <v>559505340702</v>
      </c>
      <c r="O44" s="1633">
        <v>7727538995</v>
      </c>
      <c r="Q44">
        <v>1.4</v>
      </c>
      <c r="R44" t="s">
        <v>327</v>
      </c>
    </row>
    <row r="45" spans="3:18">
      <c r="E45" t="s">
        <v>347</v>
      </c>
    </row>
    <row r="46" spans="3:18">
      <c r="C46" t="s">
        <v>297</v>
      </c>
      <c r="D46" t="s">
        <v>299</v>
      </c>
      <c r="E46">
        <v>1655010000</v>
      </c>
      <c r="H46" t="s">
        <v>348</v>
      </c>
      <c r="K46" s="1633">
        <v>637348173</v>
      </c>
      <c r="M46" s="1633">
        <v>637348173</v>
      </c>
      <c r="O46" s="1633">
        <v>0</v>
      </c>
    </row>
    <row r="47" spans="3:18">
      <c r="C47" t="s">
        <v>297</v>
      </c>
      <c r="D47" t="s">
        <v>299</v>
      </c>
      <c r="E47">
        <v>1655110000</v>
      </c>
      <c r="H47" t="s">
        <v>1360</v>
      </c>
      <c r="K47" s="1633">
        <v>298526555</v>
      </c>
      <c r="M47" s="1633">
        <v>298526555</v>
      </c>
      <c r="O47" s="1633">
        <v>0</v>
      </c>
    </row>
    <row r="48" spans="3:18">
      <c r="C48" t="s">
        <v>297</v>
      </c>
      <c r="D48" t="s">
        <v>299</v>
      </c>
      <c r="E48">
        <v>1655200000</v>
      </c>
      <c r="H48" t="s">
        <v>349</v>
      </c>
      <c r="K48" s="1633">
        <v>23061244077</v>
      </c>
      <c r="M48" s="1633">
        <v>23061244077</v>
      </c>
      <c r="O48" s="1633">
        <v>0</v>
      </c>
    </row>
    <row r="49" spans="3:18">
      <c r="C49" t="s">
        <v>297</v>
      </c>
      <c r="D49" t="s">
        <v>299</v>
      </c>
      <c r="E49">
        <v>1670010000</v>
      </c>
      <c r="H49" t="s">
        <v>350</v>
      </c>
      <c r="K49" s="1633">
        <v>13536295748</v>
      </c>
      <c r="M49" s="1633">
        <v>13415478037</v>
      </c>
      <c r="O49" s="1633">
        <v>120817711</v>
      </c>
      <c r="Q49">
        <v>0.9</v>
      </c>
    </row>
    <row r="50" spans="3:18">
      <c r="C50" t="s">
        <v>297</v>
      </c>
      <c r="D50" t="s">
        <v>299</v>
      </c>
      <c r="E50">
        <v>1670020000</v>
      </c>
      <c r="H50" t="s">
        <v>351</v>
      </c>
      <c r="K50" s="1633">
        <v>5991244562</v>
      </c>
      <c r="M50" s="1633">
        <v>5956838192</v>
      </c>
      <c r="O50" s="1633">
        <v>34406370</v>
      </c>
      <c r="Q50">
        <v>0.6</v>
      </c>
    </row>
    <row r="51" spans="3:18">
      <c r="C51" t="s">
        <v>297</v>
      </c>
      <c r="D51" t="s">
        <v>299</v>
      </c>
      <c r="E51">
        <v>1670999999</v>
      </c>
      <c r="H51" t="s">
        <v>1427</v>
      </c>
      <c r="K51" s="1633">
        <v>0</v>
      </c>
      <c r="M51" s="1633">
        <v>-229360166</v>
      </c>
      <c r="O51" s="1633">
        <v>229360166</v>
      </c>
      <c r="Q51">
        <v>100</v>
      </c>
    </row>
    <row r="52" spans="3:18">
      <c r="C52" t="s">
        <v>297</v>
      </c>
      <c r="D52" t="s">
        <v>299</v>
      </c>
      <c r="E52">
        <v>1675020000</v>
      </c>
      <c r="H52" t="s">
        <v>352</v>
      </c>
      <c r="K52" s="1633">
        <v>3699146482</v>
      </c>
      <c r="M52" s="1633">
        <v>3743990626</v>
      </c>
      <c r="O52" s="1633">
        <v>-44844144</v>
      </c>
      <c r="Q52">
        <v>-1.2</v>
      </c>
    </row>
    <row r="53" spans="3:18">
      <c r="C53" t="s">
        <v>297</v>
      </c>
      <c r="D53" t="s">
        <v>299</v>
      </c>
      <c r="E53">
        <v>1675040000</v>
      </c>
      <c r="H53" t="s">
        <v>353</v>
      </c>
      <c r="K53" s="1633">
        <v>545648075</v>
      </c>
      <c r="M53" s="1633">
        <v>545648075</v>
      </c>
      <c r="O53" s="1633">
        <v>0</v>
      </c>
    </row>
    <row r="54" spans="3:18">
      <c r="C54" t="s">
        <v>297</v>
      </c>
      <c r="D54" t="s">
        <v>299</v>
      </c>
      <c r="E54">
        <v>1941035700</v>
      </c>
      <c r="H54" t="s">
        <v>354</v>
      </c>
      <c r="K54" s="1633">
        <v>16806998232</v>
      </c>
      <c r="M54" s="1633">
        <v>15203970216</v>
      </c>
      <c r="O54" s="1633">
        <v>1603028016</v>
      </c>
      <c r="Q54">
        <v>10.5</v>
      </c>
    </row>
    <row r="55" spans="3:18">
      <c r="C55" t="s">
        <v>297</v>
      </c>
      <c r="D55" t="s">
        <v>299</v>
      </c>
      <c r="E55">
        <v>1941035710</v>
      </c>
      <c r="H55" t="s">
        <v>1228</v>
      </c>
      <c r="K55" s="1633">
        <v>8046191432</v>
      </c>
      <c r="M55" s="1633">
        <v>7227604008</v>
      </c>
      <c r="O55" s="1633">
        <v>818587424</v>
      </c>
      <c r="Q55">
        <v>11.3</v>
      </c>
    </row>
    <row r="56" spans="3:18">
      <c r="C56" t="s">
        <v>297</v>
      </c>
      <c r="D56" t="s">
        <v>299</v>
      </c>
      <c r="E56">
        <v>1941035900</v>
      </c>
      <c r="H56" t="s">
        <v>355</v>
      </c>
      <c r="K56" s="1633">
        <v>19545413236</v>
      </c>
      <c r="M56" s="1633">
        <v>17980355923</v>
      </c>
      <c r="O56" s="1633">
        <v>1565057313</v>
      </c>
      <c r="Q56">
        <v>8.6999999999999993</v>
      </c>
    </row>
    <row r="57" spans="3:18">
      <c r="E57" t="s">
        <v>356</v>
      </c>
      <c r="K57" s="1633">
        <v>92168056572</v>
      </c>
      <c r="M57" s="1633">
        <v>87841643716</v>
      </c>
      <c r="O57" s="1633">
        <v>4326412856</v>
      </c>
      <c r="Q57">
        <v>4.9000000000000004</v>
      </c>
      <c r="R57" t="s">
        <v>327</v>
      </c>
    </row>
    <row r="58" spans="3:18">
      <c r="E58" t="s">
        <v>357</v>
      </c>
    </row>
    <row r="59" spans="3:18">
      <c r="C59" t="s">
        <v>297</v>
      </c>
      <c r="D59" t="s">
        <v>299</v>
      </c>
      <c r="E59">
        <v>1605020000</v>
      </c>
      <c r="H59" t="s">
        <v>358</v>
      </c>
      <c r="K59" s="1633">
        <v>184569269060</v>
      </c>
      <c r="M59" s="1633">
        <v>185088694671</v>
      </c>
      <c r="O59" s="1633">
        <v>-519425611</v>
      </c>
      <c r="Q59">
        <v>-0.3</v>
      </c>
    </row>
    <row r="60" spans="3:18">
      <c r="C60" t="s">
        <v>297</v>
      </c>
      <c r="D60" t="s">
        <v>299</v>
      </c>
      <c r="E60">
        <v>1605029999</v>
      </c>
      <c r="H60" t="s">
        <v>1428</v>
      </c>
      <c r="K60" s="1633">
        <v>0</v>
      </c>
      <c r="M60" s="1633">
        <v>-1048320000</v>
      </c>
      <c r="O60" s="1633">
        <v>1048320000</v>
      </c>
      <c r="Q60">
        <v>100</v>
      </c>
    </row>
    <row r="61" spans="3:18">
      <c r="C61" t="s">
        <v>297</v>
      </c>
      <c r="D61" t="s">
        <v>299</v>
      </c>
      <c r="E61">
        <v>1605040100</v>
      </c>
      <c r="H61" t="s">
        <v>359</v>
      </c>
      <c r="K61" s="1633">
        <v>9152434224</v>
      </c>
      <c r="M61" s="1633">
        <v>10393618612</v>
      </c>
      <c r="O61" s="1633">
        <v>-1241184388</v>
      </c>
      <c r="Q61">
        <v>-11.9</v>
      </c>
    </row>
    <row r="62" spans="3:18">
      <c r="C62" t="s">
        <v>297</v>
      </c>
      <c r="D62" t="s">
        <v>299</v>
      </c>
      <c r="E62">
        <v>1941035200</v>
      </c>
      <c r="H62" t="s">
        <v>1324</v>
      </c>
      <c r="K62" s="1633">
        <v>13007165347</v>
      </c>
      <c r="M62" s="1633">
        <v>9548112418</v>
      </c>
      <c r="O62" s="1633">
        <v>3459052929</v>
      </c>
      <c r="Q62">
        <v>36.200000000000003</v>
      </c>
    </row>
    <row r="63" spans="3:18">
      <c r="E63" t="s">
        <v>360</v>
      </c>
      <c r="K63" s="1633">
        <v>206728868631</v>
      </c>
      <c r="M63" s="1633">
        <v>203982105701</v>
      </c>
      <c r="O63" s="1633">
        <v>2746762930</v>
      </c>
      <c r="Q63">
        <v>1.3</v>
      </c>
      <c r="R63" t="s">
        <v>327</v>
      </c>
    </row>
    <row r="64" spans="3:18">
      <c r="E64" t="s">
        <v>1429</v>
      </c>
    </row>
    <row r="65" spans="3:18">
      <c r="C65" t="s">
        <v>297</v>
      </c>
      <c r="D65" t="s">
        <v>299</v>
      </c>
      <c r="E65">
        <v>1645013000</v>
      </c>
      <c r="H65" t="s">
        <v>1430</v>
      </c>
      <c r="K65" s="1633">
        <v>295430860404</v>
      </c>
      <c r="M65" s="1633">
        <v>277450117045</v>
      </c>
      <c r="O65" s="1633">
        <v>17980743359</v>
      </c>
      <c r="Q65">
        <v>6.5</v>
      </c>
    </row>
    <row r="66" spans="3:18">
      <c r="E66" t="s">
        <v>1431</v>
      </c>
      <c r="K66" s="1633">
        <v>295430860404</v>
      </c>
      <c r="M66" s="1633">
        <v>277450117045</v>
      </c>
      <c r="O66" s="1633">
        <v>17980743359</v>
      </c>
      <c r="Q66">
        <v>6.5</v>
      </c>
      <c r="R66" t="s">
        <v>327</v>
      </c>
    </row>
    <row r="67" spans="3:18">
      <c r="E67" t="s">
        <v>1432</v>
      </c>
    </row>
    <row r="68" spans="3:18">
      <c r="C68" t="s">
        <v>297</v>
      </c>
      <c r="D68" t="s">
        <v>299</v>
      </c>
      <c r="E68">
        <v>1645014000</v>
      </c>
      <c r="H68" t="s">
        <v>1433</v>
      </c>
      <c r="K68" s="1633">
        <v>150996770006</v>
      </c>
      <c r="M68" s="1633">
        <v>148611611214</v>
      </c>
      <c r="O68" s="1633">
        <v>2385158792</v>
      </c>
      <c r="Q68">
        <v>1.6</v>
      </c>
    </row>
    <row r="69" spans="3:18">
      <c r="E69" t="s">
        <v>1434</v>
      </c>
      <c r="K69" s="1633">
        <v>150996770006</v>
      </c>
      <c r="M69" s="1633">
        <v>148611611214</v>
      </c>
      <c r="O69" s="1633">
        <v>2385158792</v>
      </c>
      <c r="Q69">
        <v>1.6</v>
      </c>
      <c r="R69" t="s">
        <v>327</v>
      </c>
    </row>
    <row r="70" spans="3:18">
      <c r="E70" t="s">
        <v>361</v>
      </c>
      <c r="K70" s="1633">
        <v>18982010692468</v>
      </c>
      <c r="M70" s="1633">
        <v>18991415980212</v>
      </c>
      <c r="O70" s="1633">
        <v>-9405287744</v>
      </c>
      <c r="R70" t="s">
        <v>362</v>
      </c>
    </row>
    <row r="71" spans="3:18">
      <c r="E71" t="s">
        <v>363</v>
      </c>
    </row>
    <row r="72" spans="3:18">
      <c r="C72" t="s">
        <v>297</v>
      </c>
      <c r="D72" t="s">
        <v>299</v>
      </c>
      <c r="E72">
        <v>1685010000</v>
      </c>
      <c r="H72" t="s">
        <v>364</v>
      </c>
      <c r="K72" s="1633">
        <v>-25133571117</v>
      </c>
      <c r="M72" s="1633">
        <v>-24738872013</v>
      </c>
      <c r="O72" s="1633">
        <v>-394699104</v>
      </c>
      <c r="Q72">
        <v>-1.6</v>
      </c>
    </row>
    <row r="73" spans="3:18">
      <c r="C73" t="s">
        <v>297</v>
      </c>
      <c r="D73" t="s">
        <v>299</v>
      </c>
      <c r="E73">
        <v>1685010100</v>
      </c>
      <c r="H73" t="s">
        <v>365</v>
      </c>
      <c r="K73" s="1633">
        <v>-1039172949304</v>
      </c>
      <c r="M73" s="1633">
        <v>-996571451634</v>
      </c>
      <c r="O73" s="1633">
        <v>-42601497670</v>
      </c>
      <c r="Q73">
        <v>-4.3</v>
      </c>
    </row>
    <row r="74" spans="3:18">
      <c r="C74" t="s">
        <v>297</v>
      </c>
      <c r="D74" t="s">
        <v>299</v>
      </c>
      <c r="E74">
        <v>1685010200</v>
      </c>
      <c r="H74" t="s">
        <v>366</v>
      </c>
      <c r="K74" s="1633">
        <v>-474852875</v>
      </c>
      <c r="M74" s="1633">
        <v>-438325731</v>
      </c>
      <c r="O74" s="1633">
        <v>-36527144</v>
      </c>
      <c r="Q74">
        <v>-8.3000000000000007</v>
      </c>
    </row>
    <row r="75" spans="3:18">
      <c r="C75" t="s">
        <v>297</v>
      </c>
      <c r="D75" t="s">
        <v>299</v>
      </c>
      <c r="E75">
        <v>1685020000</v>
      </c>
      <c r="H75" t="s">
        <v>367</v>
      </c>
      <c r="K75" s="1633">
        <v>-638590533847</v>
      </c>
      <c r="M75" s="1633">
        <v>-647648750630</v>
      </c>
      <c r="O75" s="1633">
        <v>9058216783</v>
      </c>
      <c r="Q75">
        <v>1.4</v>
      </c>
    </row>
    <row r="76" spans="3:18">
      <c r="C76" t="s">
        <v>297</v>
      </c>
      <c r="D76" t="s">
        <v>299</v>
      </c>
      <c r="E76">
        <v>1685020100</v>
      </c>
      <c r="H76" t="s">
        <v>1435</v>
      </c>
      <c r="K76" s="1633">
        <v>0</v>
      </c>
      <c r="M76" s="1633">
        <v>42861798238</v>
      </c>
      <c r="O76" s="1633">
        <v>-42861798238</v>
      </c>
      <c r="Q76">
        <v>-100</v>
      </c>
    </row>
    <row r="77" spans="3:18">
      <c r="C77" t="s">
        <v>297</v>
      </c>
      <c r="D77" t="s">
        <v>299</v>
      </c>
      <c r="E77">
        <v>1685022000</v>
      </c>
      <c r="H77" t="s">
        <v>1510</v>
      </c>
      <c r="K77" s="1633">
        <v>-3487152468</v>
      </c>
      <c r="M77" s="1633">
        <v>0</v>
      </c>
      <c r="O77" s="1633">
        <v>-3487152468</v>
      </c>
    </row>
    <row r="78" spans="3:18">
      <c r="C78" t="s">
        <v>297</v>
      </c>
      <c r="D78" t="s">
        <v>299</v>
      </c>
      <c r="E78">
        <v>1685023000</v>
      </c>
      <c r="H78" t="s">
        <v>1510</v>
      </c>
      <c r="K78" s="1633">
        <v>-1888764091</v>
      </c>
      <c r="M78" s="1633">
        <v>0</v>
      </c>
      <c r="O78" s="1633">
        <v>-1888764091</v>
      </c>
    </row>
    <row r="79" spans="3:18">
      <c r="C79" t="s">
        <v>297</v>
      </c>
      <c r="D79" t="s">
        <v>299</v>
      </c>
      <c r="E79">
        <v>1685040000</v>
      </c>
      <c r="H79" t="s">
        <v>368</v>
      </c>
      <c r="K79" s="1633">
        <v>-15221948032</v>
      </c>
      <c r="M79" s="1633">
        <v>-15071364821</v>
      </c>
      <c r="O79" s="1633">
        <v>-150583211</v>
      </c>
      <c r="Q79">
        <v>-1</v>
      </c>
    </row>
    <row r="80" spans="3:18">
      <c r="C80" t="s">
        <v>297</v>
      </c>
      <c r="D80" t="s">
        <v>299</v>
      </c>
      <c r="E80">
        <v>1685070000</v>
      </c>
      <c r="H80" t="s">
        <v>369</v>
      </c>
      <c r="K80" s="1633">
        <v>-7913374822</v>
      </c>
      <c r="M80" s="1633">
        <v>-7249724390</v>
      </c>
      <c r="O80" s="1633">
        <v>-663650432</v>
      </c>
      <c r="Q80">
        <v>-9.1999999999999993</v>
      </c>
    </row>
    <row r="81" spans="3:18">
      <c r="C81" t="s">
        <v>297</v>
      </c>
      <c r="D81" t="s">
        <v>299</v>
      </c>
      <c r="E81">
        <v>1685080000</v>
      </c>
      <c r="H81" t="s">
        <v>370</v>
      </c>
      <c r="K81" s="1633">
        <v>-1655579780</v>
      </c>
      <c r="M81" s="1633">
        <v>-1612903839</v>
      </c>
      <c r="O81" s="1633">
        <v>-42675941</v>
      </c>
      <c r="Q81">
        <v>-2.6</v>
      </c>
    </row>
    <row r="82" spans="3:18">
      <c r="C82" t="s">
        <v>297</v>
      </c>
      <c r="D82" t="s">
        <v>299</v>
      </c>
      <c r="E82">
        <v>1942025000</v>
      </c>
      <c r="H82" t="s">
        <v>371</v>
      </c>
      <c r="K82" s="1633">
        <v>-22311140757</v>
      </c>
      <c r="M82" s="1633">
        <v>-21481969587</v>
      </c>
      <c r="O82" s="1633">
        <v>-829171170</v>
      </c>
      <c r="Q82">
        <v>-3.9</v>
      </c>
    </row>
    <row r="83" spans="3:18">
      <c r="C83" t="s">
        <v>297</v>
      </c>
      <c r="D83" t="s">
        <v>299</v>
      </c>
      <c r="E83">
        <v>1942026000</v>
      </c>
      <c r="H83" t="s">
        <v>372</v>
      </c>
      <c r="K83" s="1633">
        <v>-14587889618</v>
      </c>
      <c r="M83" s="1633">
        <v>-14339310322</v>
      </c>
      <c r="O83" s="1633">
        <v>-248579296</v>
      </c>
      <c r="Q83">
        <v>-1.7</v>
      </c>
    </row>
    <row r="84" spans="3:18">
      <c r="C84" t="s">
        <v>297</v>
      </c>
      <c r="D84" t="s">
        <v>299</v>
      </c>
      <c r="E84">
        <v>1942026010</v>
      </c>
      <c r="H84" t="s">
        <v>1238</v>
      </c>
      <c r="K84" s="1633">
        <v>-2140263049</v>
      </c>
      <c r="M84" s="1633">
        <v>-1278532146</v>
      </c>
      <c r="O84" s="1633">
        <v>-861730903</v>
      </c>
      <c r="Q84">
        <v>-67.400000000000006</v>
      </c>
    </row>
    <row r="85" spans="3:18">
      <c r="C85" t="s">
        <v>297</v>
      </c>
      <c r="D85" t="s">
        <v>299</v>
      </c>
      <c r="E85">
        <v>1942026100</v>
      </c>
      <c r="H85" t="s">
        <v>373</v>
      </c>
      <c r="K85" s="1633">
        <v>-43159971005</v>
      </c>
      <c r="M85" s="1633">
        <v>-39205892241</v>
      </c>
      <c r="O85" s="1633">
        <v>-3954078764</v>
      </c>
      <c r="Q85">
        <v>-10.1</v>
      </c>
    </row>
    <row r="86" spans="3:18">
      <c r="C86" t="s">
        <v>297</v>
      </c>
      <c r="D86" t="s">
        <v>299</v>
      </c>
      <c r="E86">
        <v>1942026200</v>
      </c>
      <c r="H86" t="s">
        <v>374</v>
      </c>
      <c r="K86" s="1633">
        <v>-8541185196</v>
      </c>
      <c r="M86" s="1633">
        <v>-7132612018</v>
      </c>
      <c r="O86" s="1633">
        <v>-1408573178</v>
      </c>
      <c r="Q86">
        <v>-19.7</v>
      </c>
    </row>
    <row r="87" spans="3:18">
      <c r="C87" t="s">
        <v>297</v>
      </c>
      <c r="D87" t="s">
        <v>299</v>
      </c>
      <c r="E87">
        <v>1942035200</v>
      </c>
      <c r="H87" t="s">
        <v>374</v>
      </c>
      <c r="K87" s="1633">
        <v>-335922058</v>
      </c>
      <c r="M87" s="1633">
        <v>-214580369</v>
      </c>
      <c r="O87" s="1633">
        <v>-121341689</v>
      </c>
      <c r="Q87">
        <v>-56.5</v>
      </c>
    </row>
    <row r="88" spans="3:18">
      <c r="E88" t="s">
        <v>375</v>
      </c>
      <c r="K88" s="1633">
        <v>-1824615098019</v>
      </c>
      <c r="M88" s="1633">
        <v>-1734122491503</v>
      </c>
      <c r="O88" s="1633">
        <v>-90492606516</v>
      </c>
      <c r="Q88">
        <v>-5.2</v>
      </c>
      <c r="R88" t="s">
        <v>362</v>
      </c>
    </row>
    <row r="89" spans="3:18">
      <c r="E89" t="s">
        <v>376</v>
      </c>
    </row>
    <row r="90" spans="3:18">
      <c r="C90" t="s">
        <v>297</v>
      </c>
      <c r="D90" t="s">
        <v>299</v>
      </c>
      <c r="E90">
        <v>1420120200</v>
      </c>
      <c r="H90" t="s">
        <v>0</v>
      </c>
      <c r="K90" s="1633">
        <v>57805782456</v>
      </c>
      <c r="M90" s="1633">
        <v>53179802554</v>
      </c>
      <c r="O90" s="1633">
        <v>4625979902</v>
      </c>
      <c r="Q90">
        <v>8.6999999999999993</v>
      </c>
    </row>
    <row r="91" spans="3:18">
      <c r="C91" t="s">
        <v>297</v>
      </c>
      <c r="D91" t="s">
        <v>299</v>
      </c>
      <c r="E91">
        <v>1420120211</v>
      </c>
      <c r="H91" t="s">
        <v>377</v>
      </c>
      <c r="K91" s="1633">
        <v>-724265760</v>
      </c>
      <c r="M91" s="1633">
        <v>-648486649</v>
      </c>
      <c r="O91" s="1633">
        <v>-75779111</v>
      </c>
      <c r="Q91">
        <v>-11.7</v>
      </c>
    </row>
    <row r="92" spans="3:18">
      <c r="C92" t="s">
        <v>297</v>
      </c>
      <c r="D92" t="s">
        <v>299</v>
      </c>
      <c r="E92">
        <v>1615041600</v>
      </c>
      <c r="H92" t="s">
        <v>2495</v>
      </c>
      <c r="K92" s="1633">
        <v>5950000</v>
      </c>
      <c r="M92" s="1633">
        <v>0</v>
      </c>
      <c r="O92" s="1633">
        <v>5950000</v>
      </c>
    </row>
    <row r="93" spans="3:18">
      <c r="C93" t="s">
        <v>297</v>
      </c>
      <c r="D93" t="s">
        <v>299</v>
      </c>
      <c r="E93">
        <v>1615041700</v>
      </c>
      <c r="H93" t="s">
        <v>378</v>
      </c>
      <c r="K93" s="1633">
        <v>19790188872</v>
      </c>
      <c r="M93" s="1633">
        <v>16387987174</v>
      </c>
      <c r="O93" s="1633">
        <v>3402201698</v>
      </c>
      <c r="Q93">
        <v>20.8</v>
      </c>
    </row>
    <row r="94" spans="3:18">
      <c r="C94" t="s">
        <v>297</v>
      </c>
      <c r="D94" t="s">
        <v>299</v>
      </c>
      <c r="E94">
        <v>1615041800</v>
      </c>
      <c r="H94" t="s">
        <v>379</v>
      </c>
      <c r="K94" s="1633">
        <v>36028212870</v>
      </c>
      <c r="M94" s="1633">
        <v>32008558104</v>
      </c>
      <c r="O94" s="1633">
        <v>4019654766</v>
      </c>
      <c r="Q94">
        <v>12.6</v>
      </c>
    </row>
    <row r="95" spans="3:18">
      <c r="C95" t="s">
        <v>297</v>
      </c>
      <c r="D95" t="s">
        <v>299</v>
      </c>
      <c r="E95">
        <v>1615041801</v>
      </c>
      <c r="H95" t="s">
        <v>380</v>
      </c>
      <c r="K95" s="1633">
        <v>4783380614</v>
      </c>
      <c r="M95" s="1633">
        <v>1804493354</v>
      </c>
      <c r="O95" s="1633">
        <v>2978887260</v>
      </c>
      <c r="Q95">
        <v>165.1</v>
      </c>
    </row>
    <row r="96" spans="3:18">
      <c r="C96" t="s">
        <v>297</v>
      </c>
      <c r="D96" t="s">
        <v>299</v>
      </c>
      <c r="E96">
        <v>1615041802</v>
      </c>
      <c r="H96" t="s">
        <v>381</v>
      </c>
      <c r="K96" s="1633">
        <v>2516097590</v>
      </c>
      <c r="M96" s="1633">
        <v>1166172027</v>
      </c>
      <c r="O96" s="1633">
        <v>1349925563</v>
      </c>
      <c r="Q96">
        <v>115.8</v>
      </c>
    </row>
    <row r="97" spans="3:18">
      <c r="C97" t="s">
        <v>297</v>
      </c>
      <c r="D97" t="s">
        <v>299</v>
      </c>
      <c r="E97">
        <v>1615041803</v>
      </c>
      <c r="H97" t="s">
        <v>382</v>
      </c>
      <c r="K97" s="1633">
        <v>72548263</v>
      </c>
      <c r="M97" s="1633">
        <v>72548263</v>
      </c>
      <c r="O97" s="1633">
        <v>0</v>
      </c>
    </row>
    <row r="98" spans="3:18">
      <c r="C98" t="s">
        <v>297</v>
      </c>
      <c r="D98" t="s">
        <v>299</v>
      </c>
      <c r="E98">
        <v>1615041806</v>
      </c>
      <c r="H98" t="s">
        <v>379</v>
      </c>
      <c r="K98" s="1633">
        <v>187933563</v>
      </c>
      <c r="M98" s="1633">
        <v>179750271</v>
      </c>
      <c r="O98" s="1633">
        <v>8183292</v>
      </c>
      <c r="Q98">
        <v>4.5999999999999996</v>
      </c>
    </row>
    <row r="99" spans="3:18">
      <c r="C99" t="s">
        <v>297</v>
      </c>
      <c r="D99" t="s">
        <v>299</v>
      </c>
      <c r="E99">
        <v>1615041807</v>
      </c>
      <c r="H99" t="s">
        <v>379</v>
      </c>
      <c r="K99" s="1633">
        <v>1229742015</v>
      </c>
      <c r="M99" s="1633">
        <v>851628005</v>
      </c>
      <c r="O99" s="1633">
        <v>378114010</v>
      </c>
      <c r="Q99">
        <v>44.4</v>
      </c>
    </row>
    <row r="100" spans="3:18">
      <c r="C100" t="s">
        <v>297</v>
      </c>
      <c r="D100" t="s">
        <v>299</v>
      </c>
      <c r="E100">
        <v>1615041900</v>
      </c>
      <c r="H100" t="s">
        <v>383</v>
      </c>
      <c r="K100" s="1633">
        <v>754117084</v>
      </c>
      <c r="M100" s="1633">
        <v>111879077</v>
      </c>
      <c r="O100" s="1633">
        <v>642238007</v>
      </c>
      <c r="Q100">
        <v>574</v>
      </c>
    </row>
    <row r="101" spans="3:18">
      <c r="C101" t="s">
        <v>297</v>
      </c>
      <c r="D101" t="s">
        <v>299</v>
      </c>
      <c r="E101">
        <v>1615042000</v>
      </c>
      <c r="H101" t="s">
        <v>384</v>
      </c>
      <c r="K101" s="1633">
        <v>62614855712</v>
      </c>
      <c r="M101" s="1633">
        <v>17351187032</v>
      </c>
      <c r="O101" s="1633">
        <v>45263668680</v>
      </c>
      <c r="Q101">
        <v>260.89999999999998</v>
      </c>
    </row>
    <row r="102" spans="3:18">
      <c r="C102" t="s">
        <v>297</v>
      </c>
      <c r="D102" t="s">
        <v>299</v>
      </c>
      <c r="E102">
        <v>1615042100</v>
      </c>
      <c r="H102" t="s">
        <v>385</v>
      </c>
      <c r="K102" s="1633">
        <v>430206162</v>
      </c>
      <c r="M102" s="1633">
        <v>430206162</v>
      </c>
      <c r="O102" s="1633">
        <v>0</v>
      </c>
    </row>
    <row r="103" spans="3:18">
      <c r="C103" t="s">
        <v>297</v>
      </c>
      <c r="D103" t="s">
        <v>299</v>
      </c>
      <c r="E103">
        <v>1615042200</v>
      </c>
      <c r="H103" t="s">
        <v>386</v>
      </c>
      <c r="K103" s="1633">
        <v>32157620938</v>
      </c>
      <c r="M103" s="1633">
        <v>30896506899</v>
      </c>
      <c r="O103" s="1633">
        <v>1261114039</v>
      </c>
      <c r="Q103">
        <v>4.0999999999999996</v>
      </c>
    </row>
    <row r="104" spans="3:18">
      <c r="C104" t="s">
        <v>297</v>
      </c>
      <c r="D104" t="s">
        <v>299</v>
      </c>
      <c r="E104">
        <v>1615049000</v>
      </c>
      <c r="H104" t="s">
        <v>387</v>
      </c>
      <c r="K104" s="1633">
        <v>0</v>
      </c>
      <c r="M104" s="1633">
        <v>-152651551</v>
      </c>
      <c r="O104" s="1633">
        <v>152651551</v>
      </c>
      <c r="Q104">
        <v>100</v>
      </c>
    </row>
    <row r="105" spans="3:18">
      <c r="C105" t="s">
        <v>297</v>
      </c>
      <c r="D105" t="s">
        <v>299</v>
      </c>
      <c r="E105">
        <v>1615049001</v>
      </c>
      <c r="H105" t="s">
        <v>388</v>
      </c>
      <c r="K105" s="1633">
        <v>-48513562991</v>
      </c>
      <c r="M105" s="1633">
        <v>-46673628428</v>
      </c>
      <c r="O105" s="1633">
        <v>-1839934563</v>
      </c>
      <c r="Q105">
        <v>-3.9</v>
      </c>
    </row>
    <row r="106" spans="3:18">
      <c r="C106" t="s">
        <v>297</v>
      </c>
      <c r="D106" t="s">
        <v>299</v>
      </c>
      <c r="E106">
        <v>1615900000</v>
      </c>
      <c r="H106" t="s">
        <v>389</v>
      </c>
      <c r="K106" s="1633">
        <v>766070971</v>
      </c>
      <c r="M106" s="1633">
        <v>1055735971</v>
      </c>
      <c r="O106" s="1633">
        <v>-289665000</v>
      </c>
      <c r="Q106">
        <v>-27.4</v>
      </c>
    </row>
    <row r="107" spans="3:18">
      <c r="E107" t="s">
        <v>390</v>
      </c>
      <c r="K107" s="1633">
        <v>169904878359</v>
      </c>
      <c r="M107" s="1633">
        <v>108021688265</v>
      </c>
      <c r="O107" s="1633">
        <v>61883190094</v>
      </c>
      <c r="Q107">
        <v>57.3</v>
      </c>
      <c r="R107" t="s">
        <v>362</v>
      </c>
    </row>
    <row r="108" spans="3:18">
      <c r="E108" t="s">
        <v>391</v>
      </c>
      <c r="K108" s="1633">
        <v>17327300472808</v>
      </c>
      <c r="M108" s="1633">
        <v>17365315176974</v>
      </c>
      <c r="O108" s="1633">
        <v>-38014704166</v>
      </c>
      <c r="Q108">
        <v>-0.2</v>
      </c>
      <c r="R108" t="s">
        <v>392</v>
      </c>
    </row>
    <row r="110" spans="3:18">
      <c r="E110" t="s">
        <v>393</v>
      </c>
    </row>
    <row r="111" spans="3:18">
      <c r="C111" t="s">
        <v>297</v>
      </c>
      <c r="D111" t="s">
        <v>299</v>
      </c>
      <c r="E111">
        <v>1970011000</v>
      </c>
      <c r="H111" t="s">
        <v>394</v>
      </c>
      <c r="K111" s="1633">
        <v>2689420966313</v>
      </c>
      <c r="M111" s="1633">
        <v>2689420966313</v>
      </c>
      <c r="O111" s="1633">
        <v>0</v>
      </c>
    </row>
    <row r="112" spans="3:18">
      <c r="C112" t="s">
        <v>297</v>
      </c>
      <c r="D112" t="s">
        <v>299</v>
      </c>
      <c r="E112">
        <v>1970051000</v>
      </c>
      <c r="H112" t="s">
        <v>395</v>
      </c>
      <c r="K112" s="1633">
        <v>2321622510</v>
      </c>
      <c r="M112" s="1633">
        <v>282778029</v>
      </c>
      <c r="O112" s="1633">
        <v>2038844481</v>
      </c>
      <c r="Q112">
        <v>721</v>
      </c>
    </row>
    <row r="113" spans="3:18">
      <c r="C113" t="s">
        <v>297</v>
      </c>
      <c r="D113" t="s">
        <v>299</v>
      </c>
      <c r="E113">
        <v>1970051100</v>
      </c>
      <c r="H113" t="s">
        <v>396</v>
      </c>
      <c r="K113" s="1633">
        <v>31655651</v>
      </c>
      <c r="M113" s="1633">
        <v>2078748308</v>
      </c>
      <c r="O113" s="1633">
        <v>-2047092657</v>
      </c>
      <c r="Q113">
        <v>-98.5</v>
      </c>
    </row>
    <row r="114" spans="3:18">
      <c r="C114" t="s">
        <v>297</v>
      </c>
      <c r="D114" t="s">
        <v>299</v>
      </c>
      <c r="E114">
        <v>1970070000</v>
      </c>
      <c r="H114" t="s">
        <v>397</v>
      </c>
      <c r="K114" s="1633">
        <v>21175786763</v>
      </c>
      <c r="M114" s="1633">
        <v>20135495576</v>
      </c>
      <c r="O114" s="1633">
        <v>1040291187</v>
      </c>
      <c r="Q114">
        <v>5.2</v>
      </c>
    </row>
    <row r="115" spans="3:18">
      <c r="C115" t="s">
        <v>297</v>
      </c>
      <c r="D115" t="s">
        <v>299</v>
      </c>
      <c r="E115">
        <v>1970079999</v>
      </c>
      <c r="H115" t="s">
        <v>1436</v>
      </c>
      <c r="K115" s="1633">
        <v>0</v>
      </c>
      <c r="M115" s="1633">
        <v>-26841464</v>
      </c>
      <c r="O115" s="1633">
        <v>26841464</v>
      </c>
      <c r="Q115">
        <v>100</v>
      </c>
    </row>
    <row r="116" spans="3:18">
      <c r="C116" t="s">
        <v>297</v>
      </c>
      <c r="D116" t="s">
        <v>299</v>
      </c>
      <c r="E116">
        <v>1970080000</v>
      </c>
      <c r="H116" t="s">
        <v>398</v>
      </c>
      <c r="K116" s="1633">
        <v>7527548225</v>
      </c>
      <c r="M116" s="1633">
        <v>7527548225</v>
      </c>
      <c r="O116" s="1633">
        <v>0</v>
      </c>
    </row>
    <row r="117" spans="3:18">
      <c r="C117" t="s">
        <v>297</v>
      </c>
      <c r="D117" t="s">
        <v>299</v>
      </c>
      <c r="E117">
        <v>1970090100</v>
      </c>
      <c r="H117" t="s">
        <v>399</v>
      </c>
      <c r="K117" s="1633">
        <v>8331248477</v>
      </c>
      <c r="M117" s="1633">
        <v>7278259527</v>
      </c>
      <c r="O117" s="1633">
        <v>1052988950</v>
      </c>
      <c r="Q117">
        <v>14.5</v>
      </c>
    </row>
    <row r="118" spans="3:18">
      <c r="C118" t="s">
        <v>297</v>
      </c>
      <c r="D118" t="s">
        <v>299</v>
      </c>
      <c r="E118">
        <v>1970900100</v>
      </c>
      <c r="H118" t="s">
        <v>400</v>
      </c>
      <c r="K118" s="1633">
        <v>48513562991</v>
      </c>
      <c r="M118" s="1633">
        <v>46673628428</v>
      </c>
      <c r="O118" s="1633">
        <v>1839934563</v>
      </c>
      <c r="Q118">
        <v>3.9</v>
      </c>
    </row>
    <row r="119" spans="3:18">
      <c r="C119" t="s">
        <v>297</v>
      </c>
      <c r="D119" t="s">
        <v>299</v>
      </c>
      <c r="E119">
        <v>1975070000</v>
      </c>
      <c r="H119" t="s">
        <v>401</v>
      </c>
      <c r="K119" s="1633">
        <v>-11613223514</v>
      </c>
      <c r="M119" s="1633">
        <v>-10945124741</v>
      </c>
      <c r="O119" s="1633">
        <v>-668098773</v>
      </c>
      <c r="Q119">
        <v>-6.1</v>
      </c>
    </row>
    <row r="120" spans="3:18">
      <c r="C120" t="s">
        <v>297</v>
      </c>
      <c r="D120" t="s">
        <v>299</v>
      </c>
      <c r="E120">
        <v>1975080000</v>
      </c>
      <c r="H120" t="s">
        <v>402</v>
      </c>
      <c r="K120" s="1633">
        <v>-6699976417</v>
      </c>
      <c r="M120" s="1633">
        <v>-6594734366</v>
      </c>
      <c r="O120" s="1633">
        <v>-105242051</v>
      </c>
      <c r="Q120">
        <v>-1.6</v>
      </c>
    </row>
    <row r="121" spans="3:18">
      <c r="C121" t="s">
        <v>297</v>
      </c>
      <c r="D121" t="s">
        <v>299</v>
      </c>
      <c r="E121">
        <v>1975090000</v>
      </c>
      <c r="H121" t="s">
        <v>403</v>
      </c>
      <c r="K121" s="1633">
        <v>-365244142</v>
      </c>
      <c r="M121" s="1633">
        <v>-339758224</v>
      </c>
      <c r="O121" s="1633">
        <v>-25485918</v>
      </c>
      <c r="Q121">
        <v>-7.5</v>
      </c>
    </row>
    <row r="122" spans="3:18">
      <c r="E122" t="s">
        <v>404</v>
      </c>
      <c r="K122" s="1633">
        <v>2758643946857</v>
      </c>
      <c r="M122" s="1633">
        <v>2755490965611</v>
      </c>
      <c r="O122" s="1633">
        <v>3152981246</v>
      </c>
      <c r="Q122">
        <v>0.1</v>
      </c>
      <c r="R122" t="s">
        <v>392</v>
      </c>
    </row>
    <row r="124" spans="3:18">
      <c r="E124" t="s">
        <v>405</v>
      </c>
    </row>
    <row r="125" spans="3:18">
      <c r="E125" t="s">
        <v>2496</v>
      </c>
    </row>
    <row r="126" spans="3:18">
      <c r="C126" t="s">
        <v>297</v>
      </c>
      <c r="D126" t="s">
        <v>299</v>
      </c>
      <c r="E126">
        <v>1408013198</v>
      </c>
      <c r="H126" t="s">
        <v>2497</v>
      </c>
      <c r="K126" s="1633">
        <v>30368466362</v>
      </c>
      <c r="M126" s="1633">
        <v>0</v>
      </c>
      <c r="O126" s="1633">
        <v>30368466362</v>
      </c>
    </row>
    <row r="127" spans="3:18">
      <c r="E127" t="s">
        <v>2498</v>
      </c>
      <c r="K127" s="1633">
        <v>30368466362</v>
      </c>
      <c r="M127" s="1633">
        <v>0</v>
      </c>
      <c r="O127" s="1633">
        <v>30368466362</v>
      </c>
      <c r="R127" t="s">
        <v>362</v>
      </c>
    </row>
    <row r="128" spans="3:18">
      <c r="E128" t="s">
        <v>406</v>
      </c>
    </row>
    <row r="129" spans="3:18">
      <c r="C129" t="s">
        <v>297</v>
      </c>
      <c r="D129" t="s">
        <v>299</v>
      </c>
      <c r="E129">
        <v>1475020100</v>
      </c>
      <c r="H129" t="s">
        <v>407</v>
      </c>
      <c r="K129" s="1633">
        <v>42530625</v>
      </c>
      <c r="M129" s="1633">
        <v>42530625</v>
      </c>
      <c r="O129" s="1633">
        <v>0</v>
      </c>
    </row>
    <row r="130" spans="3:18">
      <c r="C130" t="s">
        <v>297</v>
      </c>
      <c r="D130" t="s">
        <v>299</v>
      </c>
      <c r="E130">
        <v>1475150100</v>
      </c>
      <c r="H130" t="s">
        <v>408</v>
      </c>
      <c r="K130" s="1633">
        <v>52922273295</v>
      </c>
      <c r="M130" s="1633">
        <v>52946586653</v>
      </c>
      <c r="O130" s="1633">
        <v>-24313358</v>
      </c>
    </row>
    <row r="131" spans="3:18">
      <c r="C131" t="s">
        <v>297</v>
      </c>
      <c r="D131" t="s">
        <v>299</v>
      </c>
      <c r="E131">
        <v>1475903101</v>
      </c>
      <c r="H131" t="s">
        <v>409</v>
      </c>
      <c r="K131" s="1633">
        <v>323253686</v>
      </c>
      <c r="M131" s="1633">
        <v>323253686</v>
      </c>
      <c r="O131" s="1633">
        <v>0</v>
      </c>
    </row>
    <row r="132" spans="3:18">
      <c r="C132" t="s">
        <v>297</v>
      </c>
      <c r="D132" t="s">
        <v>299</v>
      </c>
      <c r="E132">
        <v>1475909000</v>
      </c>
      <c r="H132" t="s">
        <v>410</v>
      </c>
      <c r="K132" s="1633">
        <v>402598030</v>
      </c>
      <c r="M132" s="1633">
        <v>402598030</v>
      </c>
      <c r="O132" s="1633">
        <v>0</v>
      </c>
    </row>
    <row r="133" spans="3:18">
      <c r="E133" t="s">
        <v>411</v>
      </c>
      <c r="K133" s="1633">
        <v>53690655636</v>
      </c>
      <c r="M133" s="1633">
        <v>53714968994</v>
      </c>
      <c r="O133" s="1633">
        <v>-24313358</v>
      </c>
      <c r="R133" t="s">
        <v>362</v>
      </c>
    </row>
    <row r="134" spans="3:18">
      <c r="E134" t="s">
        <v>412</v>
      </c>
    </row>
    <row r="135" spans="3:18">
      <c r="C135" t="s">
        <v>297</v>
      </c>
      <c r="D135" t="s">
        <v>299</v>
      </c>
      <c r="E135">
        <v>1470121001</v>
      </c>
      <c r="H135" t="s">
        <v>413</v>
      </c>
      <c r="K135" s="1633">
        <v>25620476048</v>
      </c>
      <c r="M135" s="1633">
        <v>25804287280</v>
      </c>
      <c r="O135" s="1633">
        <v>-183811232</v>
      </c>
      <c r="Q135">
        <v>-0.7</v>
      </c>
    </row>
    <row r="136" spans="3:18">
      <c r="C136" t="s">
        <v>297</v>
      </c>
      <c r="D136" t="s">
        <v>299</v>
      </c>
      <c r="E136">
        <v>1470121098</v>
      </c>
      <c r="H136" t="s">
        <v>414</v>
      </c>
      <c r="K136" s="1633">
        <v>-2769139246</v>
      </c>
      <c r="M136" s="1633">
        <v>-2769139246</v>
      </c>
      <c r="O136" s="1633">
        <v>0</v>
      </c>
    </row>
    <row r="137" spans="3:18">
      <c r="C137" t="s">
        <v>297</v>
      </c>
      <c r="D137" t="s">
        <v>299</v>
      </c>
      <c r="E137">
        <v>1470122001</v>
      </c>
      <c r="H137" t="s">
        <v>415</v>
      </c>
      <c r="K137" s="1633">
        <v>4349533238</v>
      </c>
      <c r="M137" s="1633">
        <v>3495064555</v>
      </c>
      <c r="O137" s="1633">
        <v>854468683</v>
      </c>
      <c r="Q137">
        <v>24.4</v>
      </c>
    </row>
    <row r="138" spans="3:18">
      <c r="C138" t="s">
        <v>297</v>
      </c>
      <c r="D138" t="s">
        <v>299</v>
      </c>
      <c r="E138">
        <v>1470125000</v>
      </c>
      <c r="H138" t="s">
        <v>416</v>
      </c>
      <c r="K138" s="1633">
        <v>1706048</v>
      </c>
      <c r="M138" s="1633">
        <v>2721955</v>
      </c>
      <c r="O138" s="1633">
        <v>-1015907</v>
      </c>
      <c r="Q138">
        <v>-37.299999999999997</v>
      </c>
    </row>
    <row r="139" spans="3:18">
      <c r="C139" t="s">
        <v>297</v>
      </c>
      <c r="D139" t="s">
        <v>299</v>
      </c>
      <c r="E139">
        <v>1470126000</v>
      </c>
      <c r="H139" t="s">
        <v>417</v>
      </c>
      <c r="K139" s="1633">
        <v>3964060</v>
      </c>
      <c r="M139" s="1633">
        <v>7861474</v>
      </c>
      <c r="O139" s="1633">
        <v>-3897414</v>
      </c>
      <c r="Q139">
        <v>-49.6</v>
      </c>
    </row>
    <row r="140" spans="3:18">
      <c r="C140" t="s">
        <v>297</v>
      </c>
      <c r="D140" t="s">
        <v>299</v>
      </c>
      <c r="E140">
        <v>1470126100</v>
      </c>
      <c r="H140" t="s">
        <v>418</v>
      </c>
      <c r="K140" s="1633">
        <v>939748107</v>
      </c>
      <c r="M140" s="1633">
        <v>1694032565</v>
      </c>
      <c r="O140" s="1633">
        <v>-754284458</v>
      </c>
      <c r="Q140">
        <v>-44.5</v>
      </c>
    </row>
    <row r="141" spans="3:18">
      <c r="C141" t="s">
        <v>297</v>
      </c>
      <c r="D141" t="s">
        <v>299</v>
      </c>
      <c r="E141">
        <v>1470128001</v>
      </c>
      <c r="H141" t="s">
        <v>419</v>
      </c>
      <c r="K141" s="1633">
        <v>197062194</v>
      </c>
      <c r="M141" s="1633">
        <v>158658151</v>
      </c>
      <c r="O141" s="1633">
        <v>38404043</v>
      </c>
      <c r="Q141">
        <v>24.2</v>
      </c>
    </row>
    <row r="142" spans="3:18">
      <c r="C142" t="s">
        <v>297</v>
      </c>
      <c r="D142" t="s">
        <v>299</v>
      </c>
      <c r="E142">
        <v>1470129010</v>
      </c>
      <c r="H142" t="s">
        <v>420</v>
      </c>
      <c r="K142" s="1633">
        <v>2272229541</v>
      </c>
      <c r="M142" s="1633">
        <v>2256150009</v>
      </c>
      <c r="O142" s="1633">
        <v>16079532</v>
      </c>
      <c r="Q142">
        <v>0.7</v>
      </c>
    </row>
    <row r="143" spans="3:18">
      <c r="C143" t="s">
        <v>297</v>
      </c>
      <c r="D143" t="s">
        <v>299</v>
      </c>
      <c r="E143">
        <v>1470129011</v>
      </c>
      <c r="H143" t="s">
        <v>421</v>
      </c>
      <c r="K143" s="1633">
        <v>71287665</v>
      </c>
      <c r="M143" s="1633">
        <v>73722422</v>
      </c>
      <c r="O143" s="1633">
        <v>-2434757</v>
      </c>
      <c r="Q143">
        <v>-3.3</v>
      </c>
    </row>
    <row r="144" spans="3:18">
      <c r="C144" t="s">
        <v>297</v>
      </c>
      <c r="D144" t="s">
        <v>299</v>
      </c>
      <c r="E144">
        <v>1470129012</v>
      </c>
      <c r="H144" t="s">
        <v>422</v>
      </c>
      <c r="K144" s="1633">
        <v>27394898</v>
      </c>
      <c r="M144" s="1633">
        <v>28515001</v>
      </c>
      <c r="O144" s="1633">
        <v>-1120103</v>
      </c>
      <c r="Q144">
        <v>-3.9</v>
      </c>
    </row>
    <row r="145" spans="3:18">
      <c r="C145" t="s">
        <v>297</v>
      </c>
      <c r="D145" t="s">
        <v>299</v>
      </c>
      <c r="E145">
        <v>1470129020</v>
      </c>
      <c r="H145" t="s">
        <v>423</v>
      </c>
      <c r="K145" s="1633">
        <v>2403502</v>
      </c>
      <c r="M145" s="1633">
        <v>2</v>
      </c>
      <c r="O145" s="1633">
        <v>2403500</v>
      </c>
      <c r="Q145" t="s">
        <v>2621</v>
      </c>
    </row>
    <row r="146" spans="3:18">
      <c r="C146" t="s">
        <v>297</v>
      </c>
      <c r="D146" t="s">
        <v>299</v>
      </c>
      <c r="E146">
        <v>1470129099</v>
      </c>
      <c r="H146" t="s">
        <v>424</v>
      </c>
      <c r="K146" s="1633">
        <v>-6384294434</v>
      </c>
      <c r="M146" s="1633">
        <v>-5791576916</v>
      </c>
      <c r="O146" s="1633">
        <v>-592717518</v>
      </c>
      <c r="Q146">
        <v>-10.199999999999999</v>
      </c>
    </row>
    <row r="147" spans="3:18">
      <c r="E147" t="s">
        <v>425</v>
      </c>
      <c r="K147" s="1633">
        <v>24332371621</v>
      </c>
      <c r="M147" s="1633">
        <v>24960297252</v>
      </c>
      <c r="O147" s="1633">
        <v>-627925631</v>
      </c>
      <c r="Q147">
        <v>-2.5</v>
      </c>
      <c r="R147" t="s">
        <v>362</v>
      </c>
    </row>
    <row r="148" spans="3:18">
      <c r="E148" t="s">
        <v>1325</v>
      </c>
    </row>
    <row r="149" spans="3:18">
      <c r="C149" t="s">
        <v>297</v>
      </c>
      <c r="D149" t="s">
        <v>299</v>
      </c>
      <c r="E149">
        <v>1470753000</v>
      </c>
      <c r="H149" t="s">
        <v>1</v>
      </c>
      <c r="K149" s="1633">
        <v>2005562658665</v>
      </c>
      <c r="M149" s="1633">
        <v>1999422295554</v>
      </c>
      <c r="O149" s="1633">
        <v>6140363111</v>
      </c>
      <c r="Q149">
        <v>0.3</v>
      </c>
    </row>
    <row r="150" spans="3:18">
      <c r="E150" t="s">
        <v>1326</v>
      </c>
      <c r="K150" s="1633">
        <v>2005562658665</v>
      </c>
      <c r="M150" s="1633">
        <v>1999422295554</v>
      </c>
      <c r="O150" s="1633">
        <v>6140363111</v>
      </c>
      <c r="Q150">
        <v>0.3</v>
      </c>
      <c r="R150" t="s">
        <v>362</v>
      </c>
    </row>
    <row r="151" spans="3:18">
      <c r="E151" t="s">
        <v>426</v>
      </c>
    </row>
    <row r="152" spans="3:18">
      <c r="C152" t="s">
        <v>297</v>
      </c>
      <c r="D152" t="s">
        <v>299</v>
      </c>
      <c r="E152">
        <v>1480030100</v>
      </c>
      <c r="H152" t="s">
        <v>427</v>
      </c>
      <c r="K152" s="1633">
        <v>-113641211</v>
      </c>
      <c r="M152" s="1633">
        <v>-113641211</v>
      </c>
      <c r="O152" s="1633">
        <v>0</v>
      </c>
    </row>
    <row r="153" spans="3:18">
      <c r="C153" t="s">
        <v>297</v>
      </c>
      <c r="D153" t="s">
        <v>299</v>
      </c>
      <c r="E153">
        <v>1480190100</v>
      </c>
      <c r="H153" t="s">
        <v>428</v>
      </c>
      <c r="K153" s="1633">
        <v>-52922273295</v>
      </c>
      <c r="M153" s="1633">
        <v>-52946586653</v>
      </c>
      <c r="O153" s="1633">
        <v>24313358</v>
      </c>
    </row>
    <row r="154" spans="3:18">
      <c r="C154" t="s">
        <v>297</v>
      </c>
      <c r="D154" t="s">
        <v>299</v>
      </c>
      <c r="E154">
        <v>1480900000</v>
      </c>
      <c r="H154" t="s">
        <v>429</v>
      </c>
      <c r="K154" s="1633">
        <v>-725851716</v>
      </c>
      <c r="M154" s="1633">
        <v>-725851716</v>
      </c>
      <c r="O154" s="1633">
        <v>0</v>
      </c>
    </row>
    <row r="155" spans="3:18">
      <c r="E155" t="s">
        <v>430</v>
      </c>
      <c r="K155" s="1633">
        <v>-53761766222</v>
      </c>
      <c r="M155" s="1633">
        <v>-53786079580</v>
      </c>
      <c r="O155" s="1633">
        <v>24313358</v>
      </c>
      <c r="R155" t="s">
        <v>362</v>
      </c>
    </row>
    <row r="156" spans="3:18">
      <c r="E156" t="s">
        <v>431</v>
      </c>
      <c r="K156" s="1633">
        <v>2060192386062</v>
      </c>
      <c r="M156" s="1633">
        <v>2024311482220</v>
      </c>
      <c r="O156" s="1633">
        <v>35880903842</v>
      </c>
      <c r="Q156">
        <v>1.8</v>
      </c>
      <c r="R156" t="s">
        <v>392</v>
      </c>
    </row>
    <row r="158" spans="3:18">
      <c r="E158" t="s">
        <v>432</v>
      </c>
    </row>
    <row r="159" spans="3:18">
      <c r="E159" t="s">
        <v>433</v>
      </c>
    </row>
    <row r="160" spans="3:18">
      <c r="C160" t="s">
        <v>297</v>
      </c>
      <c r="D160" t="s">
        <v>299</v>
      </c>
      <c r="E160">
        <v>1207510100</v>
      </c>
      <c r="H160" t="s">
        <v>434</v>
      </c>
      <c r="K160" s="1633">
        <v>320193252</v>
      </c>
      <c r="M160" s="1633">
        <v>320193252</v>
      </c>
      <c r="O160" s="1633">
        <v>0</v>
      </c>
    </row>
    <row r="161" spans="3:18">
      <c r="C161" t="s">
        <v>297</v>
      </c>
      <c r="D161" t="s">
        <v>299</v>
      </c>
      <c r="E161">
        <v>1207510200</v>
      </c>
      <c r="H161" t="s">
        <v>435</v>
      </c>
      <c r="K161" s="1633">
        <v>84000000</v>
      </c>
      <c r="M161" s="1633">
        <v>84000000</v>
      </c>
      <c r="O161" s="1633">
        <v>0</v>
      </c>
    </row>
    <row r="162" spans="3:18">
      <c r="C162" t="s">
        <v>297</v>
      </c>
      <c r="D162" t="s">
        <v>299</v>
      </c>
      <c r="E162">
        <v>1207550100</v>
      </c>
      <c r="H162" t="s">
        <v>436</v>
      </c>
      <c r="K162" s="1633">
        <v>2106269267</v>
      </c>
      <c r="M162" s="1633">
        <v>2106269267</v>
      </c>
      <c r="O162" s="1633">
        <v>0</v>
      </c>
    </row>
    <row r="163" spans="3:18">
      <c r="E163" t="s">
        <v>437</v>
      </c>
      <c r="K163" s="1633">
        <v>2510462519</v>
      </c>
      <c r="M163" s="1633">
        <v>2510462519</v>
      </c>
      <c r="O163" s="1633">
        <v>0</v>
      </c>
      <c r="R163" t="s">
        <v>362</v>
      </c>
    </row>
    <row r="164" spans="3:18">
      <c r="E164" t="s">
        <v>438</v>
      </c>
    </row>
    <row r="165" spans="3:18">
      <c r="C165" t="s">
        <v>297</v>
      </c>
      <c r="D165" t="s">
        <v>299</v>
      </c>
      <c r="E165">
        <v>1280340100</v>
      </c>
      <c r="H165" t="s">
        <v>439</v>
      </c>
      <c r="K165" s="1633">
        <v>-2426462519</v>
      </c>
      <c r="M165" s="1633">
        <v>-2426462519</v>
      </c>
      <c r="O165" s="1633">
        <v>0</v>
      </c>
    </row>
    <row r="166" spans="3:18">
      <c r="E166" t="s">
        <v>438</v>
      </c>
      <c r="K166" s="1633">
        <v>-2426462519</v>
      </c>
      <c r="M166" s="1633">
        <v>-2426462519</v>
      </c>
      <c r="O166" s="1633">
        <v>0</v>
      </c>
      <c r="R166" t="s">
        <v>362</v>
      </c>
    </row>
    <row r="167" spans="3:18">
      <c r="E167" t="s">
        <v>440</v>
      </c>
      <c r="K167" s="1633">
        <v>84000000</v>
      </c>
      <c r="M167" s="1633">
        <v>84000000</v>
      </c>
      <c r="O167" s="1633">
        <v>0</v>
      </c>
      <c r="R167" t="s">
        <v>392</v>
      </c>
    </row>
    <row r="169" spans="3:18">
      <c r="E169" t="s">
        <v>441</v>
      </c>
    </row>
    <row r="170" spans="3:18">
      <c r="C170" t="s">
        <v>297</v>
      </c>
      <c r="D170" t="s">
        <v>299</v>
      </c>
      <c r="E170">
        <v>1110060011</v>
      </c>
      <c r="H170" t="s">
        <v>442</v>
      </c>
      <c r="K170" s="1633">
        <v>2266580655</v>
      </c>
      <c r="M170" s="1633">
        <v>2158541977</v>
      </c>
      <c r="O170" s="1633">
        <v>108038678</v>
      </c>
      <c r="Q170">
        <v>5</v>
      </c>
    </row>
    <row r="171" spans="3:18">
      <c r="E171" t="s">
        <v>443</v>
      </c>
      <c r="K171" s="1633">
        <v>2266580655</v>
      </c>
      <c r="M171" s="1633">
        <v>2158541977</v>
      </c>
      <c r="O171" s="1633">
        <v>108038678</v>
      </c>
      <c r="Q171">
        <v>5</v>
      </c>
      <c r="R171" t="s">
        <v>392</v>
      </c>
    </row>
    <row r="173" spans="3:18">
      <c r="E173" t="s">
        <v>444</v>
      </c>
    </row>
    <row r="174" spans="3:18">
      <c r="C174" t="s">
        <v>297</v>
      </c>
      <c r="D174" t="s">
        <v>299</v>
      </c>
      <c r="E174">
        <v>1217010998</v>
      </c>
      <c r="H174" t="s">
        <v>445</v>
      </c>
      <c r="K174" s="1633">
        <v>50814574887</v>
      </c>
      <c r="M174" s="1633">
        <v>80114791251</v>
      </c>
      <c r="O174" s="1633">
        <v>-29300216364</v>
      </c>
      <c r="Q174">
        <v>-36.6</v>
      </c>
    </row>
    <row r="175" spans="3:18">
      <c r="C175" t="s">
        <v>297</v>
      </c>
      <c r="D175" t="s">
        <v>299</v>
      </c>
      <c r="E175">
        <v>1217011998</v>
      </c>
      <c r="H175" t="s">
        <v>1327</v>
      </c>
      <c r="K175" s="1633">
        <v>122812661660</v>
      </c>
      <c r="M175" s="1633">
        <v>148074703605</v>
      </c>
      <c r="O175" s="1633">
        <v>-25262041945</v>
      </c>
      <c r="Q175">
        <v>-17.100000000000001</v>
      </c>
    </row>
    <row r="176" spans="3:18">
      <c r="E176" t="s">
        <v>446</v>
      </c>
      <c r="K176" s="1633">
        <v>173627236547</v>
      </c>
      <c r="M176" s="1633">
        <v>228189494856</v>
      </c>
      <c r="O176" s="1633">
        <v>-54562258309</v>
      </c>
      <c r="Q176">
        <v>-23.9</v>
      </c>
      <c r="R176" t="s">
        <v>392</v>
      </c>
    </row>
    <row r="178" spans="3:18">
      <c r="E178" t="s">
        <v>447</v>
      </c>
    </row>
    <row r="179" spans="3:18">
      <c r="C179" t="s">
        <v>297</v>
      </c>
      <c r="D179" t="s">
        <v>299</v>
      </c>
      <c r="E179">
        <v>1510020000</v>
      </c>
      <c r="H179" t="s">
        <v>448</v>
      </c>
      <c r="K179" s="1633">
        <v>0</v>
      </c>
      <c r="M179" s="1633">
        <v>949945003</v>
      </c>
      <c r="O179" s="1633">
        <v>-949945003</v>
      </c>
      <c r="Q179">
        <v>-100</v>
      </c>
    </row>
    <row r="180" spans="3:18">
      <c r="C180" t="s">
        <v>297</v>
      </c>
      <c r="D180" t="s">
        <v>299</v>
      </c>
      <c r="E180">
        <v>1910081000</v>
      </c>
      <c r="H180" t="s">
        <v>449</v>
      </c>
      <c r="K180" s="1633">
        <v>0</v>
      </c>
      <c r="M180" s="1633">
        <v>235040</v>
      </c>
      <c r="O180" s="1633">
        <v>-235040</v>
      </c>
      <c r="Q180">
        <v>-100</v>
      </c>
    </row>
    <row r="181" spans="3:18">
      <c r="E181" t="s">
        <v>450</v>
      </c>
      <c r="K181" s="1633">
        <v>0</v>
      </c>
      <c r="M181" s="1633">
        <v>950180043</v>
      </c>
      <c r="O181" s="1633">
        <v>-950180043</v>
      </c>
      <c r="Q181">
        <v>-100</v>
      </c>
      <c r="R181" t="s">
        <v>392</v>
      </c>
    </row>
    <row r="183" spans="3:18">
      <c r="E183" t="s">
        <v>451</v>
      </c>
      <c r="K183" s="1633">
        <v>22322114622929</v>
      </c>
      <c r="M183" s="1633">
        <v>22376499841681</v>
      </c>
      <c r="O183" s="1633">
        <v>-54385218752</v>
      </c>
      <c r="Q183">
        <v>-0.2</v>
      </c>
      <c r="R183" t="s">
        <v>452</v>
      </c>
    </row>
    <row r="185" spans="3:18">
      <c r="E185" t="s">
        <v>453</v>
      </c>
    </row>
    <row r="186" spans="3:18">
      <c r="E186" t="s">
        <v>454</v>
      </c>
    </row>
    <row r="187" spans="3:18">
      <c r="C187" t="s">
        <v>297</v>
      </c>
      <c r="D187" t="s">
        <v>299</v>
      </c>
      <c r="E187">
        <v>1518000994</v>
      </c>
      <c r="H187" t="s">
        <v>1437</v>
      </c>
      <c r="K187" s="1633">
        <v>0</v>
      </c>
      <c r="M187" s="1633">
        <v>-11475359127</v>
      </c>
      <c r="O187" s="1633">
        <v>11475359127</v>
      </c>
      <c r="Q187">
        <v>100</v>
      </c>
    </row>
    <row r="188" spans="3:18">
      <c r="C188" t="s">
        <v>297</v>
      </c>
      <c r="D188" t="s">
        <v>299</v>
      </c>
      <c r="E188">
        <v>1518000998</v>
      </c>
      <c r="H188" t="s">
        <v>455</v>
      </c>
      <c r="K188" s="1633">
        <v>-22629122389</v>
      </c>
      <c r="M188" s="1633">
        <v>-39525816230</v>
      </c>
      <c r="O188" s="1633">
        <v>16896693841</v>
      </c>
      <c r="Q188">
        <v>42.7</v>
      </c>
    </row>
    <row r="189" spans="3:18">
      <c r="C189" t="s">
        <v>297</v>
      </c>
      <c r="D189" t="s">
        <v>299</v>
      </c>
      <c r="E189">
        <v>1518080100</v>
      </c>
      <c r="H189" t="s">
        <v>456</v>
      </c>
      <c r="K189" s="1633">
        <v>4461348</v>
      </c>
      <c r="M189" s="1633">
        <v>12214497</v>
      </c>
      <c r="O189" s="1633">
        <v>-7753149</v>
      </c>
      <c r="Q189">
        <v>-63.5</v>
      </c>
    </row>
    <row r="190" spans="3:18">
      <c r="C190" t="s">
        <v>297</v>
      </c>
      <c r="D190" t="s">
        <v>299</v>
      </c>
      <c r="E190">
        <v>1518080200</v>
      </c>
      <c r="H190" t="s">
        <v>457</v>
      </c>
      <c r="K190" s="1633">
        <v>8879827</v>
      </c>
      <c r="M190" s="1633">
        <v>10111964</v>
      </c>
      <c r="O190" s="1633">
        <v>-1232137</v>
      </c>
      <c r="Q190">
        <v>-12.2</v>
      </c>
    </row>
    <row r="191" spans="3:18">
      <c r="C191" t="s">
        <v>297</v>
      </c>
      <c r="D191" t="s">
        <v>299</v>
      </c>
      <c r="E191">
        <v>1518080300</v>
      </c>
      <c r="H191" t="s">
        <v>458</v>
      </c>
      <c r="K191" s="1633">
        <v>191923</v>
      </c>
      <c r="M191" s="1633">
        <v>252475</v>
      </c>
      <c r="O191" s="1633">
        <v>-60552</v>
      </c>
      <c r="Q191">
        <v>-24</v>
      </c>
    </row>
    <row r="192" spans="3:18">
      <c r="C192" t="s">
        <v>297</v>
      </c>
      <c r="D192" t="s">
        <v>299</v>
      </c>
      <c r="E192">
        <v>1518080400</v>
      </c>
      <c r="H192" t="s">
        <v>459</v>
      </c>
      <c r="K192" s="1633">
        <v>339858728</v>
      </c>
      <c r="M192" s="1633">
        <v>364467871</v>
      </c>
      <c r="O192" s="1633">
        <v>-24609143</v>
      </c>
      <c r="Q192">
        <v>-6.8</v>
      </c>
    </row>
    <row r="193" spans="3:18">
      <c r="C193" t="s">
        <v>297</v>
      </c>
      <c r="D193" t="s">
        <v>299</v>
      </c>
      <c r="E193">
        <v>1518080500</v>
      </c>
      <c r="H193" t="s">
        <v>460</v>
      </c>
      <c r="K193" s="1633">
        <v>69368</v>
      </c>
      <c r="M193" s="1633">
        <v>69368</v>
      </c>
      <c r="O193" s="1633">
        <v>0</v>
      </c>
    </row>
    <row r="194" spans="3:18">
      <c r="C194" t="s">
        <v>297</v>
      </c>
      <c r="D194" t="s">
        <v>299</v>
      </c>
      <c r="E194">
        <v>1518080700</v>
      </c>
      <c r="H194" t="s">
        <v>461</v>
      </c>
      <c r="K194" s="1633">
        <v>10167402</v>
      </c>
      <c r="M194" s="1633">
        <v>16277753</v>
      </c>
      <c r="O194" s="1633">
        <v>-6110351</v>
      </c>
      <c r="Q194">
        <v>-37.5</v>
      </c>
    </row>
    <row r="195" spans="3:18">
      <c r="C195" t="s">
        <v>297</v>
      </c>
      <c r="D195" t="s">
        <v>299</v>
      </c>
      <c r="E195">
        <v>1518080900</v>
      </c>
      <c r="H195" t="s">
        <v>462</v>
      </c>
      <c r="K195" s="1633">
        <v>19127284169</v>
      </c>
      <c r="M195" s="1633">
        <v>29667959611</v>
      </c>
      <c r="O195" s="1633">
        <v>-10540675442</v>
      </c>
      <c r="Q195">
        <v>-35.5</v>
      </c>
    </row>
    <row r="196" spans="3:18">
      <c r="C196" t="s">
        <v>297</v>
      </c>
      <c r="D196" t="s">
        <v>299</v>
      </c>
      <c r="E196">
        <v>1518081000</v>
      </c>
      <c r="H196" t="s">
        <v>463</v>
      </c>
      <c r="K196" s="1633">
        <v>32888280713</v>
      </c>
      <c r="M196" s="1633">
        <v>48945569236</v>
      </c>
      <c r="O196" s="1633">
        <v>-16057288523</v>
      </c>
      <c r="Q196">
        <v>-32.799999999999997</v>
      </c>
    </row>
    <row r="197" spans="3:18">
      <c r="C197" t="s">
        <v>297</v>
      </c>
      <c r="D197" t="s">
        <v>299</v>
      </c>
      <c r="E197">
        <v>1518081010</v>
      </c>
      <c r="H197" t="s">
        <v>1328</v>
      </c>
      <c r="K197" s="1633">
        <v>285324640</v>
      </c>
      <c r="M197" s="1633">
        <v>421649120</v>
      </c>
      <c r="O197" s="1633">
        <v>-136324480</v>
      </c>
      <c r="Q197">
        <v>-32.299999999999997</v>
      </c>
    </row>
    <row r="198" spans="3:18">
      <c r="C198" t="s">
        <v>297</v>
      </c>
      <c r="D198" t="s">
        <v>299</v>
      </c>
      <c r="E198">
        <v>1518081100</v>
      </c>
      <c r="H198" t="s">
        <v>464</v>
      </c>
      <c r="K198" s="1633">
        <v>4902798</v>
      </c>
      <c r="M198" s="1633">
        <v>8927777</v>
      </c>
      <c r="O198" s="1633">
        <v>-4024979</v>
      </c>
      <c r="Q198">
        <v>-45.1</v>
      </c>
    </row>
    <row r="199" spans="3:18">
      <c r="E199" t="s">
        <v>465</v>
      </c>
      <c r="K199" s="1633">
        <v>30040298527</v>
      </c>
      <c r="M199" s="1633">
        <v>28446324315</v>
      </c>
      <c r="O199" s="1633">
        <v>1593974212</v>
      </c>
      <c r="Q199">
        <v>5.6</v>
      </c>
      <c r="R199" t="s">
        <v>362</v>
      </c>
    </row>
    <row r="200" spans="3:18">
      <c r="E200" t="s">
        <v>466</v>
      </c>
    </row>
    <row r="201" spans="3:18">
      <c r="C201" t="s">
        <v>297</v>
      </c>
      <c r="D201" t="s">
        <v>299</v>
      </c>
      <c r="E201">
        <v>1580090111</v>
      </c>
      <c r="H201" t="s">
        <v>467</v>
      </c>
      <c r="K201" s="1633">
        <v>-1759595055</v>
      </c>
      <c r="M201" s="1633">
        <v>-1879141018</v>
      </c>
      <c r="O201" s="1633">
        <v>119545963</v>
      </c>
      <c r="Q201">
        <v>6.4</v>
      </c>
    </row>
    <row r="202" spans="3:18">
      <c r="C202" t="s">
        <v>297</v>
      </c>
      <c r="D202" t="s">
        <v>299</v>
      </c>
      <c r="E202">
        <v>1580090194</v>
      </c>
      <c r="H202" t="s">
        <v>1438</v>
      </c>
      <c r="K202" s="1633">
        <v>0</v>
      </c>
      <c r="M202" s="1633">
        <v>84843575</v>
      </c>
      <c r="O202" s="1633">
        <v>-84843575</v>
      </c>
      <c r="Q202">
        <v>-100</v>
      </c>
    </row>
    <row r="203" spans="3:18">
      <c r="C203" t="s">
        <v>297</v>
      </c>
      <c r="D203" t="s">
        <v>299</v>
      </c>
      <c r="E203">
        <v>1580090196</v>
      </c>
      <c r="H203" t="s">
        <v>468</v>
      </c>
      <c r="K203" s="1633">
        <v>1202317311</v>
      </c>
      <c r="M203" s="1633">
        <v>1237019699</v>
      </c>
      <c r="O203" s="1633">
        <v>-34702388</v>
      </c>
      <c r="Q203">
        <v>-2.8</v>
      </c>
    </row>
    <row r="204" spans="3:18">
      <c r="E204" t="s">
        <v>469</v>
      </c>
      <c r="K204" s="1633">
        <v>-557277744</v>
      </c>
      <c r="M204" s="1633">
        <v>-557277744</v>
      </c>
      <c r="O204" s="1633">
        <v>0</v>
      </c>
      <c r="R204" t="s">
        <v>362</v>
      </c>
    </row>
    <row r="205" spans="3:18">
      <c r="E205" t="s">
        <v>470</v>
      </c>
      <c r="K205" s="1633">
        <v>29483020783</v>
      </c>
      <c r="M205" s="1633">
        <v>27889046571</v>
      </c>
      <c r="O205" s="1633">
        <v>1593974212</v>
      </c>
      <c r="Q205">
        <v>5.7</v>
      </c>
      <c r="R205" t="s">
        <v>392</v>
      </c>
    </row>
    <row r="207" spans="3:18">
      <c r="E207" t="s">
        <v>471</v>
      </c>
    </row>
    <row r="208" spans="3:18">
      <c r="E208" t="s">
        <v>472</v>
      </c>
    </row>
    <row r="209" spans="3:18">
      <c r="C209" t="s">
        <v>297</v>
      </c>
      <c r="D209" t="s">
        <v>299</v>
      </c>
      <c r="E209">
        <v>1407170100</v>
      </c>
      <c r="H209" t="s">
        <v>473</v>
      </c>
      <c r="K209" s="1633">
        <v>27233460</v>
      </c>
      <c r="M209" s="1633">
        <v>17121868</v>
      </c>
      <c r="O209" s="1633">
        <v>10111592</v>
      </c>
      <c r="Q209">
        <v>59.1</v>
      </c>
    </row>
    <row r="210" spans="3:18">
      <c r="C210" t="s">
        <v>297</v>
      </c>
      <c r="D210" t="s">
        <v>299</v>
      </c>
      <c r="E210">
        <v>1408013101</v>
      </c>
      <c r="H210" t="s">
        <v>474</v>
      </c>
      <c r="K210" s="1633">
        <v>189076252893</v>
      </c>
      <c r="M210" s="1633">
        <v>202313283470</v>
      </c>
      <c r="O210" s="1633">
        <v>-13237030577</v>
      </c>
      <c r="Q210">
        <v>-6.5</v>
      </c>
    </row>
    <row r="211" spans="3:18">
      <c r="C211" t="s">
        <v>297</v>
      </c>
      <c r="D211" t="s">
        <v>299</v>
      </c>
      <c r="E211">
        <v>1408013103</v>
      </c>
      <c r="H211" t="s">
        <v>475</v>
      </c>
      <c r="K211" s="1633">
        <v>148261202631</v>
      </c>
      <c r="M211" s="1633">
        <v>187278729160</v>
      </c>
      <c r="O211" s="1633">
        <v>-39017526529</v>
      </c>
      <c r="Q211">
        <v>-20.8</v>
      </c>
    </row>
    <row r="212" spans="3:18">
      <c r="C212" t="s">
        <v>297</v>
      </c>
      <c r="D212" t="s">
        <v>299</v>
      </c>
      <c r="E212">
        <v>1408013104</v>
      </c>
      <c r="H212" t="s">
        <v>476</v>
      </c>
      <c r="K212" s="1633">
        <v>24041043135</v>
      </c>
      <c r="M212" s="1633">
        <v>7448096452</v>
      </c>
      <c r="O212" s="1633">
        <v>16592946683</v>
      </c>
      <c r="Q212">
        <v>222.8</v>
      </c>
    </row>
    <row r="213" spans="3:18">
      <c r="C213" t="s">
        <v>297</v>
      </c>
      <c r="D213" t="s">
        <v>299</v>
      </c>
      <c r="E213">
        <v>1408013190</v>
      </c>
      <c r="H213" t="s">
        <v>477</v>
      </c>
      <c r="K213" s="1633">
        <v>291849673052</v>
      </c>
      <c r="M213" s="1633">
        <v>342495763623</v>
      </c>
      <c r="O213" s="1633">
        <v>-50646090571</v>
      </c>
      <c r="Q213">
        <v>-14.8</v>
      </c>
    </row>
    <row r="214" spans="3:18">
      <c r="C214" t="s">
        <v>297</v>
      </c>
      <c r="D214" t="s">
        <v>299</v>
      </c>
      <c r="E214">
        <v>1408013197</v>
      </c>
      <c r="H214" t="s">
        <v>2499</v>
      </c>
      <c r="K214" s="1633">
        <v>-30368466362</v>
      </c>
      <c r="M214" s="1633">
        <v>0</v>
      </c>
      <c r="O214" s="1633">
        <v>-30368466362</v>
      </c>
    </row>
    <row r="215" spans="3:18">
      <c r="C215" t="s">
        <v>297</v>
      </c>
      <c r="D215" t="s">
        <v>299</v>
      </c>
      <c r="E215">
        <v>1408013401</v>
      </c>
      <c r="H215" t="s">
        <v>478</v>
      </c>
      <c r="K215" s="1633">
        <v>123737188841</v>
      </c>
      <c r="M215" s="1633">
        <v>112068492112</v>
      </c>
      <c r="O215" s="1633">
        <v>11668696729</v>
      </c>
      <c r="Q215">
        <v>10.4</v>
      </c>
    </row>
    <row r="216" spans="3:18">
      <c r="C216" t="s">
        <v>297</v>
      </c>
      <c r="D216" t="s">
        <v>299</v>
      </c>
      <c r="E216">
        <v>1470830100</v>
      </c>
      <c r="H216" t="s">
        <v>1385</v>
      </c>
      <c r="K216" s="1633">
        <v>156581266</v>
      </c>
      <c r="M216" s="1633">
        <v>85207315</v>
      </c>
      <c r="O216" s="1633">
        <v>71373951</v>
      </c>
      <c r="Q216">
        <v>83.8</v>
      </c>
    </row>
    <row r="217" spans="3:18">
      <c r="C217" t="s">
        <v>297</v>
      </c>
      <c r="D217" t="s">
        <v>299</v>
      </c>
      <c r="E217">
        <v>1470830200</v>
      </c>
      <c r="H217" t="s">
        <v>479</v>
      </c>
      <c r="K217" s="1633">
        <v>602118</v>
      </c>
      <c r="M217" s="1633">
        <v>484879</v>
      </c>
      <c r="O217" s="1633">
        <v>117239</v>
      </c>
      <c r="Q217">
        <v>24.2</v>
      </c>
    </row>
    <row r="218" spans="3:18">
      <c r="C218" t="s">
        <v>297</v>
      </c>
      <c r="D218" t="s">
        <v>299</v>
      </c>
      <c r="E218">
        <v>1470830700</v>
      </c>
      <c r="H218" t="s">
        <v>1405</v>
      </c>
      <c r="K218" s="1633">
        <v>381043337</v>
      </c>
      <c r="M218" s="1633">
        <v>48651720</v>
      </c>
      <c r="O218" s="1633">
        <v>332391617</v>
      </c>
      <c r="Q218">
        <v>683.2</v>
      </c>
    </row>
    <row r="219" spans="3:18">
      <c r="C219" t="s">
        <v>297</v>
      </c>
      <c r="D219" t="s">
        <v>299</v>
      </c>
      <c r="E219">
        <v>1470831100</v>
      </c>
      <c r="H219" t="s">
        <v>1439</v>
      </c>
      <c r="K219" s="1633">
        <v>170604</v>
      </c>
      <c r="M219" s="1633">
        <v>61136</v>
      </c>
      <c r="O219" s="1633">
        <v>109468</v>
      </c>
      <c r="Q219">
        <v>179.1</v>
      </c>
    </row>
    <row r="220" spans="3:18">
      <c r="E220" t="s">
        <v>480</v>
      </c>
      <c r="K220" s="1633">
        <v>747162524975</v>
      </c>
      <c r="M220" s="1633">
        <v>851755891735</v>
      </c>
      <c r="O220" s="1633">
        <v>-104593366760</v>
      </c>
      <c r="Q220">
        <v>-12.3</v>
      </c>
      <c r="R220" t="s">
        <v>362</v>
      </c>
    </row>
    <row r="221" spans="3:18">
      <c r="E221" t="s">
        <v>481</v>
      </c>
    </row>
    <row r="222" spans="3:18">
      <c r="C222" t="s">
        <v>297</v>
      </c>
      <c r="D222" t="s">
        <v>299</v>
      </c>
      <c r="E222">
        <v>1470750000</v>
      </c>
      <c r="H222" t="s">
        <v>482</v>
      </c>
      <c r="K222" s="1633">
        <v>17582581</v>
      </c>
      <c r="M222" s="1633">
        <v>17582581</v>
      </c>
      <c r="O222" s="1633">
        <v>0</v>
      </c>
    </row>
    <row r="223" spans="3:18">
      <c r="C223" t="s">
        <v>297</v>
      </c>
      <c r="D223" t="s">
        <v>299</v>
      </c>
      <c r="E223">
        <v>1470753099</v>
      </c>
      <c r="H223" t="s">
        <v>1</v>
      </c>
      <c r="K223" s="1633">
        <v>155550500000</v>
      </c>
      <c r="M223" s="1633">
        <v>28570500000</v>
      </c>
      <c r="O223" s="1633">
        <v>126980000000</v>
      </c>
      <c r="Q223">
        <v>444.4</v>
      </c>
    </row>
    <row r="224" spans="3:18">
      <c r="E224" t="s">
        <v>483</v>
      </c>
      <c r="K224" s="1633">
        <v>155568082581</v>
      </c>
      <c r="M224" s="1633">
        <v>28588082581</v>
      </c>
      <c r="O224" s="1633">
        <v>126980000000</v>
      </c>
      <c r="Q224">
        <v>444.2</v>
      </c>
      <c r="R224" t="s">
        <v>362</v>
      </c>
    </row>
    <row r="225" spans="3:18">
      <c r="E225" t="s">
        <v>484</v>
      </c>
    </row>
    <row r="226" spans="3:18">
      <c r="C226" t="s">
        <v>297</v>
      </c>
      <c r="D226" t="s">
        <v>299</v>
      </c>
      <c r="E226">
        <v>1470121099</v>
      </c>
      <c r="H226" t="s">
        <v>485</v>
      </c>
      <c r="K226" s="1633">
        <v>2769139246</v>
      </c>
      <c r="M226" s="1633">
        <v>2769139246</v>
      </c>
      <c r="O226" s="1633">
        <v>0</v>
      </c>
    </row>
    <row r="227" spans="3:18">
      <c r="C227" t="s">
        <v>297</v>
      </c>
      <c r="D227" t="s">
        <v>299</v>
      </c>
      <c r="E227">
        <v>1470124001</v>
      </c>
      <c r="H227" t="s">
        <v>486</v>
      </c>
      <c r="K227" s="1633">
        <v>288904</v>
      </c>
      <c r="M227" s="1633">
        <v>866680</v>
      </c>
      <c r="O227" s="1633">
        <v>-577776</v>
      </c>
      <c r="Q227">
        <v>-66.7</v>
      </c>
    </row>
    <row r="228" spans="3:18">
      <c r="C228" t="s">
        <v>297</v>
      </c>
      <c r="D228" t="s">
        <v>299</v>
      </c>
      <c r="E228">
        <v>1470124003</v>
      </c>
      <c r="H228" t="s">
        <v>1264</v>
      </c>
      <c r="K228" s="1633">
        <v>593999</v>
      </c>
      <c r="M228" s="1633">
        <v>2077501</v>
      </c>
      <c r="O228" s="1633">
        <v>-1483502</v>
      </c>
      <c r="Q228">
        <v>-71.400000000000006</v>
      </c>
    </row>
    <row r="229" spans="3:18">
      <c r="C229" t="s">
        <v>297</v>
      </c>
      <c r="D229" t="s">
        <v>299</v>
      </c>
      <c r="E229">
        <v>1470129080</v>
      </c>
      <c r="H229" t="s">
        <v>487</v>
      </c>
      <c r="K229" s="1633">
        <v>4156667</v>
      </c>
      <c r="M229" s="1633">
        <v>2801696</v>
      </c>
      <c r="O229" s="1633">
        <v>1354971</v>
      </c>
      <c r="Q229">
        <v>48.4</v>
      </c>
    </row>
    <row r="230" spans="3:18">
      <c r="C230" t="s">
        <v>297</v>
      </c>
      <c r="D230" t="s">
        <v>299</v>
      </c>
      <c r="E230">
        <v>1470830501</v>
      </c>
      <c r="H230" t="s">
        <v>488</v>
      </c>
      <c r="K230" s="1633">
        <v>466605181</v>
      </c>
      <c r="M230" s="1633">
        <v>7571364</v>
      </c>
      <c r="O230" s="1633">
        <v>459033817</v>
      </c>
      <c r="Q230">
        <v>6062.8</v>
      </c>
    </row>
    <row r="231" spans="3:18">
      <c r="E231" t="s">
        <v>489</v>
      </c>
      <c r="K231" s="1633">
        <v>3240783997</v>
      </c>
      <c r="M231" s="1633">
        <v>2782456487</v>
      </c>
      <c r="O231" s="1633">
        <v>458327510</v>
      </c>
      <c r="Q231">
        <v>16.5</v>
      </c>
      <c r="R231" t="s">
        <v>362</v>
      </c>
    </row>
    <row r="232" spans="3:18">
      <c r="E232" t="s">
        <v>490</v>
      </c>
    </row>
    <row r="233" spans="3:18">
      <c r="C233" t="s">
        <v>297</v>
      </c>
      <c r="D233" t="s">
        <v>299</v>
      </c>
      <c r="E233">
        <v>1420110000</v>
      </c>
      <c r="H233" t="s">
        <v>491</v>
      </c>
      <c r="K233" s="1633">
        <v>15301330</v>
      </c>
      <c r="M233" s="1633">
        <v>4888000</v>
      </c>
      <c r="O233" s="1633">
        <v>10413330</v>
      </c>
      <c r="Q233">
        <v>213</v>
      </c>
    </row>
    <row r="234" spans="3:18">
      <c r="C234" t="s">
        <v>297</v>
      </c>
      <c r="D234" t="s">
        <v>299</v>
      </c>
      <c r="E234">
        <v>1420909500</v>
      </c>
      <c r="H234" t="s">
        <v>2</v>
      </c>
      <c r="K234" s="1633">
        <v>-19509</v>
      </c>
      <c r="M234" s="1633">
        <v>6502526</v>
      </c>
      <c r="O234" s="1633">
        <v>-6522035</v>
      </c>
      <c r="Q234">
        <v>-100.3</v>
      </c>
    </row>
    <row r="235" spans="3:18">
      <c r="E235" t="s">
        <v>492</v>
      </c>
      <c r="K235" s="1633">
        <v>15281821</v>
      </c>
      <c r="M235" s="1633">
        <v>11390526</v>
      </c>
      <c r="O235" s="1633">
        <v>3891295</v>
      </c>
      <c r="Q235">
        <v>34.200000000000003</v>
      </c>
      <c r="R235" t="s">
        <v>362</v>
      </c>
    </row>
    <row r="236" spans="3:18">
      <c r="E236" t="s">
        <v>493</v>
      </c>
    </row>
    <row r="237" spans="3:18">
      <c r="C237" t="s">
        <v>297</v>
      </c>
      <c r="D237" t="s">
        <v>299</v>
      </c>
      <c r="E237">
        <v>1422010200</v>
      </c>
      <c r="H237" t="s">
        <v>2622</v>
      </c>
      <c r="K237" s="1633">
        <v>8083655</v>
      </c>
      <c r="M237" s="1633">
        <v>0</v>
      </c>
      <c r="O237" s="1633">
        <v>8083655</v>
      </c>
    </row>
    <row r="238" spans="3:18">
      <c r="C238" t="s">
        <v>297</v>
      </c>
      <c r="D238" t="s">
        <v>299</v>
      </c>
      <c r="E238">
        <v>1422040100</v>
      </c>
      <c r="H238" t="s">
        <v>494</v>
      </c>
      <c r="K238" s="1633">
        <v>3104873312</v>
      </c>
      <c r="M238" s="1633">
        <v>531112398</v>
      </c>
      <c r="O238" s="1633">
        <v>2573760914</v>
      </c>
      <c r="Q238">
        <v>484.6</v>
      </c>
    </row>
    <row r="239" spans="3:18">
      <c r="C239" t="s">
        <v>297</v>
      </c>
      <c r="D239" t="s">
        <v>299</v>
      </c>
      <c r="E239">
        <v>1422100000</v>
      </c>
      <c r="H239" t="s">
        <v>1406</v>
      </c>
      <c r="K239" s="1633">
        <v>187665000</v>
      </c>
      <c r="M239" s="1633">
        <v>7060000</v>
      </c>
      <c r="O239" s="1633">
        <v>180605000</v>
      </c>
      <c r="Q239">
        <v>2558.1</v>
      </c>
    </row>
    <row r="240" spans="3:18">
      <c r="C240" t="s">
        <v>297</v>
      </c>
      <c r="D240" t="s">
        <v>299</v>
      </c>
      <c r="E240">
        <v>1422110000</v>
      </c>
      <c r="H240" t="s">
        <v>495</v>
      </c>
      <c r="K240" s="1633">
        <v>148135</v>
      </c>
      <c r="M240" s="1633">
        <v>148135</v>
      </c>
      <c r="O240" s="1633">
        <v>0</v>
      </c>
    </row>
    <row r="241" spans="3:18">
      <c r="C241" t="s">
        <v>297</v>
      </c>
      <c r="D241" t="s">
        <v>299</v>
      </c>
      <c r="E241">
        <v>1422110100</v>
      </c>
      <c r="H241" t="s">
        <v>496</v>
      </c>
      <c r="K241" s="1633">
        <v>6538000</v>
      </c>
      <c r="M241" s="1633">
        <v>6538000</v>
      </c>
      <c r="O241" s="1633">
        <v>0</v>
      </c>
    </row>
    <row r="242" spans="3:18">
      <c r="C242" t="s">
        <v>297</v>
      </c>
      <c r="D242" t="s">
        <v>299</v>
      </c>
      <c r="E242">
        <v>1422500000</v>
      </c>
      <c r="H242" t="s">
        <v>497</v>
      </c>
      <c r="K242" s="1633">
        <v>277000</v>
      </c>
      <c r="M242" s="1633">
        <v>277000</v>
      </c>
      <c r="O242" s="1633">
        <v>0</v>
      </c>
    </row>
    <row r="243" spans="3:18">
      <c r="C243" t="s">
        <v>297</v>
      </c>
      <c r="D243" t="s">
        <v>299</v>
      </c>
      <c r="E243">
        <v>1422500114</v>
      </c>
      <c r="H243" t="s">
        <v>498</v>
      </c>
      <c r="K243" s="1633">
        <v>242000</v>
      </c>
      <c r="M243" s="1633">
        <v>443000</v>
      </c>
      <c r="O243" s="1633">
        <v>-201000</v>
      </c>
      <c r="Q243">
        <v>-45.4</v>
      </c>
    </row>
    <row r="244" spans="3:18">
      <c r="C244" t="s">
        <v>297</v>
      </c>
      <c r="D244" t="s">
        <v>299</v>
      </c>
      <c r="E244">
        <v>1422500118</v>
      </c>
      <c r="H244" t="s">
        <v>499</v>
      </c>
      <c r="K244" s="1633">
        <v>839085000</v>
      </c>
      <c r="M244" s="1633">
        <v>1175437000</v>
      </c>
      <c r="O244" s="1633">
        <v>-336352000</v>
      </c>
      <c r="Q244">
        <v>-28.6</v>
      </c>
    </row>
    <row r="245" spans="3:18">
      <c r="C245" t="s">
        <v>297</v>
      </c>
      <c r="D245" t="s">
        <v>299</v>
      </c>
      <c r="E245">
        <v>1422500119</v>
      </c>
      <c r="H245" t="s">
        <v>500</v>
      </c>
      <c r="K245" s="1633">
        <v>-1000</v>
      </c>
      <c r="M245" s="1633">
        <v>-1000</v>
      </c>
      <c r="O245" s="1633">
        <v>0</v>
      </c>
    </row>
    <row r="246" spans="3:18">
      <c r="C246" t="s">
        <v>297</v>
      </c>
      <c r="D246" t="s">
        <v>299</v>
      </c>
      <c r="E246">
        <v>1422500134</v>
      </c>
      <c r="H246" t="s">
        <v>501</v>
      </c>
      <c r="K246" s="1633">
        <v>8000</v>
      </c>
      <c r="M246" s="1633">
        <v>8000</v>
      </c>
      <c r="O246" s="1633">
        <v>0</v>
      </c>
    </row>
    <row r="247" spans="3:18">
      <c r="C247" t="s">
        <v>297</v>
      </c>
      <c r="D247" t="s">
        <v>299</v>
      </c>
      <c r="E247">
        <v>1422500135</v>
      </c>
      <c r="H247" t="s">
        <v>502</v>
      </c>
      <c r="K247" s="1633">
        <v>243000</v>
      </c>
      <c r="M247" s="1633">
        <v>230000</v>
      </c>
      <c r="O247" s="1633">
        <v>13000</v>
      </c>
      <c r="Q247">
        <v>5.7</v>
      </c>
    </row>
    <row r="248" spans="3:18">
      <c r="C248" t="s">
        <v>297</v>
      </c>
      <c r="D248" t="s">
        <v>299</v>
      </c>
      <c r="E248">
        <v>1422500137</v>
      </c>
      <c r="H248" t="s">
        <v>503</v>
      </c>
      <c r="K248" s="1633">
        <v>111000</v>
      </c>
      <c r="M248" s="1633">
        <v>697000</v>
      </c>
      <c r="O248" s="1633">
        <v>-586000</v>
      </c>
      <c r="Q248">
        <v>-84.1</v>
      </c>
    </row>
    <row r="249" spans="3:18">
      <c r="C249" t="s">
        <v>297</v>
      </c>
      <c r="D249" t="s">
        <v>299</v>
      </c>
      <c r="E249">
        <v>1422500200</v>
      </c>
      <c r="H249" t="s">
        <v>504</v>
      </c>
      <c r="K249" s="1633">
        <v>3851401</v>
      </c>
      <c r="M249" s="1633">
        <v>4891283</v>
      </c>
      <c r="O249" s="1633">
        <v>-1039882</v>
      </c>
      <c r="Q249">
        <v>-21.3</v>
      </c>
    </row>
    <row r="250" spans="3:18">
      <c r="C250" t="s">
        <v>297</v>
      </c>
      <c r="D250" t="s">
        <v>299</v>
      </c>
      <c r="E250">
        <v>1422500300</v>
      </c>
      <c r="H250" t="s">
        <v>505</v>
      </c>
      <c r="K250" s="1633">
        <v>191716000</v>
      </c>
      <c r="M250" s="1633">
        <v>191729000</v>
      </c>
      <c r="O250" s="1633">
        <v>-13000</v>
      </c>
    </row>
    <row r="251" spans="3:18">
      <c r="E251" t="s">
        <v>506</v>
      </c>
      <c r="K251" s="1633">
        <v>4342840503</v>
      </c>
      <c r="M251" s="1633">
        <v>1918569816</v>
      </c>
      <c r="O251" s="1633">
        <v>2424270687</v>
      </c>
      <c r="Q251">
        <v>126.4</v>
      </c>
      <c r="R251" t="s">
        <v>362</v>
      </c>
    </row>
    <row r="252" spans="3:18">
      <c r="E252" t="s">
        <v>507</v>
      </c>
    </row>
    <row r="253" spans="3:18">
      <c r="C253" t="s">
        <v>297</v>
      </c>
      <c r="D253" t="s">
        <v>299</v>
      </c>
      <c r="E253">
        <v>1470900200</v>
      </c>
      <c r="H253" t="s">
        <v>508</v>
      </c>
      <c r="K253" s="1633">
        <v>65103953</v>
      </c>
      <c r="M253" s="1633">
        <v>49439147</v>
      </c>
      <c r="O253" s="1633">
        <v>15664806</v>
      </c>
      <c r="Q253">
        <v>31.7</v>
      </c>
    </row>
    <row r="254" spans="3:18">
      <c r="C254" t="s">
        <v>297</v>
      </c>
      <c r="D254" t="s">
        <v>299</v>
      </c>
      <c r="E254">
        <v>1470900300</v>
      </c>
      <c r="H254" t="s">
        <v>509</v>
      </c>
      <c r="K254" s="1633">
        <v>39976260</v>
      </c>
      <c r="M254" s="1633">
        <v>38072666</v>
      </c>
      <c r="O254" s="1633">
        <v>1903594</v>
      </c>
      <c r="Q254">
        <v>5</v>
      </c>
    </row>
    <row r="255" spans="3:18">
      <c r="C255" t="s">
        <v>297</v>
      </c>
      <c r="D255" t="s">
        <v>299</v>
      </c>
      <c r="E255">
        <v>1470909000</v>
      </c>
      <c r="H255" t="s">
        <v>510</v>
      </c>
      <c r="K255" s="1633">
        <v>992233095</v>
      </c>
      <c r="M255" s="1633">
        <v>377325140</v>
      </c>
      <c r="O255" s="1633">
        <v>614907955</v>
      </c>
      <c r="Q255">
        <v>163</v>
      </c>
    </row>
    <row r="256" spans="3:18">
      <c r="C256" t="s">
        <v>297</v>
      </c>
      <c r="D256" t="s">
        <v>299</v>
      </c>
      <c r="E256">
        <v>1470909030</v>
      </c>
      <c r="H256" t="s">
        <v>511</v>
      </c>
      <c r="K256" s="1633">
        <v>375796163</v>
      </c>
      <c r="M256" s="1633">
        <v>364239973</v>
      </c>
      <c r="O256" s="1633">
        <v>11556190</v>
      </c>
      <c r="Q256">
        <v>3.2</v>
      </c>
    </row>
    <row r="257" spans="3:18">
      <c r="C257" t="s">
        <v>297</v>
      </c>
      <c r="D257" t="s">
        <v>299</v>
      </c>
      <c r="E257">
        <v>1470909100</v>
      </c>
      <c r="H257" t="s">
        <v>1407</v>
      </c>
      <c r="K257" s="1633">
        <v>0</v>
      </c>
      <c r="M257" s="1633">
        <v>4579708</v>
      </c>
      <c r="O257" s="1633">
        <v>-4579708</v>
      </c>
      <c r="Q257">
        <v>-100</v>
      </c>
    </row>
    <row r="258" spans="3:18">
      <c r="E258" t="s">
        <v>512</v>
      </c>
      <c r="K258" s="1633">
        <v>1473109471</v>
      </c>
      <c r="M258" s="1633">
        <v>833656634</v>
      </c>
      <c r="O258" s="1633">
        <v>639452837</v>
      </c>
      <c r="Q258">
        <v>76.7</v>
      </c>
      <c r="R258" t="s">
        <v>362</v>
      </c>
    </row>
    <row r="259" spans="3:18">
      <c r="E259" t="s">
        <v>513</v>
      </c>
      <c r="K259" s="1633">
        <v>911802623348</v>
      </c>
      <c r="M259" s="1633">
        <v>885890047779</v>
      </c>
      <c r="O259" s="1633">
        <v>25912575569</v>
      </c>
      <c r="Q259">
        <v>2.9</v>
      </c>
      <c r="R259" t="s">
        <v>392</v>
      </c>
    </row>
    <row r="261" spans="3:18">
      <c r="E261" t="s">
        <v>514</v>
      </c>
    </row>
    <row r="262" spans="3:18">
      <c r="C262" t="s">
        <v>297</v>
      </c>
      <c r="D262" t="s">
        <v>299</v>
      </c>
      <c r="E262">
        <v>1420120212</v>
      </c>
      <c r="H262" t="s">
        <v>515</v>
      </c>
      <c r="K262" s="1633">
        <v>724265760</v>
      </c>
      <c r="M262" s="1633">
        <v>648486649</v>
      </c>
      <c r="O262" s="1633">
        <v>75779111</v>
      </c>
      <c r="Q262">
        <v>11.7</v>
      </c>
    </row>
    <row r="263" spans="3:18">
      <c r="C263" t="s">
        <v>297</v>
      </c>
      <c r="D263" t="s">
        <v>299</v>
      </c>
      <c r="E263">
        <v>1905010000</v>
      </c>
      <c r="H263" t="s">
        <v>516</v>
      </c>
      <c r="K263" s="1633">
        <v>41388514254</v>
      </c>
      <c r="M263" s="1633">
        <v>56876167847</v>
      </c>
      <c r="O263" s="1633">
        <v>-15487653593</v>
      </c>
      <c r="Q263">
        <v>-27.2</v>
      </c>
    </row>
    <row r="264" spans="3:18">
      <c r="C264" t="s">
        <v>297</v>
      </c>
      <c r="D264" t="s">
        <v>299</v>
      </c>
      <c r="E264">
        <v>1905010010</v>
      </c>
      <c r="H264" t="s">
        <v>1329</v>
      </c>
      <c r="K264" s="1633">
        <v>136178774</v>
      </c>
      <c r="M264" s="1633">
        <v>157129355</v>
      </c>
      <c r="O264" s="1633">
        <v>-20950581</v>
      </c>
      <c r="Q264">
        <v>-13.3</v>
      </c>
    </row>
    <row r="265" spans="3:18">
      <c r="E265" t="s">
        <v>517</v>
      </c>
      <c r="K265" s="1633">
        <v>42248958788</v>
      </c>
      <c r="M265" s="1633">
        <v>57681783851</v>
      </c>
      <c r="O265" s="1633">
        <v>-15432825063</v>
      </c>
      <c r="Q265">
        <v>-26.8</v>
      </c>
      <c r="R265" t="s">
        <v>392</v>
      </c>
    </row>
    <row r="267" spans="3:18">
      <c r="E267" t="s">
        <v>518</v>
      </c>
    </row>
    <row r="268" spans="3:18">
      <c r="C268" t="s">
        <v>297</v>
      </c>
      <c r="D268" t="s">
        <v>299</v>
      </c>
      <c r="E268">
        <v>1202040020</v>
      </c>
      <c r="H268" t="s">
        <v>519</v>
      </c>
      <c r="K268" s="1633">
        <v>161255466300</v>
      </c>
      <c r="M268" s="1633">
        <v>4034971612</v>
      </c>
      <c r="O268" s="1633">
        <v>157220494688</v>
      </c>
      <c r="Q268">
        <v>3896.4</v>
      </c>
    </row>
    <row r="269" spans="3:18">
      <c r="C269" t="s">
        <v>297</v>
      </c>
      <c r="D269" t="s">
        <v>299</v>
      </c>
      <c r="E269">
        <v>1202040025</v>
      </c>
      <c r="H269" t="s">
        <v>1182</v>
      </c>
      <c r="K269" s="1633">
        <v>-159269235870</v>
      </c>
      <c r="M269" s="1633">
        <v>962593329</v>
      </c>
      <c r="O269" s="1633">
        <v>-160231829199</v>
      </c>
      <c r="Q269" t="s">
        <v>2623</v>
      </c>
    </row>
    <row r="270" spans="3:18">
      <c r="C270" t="s">
        <v>297</v>
      </c>
      <c r="D270" t="s">
        <v>299</v>
      </c>
      <c r="E270">
        <v>1202040080</v>
      </c>
      <c r="H270" t="s">
        <v>520</v>
      </c>
      <c r="K270" s="1633">
        <v>121929137342</v>
      </c>
      <c r="M270" s="1633">
        <v>1223314820</v>
      </c>
      <c r="O270" s="1633">
        <v>120705822522</v>
      </c>
      <c r="Q270">
        <v>9867.1</v>
      </c>
    </row>
    <row r="271" spans="3:18">
      <c r="C271" t="s">
        <v>297</v>
      </c>
      <c r="D271" t="s">
        <v>299</v>
      </c>
      <c r="E271">
        <v>1202040085</v>
      </c>
      <c r="H271" t="s">
        <v>521</v>
      </c>
      <c r="K271" s="1633">
        <v>-119452558409</v>
      </c>
      <c r="M271" s="1633">
        <v>-679122925</v>
      </c>
      <c r="O271" s="1633">
        <v>-118773435484</v>
      </c>
      <c r="Q271" t="s">
        <v>2624</v>
      </c>
    </row>
    <row r="272" spans="3:18">
      <c r="C272" t="s">
        <v>297</v>
      </c>
      <c r="D272" t="s">
        <v>299</v>
      </c>
      <c r="E272">
        <v>1202040150</v>
      </c>
      <c r="H272" t="s">
        <v>522</v>
      </c>
      <c r="K272" s="1633">
        <v>1429447238</v>
      </c>
      <c r="M272" s="1633">
        <v>1308944521</v>
      </c>
      <c r="O272" s="1633">
        <v>120502717</v>
      </c>
      <c r="Q272">
        <v>9.1999999999999993</v>
      </c>
    </row>
    <row r="273" spans="3:18">
      <c r="C273" t="s">
        <v>297</v>
      </c>
      <c r="D273" t="s">
        <v>299</v>
      </c>
      <c r="E273">
        <v>1202040155</v>
      </c>
      <c r="H273" t="s">
        <v>1408</v>
      </c>
      <c r="K273" s="1633">
        <v>0</v>
      </c>
      <c r="M273" s="1633">
        <v>26723394</v>
      </c>
      <c r="O273" s="1633">
        <v>-26723394</v>
      </c>
      <c r="Q273">
        <v>-100</v>
      </c>
    </row>
    <row r="274" spans="3:18">
      <c r="C274" t="s">
        <v>297</v>
      </c>
      <c r="D274" t="s">
        <v>299</v>
      </c>
      <c r="E274">
        <v>1202040180</v>
      </c>
      <c r="H274" t="s">
        <v>523</v>
      </c>
      <c r="K274" s="1633">
        <v>2035539003</v>
      </c>
      <c r="M274" s="1633">
        <v>1870576164</v>
      </c>
      <c r="O274" s="1633">
        <v>164962839</v>
      </c>
      <c r="Q274">
        <v>8.8000000000000007</v>
      </c>
    </row>
    <row r="275" spans="3:18">
      <c r="C275" t="s">
        <v>297</v>
      </c>
      <c r="D275" t="s">
        <v>299</v>
      </c>
      <c r="E275">
        <v>1202040190</v>
      </c>
      <c r="H275" t="s">
        <v>524</v>
      </c>
      <c r="K275" s="1633">
        <v>1629298699</v>
      </c>
      <c r="M275" s="1633">
        <v>1181578002</v>
      </c>
      <c r="O275" s="1633">
        <v>447720697</v>
      </c>
      <c r="Q275">
        <v>37.9</v>
      </c>
    </row>
    <row r="276" spans="3:18">
      <c r="C276" t="s">
        <v>297</v>
      </c>
      <c r="D276" t="s">
        <v>299</v>
      </c>
      <c r="E276">
        <v>1202040195</v>
      </c>
      <c r="H276" t="s">
        <v>525</v>
      </c>
      <c r="K276" s="1633">
        <v>3806142455</v>
      </c>
      <c r="M276" s="1633">
        <v>368845205</v>
      </c>
      <c r="O276" s="1633">
        <v>3437297250</v>
      </c>
      <c r="Q276">
        <v>931.9</v>
      </c>
    </row>
    <row r="277" spans="3:18">
      <c r="E277" t="s">
        <v>526</v>
      </c>
      <c r="K277" s="1633">
        <v>13363236758</v>
      </c>
      <c r="M277" s="1633">
        <v>10298424122</v>
      </c>
      <c r="O277" s="1633">
        <v>3064812636</v>
      </c>
      <c r="Q277">
        <v>29.8</v>
      </c>
      <c r="R277" t="s">
        <v>392</v>
      </c>
    </row>
    <row r="279" spans="3:18">
      <c r="E279" t="s">
        <v>527</v>
      </c>
    </row>
    <row r="280" spans="3:18">
      <c r="C280" t="s">
        <v>297</v>
      </c>
      <c r="D280" t="s">
        <v>299</v>
      </c>
      <c r="E280">
        <v>1217012403</v>
      </c>
      <c r="H280" t="s">
        <v>528</v>
      </c>
      <c r="K280" s="1633">
        <v>0</v>
      </c>
      <c r="M280" s="1633">
        <v>-8921</v>
      </c>
      <c r="O280" s="1633">
        <v>8921</v>
      </c>
      <c r="Q280">
        <v>100</v>
      </c>
    </row>
    <row r="281" spans="3:18">
      <c r="C281" t="s">
        <v>297</v>
      </c>
      <c r="D281" t="s">
        <v>299</v>
      </c>
      <c r="E281">
        <v>1217012407</v>
      </c>
      <c r="H281" t="s">
        <v>445</v>
      </c>
      <c r="K281" s="1633">
        <v>143790406130</v>
      </c>
      <c r="M281" s="1633">
        <v>150850809930</v>
      </c>
      <c r="O281" s="1633">
        <v>-7060403800</v>
      </c>
      <c r="Q281">
        <v>-4.7</v>
      </c>
    </row>
    <row r="282" spans="3:18">
      <c r="E282" t="s">
        <v>529</v>
      </c>
      <c r="K282" s="1633">
        <v>143790406130</v>
      </c>
      <c r="M282" s="1633">
        <v>150850801009</v>
      </c>
      <c r="O282" s="1633">
        <v>-7060394879</v>
      </c>
      <c r="Q282">
        <v>-4.7</v>
      </c>
      <c r="R282" t="s">
        <v>392</v>
      </c>
    </row>
    <row r="284" spans="3:18">
      <c r="E284" t="s">
        <v>530</v>
      </c>
    </row>
    <row r="285" spans="3:18">
      <c r="E285" t="s">
        <v>531</v>
      </c>
    </row>
    <row r="286" spans="3:18">
      <c r="C286" t="s">
        <v>297</v>
      </c>
      <c r="D286" t="s">
        <v>299</v>
      </c>
      <c r="E286">
        <v>1105020800</v>
      </c>
      <c r="H286" t="s">
        <v>532</v>
      </c>
      <c r="K286" s="1633">
        <v>1160000</v>
      </c>
      <c r="M286" s="1633">
        <v>1000000</v>
      </c>
      <c r="O286" s="1633">
        <v>160000</v>
      </c>
      <c r="Q286">
        <v>16</v>
      </c>
    </row>
    <row r="287" spans="3:18">
      <c r="C287" t="s">
        <v>297</v>
      </c>
      <c r="D287" t="s">
        <v>299</v>
      </c>
      <c r="E287">
        <v>1105020900</v>
      </c>
      <c r="H287" t="s">
        <v>1386</v>
      </c>
      <c r="K287" s="1633">
        <v>174000000</v>
      </c>
      <c r="M287" s="1633">
        <v>150000000</v>
      </c>
      <c r="O287" s="1633">
        <v>24000000</v>
      </c>
      <c r="Q287">
        <v>16</v>
      </c>
    </row>
    <row r="288" spans="3:18">
      <c r="C288" t="s">
        <v>297</v>
      </c>
      <c r="D288" t="s">
        <v>299</v>
      </c>
      <c r="E288">
        <v>1105021000</v>
      </c>
      <c r="H288" t="s">
        <v>533</v>
      </c>
      <c r="K288" s="1633">
        <v>0</v>
      </c>
      <c r="M288" s="1633">
        <v>2000000</v>
      </c>
      <c r="O288" s="1633">
        <v>-2000000</v>
      </c>
      <c r="Q288">
        <v>-100</v>
      </c>
    </row>
    <row r="289" spans="3:17">
      <c r="C289" t="s">
        <v>297</v>
      </c>
      <c r="D289" t="s">
        <v>299</v>
      </c>
      <c r="E289">
        <v>1105021300</v>
      </c>
      <c r="H289" t="s">
        <v>534</v>
      </c>
      <c r="K289" s="1633">
        <v>1160000</v>
      </c>
      <c r="M289" s="1633">
        <v>1000000</v>
      </c>
      <c r="O289" s="1633">
        <v>160000</v>
      </c>
      <c r="Q289">
        <v>16</v>
      </c>
    </row>
    <row r="290" spans="3:17">
      <c r="C290" t="s">
        <v>297</v>
      </c>
      <c r="D290" t="s">
        <v>299</v>
      </c>
      <c r="E290">
        <v>1105021400</v>
      </c>
      <c r="H290" t="s">
        <v>535</v>
      </c>
      <c r="K290" s="1633">
        <v>58000000</v>
      </c>
      <c r="M290" s="1633">
        <v>50000000</v>
      </c>
      <c r="O290" s="1633">
        <v>8000000</v>
      </c>
      <c r="Q290">
        <v>16</v>
      </c>
    </row>
    <row r="291" spans="3:17">
      <c r="C291" t="s">
        <v>297</v>
      </c>
      <c r="D291" t="s">
        <v>299</v>
      </c>
      <c r="E291">
        <v>1105021500</v>
      </c>
      <c r="H291" t="s">
        <v>536</v>
      </c>
      <c r="K291" s="1633">
        <v>2320000</v>
      </c>
      <c r="M291" s="1633">
        <v>2000000</v>
      </c>
      <c r="O291" s="1633">
        <v>320000</v>
      </c>
      <c r="Q291">
        <v>16</v>
      </c>
    </row>
    <row r="292" spans="3:17">
      <c r="C292" t="s">
        <v>297</v>
      </c>
      <c r="D292" t="s">
        <v>299</v>
      </c>
      <c r="E292">
        <v>1105021600</v>
      </c>
      <c r="H292" t="s">
        <v>537</v>
      </c>
      <c r="K292" s="1633">
        <v>2320000</v>
      </c>
      <c r="M292" s="1633">
        <v>2000000</v>
      </c>
      <c r="O292" s="1633">
        <v>320000</v>
      </c>
      <c r="Q292">
        <v>16</v>
      </c>
    </row>
    <row r="293" spans="3:17">
      <c r="C293" t="s">
        <v>297</v>
      </c>
      <c r="D293" t="s">
        <v>299</v>
      </c>
      <c r="E293">
        <v>1105021700</v>
      </c>
      <c r="H293" t="s">
        <v>538</v>
      </c>
      <c r="K293" s="1633">
        <v>11600000</v>
      </c>
      <c r="M293" s="1633">
        <v>10000000</v>
      </c>
      <c r="O293" s="1633">
        <v>1600000</v>
      </c>
      <c r="Q293">
        <v>16</v>
      </c>
    </row>
    <row r="294" spans="3:17">
      <c r="C294" t="s">
        <v>297</v>
      </c>
      <c r="D294" t="s">
        <v>299</v>
      </c>
      <c r="E294">
        <v>1105029008</v>
      </c>
      <c r="H294" t="s">
        <v>539</v>
      </c>
      <c r="K294" s="1633">
        <v>1160000</v>
      </c>
      <c r="M294" s="1633">
        <v>1000000</v>
      </c>
      <c r="O294" s="1633">
        <v>160000</v>
      </c>
      <c r="Q294">
        <v>16</v>
      </c>
    </row>
    <row r="295" spans="3:17">
      <c r="C295" t="s">
        <v>297</v>
      </c>
      <c r="D295" t="s">
        <v>299</v>
      </c>
      <c r="E295">
        <v>1105029009</v>
      </c>
      <c r="H295" t="s">
        <v>1387</v>
      </c>
      <c r="K295" s="1633">
        <v>174000000</v>
      </c>
      <c r="M295" s="1633">
        <v>150000000</v>
      </c>
      <c r="O295" s="1633">
        <v>24000000</v>
      </c>
      <c r="Q295">
        <v>16</v>
      </c>
    </row>
    <row r="296" spans="3:17">
      <c r="C296" t="s">
        <v>297</v>
      </c>
      <c r="D296" t="s">
        <v>299</v>
      </c>
      <c r="E296">
        <v>1105029010</v>
      </c>
      <c r="H296" t="s">
        <v>540</v>
      </c>
      <c r="K296" s="1633">
        <v>0</v>
      </c>
      <c r="M296" s="1633">
        <v>2000000</v>
      </c>
      <c r="O296" s="1633">
        <v>-2000000</v>
      </c>
      <c r="Q296">
        <v>-100</v>
      </c>
    </row>
    <row r="297" spans="3:17">
      <c r="C297" t="s">
        <v>297</v>
      </c>
      <c r="D297" t="s">
        <v>299</v>
      </c>
      <c r="E297">
        <v>1105029013</v>
      </c>
      <c r="H297" t="s">
        <v>541</v>
      </c>
      <c r="K297" s="1633">
        <v>1160000</v>
      </c>
      <c r="M297" s="1633">
        <v>1000000</v>
      </c>
      <c r="O297" s="1633">
        <v>160000</v>
      </c>
      <c r="Q297">
        <v>16</v>
      </c>
    </row>
    <row r="298" spans="3:17">
      <c r="C298" t="s">
        <v>297</v>
      </c>
      <c r="D298" t="s">
        <v>299</v>
      </c>
      <c r="E298">
        <v>1105029014</v>
      </c>
      <c r="H298" t="s">
        <v>542</v>
      </c>
      <c r="K298" s="1633">
        <v>46624179</v>
      </c>
      <c r="M298" s="1633">
        <v>45224179</v>
      </c>
      <c r="O298" s="1633">
        <v>1400000</v>
      </c>
      <c r="Q298">
        <v>3.1</v>
      </c>
    </row>
    <row r="299" spans="3:17">
      <c r="C299" t="s">
        <v>297</v>
      </c>
      <c r="D299" t="s">
        <v>299</v>
      </c>
      <c r="E299">
        <v>1105029015</v>
      </c>
      <c r="H299" t="s">
        <v>543</v>
      </c>
      <c r="K299" s="1633">
        <v>2320000</v>
      </c>
      <c r="M299" s="1633">
        <v>2000000</v>
      </c>
      <c r="O299" s="1633">
        <v>320000</v>
      </c>
      <c r="Q299">
        <v>16</v>
      </c>
    </row>
    <row r="300" spans="3:17">
      <c r="C300" t="s">
        <v>297</v>
      </c>
      <c r="D300" t="s">
        <v>299</v>
      </c>
      <c r="E300">
        <v>1105029016</v>
      </c>
      <c r="H300" t="s">
        <v>544</v>
      </c>
      <c r="K300" s="1633">
        <v>2320000</v>
      </c>
      <c r="M300" s="1633">
        <v>2000000</v>
      </c>
      <c r="O300" s="1633">
        <v>320000</v>
      </c>
      <c r="Q300">
        <v>16</v>
      </c>
    </row>
    <row r="301" spans="3:17">
      <c r="C301" t="s">
        <v>297</v>
      </c>
      <c r="D301" t="s">
        <v>299</v>
      </c>
      <c r="E301">
        <v>1105029017</v>
      </c>
      <c r="H301" t="s">
        <v>544</v>
      </c>
      <c r="K301" s="1633">
        <v>7087380</v>
      </c>
      <c r="M301" s="1633">
        <v>1814213</v>
      </c>
      <c r="O301" s="1633">
        <v>5273167</v>
      </c>
      <c r="Q301">
        <v>290.7</v>
      </c>
    </row>
    <row r="302" spans="3:17">
      <c r="C302" t="s">
        <v>297</v>
      </c>
      <c r="D302" t="s">
        <v>299</v>
      </c>
      <c r="E302">
        <v>1105029098</v>
      </c>
      <c r="H302" t="s">
        <v>545</v>
      </c>
      <c r="K302" s="1633">
        <v>6600000</v>
      </c>
      <c r="M302" s="1633">
        <v>0</v>
      </c>
      <c r="O302" s="1633">
        <v>6600000</v>
      </c>
    </row>
    <row r="303" spans="3:17">
      <c r="C303" t="s">
        <v>297</v>
      </c>
      <c r="D303" t="s">
        <v>299</v>
      </c>
      <c r="E303">
        <v>1105029099</v>
      </c>
      <c r="H303" t="s">
        <v>546</v>
      </c>
      <c r="K303" s="1633">
        <v>-250560000</v>
      </c>
      <c r="M303" s="1633">
        <v>-218000000</v>
      </c>
      <c r="O303" s="1633">
        <v>-32560000</v>
      </c>
      <c r="Q303">
        <v>-14.9</v>
      </c>
    </row>
    <row r="304" spans="3:17">
      <c r="C304" t="s">
        <v>297</v>
      </c>
      <c r="D304" t="s">
        <v>299</v>
      </c>
      <c r="E304">
        <v>1110051010</v>
      </c>
      <c r="H304" t="s">
        <v>547</v>
      </c>
      <c r="K304" s="1633">
        <v>7462076491</v>
      </c>
      <c r="M304" s="1633">
        <v>54012763735</v>
      </c>
      <c r="O304" s="1633">
        <v>-46550687244</v>
      </c>
      <c r="Q304">
        <v>-86.2</v>
      </c>
    </row>
    <row r="305" spans="3:17">
      <c r="C305" t="s">
        <v>297</v>
      </c>
      <c r="D305" t="s">
        <v>299</v>
      </c>
      <c r="E305">
        <v>1110051015</v>
      </c>
      <c r="H305" t="s">
        <v>548</v>
      </c>
      <c r="K305" s="1633">
        <v>-3897508097</v>
      </c>
      <c r="M305" s="1633">
        <v>0</v>
      </c>
      <c r="O305" s="1633">
        <v>-3897508097</v>
      </c>
    </row>
    <row r="306" spans="3:17">
      <c r="C306" t="s">
        <v>297</v>
      </c>
      <c r="D306" t="s">
        <v>299</v>
      </c>
      <c r="E306">
        <v>1110051016</v>
      </c>
      <c r="H306" t="s">
        <v>549</v>
      </c>
      <c r="K306" s="1633">
        <v>-12151171</v>
      </c>
      <c r="M306" s="1633">
        <v>-2</v>
      </c>
      <c r="O306" s="1633">
        <v>-12151169</v>
      </c>
      <c r="Q306" t="s">
        <v>2625</v>
      </c>
    </row>
    <row r="307" spans="3:17">
      <c r="C307" t="s">
        <v>297</v>
      </c>
      <c r="D307" t="s">
        <v>299</v>
      </c>
      <c r="E307">
        <v>1110051030</v>
      </c>
      <c r="H307" t="s">
        <v>550</v>
      </c>
      <c r="K307" s="1633">
        <v>339659267</v>
      </c>
      <c r="M307" s="1633">
        <v>141614564</v>
      </c>
      <c r="O307" s="1633">
        <v>198044703</v>
      </c>
      <c r="Q307">
        <v>139.80000000000001</v>
      </c>
    </row>
    <row r="308" spans="3:17">
      <c r="C308" t="s">
        <v>297</v>
      </c>
      <c r="D308" t="s">
        <v>299</v>
      </c>
      <c r="E308">
        <v>1110051070</v>
      </c>
      <c r="H308" t="s">
        <v>1292</v>
      </c>
      <c r="K308" s="1633">
        <v>144187347</v>
      </c>
      <c r="M308" s="1633">
        <v>138489582</v>
      </c>
      <c r="O308" s="1633">
        <v>5697765</v>
      </c>
      <c r="Q308">
        <v>4.0999999999999996</v>
      </c>
    </row>
    <row r="309" spans="3:17">
      <c r="C309" t="s">
        <v>297</v>
      </c>
      <c r="D309" t="s">
        <v>299</v>
      </c>
      <c r="E309">
        <v>1110051075</v>
      </c>
      <c r="H309" t="s">
        <v>1330</v>
      </c>
      <c r="K309" s="1633">
        <v>1</v>
      </c>
      <c r="M309" s="1633">
        <v>818460</v>
      </c>
      <c r="O309" s="1633">
        <v>-818459</v>
      </c>
      <c r="Q309">
        <v>-100</v>
      </c>
    </row>
    <row r="310" spans="3:17">
      <c r="C310" t="s">
        <v>297</v>
      </c>
      <c r="D310" t="s">
        <v>299</v>
      </c>
      <c r="E310">
        <v>1110051120</v>
      </c>
      <c r="H310" t="s">
        <v>551</v>
      </c>
      <c r="K310" s="1633">
        <v>254882496</v>
      </c>
      <c r="M310" s="1633">
        <v>87778140</v>
      </c>
      <c r="O310" s="1633">
        <v>167104356</v>
      </c>
      <c r="Q310">
        <v>190.4</v>
      </c>
    </row>
    <row r="311" spans="3:17">
      <c r="C311" t="s">
        <v>297</v>
      </c>
      <c r="D311" t="s">
        <v>299</v>
      </c>
      <c r="E311">
        <v>1110051125</v>
      </c>
      <c r="H311" t="s">
        <v>552</v>
      </c>
      <c r="K311" s="1633">
        <v>-3268033</v>
      </c>
      <c r="M311" s="1633">
        <v>-9560966</v>
      </c>
      <c r="O311" s="1633">
        <v>6292933</v>
      </c>
      <c r="Q311">
        <v>65.8</v>
      </c>
    </row>
    <row r="312" spans="3:17">
      <c r="C312" t="s">
        <v>297</v>
      </c>
      <c r="D312" t="s">
        <v>299</v>
      </c>
      <c r="E312">
        <v>1110052010</v>
      </c>
      <c r="H312" t="s">
        <v>3</v>
      </c>
      <c r="K312" s="1633">
        <v>6420775743</v>
      </c>
      <c r="M312" s="1633">
        <v>36159803284</v>
      </c>
      <c r="O312" s="1633">
        <v>-29739027541</v>
      </c>
      <c r="Q312">
        <v>-82.2</v>
      </c>
    </row>
    <row r="313" spans="3:17">
      <c r="C313" t="s">
        <v>297</v>
      </c>
      <c r="D313" t="s">
        <v>299</v>
      </c>
      <c r="E313">
        <v>1110052090</v>
      </c>
      <c r="H313" t="s">
        <v>7</v>
      </c>
      <c r="K313" s="1633">
        <v>137344893654</v>
      </c>
      <c r="M313" s="1633">
        <v>2453631407</v>
      </c>
      <c r="O313" s="1633">
        <v>134891262247</v>
      </c>
      <c r="Q313">
        <v>5497.6</v>
      </c>
    </row>
    <row r="314" spans="3:17">
      <c r="C314" t="s">
        <v>297</v>
      </c>
      <c r="D314" t="s">
        <v>299</v>
      </c>
      <c r="E314">
        <v>1110052095</v>
      </c>
      <c r="H314" t="s">
        <v>8</v>
      </c>
      <c r="K314" s="1633">
        <v>0</v>
      </c>
      <c r="M314" s="1633">
        <v>276482766</v>
      </c>
      <c r="O314" s="1633">
        <v>-276482766</v>
      </c>
      <c r="Q314">
        <v>-100</v>
      </c>
    </row>
    <row r="315" spans="3:17">
      <c r="C315" t="s">
        <v>297</v>
      </c>
      <c r="D315" t="s">
        <v>299</v>
      </c>
      <c r="E315">
        <v>1110052110</v>
      </c>
      <c r="H315" t="s">
        <v>1474</v>
      </c>
      <c r="K315" s="1633">
        <v>5793762</v>
      </c>
      <c r="M315" s="1633">
        <v>0</v>
      </c>
      <c r="O315" s="1633">
        <v>5793762</v>
      </c>
    </row>
    <row r="316" spans="3:17">
      <c r="C316" t="s">
        <v>297</v>
      </c>
      <c r="D316" t="s">
        <v>299</v>
      </c>
      <c r="E316">
        <v>1110053038</v>
      </c>
      <c r="H316" t="s">
        <v>2626</v>
      </c>
      <c r="K316" s="1633">
        <v>40153899583</v>
      </c>
      <c r="M316" s="1633">
        <v>36542338335</v>
      </c>
      <c r="O316" s="1633">
        <v>3611561248</v>
      </c>
      <c r="Q316">
        <v>9.9</v>
      </c>
    </row>
    <row r="317" spans="3:17">
      <c r="C317" t="s">
        <v>297</v>
      </c>
      <c r="D317" t="s">
        <v>299</v>
      </c>
      <c r="E317">
        <v>1110059600</v>
      </c>
      <c r="H317" t="s">
        <v>9</v>
      </c>
      <c r="K317" s="1633">
        <v>0</v>
      </c>
      <c r="M317" s="1633">
        <v>-309462</v>
      </c>
      <c r="O317" s="1633">
        <v>309462</v>
      </c>
      <c r="Q317">
        <v>100</v>
      </c>
    </row>
    <row r="318" spans="3:17">
      <c r="C318" t="s">
        <v>297</v>
      </c>
      <c r="D318" t="s">
        <v>299</v>
      </c>
      <c r="E318">
        <v>1110060000</v>
      </c>
      <c r="H318" t="s">
        <v>556</v>
      </c>
      <c r="K318" s="1633">
        <v>-2316580655</v>
      </c>
      <c r="M318" s="1633">
        <v>-38750880312</v>
      </c>
      <c r="O318" s="1633">
        <v>36434299657</v>
      </c>
      <c r="Q318">
        <v>94</v>
      </c>
    </row>
    <row r="319" spans="3:17">
      <c r="C319" t="s">
        <v>297</v>
      </c>
      <c r="D319" t="s">
        <v>299</v>
      </c>
      <c r="E319">
        <v>1110060010</v>
      </c>
      <c r="H319" t="s">
        <v>557</v>
      </c>
      <c r="K319" s="1633">
        <v>50000000</v>
      </c>
      <c r="M319" s="1633">
        <v>36592338335</v>
      </c>
      <c r="O319" s="1633">
        <v>-36542338335</v>
      </c>
      <c r="Q319">
        <v>-99.9</v>
      </c>
    </row>
    <row r="320" spans="3:17">
      <c r="C320" t="s">
        <v>297</v>
      </c>
      <c r="D320" t="s">
        <v>299</v>
      </c>
      <c r="E320">
        <v>1110061010</v>
      </c>
      <c r="H320" t="s">
        <v>558</v>
      </c>
      <c r="K320" s="1633">
        <v>78633948822</v>
      </c>
      <c r="M320" s="1633">
        <v>30062552406</v>
      </c>
      <c r="O320" s="1633">
        <v>48571396416</v>
      </c>
      <c r="Q320">
        <v>161.6</v>
      </c>
    </row>
    <row r="321" spans="3:17">
      <c r="C321" t="s">
        <v>297</v>
      </c>
      <c r="D321" t="s">
        <v>299</v>
      </c>
      <c r="E321">
        <v>1110061015</v>
      </c>
      <c r="H321" t="s">
        <v>559</v>
      </c>
      <c r="K321" s="1633">
        <v>-13778606851</v>
      </c>
      <c r="M321" s="1633">
        <v>-27536310817</v>
      </c>
      <c r="O321" s="1633">
        <v>13757703966</v>
      </c>
      <c r="Q321">
        <v>50</v>
      </c>
    </row>
    <row r="322" spans="3:17">
      <c r="C322" t="s">
        <v>297</v>
      </c>
      <c r="D322" t="s">
        <v>299</v>
      </c>
      <c r="E322">
        <v>1110061040</v>
      </c>
      <c r="H322" t="s">
        <v>560</v>
      </c>
      <c r="K322" s="1633">
        <v>157441810966</v>
      </c>
      <c r="M322" s="1633">
        <v>25310000576</v>
      </c>
      <c r="O322" s="1633">
        <v>132131810390</v>
      </c>
      <c r="Q322">
        <v>522.1</v>
      </c>
    </row>
    <row r="323" spans="3:17">
      <c r="C323" t="s">
        <v>297</v>
      </c>
      <c r="D323" t="s">
        <v>299</v>
      </c>
      <c r="E323">
        <v>1110061045</v>
      </c>
      <c r="H323" t="s">
        <v>561</v>
      </c>
      <c r="K323" s="1633">
        <v>6773359</v>
      </c>
      <c r="M323" s="1633">
        <v>-149000</v>
      </c>
      <c r="O323" s="1633">
        <v>6922359</v>
      </c>
      <c r="Q323">
        <v>4645.8999999999996</v>
      </c>
    </row>
    <row r="324" spans="3:17">
      <c r="C324" t="s">
        <v>297</v>
      </c>
      <c r="D324" t="s">
        <v>299</v>
      </c>
      <c r="E324">
        <v>1110061050</v>
      </c>
      <c r="H324" t="s">
        <v>1409</v>
      </c>
      <c r="K324" s="1633">
        <v>0</v>
      </c>
      <c r="M324" s="1633">
        <v>8452850</v>
      </c>
      <c r="O324" s="1633">
        <v>-8452850</v>
      </c>
      <c r="Q324">
        <v>-100</v>
      </c>
    </row>
    <row r="325" spans="3:17">
      <c r="C325" t="s">
        <v>297</v>
      </c>
      <c r="D325" t="s">
        <v>299</v>
      </c>
      <c r="E325">
        <v>1110061070</v>
      </c>
      <c r="H325" t="s">
        <v>562</v>
      </c>
      <c r="K325" s="1633">
        <v>104029964582</v>
      </c>
      <c r="M325" s="1633">
        <v>122610825839</v>
      </c>
      <c r="O325" s="1633">
        <v>-18580861257</v>
      </c>
      <c r="Q325">
        <v>-15.2</v>
      </c>
    </row>
    <row r="326" spans="3:17">
      <c r="C326" t="s">
        <v>297</v>
      </c>
      <c r="D326" t="s">
        <v>299</v>
      </c>
      <c r="E326">
        <v>1110061071</v>
      </c>
      <c r="H326" t="s">
        <v>1308</v>
      </c>
      <c r="K326" s="1633">
        <v>-759890</v>
      </c>
      <c r="M326" s="1633">
        <v>-9293389</v>
      </c>
      <c r="O326" s="1633">
        <v>8533499</v>
      </c>
      <c r="Q326">
        <v>91.8</v>
      </c>
    </row>
    <row r="327" spans="3:17">
      <c r="C327" t="s">
        <v>297</v>
      </c>
      <c r="D327" t="s">
        <v>299</v>
      </c>
      <c r="E327">
        <v>1110061075</v>
      </c>
      <c r="H327" t="s">
        <v>563</v>
      </c>
      <c r="K327" s="1633">
        <v>24829024180</v>
      </c>
      <c r="M327" s="1633">
        <v>-47708546</v>
      </c>
      <c r="O327" s="1633">
        <v>24876732726</v>
      </c>
      <c r="Q327">
        <v>52143.1</v>
      </c>
    </row>
    <row r="328" spans="3:17">
      <c r="C328" t="s">
        <v>297</v>
      </c>
      <c r="D328" t="s">
        <v>299</v>
      </c>
      <c r="E328">
        <v>1110061076</v>
      </c>
      <c r="H328" t="s">
        <v>564</v>
      </c>
      <c r="K328" s="1633">
        <v>-1457734651</v>
      </c>
      <c r="M328" s="1633">
        <v>-21146666</v>
      </c>
      <c r="O328" s="1633">
        <v>-1436587985</v>
      </c>
      <c r="Q328">
        <v>-6793.4</v>
      </c>
    </row>
    <row r="329" spans="3:17">
      <c r="C329" t="s">
        <v>297</v>
      </c>
      <c r="D329" t="s">
        <v>299</v>
      </c>
      <c r="E329">
        <v>1110061160</v>
      </c>
      <c r="H329" t="s">
        <v>565</v>
      </c>
      <c r="K329" s="1633">
        <v>36982221662</v>
      </c>
      <c r="M329" s="1633">
        <v>14598939947</v>
      </c>
      <c r="O329" s="1633">
        <v>22383281715</v>
      </c>
      <c r="Q329">
        <v>153.30000000000001</v>
      </c>
    </row>
    <row r="330" spans="3:17">
      <c r="C330" t="s">
        <v>297</v>
      </c>
      <c r="D330" t="s">
        <v>299</v>
      </c>
      <c r="E330">
        <v>1110061165</v>
      </c>
      <c r="H330" t="s">
        <v>1511</v>
      </c>
      <c r="K330" s="1633">
        <v>916528</v>
      </c>
      <c r="M330" s="1633">
        <v>0</v>
      </c>
      <c r="O330" s="1633">
        <v>916528</v>
      </c>
    </row>
    <row r="331" spans="3:17">
      <c r="C331" t="s">
        <v>297</v>
      </c>
      <c r="D331" t="s">
        <v>299</v>
      </c>
      <c r="E331">
        <v>1110061380</v>
      </c>
      <c r="H331" t="s">
        <v>566</v>
      </c>
      <c r="K331" s="1633">
        <v>1868252941</v>
      </c>
      <c r="M331" s="1633">
        <v>2119349793</v>
      </c>
      <c r="O331" s="1633">
        <v>-251096852</v>
      </c>
      <c r="Q331">
        <v>-11.8</v>
      </c>
    </row>
    <row r="332" spans="3:17">
      <c r="C332" t="s">
        <v>297</v>
      </c>
      <c r="D332" t="s">
        <v>299</v>
      </c>
      <c r="E332">
        <v>1110061385</v>
      </c>
      <c r="H332" t="s">
        <v>1183</v>
      </c>
      <c r="K332" s="1633">
        <v>0</v>
      </c>
      <c r="M332" s="1633">
        <v>-2022452484</v>
      </c>
      <c r="O332" s="1633">
        <v>2022452484</v>
      </c>
      <c r="Q332">
        <v>100</v>
      </c>
    </row>
    <row r="333" spans="3:17">
      <c r="C333" t="s">
        <v>297</v>
      </c>
      <c r="D333" t="s">
        <v>299</v>
      </c>
      <c r="E333">
        <v>1110061400</v>
      </c>
      <c r="H333" t="s">
        <v>567</v>
      </c>
      <c r="K333" s="1633">
        <v>40492860933</v>
      </c>
      <c r="M333" s="1633">
        <v>5698379378</v>
      </c>
      <c r="O333" s="1633">
        <v>34794481555</v>
      </c>
      <c r="Q333">
        <v>610.6</v>
      </c>
    </row>
    <row r="334" spans="3:17">
      <c r="C334" t="s">
        <v>297</v>
      </c>
      <c r="D334" t="s">
        <v>299</v>
      </c>
      <c r="E334">
        <v>1110061405</v>
      </c>
      <c r="H334" t="s">
        <v>568</v>
      </c>
      <c r="K334" s="1633">
        <v>10434717397</v>
      </c>
      <c r="M334" s="1633">
        <v>-5521816704</v>
      </c>
      <c r="O334" s="1633">
        <v>15956534101</v>
      </c>
      <c r="Q334">
        <v>289</v>
      </c>
    </row>
    <row r="335" spans="3:17">
      <c r="C335" t="s">
        <v>297</v>
      </c>
      <c r="D335" t="s">
        <v>299</v>
      </c>
      <c r="E335">
        <v>1110061610</v>
      </c>
      <c r="H335" t="s">
        <v>569</v>
      </c>
      <c r="K335" s="1633">
        <v>2</v>
      </c>
      <c r="M335" s="1633">
        <v>2</v>
      </c>
      <c r="O335" s="1633">
        <v>0</v>
      </c>
    </row>
    <row r="336" spans="3:17">
      <c r="C336" t="s">
        <v>297</v>
      </c>
      <c r="D336" t="s">
        <v>299</v>
      </c>
      <c r="E336">
        <v>1110061620</v>
      </c>
      <c r="H336" t="s">
        <v>570</v>
      </c>
      <c r="K336" s="1633">
        <v>1626200583</v>
      </c>
      <c r="M336" s="1633">
        <v>229149521</v>
      </c>
      <c r="O336" s="1633">
        <v>1397051062</v>
      </c>
      <c r="Q336">
        <v>609.70000000000005</v>
      </c>
    </row>
    <row r="337" spans="3:18">
      <c r="C337" t="s">
        <v>297</v>
      </c>
      <c r="D337" t="s">
        <v>299</v>
      </c>
      <c r="E337">
        <v>1110061625</v>
      </c>
      <c r="H337" t="s">
        <v>571</v>
      </c>
      <c r="K337" s="1633">
        <v>5158998</v>
      </c>
      <c r="M337" s="1633">
        <v>4</v>
      </c>
      <c r="O337" s="1633">
        <v>5158994</v>
      </c>
      <c r="Q337" t="s">
        <v>2627</v>
      </c>
    </row>
    <row r="338" spans="3:18">
      <c r="C338" t="s">
        <v>297</v>
      </c>
      <c r="D338" t="s">
        <v>299</v>
      </c>
      <c r="E338">
        <v>1110061626</v>
      </c>
      <c r="H338" t="s">
        <v>572</v>
      </c>
      <c r="K338" s="1633">
        <v>-381306261</v>
      </c>
      <c r="M338" s="1633">
        <v>-15849508</v>
      </c>
      <c r="O338" s="1633">
        <v>-365456753</v>
      </c>
      <c r="Q338">
        <v>-2305.8000000000002</v>
      </c>
    </row>
    <row r="339" spans="3:18">
      <c r="C339" t="s">
        <v>297</v>
      </c>
      <c r="D339" t="s">
        <v>299</v>
      </c>
      <c r="E339">
        <v>1110062000</v>
      </c>
      <c r="H339" s="1722" t="s">
        <v>573</v>
      </c>
      <c r="K339" s="1633">
        <v>25594105243</v>
      </c>
      <c r="M339" s="1633">
        <v>31901069819</v>
      </c>
      <c r="O339" s="1633">
        <v>-6306964576</v>
      </c>
      <c r="Q339">
        <v>-19.8</v>
      </c>
    </row>
    <row r="340" spans="3:18">
      <c r="C340" t="s">
        <v>297</v>
      </c>
      <c r="D340" t="s">
        <v>299</v>
      </c>
      <c r="E340">
        <v>1110062005</v>
      </c>
      <c r="H340" t="s">
        <v>574</v>
      </c>
      <c r="K340" s="1633">
        <v>6913223250</v>
      </c>
      <c r="M340" s="1633">
        <v>-29888621366</v>
      </c>
      <c r="O340" s="1633">
        <v>36801844616</v>
      </c>
      <c r="Q340">
        <v>123.1</v>
      </c>
    </row>
    <row r="341" spans="3:18">
      <c r="C341" t="s">
        <v>297</v>
      </c>
      <c r="D341" t="s">
        <v>299</v>
      </c>
      <c r="E341">
        <v>1110062010</v>
      </c>
      <c r="H341" t="s">
        <v>575</v>
      </c>
      <c r="K341" s="1633">
        <v>0</v>
      </c>
      <c r="M341" s="1633">
        <v>398679711</v>
      </c>
      <c r="O341" s="1633">
        <v>-398679711</v>
      </c>
      <c r="Q341">
        <v>-100</v>
      </c>
    </row>
    <row r="342" spans="3:18">
      <c r="C342" t="s">
        <v>297</v>
      </c>
      <c r="D342" t="s">
        <v>299</v>
      </c>
      <c r="E342">
        <v>1110062015</v>
      </c>
      <c r="H342" t="s">
        <v>576</v>
      </c>
      <c r="K342" s="1633">
        <v>0</v>
      </c>
      <c r="M342" s="1633">
        <v>-398679711</v>
      </c>
      <c r="O342" s="1633">
        <v>398679711</v>
      </c>
      <c r="Q342">
        <v>100</v>
      </c>
    </row>
    <row r="343" spans="3:18">
      <c r="C343" t="s">
        <v>297</v>
      </c>
      <c r="D343" t="s">
        <v>299</v>
      </c>
      <c r="E343">
        <v>1110062030</v>
      </c>
      <c r="H343" t="s">
        <v>1331</v>
      </c>
      <c r="K343" s="1633">
        <v>99762271429</v>
      </c>
      <c r="M343" s="1633">
        <v>41148530074</v>
      </c>
      <c r="O343" s="1633">
        <v>58613741355</v>
      </c>
      <c r="Q343">
        <v>142.4</v>
      </c>
    </row>
    <row r="344" spans="3:18">
      <c r="C344" t="s">
        <v>297</v>
      </c>
      <c r="D344" t="s">
        <v>299</v>
      </c>
      <c r="E344">
        <v>1110062035</v>
      </c>
      <c r="H344" s="1722" t="s">
        <v>1309</v>
      </c>
      <c r="K344" s="1633">
        <v>59669503350</v>
      </c>
      <c r="M344" s="1633">
        <v>-39834893722</v>
      </c>
      <c r="O344" s="1633">
        <v>99504397072</v>
      </c>
      <c r="Q344">
        <v>249.8</v>
      </c>
    </row>
    <row r="345" spans="3:18">
      <c r="C345" t="s">
        <v>297</v>
      </c>
      <c r="D345" t="s">
        <v>299</v>
      </c>
      <c r="E345">
        <v>1110701000</v>
      </c>
      <c r="H345" t="s">
        <v>577</v>
      </c>
      <c r="K345" s="1633">
        <v>1028031210</v>
      </c>
      <c r="M345" s="1633">
        <v>104125027</v>
      </c>
      <c r="O345" s="1633">
        <v>923906183</v>
      </c>
      <c r="Q345">
        <v>887.3</v>
      </c>
    </row>
    <row r="346" spans="3:18">
      <c r="C346" t="s">
        <v>297</v>
      </c>
      <c r="D346" t="s">
        <v>299</v>
      </c>
      <c r="E346">
        <v>1424040200</v>
      </c>
      <c r="H346" t="s">
        <v>578</v>
      </c>
      <c r="K346" s="1633">
        <v>2342029598</v>
      </c>
      <c r="M346" s="1633">
        <v>2208541977</v>
      </c>
      <c r="O346" s="1633">
        <v>133487621</v>
      </c>
      <c r="Q346">
        <v>6</v>
      </c>
    </row>
    <row r="347" spans="3:18">
      <c r="E347" t="s">
        <v>579</v>
      </c>
      <c r="K347" s="1633">
        <v>822230539327</v>
      </c>
      <c r="M347" s="1633">
        <v>298952021269</v>
      </c>
      <c r="O347" s="1633">
        <v>523278518058</v>
      </c>
      <c r="Q347">
        <v>175</v>
      </c>
      <c r="R347" t="s">
        <v>362</v>
      </c>
    </row>
    <row r="348" spans="3:18">
      <c r="E348" t="s">
        <v>580</v>
      </c>
      <c r="K348" s="1633">
        <v>822230539327</v>
      </c>
      <c r="M348" s="1633">
        <v>298952021269</v>
      </c>
      <c r="O348" s="1633">
        <v>523278518058</v>
      </c>
      <c r="Q348">
        <v>175</v>
      </c>
      <c r="R348" t="s">
        <v>392</v>
      </c>
    </row>
    <row r="350" spans="3:18">
      <c r="E350" t="s">
        <v>581</v>
      </c>
      <c r="K350" s="1633">
        <v>1962918785134</v>
      </c>
      <c r="M350" s="1633">
        <v>1431562124601</v>
      </c>
      <c r="O350" s="1633">
        <v>531356660533</v>
      </c>
      <c r="Q350">
        <v>37.1</v>
      </c>
      <c r="R350" t="s">
        <v>452</v>
      </c>
    </row>
    <row r="352" spans="3:18">
      <c r="E352" t="s">
        <v>582</v>
      </c>
      <c r="K352" s="1633">
        <v>24285033408063</v>
      </c>
      <c r="M352" s="1633">
        <v>23808061966282</v>
      </c>
      <c r="O352" s="1633">
        <v>476971441781</v>
      </c>
      <c r="Q352">
        <v>2</v>
      </c>
      <c r="R352" t="s">
        <v>583</v>
      </c>
    </row>
    <row r="356" spans="1:18">
      <c r="A356" t="s">
        <v>2619</v>
      </c>
    </row>
    <row r="357" spans="1:18">
      <c r="A357" t="s">
        <v>584</v>
      </c>
    </row>
    <row r="359" spans="1:18">
      <c r="A359" t="s">
        <v>296</v>
      </c>
      <c r="F359" t="s">
        <v>297</v>
      </c>
      <c r="G359" t="s">
        <v>298</v>
      </c>
      <c r="I359" t="s">
        <v>299</v>
      </c>
      <c r="N359" s="1633" t="s">
        <v>300</v>
      </c>
      <c r="P359" t="s">
        <v>106</v>
      </c>
    </row>
    <row r="361" spans="1:18">
      <c r="B361" t="s">
        <v>301</v>
      </c>
      <c r="C361" t="s">
        <v>302</v>
      </c>
      <c r="D361" t="s">
        <v>303</v>
      </c>
      <c r="E361" t="s">
        <v>304</v>
      </c>
      <c r="J361" t="s">
        <v>305</v>
      </c>
      <c r="L361" s="1633" t="s">
        <v>306</v>
      </c>
      <c r="O361" s="1633" t="s">
        <v>307</v>
      </c>
      <c r="Q361" t="s">
        <v>308</v>
      </c>
      <c r="R361" t="s">
        <v>309</v>
      </c>
    </row>
    <row r="362" spans="1:18">
      <c r="B362" t="s">
        <v>310</v>
      </c>
      <c r="C362" t="s">
        <v>311</v>
      </c>
      <c r="D362" t="s">
        <v>312</v>
      </c>
      <c r="E362" t="s">
        <v>313</v>
      </c>
      <c r="J362" t="s">
        <v>2620</v>
      </c>
      <c r="L362" s="1633" t="s">
        <v>1419</v>
      </c>
      <c r="O362" s="1633" t="s">
        <v>314</v>
      </c>
      <c r="Q362" t="s">
        <v>315</v>
      </c>
      <c r="R362" t="s">
        <v>316</v>
      </c>
    </row>
    <row r="364" spans="1:18">
      <c r="E364" t="s">
        <v>585</v>
      </c>
    </row>
    <row r="365" spans="1:18">
      <c r="E365" t="s">
        <v>586</v>
      </c>
    </row>
    <row r="366" spans="1:18">
      <c r="E366" t="s">
        <v>587</v>
      </c>
    </row>
    <row r="367" spans="1:18">
      <c r="C367" t="s">
        <v>297</v>
      </c>
      <c r="D367" t="s">
        <v>299</v>
      </c>
      <c r="E367">
        <v>3204010000</v>
      </c>
      <c r="H367" t="s">
        <v>588</v>
      </c>
      <c r="K367" s="1633">
        <v>-141552306853</v>
      </c>
      <c r="M367" s="1633">
        <v>-141552306853</v>
      </c>
      <c r="O367" s="1633">
        <v>0</v>
      </c>
    </row>
    <row r="368" spans="1:18">
      <c r="E368" t="s">
        <v>589</v>
      </c>
      <c r="K368" s="1633">
        <v>-141552306853</v>
      </c>
      <c r="M368" s="1633">
        <v>-141552306853</v>
      </c>
      <c r="O368" s="1633">
        <v>0</v>
      </c>
      <c r="R368" t="s">
        <v>392</v>
      </c>
    </row>
    <row r="370" spans="3:18">
      <c r="E370" t="s">
        <v>590</v>
      </c>
    </row>
    <row r="371" spans="3:18">
      <c r="E371" t="s">
        <v>591</v>
      </c>
    </row>
    <row r="372" spans="3:18">
      <c r="C372" t="s">
        <v>297</v>
      </c>
      <c r="D372" t="s">
        <v>299</v>
      </c>
      <c r="E372">
        <v>3215011000</v>
      </c>
      <c r="H372" t="s">
        <v>592</v>
      </c>
      <c r="K372" s="1633">
        <v>-41336655001</v>
      </c>
      <c r="M372" s="1633">
        <v>-41336655001</v>
      </c>
      <c r="O372" s="1633">
        <v>0</v>
      </c>
    </row>
    <row r="373" spans="3:18">
      <c r="C373" t="s">
        <v>297</v>
      </c>
      <c r="D373" t="s">
        <v>299</v>
      </c>
      <c r="E373">
        <v>3215011010</v>
      </c>
      <c r="H373" t="s">
        <v>593</v>
      </c>
      <c r="K373" s="1633">
        <v>-29439498547</v>
      </c>
      <c r="M373" s="1633">
        <v>-29439498547</v>
      </c>
      <c r="O373" s="1633">
        <v>0</v>
      </c>
    </row>
    <row r="374" spans="3:18">
      <c r="E374" t="s">
        <v>594</v>
      </c>
      <c r="K374" s="1633">
        <v>-70776153548</v>
      </c>
      <c r="M374" s="1633">
        <v>-70776153548</v>
      </c>
      <c r="O374" s="1633">
        <v>0</v>
      </c>
      <c r="R374" t="s">
        <v>362</v>
      </c>
    </row>
    <row r="375" spans="3:18">
      <c r="E375" t="s">
        <v>595</v>
      </c>
    </row>
    <row r="376" spans="3:18">
      <c r="C376" t="s">
        <v>297</v>
      </c>
      <c r="D376" t="s">
        <v>299</v>
      </c>
      <c r="E376">
        <v>3215035000</v>
      </c>
      <c r="H376" t="s">
        <v>596</v>
      </c>
      <c r="K376" s="1633">
        <v>-777776600072</v>
      </c>
      <c r="M376" s="1633">
        <v>-574655681080</v>
      </c>
      <c r="O376" s="1633">
        <v>-203120918992</v>
      </c>
      <c r="Q376">
        <v>-35.299999999999997</v>
      </c>
    </row>
    <row r="377" spans="3:18">
      <c r="C377" t="s">
        <v>297</v>
      </c>
      <c r="D377" t="s">
        <v>299</v>
      </c>
      <c r="E377">
        <v>3215035010</v>
      </c>
      <c r="H377" t="s">
        <v>2500</v>
      </c>
      <c r="K377" s="1633">
        <v>-1030716991274</v>
      </c>
      <c r="M377" s="1633">
        <v>0</v>
      </c>
      <c r="O377" s="1633">
        <v>-1030716991274</v>
      </c>
    </row>
    <row r="378" spans="3:18">
      <c r="C378" t="s">
        <v>297</v>
      </c>
      <c r="D378" t="s">
        <v>299</v>
      </c>
      <c r="E378">
        <v>3215035011</v>
      </c>
      <c r="H378" t="s">
        <v>597</v>
      </c>
      <c r="K378" s="1633">
        <v>-15228590300</v>
      </c>
      <c r="M378" s="1633">
        <v>-15228590300</v>
      </c>
      <c r="O378" s="1633">
        <v>0</v>
      </c>
    </row>
    <row r="379" spans="3:18">
      <c r="E379" t="s">
        <v>598</v>
      </c>
      <c r="K379" s="1633">
        <v>-1823722181646</v>
      </c>
      <c r="M379" s="1633">
        <v>-589884271380</v>
      </c>
      <c r="O379" s="1633">
        <v>-1233837910266</v>
      </c>
      <c r="Q379">
        <v>-209.2</v>
      </c>
      <c r="R379" t="s">
        <v>362</v>
      </c>
    </row>
    <row r="380" spans="3:18">
      <c r="E380" t="s">
        <v>599</v>
      </c>
      <c r="K380" s="1633">
        <v>-1894498335194</v>
      </c>
      <c r="M380" s="1633">
        <v>-660660424928</v>
      </c>
      <c r="O380" s="1633">
        <v>-1233837910266</v>
      </c>
      <c r="Q380">
        <v>-186.8</v>
      </c>
      <c r="R380" t="s">
        <v>392</v>
      </c>
    </row>
    <row r="382" spans="3:18">
      <c r="E382" t="s">
        <v>600</v>
      </c>
    </row>
    <row r="383" spans="3:18">
      <c r="C383" t="s">
        <v>297</v>
      </c>
      <c r="D383" t="s">
        <v>299</v>
      </c>
      <c r="E383">
        <v>3210010000</v>
      </c>
      <c r="H383" t="s">
        <v>601</v>
      </c>
      <c r="K383" s="1633">
        <v>-326596239967</v>
      </c>
      <c r="M383" s="1633">
        <v>-326596239967</v>
      </c>
      <c r="O383" s="1633">
        <v>0</v>
      </c>
    </row>
    <row r="384" spans="3:18">
      <c r="C384" t="s">
        <v>297</v>
      </c>
      <c r="D384" t="s">
        <v>299</v>
      </c>
      <c r="E384">
        <v>3210011000</v>
      </c>
      <c r="H384" t="s">
        <v>602</v>
      </c>
      <c r="K384" s="1633">
        <v>-1747662980946</v>
      </c>
      <c r="M384" s="1633">
        <v>-1747662980946</v>
      </c>
      <c r="O384" s="1633">
        <v>0</v>
      </c>
    </row>
    <row r="385" spans="3:18">
      <c r="E385" t="s">
        <v>603</v>
      </c>
      <c r="K385" s="1633">
        <v>-2074259220913</v>
      </c>
      <c r="M385" s="1633">
        <v>-2074259220913</v>
      </c>
      <c r="O385" s="1633">
        <v>0</v>
      </c>
      <c r="R385" t="s">
        <v>392</v>
      </c>
    </row>
    <row r="387" spans="3:18">
      <c r="E387" t="s">
        <v>604</v>
      </c>
    </row>
    <row r="388" spans="3:18">
      <c r="C388" t="s">
        <v>297</v>
      </c>
      <c r="D388" t="s">
        <v>299</v>
      </c>
      <c r="E388">
        <v>3225011000</v>
      </c>
      <c r="H388" t="s">
        <v>605</v>
      </c>
      <c r="K388" s="1633">
        <v>-1664673162342</v>
      </c>
      <c r="M388" s="1633">
        <v>-1664673162342</v>
      </c>
      <c r="O388" s="1633">
        <v>0</v>
      </c>
    </row>
    <row r="389" spans="3:18">
      <c r="C389" t="s">
        <v>297</v>
      </c>
      <c r="D389" t="s">
        <v>299</v>
      </c>
      <c r="E389">
        <v>3225011100</v>
      </c>
      <c r="H389" t="s">
        <v>606</v>
      </c>
      <c r="K389" s="1633">
        <v>396411810747</v>
      </c>
      <c r="M389" s="1633">
        <v>396411810747</v>
      </c>
      <c r="O389" s="1633">
        <v>0</v>
      </c>
    </row>
    <row r="390" spans="3:18">
      <c r="E390" t="s">
        <v>607</v>
      </c>
      <c r="K390" s="1633">
        <v>-1268261351595</v>
      </c>
      <c r="M390" s="1633">
        <v>-1268261351595</v>
      </c>
      <c r="O390" s="1633">
        <v>0</v>
      </c>
      <c r="R390" t="s">
        <v>392</v>
      </c>
    </row>
    <row r="392" spans="3:18">
      <c r="E392" t="s">
        <v>608</v>
      </c>
    </row>
    <row r="393" spans="3:18">
      <c r="C393" t="s">
        <v>297</v>
      </c>
      <c r="D393" t="s">
        <v>299</v>
      </c>
      <c r="E393">
        <v>3290010100</v>
      </c>
      <c r="H393" t="s">
        <v>609</v>
      </c>
      <c r="K393" s="1633">
        <v>6456218752</v>
      </c>
      <c r="M393" s="1633">
        <v>-12128730045</v>
      </c>
      <c r="O393" s="1633">
        <v>18584948797</v>
      </c>
      <c r="Q393">
        <v>153.19999999999999</v>
      </c>
    </row>
    <row r="394" spans="3:18">
      <c r="C394" t="s">
        <v>297</v>
      </c>
      <c r="D394" t="s">
        <v>299</v>
      </c>
      <c r="E394">
        <v>3290010102</v>
      </c>
      <c r="H394" t="s">
        <v>609</v>
      </c>
      <c r="K394" s="1633">
        <v>-161464518132</v>
      </c>
      <c r="M394" s="1633">
        <v>-207982319149</v>
      </c>
      <c r="O394" s="1633">
        <v>46517801017</v>
      </c>
      <c r="Q394">
        <v>22.4</v>
      </c>
    </row>
    <row r="395" spans="3:18">
      <c r="C395" t="s">
        <v>297</v>
      </c>
      <c r="D395" t="s">
        <v>299</v>
      </c>
      <c r="E395">
        <v>3290010105</v>
      </c>
      <c r="H395" t="s">
        <v>1332</v>
      </c>
      <c r="K395" s="1633">
        <v>-2693824980</v>
      </c>
      <c r="M395" s="1633">
        <v>-5998772144</v>
      </c>
      <c r="O395" s="1633">
        <v>3304947164</v>
      </c>
      <c r="Q395">
        <v>55.1</v>
      </c>
    </row>
    <row r="396" spans="3:18">
      <c r="C396" t="s">
        <v>297</v>
      </c>
      <c r="D396" t="s">
        <v>299</v>
      </c>
      <c r="E396">
        <v>3290010200</v>
      </c>
      <c r="H396" t="s">
        <v>610</v>
      </c>
      <c r="K396" s="1633">
        <v>-51165668274</v>
      </c>
      <c r="M396" s="1633">
        <v>-51165668274</v>
      </c>
      <c r="O396" s="1633">
        <v>0</v>
      </c>
    </row>
    <row r="397" spans="3:18">
      <c r="C397" t="s">
        <v>297</v>
      </c>
      <c r="D397" t="s">
        <v>299</v>
      </c>
      <c r="E397">
        <v>3290010900</v>
      </c>
      <c r="H397" t="s">
        <v>611</v>
      </c>
      <c r="K397" s="1633">
        <v>16884670530</v>
      </c>
      <c r="M397" s="1633">
        <v>16884670530</v>
      </c>
      <c r="O397" s="1633">
        <v>0</v>
      </c>
    </row>
    <row r="398" spans="3:18">
      <c r="C398" t="s">
        <v>297</v>
      </c>
      <c r="D398" t="s">
        <v>299</v>
      </c>
      <c r="E398">
        <v>3290010910</v>
      </c>
      <c r="H398" t="s">
        <v>612</v>
      </c>
      <c r="K398" s="1633">
        <v>-2127925510</v>
      </c>
      <c r="M398" s="1633">
        <v>4001905956</v>
      </c>
      <c r="O398" s="1633">
        <v>-6129831466</v>
      </c>
      <c r="Q398">
        <v>-153.19999999999999</v>
      </c>
    </row>
    <row r="399" spans="3:18">
      <c r="C399" t="s">
        <v>297</v>
      </c>
      <c r="D399" t="s">
        <v>299</v>
      </c>
      <c r="E399">
        <v>3290010911</v>
      </c>
      <c r="H399" t="s">
        <v>613</v>
      </c>
      <c r="K399" s="1633">
        <v>53283290982</v>
      </c>
      <c r="M399" s="1633">
        <v>68634165319</v>
      </c>
      <c r="O399" s="1633">
        <v>-15350874337</v>
      </c>
      <c r="Q399">
        <v>-22.4</v>
      </c>
    </row>
    <row r="400" spans="3:18">
      <c r="C400" t="s">
        <v>297</v>
      </c>
      <c r="D400" t="s">
        <v>299</v>
      </c>
      <c r="E400">
        <v>3290010915</v>
      </c>
      <c r="H400" t="s">
        <v>1333</v>
      </c>
      <c r="K400" s="1633">
        <v>888962243</v>
      </c>
      <c r="M400" s="1633">
        <v>1979594808</v>
      </c>
      <c r="O400" s="1633">
        <v>-1090632565</v>
      </c>
      <c r="Q400">
        <v>-55.1</v>
      </c>
    </row>
    <row r="401" spans="3:18">
      <c r="E401" t="s">
        <v>614</v>
      </c>
      <c r="K401" s="1633">
        <v>-139938794389</v>
      </c>
      <c r="M401" s="1633">
        <v>-185775152999</v>
      </c>
      <c r="O401" s="1633">
        <v>45836358610</v>
      </c>
      <c r="Q401">
        <v>24.7</v>
      </c>
      <c r="R401" t="s">
        <v>392</v>
      </c>
    </row>
    <row r="403" spans="3:18">
      <c r="E403" t="s">
        <v>615</v>
      </c>
      <c r="K403" s="1633">
        <v>-4980162816306</v>
      </c>
      <c r="M403" s="1633">
        <v>-1233837910266</v>
      </c>
      <c r="O403" s="1633">
        <v>-3746324906040</v>
      </c>
      <c r="Q403">
        <v>-303.60000000000002</v>
      </c>
      <c r="R403" t="s">
        <v>392</v>
      </c>
    </row>
    <row r="405" spans="3:18">
      <c r="E405" t="s">
        <v>616</v>
      </c>
      <c r="K405" s="1633">
        <v>-10498672825250</v>
      </c>
      <c r="M405" s="1633">
        <v>-5564346367554</v>
      </c>
      <c r="O405" s="1633">
        <v>-4934326457696</v>
      </c>
      <c r="Q405">
        <v>-88.7</v>
      </c>
      <c r="R405" t="s">
        <v>452</v>
      </c>
    </row>
    <row r="407" spans="3:18">
      <c r="E407" t="s">
        <v>617</v>
      </c>
    </row>
    <row r="408" spans="3:18">
      <c r="E408" t="s">
        <v>618</v>
      </c>
    </row>
    <row r="409" spans="3:18">
      <c r="E409" t="s">
        <v>619</v>
      </c>
    </row>
    <row r="410" spans="3:18">
      <c r="E410" t="s">
        <v>620</v>
      </c>
    </row>
    <row r="411" spans="3:18">
      <c r="C411" t="s">
        <v>297</v>
      </c>
      <c r="D411" t="s">
        <v>299</v>
      </c>
      <c r="E411">
        <v>2307101000</v>
      </c>
      <c r="H411" t="s">
        <v>621</v>
      </c>
      <c r="K411" s="1633">
        <v>-3564025634178</v>
      </c>
      <c r="M411" s="1633">
        <v>-3565079545905</v>
      </c>
      <c r="O411" s="1633">
        <v>1053911727</v>
      </c>
    </row>
    <row r="412" spans="3:18">
      <c r="C412" t="s">
        <v>297</v>
      </c>
      <c r="D412" t="s">
        <v>299</v>
      </c>
      <c r="E412">
        <v>2915181000</v>
      </c>
      <c r="H412" t="s">
        <v>622</v>
      </c>
      <c r="K412" s="1633">
        <v>-4308936778</v>
      </c>
      <c r="M412" s="1633">
        <v>-5322804254</v>
      </c>
      <c r="O412" s="1633">
        <v>1013867476</v>
      </c>
      <c r="Q412">
        <v>19</v>
      </c>
    </row>
    <row r="413" spans="3:18">
      <c r="E413" t="s">
        <v>623</v>
      </c>
      <c r="K413" s="1633">
        <v>-3568334570956</v>
      </c>
      <c r="M413" s="1633">
        <v>-3570402350159</v>
      </c>
      <c r="O413" s="1633">
        <v>2067779203</v>
      </c>
      <c r="Q413">
        <v>0.1</v>
      </c>
      <c r="R413" t="s">
        <v>327</v>
      </c>
    </row>
    <row r="414" spans="3:18">
      <c r="E414" t="s">
        <v>624</v>
      </c>
    </row>
    <row r="415" spans="3:18">
      <c r="C415" t="s">
        <v>297</v>
      </c>
      <c r="D415" t="s">
        <v>299</v>
      </c>
      <c r="E415">
        <v>2309011000</v>
      </c>
      <c r="H415" t="s">
        <v>10</v>
      </c>
      <c r="K415" s="1633">
        <v>-2685817606229</v>
      </c>
      <c r="M415" s="1633">
        <v>-2717754971274</v>
      </c>
      <c r="O415" s="1633">
        <v>31937365045</v>
      </c>
      <c r="Q415">
        <v>1.2</v>
      </c>
    </row>
    <row r="416" spans="3:18">
      <c r="E416" t="s">
        <v>625</v>
      </c>
      <c r="K416" s="1633">
        <v>-2685817606229</v>
      </c>
      <c r="M416" s="1633">
        <v>-2717754971274</v>
      </c>
      <c r="O416" s="1633">
        <v>31937365045</v>
      </c>
      <c r="Q416">
        <v>1.2</v>
      </c>
      <c r="R416" t="s">
        <v>327</v>
      </c>
    </row>
    <row r="417" spans="3:18">
      <c r="E417" t="s">
        <v>1372</v>
      </c>
    </row>
    <row r="418" spans="3:18">
      <c r="C418" t="s">
        <v>297</v>
      </c>
      <c r="D418" t="s">
        <v>299</v>
      </c>
      <c r="E418">
        <v>2307011000</v>
      </c>
      <c r="H418" t="s">
        <v>626</v>
      </c>
      <c r="K418" s="1633">
        <v>-3423326949243</v>
      </c>
      <c r="M418" s="1633">
        <v>-3376589416246</v>
      </c>
      <c r="O418" s="1633">
        <v>-46737532997</v>
      </c>
      <c r="Q418">
        <v>-1.4</v>
      </c>
    </row>
    <row r="419" spans="3:18">
      <c r="C419" t="s">
        <v>297</v>
      </c>
      <c r="D419" t="s">
        <v>299</v>
      </c>
      <c r="E419">
        <v>2307011010</v>
      </c>
      <c r="H419" t="s">
        <v>1334</v>
      </c>
      <c r="K419" s="1633">
        <v>9972291394</v>
      </c>
      <c r="M419" s="1633">
        <v>18601695346</v>
      </c>
      <c r="O419" s="1633">
        <v>-8629403952</v>
      </c>
      <c r="Q419">
        <v>-46.4</v>
      </c>
    </row>
    <row r="420" spans="3:18">
      <c r="E420" t="s">
        <v>1373</v>
      </c>
      <c r="K420" s="1633">
        <v>-3413354657849</v>
      </c>
      <c r="M420" s="1633">
        <v>-3357987720900</v>
      </c>
      <c r="O420" s="1633">
        <v>-55366936949</v>
      </c>
      <c r="Q420">
        <v>-1.6</v>
      </c>
      <c r="R420" t="s">
        <v>327</v>
      </c>
    </row>
    <row r="421" spans="3:18">
      <c r="E421" t="s">
        <v>627</v>
      </c>
    </row>
    <row r="422" spans="3:18">
      <c r="C422" t="s">
        <v>297</v>
      </c>
      <c r="D422" t="s">
        <v>299</v>
      </c>
      <c r="E422">
        <v>2304060100</v>
      </c>
      <c r="H422" t="s">
        <v>628</v>
      </c>
      <c r="K422" s="1633">
        <v>-2540068655436</v>
      </c>
      <c r="M422" s="1633">
        <v>-2540445041909</v>
      </c>
      <c r="O422" s="1633">
        <v>376386473</v>
      </c>
    </row>
    <row r="423" spans="3:18">
      <c r="E423" t="s">
        <v>629</v>
      </c>
      <c r="K423" s="1633">
        <v>-2540068655436</v>
      </c>
      <c r="M423" s="1633">
        <v>-2540445041909</v>
      </c>
      <c r="O423" s="1633">
        <v>376386473</v>
      </c>
      <c r="R423" t="s">
        <v>327</v>
      </c>
    </row>
    <row r="424" spans="3:18">
      <c r="E424" t="s">
        <v>630</v>
      </c>
    </row>
    <row r="425" spans="3:18">
      <c r="C425" t="s">
        <v>297</v>
      </c>
      <c r="D425" t="s">
        <v>299</v>
      </c>
      <c r="E425">
        <v>2307091000</v>
      </c>
      <c r="H425" t="s">
        <v>631</v>
      </c>
      <c r="K425" s="1633">
        <v>-67432298619</v>
      </c>
      <c r="M425" s="1633">
        <v>-72651826083</v>
      </c>
      <c r="O425" s="1633">
        <v>5219527464</v>
      </c>
      <c r="Q425">
        <v>7.2</v>
      </c>
    </row>
    <row r="426" spans="3:18">
      <c r="E426" t="s">
        <v>632</v>
      </c>
      <c r="K426" s="1633">
        <v>-67432298619</v>
      </c>
      <c r="M426" s="1633">
        <v>-72651826083</v>
      </c>
      <c r="O426" s="1633">
        <v>5219527464</v>
      </c>
      <c r="Q426">
        <v>7.2</v>
      </c>
      <c r="R426" t="s">
        <v>327</v>
      </c>
    </row>
    <row r="427" spans="3:18">
      <c r="E427" t="s">
        <v>633</v>
      </c>
    </row>
    <row r="428" spans="3:18">
      <c r="C428" t="s">
        <v>297</v>
      </c>
      <c r="D428" t="s">
        <v>299</v>
      </c>
      <c r="E428">
        <v>2404010111</v>
      </c>
      <c r="H428" t="s">
        <v>634</v>
      </c>
      <c r="K428" s="1633">
        <v>-1821086815</v>
      </c>
      <c r="M428" s="1633">
        <v>-682247239</v>
      </c>
      <c r="O428" s="1633">
        <v>-1138839576</v>
      </c>
      <c r="Q428">
        <v>-166.9</v>
      </c>
    </row>
    <row r="429" spans="3:18">
      <c r="C429" t="s">
        <v>297</v>
      </c>
      <c r="D429" t="s">
        <v>299</v>
      </c>
      <c r="E429">
        <v>2404010112</v>
      </c>
      <c r="H429" t="s">
        <v>1178</v>
      </c>
      <c r="K429" s="1633">
        <v>-6183513639</v>
      </c>
      <c r="M429" s="1633">
        <v>-6198223036</v>
      </c>
      <c r="O429" s="1633">
        <v>14709397</v>
      </c>
      <c r="Q429">
        <v>0.2</v>
      </c>
    </row>
    <row r="430" spans="3:18">
      <c r="C430" t="s">
        <v>297</v>
      </c>
      <c r="D430" t="s">
        <v>299</v>
      </c>
      <c r="E430">
        <v>2404010120</v>
      </c>
      <c r="H430" t="s">
        <v>635</v>
      </c>
      <c r="K430" s="1633">
        <v>-62172884719</v>
      </c>
      <c r="M430" s="1633">
        <v>-58166473360</v>
      </c>
      <c r="O430" s="1633">
        <v>-4006411359</v>
      </c>
      <c r="Q430">
        <v>-6.9</v>
      </c>
    </row>
    <row r="431" spans="3:18">
      <c r="C431" t="s">
        <v>297</v>
      </c>
      <c r="D431" t="s">
        <v>299</v>
      </c>
      <c r="E431">
        <v>2404010130</v>
      </c>
      <c r="H431" t="s">
        <v>636</v>
      </c>
      <c r="K431" s="1633">
        <v>-11619873419</v>
      </c>
      <c r="M431" s="1633">
        <v>-11419954390</v>
      </c>
      <c r="O431" s="1633">
        <v>-199919029</v>
      </c>
      <c r="Q431">
        <v>-1.8</v>
      </c>
    </row>
    <row r="432" spans="3:18">
      <c r="C432" t="s">
        <v>297</v>
      </c>
      <c r="D432" t="s">
        <v>299</v>
      </c>
      <c r="E432">
        <v>2404010197</v>
      </c>
      <c r="H432" t="s">
        <v>637</v>
      </c>
      <c r="K432" s="1633">
        <v>1137307033</v>
      </c>
      <c r="M432" s="1633">
        <v>682033448</v>
      </c>
      <c r="O432" s="1633">
        <v>455273585</v>
      </c>
      <c r="Q432">
        <v>66.8</v>
      </c>
    </row>
    <row r="433" spans="3:18">
      <c r="C433" t="s">
        <v>297</v>
      </c>
      <c r="D433" t="s">
        <v>299</v>
      </c>
      <c r="E433">
        <v>2404010199</v>
      </c>
      <c r="H433" t="s">
        <v>638</v>
      </c>
      <c r="K433" s="1633">
        <v>24681895813</v>
      </c>
      <c r="M433" s="1633">
        <v>21510441823</v>
      </c>
      <c r="O433" s="1633">
        <v>3171453990</v>
      </c>
      <c r="Q433">
        <v>14.7</v>
      </c>
    </row>
    <row r="434" spans="3:18">
      <c r="C434" t="s">
        <v>297</v>
      </c>
      <c r="D434" t="s">
        <v>299</v>
      </c>
      <c r="E434">
        <v>2404010200</v>
      </c>
      <c r="H434" t="s">
        <v>1361</v>
      </c>
      <c r="K434" s="1633">
        <v>-11918816557</v>
      </c>
      <c r="M434" s="1633">
        <v>-8459763628</v>
      </c>
      <c r="O434" s="1633">
        <v>-3459052929</v>
      </c>
      <c r="Q434">
        <v>-40.9</v>
      </c>
    </row>
    <row r="435" spans="3:18">
      <c r="E435" t="s">
        <v>639</v>
      </c>
      <c r="K435" s="1633">
        <v>-67896972303</v>
      </c>
      <c r="M435" s="1633">
        <v>-62734186382</v>
      </c>
      <c r="O435" s="1633">
        <v>-5162785921</v>
      </c>
      <c r="Q435">
        <v>-8.1999999999999993</v>
      </c>
      <c r="R435" t="s">
        <v>327</v>
      </c>
    </row>
    <row r="436" spans="3:18">
      <c r="E436" t="s">
        <v>640</v>
      </c>
      <c r="K436" s="1633">
        <v>-12342904761392</v>
      </c>
      <c r="M436" s="1633">
        <v>-12321976096707</v>
      </c>
      <c r="O436" s="1633">
        <v>-20928664685</v>
      </c>
      <c r="Q436">
        <v>-0.2</v>
      </c>
      <c r="R436" t="s">
        <v>362</v>
      </c>
    </row>
    <row r="437" spans="3:18">
      <c r="E437" t="s">
        <v>1267</v>
      </c>
    </row>
    <row r="438" spans="3:18">
      <c r="C438" t="s">
        <v>297</v>
      </c>
      <c r="D438" t="s">
        <v>299</v>
      </c>
      <c r="E438">
        <v>2312021998</v>
      </c>
      <c r="H438" t="s">
        <v>1335</v>
      </c>
      <c r="K438" s="1633">
        <v>-9972291394</v>
      </c>
      <c r="M438" s="1633">
        <v>-18601695346</v>
      </c>
      <c r="O438" s="1633">
        <v>8629403952</v>
      </c>
      <c r="Q438">
        <v>46.4</v>
      </c>
    </row>
    <row r="439" spans="3:18">
      <c r="E439" t="s">
        <v>1268</v>
      </c>
      <c r="K439" s="1633">
        <v>-9972291394</v>
      </c>
      <c r="M439" s="1633">
        <v>-18601695346</v>
      </c>
      <c r="O439" s="1633">
        <v>8629403952</v>
      </c>
      <c r="Q439">
        <v>46.4</v>
      </c>
      <c r="R439" t="s">
        <v>362</v>
      </c>
    </row>
    <row r="440" spans="3:18">
      <c r="E440" t="s">
        <v>641</v>
      </c>
    </row>
    <row r="441" spans="3:18">
      <c r="C441" t="s">
        <v>297</v>
      </c>
      <c r="D441" t="s">
        <v>299</v>
      </c>
      <c r="E441">
        <v>1910871000</v>
      </c>
      <c r="H441" t="s">
        <v>642</v>
      </c>
      <c r="K441" s="1633">
        <v>0</v>
      </c>
      <c r="M441" s="1633">
        <v>2147561866</v>
      </c>
      <c r="O441" s="1633">
        <v>-2147561866</v>
      </c>
      <c r="Q441">
        <v>-100</v>
      </c>
    </row>
    <row r="442" spans="3:18">
      <c r="C442" t="s">
        <v>297</v>
      </c>
      <c r="D442" t="s">
        <v>299</v>
      </c>
      <c r="E442">
        <v>1910871200</v>
      </c>
      <c r="H442" t="s">
        <v>643</v>
      </c>
      <c r="K442" s="1633">
        <v>0</v>
      </c>
      <c r="M442" s="1633">
        <v>1511318138</v>
      </c>
      <c r="O442" s="1633">
        <v>-1511318138</v>
      </c>
      <c r="Q442">
        <v>-100</v>
      </c>
    </row>
    <row r="443" spans="3:18">
      <c r="C443" t="s">
        <v>297</v>
      </c>
      <c r="D443" t="s">
        <v>299</v>
      </c>
      <c r="E443">
        <v>1910871300</v>
      </c>
      <c r="H443" t="s">
        <v>644</v>
      </c>
      <c r="K443" s="1633">
        <v>0</v>
      </c>
      <c r="M443" s="1633">
        <v>610690054752</v>
      </c>
      <c r="O443" s="1633">
        <v>-610690054752</v>
      </c>
      <c r="Q443">
        <v>-100</v>
      </c>
    </row>
    <row r="444" spans="3:18">
      <c r="C444" t="s">
        <v>297</v>
      </c>
      <c r="D444" t="s">
        <v>299</v>
      </c>
      <c r="E444">
        <v>1910871600</v>
      </c>
      <c r="H444" t="s">
        <v>645</v>
      </c>
      <c r="K444" s="1633">
        <v>0</v>
      </c>
      <c r="M444" s="1633">
        <v>35122619921</v>
      </c>
      <c r="O444" s="1633">
        <v>-35122619921</v>
      </c>
      <c r="Q444">
        <v>-100</v>
      </c>
    </row>
    <row r="445" spans="3:18">
      <c r="C445" t="s">
        <v>297</v>
      </c>
      <c r="D445" t="s">
        <v>299</v>
      </c>
      <c r="E445">
        <v>1910871800</v>
      </c>
      <c r="H445" t="s">
        <v>646</v>
      </c>
      <c r="K445" s="1633">
        <v>0</v>
      </c>
      <c r="M445" s="1633">
        <v>68905016748</v>
      </c>
      <c r="O445" s="1633">
        <v>-68905016748</v>
      </c>
      <c r="Q445">
        <v>-100</v>
      </c>
    </row>
    <row r="446" spans="3:18">
      <c r="C446" t="s">
        <v>297</v>
      </c>
      <c r="D446" t="s">
        <v>299</v>
      </c>
      <c r="E446">
        <v>1910872200</v>
      </c>
      <c r="H446" t="s">
        <v>647</v>
      </c>
      <c r="K446" s="1633">
        <v>0</v>
      </c>
      <c r="M446" s="1633">
        <v>57141409508</v>
      </c>
      <c r="O446" s="1633">
        <v>-57141409508</v>
      </c>
      <c r="Q446">
        <v>-100</v>
      </c>
    </row>
    <row r="447" spans="3:18">
      <c r="C447" t="s">
        <v>297</v>
      </c>
      <c r="D447" t="s">
        <v>299</v>
      </c>
      <c r="E447">
        <v>2915021000</v>
      </c>
      <c r="H447" t="s">
        <v>642</v>
      </c>
      <c r="K447" s="1633">
        <v>0</v>
      </c>
      <c r="M447" s="1633">
        <v>-125544465156</v>
      </c>
      <c r="O447" s="1633">
        <v>125544465156</v>
      </c>
      <c r="Q447">
        <v>100</v>
      </c>
    </row>
    <row r="448" spans="3:18">
      <c r="C448" t="s">
        <v>297</v>
      </c>
      <c r="D448" t="s">
        <v>299</v>
      </c>
      <c r="E448">
        <v>2915021200</v>
      </c>
      <c r="H448" t="s">
        <v>643</v>
      </c>
      <c r="K448" s="1633">
        <v>0</v>
      </c>
      <c r="M448" s="1633">
        <v>-419418178</v>
      </c>
      <c r="O448" s="1633">
        <v>419418178</v>
      </c>
      <c r="Q448">
        <v>100</v>
      </c>
    </row>
    <row r="449" spans="3:18">
      <c r="C449" t="s">
        <v>297</v>
      </c>
      <c r="D449" t="s">
        <v>299</v>
      </c>
      <c r="E449">
        <v>2915021300</v>
      </c>
      <c r="H449" t="s">
        <v>644</v>
      </c>
      <c r="K449" s="1633">
        <v>0</v>
      </c>
      <c r="M449" s="1633">
        <v>-4973479843345</v>
      </c>
      <c r="O449" s="1633">
        <v>4973479843345</v>
      </c>
      <c r="Q449">
        <v>100</v>
      </c>
    </row>
    <row r="450" spans="3:18">
      <c r="C450" t="s">
        <v>297</v>
      </c>
      <c r="D450" t="s">
        <v>299</v>
      </c>
      <c r="E450">
        <v>2915021600</v>
      </c>
      <c r="H450" t="s">
        <v>645</v>
      </c>
      <c r="K450" s="1633">
        <v>0</v>
      </c>
      <c r="M450" s="1633">
        <v>-92444661677</v>
      </c>
      <c r="O450" s="1633">
        <v>92444661677</v>
      </c>
      <c r="Q450">
        <v>100</v>
      </c>
    </row>
    <row r="451" spans="3:18">
      <c r="C451" t="s">
        <v>297</v>
      </c>
      <c r="D451" t="s">
        <v>299</v>
      </c>
      <c r="E451">
        <v>2915022200</v>
      </c>
      <c r="H451" t="s">
        <v>647</v>
      </c>
      <c r="K451" s="1633">
        <v>0</v>
      </c>
      <c r="M451" s="1633">
        <v>-6723789487</v>
      </c>
      <c r="O451" s="1633">
        <v>6723789487</v>
      </c>
      <c r="Q451">
        <v>100</v>
      </c>
    </row>
    <row r="452" spans="3:18">
      <c r="E452" t="s">
        <v>648</v>
      </c>
      <c r="K452" s="1633">
        <v>0</v>
      </c>
      <c r="M452" s="1633">
        <v>-4423094196910</v>
      </c>
      <c r="O452" s="1633">
        <v>4423094196910</v>
      </c>
      <c r="Q452">
        <v>100</v>
      </c>
      <c r="R452" t="s">
        <v>362</v>
      </c>
    </row>
    <row r="453" spans="3:18">
      <c r="E453" t="s">
        <v>649</v>
      </c>
    </row>
    <row r="454" spans="3:18">
      <c r="E454" t="s">
        <v>650</v>
      </c>
    </row>
    <row r="455" spans="3:18">
      <c r="C455" t="s">
        <v>297</v>
      </c>
      <c r="D455" t="s">
        <v>299</v>
      </c>
      <c r="E455">
        <v>1901040100</v>
      </c>
      <c r="H455" t="s">
        <v>651</v>
      </c>
      <c r="K455" s="1633">
        <v>40820785070</v>
      </c>
      <c r="M455" s="1633">
        <v>39468364781</v>
      </c>
      <c r="O455" s="1633">
        <v>1352420289</v>
      </c>
      <c r="Q455">
        <v>3.4</v>
      </c>
    </row>
    <row r="456" spans="3:18">
      <c r="C456" t="s">
        <v>297</v>
      </c>
      <c r="D456" t="s">
        <v>299</v>
      </c>
      <c r="E456">
        <v>2720030000</v>
      </c>
      <c r="H456" t="s">
        <v>652</v>
      </c>
      <c r="K456" s="1633">
        <v>-54124792080</v>
      </c>
      <c r="M456" s="1633">
        <v>-53809442177</v>
      </c>
      <c r="O456" s="1633">
        <v>-315349903</v>
      </c>
      <c r="Q456">
        <v>-0.6</v>
      </c>
    </row>
    <row r="457" spans="3:18">
      <c r="C457" t="s">
        <v>297</v>
      </c>
      <c r="D457" t="s">
        <v>299</v>
      </c>
      <c r="E457">
        <v>2720050000</v>
      </c>
      <c r="H457" t="s">
        <v>653</v>
      </c>
      <c r="K457" s="1633">
        <v>-8841759699</v>
      </c>
      <c r="M457" s="1633">
        <v>-8841759699</v>
      </c>
      <c r="O457" s="1633">
        <v>0</v>
      </c>
    </row>
    <row r="458" spans="3:18">
      <c r="E458" t="s">
        <v>654</v>
      </c>
      <c r="K458" s="1633">
        <v>-22145766709</v>
      </c>
      <c r="M458" s="1633">
        <v>-23182837095</v>
      </c>
      <c r="O458" s="1633">
        <v>1037070386</v>
      </c>
      <c r="Q458">
        <v>4.5</v>
      </c>
      <c r="R458" t="s">
        <v>327</v>
      </c>
    </row>
    <row r="459" spans="3:18">
      <c r="E459" t="s">
        <v>655</v>
      </c>
    </row>
    <row r="460" spans="3:18">
      <c r="C460" t="s">
        <v>297</v>
      </c>
      <c r="D460" t="s">
        <v>299</v>
      </c>
      <c r="E460">
        <v>2710050000</v>
      </c>
      <c r="H460" t="s">
        <v>656</v>
      </c>
      <c r="K460" s="1633">
        <v>-5664339508</v>
      </c>
      <c r="M460" s="1633">
        <v>-6179224738</v>
      </c>
      <c r="O460" s="1633">
        <v>514885230</v>
      </c>
      <c r="Q460">
        <v>8.3000000000000007</v>
      </c>
    </row>
    <row r="461" spans="3:18">
      <c r="C461" t="s">
        <v>297</v>
      </c>
      <c r="D461" t="s">
        <v>299</v>
      </c>
      <c r="E461">
        <v>2710050010</v>
      </c>
      <c r="H461" t="s">
        <v>1440</v>
      </c>
      <c r="K461" s="1633">
        <v>-1077495573</v>
      </c>
      <c r="M461" s="1633">
        <v>-1077495573</v>
      </c>
      <c r="O461" s="1633">
        <v>0</v>
      </c>
    </row>
    <row r="462" spans="3:18">
      <c r="C462" t="s">
        <v>297</v>
      </c>
      <c r="D462" t="s">
        <v>299</v>
      </c>
      <c r="E462">
        <v>2710050100</v>
      </c>
      <c r="H462" t="s">
        <v>657</v>
      </c>
      <c r="K462" s="1633">
        <v>-43468476091</v>
      </c>
      <c r="M462" s="1633">
        <v>-39638167711</v>
      </c>
      <c r="O462" s="1633">
        <v>-3830308380</v>
      </c>
      <c r="Q462">
        <v>-9.6999999999999993</v>
      </c>
    </row>
    <row r="463" spans="3:18">
      <c r="C463" t="s">
        <v>297</v>
      </c>
      <c r="D463" t="s">
        <v>299</v>
      </c>
      <c r="E463">
        <v>2710050103</v>
      </c>
      <c r="H463" t="s">
        <v>658</v>
      </c>
      <c r="K463" s="1633">
        <v>1063599600</v>
      </c>
      <c r="M463" s="1633">
        <v>1756599600</v>
      </c>
      <c r="O463" s="1633">
        <v>-693000000</v>
      </c>
      <c r="Q463">
        <v>-39.5</v>
      </c>
    </row>
    <row r="464" spans="3:18">
      <c r="E464" t="s">
        <v>659</v>
      </c>
      <c r="K464" s="1633">
        <v>-49146711572</v>
      </c>
      <c r="M464" s="1633">
        <v>-45138288422</v>
      </c>
      <c r="O464" s="1633">
        <v>-4008423150</v>
      </c>
      <c r="Q464">
        <v>-8.9</v>
      </c>
      <c r="R464" t="s">
        <v>327</v>
      </c>
    </row>
    <row r="465" spans="3:18">
      <c r="E465" t="s">
        <v>660</v>
      </c>
    </row>
    <row r="466" spans="3:18">
      <c r="C466" t="s">
        <v>297</v>
      </c>
      <c r="D466" t="s">
        <v>299</v>
      </c>
      <c r="E466">
        <v>2715011000</v>
      </c>
      <c r="H466" t="s">
        <v>661</v>
      </c>
      <c r="K466" s="1633">
        <v>-5560784580</v>
      </c>
      <c r="M466" s="1633">
        <v>-5790349983</v>
      </c>
      <c r="O466" s="1633">
        <v>229565403</v>
      </c>
      <c r="Q466">
        <v>4</v>
      </c>
    </row>
    <row r="467" spans="3:18">
      <c r="C467" t="s">
        <v>297</v>
      </c>
      <c r="D467" t="s">
        <v>299</v>
      </c>
      <c r="E467">
        <v>2715121000</v>
      </c>
      <c r="H467" t="s">
        <v>662</v>
      </c>
      <c r="K467" s="1633">
        <v>-14727600518</v>
      </c>
      <c r="M467" s="1633">
        <v>-14759102148</v>
      </c>
      <c r="O467" s="1633">
        <v>31501630</v>
      </c>
      <c r="Q467">
        <v>0.2</v>
      </c>
    </row>
    <row r="468" spans="3:18">
      <c r="C468" t="s">
        <v>297</v>
      </c>
      <c r="D468" t="s">
        <v>299</v>
      </c>
      <c r="E468">
        <v>2715121100</v>
      </c>
      <c r="H468" t="s">
        <v>663</v>
      </c>
      <c r="K468" s="1633">
        <v>-582371178</v>
      </c>
      <c r="M468" s="1633">
        <v>-577200874</v>
      </c>
      <c r="O468" s="1633">
        <v>-5170304</v>
      </c>
      <c r="Q468">
        <v>-0.9</v>
      </c>
    </row>
    <row r="469" spans="3:18">
      <c r="C469" t="s">
        <v>297</v>
      </c>
      <c r="D469" t="s">
        <v>299</v>
      </c>
      <c r="E469">
        <v>2715900300</v>
      </c>
      <c r="H469" t="s">
        <v>664</v>
      </c>
      <c r="K469" s="1633">
        <v>-12623966544</v>
      </c>
      <c r="M469" s="1633">
        <v>-12510522938</v>
      </c>
      <c r="O469" s="1633">
        <v>-113443606</v>
      </c>
      <c r="Q469">
        <v>-0.9</v>
      </c>
    </row>
    <row r="470" spans="3:18">
      <c r="C470" t="s">
        <v>297</v>
      </c>
      <c r="D470" t="s">
        <v>299</v>
      </c>
      <c r="E470">
        <v>2715900400</v>
      </c>
      <c r="H470" t="s">
        <v>665</v>
      </c>
      <c r="K470" s="1633">
        <v>-3806045248</v>
      </c>
      <c r="M470" s="1633">
        <v>-3775004748</v>
      </c>
      <c r="O470" s="1633">
        <v>-31040500</v>
      </c>
      <c r="Q470">
        <v>-0.8</v>
      </c>
    </row>
    <row r="471" spans="3:18">
      <c r="C471" t="s">
        <v>297</v>
      </c>
      <c r="D471" t="s">
        <v>299</v>
      </c>
      <c r="E471">
        <v>2715900600</v>
      </c>
      <c r="H471" t="s">
        <v>666</v>
      </c>
      <c r="K471" s="1633">
        <v>-39579720278</v>
      </c>
      <c r="M471" s="1633">
        <v>-38961168690</v>
      </c>
      <c r="O471" s="1633">
        <v>-618551588</v>
      </c>
      <c r="Q471">
        <v>-1.6</v>
      </c>
    </row>
    <row r="472" spans="3:18">
      <c r="E472" t="s">
        <v>667</v>
      </c>
      <c r="K472" s="1633">
        <v>-76880488346</v>
      </c>
      <c r="M472" s="1633">
        <v>-76373349381</v>
      </c>
      <c r="O472" s="1633">
        <v>-507138965</v>
      </c>
      <c r="Q472">
        <v>-0.7</v>
      </c>
      <c r="R472" t="s">
        <v>327</v>
      </c>
    </row>
    <row r="473" spans="3:18">
      <c r="E473" t="s">
        <v>668</v>
      </c>
      <c r="K473" s="1633">
        <v>-148172966627</v>
      </c>
      <c r="M473" s="1633">
        <v>-144694474898</v>
      </c>
      <c r="O473" s="1633">
        <v>-3478491729</v>
      </c>
      <c r="Q473">
        <v>-2.4</v>
      </c>
      <c r="R473" t="s">
        <v>362</v>
      </c>
    </row>
    <row r="474" spans="3:18">
      <c r="E474" t="s">
        <v>669</v>
      </c>
    </row>
    <row r="475" spans="3:18">
      <c r="C475" t="s">
        <v>297</v>
      </c>
      <c r="D475" t="s">
        <v>299</v>
      </c>
      <c r="E475">
        <v>2453010300</v>
      </c>
      <c r="H475" t="s">
        <v>670</v>
      </c>
      <c r="K475" s="1633">
        <v>-2292029598</v>
      </c>
      <c r="M475" s="1633">
        <v>-2158541977</v>
      </c>
      <c r="O475" s="1633">
        <v>-133487621</v>
      </c>
      <c r="Q475">
        <v>-6.2</v>
      </c>
    </row>
    <row r="476" spans="3:18">
      <c r="E476" t="s">
        <v>671</v>
      </c>
      <c r="K476" s="1633">
        <v>-2292029598</v>
      </c>
      <c r="M476" s="1633">
        <v>-2158541977</v>
      </c>
      <c r="O476" s="1633">
        <v>-133487621</v>
      </c>
      <c r="Q476">
        <v>-6.2</v>
      </c>
      <c r="R476" t="s">
        <v>362</v>
      </c>
    </row>
    <row r="477" spans="3:18">
      <c r="E477" t="s">
        <v>672</v>
      </c>
      <c r="K477" s="1633">
        <v>-12503342049011</v>
      </c>
      <c r="M477" s="1633">
        <v>-16910525005838</v>
      </c>
      <c r="O477" s="1633">
        <v>4407182956827</v>
      </c>
      <c r="Q477">
        <v>26.1</v>
      </c>
      <c r="R477" t="s">
        <v>392</v>
      </c>
    </row>
    <row r="479" spans="3:18">
      <c r="E479" t="s">
        <v>673</v>
      </c>
    </row>
    <row r="480" spans="3:18">
      <c r="E480" t="s">
        <v>674</v>
      </c>
    </row>
    <row r="481" spans="3:17">
      <c r="E481" t="s">
        <v>675</v>
      </c>
    </row>
    <row r="482" spans="3:17">
      <c r="C482" t="s">
        <v>297</v>
      </c>
      <c r="D482" t="s">
        <v>299</v>
      </c>
      <c r="E482">
        <v>2401010100</v>
      </c>
      <c r="H482" t="s">
        <v>676</v>
      </c>
      <c r="K482" s="1633">
        <v>815314359</v>
      </c>
      <c r="M482" s="1633">
        <v>-38225226</v>
      </c>
      <c r="O482" s="1633">
        <v>853539585</v>
      </c>
      <c r="Q482">
        <v>2232.9</v>
      </c>
    </row>
    <row r="483" spans="3:17">
      <c r="C483" t="s">
        <v>297</v>
      </c>
      <c r="D483" t="s">
        <v>299</v>
      </c>
      <c r="E483">
        <v>2401010190</v>
      </c>
      <c r="H483" t="s">
        <v>677</v>
      </c>
      <c r="K483" s="1633">
        <v>-97538543913</v>
      </c>
      <c r="M483" s="1633">
        <v>-118565820032</v>
      </c>
      <c r="O483" s="1633">
        <v>21027276119</v>
      </c>
      <c r="Q483">
        <v>17.7</v>
      </c>
    </row>
    <row r="484" spans="3:17">
      <c r="C484" t="s">
        <v>297</v>
      </c>
      <c r="D484" t="s">
        <v>299</v>
      </c>
      <c r="E484">
        <v>2401010200</v>
      </c>
      <c r="H484" t="s">
        <v>678</v>
      </c>
      <c r="K484" s="1633">
        <v>80476829</v>
      </c>
      <c r="M484" s="1633">
        <v>-34441572</v>
      </c>
      <c r="O484" s="1633">
        <v>114918401</v>
      </c>
      <c r="Q484">
        <v>333.7</v>
      </c>
    </row>
    <row r="485" spans="3:17">
      <c r="C485" t="s">
        <v>297</v>
      </c>
      <c r="D485" t="s">
        <v>299</v>
      </c>
      <c r="E485">
        <v>2401010290</v>
      </c>
      <c r="H485" t="s">
        <v>679</v>
      </c>
      <c r="K485" s="1633">
        <v>-51918749286</v>
      </c>
      <c r="M485" s="1633">
        <v>-50493109916</v>
      </c>
      <c r="O485" s="1633">
        <v>-1425639370</v>
      </c>
      <c r="Q485">
        <v>-2.8</v>
      </c>
    </row>
    <row r="486" spans="3:17">
      <c r="C486" t="s">
        <v>297</v>
      </c>
      <c r="D486" t="s">
        <v>299</v>
      </c>
      <c r="E486">
        <v>2401010300</v>
      </c>
      <c r="H486" t="s">
        <v>680</v>
      </c>
      <c r="K486" s="1633">
        <v>-1420141674</v>
      </c>
      <c r="M486" s="1633">
        <v>-1597833547</v>
      </c>
      <c r="O486" s="1633">
        <v>177691873</v>
      </c>
      <c r="Q486">
        <v>11.1</v>
      </c>
    </row>
    <row r="487" spans="3:17">
      <c r="C487" t="s">
        <v>297</v>
      </c>
      <c r="D487" t="s">
        <v>299</v>
      </c>
      <c r="E487">
        <v>2401010400</v>
      </c>
      <c r="H487" t="s">
        <v>681</v>
      </c>
      <c r="K487" s="1633">
        <v>0</v>
      </c>
      <c r="M487" s="1633">
        <v>18985</v>
      </c>
      <c r="O487" s="1633">
        <v>-18985</v>
      </c>
      <c r="Q487">
        <v>-100</v>
      </c>
    </row>
    <row r="488" spans="3:17">
      <c r="C488" t="s">
        <v>297</v>
      </c>
      <c r="D488" t="s">
        <v>299</v>
      </c>
      <c r="E488">
        <v>2401010490</v>
      </c>
      <c r="H488" t="s">
        <v>682</v>
      </c>
      <c r="K488" s="1633">
        <v>-3198684026</v>
      </c>
      <c r="M488" s="1633">
        <v>-2483951312</v>
      </c>
      <c r="O488" s="1633">
        <v>-714732714</v>
      </c>
      <c r="Q488">
        <v>-28.8</v>
      </c>
    </row>
    <row r="489" spans="3:17">
      <c r="C489" t="s">
        <v>297</v>
      </c>
      <c r="D489" t="s">
        <v>299</v>
      </c>
      <c r="E489">
        <v>2401011000</v>
      </c>
      <c r="H489" t="s">
        <v>12</v>
      </c>
      <c r="K489" s="1633">
        <v>-870583519</v>
      </c>
      <c r="M489" s="1633">
        <v>-1421587470</v>
      </c>
      <c r="O489" s="1633">
        <v>551003951</v>
      </c>
      <c r="Q489">
        <v>38.799999999999997</v>
      </c>
    </row>
    <row r="490" spans="3:17">
      <c r="C490" t="s">
        <v>297</v>
      </c>
      <c r="D490" t="s">
        <v>299</v>
      </c>
      <c r="E490">
        <v>2401012000</v>
      </c>
      <c r="H490" t="s">
        <v>13</v>
      </c>
      <c r="K490" s="1633">
        <v>-30951543804</v>
      </c>
      <c r="M490" s="1633">
        <v>-30075898574</v>
      </c>
      <c r="O490" s="1633">
        <v>-875645230</v>
      </c>
      <c r="Q490">
        <v>-2.9</v>
      </c>
    </row>
    <row r="491" spans="3:17">
      <c r="C491" t="s">
        <v>297</v>
      </c>
      <c r="D491" t="s">
        <v>299</v>
      </c>
      <c r="E491">
        <v>2401012011</v>
      </c>
      <c r="H491" t="s">
        <v>2501</v>
      </c>
      <c r="K491" s="1633">
        <v>-500000000</v>
      </c>
      <c r="M491" s="1633">
        <v>0</v>
      </c>
      <c r="O491" s="1633">
        <v>-500000000</v>
      </c>
    </row>
    <row r="492" spans="3:17">
      <c r="C492" t="s">
        <v>297</v>
      </c>
      <c r="D492" t="s">
        <v>299</v>
      </c>
      <c r="E492">
        <v>2401018000</v>
      </c>
      <c r="H492" t="s">
        <v>683</v>
      </c>
      <c r="K492" s="1633">
        <v>-568037190</v>
      </c>
      <c r="M492" s="1633">
        <v>-422655912</v>
      </c>
      <c r="O492" s="1633">
        <v>-145381278</v>
      </c>
      <c r="Q492">
        <v>-34.4</v>
      </c>
    </row>
    <row r="493" spans="3:17">
      <c r="C493" t="s">
        <v>297</v>
      </c>
      <c r="D493" t="s">
        <v>299</v>
      </c>
      <c r="E493">
        <v>2401019000</v>
      </c>
      <c r="H493" t="s">
        <v>683</v>
      </c>
      <c r="K493" s="1633">
        <v>-3884258594</v>
      </c>
      <c r="M493" s="1633">
        <v>-435662988</v>
      </c>
      <c r="O493" s="1633">
        <v>-3448595606</v>
      </c>
      <c r="Q493">
        <v>-791.6</v>
      </c>
    </row>
    <row r="494" spans="3:17">
      <c r="C494" t="s">
        <v>297</v>
      </c>
      <c r="D494" t="s">
        <v>299</v>
      </c>
      <c r="E494">
        <v>2401019500</v>
      </c>
      <c r="H494" t="s">
        <v>14</v>
      </c>
      <c r="K494" s="1633">
        <v>-41153149</v>
      </c>
      <c r="M494" s="1633">
        <v>401252748</v>
      </c>
      <c r="O494" s="1633">
        <v>-442405897</v>
      </c>
      <c r="Q494">
        <v>-110.3</v>
      </c>
    </row>
    <row r="495" spans="3:17">
      <c r="C495" t="s">
        <v>297</v>
      </c>
      <c r="D495" t="s">
        <v>299</v>
      </c>
      <c r="E495">
        <v>2401020100</v>
      </c>
      <c r="H495" t="s">
        <v>684</v>
      </c>
      <c r="K495" s="1633">
        <v>-27198168</v>
      </c>
      <c r="M495" s="1633">
        <v>-26780547</v>
      </c>
      <c r="O495" s="1633">
        <v>-417621</v>
      </c>
      <c r="Q495">
        <v>-1.6</v>
      </c>
    </row>
    <row r="496" spans="3:17">
      <c r="C496" t="s">
        <v>297</v>
      </c>
      <c r="D496" t="s">
        <v>299</v>
      </c>
      <c r="E496">
        <v>2406010200</v>
      </c>
      <c r="H496" t="s">
        <v>15</v>
      </c>
      <c r="K496" s="1633">
        <v>-16677570106</v>
      </c>
      <c r="M496" s="1633">
        <v>-1819036575</v>
      </c>
      <c r="O496" s="1633">
        <v>-14858533531</v>
      </c>
      <c r="Q496">
        <v>-816.8</v>
      </c>
    </row>
    <row r="497" spans="3:18">
      <c r="C497" t="s">
        <v>297</v>
      </c>
      <c r="D497" t="s">
        <v>299</v>
      </c>
      <c r="E497">
        <v>2406010300</v>
      </c>
      <c r="H497" t="s">
        <v>15</v>
      </c>
      <c r="K497" s="1633">
        <v>-363006429</v>
      </c>
      <c r="M497" s="1633">
        <v>-6547654874</v>
      </c>
      <c r="O497" s="1633">
        <v>6184648445</v>
      </c>
      <c r="Q497">
        <v>94.5</v>
      </c>
    </row>
    <row r="498" spans="3:18">
      <c r="C498" t="s">
        <v>297</v>
      </c>
      <c r="D498" t="s">
        <v>299</v>
      </c>
      <c r="E498">
        <v>2406019502</v>
      </c>
      <c r="H498" t="s">
        <v>16</v>
      </c>
      <c r="K498" s="1633">
        <v>539271620</v>
      </c>
      <c r="M498" s="1633">
        <v>-1976359187</v>
      </c>
      <c r="O498" s="1633">
        <v>2515630807</v>
      </c>
      <c r="Q498">
        <v>127.3</v>
      </c>
    </row>
    <row r="499" spans="3:18">
      <c r="C499" t="s">
        <v>297</v>
      </c>
      <c r="D499" t="s">
        <v>299</v>
      </c>
      <c r="E499">
        <v>2453010399</v>
      </c>
      <c r="H499" t="s">
        <v>685</v>
      </c>
      <c r="K499" s="1633">
        <v>-50000000</v>
      </c>
      <c r="M499" s="1633">
        <v>-50000000</v>
      </c>
      <c r="O499" s="1633">
        <v>0</v>
      </c>
    </row>
    <row r="500" spans="3:18">
      <c r="E500" t="s">
        <v>686</v>
      </c>
      <c r="K500" s="1633">
        <v>-206574407050</v>
      </c>
      <c r="M500" s="1633">
        <v>-215587745999</v>
      </c>
      <c r="O500" s="1633">
        <v>9013338949</v>
      </c>
      <c r="Q500">
        <v>4.2</v>
      </c>
      <c r="R500" t="s">
        <v>327</v>
      </c>
    </row>
    <row r="501" spans="3:18">
      <c r="E501" t="s">
        <v>687</v>
      </c>
    </row>
    <row r="502" spans="3:18">
      <c r="C502" t="s">
        <v>297</v>
      </c>
      <c r="D502" t="s">
        <v>299</v>
      </c>
      <c r="E502">
        <v>2425040000</v>
      </c>
      <c r="H502" t="s">
        <v>688</v>
      </c>
      <c r="K502" s="1633">
        <v>-72094410</v>
      </c>
      <c r="M502" s="1633">
        <v>-117664117</v>
      </c>
      <c r="O502" s="1633">
        <v>45569707</v>
      </c>
      <c r="Q502">
        <v>38.700000000000003</v>
      </c>
    </row>
    <row r="503" spans="3:18">
      <c r="C503" t="s">
        <v>297</v>
      </c>
      <c r="D503" t="s">
        <v>299</v>
      </c>
      <c r="E503">
        <v>2425070000</v>
      </c>
      <c r="H503" t="s">
        <v>1388</v>
      </c>
      <c r="K503" s="1633">
        <v>-12941849</v>
      </c>
      <c r="M503" s="1633">
        <v>-645843</v>
      </c>
      <c r="O503" s="1633">
        <v>-12296006</v>
      </c>
      <c r="Q503">
        <v>-1903.9</v>
      </c>
    </row>
    <row r="504" spans="3:18">
      <c r="C504" t="s">
        <v>297</v>
      </c>
      <c r="D504" t="s">
        <v>299</v>
      </c>
      <c r="E504">
        <v>2425080000</v>
      </c>
      <c r="H504" t="s">
        <v>19</v>
      </c>
      <c r="K504" s="1633">
        <v>-11278466</v>
      </c>
      <c r="M504" s="1633">
        <v>-15132700</v>
      </c>
      <c r="O504" s="1633">
        <v>3854234</v>
      </c>
      <c r="Q504">
        <v>25.5</v>
      </c>
    </row>
    <row r="505" spans="3:18">
      <c r="C505" t="s">
        <v>297</v>
      </c>
      <c r="D505" t="s">
        <v>299</v>
      </c>
      <c r="E505">
        <v>2425100000</v>
      </c>
      <c r="H505" t="s">
        <v>20</v>
      </c>
      <c r="K505" s="1633">
        <v>-1213293720</v>
      </c>
      <c r="M505" s="1633">
        <v>-9449609039</v>
      </c>
      <c r="O505" s="1633">
        <v>8236315319</v>
      </c>
      <c r="Q505">
        <v>87.2</v>
      </c>
    </row>
    <row r="506" spans="3:18">
      <c r="C506" t="s">
        <v>297</v>
      </c>
      <c r="D506" t="s">
        <v>299</v>
      </c>
      <c r="E506">
        <v>2425180000</v>
      </c>
      <c r="H506" t="s">
        <v>689</v>
      </c>
      <c r="K506" s="1633">
        <v>-1212569000</v>
      </c>
      <c r="M506" s="1633">
        <v>-2242976900</v>
      </c>
      <c r="O506" s="1633">
        <v>1030407900</v>
      </c>
      <c r="Q506">
        <v>45.9</v>
      </c>
    </row>
    <row r="507" spans="3:18">
      <c r="C507" t="s">
        <v>297</v>
      </c>
      <c r="D507" t="s">
        <v>299</v>
      </c>
      <c r="E507">
        <v>2425180100</v>
      </c>
      <c r="H507" t="s">
        <v>2628</v>
      </c>
      <c r="K507" s="1633">
        <v>-295764599</v>
      </c>
      <c r="M507" s="1633">
        <v>0</v>
      </c>
      <c r="O507" s="1633">
        <v>-295764599</v>
      </c>
    </row>
    <row r="508" spans="3:18">
      <c r="C508" t="s">
        <v>297</v>
      </c>
      <c r="D508" t="s">
        <v>299</v>
      </c>
      <c r="E508">
        <v>2425190000</v>
      </c>
      <c r="H508" t="s">
        <v>690</v>
      </c>
      <c r="K508" s="1633">
        <v>-745298100</v>
      </c>
      <c r="M508" s="1633">
        <v>-1583214100</v>
      </c>
      <c r="O508" s="1633">
        <v>837916000</v>
      </c>
      <c r="Q508">
        <v>52.9</v>
      </c>
    </row>
    <row r="509" spans="3:18">
      <c r="C509" t="s">
        <v>297</v>
      </c>
      <c r="D509" t="s">
        <v>299</v>
      </c>
      <c r="E509">
        <v>2425200000</v>
      </c>
      <c r="H509" t="s">
        <v>691</v>
      </c>
      <c r="K509" s="1633">
        <v>-554939400</v>
      </c>
      <c r="M509" s="1633">
        <v>-1287086800</v>
      </c>
      <c r="O509" s="1633">
        <v>732147400</v>
      </c>
      <c r="Q509">
        <v>56.9</v>
      </c>
    </row>
    <row r="510" spans="3:18">
      <c r="C510" t="s">
        <v>297</v>
      </c>
      <c r="D510" t="s">
        <v>299</v>
      </c>
      <c r="E510">
        <v>2425210000</v>
      </c>
      <c r="H510" t="s">
        <v>2629</v>
      </c>
      <c r="K510" s="1633">
        <v>-16634228</v>
      </c>
      <c r="M510" s="1633">
        <v>0</v>
      </c>
      <c r="O510" s="1633">
        <v>-16634228</v>
      </c>
    </row>
    <row r="511" spans="3:18">
      <c r="C511" t="s">
        <v>297</v>
      </c>
      <c r="D511" t="s">
        <v>299</v>
      </c>
      <c r="E511">
        <v>2425230000</v>
      </c>
      <c r="H511" t="s">
        <v>2630</v>
      </c>
      <c r="K511" s="1633">
        <v>-849554560</v>
      </c>
      <c r="M511" s="1633">
        <v>0</v>
      </c>
      <c r="O511" s="1633">
        <v>-849554560</v>
      </c>
    </row>
    <row r="512" spans="3:18">
      <c r="C512" t="s">
        <v>297</v>
      </c>
      <c r="D512" t="s">
        <v>299</v>
      </c>
      <c r="E512">
        <v>2425240000</v>
      </c>
      <c r="H512" t="s">
        <v>692</v>
      </c>
      <c r="K512" s="1633">
        <v>-3563823</v>
      </c>
      <c r="M512" s="1633">
        <v>-1300593</v>
      </c>
      <c r="O512" s="1633">
        <v>-2263230</v>
      </c>
      <c r="Q512">
        <v>-174</v>
      </c>
    </row>
    <row r="513" spans="3:18">
      <c r="C513" t="s">
        <v>297</v>
      </c>
      <c r="D513" t="s">
        <v>299</v>
      </c>
      <c r="E513">
        <v>2425320000</v>
      </c>
      <c r="H513" t="s">
        <v>693</v>
      </c>
      <c r="K513" s="1633">
        <v>-276196500</v>
      </c>
      <c r="M513" s="1633">
        <v>-493617100</v>
      </c>
      <c r="O513" s="1633">
        <v>217420600</v>
      </c>
      <c r="Q513">
        <v>44</v>
      </c>
    </row>
    <row r="514" spans="3:18">
      <c r="C514" t="s">
        <v>297</v>
      </c>
      <c r="D514" t="s">
        <v>299</v>
      </c>
      <c r="E514">
        <v>2425350100</v>
      </c>
      <c r="H514" t="s">
        <v>694</v>
      </c>
      <c r="K514" s="1633">
        <v>-7635826</v>
      </c>
      <c r="M514" s="1633">
        <v>-6143920</v>
      </c>
      <c r="O514" s="1633">
        <v>-1491906</v>
      </c>
      <c r="Q514">
        <v>-24.3</v>
      </c>
    </row>
    <row r="515" spans="3:18">
      <c r="C515" t="s">
        <v>297</v>
      </c>
      <c r="D515" t="s">
        <v>299</v>
      </c>
      <c r="E515">
        <v>2425530100</v>
      </c>
      <c r="H515" t="s">
        <v>288</v>
      </c>
      <c r="K515" s="1633">
        <v>-448389773</v>
      </c>
      <c r="M515" s="1633">
        <v>0</v>
      </c>
      <c r="O515" s="1633">
        <v>-448389773</v>
      </c>
    </row>
    <row r="516" spans="3:18">
      <c r="C516" t="s">
        <v>297</v>
      </c>
      <c r="D516" t="s">
        <v>299</v>
      </c>
      <c r="E516">
        <v>2425900300</v>
      </c>
      <c r="H516" t="s">
        <v>2631</v>
      </c>
      <c r="K516" s="1633">
        <v>-3502250</v>
      </c>
      <c r="M516" s="1633">
        <v>0</v>
      </c>
      <c r="O516" s="1633">
        <v>-3502250</v>
      </c>
    </row>
    <row r="517" spans="3:18">
      <c r="C517" t="s">
        <v>297</v>
      </c>
      <c r="D517" t="s">
        <v>299</v>
      </c>
      <c r="E517">
        <v>2425900500</v>
      </c>
      <c r="H517" t="s">
        <v>695</v>
      </c>
      <c r="K517" s="1633">
        <v>-18725448</v>
      </c>
      <c r="M517" s="1633">
        <v>-24</v>
      </c>
      <c r="O517" s="1633">
        <v>-18725424</v>
      </c>
      <c r="Q517" t="s">
        <v>2632</v>
      </c>
    </row>
    <row r="518" spans="3:18">
      <c r="C518" t="s">
        <v>297</v>
      </c>
      <c r="D518" t="s">
        <v>299</v>
      </c>
      <c r="E518">
        <v>2425901300</v>
      </c>
      <c r="H518" t="s">
        <v>2361</v>
      </c>
      <c r="K518" s="1633">
        <v>-629567</v>
      </c>
      <c r="M518" s="1633">
        <v>0</v>
      </c>
      <c r="O518" s="1633">
        <v>-629567</v>
      </c>
    </row>
    <row r="519" spans="3:18">
      <c r="C519" t="s">
        <v>297</v>
      </c>
      <c r="D519" t="s">
        <v>299</v>
      </c>
      <c r="E519">
        <v>2425909090</v>
      </c>
      <c r="H519" t="s">
        <v>696</v>
      </c>
      <c r="K519" s="1633">
        <v>-617598701</v>
      </c>
      <c r="M519" s="1633">
        <v>-648344165</v>
      </c>
      <c r="O519" s="1633">
        <v>30745464</v>
      </c>
      <c r="Q519">
        <v>4.7</v>
      </c>
    </row>
    <row r="520" spans="3:18">
      <c r="C520" t="s">
        <v>297</v>
      </c>
      <c r="D520" t="s">
        <v>299</v>
      </c>
      <c r="E520">
        <v>2425909501</v>
      </c>
      <c r="H520" t="s">
        <v>16</v>
      </c>
      <c r="K520" s="1633">
        <v>-17257136</v>
      </c>
      <c r="M520" s="1633">
        <v>-12029687</v>
      </c>
      <c r="O520" s="1633">
        <v>-5227449</v>
      </c>
      <c r="Q520">
        <v>-43.5</v>
      </c>
    </row>
    <row r="521" spans="3:18">
      <c r="C521" t="s">
        <v>297</v>
      </c>
      <c r="D521" t="s">
        <v>299</v>
      </c>
      <c r="E521">
        <v>2430110200</v>
      </c>
      <c r="H521" t="s">
        <v>697</v>
      </c>
      <c r="K521" s="1633">
        <v>-286734636</v>
      </c>
      <c r="M521" s="1633">
        <v>-269972216</v>
      </c>
      <c r="O521" s="1633">
        <v>-16762420</v>
      </c>
      <c r="Q521">
        <v>-6.2</v>
      </c>
    </row>
    <row r="522" spans="3:18">
      <c r="E522" t="s">
        <v>698</v>
      </c>
      <c r="K522" s="1633">
        <v>-6664601992</v>
      </c>
      <c r="M522" s="1633">
        <v>-16127737204</v>
      </c>
      <c r="O522" s="1633">
        <v>9463135212</v>
      </c>
      <c r="Q522">
        <v>58.7</v>
      </c>
      <c r="R522" t="s">
        <v>327</v>
      </c>
    </row>
    <row r="523" spans="3:18">
      <c r="E523" t="s">
        <v>699</v>
      </c>
    </row>
    <row r="524" spans="3:18">
      <c r="C524" t="s">
        <v>297</v>
      </c>
      <c r="D524" t="s">
        <v>299</v>
      </c>
      <c r="E524">
        <v>2455070100</v>
      </c>
      <c r="H524" t="s">
        <v>700</v>
      </c>
      <c r="K524" s="1633">
        <v>-2610691486</v>
      </c>
      <c r="M524" s="1633">
        <v>-1607612389</v>
      </c>
      <c r="O524" s="1633">
        <v>-1003079097</v>
      </c>
      <c r="Q524">
        <v>-62.4</v>
      </c>
    </row>
    <row r="525" spans="3:18">
      <c r="C525" t="s">
        <v>297</v>
      </c>
      <c r="D525" t="s">
        <v>299</v>
      </c>
      <c r="E525">
        <v>2455070195</v>
      </c>
      <c r="H525" t="s">
        <v>21</v>
      </c>
      <c r="K525" s="1633">
        <v>-179952</v>
      </c>
      <c r="M525" s="1633">
        <v>-195082</v>
      </c>
      <c r="O525" s="1633">
        <v>15130</v>
      </c>
      <c r="Q525">
        <v>7.8</v>
      </c>
    </row>
    <row r="526" spans="3:18">
      <c r="E526" t="s">
        <v>701</v>
      </c>
      <c r="K526" s="1633">
        <v>-2610871438</v>
      </c>
      <c r="M526" s="1633">
        <v>-1607807471</v>
      </c>
      <c r="O526" s="1633">
        <v>-1003063967</v>
      </c>
      <c r="Q526">
        <v>-62.4</v>
      </c>
      <c r="R526" t="s">
        <v>327</v>
      </c>
    </row>
    <row r="527" spans="3:18">
      <c r="E527" t="s">
        <v>702</v>
      </c>
      <c r="K527" s="1633">
        <v>-215849880480</v>
      </c>
      <c r="M527" s="1633">
        <v>-233323290674</v>
      </c>
      <c r="O527" s="1633">
        <v>17473410194</v>
      </c>
      <c r="Q527">
        <v>7.5</v>
      </c>
      <c r="R527" t="s">
        <v>362</v>
      </c>
    </row>
    <row r="528" spans="3:18">
      <c r="E528" t="s">
        <v>619</v>
      </c>
    </row>
    <row r="529" spans="3:18">
      <c r="E529" t="s">
        <v>703</v>
      </c>
    </row>
    <row r="530" spans="3:18">
      <c r="C530" t="s">
        <v>297</v>
      </c>
      <c r="D530" t="s">
        <v>299</v>
      </c>
      <c r="E530">
        <v>2307011098</v>
      </c>
      <c r="H530" t="s">
        <v>1334</v>
      </c>
      <c r="K530" s="1633">
        <v>6029980245</v>
      </c>
      <c r="M530" s="1633">
        <v>7802237532</v>
      </c>
      <c r="O530" s="1633">
        <v>-1772257287</v>
      </c>
      <c r="Q530">
        <v>-22.7</v>
      </c>
    </row>
    <row r="531" spans="3:18">
      <c r="C531" t="s">
        <v>297</v>
      </c>
      <c r="D531" t="s">
        <v>299</v>
      </c>
      <c r="E531">
        <v>2307011099</v>
      </c>
      <c r="H531" t="s">
        <v>704</v>
      </c>
      <c r="K531" s="1633">
        <v>-200867274058</v>
      </c>
      <c r="M531" s="1633">
        <v>-251479712226</v>
      </c>
      <c r="O531" s="1633">
        <v>50612438168</v>
      </c>
      <c r="Q531">
        <v>20.100000000000001</v>
      </c>
    </row>
    <row r="532" spans="3:18">
      <c r="C532" t="s">
        <v>297</v>
      </c>
      <c r="D532" t="s">
        <v>299</v>
      </c>
      <c r="E532">
        <v>2307091099</v>
      </c>
      <c r="H532" t="s">
        <v>705</v>
      </c>
      <c r="K532" s="1633">
        <v>-12160040416</v>
      </c>
      <c r="M532" s="1633">
        <v>-13206571920</v>
      </c>
      <c r="O532" s="1633">
        <v>1046531504</v>
      </c>
      <c r="Q532">
        <v>7.9</v>
      </c>
    </row>
    <row r="533" spans="3:18">
      <c r="C533" t="s">
        <v>297</v>
      </c>
      <c r="D533" t="s">
        <v>299</v>
      </c>
      <c r="E533">
        <v>2307101099</v>
      </c>
      <c r="H533" t="s">
        <v>706</v>
      </c>
      <c r="K533" s="1633">
        <v>-439459713336</v>
      </c>
      <c r="M533" s="1633">
        <v>-419797297953</v>
      </c>
      <c r="O533" s="1633">
        <v>-19662415383</v>
      </c>
      <c r="Q533">
        <v>-4.7</v>
      </c>
    </row>
    <row r="534" spans="3:18">
      <c r="E534" t="s">
        <v>707</v>
      </c>
      <c r="K534" s="1633">
        <v>-646457047565</v>
      </c>
      <c r="M534" s="1633">
        <v>-676681344567</v>
      </c>
      <c r="O534" s="1633">
        <v>30224297002</v>
      </c>
      <c r="Q534">
        <v>4.5</v>
      </c>
      <c r="R534" t="s">
        <v>327</v>
      </c>
    </row>
    <row r="535" spans="3:18">
      <c r="E535" t="s">
        <v>708</v>
      </c>
    </row>
    <row r="536" spans="3:18">
      <c r="C536" t="s">
        <v>297</v>
      </c>
      <c r="D536" t="s">
        <v>299</v>
      </c>
      <c r="E536">
        <v>2309011099</v>
      </c>
      <c r="H536" t="s">
        <v>22</v>
      </c>
      <c r="K536" s="1633">
        <v>-89850753958</v>
      </c>
      <c r="M536" s="1633">
        <v>-37639956107</v>
      </c>
      <c r="O536" s="1633">
        <v>-52210797851</v>
      </c>
      <c r="Q536">
        <v>-138.69999999999999</v>
      </c>
    </row>
    <row r="537" spans="3:18">
      <c r="E537" t="s">
        <v>709</v>
      </c>
      <c r="K537" s="1633">
        <v>-89850753958</v>
      </c>
      <c r="M537" s="1633">
        <v>-37639956107</v>
      </c>
      <c r="O537" s="1633">
        <v>-52210797851</v>
      </c>
      <c r="Q537">
        <v>-138.69999999999999</v>
      </c>
      <c r="R537" t="s">
        <v>327</v>
      </c>
    </row>
    <row r="538" spans="3:18">
      <c r="E538" t="s">
        <v>627</v>
      </c>
    </row>
    <row r="539" spans="3:18">
      <c r="C539" t="s">
        <v>297</v>
      </c>
      <c r="D539" t="s">
        <v>299</v>
      </c>
      <c r="E539">
        <v>2304060199</v>
      </c>
      <c r="H539" t="s">
        <v>710</v>
      </c>
      <c r="K539" s="1633">
        <v>-4657016090</v>
      </c>
      <c r="M539" s="1633">
        <v>-6335389511</v>
      </c>
      <c r="O539" s="1633">
        <v>1678373421</v>
      </c>
      <c r="Q539">
        <v>26.5</v>
      </c>
    </row>
    <row r="540" spans="3:18">
      <c r="E540" t="s">
        <v>629</v>
      </c>
      <c r="K540" s="1633">
        <v>-4657016090</v>
      </c>
      <c r="M540" s="1633">
        <v>-6335389511</v>
      </c>
      <c r="O540" s="1633">
        <v>1678373421</v>
      </c>
      <c r="Q540">
        <v>26.5</v>
      </c>
      <c r="R540" t="s">
        <v>327</v>
      </c>
    </row>
    <row r="541" spans="3:18">
      <c r="E541" t="s">
        <v>711</v>
      </c>
    </row>
    <row r="542" spans="3:18">
      <c r="C542" t="s">
        <v>297</v>
      </c>
      <c r="D542" t="s">
        <v>299</v>
      </c>
      <c r="E542">
        <v>2404010196</v>
      </c>
      <c r="H542" t="s">
        <v>637</v>
      </c>
      <c r="K542" s="1633">
        <v>-1137307033</v>
      </c>
      <c r="M542" s="1633">
        <v>-682033448</v>
      </c>
      <c r="O542" s="1633">
        <v>-455273585</v>
      </c>
      <c r="Q542">
        <v>-66.8</v>
      </c>
    </row>
    <row r="543" spans="3:18">
      <c r="C543" t="s">
        <v>297</v>
      </c>
      <c r="D543" t="s">
        <v>299</v>
      </c>
      <c r="E543">
        <v>2404010198</v>
      </c>
      <c r="H543" t="s">
        <v>712</v>
      </c>
      <c r="K543" s="1633">
        <v>-24681895813</v>
      </c>
      <c r="M543" s="1633">
        <v>-21510441823</v>
      </c>
      <c r="O543" s="1633">
        <v>-3171453990</v>
      </c>
      <c r="Q543">
        <v>-14.7</v>
      </c>
    </row>
    <row r="544" spans="3:18">
      <c r="E544" t="s">
        <v>713</v>
      </c>
      <c r="K544" s="1633">
        <v>-25819202846</v>
      </c>
      <c r="M544" s="1633">
        <v>-22192475271</v>
      </c>
      <c r="O544" s="1633">
        <v>-3626727575</v>
      </c>
      <c r="Q544">
        <v>-16.3</v>
      </c>
      <c r="R544" t="s">
        <v>327</v>
      </c>
    </row>
    <row r="545" spans="3:18">
      <c r="E545" t="s">
        <v>640</v>
      </c>
      <c r="K545" s="1633">
        <v>-766784020459</v>
      </c>
      <c r="M545" s="1633">
        <v>-742849165456</v>
      </c>
      <c r="O545" s="1633">
        <v>-23934855003</v>
      </c>
      <c r="Q545">
        <v>-3.2</v>
      </c>
      <c r="R545" t="s">
        <v>362</v>
      </c>
    </row>
    <row r="546" spans="3:18">
      <c r="E546" t="s">
        <v>714</v>
      </c>
    </row>
    <row r="547" spans="3:18">
      <c r="C547" t="s">
        <v>297</v>
      </c>
      <c r="D547" t="s">
        <v>299</v>
      </c>
      <c r="E547">
        <v>2312021999</v>
      </c>
      <c r="H547" t="s">
        <v>1336</v>
      </c>
      <c r="K547" s="1633">
        <v>-38135246409</v>
      </c>
      <c r="M547" s="1633">
        <v>-35913729784</v>
      </c>
      <c r="O547" s="1633">
        <v>-2221516625</v>
      </c>
      <c r="Q547">
        <v>-6.2</v>
      </c>
    </row>
    <row r="548" spans="3:18">
      <c r="C548" t="s">
        <v>297</v>
      </c>
      <c r="D548" t="s">
        <v>299</v>
      </c>
      <c r="E548">
        <v>2312022406</v>
      </c>
      <c r="H548" t="s">
        <v>2502</v>
      </c>
      <c r="K548" s="1633">
        <v>-8335232919</v>
      </c>
      <c r="M548" s="1633">
        <v>0</v>
      </c>
      <c r="O548" s="1633">
        <v>-8335232919</v>
      </c>
    </row>
    <row r="549" spans="3:18">
      <c r="E549" t="s">
        <v>715</v>
      </c>
      <c r="K549" s="1633">
        <v>-46470479328</v>
      </c>
      <c r="M549" s="1633">
        <v>-35913729784</v>
      </c>
      <c r="O549" s="1633">
        <v>-10556749544</v>
      </c>
      <c r="Q549">
        <v>-29.4</v>
      </c>
      <c r="R549" t="s">
        <v>362</v>
      </c>
    </row>
    <row r="550" spans="3:18">
      <c r="E550" t="s">
        <v>716</v>
      </c>
    </row>
    <row r="551" spans="3:18">
      <c r="E551" t="s">
        <v>717</v>
      </c>
    </row>
    <row r="552" spans="3:18">
      <c r="C552" t="s">
        <v>297</v>
      </c>
      <c r="D552" t="s">
        <v>299</v>
      </c>
      <c r="E552">
        <v>2436010000</v>
      </c>
      <c r="H552" t="s">
        <v>718</v>
      </c>
      <c r="K552" s="1633">
        <v>-1179758600</v>
      </c>
      <c r="M552" s="1633">
        <v>-2513643000</v>
      </c>
      <c r="O552" s="1633">
        <v>1333884400</v>
      </c>
      <c r="Q552">
        <v>53.1</v>
      </c>
    </row>
    <row r="553" spans="3:18">
      <c r="C553" t="s">
        <v>297</v>
      </c>
      <c r="D553" t="s">
        <v>299</v>
      </c>
      <c r="E553">
        <v>2436030300</v>
      </c>
      <c r="H553" t="s">
        <v>719</v>
      </c>
      <c r="K553" s="1633">
        <v>-15484700</v>
      </c>
      <c r="M553" s="1633">
        <v>-85059799</v>
      </c>
      <c r="O553" s="1633">
        <v>69575099</v>
      </c>
      <c r="Q553">
        <v>81.8</v>
      </c>
    </row>
    <row r="554" spans="3:18">
      <c r="C554" t="s">
        <v>297</v>
      </c>
      <c r="D554" t="s">
        <v>299</v>
      </c>
      <c r="E554">
        <v>2436030400</v>
      </c>
      <c r="H554" t="s">
        <v>720</v>
      </c>
      <c r="K554" s="1633">
        <v>-356414213</v>
      </c>
      <c r="M554" s="1633">
        <v>-402193632</v>
      </c>
      <c r="O554" s="1633">
        <v>45779419</v>
      </c>
      <c r="Q554">
        <v>11.4</v>
      </c>
    </row>
    <row r="555" spans="3:18">
      <c r="C555" t="s">
        <v>297</v>
      </c>
      <c r="D555" t="s">
        <v>299</v>
      </c>
      <c r="E555">
        <v>2436050100</v>
      </c>
      <c r="H555" t="s">
        <v>721</v>
      </c>
      <c r="K555" s="1633">
        <v>-507584136</v>
      </c>
      <c r="M555" s="1633">
        <v>-858967107</v>
      </c>
      <c r="O555" s="1633">
        <v>351382971</v>
      </c>
      <c r="Q555">
        <v>40.9</v>
      </c>
    </row>
    <row r="556" spans="3:18">
      <c r="C556" t="s">
        <v>297</v>
      </c>
      <c r="D556" t="s">
        <v>299</v>
      </c>
      <c r="E556">
        <v>2436050200</v>
      </c>
      <c r="H556" t="s">
        <v>722</v>
      </c>
      <c r="K556" s="1633">
        <v>-3543556</v>
      </c>
      <c r="M556" s="1633">
        <v>-4187127</v>
      </c>
      <c r="O556" s="1633">
        <v>643571</v>
      </c>
      <c r="Q556">
        <v>15.4</v>
      </c>
    </row>
    <row r="557" spans="3:18">
      <c r="C557" t="s">
        <v>297</v>
      </c>
      <c r="D557" t="s">
        <v>299</v>
      </c>
      <c r="E557">
        <v>2436050500</v>
      </c>
      <c r="H557" t="s">
        <v>723</v>
      </c>
      <c r="K557" s="1633">
        <v>-99830551</v>
      </c>
      <c r="M557" s="1633">
        <v>-131368167</v>
      </c>
      <c r="O557" s="1633">
        <v>31537616</v>
      </c>
      <c r="Q557">
        <v>24</v>
      </c>
    </row>
    <row r="558" spans="3:18">
      <c r="C558" t="s">
        <v>297</v>
      </c>
      <c r="D558" t="s">
        <v>299</v>
      </c>
      <c r="E558">
        <v>2436050900</v>
      </c>
      <c r="H558" t="s">
        <v>724</v>
      </c>
      <c r="K558" s="1633">
        <v>-20107109</v>
      </c>
      <c r="M558" s="1633">
        <v>-25361699</v>
      </c>
      <c r="O558" s="1633">
        <v>5254590</v>
      </c>
      <c r="Q558">
        <v>20.7</v>
      </c>
    </row>
    <row r="559" spans="3:18">
      <c r="C559" t="s">
        <v>297</v>
      </c>
      <c r="D559" t="s">
        <v>299</v>
      </c>
      <c r="E559">
        <v>2436051000</v>
      </c>
      <c r="H559" t="s">
        <v>725</v>
      </c>
      <c r="K559" s="1633">
        <v>-1652439</v>
      </c>
      <c r="M559" s="1633">
        <v>-2431575</v>
      </c>
      <c r="O559" s="1633">
        <v>779136</v>
      </c>
      <c r="Q559">
        <v>32</v>
      </c>
    </row>
    <row r="560" spans="3:18">
      <c r="C560" t="s">
        <v>297</v>
      </c>
      <c r="D560" t="s">
        <v>299</v>
      </c>
      <c r="E560">
        <v>2436051100</v>
      </c>
      <c r="H560" t="s">
        <v>726</v>
      </c>
      <c r="K560" s="1633">
        <v>-29270623</v>
      </c>
      <c r="M560" s="1633">
        <v>-3971826627</v>
      </c>
      <c r="O560" s="1633">
        <v>3942556004</v>
      </c>
      <c r="Q560">
        <v>99.3</v>
      </c>
    </row>
    <row r="561" spans="3:17">
      <c r="C561" t="s">
        <v>297</v>
      </c>
      <c r="D561" t="s">
        <v>299</v>
      </c>
      <c r="E561">
        <v>2436051300</v>
      </c>
      <c r="H561" t="s">
        <v>727</v>
      </c>
      <c r="K561" s="1633">
        <v>-85079</v>
      </c>
      <c r="M561" s="1633">
        <v>-203394</v>
      </c>
      <c r="O561" s="1633">
        <v>118315</v>
      </c>
      <c r="Q561">
        <v>58.2</v>
      </c>
    </row>
    <row r="562" spans="3:17">
      <c r="C562" t="s">
        <v>297</v>
      </c>
      <c r="D562" t="s">
        <v>299</v>
      </c>
      <c r="E562">
        <v>2436060300</v>
      </c>
      <c r="H562" t="s">
        <v>728</v>
      </c>
      <c r="K562" s="1633">
        <v>-104000</v>
      </c>
      <c r="M562" s="1633">
        <v>-92000</v>
      </c>
      <c r="O562" s="1633">
        <v>-12000</v>
      </c>
      <c r="Q562">
        <v>-13</v>
      </c>
    </row>
    <row r="563" spans="3:17">
      <c r="C563" t="s">
        <v>297</v>
      </c>
      <c r="D563" t="s">
        <v>299</v>
      </c>
      <c r="E563">
        <v>2436060400</v>
      </c>
      <c r="H563" t="s">
        <v>729</v>
      </c>
      <c r="K563" s="1633">
        <v>-390622</v>
      </c>
      <c r="M563" s="1633">
        <v>-118606</v>
      </c>
      <c r="O563" s="1633">
        <v>-272016</v>
      </c>
      <c r="Q563">
        <v>-229.3</v>
      </c>
    </row>
    <row r="564" spans="3:17">
      <c r="C564" t="s">
        <v>297</v>
      </c>
      <c r="D564" t="s">
        <v>299</v>
      </c>
      <c r="E564">
        <v>2436060500</v>
      </c>
      <c r="H564" t="s">
        <v>730</v>
      </c>
      <c r="K564" s="1633">
        <v>0</v>
      </c>
      <c r="M564" s="1633">
        <v>-73255</v>
      </c>
      <c r="O564" s="1633">
        <v>73255</v>
      </c>
      <c r="Q564">
        <v>100</v>
      </c>
    </row>
    <row r="565" spans="3:17">
      <c r="C565" t="s">
        <v>297</v>
      </c>
      <c r="D565" t="s">
        <v>299</v>
      </c>
      <c r="E565">
        <v>2436070000</v>
      </c>
      <c r="H565" t="s">
        <v>731</v>
      </c>
      <c r="K565" s="1633">
        <v>0</v>
      </c>
      <c r="M565" s="1633">
        <v>-46025810</v>
      </c>
      <c r="O565" s="1633">
        <v>46025810</v>
      </c>
      <c r="Q565">
        <v>100</v>
      </c>
    </row>
    <row r="566" spans="3:17">
      <c r="C566" t="s">
        <v>297</v>
      </c>
      <c r="D566" t="s">
        <v>299</v>
      </c>
      <c r="E566">
        <v>2436080100</v>
      </c>
      <c r="H566" t="s">
        <v>732</v>
      </c>
      <c r="K566" s="1633">
        <v>-25982</v>
      </c>
      <c r="M566" s="1633">
        <v>-31722</v>
      </c>
      <c r="O566" s="1633">
        <v>5740</v>
      </c>
      <c r="Q566">
        <v>18.100000000000001</v>
      </c>
    </row>
    <row r="567" spans="3:17">
      <c r="C567" t="s">
        <v>297</v>
      </c>
      <c r="D567" t="s">
        <v>299</v>
      </c>
      <c r="E567">
        <v>2436080400</v>
      </c>
      <c r="H567" t="s">
        <v>733</v>
      </c>
      <c r="K567" s="1633">
        <v>-11615650</v>
      </c>
      <c r="M567" s="1633">
        <v>-36427085</v>
      </c>
      <c r="O567" s="1633">
        <v>24811435</v>
      </c>
      <c r="Q567">
        <v>68.099999999999994</v>
      </c>
    </row>
    <row r="568" spans="3:17">
      <c r="C568" t="s">
        <v>297</v>
      </c>
      <c r="D568" t="s">
        <v>299</v>
      </c>
      <c r="E568">
        <v>2436100200</v>
      </c>
      <c r="H568" t="s">
        <v>734</v>
      </c>
      <c r="K568" s="1633">
        <v>-16773107</v>
      </c>
      <c r="M568" s="1633">
        <v>-74415435</v>
      </c>
      <c r="O568" s="1633">
        <v>57642328</v>
      </c>
      <c r="Q568">
        <v>77.5</v>
      </c>
    </row>
    <row r="569" spans="3:17">
      <c r="C569" t="s">
        <v>297</v>
      </c>
      <c r="D569" t="s">
        <v>299</v>
      </c>
      <c r="E569">
        <v>2436150300</v>
      </c>
      <c r="H569" t="s">
        <v>735</v>
      </c>
      <c r="K569" s="1633">
        <v>-3889030</v>
      </c>
      <c r="M569" s="1633">
        <v>-3138950</v>
      </c>
      <c r="O569" s="1633">
        <v>-750080</v>
      </c>
      <c r="Q569">
        <v>-23.9</v>
      </c>
    </row>
    <row r="570" spans="3:17">
      <c r="C570" t="s">
        <v>297</v>
      </c>
      <c r="D570" t="s">
        <v>299</v>
      </c>
      <c r="E570">
        <v>2436250200</v>
      </c>
      <c r="H570" t="s">
        <v>736</v>
      </c>
      <c r="K570" s="1633">
        <v>-28261910</v>
      </c>
      <c r="M570" s="1633">
        <v>-72454219</v>
      </c>
      <c r="O570" s="1633">
        <v>44192309</v>
      </c>
      <c r="Q570">
        <v>61</v>
      </c>
    </row>
    <row r="571" spans="3:17">
      <c r="C571" t="s">
        <v>297</v>
      </c>
      <c r="D571" t="s">
        <v>299</v>
      </c>
      <c r="E571">
        <v>2436253500</v>
      </c>
      <c r="H571" t="s">
        <v>737</v>
      </c>
      <c r="K571" s="1633">
        <v>-21981074</v>
      </c>
      <c r="M571" s="1633">
        <v>-62015799</v>
      </c>
      <c r="O571" s="1633">
        <v>40034725</v>
      </c>
      <c r="Q571">
        <v>64.599999999999994</v>
      </c>
    </row>
    <row r="572" spans="3:17">
      <c r="C572" t="s">
        <v>297</v>
      </c>
      <c r="D572" t="s">
        <v>299</v>
      </c>
      <c r="E572">
        <v>2436253600</v>
      </c>
      <c r="H572" t="s">
        <v>738</v>
      </c>
      <c r="K572" s="1633">
        <v>-236045666</v>
      </c>
      <c r="M572" s="1633">
        <v>-295396855</v>
      </c>
      <c r="O572" s="1633">
        <v>59351189</v>
      </c>
      <c r="Q572">
        <v>20.100000000000001</v>
      </c>
    </row>
    <row r="573" spans="3:17">
      <c r="C573" t="s">
        <v>297</v>
      </c>
      <c r="D573" t="s">
        <v>299</v>
      </c>
      <c r="E573">
        <v>2436270100</v>
      </c>
      <c r="H573" t="s">
        <v>739</v>
      </c>
      <c r="K573" s="1633">
        <v>-12279052</v>
      </c>
      <c r="M573" s="1633">
        <v>-21802311</v>
      </c>
      <c r="O573" s="1633">
        <v>9523259</v>
      </c>
      <c r="Q573">
        <v>43.7</v>
      </c>
    </row>
    <row r="574" spans="3:17">
      <c r="C574" t="s">
        <v>297</v>
      </c>
      <c r="D574" t="s">
        <v>299</v>
      </c>
      <c r="E574">
        <v>2436270400</v>
      </c>
      <c r="H574" t="s">
        <v>740</v>
      </c>
      <c r="K574" s="1633">
        <v>-2552156</v>
      </c>
      <c r="M574" s="1633">
        <v>-15322082</v>
      </c>
      <c r="O574" s="1633">
        <v>12769926</v>
      </c>
      <c r="Q574">
        <v>83.3</v>
      </c>
    </row>
    <row r="575" spans="3:17">
      <c r="C575" t="s">
        <v>297</v>
      </c>
      <c r="D575" t="s">
        <v>299</v>
      </c>
      <c r="E575">
        <v>2436270500</v>
      </c>
      <c r="H575" t="s">
        <v>741</v>
      </c>
      <c r="K575" s="1633">
        <v>-354518</v>
      </c>
      <c r="M575" s="1633">
        <v>-5741534</v>
      </c>
      <c r="O575" s="1633">
        <v>5387016</v>
      </c>
      <c r="Q575">
        <v>93.8</v>
      </c>
    </row>
    <row r="576" spans="3:17">
      <c r="C576" t="s">
        <v>297</v>
      </c>
      <c r="D576" t="s">
        <v>299</v>
      </c>
      <c r="E576">
        <v>2436270900</v>
      </c>
      <c r="H576" t="s">
        <v>742</v>
      </c>
      <c r="K576" s="1633">
        <v>-254506</v>
      </c>
      <c r="M576" s="1633">
        <v>-703047</v>
      </c>
      <c r="O576" s="1633">
        <v>448541</v>
      </c>
      <c r="Q576">
        <v>63.8</v>
      </c>
    </row>
    <row r="577" spans="3:17">
      <c r="C577" t="s">
        <v>297</v>
      </c>
      <c r="D577" t="s">
        <v>299</v>
      </c>
      <c r="E577">
        <v>2436271000</v>
      </c>
      <c r="H577" t="s">
        <v>743</v>
      </c>
      <c r="K577" s="1633">
        <v>-1274824</v>
      </c>
      <c r="M577" s="1633">
        <v>-755273</v>
      </c>
      <c r="O577" s="1633">
        <v>-519551</v>
      </c>
      <c r="Q577">
        <v>-68.8</v>
      </c>
    </row>
    <row r="578" spans="3:17">
      <c r="C578" t="s">
        <v>297</v>
      </c>
      <c r="D578" t="s">
        <v>299</v>
      </c>
      <c r="E578">
        <v>2436271200</v>
      </c>
      <c r="H578" t="s">
        <v>744</v>
      </c>
      <c r="K578" s="1633">
        <v>-50869073</v>
      </c>
      <c r="M578" s="1633">
        <v>-29390234</v>
      </c>
      <c r="O578" s="1633">
        <v>-21478839</v>
      </c>
      <c r="Q578">
        <v>-73.099999999999994</v>
      </c>
    </row>
    <row r="579" spans="3:17">
      <c r="C579" t="s">
        <v>297</v>
      </c>
      <c r="D579" t="s">
        <v>299</v>
      </c>
      <c r="E579">
        <v>2436271300</v>
      </c>
      <c r="H579" t="s">
        <v>745</v>
      </c>
      <c r="K579" s="1633">
        <v>-87704</v>
      </c>
      <c r="M579" s="1633">
        <v>-127905</v>
      </c>
      <c r="O579" s="1633">
        <v>40201</v>
      </c>
      <c r="Q579">
        <v>31.4</v>
      </c>
    </row>
    <row r="580" spans="3:17">
      <c r="C580" t="s">
        <v>297</v>
      </c>
      <c r="D580" t="s">
        <v>299</v>
      </c>
      <c r="E580">
        <v>2436271400</v>
      </c>
      <c r="H580" t="s">
        <v>746</v>
      </c>
      <c r="K580" s="1633">
        <v>-6580911</v>
      </c>
      <c r="M580" s="1633">
        <v>-12631529</v>
      </c>
      <c r="O580" s="1633">
        <v>6050618</v>
      </c>
      <c r="Q580">
        <v>47.9</v>
      </c>
    </row>
    <row r="581" spans="3:17">
      <c r="C581" t="s">
        <v>297</v>
      </c>
      <c r="D581" t="s">
        <v>299</v>
      </c>
      <c r="E581">
        <v>2436271700</v>
      </c>
      <c r="H581" t="s">
        <v>747</v>
      </c>
      <c r="K581" s="1633">
        <v>1272864</v>
      </c>
      <c r="M581" s="1633">
        <v>-9824647</v>
      </c>
      <c r="O581" s="1633">
        <v>11097511</v>
      </c>
      <c r="Q581">
        <v>113</v>
      </c>
    </row>
    <row r="582" spans="3:17">
      <c r="C582" t="s">
        <v>297</v>
      </c>
      <c r="D582" t="s">
        <v>299</v>
      </c>
      <c r="E582">
        <v>2436271800</v>
      </c>
      <c r="H582" t="s">
        <v>748</v>
      </c>
      <c r="K582" s="1633">
        <v>-4216963</v>
      </c>
      <c r="M582" s="1633">
        <v>-5543558</v>
      </c>
      <c r="O582" s="1633">
        <v>1326595</v>
      </c>
      <c r="Q582">
        <v>23.9</v>
      </c>
    </row>
    <row r="583" spans="3:17">
      <c r="C583" t="s">
        <v>297</v>
      </c>
      <c r="D583" t="s">
        <v>299</v>
      </c>
      <c r="E583">
        <v>2436271900</v>
      </c>
      <c r="H583" t="s">
        <v>749</v>
      </c>
      <c r="K583" s="1633">
        <v>-2826512</v>
      </c>
      <c r="M583" s="1633">
        <v>-2053954</v>
      </c>
      <c r="O583" s="1633">
        <v>-772558</v>
      </c>
      <c r="Q583">
        <v>-37.6</v>
      </c>
    </row>
    <row r="584" spans="3:17">
      <c r="C584" t="s">
        <v>297</v>
      </c>
      <c r="D584" t="s">
        <v>299</v>
      </c>
      <c r="E584">
        <v>2436272000</v>
      </c>
      <c r="H584" t="s">
        <v>750</v>
      </c>
      <c r="K584" s="1633">
        <v>-34056</v>
      </c>
      <c r="M584" s="1633">
        <v>-314242</v>
      </c>
      <c r="O584" s="1633">
        <v>280186</v>
      </c>
      <c r="Q584">
        <v>89.2</v>
      </c>
    </row>
    <row r="585" spans="3:17">
      <c r="C585" t="s">
        <v>297</v>
      </c>
      <c r="D585" t="s">
        <v>299</v>
      </c>
      <c r="E585">
        <v>2436272100</v>
      </c>
      <c r="H585" t="s">
        <v>751</v>
      </c>
      <c r="K585" s="1633">
        <v>-27167</v>
      </c>
      <c r="M585" s="1633">
        <v>-23308</v>
      </c>
      <c r="O585" s="1633">
        <v>-3859</v>
      </c>
      <c r="Q585">
        <v>-16.600000000000001</v>
      </c>
    </row>
    <row r="586" spans="3:17">
      <c r="C586" t="s">
        <v>297</v>
      </c>
      <c r="D586" t="s">
        <v>299</v>
      </c>
      <c r="E586">
        <v>2436272200</v>
      </c>
      <c r="H586" t="s">
        <v>752</v>
      </c>
      <c r="K586" s="1633">
        <v>-2160062</v>
      </c>
      <c r="M586" s="1633">
        <v>-6523512</v>
      </c>
      <c r="O586" s="1633">
        <v>4363450</v>
      </c>
      <c r="Q586">
        <v>66.900000000000006</v>
      </c>
    </row>
    <row r="587" spans="3:17">
      <c r="C587" t="s">
        <v>297</v>
      </c>
      <c r="D587" t="s">
        <v>299</v>
      </c>
      <c r="E587">
        <v>2436272300</v>
      </c>
      <c r="H587" t="s">
        <v>753</v>
      </c>
      <c r="K587" s="1633">
        <v>-31866</v>
      </c>
      <c r="M587" s="1633">
        <v>-37978</v>
      </c>
      <c r="O587" s="1633">
        <v>6112</v>
      </c>
      <c r="Q587">
        <v>16.100000000000001</v>
      </c>
    </row>
    <row r="588" spans="3:17">
      <c r="C588" t="s">
        <v>297</v>
      </c>
      <c r="D588" t="s">
        <v>299</v>
      </c>
      <c r="E588">
        <v>2436272400</v>
      </c>
      <c r="H588" t="s">
        <v>754</v>
      </c>
      <c r="K588" s="1633">
        <v>-866612</v>
      </c>
      <c r="M588" s="1633">
        <v>-727945</v>
      </c>
      <c r="O588" s="1633">
        <v>-138667</v>
      </c>
      <c r="Q588">
        <v>-19</v>
      </c>
    </row>
    <row r="589" spans="3:17">
      <c r="C589" t="s">
        <v>297</v>
      </c>
      <c r="D589" t="s">
        <v>299</v>
      </c>
      <c r="E589">
        <v>2436272500</v>
      </c>
      <c r="H589" t="s">
        <v>755</v>
      </c>
      <c r="K589" s="1633">
        <v>-11930876</v>
      </c>
      <c r="M589" s="1633">
        <v>-31905503</v>
      </c>
      <c r="O589" s="1633">
        <v>19974627</v>
      </c>
      <c r="Q589">
        <v>62.6</v>
      </c>
    </row>
    <row r="590" spans="3:17">
      <c r="C590" t="s">
        <v>297</v>
      </c>
      <c r="D590" t="s">
        <v>299</v>
      </c>
      <c r="E590">
        <v>2436272600</v>
      </c>
      <c r="H590" t="s">
        <v>756</v>
      </c>
      <c r="K590" s="1633">
        <v>-19386373</v>
      </c>
      <c r="M590" s="1633">
        <v>-44656703</v>
      </c>
      <c r="O590" s="1633">
        <v>25270330</v>
      </c>
      <c r="Q590">
        <v>56.6</v>
      </c>
    </row>
    <row r="591" spans="3:17">
      <c r="C591" t="s">
        <v>297</v>
      </c>
      <c r="D591" t="s">
        <v>299</v>
      </c>
      <c r="E591">
        <v>2436272700</v>
      </c>
      <c r="H591" t="s">
        <v>757</v>
      </c>
      <c r="K591" s="1633">
        <v>-382916</v>
      </c>
      <c r="M591" s="1633">
        <v>-1262536</v>
      </c>
      <c r="O591" s="1633">
        <v>879620</v>
      </c>
      <c r="Q591">
        <v>69.7</v>
      </c>
    </row>
    <row r="592" spans="3:17">
      <c r="C592" t="s">
        <v>297</v>
      </c>
      <c r="D592" t="s">
        <v>299</v>
      </c>
      <c r="E592">
        <v>2436272800</v>
      </c>
      <c r="H592" t="s">
        <v>758</v>
      </c>
      <c r="K592" s="1633">
        <v>-504057</v>
      </c>
      <c r="M592" s="1633">
        <v>-2279383</v>
      </c>
      <c r="O592" s="1633">
        <v>1775326</v>
      </c>
      <c r="Q592">
        <v>77.900000000000006</v>
      </c>
    </row>
    <row r="593" spans="3:17">
      <c r="C593" t="s">
        <v>297</v>
      </c>
      <c r="D593" t="s">
        <v>299</v>
      </c>
      <c r="E593">
        <v>2436272900</v>
      </c>
      <c r="H593" t="s">
        <v>759</v>
      </c>
      <c r="K593" s="1633">
        <v>-14401</v>
      </c>
      <c r="M593" s="1633">
        <v>-12414</v>
      </c>
      <c r="O593" s="1633">
        <v>-1987</v>
      </c>
      <c r="Q593">
        <v>-16</v>
      </c>
    </row>
    <row r="594" spans="3:17">
      <c r="C594" t="s">
        <v>297</v>
      </c>
      <c r="D594" t="s">
        <v>299</v>
      </c>
      <c r="E594">
        <v>2436273000</v>
      </c>
      <c r="H594" t="s">
        <v>760</v>
      </c>
      <c r="K594" s="1633">
        <v>-10260664</v>
      </c>
      <c r="M594" s="1633">
        <v>-33289944</v>
      </c>
      <c r="O594" s="1633">
        <v>23029280</v>
      </c>
      <c r="Q594">
        <v>69.2</v>
      </c>
    </row>
    <row r="595" spans="3:17">
      <c r="C595" t="s">
        <v>297</v>
      </c>
      <c r="D595" t="s">
        <v>299</v>
      </c>
      <c r="E595">
        <v>2436274000</v>
      </c>
      <c r="H595" t="s">
        <v>761</v>
      </c>
      <c r="K595" s="1633">
        <v>-2066472</v>
      </c>
      <c r="M595" s="1633">
        <v>-3780296</v>
      </c>
      <c r="O595" s="1633">
        <v>1713824</v>
      </c>
      <c r="Q595">
        <v>45.3</v>
      </c>
    </row>
    <row r="596" spans="3:17">
      <c r="C596" t="s">
        <v>297</v>
      </c>
      <c r="D596" t="s">
        <v>299</v>
      </c>
      <c r="E596">
        <v>2436275000</v>
      </c>
      <c r="H596" t="s">
        <v>1229</v>
      </c>
      <c r="K596" s="1633">
        <v>-1647840</v>
      </c>
      <c r="M596" s="1633">
        <v>-4680463</v>
      </c>
      <c r="O596" s="1633">
        <v>3032623</v>
      </c>
      <c r="Q596">
        <v>64.8</v>
      </c>
    </row>
    <row r="597" spans="3:17">
      <c r="C597" t="s">
        <v>297</v>
      </c>
      <c r="D597" t="s">
        <v>299</v>
      </c>
      <c r="E597">
        <v>2436276000</v>
      </c>
      <c r="H597" t="s">
        <v>1293</v>
      </c>
      <c r="K597" s="1633">
        <v>-2980952</v>
      </c>
      <c r="M597" s="1633">
        <v>-5885741</v>
      </c>
      <c r="O597" s="1633">
        <v>2904789</v>
      </c>
      <c r="Q597">
        <v>49.4</v>
      </c>
    </row>
    <row r="598" spans="3:17">
      <c r="C598" t="s">
        <v>297</v>
      </c>
      <c r="D598" t="s">
        <v>299</v>
      </c>
      <c r="E598">
        <v>2436278100</v>
      </c>
      <c r="H598" t="s">
        <v>1294</v>
      </c>
      <c r="K598" s="1633">
        <v>-6844003</v>
      </c>
      <c r="M598" s="1633">
        <v>-9864036</v>
      </c>
      <c r="O598" s="1633">
        <v>3020033</v>
      </c>
      <c r="Q598">
        <v>30.6</v>
      </c>
    </row>
    <row r="599" spans="3:17">
      <c r="C599" t="s">
        <v>297</v>
      </c>
      <c r="D599" t="s">
        <v>299</v>
      </c>
      <c r="E599">
        <v>2436278200</v>
      </c>
      <c r="H599" t="s">
        <v>1295</v>
      </c>
      <c r="K599" s="1633">
        <v>-43349</v>
      </c>
      <c r="M599" s="1633">
        <v>-488172</v>
      </c>
      <c r="O599" s="1633">
        <v>444823</v>
      </c>
      <c r="Q599">
        <v>91.1</v>
      </c>
    </row>
    <row r="600" spans="3:17">
      <c r="C600" t="s">
        <v>297</v>
      </c>
      <c r="D600" t="s">
        <v>299</v>
      </c>
      <c r="E600">
        <v>2436278300</v>
      </c>
      <c r="H600" t="s">
        <v>2362</v>
      </c>
      <c r="K600" s="1633">
        <v>-5961868</v>
      </c>
      <c r="M600" s="1633">
        <v>0</v>
      </c>
      <c r="O600" s="1633">
        <v>-5961868</v>
      </c>
    </row>
    <row r="601" spans="3:17">
      <c r="C601" t="s">
        <v>297</v>
      </c>
      <c r="D601" t="s">
        <v>299</v>
      </c>
      <c r="E601">
        <v>2436501400</v>
      </c>
      <c r="H601" t="s">
        <v>498</v>
      </c>
      <c r="K601" s="1633">
        <v>-125000</v>
      </c>
      <c r="M601" s="1633">
        <v>-123000</v>
      </c>
      <c r="O601" s="1633">
        <v>-2000</v>
      </c>
      <c r="Q601">
        <v>-1.6</v>
      </c>
    </row>
    <row r="602" spans="3:17">
      <c r="C602" t="s">
        <v>297</v>
      </c>
      <c r="D602" t="s">
        <v>299</v>
      </c>
      <c r="E602">
        <v>2436501800</v>
      </c>
      <c r="H602" t="s">
        <v>499</v>
      </c>
      <c r="K602" s="1633">
        <v>-458066000</v>
      </c>
      <c r="M602" s="1633">
        <v>0</v>
      </c>
      <c r="O602" s="1633">
        <v>-458066000</v>
      </c>
    </row>
    <row r="603" spans="3:17">
      <c r="C603" t="s">
        <v>297</v>
      </c>
      <c r="D603" t="s">
        <v>299</v>
      </c>
      <c r="E603">
        <v>2436503500</v>
      </c>
      <c r="H603" t="s">
        <v>502</v>
      </c>
      <c r="K603" s="1633">
        <v>-11000</v>
      </c>
      <c r="M603" s="1633">
        <v>0</v>
      </c>
      <c r="O603" s="1633">
        <v>-11000</v>
      </c>
    </row>
    <row r="604" spans="3:17">
      <c r="C604" t="s">
        <v>297</v>
      </c>
      <c r="D604" t="s">
        <v>299</v>
      </c>
      <c r="E604">
        <v>2436503700</v>
      </c>
      <c r="H604" t="s">
        <v>1230</v>
      </c>
      <c r="K604" s="1633">
        <v>-59000</v>
      </c>
      <c r="M604" s="1633">
        <v>-103000</v>
      </c>
      <c r="O604" s="1633">
        <v>44000</v>
      </c>
      <c r="Q604">
        <v>42.7</v>
      </c>
    </row>
    <row r="605" spans="3:17">
      <c r="C605" t="s">
        <v>297</v>
      </c>
      <c r="D605" t="s">
        <v>299</v>
      </c>
      <c r="E605">
        <v>2436950300</v>
      </c>
      <c r="H605" t="s">
        <v>762</v>
      </c>
      <c r="K605" s="1633">
        <v>-16310275</v>
      </c>
      <c r="M605" s="1633">
        <v>-1367445</v>
      </c>
      <c r="O605" s="1633">
        <v>-14942830</v>
      </c>
      <c r="Q605">
        <v>-1092.8</v>
      </c>
    </row>
    <row r="606" spans="3:17">
      <c r="C606" t="s">
        <v>297</v>
      </c>
      <c r="D606" t="s">
        <v>299</v>
      </c>
      <c r="E606">
        <v>2436950400</v>
      </c>
      <c r="H606" t="s">
        <v>763</v>
      </c>
      <c r="K606" s="1633">
        <v>-292648</v>
      </c>
      <c r="M606" s="1633">
        <v>-238106</v>
      </c>
      <c r="O606" s="1633">
        <v>-54542</v>
      </c>
      <c r="Q606">
        <v>-22.9</v>
      </c>
    </row>
    <row r="607" spans="3:17">
      <c r="C607" t="s">
        <v>297</v>
      </c>
      <c r="D607" t="s">
        <v>299</v>
      </c>
      <c r="E607">
        <v>2436950500</v>
      </c>
      <c r="H607" t="s">
        <v>764</v>
      </c>
      <c r="K607" s="1633">
        <v>-867975</v>
      </c>
      <c r="M607" s="1633">
        <v>-1083734</v>
      </c>
      <c r="O607" s="1633">
        <v>215759</v>
      </c>
      <c r="Q607">
        <v>19.899999999999999</v>
      </c>
    </row>
    <row r="608" spans="3:17">
      <c r="C608" t="s">
        <v>297</v>
      </c>
      <c r="D608" t="s">
        <v>299</v>
      </c>
      <c r="E608">
        <v>2436950800</v>
      </c>
      <c r="H608" t="s">
        <v>765</v>
      </c>
      <c r="K608" s="1633">
        <v>-7488373079</v>
      </c>
      <c r="M608" s="1633">
        <v>-8288101529</v>
      </c>
      <c r="O608" s="1633">
        <v>799728450</v>
      </c>
      <c r="Q608">
        <v>9.6</v>
      </c>
    </row>
    <row r="609" spans="3:18">
      <c r="C609" t="s">
        <v>297</v>
      </c>
      <c r="D609" t="s">
        <v>299</v>
      </c>
      <c r="E609">
        <v>2436951000</v>
      </c>
      <c r="H609" t="s">
        <v>766</v>
      </c>
      <c r="K609" s="1633">
        <v>-577635</v>
      </c>
      <c r="M609" s="1633">
        <v>-366450439</v>
      </c>
      <c r="O609" s="1633">
        <v>365872804</v>
      </c>
      <c r="Q609">
        <v>99.8</v>
      </c>
    </row>
    <row r="610" spans="3:18">
      <c r="C610" t="s">
        <v>297</v>
      </c>
      <c r="D610" t="s">
        <v>299</v>
      </c>
      <c r="E610">
        <v>2436951100</v>
      </c>
      <c r="H610" t="s">
        <v>767</v>
      </c>
      <c r="K610" s="1633">
        <v>0</v>
      </c>
      <c r="M610" s="1633">
        <v>1028741518</v>
      </c>
      <c r="O610" s="1633">
        <v>-1028741518</v>
      </c>
      <c r="Q610">
        <v>-100</v>
      </c>
    </row>
    <row r="611" spans="3:18">
      <c r="C611" t="s">
        <v>297</v>
      </c>
      <c r="D611" t="s">
        <v>299</v>
      </c>
      <c r="E611">
        <v>2436951200</v>
      </c>
      <c r="H611" t="s">
        <v>768</v>
      </c>
      <c r="K611" s="1633">
        <v>-6595350106</v>
      </c>
      <c r="M611" s="1633">
        <v>-5315152418</v>
      </c>
      <c r="O611" s="1633">
        <v>-1280197688</v>
      </c>
      <c r="Q611">
        <v>-24.1</v>
      </c>
    </row>
    <row r="612" spans="3:18">
      <c r="C612" t="s">
        <v>297</v>
      </c>
      <c r="D612" t="s">
        <v>299</v>
      </c>
      <c r="E612">
        <v>2436951300</v>
      </c>
      <c r="H612" t="s">
        <v>769</v>
      </c>
      <c r="K612" s="1633">
        <v>0</v>
      </c>
      <c r="M612" s="1633">
        <v>-52231717</v>
      </c>
      <c r="O612" s="1633">
        <v>52231717</v>
      </c>
      <c r="Q612">
        <v>100</v>
      </c>
    </row>
    <row r="613" spans="3:18">
      <c r="C613" t="s">
        <v>297</v>
      </c>
      <c r="D613" t="s">
        <v>299</v>
      </c>
      <c r="E613">
        <v>2436951310</v>
      </c>
      <c r="H613" t="s">
        <v>1512</v>
      </c>
      <c r="K613" s="1633">
        <v>-12862</v>
      </c>
      <c r="M613" s="1633">
        <v>0</v>
      </c>
      <c r="O613" s="1633">
        <v>-12862</v>
      </c>
    </row>
    <row r="614" spans="3:18">
      <c r="C614" t="s">
        <v>297</v>
      </c>
      <c r="D614" t="s">
        <v>299</v>
      </c>
      <c r="E614">
        <v>2440040000</v>
      </c>
      <c r="H614" t="s">
        <v>770</v>
      </c>
      <c r="K614" s="1633">
        <v>-351300</v>
      </c>
      <c r="M614" s="1633">
        <v>-351300</v>
      </c>
      <c r="O614" s="1633">
        <v>0</v>
      </c>
    </row>
    <row r="615" spans="3:18">
      <c r="C615" t="s">
        <v>297</v>
      </c>
      <c r="D615" t="s">
        <v>299</v>
      </c>
      <c r="E615">
        <v>2440160000</v>
      </c>
      <c r="H615" t="s">
        <v>2503</v>
      </c>
      <c r="K615" s="1633">
        <v>-7945050</v>
      </c>
      <c r="M615" s="1633">
        <v>0</v>
      </c>
      <c r="O615" s="1633">
        <v>-7945050</v>
      </c>
    </row>
    <row r="616" spans="3:18">
      <c r="C616" t="s">
        <v>297</v>
      </c>
      <c r="D616" t="s">
        <v>299</v>
      </c>
      <c r="E616">
        <v>2440230100</v>
      </c>
      <c r="H616" t="s">
        <v>771</v>
      </c>
      <c r="K616" s="1633">
        <v>-3691080000</v>
      </c>
      <c r="M616" s="1633">
        <v>-3691080000</v>
      </c>
      <c r="O616" s="1633">
        <v>0</v>
      </c>
    </row>
    <row r="617" spans="3:18">
      <c r="C617" t="s">
        <v>297</v>
      </c>
      <c r="D617" t="s">
        <v>299</v>
      </c>
      <c r="E617">
        <v>2440751000</v>
      </c>
      <c r="H617" t="s">
        <v>1410</v>
      </c>
      <c r="K617" s="1633">
        <v>-27114813000</v>
      </c>
      <c r="M617" s="1633">
        <v>-9920000</v>
      </c>
      <c r="O617" s="1633">
        <v>-27104893000</v>
      </c>
      <c r="Q617" t="s">
        <v>2633</v>
      </c>
    </row>
    <row r="618" spans="3:18">
      <c r="C618" t="s">
        <v>297</v>
      </c>
      <c r="D618" t="s">
        <v>299</v>
      </c>
      <c r="E618">
        <v>2445020000</v>
      </c>
      <c r="H618" t="s">
        <v>772</v>
      </c>
      <c r="K618" s="1633">
        <v>-16944243</v>
      </c>
      <c r="M618" s="1633">
        <v>0</v>
      </c>
      <c r="O618" s="1633">
        <v>-16944243</v>
      </c>
    </row>
    <row r="619" spans="3:18">
      <c r="C619" t="s">
        <v>297</v>
      </c>
      <c r="D619" t="s">
        <v>299</v>
      </c>
      <c r="E619">
        <v>2445060000</v>
      </c>
      <c r="H619" t="s">
        <v>2634</v>
      </c>
      <c r="K619" s="1633">
        <v>7967217</v>
      </c>
      <c r="M619" s="1633">
        <v>0</v>
      </c>
      <c r="O619" s="1633">
        <v>7967217</v>
      </c>
    </row>
    <row r="620" spans="3:18">
      <c r="C620" t="s">
        <v>297</v>
      </c>
      <c r="D620" t="s">
        <v>299</v>
      </c>
      <c r="E620">
        <v>2445060100</v>
      </c>
      <c r="H620" t="s">
        <v>1513</v>
      </c>
      <c r="K620" s="1633">
        <v>18913</v>
      </c>
      <c r="M620" s="1633">
        <v>0</v>
      </c>
      <c r="O620" s="1633">
        <v>18913</v>
      </c>
    </row>
    <row r="621" spans="3:18">
      <c r="C621" t="s">
        <v>297</v>
      </c>
      <c r="D621" t="s">
        <v>299</v>
      </c>
      <c r="E621">
        <v>2705020100</v>
      </c>
      <c r="H621" t="s">
        <v>773</v>
      </c>
      <c r="K621" s="1633">
        <v>-1088452000</v>
      </c>
      <c r="M621" s="1633">
        <v>-1342504000</v>
      </c>
      <c r="O621" s="1633">
        <v>254052000</v>
      </c>
      <c r="Q621">
        <v>18.899999999999999</v>
      </c>
    </row>
    <row r="622" spans="3:18">
      <c r="C622" t="s">
        <v>297</v>
      </c>
      <c r="D622" t="s">
        <v>299</v>
      </c>
      <c r="E622">
        <v>2705020200</v>
      </c>
      <c r="H622" t="s">
        <v>2635</v>
      </c>
      <c r="K622" s="1633">
        <v>-8390860</v>
      </c>
      <c r="M622" s="1633">
        <v>0</v>
      </c>
      <c r="O622" s="1633">
        <v>-8390860</v>
      </c>
    </row>
    <row r="623" spans="3:18">
      <c r="E623" t="s">
        <v>774</v>
      </c>
      <c r="K623" s="1633">
        <v>-49158020839</v>
      </c>
      <c r="M623" s="1633">
        <v>-26875025283</v>
      </c>
      <c r="O623" s="1633">
        <v>-22282995556</v>
      </c>
      <c r="Q623">
        <v>-82.9</v>
      </c>
      <c r="R623" t="s">
        <v>327</v>
      </c>
    </row>
    <row r="624" spans="3:18">
      <c r="E624" t="s">
        <v>775</v>
      </c>
    </row>
    <row r="625" spans="3:18">
      <c r="C625" t="s">
        <v>297</v>
      </c>
      <c r="D625" t="s">
        <v>299</v>
      </c>
      <c r="E625">
        <v>1422010000</v>
      </c>
      <c r="H625" t="s">
        <v>2636</v>
      </c>
      <c r="K625" s="1633">
        <v>27106729000</v>
      </c>
      <c r="M625" s="1633">
        <v>0</v>
      </c>
      <c r="O625" s="1633">
        <v>27106729000</v>
      </c>
    </row>
    <row r="626" spans="3:18">
      <c r="C626" t="s">
        <v>297</v>
      </c>
      <c r="D626" t="s">
        <v>299</v>
      </c>
      <c r="E626">
        <v>1422010100</v>
      </c>
      <c r="H626" t="s">
        <v>1337</v>
      </c>
      <c r="K626" s="1633">
        <v>215536817</v>
      </c>
      <c r="M626" s="1633">
        <v>215536817</v>
      </c>
      <c r="O626" s="1633">
        <v>0</v>
      </c>
    </row>
    <row r="627" spans="3:18">
      <c r="C627" t="s">
        <v>297</v>
      </c>
      <c r="D627" t="s">
        <v>299</v>
      </c>
      <c r="E627">
        <v>1422020700</v>
      </c>
      <c r="H627" t="s">
        <v>776</v>
      </c>
      <c r="K627" s="1633">
        <v>1348367623</v>
      </c>
      <c r="M627" s="1633">
        <v>0</v>
      </c>
      <c r="O627" s="1633">
        <v>1348367623</v>
      </c>
    </row>
    <row r="628" spans="3:18">
      <c r="C628" t="s">
        <v>297</v>
      </c>
      <c r="D628" t="s">
        <v>299</v>
      </c>
      <c r="E628">
        <v>1422021000</v>
      </c>
      <c r="H628" t="s">
        <v>1269</v>
      </c>
      <c r="K628" s="1633">
        <v>1378269443</v>
      </c>
      <c r="M628" s="1633">
        <v>0</v>
      </c>
      <c r="O628" s="1633">
        <v>1378269443</v>
      </c>
    </row>
    <row r="629" spans="3:18">
      <c r="C629" t="s">
        <v>297</v>
      </c>
      <c r="D629" t="s">
        <v>299</v>
      </c>
      <c r="E629">
        <v>1422029503</v>
      </c>
      <c r="H629" t="s">
        <v>777</v>
      </c>
      <c r="K629" s="1633">
        <v>71100905</v>
      </c>
      <c r="M629" s="1633">
        <v>0</v>
      </c>
      <c r="O629" s="1633">
        <v>71100905</v>
      </c>
    </row>
    <row r="630" spans="3:18">
      <c r="C630" t="s">
        <v>297</v>
      </c>
      <c r="D630" t="s">
        <v>299</v>
      </c>
      <c r="E630">
        <v>1422029504</v>
      </c>
      <c r="H630" t="s">
        <v>778</v>
      </c>
      <c r="K630" s="1633">
        <v>1118661</v>
      </c>
      <c r="M630" s="1633">
        <v>0</v>
      </c>
      <c r="O630" s="1633">
        <v>1118661</v>
      </c>
    </row>
    <row r="631" spans="3:18">
      <c r="C631" t="s">
        <v>297</v>
      </c>
      <c r="D631" t="s">
        <v>299</v>
      </c>
      <c r="E631">
        <v>1422029505</v>
      </c>
      <c r="H631" t="s">
        <v>779</v>
      </c>
      <c r="K631" s="1633">
        <v>3164743</v>
      </c>
      <c r="M631" s="1633">
        <v>0</v>
      </c>
      <c r="O631" s="1633">
        <v>3164743</v>
      </c>
    </row>
    <row r="632" spans="3:18">
      <c r="C632" t="s">
        <v>297</v>
      </c>
      <c r="D632" t="s">
        <v>299</v>
      </c>
      <c r="E632">
        <v>1422029508</v>
      </c>
      <c r="H632" t="s">
        <v>780</v>
      </c>
      <c r="K632" s="1633">
        <v>26795060318</v>
      </c>
      <c r="M632" s="1633">
        <v>0</v>
      </c>
      <c r="O632" s="1633">
        <v>26795060318</v>
      </c>
    </row>
    <row r="633" spans="3:18">
      <c r="C633" t="s">
        <v>297</v>
      </c>
      <c r="D633" t="s">
        <v>299</v>
      </c>
      <c r="E633">
        <v>1422029510</v>
      </c>
      <c r="H633" t="s">
        <v>781</v>
      </c>
      <c r="K633" s="1633">
        <v>2801095575</v>
      </c>
      <c r="M633" s="1633">
        <v>0</v>
      </c>
      <c r="O633" s="1633">
        <v>2801095575</v>
      </c>
    </row>
    <row r="634" spans="3:18">
      <c r="C634" t="s">
        <v>297</v>
      </c>
      <c r="D634" t="s">
        <v>299</v>
      </c>
      <c r="E634">
        <v>1422029511</v>
      </c>
      <c r="H634" t="s">
        <v>767</v>
      </c>
      <c r="K634" s="1633">
        <v>-1107845585</v>
      </c>
      <c r="M634" s="1633">
        <v>0</v>
      </c>
      <c r="O634" s="1633">
        <v>-1107845585</v>
      </c>
    </row>
    <row r="635" spans="3:18">
      <c r="C635" t="s">
        <v>297</v>
      </c>
      <c r="D635" t="s">
        <v>299</v>
      </c>
      <c r="E635">
        <v>1422029512</v>
      </c>
      <c r="H635" t="s">
        <v>768</v>
      </c>
      <c r="K635" s="1633">
        <v>30729498818</v>
      </c>
      <c r="M635" s="1633">
        <v>0</v>
      </c>
      <c r="O635" s="1633">
        <v>30729498818</v>
      </c>
    </row>
    <row r="636" spans="3:18">
      <c r="C636" t="s">
        <v>297</v>
      </c>
      <c r="D636" t="s">
        <v>299</v>
      </c>
      <c r="E636">
        <v>1422029513</v>
      </c>
      <c r="H636" t="s">
        <v>782</v>
      </c>
      <c r="K636" s="1633">
        <v>4358088</v>
      </c>
      <c r="M636" s="1633">
        <v>0</v>
      </c>
      <c r="O636" s="1633">
        <v>4358088</v>
      </c>
    </row>
    <row r="637" spans="3:18">
      <c r="C637" t="s">
        <v>297</v>
      </c>
      <c r="D637" t="s">
        <v>299</v>
      </c>
      <c r="E637">
        <v>1422029514</v>
      </c>
      <c r="H637" t="s">
        <v>1514</v>
      </c>
      <c r="K637" s="1633">
        <v>18995686</v>
      </c>
      <c r="M637" s="1633">
        <v>0</v>
      </c>
      <c r="O637" s="1633">
        <v>18995686</v>
      </c>
    </row>
    <row r="638" spans="3:18">
      <c r="C638" t="s">
        <v>297</v>
      </c>
      <c r="D638" t="s">
        <v>299</v>
      </c>
      <c r="E638">
        <v>1422901000</v>
      </c>
      <c r="H638" t="s">
        <v>2363</v>
      </c>
      <c r="K638" s="1633">
        <v>174342553</v>
      </c>
      <c r="M638" s="1633">
        <v>0</v>
      </c>
      <c r="O638" s="1633">
        <v>174342553</v>
      </c>
    </row>
    <row r="639" spans="3:18">
      <c r="C639" t="s">
        <v>297</v>
      </c>
      <c r="D639" t="s">
        <v>299</v>
      </c>
      <c r="E639">
        <v>2705010000</v>
      </c>
      <c r="H639" t="s">
        <v>783</v>
      </c>
      <c r="K639" s="1633">
        <v>-250672078198</v>
      </c>
      <c r="M639" s="1633">
        <v>-240568292663</v>
      </c>
      <c r="O639" s="1633">
        <v>-10103785535</v>
      </c>
      <c r="Q639">
        <v>-4.2</v>
      </c>
    </row>
    <row r="640" spans="3:18">
      <c r="E640" t="s">
        <v>784</v>
      </c>
      <c r="K640" s="1633">
        <v>-161132285553</v>
      </c>
      <c r="M640" s="1633">
        <v>-240352755846</v>
      </c>
      <c r="O640" s="1633">
        <v>79220470293</v>
      </c>
      <c r="Q640">
        <v>33</v>
      </c>
      <c r="R640" t="s">
        <v>327</v>
      </c>
    </row>
    <row r="641" spans="3:18">
      <c r="E641" t="s">
        <v>785</v>
      </c>
      <c r="K641" s="1633">
        <v>-210290306392</v>
      </c>
      <c r="M641" s="1633">
        <v>-267227781129</v>
      </c>
      <c r="O641" s="1633">
        <v>56937474737</v>
      </c>
      <c r="Q641">
        <v>21.3</v>
      </c>
      <c r="R641" t="s">
        <v>362</v>
      </c>
    </row>
    <row r="642" spans="3:18">
      <c r="E642" t="s">
        <v>786</v>
      </c>
    </row>
    <row r="643" spans="3:18">
      <c r="C643" t="s">
        <v>297</v>
      </c>
      <c r="D643" t="s">
        <v>299</v>
      </c>
      <c r="E643">
        <v>2505020000</v>
      </c>
      <c r="H643" t="s">
        <v>1184</v>
      </c>
      <c r="K643" s="1633">
        <v>0</v>
      </c>
      <c r="M643" s="1633">
        <v>-2738149281</v>
      </c>
      <c r="O643" s="1633">
        <v>2738149281</v>
      </c>
      <c r="Q643">
        <v>100</v>
      </c>
    </row>
    <row r="644" spans="3:18">
      <c r="C644" t="s">
        <v>297</v>
      </c>
      <c r="D644" t="s">
        <v>299</v>
      </c>
      <c r="E644">
        <v>2505030000</v>
      </c>
      <c r="H644" t="s">
        <v>787</v>
      </c>
      <c r="K644" s="1633">
        <v>-18457939</v>
      </c>
      <c r="M644" s="1633">
        <v>-945817208</v>
      </c>
      <c r="O644" s="1633">
        <v>927359269</v>
      </c>
      <c r="Q644">
        <v>98</v>
      </c>
    </row>
    <row r="645" spans="3:18">
      <c r="C645" t="s">
        <v>297</v>
      </c>
      <c r="D645" t="s">
        <v>299</v>
      </c>
      <c r="E645">
        <v>2505040000</v>
      </c>
      <c r="H645" t="s">
        <v>788</v>
      </c>
      <c r="K645" s="1633">
        <v>-1691535695</v>
      </c>
      <c r="M645" s="1633">
        <v>-3006541146</v>
      </c>
      <c r="O645" s="1633">
        <v>1315005451</v>
      </c>
      <c r="Q645">
        <v>43.7</v>
      </c>
    </row>
    <row r="646" spans="3:18">
      <c r="C646" t="s">
        <v>297</v>
      </c>
      <c r="D646" t="s">
        <v>299</v>
      </c>
      <c r="E646">
        <v>2505050000</v>
      </c>
      <c r="H646" t="s">
        <v>789</v>
      </c>
      <c r="K646" s="1633">
        <v>-3691359775</v>
      </c>
      <c r="M646" s="1633">
        <v>-4470135714</v>
      </c>
      <c r="O646" s="1633">
        <v>778775939</v>
      </c>
      <c r="Q646">
        <v>17.399999999999999</v>
      </c>
    </row>
    <row r="647" spans="3:18">
      <c r="C647" t="s">
        <v>297</v>
      </c>
      <c r="D647" t="s">
        <v>299</v>
      </c>
      <c r="E647">
        <v>2505900200</v>
      </c>
      <c r="H647" t="s">
        <v>790</v>
      </c>
      <c r="K647" s="1633">
        <v>-5411276357</v>
      </c>
      <c r="M647" s="1633">
        <v>-4286676050</v>
      </c>
      <c r="O647" s="1633">
        <v>-1124600307</v>
      </c>
      <c r="Q647">
        <v>-26.2</v>
      </c>
    </row>
    <row r="648" spans="3:18">
      <c r="C648" t="s">
        <v>297</v>
      </c>
      <c r="D648" t="s">
        <v>299</v>
      </c>
      <c r="E648">
        <v>2510010000</v>
      </c>
      <c r="H648" t="s">
        <v>791</v>
      </c>
      <c r="K648" s="1633">
        <v>-523187322</v>
      </c>
      <c r="M648" s="1633">
        <v>-605496954</v>
      </c>
      <c r="O648" s="1633">
        <v>82309632</v>
      </c>
      <c r="Q648">
        <v>13.6</v>
      </c>
    </row>
    <row r="649" spans="3:18">
      <c r="E649" t="s">
        <v>792</v>
      </c>
      <c r="K649" s="1633">
        <v>-11335817088</v>
      </c>
      <c r="M649" s="1633">
        <v>-16052816353</v>
      </c>
      <c r="O649" s="1633">
        <v>4716999265</v>
      </c>
      <c r="Q649">
        <v>29.4</v>
      </c>
      <c r="R649" t="s">
        <v>362</v>
      </c>
    </row>
    <row r="650" spans="3:18">
      <c r="E650" t="s">
        <v>649</v>
      </c>
    </row>
    <row r="651" spans="3:18">
      <c r="C651" t="s">
        <v>297</v>
      </c>
      <c r="D651" t="s">
        <v>299</v>
      </c>
      <c r="E651">
        <v>2710050102</v>
      </c>
      <c r="H651" t="s">
        <v>658</v>
      </c>
      <c r="K651" s="1633">
        <v>-1063599600</v>
      </c>
      <c r="M651" s="1633">
        <v>-1756599600</v>
      </c>
      <c r="O651" s="1633">
        <v>693000000</v>
      </c>
      <c r="Q651">
        <v>39.5</v>
      </c>
    </row>
    <row r="652" spans="3:18">
      <c r="E652" t="s">
        <v>668</v>
      </c>
      <c r="K652" s="1633">
        <v>-1063599600</v>
      </c>
      <c r="M652" s="1633">
        <v>-1756599600</v>
      </c>
      <c r="O652" s="1633">
        <v>693000000</v>
      </c>
      <c r="Q652">
        <v>39.5</v>
      </c>
      <c r="R652" t="s">
        <v>362</v>
      </c>
    </row>
    <row r="653" spans="3:18">
      <c r="E653" t="s">
        <v>793</v>
      </c>
    </row>
    <row r="654" spans="3:18">
      <c r="C654" t="s">
        <v>297</v>
      </c>
      <c r="D654" t="s">
        <v>299</v>
      </c>
      <c r="E654">
        <v>2715010000</v>
      </c>
      <c r="H654" t="s">
        <v>1515</v>
      </c>
      <c r="K654" s="1633">
        <v>-1446278498</v>
      </c>
      <c r="M654" s="1633">
        <v>0</v>
      </c>
      <c r="O654" s="1633">
        <v>-1446278498</v>
      </c>
    </row>
    <row r="655" spans="3:18">
      <c r="C655" t="s">
        <v>297</v>
      </c>
      <c r="D655" t="s">
        <v>299</v>
      </c>
      <c r="E655">
        <v>2715020000</v>
      </c>
      <c r="H655" t="s">
        <v>1516</v>
      </c>
      <c r="K655" s="1633">
        <v>-857488686</v>
      </c>
      <c r="M655" s="1633">
        <v>0</v>
      </c>
      <c r="O655" s="1633">
        <v>-857488686</v>
      </c>
    </row>
    <row r="656" spans="3:18">
      <c r="C656" t="s">
        <v>297</v>
      </c>
      <c r="D656" t="s">
        <v>299</v>
      </c>
      <c r="E656">
        <v>2715030000</v>
      </c>
      <c r="H656" t="s">
        <v>1517</v>
      </c>
      <c r="K656" s="1633">
        <v>-1880802802</v>
      </c>
      <c r="M656" s="1633">
        <v>0</v>
      </c>
      <c r="O656" s="1633">
        <v>-1880802802</v>
      </c>
    </row>
    <row r="657" spans="3:18">
      <c r="C657" t="s">
        <v>297</v>
      </c>
      <c r="D657" t="s">
        <v>299</v>
      </c>
      <c r="E657">
        <v>2715040000</v>
      </c>
      <c r="H657" t="s">
        <v>1518</v>
      </c>
      <c r="K657" s="1633">
        <v>-2521864879</v>
      </c>
      <c r="M657" s="1633">
        <v>0</v>
      </c>
      <c r="O657" s="1633">
        <v>-2521864879</v>
      </c>
    </row>
    <row r="658" spans="3:18">
      <c r="C658" t="s">
        <v>297</v>
      </c>
      <c r="D658" t="s">
        <v>299</v>
      </c>
      <c r="E658">
        <v>2715060000</v>
      </c>
      <c r="H658" t="s">
        <v>1519</v>
      </c>
      <c r="K658" s="1633">
        <v>-2557727122</v>
      </c>
      <c r="M658" s="1633">
        <v>0</v>
      </c>
      <c r="O658" s="1633">
        <v>-2557727122</v>
      </c>
    </row>
    <row r="659" spans="3:18">
      <c r="C659" t="s">
        <v>297</v>
      </c>
      <c r="D659" t="s">
        <v>299</v>
      </c>
      <c r="E659">
        <v>2715120100</v>
      </c>
      <c r="H659" t="s">
        <v>1520</v>
      </c>
      <c r="K659" s="1633">
        <v>-3692475568</v>
      </c>
      <c r="M659" s="1633">
        <v>0</v>
      </c>
      <c r="O659" s="1633">
        <v>-3692475568</v>
      </c>
    </row>
    <row r="660" spans="3:18">
      <c r="C660" t="s">
        <v>297</v>
      </c>
      <c r="D660" t="s">
        <v>299</v>
      </c>
      <c r="E660">
        <v>2715900200</v>
      </c>
      <c r="H660" t="s">
        <v>794</v>
      </c>
      <c r="K660" s="1633">
        <v>-3820242057</v>
      </c>
      <c r="M660" s="1633">
        <v>-10366000000</v>
      </c>
      <c r="O660" s="1633">
        <v>6545757943</v>
      </c>
      <c r="Q660">
        <v>63.1</v>
      </c>
    </row>
    <row r="661" spans="3:18">
      <c r="C661" t="s">
        <v>297</v>
      </c>
      <c r="D661" t="s">
        <v>299</v>
      </c>
      <c r="E661">
        <v>2715900700</v>
      </c>
      <c r="H661" t="s">
        <v>795</v>
      </c>
      <c r="K661" s="1633">
        <v>-540041988</v>
      </c>
      <c r="M661" s="1633">
        <v>0</v>
      </c>
      <c r="O661" s="1633">
        <v>-540041988</v>
      </c>
    </row>
    <row r="662" spans="3:18">
      <c r="E662" t="s">
        <v>796</v>
      </c>
      <c r="K662" s="1633">
        <v>-17316921600</v>
      </c>
      <c r="M662" s="1633">
        <v>-10366000000</v>
      </c>
      <c r="O662" s="1633">
        <v>-6950921600</v>
      </c>
      <c r="Q662">
        <v>-67.099999999999994</v>
      </c>
      <c r="R662" t="s">
        <v>362</v>
      </c>
    </row>
    <row r="663" spans="3:18">
      <c r="E663" t="s">
        <v>23</v>
      </c>
    </row>
    <row r="664" spans="3:18">
      <c r="E664" t="s">
        <v>797</v>
      </c>
    </row>
    <row r="665" spans="3:18">
      <c r="C665" t="s">
        <v>297</v>
      </c>
      <c r="D665" t="s">
        <v>299</v>
      </c>
      <c r="E665">
        <v>2910070000</v>
      </c>
      <c r="H665" t="s">
        <v>798</v>
      </c>
      <c r="K665" s="1633">
        <v>-338760530</v>
      </c>
      <c r="M665" s="1633">
        <v>-338760530</v>
      </c>
      <c r="O665" s="1633">
        <v>0</v>
      </c>
    </row>
    <row r="666" spans="3:18">
      <c r="C666" t="s">
        <v>297</v>
      </c>
      <c r="D666" t="s">
        <v>299</v>
      </c>
      <c r="E666">
        <v>2910170000</v>
      </c>
      <c r="H666" t="s">
        <v>798</v>
      </c>
      <c r="K666" s="1633">
        <v>-10969454221</v>
      </c>
      <c r="M666" s="1633">
        <v>-15169870807</v>
      </c>
      <c r="O666" s="1633">
        <v>4200416586</v>
      </c>
      <c r="Q666">
        <v>27.7</v>
      </c>
    </row>
    <row r="667" spans="3:18">
      <c r="E667" t="s">
        <v>799</v>
      </c>
      <c r="K667" s="1633">
        <v>-11308214751</v>
      </c>
      <c r="M667" s="1633">
        <v>-15508631337</v>
      </c>
      <c r="O667" s="1633">
        <v>4200416586</v>
      </c>
      <c r="Q667">
        <v>27.1</v>
      </c>
      <c r="R667" t="s">
        <v>327</v>
      </c>
    </row>
    <row r="668" spans="3:18">
      <c r="E668" t="s">
        <v>800</v>
      </c>
    </row>
    <row r="669" spans="3:18">
      <c r="C669" t="s">
        <v>297</v>
      </c>
      <c r="D669" t="s">
        <v>299</v>
      </c>
      <c r="E669">
        <v>2790900900</v>
      </c>
      <c r="H669" t="s">
        <v>801</v>
      </c>
      <c r="K669" s="1633">
        <v>-2741085404</v>
      </c>
      <c r="M669" s="1633">
        <v>-927492300</v>
      </c>
      <c r="O669" s="1633">
        <v>-1813593104</v>
      </c>
      <c r="Q669">
        <v>-195.5</v>
      </c>
    </row>
    <row r="670" spans="3:18">
      <c r="C670" t="s">
        <v>297</v>
      </c>
      <c r="D670" t="s">
        <v>299</v>
      </c>
      <c r="E670">
        <v>2790904000</v>
      </c>
      <c r="H670" t="s">
        <v>1441</v>
      </c>
      <c r="K670" s="1633">
        <v>-71810605</v>
      </c>
      <c r="M670" s="1633">
        <v>-15299299</v>
      </c>
      <c r="O670" s="1633">
        <v>-56511306</v>
      </c>
      <c r="Q670">
        <v>-369.4</v>
      </c>
    </row>
    <row r="671" spans="3:18">
      <c r="C671" t="s">
        <v>297</v>
      </c>
      <c r="D671" t="s">
        <v>299</v>
      </c>
      <c r="E671">
        <v>2905050500</v>
      </c>
      <c r="H671" t="s">
        <v>1231</v>
      </c>
      <c r="K671" s="1633">
        <v>-45228790</v>
      </c>
      <c r="M671" s="1633">
        <v>-62681777</v>
      </c>
      <c r="O671" s="1633">
        <v>17452987</v>
      </c>
      <c r="Q671">
        <v>27.8</v>
      </c>
    </row>
    <row r="672" spans="3:18">
      <c r="C672" t="s">
        <v>297</v>
      </c>
      <c r="D672" t="s">
        <v>299</v>
      </c>
      <c r="E672">
        <v>2905170100</v>
      </c>
      <c r="H672" t="s">
        <v>802</v>
      </c>
      <c r="K672" s="1633">
        <v>-7018058</v>
      </c>
      <c r="M672" s="1633">
        <v>-5924765</v>
      </c>
      <c r="O672" s="1633">
        <v>-1093293</v>
      </c>
      <c r="Q672">
        <v>-18.5</v>
      </c>
    </row>
    <row r="673" spans="1:18">
      <c r="C673" t="s">
        <v>297</v>
      </c>
      <c r="D673" t="s">
        <v>299</v>
      </c>
      <c r="E673">
        <v>2905900400</v>
      </c>
      <c r="H673" t="s">
        <v>1442</v>
      </c>
      <c r="K673" s="1633">
        <v>0</v>
      </c>
      <c r="M673" s="1633">
        <v>-9186000000</v>
      </c>
      <c r="O673" s="1633">
        <v>9186000000</v>
      </c>
      <c r="Q673">
        <v>100</v>
      </c>
    </row>
    <row r="674" spans="1:18">
      <c r="C674" t="s">
        <v>297</v>
      </c>
      <c r="D674" t="s">
        <v>299</v>
      </c>
      <c r="E674">
        <v>2905900800</v>
      </c>
      <c r="H674" t="s">
        <v>1374</v>
      </c>
      <c r="K674" s="1633">
        <v>265848753</v>
      </c>
      <c r="M674" s="1633">
        <v>4819584</v>
      </c>
      <c r="O674" s="1633">
        <v>261029169</v>
      </c>
      <c r="Q674">
        <v>5416</v>
      </c>
    </row>
    <row r="675" spans="1:18">
      <c r="E675" t="s">
        <v>803</v>
      </c>
      <c r="K675" s="1633">
        <v>-2599294104</v>
      </c>
      <c r="M675" s="1633">
        <v>-10192578557</v>
      </c>
      <c r="O675" s="1633">
        <v>7593284453</v>
      </c>
      <c r="Q675">
        <v>74.5</v>
      </c>
      <c r="R675" t="s">
        <v>327</v>
      </c>
    </row>
    <row r="676" spans="1:18">
      <c r="E676" t="s">
        <v>804</v>
      </c>
      <c r="K676" s="1633">
        <v>-13907508855</v>
      </c>
      <c r="M676" s="1633">
        <v>-25701209894</v>
      </c>
      <c r="O676" s="1633">
        <v>11793701039</v>
      </c>
      <c r="Q676">
        <v>45.9</v>
      </c>
      <c r="R676" t="s">
        <v>362</v>
      </c>
    </row>
    <row r="677" spans="1:18">
      <c r="E677" t="s">
        <v>805</v>
      </c>
      <c r="K677" s="1633">
        <v>-1283018533802</v>
      </c>
      <c r="M677" s="1633">
        <v>-1333190592890</v>
      </c>
      <c r="O677" s="1633">
        <v>50172059088</v>
      </c>
      <c r="Q677">
        <v>3.8</v>
      </c>
      <c r="R677" t="s">
        <v>392</v>
      </c>
    </row>
    <row r="679" spans="1:18">
      <c r="E679" t="s">
        <v>806</v>
      </c>
      <c r="K679" s="1633">
        <v>-13786360582813</v>
      </c>
      <c r="M679" s="1633">
        <v>-18243715598728</v>
      </c>
      <c r="O679" s="1633">
        <v>4457355015915</v>
      </c>
      <c r="Q679">
        <v>24.4</v>
      </c>
      <c r="R679" t="s">
        <v>452</v>
      </c>
    </row>
    <row r="681" spans="1:18">
      <c r="E681" t="s">
        <v>807</v>
      </c>
      <c r="K681" s="1633">
        <v>-24285033408063</v>
      </c>
      <c r="M681" s="1633">
        <v>-23808061966282</v>
      </c>
      <c r="O681" s="1633">
        <v>-476971441781</v>
      </c>
      <c r="Q681">
        <v>-2</v>
      </c>
      <c r="R681" t="s">
        <v>583</v>
      </c>
    </row>
    <row r="685" spans="1:18">
      <c r="A685" t="s">
        <v>2619</v>
      </c>
    </row>
    <row r="686" spans="1:18">
      <c r="A686" t="s">
        <v>808</v>
      </c>
    </row>
    <row r="688" spans="1:18">
      <c r="A688" t="s">
        <v>296</v>
      </c>
      <c r="F688" t="s">
        <v>297</v>
      </c>
      <c r="G688" t="s">
        <v>298</v>
      </c>
      <c r="I688" t="s">
        <v>299</v>
      </c>
      <c r="N688" s="1633" t="s">
        <v>300</v>
      </c>
      <c r="P688" t="s">
        <v>106</v>
      </c>
    </row>
    <row r="690" spans="2:18">
      <c r="B690" t="s">
        <v>301</v>
      </c>
      <c r="C690" t="s">
        <v>302</v>
      </c>
      <c r="D690" t="s">
        <v>303</v>
      </c>
      <c r="E690" t="s">
        <v>304</v>
      </c>
      <c r="J690" t="s">
        <v>305</v>
      </c>
      <c r="L690" s="1633" t="s">
        <v>306</v>
      </c>
      <c r="O690" s="1633" t="s">
        <v>307</v>
      </c>
      <c r="Q690" t="s">
        <v>308</v>
      </c>
      <c r="R690" t="s">
        <v>309</v>
      </c>
    </row>
    <row r="691" spans="2:18">
      <c r="B691" t="s">
        <v>310</v>
      </c>
      <c r="C691" t="s">
        <v>311</v>
      </c>
      <c r="D691" t="s">
        <v>312</v>
      </c>
      <c r="E691" t="s">
        <v>313</v>
      </c>
      <c r="J691" t="s">
        <v>2620</v>
      </c>
      <c r="L691" s="1633" t="s">
        <v>1419</v>
      </c>
      <c r="O691" s="1633" t="s">
        <v>314</v>
      </c>
      <c r="Q691" t="s">
        <v>315</v>
      </c>
      <c r="R691" t="s">
        <v>316</v>
      </c>
    </row>
    <row r="693" spans="2:18">
      <c r="E693" t="s">
        <v>809</v>
      </c>
    </row>
    <row r="694" spans="2:18">
      <c r="E694" t="s">
        <v>810</v>
      </c>
    </row>
    <row r="695" spans="2:18">
      <c r="E695" t="s">
        <v>811</v>
      </c>
    </row>
    <row r="696" spans="2:18">
      <c r="C696" t="s">
        <v>297</v>
      </c>
      <c r="D696" t="s">
        <v>299</v>
      </c>
      <c r="E696">
        <v>4315170100</v>
      </c>
      <c r="H696" t="s">
        <v>812</v>
      </c>
      <c r="K696" s="1633">
        <v>-627519231243</v>
      </c>
      <c r="M696" s="1633">
        <v>-2350860615258</v>
      </c>
      <c r="O696" s="1633">
        <v>1723341384015</v>
      </c>
      <c r="Q696">
        <v>73.3</v>
      </c>
    </row>
    <row r="697" spans="2:18">
      <c r="C697" t="s">
        <v>297</v>
      </c>
      <c r="D697" t="s">
        <v>299</v>
      </c>
      <c r="E697">
        <v>4315170101</v>
      </c>
      <c r="H697" t="s">
        <v>813</v>
      </c>
      <c r="K697" s="1633">
        <v>-21750785802</v>
      </c>
      <c r="M697" s="1633">
        <v>-67672918145</v>
      </c>
      <c r="O697" s="1633">
        <v>45922132343</v>
      </c>
      <c r="Q697">
        <v>67.900000000000006</v>
      </c>
    </row>
    <row r="698" spans="2:18">
      <c r="C698" t="s">
        <v>297</v>
      </c>
      <c r="D698" t="s">
        <v>299</v>
      </c>
      <c r="E698">
        <v>4315170200</v>
      </c>
      <c r="H698" t="s">
        <v>814</v>
      </c>
      <c r="K698" s="1633">
        <v>47218742809</v>
      </c>
      <c r="M698" s="1633">
        <v>-16563548716</v>
      </c>
      <c r="O698" s="1633">
        <v>63782291525</v>
      </c>
      <c r="Q698">
        <v>385.1</v>
      </c>
    </row>
    <row r="699" spans="2:18">
      <c r="C699" t="s">
        <v>297</v>
      </c>
      <c r="D699" t="s">
        <v>299</v>
      </c>
      <c r="E699">
        <v>4315170201</v>
      </c>
      <c r="H699" t="s">
        <v>815</v>
      </c>
      <c r="K699" s="1633">
        <v>-722896488</v>
      </c>
      <c r="M699" s="1633">
        <v>-7017234940</v>
      </c>
      <c r="O699" s="1633">
        <v>6294338452</v>
      </c>
      <c r="Q699">
        <v>89.7</v>
      </c>
    </row>
    <row r="700" spans="2:18">
      <c r="C700" t="s">
        <v>297</v>
      </c>
      <c r="D700" t="s">
        <v>299</v>
      </c>
      <c r="E700">
        <v>4315170300</v>
      </c>
      <c r="H700" t="s">
        <v>816</v>
      </c>
      <c r="K700" s="1633">
        <v>284556732867</v>
      </c>
      <c r="M700" s="1633">
        <v>807609768911</v>
      </c>
      <c r="O700" s="1633">
        <v>-523053036044</v>
      </c>
      <c r="Q700">
        <v>-64.8</v>
      </c>
    </row>
    <row r="701" spans="2:18">
      <c r="C701" t="s">
        <v>297</v>
      </c>
      <c r="D701" t="s">
        <v>299</v>
      </c>
      <c r="E701">
        <v>4315170400</v>
      </c>
      <c r="H701" t="s">
        <v>816</v>
      </c>
      <c r="K701" s="1633">
        <v>-284556732867</v>
      </c>
      <c r="M701" s="1633">
        <v>-807609768911</v>
      </c>
      <c r="O701" s="1633">
        <v>523053036044</v>
      </c>
      <c r="Q701">
        <v>64.8</v>
      </c>
    </row>
    <row r="702" spans="2:18">
      <c r="C702" t="s">
        <v>297</v>
      </c>
      <c r="D702" t="s">
        <v>299</v>
      </c>
      <c r="E702">
        <v>4315170700</v>
      </c>
      <c r="H702" t="s">
        <v>817</v>
      </c>
      <c r="K702" s="1633">
        <v>-660901416459</v>
      </c>
      <c r="M702" s="1633">
        <v>-924714258666</v>
      </c>
      <c r="O702" s="1633">
        <v>263812842207</v>
      </c>
      <c r="Q702">
        <v>28.5</v>
      </c>
    </row>
    <row r="703" spans="2:18">
      <c r="C703" t="s">
        <v>297</v>
      </c>
      <c r="D703" t="s">
        <v>299</v>
      </c>
      <c r="E703">
        <v>4315170710</v>
      </c>
      <c r="H703" t="s">
        <v>818</v>
      </c>
      <c r="K703" s="1633">
        <v>-223180877533</v>
      </c>
      <c r="M703" s="1633">
        <v>-427055107462</v>
      </c>
      <c r="O703" s="1633">
        <v>203874229929</v>
      </c>
      <c r="Q703">
        <v>47.7</v>
      </c>
    </row>
    <row r="704" spans="2:18">
      <c r="C704" t="s">
        <v>297</v>
      </c>
      <c r="D704" t="s">
        <v>299</v>
      </c>
      <c r="E704">
        <v>4315171000</v>
      </c>
      <c r="H704" t="s">
        <v>819</v>
      </c>
      <c r="K704" s="1633">
        <v>22822458280</v>
      </c>
      <c r="M704" s="1633">
        <v>-62284664485</v>
      </c>
      <c r="O704" s="1633">
        <v>85107122765</v>
      </c>
      <c r="Q704">
        <v>136.6</v>
      </c>
    </row>
    <row r="705" spans="3:18">
      <c r="C705" t="s">
        <v>297</v>
      </c>
      <c r="D705" t="s">
        <v>299</v>
      </c>
      <c r="E705">
        <v>4315171010</v>
      </c>
      <c r="H705" t="s">
        <v>820</v>
      </c>
      <c r="K705" s="1633">
        <v>16063967119</v>
      </c>
      <c r="M705" s="1633">
        <v>-8537032934</v>
      </c>
      <c r="O705" s="1633">
        <v>24601000053</v>
      </c>
      <c r="Q705">
        <v>288.2</v>
      </c>
    </row>
    <row r="706" spans="3:18">
      <c r="C706" t="s">
        <v>297</v>
      </c>
      <c r="D706" t="s">
        <v>299</v>
      </c>
      <c r="E706">
        <v>4315180100</v>
      </c>
      <c r="H706" t="s">
        <v>821</v>
      </c>
      <c r="K706" s="1633">
        <v>-339815447</v>
      </c>
      <c r="M706" s="1633">
        <v>-957212684</v>
      </c>
      <c r="O706" s="1633">
        <v>617397237</v>
      </c>
      <c r="Q706">
        <v>64.5</v>
      </c>
    </row>
    <row r="707" spans="3:18">
      <c r="C707" t="s">
        <v>297</v>
      </c>
      <c r="D707" t="s">
        <v>299</v>
      </c>
      <c r="E707">
        <v>4315200100</v>
      </c>
      <c r="H707" t="s">
        <v>822</v>
      </c>
      <c r="K707" s="1633">
        <v>-532944551981</v>
      </c>
      <c r="M707" s="1633">
        <v>-1622465602959</v>
      </c>
      <c r="O707" s="1633">
        <v>1089521050978</v>
      </c>
      <c r="Q707">
        <v>67.2</v>
      </c>
    </row>
    <row r="708" spans="3:18">
      <c r="C708" t="s">
        <v>297</v>
      </c>
      <c r="D708" t="s">
        <v>299</v>
      </c>
      <c r="E708">
        <v>4315200200</v>
      </c>
      <c r="H708" t="s">
        <v>823</v>
      </c>
      <c r="K708" s="1633">
        <v>4150244250</v>
      </c>
      <c r="M708" s="1633">
        <v>-15250590520</v>
      </c>
      <c r="O708" s="1633">
        <v>19400834770</v>
      </c>
      <c r="Q708">
        <v>127.2</v>
      </c>
    </row>
    <row r="709" spans="3:18">
      <c r="C709" t="s">
        <v>297</v>
      </c>
      <c r="D709" t="s">
        <v>299</v>
      </c>
      <c r="E709">
        <v>4315200300</v>
      </c>
      <c r="H709" t="s">
        <v>824</v>
      </c>
      <c r="K709" s="1633">
        <v>-985929578</v>
      </c>
      <c r="M709" s="1633">
        <v>-1684182485</v>
      </c>
      <c r="O709" s="1633">
        <v>698252907</v>
      </c>
      <c r="Q709">
        <v>41.5</v>
      </c>
    </row>
    <row r="710" spans="3:18">
      <c r="C710" t="s">
        <v>297</v>
      </c>
      <c r="D710" t="s">
        <v>299</v>
      </c>
      <c r="E710">
        <v>4315200700</v>
      </c>
      <c r="H710" t="s">
        <v>825</v>
      </c>
      <c r="K710" s="1633">
        <v>131101130</v>
      </c>
      <c r="M710" s="1633">
        <v>40762188</v>
      </c>
      <c r="O710" s="1633">
        <v>90338942</v>
      </c>
      <c r="Q710">
        <v>221.6</v>
      </c>
    </row>
    <row r="711" spans="3:18">
      <c r="C711" t="s">
        <v>297</v>
      </c>
      <c r="D711" t="s">
        <v>299</v>
      </c>
      <c r="E711">
        <v>4395030100</v>
      </c>
      <c r="H711" t="s">
        <v>826</v>
      </c>
      <c r="K711" s="1633">
        <v>258418524166</v>
      </c>
      <c r="M711" s="1633">
        <v>692685745537</v>
      </c>
      <c r="O711" s="1633">
        <v>-434267221371</v>
      </c>
      <c r="Q711">
        <v>-62.7</v>
      </c>
    </row>
    <row r="712" spans="3:18">
      <c r="C712" t="s">
        <v>297</v>
      </c>
      <c r="D712" t="s">
        <v>299</v>
      </c>
      <c r="E712">
        <v>4395030200</v>
      </c>
      <c r="H712" t="s">
        <v>827</v>
      </c>
      <c r="K712" s="1633">
        <v>-12661456723</v>
      </c>
      <c r="M712" s="1633">
        <v>29724563961</v>
      </c>
      <c r="O712" s="1633">
        <v>-42386020684</v>
      </c>
      <c r="Q712">
        <v>-142.6</v>
      </c>
    </row>
    <row r="713" spans="3:18">
      <c r="E713" t="s">
        <v>828</v>
      </c>
      <c r="K713" s="1633">
        <v>-1732201923500</v>
      </c>
      <c r="M713" s="1633">
        <v>-4782611897568</v>
      </c>
      <c r="O713" s="1633">
        <v>3050409974068</v>
      </c>
      <c r="Q713">
        <v>63.8</v>
      </c>
      <c r="R713" t="s">
        <v>327</v>
      </c>
    </row>
    <row r="714" spans="3:18">
      <c r="E714" t="s">
        <v>829</v>
      </c>
    </row>
    <row r="715" spans="3:18">
      <c r="C715" t="s">
        <v>297</v>
      </c>
      <c r="D715" t="s">
        <v>299</v>
      </c>
      <c r="E715">
        <v>4310900100</v>
      </c>
      <c r="H715" t="s">
        <v>830</v>
      </c>
      <c r="K715" s="1633">
        <v>-174323500</v>
      </c>
      <c r="M715" s="1633">
        <v>-34241891200</v>
      </c>
      <c r="O715" s="1633">
        <v>34067567700</v>
      </c>
      <c r="Q715">
        <v>99.5</v>
      </c>
    </row>
    <row r="716" spans="3:18">
      <c r="C716" t="s">
        <v>297</v>
      </c>
      <c r="D716" t="s">
        <v>299</v>
      </c>
      <c r="E716">
        <v>4310900200</v>
      </c>
      <c r="H716" t="s">
        <v>1521</v>
      </c>
      <c r="K716" s="1633">
        <v>-759827406</v>
      </c>
      <c r="M716" s="1633">
        <v>0</v>
      </c>
      <c r="O716" s="1633">
        <v>-759827406</v>
      </c>
    </row>
    <row r="717" spans="3:18">
      <c r="C717" t="s">
        <v>297</v>
      </c>
      <c r="D717" t="s">
        <v>299</v>
      </c>
      <c r="E717">
        <v>4390040300</v>
      </c>
      <c r="H717" t="s">
        <v>831</v>
      </c>
      <c r="K717" s="1633">
        <v>-58262992</v>
      </c>
      <c r="M717" s="1633">
        <v>-136140822</v>
      </c>
      <c r="O717" s="1633">
        <v>77877830</v>
      </c>
      <c r="Q717">
        <v>57.2</v>
      </c>
    </row>
    <row r="718" spans="3:18">
      <c r="C718" t="s">
        <v>297</v>
      </c>
      <c r="D718" t="s">
        <v>299</v>
      </c>
      <c r="E718">
        <v>4390040400</v>
      </c>
      <c r="H718" t="s">
        <v>2504</v>
      </c>
      <c r="K718" s="1633">
        <v>-587520000</v>
      </c>
      <c r="M718" s="1633">
        <v>0</v>
      </c>
      <c r="O718" s="1633">
        <v>-587520000</v>
      </c>
    </row>
    <row r="719" spans="3:18">
      <c r="E719" t="s">
        <v>832</v>
      </c>
      <c r="K719" s="1633">
        <v>-1579933898</v>
      </c>
      <c r="M719" s="1633">
        <v>-34378032022</v>
      </c>
      <c r="O719" s="1633">
        <v>32798098124</v>
      </c>
      <c r="Q719">
        <v>95.4</v>
      </c>
      <c r="R719" t="s">
        <v>327</v>
      </c>
    </row>
    <row r="720" spans="3:18">
      <c r="E720" t="s">
        <v>833</v>
      </c>
      <c r="K720" s="1633">
        <v>-1733781857398</v>
      </c>
      <c r="M720" s="1633">
        <v>-4816989929590</v>
      </c>
      <c r="O720" s="1633">
        <v>3083208072192</v>
      </c>
      <c r="Q720">
        <v>64</v>
      </c>
      <c r="R720" t="s">
        <v>362</v>
      </c>
    </row>
    <row r="721" spans="3:17">
      <c r="E721" t="s">
        <v>834</v>
      </c>
    </row>
    <row r="722" spans="3:17">
      <c r="E722" t="s">
        <v>835</v>
      </c>
    </row>
    <row r="723" spans="3:17">
      <c r="C723" t="s">
        <v>297</v>
      </c>
      <c r="D723" t="s">
        <v>299</v>
      </c>
      <c r="E723">
        <v>7530011000</v>
      </c>
      <c r="H723" t="s">
        <v>836</v>
      </c>
      <c r="K723" s="1633">
        <v>385655529</v>
      </c>
      <c r="M723" s="1633">
        <v>3808767092</v>
      </c>
      <c r="O723" s="1633">
        <v>-3423111563</v>
      </c>
      <c r="Q723">
        <v>-89.9</v>
      </c>
    </row>
    <row r="724" spans="3:17">
      <c r="C724" t="s">
        <v>297</v>
      </c>
      <c r="D724" t="s">
        <v>299</v>
      </c>
      <c r="E724">
        <v>7530013000</v>
      </c>
      <c r="H724" t="s">
        <v>837</v>
      </c>
      <c r="K724" s="1633">
        <v>-284556732867</v>
      </c>
      <c r="M724" s="1633">
        <v>-807609768911</v>
      </c>
      <c r="O724" s="1633">
        <v>523053036044</v>
      </c>
      <c r="Q724">
        <v>64.8</v>
      </c>
    </row>
    <row r="725" spans="3:17">
      <c r="C725" t="s">
        <v>297</v>
      </c>
      <c r="D725" t="s">
        <v>299</v>
      </c>
      <c r="E725">
        <v>7530014000</v>
      </c>
      <c r="H725" t="s">
        <v>837</v>
      </c>
      <c r="K725" s="1633">
        <v>284556732867</v>
      </c>
      <c r="M725" s="1633">
        <v>807609768911</v>
      </c>
      <c r="O725" s="1633">
        <v>-523053036044</v>
      </c>
      <c r="Q725">
        <v>-64.8</v>
      </c>
    </row>
    <row r="726" spans="3:17">
      <c r="C726" t="s">
        <v>297</v>
      </c>
      <c r="D726" t="s">
        <v>299</v>
      </c>
      <c r="E726">
        <v>7530015000</v>
      </c>
      <c r="H726" t="s">
        <v>1249</v>
      </c>
      <c r="K726" s="1633">
        <v>-416057361</v>
      </c>
      <c r="M726" s="1633">
        <v>416057361</v>
      </c>
      <c r="O726" s="1633">
        <v>-832114722</v>
      </c>
      <c r="Q726">
        <v>-200</v>
      </c>
    </row>
    <row r="727" spans="3:17">
      <c r="C727" t="s">
        <v>297</v>
      </c>
      <c r="D727" t="s">
        <v>299</v>
      </c>
      <c r="E727">
        <v>7530020000</v>
      </c>
      <c r="H727" t="s">
        <v>838</v>
      </c>
      <c r="K727" s="1633">
        <v>38759391705</v>
      </c>
      <c r="M727" s="1633">
        <v>81856734841</v>
      </c>
      <c r="O727" s="1633">
        <v>-43097343136</v>
      </c>
      <c r="Q727">
        <v>-52.6</v>
      </c>
    </row>
    <row r="728" spans="3:17">
      <c r="C728" t="s">
        <v>297</v>
      </c>
      <c r="D728" t="s">
        <v>299</v>
      </c>
      <c r="E728">
        <v>7530020200</v>
      </c>
      <c r="H728" t="s">
        <v>839</v>
      </c>
      <c r="K728" s="1633">
        <v>43735257740</v>
      </c>
      <c r="M728" s="1633">
        <v>126748473066</v>
      </c>
      <c r="O728" s="1633">
        <v>-83013215326</v>
      </c>
      <c r="Q728">
        <v>-65.5</v>
      </c>
    </row>
    <row r="729" spans="3:17">
      <c r="C729" t="s">
        <v>297</v>
      </c>
      <c r="D729" t="s">
        <v>299</v>
      </c>
      <c r="E729">
        <v>7530020300</v>
      </c>
      <c r="H729" t="s">
        <v>840</v>
      </c>
      <c r="K729" s="1633">
        <v>717271551</v>
      </c>
      <c r="M729" s="1633">
        <v>1276111832</v>
      </c>
      <c r="O729" s="1633">
        <v>-558840281</v>
      </c>
      <c r="Q729">
        <v>-43.8</v>
      </c>
    </row>
    <row r="730" spans="3:17">
      <c r="C730" t="s">
        <v>297</v>
      </c>
      <c r="D730" t="s">
        <v>299</v>
      </c>
      <c r="E730">
        <v>7530020400</v>
      </c>
      <c r="H730" t="s">
        <v>841</v>
      </c>
      <c r="K730" s="1633">
        <v>28254873293</v>
      </c>
      <c r="M730" s="1633">
        <v>133567790975</v>
      </c>
      <c r="O730" s="1633">
        <v>-105312917682</v>
      </c>
      <c r="Q730">
        <v>-78.8</v>
      </c>
    </row>
    <row r="731" spans="3:17">
      <c r="C731" t="s">
        <v>297</v>
      </c>
      <c r="D731" t="s">
        <v>299</v>
      </c>
      <c r="E731">
        <v>7530020500</v>
      </c>
      <c r="H731" t="s">
        <v>842</v>
      </c>
      <c r="K731" s="1633">
        <v>11715482864</v>
      </c>
      <c r="M731" s="1633">
        <v>44921547598</v>
      </c>
      <c r="O731" s="1633">
        <v>-33206064734</v>
      </c>
      <c r="Q731">
        <v>-73.900000000000006</v>
      </c>
    </row>
    <row r="732" spans="3:17">
      <c r="C732" t="s">
        <v>297</v>
      </c>
      <c r="D732" t="s">
        <v>299</v>
      </c>
      <c r="E732">
        <v>7530021000</v>
      </c>
      <c r="H732" t="s">
        <v>843</v>
      </c>
      <c r="K732" s="1633">
        <v>-9930109405</v>
      </c>
      <c r="M732" s="1633">
        <v>-21890695095</v>
      </c>
      <c r="O732" s="1633">
        <v>11960585690</v>
      </c>
      <c r="Q732">
        <v>54.6</v>
      </c>
    </row>
    <row r="733" spans="3:17">
      <c r="C733" t="s">
        <v>297</v>
      </c>
      <c r="D733" t="s">
        <v>299</v>
      </c>
      <c r="E733">
        <v>7530021100</v>
      </c>
      <c r="H733" t="s">
        <v>844</v>
      </c>
      <c r="K733" s="1633">
        <v>399403852</v>
      </c>
      <c r="M733" s="1633">
        <v>4067944178</v>
      </c>
      <c r="O733" s="1633">
        <v>-3668540326</v>
      </c>
      <c r="Q733">
        <v>-90.2</v>
      </c>
    </row>
    <row r="734" spans="3:17">
      <c r="C734" t="s">
        <v>297</v>
      </c>
      <c r="D734" t="s">
        <v>299</v>
      </c>
      <c r="E734">
        <v>7530021200</v>
      </c>
      <c r="H734" t="s">
        <v>845</v>
      </c>
      <c r="K734" s="1633">
        <v>-4876666198</v>
      </c>
      <c r="M734" s="1633">
        <v>4869309504</v>
      </c>
      <c r="O734" s="1633">
        <v>-9745975702</v>
      </c>
      <c r="Q734">
        <v>-200.2</v>
      </c>
    </row>
    <row r="735" spans="3:17">
      <c r="C735" t="s">
        <v>297</v>
      </c>
      <c r="D735" t="s">
        <v>299</v>
      </c>
      <c r="E735">
        <v>7530021400</v>
      </c>
      <c r="H735" t="s">
        <v>846</v>
      </c>
      <c r="K735" s="1633">
        <v>3568634945</v>
      </c>
      <c r="M735" s="1633">
        <v>152597849</v>
      </c>
      <c r="O735" s="1633">
        <v>3416037096</v>
      </c>
      <c r="Q735">
        <v>2238.6</v>
      </c>
    </row>
    <row r="736" spans="3:17">
      <c r="C736" t="s">
        <v>297</v>
      </c>
      <c r="D736" t="s">
        <v>299</v>
      </c>
      <c r="E736">
        <v>7530021500</v>
      </c>
      <c r="H736" t="s">
        <v>847</v>
      </c>
      <c r="K736" s="1633">
        <v>2358020255</v>
      </c>
      <c r="M736" s="1633">
        <v>688304593</v>
      </c>
      <c r="O736" s="1633">
        <v>1669715662</v>
      </c>
      <c r="Q736">
        <v>242.6</v>
      </c>
    </row>
    <row r="737" spans="3:18">
      <c r="E737" t="s">
        <v>848</v>
      </c>
      <c r="K737" s="1633">
        <v>114671158770</v>
      </c>
      <c r="M737" s="1633">
        <v>380482943794</v>
      </c>
      <c r="O737" s="1633">
        <v>-265811785024</v>
      </c>
      <c r="Q737">
        <v>-69.900000000000006</v>
      </c>
      <c r="R737" t="s">
        <v>327</v>
      </c>
    </row>
    <row r="738" spans="3:18">
      <c r="E738" t="s">
        <v>849</v>
      </c>
    </row>
    <row r="739" spans="3:18">
      <c r="C739" t="s">
        <v>297</v>
      </c>
      <c r="D739" t="s">
        <v>299</v>
      </c>
      <c r="E739">
        <v>7530041000</v>
      </c>
      <c r="H739" t="s">
        <v>850</v>
      </c>
      <c r="K739" s="1633">
        <v>7262923011</v>
      </c>
      <c r="M739" s="1633">
        <v>19451898094</v>
      </c>
      <c r="O739" s="1633">
        <v>-12188975083</v>
      </c>
      <c r="Q739">
        <v>-62.7</v>
      </c>
    </row>
    <row r="740" spans="3:18">
      <c r="C740" t="s">
        <v>297</v>
      </c>
      <c r="D740" t="s">
        <v>299</v>
      </c>
      <c r="E740">
        <v>7530044000</v>
      </c>
      <c r="H740" t="s">
        <v>851</v>
      </c>
      <c r="K740" s="1633">
        <v>352019596</v>
      </c>
      <c r="M740" s="1633">
        <v>620811648</v>
      </c>
      <c r="O740" s="1633">
        <v>-268792052</v>
      </c>
      <c r="Q740">
        <v>-43.3</v>
      </c>
    </row>
    <row r="741" spans="3:18">
      <c r="C741" t="s">
        <v>297</v>
      </c>
      <c r="D741" t="s">
        <v>299</v>
      </c>
      <c r="E741">
        <v>7530050100</v>
      </c>
      <c r="H741" t="s">
        <v>852</v>
      </c>
      <c r="K741" s="1633">
        <v>69695513263</v>
      </c>
      <c r="M741" s="1633">
        <v>189368676025</v>
      </c>
      <c r="O741" s="1633">
        <v>-119673162762</v>
      </c>
      <c r="Q741">
        <v>-63.2</v>
      </c>
    </row>
    <row r="742" spans="3:18">
      <c r="C742" t="s">
        <v>297</v>
      </c>
      <c r="D742" t="s">
        <v>299</v>
      </c>
      <c r="E742">
        <v>7530050200</v>
      </c>
      <c r="H742" t="s">
        <v>853</v>
      </c>
      <c r="K742" s="1633">
        <v>71650038397</v>
      </c>
      <c r="M742" s="1633">
        <v>217501843775</v>
      </c>
      <c r="O742" s="1633">
        <v>-145851805378</v>
      </c>
      <c r="Q742">
        <v>-67.099999999999994</v>
      </c>
    </row>
    <row r="743" spans="3:18">
      <c r="C743" t="s">
        <v>297</v>
      </c>
      <c r="D743" t="s">
        <v>299</v>
      </c>
      <c r="E743">
        <v>7530050300</v>
      </c>
      <c r="H743" t="s">
        <v>854</v>
      </c>
      <c r="K743" s="1633">
        <v>-289118080</v>
      </c>
      <c r="M743" s="1633">
        <v>3695053134</v>
      </c>
      <c r="O743" s="1633">
        <v>-3984171214</v>
      </c>
      <c r="Q743">
        <v>-107.8</v>
      </c>
    </row>
    <row r="744" spans="3:18">
      <c r="E744" t="s">
        <v>855</v>
      </c>
      <c r="K744" s="1633">
        <v>148671376187</v>
      </c>
      <c r="M744" s="1633">
        <v>430638282676</v>
      </c>
      <c r="O744" s="1633">
        <v>-281966906489</v>
      </c>
      <c r="Q744">
        <v>-65.5</v>
      </c>
      <c r="R744" t="s">
        <v>327</v>
      </c>
    </row>
    <row r="745" spans="3:18">
      <c r="E745" t="s">
        <v>856</v>
      </c>
    </row>
    <row r="746" spans="3:18">
      <c r="C746" t="s">
        <v>297</v>
      </c>
      <c r="D746" t="s">
        <v>299</v>
      </c>
      <c r="E746">
        <v>7530903000</v>
      </c>
      <c r="H746" t="s">
        <v>857</v>
      </c>
      <c r="K746" s="1633">
        <v>714732714</v>
      </c>
      <c r="M746" s="1633">
        <v>941002505</v>
      </c>
      <c r="O746" s="1633">
        <v>-226269791</v>
      </c>
      <c r="Q746">
        <v>-24</v>
      </c>
    </row>
    <row r="747" spans="3:18">
      <c r="C747" t="s">
        <v>297</v>
      </c>
      <c r="D747" t="s">
        <v>299</v>
      </c>
      <c r="E747">
        <v>7530904000</v>
      </c>
      <c r="H747" t="s">
        <v>858</v>
      </c>
      <c r="K747" s="1633">
        <v>9967128239</v>
      </c>
      <c r="M747" s="1633">
        <v>25569140593</v>
      </c>
      <c r="O747" s="1633">
        <v>-15602012354</v>
      </c>
      <c r="Q747">
        <v>-61</v>
      </c>
    </row>
    <row r="748" spans="3:18">
      <c r="E748" t="s">
        <v>859</v>
      </c>
      <c r="K748" s="1633">
        <v>10681860953</v>
      </c>
      <c r="M748" s="1633">
        <v>26510143098</v>
      </c>
      <c r="O748" s="1633">
        <v>-15828282145</v>
      </c>
      <c r="Q748">
        <v>-59.7</v>
      </c>
      <c r="R748" t="s">
        <v>327</v>
      </c>
    </row>
    <row r="749" spans="3:18">
      <c r="E749" t="s">
        <v>860</v>
      </c>
    </row>
    <row r="750" spans="3:18">
      <c r="C750" t="s">
        <v>297</v>
      </c>
      <c r="D750" t="s">
        <v>299</v>
      </c>
      <c r="E750">
        <v>7535061000</v>
      </c>
      <c r="H750" t="s">
        <v>861</v>
      </c>
      <c r="K750" s="1633">
        <v>25876938850</v>
      </c>
      <c r="M750" s="1633">
        <v>68512942848</v>
      </c>
      <c r="O750" s="1633">
        <v>-42636003998</v>
      </c>
      <c r="Q750">
        <v>-62.2</v>
      </c>
    </row>
    <row r="751" spans="3:18">
      <c r="C751" t="s">
        <v>297</v>
      </c>
      <c r="D751" t="s">
        <v>299</v>
      </c>
      <c r="E751">
        <v>7535061100</v>
      </c>
      <c r="H751" t="s">
        <v>862</v>
      </c>
      <c r="K751" s="1633">
        <v>679750433</v>
      </c>
      <c r="M751" s="1633">
        <v>841099350</v>
      </c>
      <c r="O751" s="1633">
        <v>-161348917</v>
      </c>
      <c r="Q751">
        <v>-19.2</v>
      </c>
    </row>
    <row r="752" spans="3:18">
      <c r="C752" t="s">
        <v>297</v>
      </c>
      <c r="D752" t="s">
        <v>299</v>
      </c>
      <c r="E752">
        <v>7535062000</v>
      </c>
      <c r="H752" t="s">
        <v>861</v>
      </c>
      <c r="K752" s="1633">
        <v>25785379545</v>
      </c>
      <c r="M752" s="1633">
        <v>68460327681</v>
      </c>
      <c r="O752" s="1633">
        <v>-42674948136</v>
      </c>
      <c r="Q752">
        <v>-62.3</v>
      </c>
    </row>
    <row r="753" spans="3:18">
      <c r="C753" t="s">
        <v>297</v>
      </c>
      <c r="D753" t="s">
        <v>299</v>
      </c>
      <c r="E753">
        <v>7535062100</v>
      </c>
      <c r="H753" t="s">
        <v>862</v>
      </c>
      <c r="K753" s="1633">
        <v>679664064</v>
      </c>
      <c r="M753" s="1633">
        <v>821979567</v>
      </c>
      <c r="O753" s="1633">
        <v>-142315503</v>
      </c>
      <c r="Q753">
        <v>-17.3</v>
      </c>
    </row>
    <row r="754" spans="3:18">
      <c r="C754" t="s">
        <v>297</v>
      </c>
      <c r="D754" t="s">
        <v>299</v>
      </c>
      <c r="E754">
        <v>7535063000</v>
      </c>
      <c r="H754" t="s">
        <v>861</v>
      </c>
      <c r="K754" s="1633">
        <v>56511306</v>
      </c>
      <c r="M754" s="1633">
        <v>15299299</v>
      </c>
      <c r="O754" s="1633">
        <v>41212007</v>
      </c>
      <c r="Q754">
        <v>269.39999999999998</v>
      </c>
    </row>
    <row r="755" spans="3:18">
      <c r="C755" t="s">
        <v>297</v>
      </c>
      <c r="D755" t="s">
        <v>299</v>
      </c>
      <c r="E755">
        <v>7535063100</v>
      </c>
      <c r="H755" t="s">
        <v>862</v>
      </c>
      <c r="K755" s="1633">
        <v>3323357</v>
      </c>
      <c r="M755" s="1633">
        <v>10401123</v>
      </c>
      <c r="O755" s="1633">
        <v>-7077766</v>
      </c>
      <c r="Q755">
        <v>-68</v>
      </c>
    </row>
    <row r="756" spans="3:18">
      <c r="E756" t="s">
        <v>863</v>
      </c>
      <c r="K756" s="1633">
        <v>53081567555</v>
      </c>
      <c r="M756" s="1633">
        <v>138662049868</v>
      </c>
      <c r="O756" s="1633">
        <v>-85580482313</v>
      </c>
      <c r="Q756">
        <v>-61.7</v>
      </c>
      <c r="R756" t="s">
        <v>327</v>
      </c>
    </row>
    <row r="757" spans="3:18">
      <c r="E757" t="s">
        <v>864</v>
      </c>
    </row>
    <row r="758" spans="3:18">
      <c r="C758" t="s">
        <v>297</v>
      </c>
      <c r="D758" t="s">
        <v>299</v>
      </c>
      <c r="E758">
        <v>7535090100</v>
      </c>
      <c r="H758" t="s">
        <v>865</v>
      </c>
      <c r="K758" s="1633">
        <v>17503676530</v>
      </c>
      <c r="M758" s="1633">
        <v>46041849468</v>
      </c>
      <c r="O758" s="1633">
        <v>-28538172938</v>
      </c>
      <c r="Q758">
        <v>-62</v>
      </c>
    </row>
    <row r="759" spans="3:18">
      <c r="C759" t="s">
        <v>297</v>
      </c>
      <c r="D759" t="s">
        <v>299</v>
      </c>
      <c r="E759">
        <v>7535090200</v>
      </c>
      <c r="H759" t="s">
        <v>866</v>
      </c>
      <c r="K759" s="1633">
        <v>530954516</v>
      </c>
      <c r="M759" s="1633">
        <v>1176845459</v>
      </c>
      <c r="O759" s="1633">
        <v>-645890943</v>
      </c>
      <c r="Q759">
        <v>-54.9</v>
      </c>
    </row>
    <row r="760" spans="3:18">
      <c r="E760" t="s">
        <v>867</v>
      </c>
      <c r="K760" s="1633">
        <v>18034631046</v>
      </c>
      <c r="M760" s="1633">
        <v>47218694927</v>
      </c>
      <c r="O760" s="1633">
        <v>-29184063881</v>
      </c>
      <c r="Q760">
        <v>-61.8</v>
      </c>
      <c r="R760" t="s">
        <v>327</v>
      </c>
    </row>
    <row r="761" spans="3:18">
      <c r="E761" t="s">
        <v>868</v>
      </c>
    </row>
    <row r="762" spans="3:18">
      <c r="C762" t="s">
        <v>297</v>
      </c>
      <c r="D762" t="s">
        <v>299</v>
      </c>
      <c r="E762">
        <v>7515010000</v>
      </c>
      <c r="H762" t="s">
        <v>869</v>
      </c>
      <c r="K762" s="1633">
        <v>1610226905</v>
      </c>
      <c r="M762" s="1633">
        <v>4645889762</v>
      </c>
      <c r="O762" s="1633">
        <v>-3035662857</v>
      </c>
      <c r="Q762">
        <v>-65.3</v>
      </c>
    </row>
    <row r="763" spans="3:18">
      <c r="C763" t="s">
        <v>297</v>
      </c>
      <c r="D763" t="s">
        <v>299</v>
      </c>
      <c r="E763">
        <v>7515010200</v>
      </c>
      <c r="H763" t="s">
        <v>870</v>
      </c>
      <c r="K763" s="1633">
        <v>36527144</v>
      </c>
      <c r="M763" s="1633">
        <v>109581433</v>
      </c>
      <c r="O763" s="1633">
        <v>-73054289</v>
      </c>
      <c r="Q763">
        <v>-66.7</v>
      </c>
    </row>
    <row r="764" spans="3:18">
      <c r="C764" t="s">
        <v>297</v>
      </c>
      <c r="D764" t="s">
        <v>299</v>
      </c>
      <c r="E764">
        <v>7515020000</v>
      </c>
      <c r="H764" t="s">
        <v>871</v>
      </c>
      <c r="K764" s="1633">
        <v>33988519535</v>
      </c>
      <c r="M764" s="1633">
        <v>102130597109</v>
      </c>
      <c r="O764" s="1633">
        <v>-68142077574</v>
      </c>
      <c r="Q764">
        <v>-66.7</v>
      </c>
    </row>
    <row r="765" spans="3:18">
      <c r="C765" t="s">
        <v>297</v>
      </c>
      <c r="D765" t="s">
        <v>299</v>
      </c>
      <c r="E765">
        <v>7515020100</v>
      </c>
      <c r="H765" t="s">
        <v>872</v>
      </c>
      <c r="K765" s="1633">
        <v>42601497670</v>
      </c>
      <c r="M765" s="1633">
        <v>127728696050</v>
      </c>
      <c r="O765" s="1633">
        <v>-85127198380</v>
      </c>
      <c r="Q765">
        <v>-66.599999999999994</v>
      </c>
    </row>
    <row r="766" spans="3:18">
      <c r="C766" t="s">
        <v>297</v>
      </c>
      <c r="D766" t="s">
        <v>299</v>
      </c>
      <c r="E766">
        <v>7515020200</v>
      </c>
      <c r="H766" t="s">
        <v>1522</v>
      </c>
      <c r="K766" s="1633">
        <v>3453705488</v>
      </c>
      <c r="M766" s="1633">
        <v>0</v>
      </c>
      <c r="O766" s="1633">
        <v>3453705488</v>
      </c>
    </row>
    <row r="767" spans="3:18">
      <c r="C767" t="s">
        <v>297</v>
      </c>
      <c r="D767" t="s">
        <v>299</v>
      </c>
      <c r="E767">
        <v>7515020300</v>
      </c>
      <c r="H767" t="s">
        <v>1523</v>
      </c>
      <c r="K767" s="1633">
        <v>1868887768</v>
      </c>
      <c r="M767" s="1633">
        <v>0</v>
      </c>
      <c r="O767" s="1633">
        <v>1868887768</v>
      </c>
    </row>
    <row r="768" spans="3:18">
      <c r="C768" t="s">
        <v>297</v>
      </c>
      <c r="D768" t="s">
        <v>299</v>
      </c>
      <c r="E768">
        <v>7515040000</v>
      </c>
      <c r="H768" t="s">
        <v>873</v>
      </c>
      <c r="K768" s="1633">
        <v>116589482</v>
      </c>
      <c r="M768" s="1633">
        <v>156334813</v>
      </c>
      <c r="O768" s="1633">
        <v>-39745331</v>
      </c>
      <c r="Q768">
        <v>-25.4</v>
      </c>
    </row>
    <row r="769" spans="3:18">
      <c r="C769" t="s">
        <v>297</v>
      </c>
      <c r="D769" t="s">
        <v>299</v>
      </c>
      <c r="E769">
        <v>7515040100</v>
      </c>
      <c r="H769" t="s">
        <v>874</v>
      </c>
      <c r="K769" s="1633">
        <v>829171170</v>
      </c>
      <c r="M769" s="1633">
        <v>2487513519</v>
      </c>
      <c r="O769" s="1633">
        <v>-1658342349</v>
      </c>
      <c r="Q769">
        <v>-66.7</v>
      </c>
    </row>
    <row r="770" spans="3:18">
      <c r="C770" t="s">
        <v>297</v>
      </c>
      <c r="D770" t="s">
        <v>299</v>
      </c>
      <c r="E770">
        <v>7515070000</v>
      </c>
      <c r="H770" t="s">
        <v>875</v>
      </c>
      <c r="K770" s="1633">
        <v>639912471</v>
      </c>
      <c r="M770" s="1633">
        <v>1164137652</v>
      </c>
      <c r="O770" s="1633">
        <v>-524225181</v>
      </c>
      <c r="Q770">
        <v>-45</v>
      </c>
    </row>
    <row r="771" spans="3:18">
      <c r="C771" t="s">
        <v>297</v>
      </c>
      <c r="D771" t="s">
        <v>299</v>
      </c>
      <c r="E771">
        <v>7515070100</v>
      </c>
      <c r="H771" t="s">
        <v>876</v>
      </c>
      <c r="K771" s="1633">
        <v>248579296</v>
      </c>
      <c r="M771" s="1633">
        <v>2758950380</v>
      </c>
      <c r="O771" s="1633">
        <v>-2510371084</v>
      </c>
      <c r="Q771">
        <v>-91</v>
      </c>
    </row>
    <row r="772" spans="3:18">
      <c r="C772" t="s">
        <v>297</v>
      </c>
      <c r="D772" t="s">
        <v>299</v>
      </c>
      <c r="E772">
        <v>7515070110</v>
      </c>
      <c r="H772" t="s">
        <v>1232</v>
      </c>
      <c r="K772" s="1633">
        <v>320795150</v>
      </c>
      <c r="M772" s="1633">
        <v>809960341</v>
      </c>
      <c r="O772" s="1633">
        <v>-489165191</v>
      </c>
      <c r="Q772">
        <v>-60.4</v>
      </c>
    </row>
    <row r="773" spans="3:18">
      <c r="C773" t="s">
        <v>297</v>
      </c>
      <c r="D773" t="s">
        <v>299</v>
      </c>
      <c r="E773">
        <v>7515070120</v>
      </c>
      <c r="H773" t="s">
        <v>1338</v>
      </c>
      <c r="K773" s="1633">
        <v>121341689</v>
      </c>
      <c r="M773" s="1633">
        <v>214580369</v>
      </c>
      <c r="O773" s="1633">
        <v>-93238680</v>
      </c>
      <c r="Q773">
        <v>-43.5</v>
      </c>
    </row>
    <row r="774" spans="3:18">
      <c r="C774" t="s">
        <v>297</v>
      </c>
      <c r="D774" t="s">
        <v>299</v>
      </c>
      <c r="E774">
        <v>7515080000</v>
      </c>
      <c r="H774" t="s">
        <v>877</v>
      </c>
      <c r="K774" s="1633">
        <v>29120074</v>
      </c>
      <c r="M774" s="1633">
        <v>2449220645</v>
      </c>
      <c r="O774" s="1633">
        <v>-2420100571</v>
      </c>
      <c r="Q774">
        <v>-98.8</v>
      </c>
    </row>
    <row r="775" spans="3:18">
      <c r="C775" t="s">
        <v>297</v>
      </c>
      <c r="D775" t="s">
        <v>299</v>
      </c>
      <c r="E775">
        <v>7515090000</v>
      </c>
      <c r="H775" t="s">
        <v>878</v>
      </c>
      <c r="K775" s="1633">
        <v>44975749</v>
      </c>
      <c r="M775" s="1633">
        <v>136670129</v>
      </c>
      <c r="O775" s="1633">
        <v>-91694380</v>
      </c>
      <c r="Q775">
        <v>-67.099999999999994</v>
      </c>
    </row>
    <row r="776" spans="3:18">
      <c r="C776" t="s">
        <v>297</v>
      </c>
      <c r="D776" t="s">
        <v>299</v>
      </c>
      <c r="E776">
        <v>7515090100</v>
      </c>
      <c r="H776" t="s">
        <v>879</v>
      </c>
      <c r="K776" s="1633">
        <v>1287082802</v>
      </c>
      <c r="M776" s="1633">
        <v>3403424119</v>
      </c>
      <c r="O776" s="1633">
        <v>-2116341317</v>
      </c>
      <c r="Q776">
        <v>-62.2</v>
      </c>
    </row>
    <row r="777" spans="3:18">
      <c r="E777" t="s">
        <v>880</v>
      </c>
      <c r="K777" s="1633">
        <v>87196932393</v>
      </c>
      <c r="M777" s="1633">
        <v>248195556321</v>
      </c>
      <c r="O777" s="1633">
        <v>-160998623928</v>
      </c>
      <c r="Q777">
        <v>-64.900000000000006</v>
      </c>
      <c r="R777" t="s">
        <v>327</v>
      </c>
    </row>
    <row r="778" spans="3:18">
      <c r="E778" t="s">
        <v>881</v>
      </c>
    </row>
    <row r="779" spans="3:18">
      <c r="C779" t="s">
        <v>297</v>
      </c>
      <c r="D779" t="s">
        <v>299</v>
      </c>
      <c r="E779">
        <v>7530060000</v>
      </c>
      <c r="H779" t="s">
        <v>882</v>
      </c>
      <c r="K779" s="1633">
        <v>0</v>
      </c>
      <c r="M779" s="1633">
        <v>11153449</v>
      </c>
      <c r="O779" s="1633">
        <v>-11153449</v>
      </c>
      <c r="Q779">
        <v>-100</v>
      </c>
    </row>
    <row r="780" spans="3:18">
      <c r="C780" t="s">
        <v>297</v>
      </c>
      <c r="D780" t="s">
        <v>299</v>
      </c>
      <c r="E780">
        <v>7537020000</v>
      </c>
      <c r="H780" t="s">
        <v>883</v>
      </c>
      <c r="K780" s="1633">
        <v>0</v>
      </c>
      <c r="M780" s="1633">
        <v>983351</v>
      </c>
      <c r="O780" s="1633">
        <v>-983351</v>
      </c>
      <c r="Q780">
        <v>-100</v>
      </c>
    </row>
    <row r="781" spans="3:18">
      <c r="E781" t="s">
        <v>884</v>
      </c>
      <c r="K781" s="1633">
        <v>0</v>
      </c>
      <c r="M781" s="1633">
        <v>12136800</v>
      </c>
      <c r="O781" s="1633">
        <v>-12136800</v>
      </c>
      <c r="Q781">
        <v>-100</v>
      </c>
      <c r="R781" t="s">
        <v>327</v>
      </c>
    </row>
    <row r="782" spans="3:18">
      <c r="E782" t="s">
        <v>885</v>
      </c>
    </row>
    <row r="783" spans="3:18">
      <c r="C783" t="s">
        <v>297</v>
      </c>
      <c r="D783" t="s">
        <v>299</v>
      </c>
      <c r="E783">
        <v>7505010000</v>
      </c>
      <c r="H783" t="s">
        <v>886</v>
      </c>
      <c r="K783" s="1633">
        <v>8320452171</v>
      </c>
      <c r="M783" s="1633">
        <v>22814501691</v>
      </c>
      <c r="O783" s="1633">
        <v>-14494049520</v>
      </c>
      <c r="Q783">
        <v>-63.5</v>
      </c>
    </row>
    <row r="784" spans="3:18">
      <c r="C784" t="s">
        <v>297</v>
      </c>
      <c r="D784" t="s">
        <v>299</v>
      </c>
      <c r="E784">
        <v>7505030000</v>
      </c>
      <c r="H784" t="s">
        <v>887</v>
      </c>
      <c r="K784" s="1633">
        <v>433692128</v>
      </c>
      <c r="M784" s="1633">
        <v>1354976023</v>
      </c>
      <c r="O784" s="1633">
        <v>-921283895</v>
      </c>
      <c r="Q784">
        <v>-68</v>
      </c>
    </row>
    <row r="785" spans="3:17">
      <c r="C785" t="s">
        <v>297</v>
      </c>
      <c r="D785" t="s">
        <v>299</v>
      </c>
      <c r="E785">
        <v>7505040000</v>
      </c>
      <c r="H785" t="s">
        <v>888</v>
      </c>
      <c r="K785" s="1633">
        <v>27353085</v>
      </c>
      <c r="M785" s="1633">
        <v>132183850</v>
      </c>
      <c r="O785" s="1633">
        <v>-104830765</v>
      </c>
      <c r="Q785">
        <v>-79.3</v>
      </c>
    </row>
    <row r="786" spans="3:17">
      <c r="C786" t="s">
        <v>297</v>
      </c>
      <c r="D786" t="s">
        <v>299</v>
      </c>
      <c r="E786">
        <v>7505130000</v>
      </c>
      <c r="H786" t="s">
        <v>889</v>
      </c>
      <c r="K786" s="1633">
        <v>1574161192</v>
      </c>
      <c r="M786" s="1633">
        <v>3226854038</v>
      </c>
      <c r="O786" s="1633">
        <v>-1652692846</v>
      </c>
      <c r="Q786">
        <v>-51.2</v>
      </c>
    </row>
    <row r="787" spans="3:17">
      <c r="C787" t="s">
        <v>297</v>
      </c>
      <c r="D787" t="s">
        <v>299</v>
      </c>
      <c r="E787">
        <v>7505150000</v>
      </c>
      <c r="H787" t="s">
        <v>890</v>
      </c>
      <c r="K787" s="1633">
        <v>2343624957</v>
      </c>
      <c r="M787" s="1633">
        <v>7677850762</v>
      </c>
      <c r="O787" s="1633">
        <v>-5334225805</v>
      </c>
      <c r="Q787">
        <v>-69.5</v>
      </c>
    </row>
    <row r="788" spans="3:17">
      <c r="C788" t="s">
        <v>297</v>
      </c>
      <c r="D788" t="s">
        <v>299</v>
      </c>
      <c r="E788">
        <v>7505151000</v>
      </c>
      <c r="H788" t="s">
        <v>891</v>
      </c>
      <c r="K788" s="1633">
        <v>208917346</v>
      </c>
      <c r="M788" s="1633">
        <v>686495159</v>
      </c>
      <c r="O788" s="1633">
        <v>-477577813</v>
      </c>
      <c r="Q788">
        <v>-69.599999999999994</v>
      </c>
    </row>
    <row r="789" spans="3:17">
      <c r="C789" t="s">
        <v>297</v>
      </c>
      <c r="D789" t="s">
        <v>299</v>
      </c>
      <c r="E789">
        <v>7505180000</v>
      </c>
      <c r="H789" t="s">
        <v>892</v>
      </c>
      <c r="K789" s="1633">
        <v>1036093942</v>
      </c>
      <c r="M789" s="1633">
        <v>2585118200</v>
      </c>
      <c r="O789" s="1633">
        <v>-1549024258</v>
      </c>
      <c r="Q789">
        <v>-59.9</v>
      </c>
    </row>
    <row r="790" spans="3:17">
      <c r="C790" t="s">
        <v>297</v>
      </c>
      <c r="D790" t="s">
        <v>299</v>
      </c>
      <c r="E790">
        <v>7505200000</v>
      </c>
      <c r="H790" t="s">
        <v>893</v>
      </c>
      <c r="K790" s="1633">
        <v>169505964</v>
      </c>
      <c r="M790" s="1633">
        <v>531457527</v>
      </c>
      <c r="O790" s="1633">
        <v>-361951563</v>
      </c>
      <c r="Q790">
        <v>-68.099999999999994</v>
      </c>
    </row>
    <row r="791" spans="3:17">
      <c r="C791" t="s">
        <v>297</v>
      </c>
      <c r="D791" t="s">
        <v>299</v>
      </c>
      <c r="E791">
        <v>7505201000</v>
      </c>
      <c r="H791" t="s">
        <v>894</v>
      </c>
      <c r="K791" s="1633">
        <v>50330508</v>
      </c>
      <c r="M791" s="1633">
        <v>122122569</v>
      </c>
      <c r="O791" s="1633">
        <v>-71792061</v>
      </c>
      <c r="Q791">
        <v>-58.8</v>
      </c>
    </row>
    <row r="792" spans="3:17">
      <c r="C792" t="s">
        <v>297</v>
      </c>
      <c r="D792" t="s">
        <v>299</v>
      </c>
      <c r="E792">
        <v>7505201010</v>
      </c>
      <c r="H792" t="s">
        <v>894</v>
      </c>
      <c r="K792" s="1633">
        <v>2394000000</v>
      </c>
      <c r="M792" s="1633">
        <v>0</v>
      </c>
      <c r="O792" s="1633">
        <v>2394000000</v>
      </c>
    </row>
    <row r="793" spans="3:17">
      <c r="C793" t="s">
        <v>297</v>
      </c>
      <c r="D793" t="s">
        <v>299</v>
      </c>
      <c r="E793">
        <v>7505202000</v>
      </c>
      <c r="H793" t="s">
        <v>1016</v>
      </c>
      <c r="K793" s="1633">
        <v>0</v>
      </c>
      <c r="M793" s="1633">
        <v>20700000</v>
      </c>
      <c r="O793" s="1633">
        <v>-20700000</v>
      </c>
      <c r="Q793">
        <v>-100</v>
      </c>
    </row>
    <row r="794" spans="3:17">
      <c r="C794" t="s">
        <v>297</v>
      </c>
      <c r="D794" t="s">
        <v>299</v>
      </c>
      <c r="E794">
        <v>7505220000</v>
      </c>
      <c r="H794" t="s">
        <v>895</v>
      </c>
      <c r="K794" s="1633">
        <v>436543200</v>
      </c>
      <c r="M794" s="1633">
        <v>1158998480</v>
      </c>
      <c r="O794" s="1633">
        <v>-722455280</v>
      </c>
      <c r="Q794">
        <v>-62.3</v>
      </c>
    </row>
    <row r="795" spans="3:17">
      <c r="C795" t="s">
        <v>297</v>
      </c>
      <c r="D795" t="s">
        <v>299</v>
      </c>
      <c r="E795">
        <v>7505230000</v>
      </c>
      <c r="H795" t="s">
        <v>896</v>
      </c>
      <c r="K795" s="1633">
        <v>1438867</v>
      </c>
      <c r="M795" s="1633">
        <v>1230663</v>
      </c>
      <c r="O795" s="1633">
        <v>208204</v>
      </c>
      <c r="Q795">
        <v>16.899999999999999</v>
      </c>
    </row>
    <row r="796" spans="3:17">
      <c r="C796" t="s">
        <v>297</v>
      </c>
      <c r="D796" t="s">
        <v>299</v>
      </c>
      <c r="E796">
        <v>7505240000</v>
      </c>
      <c r="H796" t="s">
        <v>897</v>
      </c>
      <c r="K796" s="1633">
        <v>860606660</v>
      </c>
      <c r="M796" s="1633">
        <v>3443836425</v>
      </c>
      <c r="O796" s="1633">
        <v>-2583229765</v>
      </c>
      <c r="Q796">
        <v>-75</v>
      </c>
    </row>
    <row r="797" spans="3:17">
      <c r="C797" t="s">
        <v>297</v>
      </c>
      <c r="D797" t="s">
        <v>299</v>
      </c>
      <c r="E797">
        <v>7505241000</v>
      </c>
      <c r="H797" t="s">
        <v>898</v>
      </c>
      <c r="K797" s="1633">
        <v>63228840</v>
      </c>
      <c r="M797" s="1633">
        <v>194613672</v>
      </c>
      <c r="O797" s="1633">
        <v>-131384832</v>
      </c>
      <c r="Q797">
        <v>-67.5</v>
      </c>
    </row>
    <row r="798" spans="3:17">
      <c r="C798" t="s">
        <v>297</v>
      </c>
      <c r="D798" t="s">
        <v>299</v>
      </c>
      <c r="E798">
        <v>7505250000</v>
      </c>
      <c r="H798" t="s">
        <v>899</v>
      </c>
      <c r="K798" s="1633">
        <v>708976740</v>
      </c>
      <c r="M798" s="1633">
        <v>1023385444</v>
      </c>
      <c r="O798" s="1633">
        <v>-314408704</v>
      </c>
      <c r="Q798">
        <v>-30.7</v>
      </c>
    </row>
    <row r="799" spans="3:17">
      <c r="C799" t="s">
        <v>297</v>
      </c>
      <c r="D799" t="s">
        <v>299</v>
      </c>
      <c r="E799">
        <v>7505300000</v>
      </c>
      <c r="H799" t="s">
        <v>900</v>
      </c>
      <c r="K799" s="1633">
        <v>73982138</v>
      </c>
      <c r="M799" s="1633">
        <v>363043768</v>
      </c>
      <c r="O799" s="1633">
        <v>-289061630</v>
      </c>
      <c r="Q799">
        <v>-79.599999999999994</v>
      </c>
    </row>
    <row r="800" spans="3:17">
      <c r="C800" t="s">
        <v>297</v>
      </c>
      <c r="D800" t="s">
        <v>299</v>
      </c>
      <c r="E800">
        <v>7505300100</v>
      </c>
      <c r="H800" t="s">
        <v>901</v>
      </c>
      <c r="K800" s="1633">
        <v>71400444</v>
      </c>
      <c r="M800" s="1633">
        <v>44679986</v>
      </c>
      <c r="O800" s="1633">
        <v>26720458</v>
      </c>
      <c r="Q800">
        <v>59.8</v>
      </c>
    </row>
    <row r="801" spans="3:17">
      <c r="C801" t="s">
        <v>297</v>
      </c>
      <c r="D801" t="s">
        <v>299</v>
      </c>
      <c r="E801">
        <v>7505310000</v>
      </c>
      <c r="H801" t="s">
        <v>902</v>
      </c>
      <c r="K801" s="1633">
        <v>6954158</v>
      </c>
      <c r="M801" s="1633">
        <v>201223622</v>
      </c>
      <c r="O801" s="1633">
        <v>-194269464</v>
      </c>
      <c r="Q801">
        <v>-96.5</v>
      </c>
    </row>
    <row r="802" spans="3:17">
      <c r="C802" t="s">
        <v>297</v>
      </c>
      <c r="D802" t="s">
        <v>299</v>
      </c>
      <c r="E802">
        <v>7505330000</v>
      </c>
      <c r="H802" t="s">
        <v>903</v>
      </c>
      <c r="K802" s="1633">
        <v>226314941</v>
      </c>
      <c r="M802" s="1633">
        <v>835701911</v>
      </c>
      <c r="O802" s="1633">
        <v>-609386970</v>
      </c>
      <c r="Q802">
        <v>-72.900000000000006</v>
      </c>
    </row>
    <row r="803" spans="3:17">
      <c r="C803" t="s">
        <v>297</v>
      </c>
      <c r="D803" t="s">
        <v>299</v>
      </c>
      <c r="E803">
        <v>7505350000</v>
      </c>
      <c r="H803" t="s">
        <v>904</v>
      </c>
      <c r="K803" s="1633">
        <v>794562300</v>
      </c>
      <c r="M803" s="1633">
        <v>2321600100</v>
      </c>
      <c r="O803" s="1633">
        <v>-1527037800</v>
      </c>
      <c r="Q803">
        <v>-65.8</v>
      </c>
    </row>
    <row r="804" spans="3:17">
      <c r="C804" t="s">
        <v>297</v>
      </c>
      <c r="D804" t="s">
        <v>299</v>
      </c>
      <c r="E804">
        <v>7505360000</v>
      </c>
      <c r="H804" t="s">
        <v>905</v>
      </c>
      <c r="K804" s="1633">
        <v>476231700</v>
      </c>
      <c r="M804" s="1633">
        <v>1412431100</v>
      </c>
      <c r="O804" s="1633">
        <v>-936199400</v>
      </c>
      <c r="Q804">
        <v>-66.3</v>
      </c>
    </row>
    <row r="805" spans="3:17">
      <c r="C805" t="s">
        <v>297</v>
      </c>
      <c r="D805" t="s">
        <v>299</v>
      </c>
      <c r="E805">
        <v>7505370000</v>
      </c>
      <c r="H805" t="s">
        <v>906</v>
      </c>
      <c r="K805" s="1633">
        <v>1813122018</v>
      </c>
      <c r="M805" s="1633">
        <v>4927231939</v>
      </c>
      <c r="O805" s="1633">
        <v>-3114109921</v>
      </c>
      <c r="Q805">
        <v>-63.2</v>
      </c>
    </row>
    <row r="806" spans="3:17">
      <c r="C806" t="s">
        <v>297</v>
      </c>
      <c r="D806" t="s">
        <v>299</v>
      </c>
      <c r="E806">
        <v>7505380000</v>
      </c>
      <c r="H806" t="s">
        <v>907</v>
      </c>
      <c r="K806" s="1633">
        <v>317502900</v>
      </c>
      <c r="M806" s="1633">
        <v>941672700</v>
      </c>
      <c r="O806" s="1633">
        <v>-624169800</v>
      </c>
      <c r="Q806">
        <v>-66.3</v>
      </c>
    </row>
    <row r="807" spans="3:17">
      <c r="C807" t="s">
        <v>297</v>
      </c>
      <c r="D807" t="s">
        <v>299</v>
      </c>
      <c r="E807">
        <v>7505400000</v>
      </c>
      <c r="H807" t="s">
        <v>908</v>
      </c>
      <c r="K807" s="1633">
        <v>481200952</v>
      </c>
      <c r="M807" s="1633">
        <v>1340712444</v>
      </c>
      <c r="O807" s="1633">
        <v>-859511492</v>
      </c>
      <c r="Q807">
        <v>-64.099999999999994</v>
      </c>
    </row>
    <row r="808" spans="3:17">
      <c r="C808" t="s">
        <v>297</v>
      </c>
      <c r="D808" t="s">
        <v>299</v>
      </c>
      <c r="E808">
        <v>7505410000</v>
      </c>
      <c r="H808" t="s">
        <v>909</v>
      </c>
      <c r="K808" s="1633">
        <v>623799511</v>
      </c>
      <c r="M808" s="1633">
        <v>1785875409</v>
      </c>
      <c r="O808" s="1633">
        <v>-1162075898</v>
      </c>
      <c r="Q808">
        <v>-65.099999999999994</v>
      </c>
    </row>
    <row r="809" spans="3:17">
      <c r="C809" t="s">
        <v>297</v>
      </c>
      <c r="D809" t="s">
        <v>299</v>
      </c>
      <c r="E809">
        <v>7505430000</v>
      </c>
      <c r="H809" t="s">
        <v>910</v>
      </c>
      <c r="K809" s="1633">
        <v>3812053566</v>
      </c>
      <c r="M809" s="1633">
        <v>5305828450</v>
      </c>
      <c r="O809" s="1633">
        <v>-1493774884</v>
      </c>
      <c r="Q809">
        <v>-28.2</v>
      </c>
    </row>
    <row r="810" spans="3:17">
      <c r="C810" t="s">
        <v>297</v>
      </c>
      <c r="D810" t="s">
        <v>299</v>
      </c>
      <c r="E810">
        <v>7505430100</v>
      </c>
      <c r="H810" t="s">
        <v>911</v>
      </c>
      <c r="K810" s="1633">
        <v>1337306000</v>
      </c>
      <c r="M810" s="1633">
        <v>3549400000</v>
      </c>
      <c r="O810" s="1633">
        <v>-2212094000</v>
      </c>
      <c r="Q810">
        <v>-62.3</v>
      </c>
    </row>
    <row r="811" spans="3:17">
      <c r="C811" t="s">
        <v>297</v>
      </c>
      <c r="D811" t="s">
        <v>299</v>
      </c>
      <c r="E811">
        <v>7505431000</v>
      </c>
      <c r="H811" t="s">
        <v>912</v>
      </c>
      <c r="K811" s="1633">
        <v>9578796</v>
      </c>
      <c r="M811" s="1633">
        <v>36640614</v>
      </c>
      <c r="O811" s="1633">
        <v>-27061818</v>
      </c>
      <c r="Q811">
        <v>-73.900000000000006</v>
      </c>
    </row>
    <row r="812" spans="3:17">
      <c r="C812" t="s">
        <v>297</v>
      </c>
      <c r="D812" t="s">
        <v>299</v>
      </c>
      <c r="E812">
        <v>7505440000</v>
      </c>
      <c r="H812" t="s">
        <v>913</v>
      </c>
      <c r="K812" s="1633">
        <v>1077031300</v>
      </c>
      <c r="M812" s="1633">
        <v>2132311400</v>
      </c>
      <c r="O812" s="1633">
        <v>-1055280100</v>
      </c>
      <c r="Q812">
        <v>-49.5</v>
      </c>
    </row>
    <row r="813" spans="3:17">
      <c r="C813" t="s">
        <v>297</v>
      </c>
      <c r="D813" t="s">
        <v>299</v>
      </c>
      <c r="E813">
        <v>7505440200</v>
      </c>
      <c r="H813" t="s">
        <v>914</v>
      </c>
      <c r="K813" s="1633">
        <v>1151800</v>
      </c>
      <c r="M813" s="1633">
        <v>4719200</v>
      </c>
      <c r="O813" s="1633">
        <v>-3567400</v>
      </c>
      <c r="Q813">
        <v>-75.599999999999994</v>
      </c>
    </row>
    <row r="814" spans="3:17">
      <c r="C814" t="s">
        <v>297</v>
      </c>
      <c r="D814" t="s">
        <v>299</v>
      </c>
      <c r="E814">
        <v>7505450000</v>
      </c>
      <c r="H814" t="s">
        <v>915</v>
      </c>
      <c r="K814" s="1633">
        <v>5043910865</v>
      </c>
      <c r="M814" s="1633">
        <v>13515351494</v>
      </c>
      <c r="O814" s="1633">
        <v>-8471440629</v>
      </c>
      <c r="Q814">
        <v>-62.7</v>
      </c>
    </row>
    <row r="815" spans="3:17">
      <c r="C815" t="s">
        <v>297</v>
      </c>
      <c r="D815" t="s">
        <v>299</v>
      </c>
      <c r="E815">
        <v>7505460000</v>
      </c>
      <c r="H815" t="s">
        <v>916</v>
      </c>
      <c r="K815" s="1633">
        <v>221150911</v>
      </c>
      <c r="M815" s="1633">
        <v>519570253</v>
      </c>
      <c r="O815" s="1633">
        <v>-298419342</v>
      </c>
      <c r="Q815">
        <v>-57.4</v>
      </c>
    </row>
    <row r="816" spans="3:17">
      <c r="C816" t="s">
        <v>297</v>
      </c>
      <c r="D816" t="s">
        <v>299</v>
      </c>
      <c r="E816">
        <v>7505460100</v>
      </c>
      <c r="H816" t="s">
        <v>917</v>
      </c>
      <c r="K816" s="1633">
        <v>169321344</v>
      </c>
      <c r="M816" s="1633">
        <v>481574964</v>
      </c>
      <c r="O816" s="1633">
        <v>-312253620</v>
      </c>
      <c r="Q816">
        <v>-64.8</v>
      </c>
    </row>
    <row r="817" spans="3:17">
      <c r="C817" t="s">
        <v>297</v>
      </c>
      <c r="D817" t="s">
        <v>299</v>
      </c>
      <c r="E817">
        <v>7505470000</v>
      </c>
      <c r="H817" t="s">
        <v>918</v>
      </c>
      <c r="K817" s="1633">
        <v>652210943</v>
      </c>
      <c r="M817" s="1633">
        <v>1243184644</v>
      </c>
      <c r="O817" s="1633">
        <v>-590973701</v>
      </c>
      <c r="Q817">
        <v>-47.5</v>
      </c>
    </row>
    <row r="818" spans="3:17">
      <c r="C818" t="s">
        <v>297</v>
      </c>
      <c r="D818" t="s">
        <v>299</v>
      </c>
      <c r="E818">
        <v>7505471000</v>
      </c>
      <c r="H818" t="s">
        <v>919</v>
      </c>
      <c r="K818" s="1633">
        <v>8650300</v>
      </c>
      <c r="M818" s="1633">
        <v>37775853</v>
      </c>
      <c r="O818" s="1633">
        <v>-29125553</v>
      </c>
      <c r="Q818">
        <v>-77.099999999999994</v>
      </c>
    </row>
    <row r="819" spans="3:17">
      <c r="C819" t="s">
        <v>297</v>
      </c>
      <c r="D819" t="s">
        <v>299</v>
      </c>
      <c r="E819">
        <v>7505480000</v>
      </c>
      <c r="H819" t="s">
        <v>920</v>
      </c>
      <c r="K819" s="1633">
        <v>295756198</v>
      </c>
      <c r="M819" s="1633">
        <v>701883143</v>
      </c>
      <c r="O819" s="1633">
        <v>-406126945</v>
      </c>
      <c r="Q819">
        <v>-57.9</v>
      </c>
    </row>
    <row r="820" spans="3:17">
      <c r="C820" t="s">
        <v>297</v>
      </c>
      <c r="D820" t="s">
        <v>299</v>
      </c>
      <c r="E820">
        <v>7505481000</v>
      </c>
      <c r="H820" t="s">
        <v>921</v>
      </c>
      <c r="K820" s="1633">
        <v>3602920</v>
      </c>
      <c r="M820" s="1633">
        <v>8002830</v>
      </c>
      <c r="O820" s="1633">
        <v>-4399910</v>
      </c>
      <c r="Q820">
        <v>-55</v>
      </c>
    </row>
    <row r="821" spans="3:17">
      <c r="C821" t="s">
        <v>297</v>
      </c>
      <c r="D821" t="s">
        <v>299</v>
      </c>
      <c r="E821">
        <v>7505520000</v>
      </c>
      <c r="H821" t="s">
        <v>922</v>
      </c>
      <c r="K821" s="1633">
        <v>1587626182</v>
      </c>
      <c r="M821" s="1633">
        <v>3855945229</v>
      </c>
      <c r="O821" s="1633">
        <v>-2268319047</v>
      </c>
      <c r="Q821">
        <v>-58.8</v>
      </c>
    </row>
    <row r="822" spans="3:17">
      <c r="C822" t="s">
        <v>297</v>
      </c>
      <c r="D822" t="s">
        <v>299</v>
      </c>
      <c r="E822">
        <v>7505670000</v>
      </c>
      <c r="H822" t="s">
        <v>923</v>
      </c>
      <c r="K822" s="1633">
        <v>2957821646</v>
      </c>
      <c r="M822" s="1633">
        <v>8093731779</v>
      </c>
      <c r="O822" s="1633">
        <v>-5135910133</v>
      </c>
      <c r="Q822">
        <v>-63.5</v>
      </c>
    </row>
    <row r="823" spans="3:17">
      <c r="C823" t="s">
        <v>297</v>
      </c>
      <c r="D823" t="s">
        <v>299</v>
      </c>
      <c r="E823">
        <v>7505670100</v>
      </c>
      <c r="H823" t="s">
        <v>924</v>
      </c>
      <c r="K823" s="1633">
        <v>1326664743</v>
      </c>
      <c r="M823" s="1633">
        <v>12693282361</v>
      </c>
      <c r="O823" s="1633">
        <v>-11366617618</v>
      </c>
      <c r="Q823">
        <v>-89.5</v>
      </c>
    </row>
    <row r="824" spans="3:17">
      <c r="C824" t="s">
        <v>297</v>
      </c>
      <c r="D824" t="s">
        <v>299</v>
      </c>
      <c r="E824">
        <v>7505730100</v>
      </c>
      <c r="H824" t="s">
        <v>925</v>
      </c>
      <c r="K824" s="1633">
        <v>2420265458</v>
      </c>
      <c r="M824" s="1633">
        <v>5995862409</v>
      </c>
      <c r="O824" s="1633">
        <v>-3575596951</v>
      </c>
      <c r="Q824">
        <v>-59.6</v>
      </c>
    </row>
    <row r="825" spans="3:17">
      <c r="C825" t="s">
        <v>297</v>
      </c>
      <c r="D825" t="s">
        <v>299</v>
      </c>
      <c r="E825">
        <v>7505730200</v>
      </c>
      <c r="H825" t="s">
        <v>926</v>
      </c>
      <c r="K825" s="1633">
        <v>265863984</v>
      </c>
      <c r="M825" s="1633">
        <v>1211551632</v>
      </c>
      <c r="O825" s="1633">
        <v>-945687648</v>
      </c>
      <c r="Q825">
        <v>-78.099999999999994</v>
      </c>
    </row>
    <row r="826" spans="3:17">
      <c r="C826" t="s">
        <v>297</v>
      </c>
      <c r="D826" t="s">
        <v>299</v>
      </c>
      <c r="E826">
        <v>7505900000</v>
      </c>
      <c r="H826" t="s">
        <v>927</v>
      </c>
      <c r="K826" s="1633">
        <v>143346994</v>
      </c>
      <c r="M826" s="1633">
        <v>601630690</v>
      </c>
      <c r="O826" s="1633">
        <v>-458283696</v>
      </c>
      <c r="Q826">
        <v>-76.2</v>
      </c>
    </row>
    <row r="827" spans="3:17">
      <c r="C827" t="s">
        <v>297</v>
      </c>
      <c r="D827" t="s">
        <v>299</v>
      </c>
      <c r="E827">
        <v>7510061000</v>
      </c>
      <c r="H827" t="s">
        <v>928</v>
      </c>
      <c r="K827" s="1633">
        <v>483083</v>
      </c>
      <c r="M827" s="1633">
        <v>479623180</v>
      </c>
      <c r="O827" s="1633">
        <v>-479140097</v>
      </c>
      <c r="Q827">
        <v>-99.9</v>
      </c>
    </row>
    <row r="828" spans="3:17">
      <c r="C828" t="s">
        <v>297</v>
      </c>
      <c r="D828" t="s">
        <v>299</v>
      </c>
      <c r="E828">
        <v>7510130000</v>
      </c>
      <c r="H828" t="s">
        <v>929</v>
      </c>
      <c r="K828" s="1633">
        <v>554824208</v>
      </c>
      <c r="M828" s="1633">
        <v>1131262285</v>
      </c>
      <c r="O828" s="1633">
        <v>-576438077</v>
      </c>
      <c r="Q828">
        <v>-51</v>
      </c>
    </row>
    <row r="829" spans="3:17">
      <c r="C829" t="s">
        <v>297</v>
      </c>
      <c r="D829" t="s">
        <v>299</v>
      </c>
      <c r="E829">
        <v>7510230000</v>
      </c>
      <c r="H829" t="s">
        <v>930</v>
      </c>
      <c r="K829" s="1633">
        <v>180000</v>
      </c>
      <c r="M829" s="1633">
        <v>33164397</v>
      </c>
      <c r="O829" s="1633">
        <v>-32984397</v>
      </c>
      <c r="Q829">
        <v>-99.5</v>
      </c>
    </row>
    <row r="830" spans="3:17">
      <c r="C830" t="s">
        <v>297</v>
      </c>
      <c r="D830" t="s">
        <v>299</v>
      </c>
      <c r="E830">
        <v>7510240000</v>
      </c>
      <c r="H830" t="s">
        <v>1179</v>
      </c>
      <c r="K830" s="1633">
        <v>0</v>
      </c>
      <c r="M830" s="1633">
        <v>18000000</v>
      </c>
      <c r="O830" s="1633">
        <v>-18000000</v>
      </c>
      <c r="Q830">
        <v>-100</v>
      </c>
    </row>
    <row r="831" spans="3:17">
      <c r="C831" t="s">
        <v>297</v>
      </c>
      <c r="D831" t="s">
        <v>299</v>
      </c>
      <c r="E831">
        <v>7510250000</v>
      </c>
      <c r="H831" t="s">
        <v>931</v>
      </c>
      <c r="K831" s="1633">
        <v>2364701</v>
      </c>
      <c r="M831" s="1633">
        <v>20064967</v>
      </c>
      <c r="O831" s="1633">
        <v>-17700266</v>
      </c>
      <c r="Q831">
        <v>-88.2</v>
      </c>
    </row>
    <row r="832" spans="3:17">
      <c r="C832" t="s">
        <v>297</v>
      </c>
      <c r="D832" t="s">
        <v>299</v>
      </c>
      <c r="E832">
        <v>7510260000</v>
      </c>
      <c r="H832" t="s">
        <v>932</v>
      </c>
      <c r="K832" s="1633">
        <v>897972178</v>
      </c>
      <c r="M832" s="1633">
        <v>2485739332</v>
      </c>
      <c r="O832" s="1633">
        <v>-1587767154</v>
      </c>
      <c r="Q832">
        <v>-63.9</v>
      </c>
    </row>
    <row r="833" spans="3:17">
      <c r="C833" t="s">
        <v>297</v>
      </c>
      <c r="D833" t="s">
        <v>299</v>
      </c>
      <c r="E833">
        <v>7510360000</v>
      </c>
      <c r="H833" t="s">
        <v>933</v>
      </c>
      <c r="K833" s="1633">
        <v>130230658</v>
      </c>
      <c r="M833" s="1633">
        <v>1305521714</v>
      </c>
      <c r="O833" s="1633">
        <v>-1175291056</v>
      </c>
      <c r="Q833">
        <v>-90</v>
      </c>
    </row>
    <row r="834" spans="3:17">
      <c r="C834" t="s">
        <v>297</v>
      </c>
      <c r="D834" t="s">
        <v>299</v>
      </c>
      <c r="E834">
        <v>7510370000</v>
      </c>
      <c r="H834" t="s">
        <v>934</v>
      </c>
      <c r="K834" s="1633">
        <v>2307846515</v>
      </c>
      <c r="M834" s="1633">
        <v>5762987146</v>
      </c>
      <c r="O834" s="1633">
        <v>-3455140631</v>
      </c>
      <c r="Q834">
        <v>-60</v>
      </c>
    </row>
    <row r="835" spans="3:17">
      <c r="C835" t="s">
        <v>297</v>
      </c>
      <c r="D835" t="s">
        <v>299</v>
      </c>
      <c r="E835">
        <v>7510410000</v>
      </c>
      <c r="H835" t="s">
        <v>935</v>
      </c>
      <c r="K835" s="1633">
        <v>107024296</v>
      </c>
      <c r="M835" s="1633">
        <v>292849800</v>
      </c>
      <c r="O835" s="1633">
        <v>-185825504</v>
      </c>
      <c r="Q835">
        <v>-63.5</v>
      </c>
    </row>
    <row r="836" spans="3:17">
      <c r="C836" t="s">
        <v>297</v>
      </c>
      <c r="D836" t="s">
        <v>299</v>
      </c>
      <c r="E836">
        <v>7510460000</v>
      </c>
      <c r="H836" t="s">
        <v>936</v>
      </c>
      <c r="K836" s="1633">
        <v>0</v>
      </c>
      <c r="M836" s="1633">
        <v>35057366</v>
      </c>
      <c r="O836" s="1633">
        <v>-35057366</v>
      </c>
      <c r="Q836">
        <v>-100</v>
      </c>
    </row>
    <row r="837" spans="3:17">
      <c r="C837" t="s">
        <v>297</v>
      </c>
      <c r="D837" t="s">
        <v>299</v>
      </c>
      <c r="E837">
        <v>7510900100</v>
      </c>
      <c r="H837" t="s">
        <v>1185</v>
      </c>
      <c r="K837" s="1633">
        <v>49170949</v>
      </c>
      <c r="M837" s="1633">
        <v>262446846</v>
      </c>
      <c r="O837" s="1633">
        <v>-213275897</v>
      </c>
      <c r="Q837">
        <v>-81.3</v>
      </c>
    </row>
    <row r="838" spans="3:17">
      <c r="C838" t="s">
        <v>297</v>
      </c>
      <c r="D838" t="s">
        <v>299</v>
      </c>
      <c r="E838">
        <v>7510900400</v>
      </c>
      <c r="H838" t="s">
        <v>937</v>
      </c>
      <c r="K838" s="1633">
        <v>3870671083</v>
      </c>
      <c r="M838" s="1633">
        <v>7676301075</v>
      </c>
      <c r="O838" s="1633">
        <v>-3805629992</v>
      </c>
      <c r="Q838">
        <v>-49.6</v>
      </c>
    </row>
    <row r="839" spans="3:17">
      <c r="C839" t="s">
        <v>297</v>
      </c>
      <c r="D839" t="s">
        <v>299</v>
      </c>
      <c r="E839">
        <v>7510900401</v>
      </c>
      <c r="H839" t="s">
        <v>938</v>
      </c>
      <c r="K839" s="1633">
        <v>10113140901</v>
      </c>
      <c r="M839" s="1633">
        <v>36355516914</v>
      </c>
      <c r="O839" s="1633">
        <v>-26242376013</v>
      </c>
      <c r="Q839">
        <v>-72.2</v>
      </c>
    </row>
    <row r="840" spans="3:17">
      <c r="C840" t="s">
        <v>297</v>
      </c>
      <c r="D840" t="s">
        <v>299</v>
      </c>
      <c r="E840">
        <v>7510900600</v>
      </c>
      <c r="H840" t="s">
        <v>939</v>
      </c>
      <c r="K840" s="1633">
        <v>0</v>
      </c>
      <c r="M840" s="1633">
        <v>12393745</v>
      </c>
      <c r="O840" s="1633">
        <v>-12393745</v>
      </c>
      <c r="Q840">
        <v>-100</v>
      </c>
    </row>
    <row r="841" spans="3:17">
      <c r="C841" t="s">
        <v>297</v>
      </c>
      <c r="D841" t="s">
        <v>299</v>
      </c>
      <c r="E841">
        <v>7510900800</v>
      </c>
      <c r="H841" t="s">
        <v>940</v>
      </c>
      <c r="K841" s="1633">
        <v>19378346</v>
      </c>
      <c r="M841" s="1633">
        <v>83497782</v>
      </c>
      <c r="O841" s="1633">
        <v>-64119436</v>
      </c>
      <c r="Q841">
        <v>-76.8</v>
      </c>
    </row>
    <row r="842" spans="3:17">
      <c r="C842" t="s">
        <v>297</v>
      </c>
      <c r="D842" t="s">
        <v>299</v>
      </c>
      <c r="E842">
        <v>7510900900</v>
      </c>
      <c r="H842" t="s">
        <v>941</v>
      </c>
      <c r="K842" s="1633">
        <v>1055724011</v>
      </c>
      <c r="M842" s="1633">
        <v>2822781187</v>
      </c>
      <c r="O842" s="1633">
        <v>-1767057176</v>
      </c>
      <c r="Q842">
        <v>-62.6</v>
      </c>
    </row>
    <row r="843" spans="3:17">
      <c r="C843" t="s">
        <v>297</v>
      </c>
      <c r="D843" t="s">
        <v>299</v>
      </c>
      <c r="E843">
        <v>7510901000</v>
      </c>
      <c r="H843" t="s">
        <v>942</v>
      </c>
      <c r="K843" s="1633">
        <v>124208173</v>
      </c>
      <c r="M843" s="1633">
        <v>156568719</v>
      </c>
      <c r="O843" s="1633">
        <v>-32360546</v>
      </c>
      <c r="Q843">
        <v>-20.7</v>
      </c>
    </row>
    <row r="844" spans="3:17">
      <c r="C844" t="s">
        <v>297</v>
      </c>
      <c r="D844" t="s">
        <v>299</v>
      </c>
      <c r="E844">
        <v>7510901100</v>
      </c>
      <c r="H844" t="s">
        <v>943</v>
      </c>
      <c r="K844" s="1633">
        <v>1236067139</v>
      </c>
      <c r="M844" s="1633">
        <v>5282317053</v>
      </c>
      <c r="O844" s="1633">
        <v>-4046249914</v>
      </c>
      <c r="Q844">
        <v>-76.599999999999994</v>
      </c>
    </row>
    <row r="845" spans="3:17">
      <c r="C845" t="s">
        <v>297</v>
      </c>
      <c r="D845" t="s">
        <v>299</v>
      </c>
      <c r="E845">
        <v>7510901101</v>
      </c>
      <c r="H845" t="s">
        <v>944</v>
      </c>
      <c r="K845" s="1633">
        <v>186250000</v>
      </c>
      <c r="M845" s="1633">
        <v>1842224587</v>
      </c>
      <c r="O845" s="1633">
        <v>-1655974587</v>
      </c>
      <c r="Q845">
        <v>-89.9</v>
      </c>
    </row>
    <row r="846" spans="3:17">
      <c r="C846" t="s">
        <v>297</v>
      </c>
      <c r="D846" t="s">
        <v>299</v>
      </c>
      <c r="E846">
        <v>7510901400</v>
      </c>
      <c r="H846" t="s">
        <v>945</v>
      </c>
      <c r="K846" s="1633">
        <v>61951459</v>
      </c>
      <c r="M846" s="1633">
        <v>108813461</v>
      </c>
      <c r="O846" s="1633">
        <v>-46862002</v>
      </c>
      <c r="Q846">
        <v>-43.1</v>
      </c>
    </row>
    <row r="847" spans="3:17">
      <c r="C847" t="s">
        <v>297</v>
      </c>
      <c r="D847" t="s">
        <v>299</v>
      </c>
      <c r="E847">
        <v>7510901500</v>
      </c>
      <c r="H847" t="s">
        <v>946</v>
      </c>
      <c r="K847" s="1633">
        <v>23495451</v>
      </c>
      <c r="M847" s="1633">
        <v>157287656</v>
      </c>
      <c r="O847" s="1633">
        <v>-133792205</v>
      </c>
      <c r="Q847">
        <v>-85.1</v>
      </c>
    </row>
    <row r="848" spans="3:17">
      <c r="C848" t="s">
        <v>297</v>
      </c>
      <c r="D848" t="s">
        <v>299</v>
      </c>
      <c r="E848">
        <v>7510901800</v>
      </c>
      <c r="H848" t="s">
        <v>947</v>
      </c>
      <c r="K848" s="1633">
        <v>198074536</v>
      </c>
      <c r="M848" s="1633">
        <v>667196392</v>
      </c>
      <c r="O848" s="1633">
        <v>-469121856</v>
      </c>
      <c r="Q848">
        <v>-70.3</v>
      </c>
    </row>
    <row r="849" spans="3:17">
      <c r="C849" t="s">
        <v>297</v>
      </c>
      <c r="D849" t="s">
        <v>299</v>
      </c>
      <c r="E849">
        <v>7517020000</v>
      </c>
      <c r="H849" t="s">
        <v>948</v>
      </c>
      <c r="K849" s="1633">
        <v>61187896</v>
      </c>
      <c r="M849" s="1633">
        <v>104964973</v>
      </c>
      <c r="O849" s="1633">
        <v>-43777077</v>
      </c>
      <c r="Q849">
        <v>-41.7</v>
      </c>
    </row>
    <row r="850" spans="3:17">
      <c r="C850" t="s">
        <v>297</v>
      </c>
      <c r="D850" t="s">
        <v>299</v>
      </c>
      <c r="E850">
        <v>7517050000</v>
      </c>
      <c r="H850" t="s">
        <v>1233</v>
      </c>
      <c r="K850" s="1633">
        <v>0</v>
      </c>
      <c r="M850" s="1633">
        <v>100840142</v>
      </c>
      <c r="O850" s="1633">
        <v>-100840142</v>
      </c>
      <c r="Q850">
        <v>-100</v>
      </c>
    </row>
    <row r="851" spans="3:17">
      <c r="C851" t="s">
        <v>297</v>
      </c>
      <c r="D851" t="s">
        <v>299</v>
      </c>
      <c r="E851">
        <v>7520060000</v>
      </c>
      <c r="H851" t="s">
        <v>949</v>
      </c>
      <c r="K851" s="1633">
        <v>556871729</v>
      </c>
      <c r="M851" s="1633">
        <v>1609632757</v>
      </c>
      <c r="O851" s="1633">
        <v>-1052761028</v>
      </c>
      <c r="Q851">
        <v>-65.400000000000006</v>
      </c>
    </row>
    <row r="852" spans="3:17">
      <c r="C852" t="s">
        <v>297</v>
      </c>
      <c r="D852" t="s">
        <v>299</v>
      </c>
      <c r="E852">
        <v>7535900000</v>
      </c>
      <c r="H852" t="s">
        <v>950</v>
      </c>
      <c r="K852" s="1633">
        <v>47595037</v>
      </c>
      <c r="M852" s="1633">
        <v>137899978</v>
      </c>
      <c r="O852" s="1633">
        <v>-90304941</v>
      </c>
      <c r="Q852">
        <v>-65.5</v>
      </c>
    </row>
    <row r="853" spans="3:17">
      <c r="C853" t="s">
        <v>297</v>
      </c>
      <c r="D853" t="s">
        <v>299</v>
      </c>
      <c r="E853">
        <v>7535901000</v>
      </c>
      <c r="H853" t="s">
        <v>951</v>
      </c>
      <c r="K853" s="1633">
        <v>5264410031</v>
      </c>
      <c r="M853" s="1633">
        <v>7835805124</v>
      </c>
      <c r="O853" s="1633">
        <v>-2571395093</v>
      </c>
      <c r="Q853">
        <v>-32.799999999999997</v>
      </c>
    </row>
    <row r="854" spans="3:17">
      <c r="C854" t="s">
        <v>297</v>
      </c>
      <c r="D854" t="s">
        <v>299</v>
      </c>
      <c r="E854">
        <v>7537010100</v>
      </c>
      <c r="H854" t="s">
        <v>952</v>
      </c>
      <c r="K854" s="1633">
        <v>1641332</v>
      </c>
      <c r="M854" s="1633">
        <v>44784002</v>
      </c>
      <c r="O854" s="1633">
        <v>-43142670</v>
      </c>
      <c r="Q854">
        <v>-96.3</v>
      </c>
    </row>
    <row r="855" spans="3:17">
      <c r="C855" t="s">
        <v>297</v>
      </c>
      <c r="D855" t="s">
        <v>299</v>
      </c>
      <c r="E855">
        <v>7540010000</v>
      </c>
      <c r="H855" t="s">
        <v>953</v>
      </c>
      <c r="K855" s="1633">
        <v>809914750</v>
      </c>
      <c r="M855" s="1633">
        <v>3182274945</v>
      </c>
      <c r="O855" s="1633">
        <v>-2372360195</v>
      </c>
      <c r="Q855">
        <v>-74.5</v>
      </c>
    </row>
    <row r="856" spans="3:17">
      <c r="C856" t="s">
        <v>297</v>
      </c>
      <c r="D856" t="s">
        <v>299</v>
      </c>
      <c r="E856">
        <v>7540010100</v>
      </c>
      <c r="H856" t="s">
        <v>954</v>
      </c>
      <c r="K856" s="1633">
        <v>580378218</v>
      </c>
      <c r="M856" s="1633">
        <v>2609391023</v>
      </c>
      <c r="O856" s="1633">
        <v>-2029012805</v>
      </c>
      <c r="Q856">
        <v>-77.8</v>
      </c>
    </row>
    <row r="857" spans="3:17">
      <c r="C857" t="s">
        <v>297</v>
      </c>
      <c r="D857" t="s">
        <v>299</v>
      </c>
      <c r="E857">
        <v>7540020000</v>
      </c>
      <c r="H857" t="s">
        <v>955</v>
      </c>
      <c r="K857" s="1633">
        <v>8953363447</v>
      </c>
      <c r="M857" s="1633">
        <v>24187670672</v>
      </c>
      <c r="O857" s="1633">
        <v>-15234307225</v>
      </c>
      <c r="Q857">
        <v>-63</v>
      </c>
    </row>
    <row r="858" spans="3:17">
      <c r="C858" t="s">
        <v>297</v>
      </c>
      <c r="D858" t="s">
        <v>299</v>
      </c>
      <c r="E858">
        <v>7540020100</v>
      </c>
      <c r="H858" t="s">
        <v>956</v>
      </c>
      <c r="K858" s="1633">
        <v>2698166101</v>
      </c>
      <c r="M858" s="1633">
        <v>11184216277</v>
      </c>
      <c r="O858" s="1633">
        <v>-8486050176</v>
      </c>
      <c r="Q858">
        <v>-75.900000000000006</v>
      </c>
    </row>
    <row r="859" spans="3:17">
      <c r="C859" t="s">
        <v>297</v>
      </c>
      <c r="D859" t="s">
        <v>299</v>
      </c>
      <c r="E859">
        <v>7540020900</v>
      </c>
      <c r="H859" t="s">
        <v>957</v>
      </c>
      <c r="K859" s="1633">
        <v>-59393</v>
      </c>
      <c r="M859" s="1633">
        <v>-924144</v>
      </c>
      <c r="O859" s="1633">
        <v>864751</v>
      </c>
      <c r="Q859">
        <v>93.6</v>
      </c>
    </row>
    <row r="860" spans="3:17">
      <c r="C860" t="s">
        <v>297</v>
      </c>
      <c r="D860" t="s">
        <v>299</v>
      </c>
      <c r="E860">
        <v>7540030000</v>
      </c>
      <c r="H860" t="s">
        <v>958</v>
      </c>
      <c r="K860" s="1633">
        <v>12430602</v>
      </c>
      <c r="M860" s="1633">
        <v>15445367</v>
      </c>
      <c r="O860" s="1633">
        <v>-3014765</v>
      </c>
      <c r="Q860">
        <v>-19.5</v>
      </c>
    </row>
    <row r="861" spans="3:17">
      <c r="C861" t="s">
        <v>297</v>
      </c>
      <c r="D861" t="s">
        <v>299</v>
      </c>
      <c r="E861">
        <v>7540040000</v>
      </c>
      <c r="H861" t="s">
        <v>959</v>
      </c>
      <c r="K861" s="1633">
        <v>834261990</v>
      </c>
      <c r="M861" s="1633">
        <v>2242170411</v>
      </c>
      <c r="O861" s="1633">
        <v>-1407908421</v>
      </c>
      <c r="Q861">
        <v>-62.8</v>
      </c>
    </row>
    <row r="862" spans="3:17">
      <c r="C862" t="s">
        <v>297</v>
      </c>
      <c r="D862" t="s">
        <v>299</v>
      </c>
      <c r="E862">
        <v>7540050000</v>
      </c>
      <c r="H862" t="s">
        <v>960</v>
      </c>
      <c r="K862" s="1633">
        <v>25480778</v>
      </c>
      <c r="M862" s="1633">
        <v>168286318</v>
      </c>
      <c r="O862" s="1633">
        <v>-142805540</v>
      </c>
      <c r="Q862">
        <v>-84.9</v>
      </c>
    </row>
    <row r="863" spans="3:17">
      <c r="C863" t="s">
        <v>297</v>
      </c>
      <c r="D863" t="s">
        <v>299</v>
      </c>
      <c r="E863">
        <v>7540060000</v>
      </c>
      <c r="H863" t="s">
        <v>961</v>
      </c>
      <c r="K863" s="1633">
        <v>1522167009</v>
      </c>
      <c r="M863" s="1633">
        <v>3533550721</v>
      </c>
      <c r="O863" s="1633">
        <v>-2011383712</v>
      </c>
      <c r="Q863">
        <v>-56.9</v>
      </c>
    </row>
    <row r="864" spans="3:17">
      <c r="C864" t="s">
        <v>297</v>
      </c>
      <c r="D864" t="s">
        <v>299</v>
      </c>
      <c r="E864">
        <v>7540080000</v>
      </c>
      <c r="H864" t="s">
        <v>962</v>
      </c>
      <c r="K864" s="1633">
        <v>1625218156</v>
      </c>
      <c r="M864" s="1633">
        <v>6119020496</v>
      </c>
      <c r="O864" s="1633">
        <v>-4493802340</v>
      </c>
      <c r="Q864">
        <v>-73.400000000000006</v>
      </c>
    </row>
    <row r="865" spans="3:17">
      <c r="C865" t="s">
        <v>297</v>
      </c>
      <c r="D865" t="s">
        <v>299</v>
      </c>
      <c r="E865">
        <v>7540900100</v>
      </c>
      <c r="H865" t="s">
        <v>963</v>
      </c>
      <c r="K865" s="1633">
        <v>3878196875</v>
      </c>
      <c r="M865" s="1633">
        <v>8255011618</v>
      </c>
      <c r="O865" s="1633">
        <v>-4376814743</v>
      </c>
      <c r="Q865">
        <v>-53</v>
      </c>
    </row>
    <row r="866" spans="3:17">
      <c r="C866" t="s">
        <v>297</v>
      </c>
      <c r="D866" t="s">
        <v>299</v>
      </c>
      <c r="E866">
        <v>7542070000</v>
      </c>
      <c r="H866" t="s">
        <v>964</v>
      </c>
      <c r="K866" s="1633">
        <v>538691415</v>
      </c>
      <c r="M866" s="1633">
        <v>3299063015</v>
      </c>
      <c r="O866" s="1633">
        <v>-2760371600</v>
      </c>
      <c r="Q866">
        <v>-83.7</v>
      </c>
    </row>
    <row r="867" spans="3:17">
      <c r="C867" t="s">
        <v>297</v>
      </c>
      <c r="D867" t="s">
        <v>299</v>
      </c>
      <c r="E867">
        <v>7542900000</v>
      </c>
      <c r="H867" t="s">
        <v>965</v>
      </c>
      <c r="K867" s="1633">
        <v>1074635961</v>
      </c>
      <c r="M867" s="1633">
        <v>908584732</v>
      </c>
      <c r="O867" s="1633">
        <v>166051229</v>
      </c>
      <c r="Q867">
        <v>18.3</v>
      </c>
    </row>
    <row r="868" spans="3:17">
      <c r="C868" t="s">
        <v>297</v>
      </c>
      <c r="D868" t="s">
        <v>299</v>
      </c>
      <c r="E868">
        <v>7542902000</v>
      </c>
      <c r="H868" t="s">
        <v>966</v>
      </c>
      <c r="K868" s="1633">
        <v>333923398</v>
      </c>
      <c r="M868" s="1633">
        <v>1000255906</v>
      </c>
      <c r="O868" s="1633">
        <v>-666332508</v>
      </c>
      <c r="Q868">
        <v>-66.599999999999994</v>
      </c>
    </row>
    <row r="869" spans="3:17">
      <c r="C869" t="s">
        <v>297</v>
      </c>
      <c r="D869" t="s">
        <v>299</v>
      </c>
      <c r="E869">
        <v>7545010000</v>
      </c>
      <c r="H869" t="s">
        <v>967</v>
      </c>
      <c r="K869" s="1633">
        <v>0</v>
      </c>
      <c r="M869" s="1633">
        <v>754640</v>
      </c>
      <c r="O869" s="1633">
        <v>-754640</v>
      </c>
      <c r="Q869">
        <v>-100</v>
      </c>
    </row>
    <row r="870" spans="3:17">
      <c r="C870" t="s">
        <v>297</v>
      </c>
      <c r="D870" t="s">
        <v>299</v>
      </c>
      <c r="E870">
        <v>7545020000</v>
      </c>
      <c r="H870" t="s">
        <v>968</v>
      </c>
      <c r="K870" s="1633">
        <v>0</v>
      </c>
      <c r="M870" s="1633">
        <v>483673</v>
      </c>
      <c r="O870" s="1633">
        <v>-483673</v>
      </c>
      <c r="Q870">
        <v>-100</v>
      </c>
    </row>
    <row r="871" spans="3:17">
      <c r="C871" t="s">
        <v>297</v>
      </c>
      <c r="D871" t="s">
        <v>299</v>
      </c>
      <c r="E871">
        <v>7545030000</v>
      </c>
      <c r="H871" t="s">
        <v>969</v>
      </c>
      <c r="K871" s="1633">
        <v>160391</v>
      </c>
      <c r="M871" s="1633">
        <v>967405</v>
      </c>
      <c r="O871" s="1633">
        <v>-807014</v>
      </c>
      <c r="Q871">
        <v>-83.4</v>
      </c>
    </row>
    <row r="872" spans="3:17">
      <c r="C872" t="s">
        <v>297</v>
      </c>
      <c r="D872" t="s">
        <v>299</v>
      </c>
      <c r="E872">
        <v>7545040000</v>
      </c>
      <c r="H872" t="s">
        <v>970</v>
      </c>
      <c r="K872" s="1633">
        <v>445342743</v>
      </c>
      <c r="M872" s="1633">
        <v>1440230103</v>
      </c>
      <c r="O872" s="1633">
        <v>-994887360</v>
      </c>
      <c r="Q872">
        <v>-69.099999999999994</v>
      </c>
    </row>
    <row r="873" spans="3:17">
      <c r="C873" t="s">
        <v>297</v>
      </c>
      <c r="D873" t="s">
        <v>299</v>
      </c>
      <c r="E873">
        <v>7545050000</v>
      </c>
      <c r="H873" t="s">
        <v>971</v>
      </c>
      <c r="K873" s="1633">
        <v>43789524</v>
      </c>
      <c r="M873" s="1633">
        <v>162841581</v>
      </c>
      <c r="O873" s="1633">
        <v>-119052057</v>
      </c>
      <c r="Q873">
        <v>-73.099999999999994</v>
      </c>
    </row>
    <row r="874" spans="3:17">
      <c r="C874" t="s">
        <v>297</v>
      </c>
      <c r="D874" t="s">
        <v>299</v>
      </c>
      <c r="E874">
        <v>7550040000</v>
      </c>
      <c r="H874" t="s">
        <v>972</v>
      </c>
      <c r="K874" s="1633">
        <v>61624912</v>
      </c>
      <c r="M874" s="1633">
        <v>82403811</v>
      </c>
      <c r="O874" s="1633">
        <v>-20778899</v>
      </c>
      <c r="Q874">
        <v>-25.2</v>
      </c>
    </row>
    <row r="875" spans="3:17">
      <c r="C875" t="s">
        <v>297</v>
      </c>
      <c r="D875" t="s">
        <v>299</v>
      </c>
      <c r="E875">
        <v>7550080000</v>
      </c>
      <c r="H875" t="s">
        <v>973</v>
      </c>
      <c r="K875" s="1633">
        <v>211953525</v>
      </c>
      <c r="M875" s="1633">
        <v>453282223</v>
      </c>
      <c r="O875" s="1633">
        <v>-241328698</v>
      </c>
      <c r="Q875">
        <v>-53.2</v>
      </c>
    </row>
    <row r="876" spans="3:17">
      <c r="C876" t="s">
        <v>297</v>
      </c>
      <c r="D876" t="s">
        <v>299</v>
      </c>
      <c r="E876">
        <v>7550901000</v>
      </c>
      <c r="H876" t="s">
        <v>974</v>
      </c>
      <c r="K876" s="1633">
        <v>29997641</v>
      </c>
      <c r="M876" s="1633">
        <v>199267736</v>
      </c>
      <c r="O876" s="1633">
        <v>-169270095</v>
      </c>
      <c r="Q876">
        <v>-84.9</v>
      </c>
    </row>
    <row r="877" spans="3:17">
      <c r="C877" t="s">
        <v>297</v>
      </c>
      <c r="D877" t="s">
        <v>299</v>
      </c>
      <c r="E877">
        <v>7550902000</v>
      </c>
      <c r="H877" t="s">
        <v>975</v>
      </c>
      <c r="K877" s="1633">
        <v>50853245</v>
      </c>
      <c r="M877" s="1633">
        <v>1814886814</v>
      </c>
      <c r="O877" s="1633">
        <v>-1764033569</v>
      </c>
      <c r="Q877">
        <v>-97.2</v>
      </c>
    </row>
    <row r="878" spans="3:17">
      <c r="C878" t="s">
        <v>297</v>
      </c>
      <c r="D878" t="s">
        <v>299</v>
      </c>
      <c r="E878">
        <v>7550903000</v>
      </c>
      <c r="H878" t="s">
        <v>2505</v>
      </c>
      <c r="K878" s="1633">
        <v>288510517</v>
      </c>
      <c r="M878" s="1633">
        <v>0</v>
      </c>
      <c r="O878" s="1633">
        <v>288510517</v>
      </c>
    </row>
    <row r="879" spans="3:17">
      <c r="C879" t="s">
        <v>297</v>
      </c>
      <c r="D879" t="s">
        <v>299</v>
      </c>
      <c r="E879">
        <v>7560020000</v>
      </c>
      <c r="H879" t="s">
        <v>976</v>
      </c>
      <c r="K879" s="1633">
        <v>150954582</v>
      </c>
      <c r="M879" s="1633">
        <v>895858162</v>
      </c>
      <c r="O879" s="1633">
        <v>-744903580</v>
      </c>
      <c r="Q879">
        <v>-83.1</v>
      </c>
    </row>
    <row r="880" spans="3:17">
      <c r="C880" t="s">
        <v>297</v>
      </c>
      <c r="D880" t="s">
        <v>299</v>
      </c>
      <c r="E880">
        <v>7560040000</v>
      </c>
      <c r="H880" t="s">
        <v>977</v>
      </c>
      <c r="K880" s="1633">
        <v>155980194</v>
      </c>
      <c r="M880" s="1633">
        <v>483424949</v>
      </c>
      <c r="O880" s="1633">
        <v>-327444755</v>
      </c>
      <c r="Q880">
        <v>-67.7</v>
      </c>
    </row>
    <row r="881" spans="3:17">
      <c r="C881" t="s">
        <v>297</v>
      </c>
      <c r="D881" t="s">
        <v>299</v>
      </c>
      <c r="E881">
        <v>7560080000</v>
      </c>
      <c r="H881" t="s">
        <v>978</v>
      </c>
      <c r="K881" s="1633">
        <v>12882786</v>
      </c>
      <c r="M881" s="1633">
        <v>34431377</v>
      </c>
      <c r="O881" s="1633">
        <v>-21548591</v>
      </c>
      <c r="Q881">
        <v>-62.6</v>
      </c>
    </row>
    <row r="882" spans="3:17">
      <c r="C882" t="s">
        <v>297</v>
      </c>
      <c r="D882" t="s">
        <v>299</v>
      </c>
      <c r="E882">
        <v>7560090100</v>
      </c>
      <c r="H882" t="s">
        <v>979</v>
      </c>
      <c r="K882" s="1633">
        <v>0</v>
      </c>
      <c r="M882" s="1633">
        <v>244064359</v>
      </c>
      <c r="O882" s="1633">
        <v>-244064359</v>
      </c>
      <c r="Q882">
        <v>-100</v>
      </c>
    </row>
    <row r="883" spans="3:17">
      <c r="C883" t="s">
        <v>297</v>
      </c>
      <c r="D883" t="s">
        <v>299</v>
      </c>
      <c r="E883">
        <v>7560900500</v>
      </c>
      <c r="H883" t="s">
        <v>980</v>
      </c>
      <c r="K883" s="1633">
        <v>13821091068</v>
      </c>
      <c r="M883" s="1633">
        <v>34678110344</v>
      </c>
      <c r="O883" s="1633">
        <v>-20857019276</v>
      </c>
      <c r="Q883">
        <v>-60.1</v>
      </c>
    </row>
    <row r="884" spans="3:17">
      <c r="C884" t="s">
        <v>297</v>
      </c>
      <c r="D884" t="s">
        <v>299</v>
      </c>
      <c r="E884">
        <v>7560901200</v>
      </c>
      <c r="H884" t="s">
        <v>981</v>
      </c>
      <c r="K884" s="1633">
        <v>6448453</v>
      </c>
      <c r="M884" s="1633">
        <v>12896907</v>
      </c>
      <c r="O884" s="1633">
        <v>-6448454</v>
      </c>
      <c r="Q884">
        <v>-50</v>
      </c>
    </row>
    <row r="885" spans="3:17">
      <c r="C885" t="s">
        <v>297</v>
      </c>
      <c r="D885" t="s">
        <v>299</v>
      </c>
      <c r="E885">
        <v>7560901300</v>
      </c>
      <c r="H885" t="s">
        <v>982</v>
      </c>
      <c r="K885" s="1633">
        <v>891170295</v>
      </c>
      <c r="M885" s="1633">
        <v>2439763008</v>
      </c>
      <c r="O885" s="1633">
        <v>-1548592713</v>
      </c>
      <c r="Q885">
        <v>-63.5</v>
      </c>
    </row>
    <row r="886" spans="3:17">
      <c r="C886" t="s">
        <v>297</v>
      </c>
      <c r="D886" t="s">
        <v>299</v>
      </c>
      <c r="E886">
        <v>7560901400</v>
      </c>
      <c r="H886" t="s">
        <v>983</v>
      </c>
      <c r="K886" s="1633">
        <v>20431073</v>
      </c>
      <c r="M886" s="1633">
        <v>48069190</v>
      </c>
      <c r="O886" s="1633">
        <v>-27638117</v>
      </c>
      <c r="Q886">
        <v>-57.5</v>
      </c>
    </row>
    <row r="887" spans="3:17">
      <c r="C887" t="s">
        <v>297</v>
      </c>
      <c r="D887" t="s">
        <v>299</v>
      </c>
      <c r="E887">
        <v>7560901500</v>
      </c>
      <c r="H887" t="s">
        <v>984</v>
      </c>
      <c r="K887" s="1633">
        <v>15128790</v>
      </c>
      <c r="M887" s="1633">
        <v>187758336</v>
      </c>
      <c r="O887" s="1633">
        <v>-172629546</v>
      </c>
      <c r="Q887">
        <v>-91.9</v>
      </c>
    </row>
    <row r="888" spans="3:17">
      <c r="C888" t="s">
        <v>297</v>
      </c>
      <c r="D888" t="s">
        <v>299</v>
      </c>
      <c r="E888">
        <v>7560901600</v>
      </c>
      <c r="H888" t="s">
        <v>985</v>
      </c>
      <c r="K888" s="1633">
        <v>0</v>
      </c>
      <c r="M888" s="1633">
        <v>6343200</v>
      </c>
      <c r="O888" s="1633">
        <v>-6343200</v>
      </c>
      <c r="Q888">
        <v>-100</v>
      </c>
    </row>
    <row r="889" spans="3:17">
      <c r="C889" t="s">
        <v>297</v>
      </c>
      <c r="D889" t="s">
        <v>299</v>
      </c>
      <c r="E889">
        <v>7565030000</v>
      </c>
      <c r="H889" t="s">
        <v>986</v>
      </c>
      <c r="K889" s="1633">
        <v>7193800</v>
      </c>
      <c r="M889" s="1633">
        <v>797935792</v>
      </c>
      <c r="O889" s="1633">
        <v>-790741992</v>
      </c>
      <c r="Q889">
        <v>-99.1</v>
      </c>
    </row>
    <row r="890" spans="3:17">
      <c r="C890" t="s">
        <v>297</v>
      </c>
      <c r="D890" t="s">
        <v>299</v>
      </c>
      <c r="E890">
        <v>7565050000</v>
      </c>
      <c r="H890" t="s">
        <v>987</v>
      </c>
      <c r="K890" s="1633">
        <v>3411900</v>
      </c>
      <c r="M890" s="1633">
        <v>3884460</v>
      </c>
      <c r="O890" s="1633">
        <v>-472560</v>
      </c>
      <c r="Q890">
        <v>-12.2</v>
      </c>
    </row>
    <row r="891" spans="3:17">
      <c r="C891" t="s">
        <v>297</v>
      </c>
      <c r="D891" t="s">
        <v>299</v>
      </c>
      <c r="E891">
        <v>7565900100</v>
      </c>
      <c r="H891" t="s">
        <v>988</v>
      </c>
      <c r="K891" s="1633">
        <v>2243990000</v>
      </c>
      <c r="M891" s="1633">
        <v>1127758500</v>
      </c>
      <c r="O891" s="1633">
        <v>1116231500</v>
      </c>
      <c r="Q891">
        <v>99</v>
      </c>
    </row>
    <row r="892" spans="3:17">
      <c r="C892" t="s">
        <v>297</v>
      </c>
      <c r="D892" t="s">
        <v>299</v>
      </c>
      <c r="E892">
        <v>7565900200</v>
      </c>
      <c r="H892" t="s">
        <v>1375</v>
      </c>
      <c r="K892" s="1633">
        <v>858173</v>
      </c>
      <c r="M892" s="1633">
        <v>809115</v>
      </c>
      <c r="O892" s="1633">
        <v>49058</v>
      </c>
      <c r="Q892">
        <v>6.1</v>
      </c>
    </row>
    <row r="893" spans="3:17">
      <c r="C893" t="s">
        <v>297</v>
      </c>
      <c r="D893" t="s">
        <v>299</v>
      </c>
      <c r="E893">
        <v>7565900300</v>
      </c>
      <c r="H893" t="s">
        <v>989</v>
      </c>
      <c r="K893" s="1633">
        <v>45333244</v>
      </c>
      <c r="M893" s="1633">
        <v>1920587</v>
      </c>
      <c r="O893" s="1633">
        <v>43412657</v>
      </c>
      <c r="Q893">
        <v>2260.4</v>
      </c>
    </row>
    <row r="894" spans="3:17">
      <c r="C894" t="s">
        <v>297</v>
      </c>
      <c r="D894" t="s">
        <v>299</v>
      </c>
      <c r="E894">
        <v>7565900500</v>
      </c>
      <c r="H894" t="s">
        <v>990</v>
      </c>
      <c r="K894" s="1633">
        <v>0</v>
      </c>
      <c r="M894" s="1633">
        <v>14154835</v>
      </c>
      <c r="O894" s="1633">
        <v>-14154835</v>
      </c>
      <c r="Q894">
        <v>-100</v>
      </c>
    </row>
    <row r="895" spans="3:17">
      <c r="C895" t="s">
        <v>297</v>
      </c>
      <c r="D895" t="s">
        <v>299</v>
      </c>
      <c r="E895">
        <v>7570010000</v>
      </c>
      <c r="H895" t="s">
        <v>991</v>
      </c>
      <c r="K895" s="1633">
        <v>1374038507</v>
      </c>
      <c r="M895" s="1633">
        <v>3598518750</v>
      </c>
      <c r="O895" s="1633">
        <v>-2224480243</v>
      </c>
      <c r="Q895">
        <v>-61.8</v>
      </c>
    </row>
    <row r="896" spans="3:17">
      <c r="C896" t="s">
        <v>297</v>
      </c>
      <c r="D896" t="s">
        <v>299</v>
      </c>
      <c r="E896">
        <v>7570020000</v>
      </c>
      <c r="H896" t="s">
        <v>992</v>
      </c>
      <c r="K896" s="1633">
        <v>4336673278</v>
      </c>
      <c r="M896" s="1633">
        <v>13157762247</v>
      </c>
      <c r="O896" s="1633">
        <v>-8821088969</v>
      </c>
      <c r="Q896">
        <v>-67</v>
      </c>
    </row>
    <row r="897" spans="3:18">
      <c r="C897" t="s">
        <v>297</v>
      </c>
      <c r="D897" t="s">
        <v>299</v>
      </c>
      <c r="E897">
        <v>7570030000</v>
      </c>
      <c r="H897" t="s">
        <v>993</v>
      </c>
      <c r="K897" s="1633">
        <v>1987652968</v>
      </c>
      <c r="M897" s="1633">
        <v>5705070727</v>
      </c>
      <c r="O897" s="1633">
        <v>-3717417759</v>
      </c>
      <c r="Q897">
        <v>-65.2</v>
      </c>
    </row>
    <row r="898" spans="3:18">
      <c r="E898" t="s">
        <v>994</v>
      </c>
      <c r="K898" s="1633">
        <v>120810315240</v>
      </c>
      <c r="M898" s="1633">
        <v>330259957195</v>
      </c>
      <c r="O898" s="1633">
        <v>-209449641955</v>
      </c>
      <c r="Q898">
        <v>-63.4</v>
      </c>
      <c r="R898" t="s">
        <v>327</v>
      </c>
    </row>
    <row r="899" spans="3:18">
      <c r="E899" t="s">
        <v>995</v>
      </c>
      <c r="K899" s="1633">
        <v>553147842144</v>
      </c>
      <c r="M899" s="1633">
        <v>1601979764679</v>
      </c>
      <c r="O899" s="1633">
        <v>-1048831922535</v>
      </c>
      <c r="Q899">
        <v>-65.5</v>
      </c>
      <c r="R899" t="s">
        <v>362</v>
      </c>
    </row>
    <row r="900" spans="3:18">
      <c r="E900" t="s">
        <v>996</v>
      </c>
      <c r="K900" s="1633">
        <v>-1180634015254</v>
      </c>
      <c r="M900" s="1633">
        <v>-3215010164911</v>
      </c>
      <c r="O900" s="1633">
        <v>2034376149657</v>
      </c>
      <c r="Q900">
        <v>63.3</v>
      </c>
      <c r="R900" t="s">
        <v>392</v>
      </c>
    </row>
    <row r="902" spans="3:18">
      <c r="E902" t="s">
        <v>997</v>
      </c>
    </row>
    <row r="903" spans="3:18">
      <c r="C903" t="s">
        <v>297</v>
      </c>
      <c r="D903" t="s">
        <v>299</v>
      </c>
      <c r="E903">
        <v>4805270000</v>
      </c>
      <c r="H903" t="s">
        <v>1339</v>
      </c>
      <c r="K903" s="1633">
        <v>0</v>
      </c>
      <c r="M903" s="1633">
        <v>-5086822</v>
      </c>
      <c r="O903" s="1633">
        <v>5086822</v>
      </c>
      <c r="Q903">
        <v>100</v>
      </c>
    </row>
    <row r="904" spans="3:18">
      <c r="C904" t="s">
        <v>297</v>
      </c>
      <c r="D904" t="s">
        <v>299</v>
      </c>
      <c r="E904">
        <v>4808050100</v>
      </c>
      <c r="H904" t="s">
        <v>998</v>
      </c>
      <c r="K904" s="1633">
        <v>0</v>
      </c>
      <c r="M904" s="1633">
        <v>-491471441</v>
      </c>
      <c r="O904" s="1633">
        <v>491471441</v>
      </c>
      <c r="Q904">
        <v>100</v>
      </c>
    </row>
    <row r="905" spans="3:18">
      <c r="C905" t="s">
        <v>297</v>
      </c>
      <c r="D905" t="s">
        <v>299</v>
      </c>
      <c r="E905">
        <v>4808130300</v>
      </c>
      <c r="H905" t="s">
        <v>999</v>
      </c>
      <c r="K905" s="1633">
        <v>-10169653</v>
      </c>
      <c r="M905" s="1633">
        <v>-28543730</v>
      </c>
      <c r="O905" s="1633">
        <v>18374077</v>
      </c>
      <c r="Q905">
        <v>64.400000000000006</v>
      </c>
    </row>
    <row r="906" spans="3:18">
      <c r="C906" t="s">
        <v>297</v>
      </c>
      <c r="D906" t="s">
        <v>299</v>
      </c>
      <c r="E906">
        <v>4810070000</v>
      </c>
      <c r="H906" t="s">
        <v>1000</v>
      </c>
      <c r="K906" s="1633">
        <v>-195</v>
      </c>
      <c r="M906" s="1633">
        <v>-31134</v>
      </c>
      <c r="O906" s="1633">
        <v>30939</v>
      </c>
      <c r="Q906">
        <v>99.4</v>
      </c>
    </row>
    <row r="907" spans="3:18">
      <c r="C907" t="s">
        <v>297</v>
      </c>
      <c r="D907" t="s">
        <v>299</v>
      </c>
      <c r="E907">
        <v>4810080000</v>
      </c>
      <c r="H907" t="s">
        <v>1001</v>
      </c>
      <c r="K907" s="1633">
        <v>-769772357</v>
      </c>
      <c r="M907" s="1633">
        <v>-3552270028</v>
      </c>
      <c r="O907" s="1633">
        <v>2782497671</v>
      </c>
      <c r="Q907">
        <v>78.3</v>
      </c>
    </row>
    <row r="908" spans="3:18">
      <c r="C908" t="s">
        <v>297</v>
      </c>
      <c r="D908" t="s">
        <v>299</v>
      </c>
      <c r="E908">
        <v>4810080010</v>
      </c>
      <c r="H908" t="s">
        <v>1002</v>
      </c>
      <c r="K908" s="1633">
        <v>0</v>
      </c>
      <c r="M908" s="1633">
        <v>-4522837</v>
      </c>
      <c r="O908" s="1633">
        <v>4522837</v>
      </c>
      <c r="Q908">
        <v>100</v>
      </c>
    </row>
    <row r="909" spans="3:18">
      <c r="C909" t="s">
        <v>297</v>
      </c>
      <c r="D909" t="s">
        <v>299</v>
      </c>
      <c r="E909">
        <v>4810080200</v>
      </c>
      <c r="H909" t="s">
        <v>1003</v>
      </c>
      <c r="K909" s="1633">
        <v>-4808245629</v>
      </c>
      <c r="M909" s="1633">
        <v>-520764546</v>
      </c>
      <c r="O909" s="1633">
        <v>-4287481083</v>
      </c>
      <c r="Q909">
        <v>-823.3</v>
      </c>
    </row>
    <row r="910" spans="3:18">
      <c r="C910" t="s">
        <v>297</v>
      </c>
      <c r="D910" t="s">
        <v>299</v>
      </c>
      <c r="E910">
        <v>4810380100</v>
      </c>
      <c r="H910" t="s">
        <v>1004</v>
      </c>
      <c r="K910" s="1633">
        <v>-66097885</v>
      </c>
      <c r="M910" s="1633">
        <v>-23666502</v>
      </c>
      <c r="O910" s="1633">
        <v>-42431383</v>
      </c>
      <c r="Q910">
        <v>-179.3</v>
      </c>
    </row>
    <row r="911" spans="3:18">
      <c r="C911" t="s">
        <v>297</v>
      </c>
      <c r="D911" t="s">
        <v>299</v>
      </c>
      <c r="E911">
        <v>4810900100</v>
      </c>
      <c r="H911" t="s">
        <v>1005</v>
      </c>
      <c r="K911" s="1633">
        <v>-17131738</v>
      </c>
      <c r="M911" s="1633">
        <v>-47441110</v>
      </c>
      <c r="O911" s="1633">
        <v>30309372</v>
      </c>
      <c r="Q911">
        <v>63.9</v>
      </c>
    </row>
    <row r="912" spans="3:18">
      <c r="C912" t="s">
        <v>297</v>
      </c>
      <c r="D912" t="s">
        <v>299</v>
      </c>
      <c r="E912">
        <v>4810900300</v>
      </c>
      <c r="H912" t="s">
        <v>1006</v>
      </c>
      <c r="K912" s="1633">
        <v>-80190477</v>
      </c>
      <c r="M912" s="1633">
        <v>-288356336</v>
      </c>
      <c r="O912" s="1633">
        <v>208165859</v>
      </c>
      <c r="Q912">
        <v>72.2</v>
      </c>
    </row>
    <row r="913" spans="3:18">
      <c r="C913" t="s">
        <v>297</v>
      </c>
      <c r="D913" t="s">
        <v>299</v>
      </c>
      <c r="E913">
        <v>4810909000</v>
      </c>
      <c r="H913" t="s">
        <v>1007</v>
      </c>
      <c r="K913" s="1633">
        <v>-18081524</v>
      </c>
      <c r="M913" s="1633">
        <v>-101261133</v>
      </c>
      <c r="O913" s="1633">
        <v>83179609</v>
      </c>
      <c r="Q913">
        <v>82.1</v>
      </c>
    </row>
    <row r="914" spans="3:18">
      <c r="C914" t="s">
        <v>297</v>
      </c>
      <c r="D914" t="s">
        <v>299</v>
      </c>
      <c r="E914">
        <v>4810909100</v>
      </c>
      <c r="H914" t="s">
        <v>1008</v>
      </c>
      <c r="K914" s="1633">
        <v>-2</v>
      </c>
      <c r="M914" s="1633">
        <v>-18020706</v>
      </c>
      <c r="O914" s="1633">
        <v>18020704</v>
      </c>
      <c r="Q914">
        <v>100</v>
      </c>
    </row>
    <row r="915" spans="3:18">
      <c r="C915" t="s">
        <v>297</v>
      </c>
      <c r="D915" t="s">
        <v>299</v>
      </c>
      <c r="E915">
        <v>4815590100</v>
      </c>
      <c r="H915" t="s">
        <v>2506</v>
      </c>
      <c r="K915" s="1633">
        <v>-84051100</v>
      </c>
      <c r="M915" s="1633">
        <v>0</v>
      </c>
      <c r="O915" s="1633">
        <v>-84051100</v>
      </c>
    </row>
    <row r="916" spans="3:18">
      <c r="E916" t="s">
        <v>1009</v>
      </c>
      <c r="K916" s="1633">
        <v>-5853740560</v>
      </c>
      <c r="M916" s="1633">
        <v>-5081436325</v>
      </c>
      <c r="O916" s="1633">
        <v>-772304235</v>
      </c>
      <c r="Q916">
        <v>-15.2</v>
      </c>
      <c r="R916" t="s">
        <v>392</v>
      </c>
    </row>
    <row r="918" spans="3:18">
      <c r="E918" t="s">
        <v>1010</v>
      </c>
    </row>
    <row r="919" spans="3:18">
      <c r="C919" t="s">
        <v>297</v>
      </c>
      <c r="D919" t="s">
        <v>299</v>
      </c>
      <c r="E919">
        <v>5101010000</v>
      </c>
      <c r="H919" t="s">
        <v>1011</v>
      </c>
      <c r="K919" s="1633">
        <v>5266074505</v>
      </c>
      <c r="M919" s="1633">
        <v>13841064039</v>
      </c>
      <c r="O919" s="1633">
        <v>-8574989534</v>
      </c>
      <c r="Q919">
        <v>-62</v>
      </c>
    </row>
    <row r="920" spans="3:18">
      <c r="C920" t="s">
        <v>297</v>
      </c>
      <c r="D920" t="s">
        <v>299</v>
      </c>
      <c r="E920">
        <v>5101030000</v>
      </c>
      <c r="H920" t="s">
        <v>1012</v>
      </c>
      <c r="K920" s="1633">
        <v>25023356</v>
      </c>
      <c r="M920" s="1633">
        <v>84943370</v>
      </c>
      <c r="O920" s="1633">
        <v>-59920014</v>
      </c>
      <c r="Q920">
        <v>-70.5</v>
      </c>
    </row>
    <row r="921" spans="3:18">
      <c r="C921" t="s">
        <v>297</v>
      </c>
      <c r="D921" t="s">
        <v>299</v>
      </c>
      <c r="E921">
        <v>5101095000</v>
      </c>
      <c r="H921" t="s">
        <v>1013</v>
      </c>
      <c r="K921" s="1633">
        <v>107433936</v>
      </c>
      <c r="M921" s="1633">
        <v>330541956</v>
      </c>
      <c r="O921" s="1633">
        <v>-223108020</v>
      </c>
      <c r="Q921">
        <v>-67.5</v>
      </c>
    </row>
    <row r="922" spans="3:18">
      <c r="C922" t="s">
        <v>297</v>
      </c>
      <c r="D922" t="s">
        <v>299</v>
      </c>
      <c r="E922">
        <v>5101130000</v>
      </c>
      <c r="H922" t="s">
        <v>1014</v>
      </c>
      <c r="K922" s="1633">
        <v>945814875</v>
      </c>
      <c r="M922" s="1633">
        <v>1457529785</v>
      </c>
      <c r="O922" s="1633">
        <v>-511714910</v>
      </c>
      <c r="Q922">
        <v>-35.1</v>
      </c>
    </row>
    <row r="923" spans="3:18">
      <c r="C923" t="s">
        <v>297</v>
      </c>
      <c r="D923" t="s">
        <v>299</v>
      </c>
      <c r="E923">
        <v>5101170000</v>
      </c>
      <c r="H923" t="s">
        <v>892</v>
      </c>
      <c r="K923" s="1633">
        <v>801423373</v>
      </c>
      <c r="M923" s="1633">
        <v>1783590804</v>
      </c>
      <c r="O923" s="1633">
        <v>-982167431</v>
      </c>
      <c r="Q923">
        <v>-55.1</v>
      </c>
    </row>
    <row r="924" spans="3:18">
      <c r="C924" t="s">
        <v>297</v>
      </c>
      <c r="D924" t="s">
        <v>299</v>
      </c>
      <c r="E924">
        <v>5101190000</v>
      </c>
      <c r="H924" t="s">
        <v>893</v>
      </c>
      <c r="K924" s="1633">
        <v>124528721</v>
      </c>
      <c r="M924" s="1633">
        <v>376869293</v>
      </c>
      <c r="O924" s="1633">
        <v>-252340572</v>
      </c>
      <c r="Q924">
        <v>-67</v>
      </c>
    </row>
    <row r="925" spans="3:18">
      <c r="C925" t="s">
        <v>297</v>
      </c>
      <c r="D925" t="s">
        <v>299</v>
      </c>
      <c r="E925">
        <v>5101190100</v>
      </c>
      <c r="H925" t="s">
        <v>1015</v>
      </c>
      <c r="K925" s="1633">
        <v>13929888</v>
      </c>
      <c r="M925" s="1633">
        <v>131004223</v>
      </c>
      <c r="O925" s="1633">
        <v>-117074335</v>
      </c>
      <c r="Q925">
        <v>-89.4</v>
      </c>
    </row>
    <row r="926" spans="3:18">
      <c r="C926" t="s">
        <v>297</v>
      </c>
      <c r="D926" t="s">
        <v>299</v>
      </c>
      <c r="E926">
        <v>5101190110</v>
      </c>
      <c r="H926" t="s">
        <v>1015</v>
      </c>
      <c r="K926" s="1633">
        <v>2128000000</v>
      </c>
      <c r="M926" s="1633">
        <v>0</v>
      </c>
      <c r="O926" s="1633">
        <v>2128000000</v>
      </c>
    </row>
    <row r="927" spans="3:18">
      <c r="C927" t="s">
        <v>297</v>
      </c>
      <c r="D927" t="s">
        <v>299</v>
      </c>
      <c r="E927">
        <v>5101230000</v>
      </c>
      <c r="H927" t="s">
        <v>1234</v>
      </c>
      <c r="K927" s="1633">
        <v>829575</v>
      </c>
      <c r="M927" s="1633">
        <v>1390443</v>
      </c>
      <c r="O927" s="1633">
        <v>-560868</v>
      </c>
      <c r="Q927">
        <v>-40.299999999999997</v>
      </c>
    </row>
    <row r="928" spans="3:18">
      <c r="C928" t="s">
        <v>297</v>
      </c>
      <c r="D928" t="s">
        <v>299</v>
      </c>
      <c r="E928">
        <v>5101240000</v>
      </c>
      <c r="H928" t="s">
        <v>1017</v>
      </c>
      <c r="K928" s="1633">
        <v>542981128</v>
      </c>
      <c r="M928" s="1633">
        <v>1933040592</v>
      </c>
      <c r="O928" s="1633">
        <v>-1390059464</v>
      </c>
      <c r="Q928">
        <v>-71.900000000000006</v>
      </c>
    </row>
    <row r="929" spans="3:17">
      <c r="C929" t="s">
        <v>297</v>
      </c>
      <c r="D929" t="s">
        <v>299</v>
      </c>
      <c r="E929">
        <v>5101241000</v>
      </c>
      <c r="H929" t="s">
        <v>1018</v>
      </c>
      <c r="K929" s="1633">
        <v>4123740</v>
      </c>
      <c r="M929" s="1633">
        <v>12692535</v>
      </c>
      <c r="O929" s="1633">
        <v>-8568795</v>
      </c>
      <c r="Q929">
        <v>-67.5</v>
      </c>
    </row>
    <row r="930" spans="3:17">
      <c r="C930" t="s">
        <v>297</v>
      </c>
      <c r="D930" t="s">
        <v>299</v>
      </c>
      <c r="E930">
        <v>5101250000</v>
      </c>
      <c r="H930" t="s">
        <v>899</v>
      </c>
      <c r="K930" s="1633">
        <v>183425663</v>
      </c>
      <c r="M930" s="1633">
        <v>304658136</v>
      </c>
      <c r="O930" s="1633">
        <v>-121232473</v>
      </c>
      <c r="Q930">
        <v>-39.799999999999997</v>
      </c>
    </row>
    <row r="931" spans="3:17">
      <c r="C931" t="s">
        <v>297</v>
      </c>
      <c r="D931" t="s">
        <v>299</v>
      </c>
      <c r="E931">
        <v>5101300000</v>
      </c>
      <c r="H931" t="s">
        <v>1019</v>
      </c>
      <c r="K931" s="1633">
        <v>48105581</v>
      </c>
      <c r="M931" s="1633">
        <v>227353721</v>
      </c>
      <c r="O931" s="1633">
        <v>-179248140</v>
      </c>
      <c r="Q931">
        <v>-78.8</v>
      </c>
    </row>
    <row r="932" spans="3:17">
      <c r="C932" t="s">
        <v>297</v>
      </c>
      <c r="D932" t="s">
        <v>299</v>
      </c>
      <c r="E932">
        <v>5101300100</v>
      </c>
      <c r="H932" t="s">
        <v>901</v>
      </c>
      <c r="K932" s="1633">
        <v>90630158</v>
      </c>
      <c r="M932" s="1633">
        <v>39461448</v>
      </c>
      <c r="O932" s="1633">
        <v>51168710</v>
      </c>
      <c r="Q932">
        <v>129.69999999999999</v>
      </c>
    </row>
    <row r="933" spans="3:17">
      <c r="C933" t="s">
        <v>297</v>
      </c>
      <c r="D933" t="s">
        <v>299</v>
      </c>
      <c r="E933">
        <v>5101310000</v>
      </c>
      <c r="H933" t="s">
        <v>902</v>
      </c>
      <c r="K933" s="1633">
        <v>18434367</v>
      </c>
      <c r="M933" s="1633">
        <v>158120569</v>
      </c>
      <c r="O933" s="1633">
        <v>-139686202</v>
      </c>
      <c r="Q933">
        <v>-88.3</v>
      </c>
    </row>
    <row r="934" spans="3:17">
      <c r="C934" t="s">
        <v>297</v>
      </c>
      <c r="D934" t="s">
        <v>299</v>
      </c>
      <c r="E934">
        <v>5101330000</v>
      </c>
      <c r="H934" t="s">
        <v>1020</v>
      </c>
      <c r="K934" s="1633">
        <v>126982327</v>
      </c>
      <c r="M934" s="1633">
        <v>547284426</v>
      </c>
      <c r="O934" s="1633">
        <v>-420302099</v>
      </c>
      <c r="Q934">
        <v>-76.8</v>
      </c>
    </row>
    <row r="935" spans="3:17">
      <c r="C935" t="s">
        <v>297</v>
      </c>
      <c r="D935" t="s">
        <v>299</v>
      </c>
      <c r="E935">
        <v>5101450000</v>
      </c>
      <c r="H935" t="s">
        <v>915</v>
      </c>
      <c r="K935" s="1633">
        <v>4291362236</v>
      </c>
      <c r="M935" s="1633">
        <v>11233692191</v>
      </c>
      <c r="O935" s="1633">
        <v>-6942329955</v>
      </c>
      <c r="Q935">
        <v>-61.8</v>
      </c>
    </row>
    <row r="936" spans="3:17">
      <c r="C936" t="s">
        <v>297</v>
      </c>
      <c r="D936" t="s">
        <v>299</v>
      </c>
      <c r="E936">
        <v>5101460000</v>
      </c>
      <c r="H936" t="s">
        <v>916</v>
      </c>
      <c r="K936" s="1633">
        <v>107272408</v>
      </c>
      <c r="M936" s="1633">
        <v>572281357</v>
      </c>
      <c r="O936" s="1633">
        <v>-465008949</v>
      </c>
      <c r="Q936">
        <v>-81.3</v>
      </c>
    </row>
    <row r="937" spans="3:17">
      <c r="C937" t="s">
        <v>297</v>
      </c>
      <c r="D937" t="s">
        <v>299</v>
      </c>
      <c r="E937">
        <v>5101460100</v>
      </c>
      <c r="H937" t="s">
        <v>917</v>
      </c>
      <c r="K937" s="1633">
        <v>182338678</v>
      </c>
      <c r="M937" s="1633">
        <v>436139516</v>
      </c>
      <c r="O937" s="1633">
        <v>-253800838</v>
      </c>
      <c r="Q937">
        <v>-58.2</v>
      </c>
    </row>
    <row r="938" spans="3:17">
      <c r="C938" t="s">
        <v>297</v>
      </c>
      <c r="D938" t="s">
        <v>299</v>
      </c>
      <c r="E938">
        <v>5101470000</v>
      </c>
      <c r="H938" t="s">
        <v>918</v>
      </c>
      <c r="K938" s="1633">
        <v>52746542</v>
      </c>
      <c r="M938" s="1633">
        <v>119016879</v>
      </c>
      <c r="O938" s="1633">
        <v>-66270337</v>
      </c>
      <c r="Q938">
        <v>-55.7</v>
      </c>
    </row>
    <row r="939" spans="3:17">
      <c r="C939" t="s">
        <v>297</v>
      </c>
      <c r="D939" t="s">
        <v>299</v>
      </c>
      <c r="E939">
        <v>5101471000</v>
      </c>
      <c r="H939" t="s">
        <v>1021</v>
      </c>
      <c r="K939" s="1633">
        <v>12366121</v>
      </c>
      <c r="M939" s="1633">
        <v>75262772</v>
      </c>
      <c r="O939" s="1633">
        <v>-62896651</v>
      </c>
      <c r="Q939">
        <v>-83.6</v>
      </c>
    </row>
    <row r="940" spans="3:17">
      <c r="C940" t="s">
        <v>297</v>
      </c>
      <c r="D940" t="s">
        <v>299</v>
      </c>
      <c r="E940">
        <v>5101480000</v>
      </c>
      <c r="H940" t="s">
        <v>920</v>
      </c>
      <c r="K940" s="1633">
        <v>82799436</v>
      </c>
      <c r="M940" s="1633">
        <v>286965482</v>
      </c>
      <c r="O940" s="1633">
        <v>-204166046</v>
      </c>
      <c r="Q940">
        <v>-71.099999999999994</v>
      </c>
    </row>
    <row r="941" spans="3:17">
      <c r="C941" t="s">
        <v>297</v>
      </c>
      <c r="D941" t="s">
        <v>299</v>
      </c>
      <c r="E941">
        <v>5101481000</v>
      </c>
      <c r="H941" t="s">
        <v>1022</v>
      </c>
      <c r="K941" s="1633">
        <v>11295031</v>
      </c>
      <c r="M941" s="1633">
        <v>56473900</v>
      </c>
      <c r="O941" s="1633">
        <v>-45178869</v>
      </c>
      <c r="Q941">
        <v>-80</v>
      </c>
    </row>
    <row r="942" spans="3:17">
      <c r="C942" t="s">
        <v>297</v>
      </c>
      <c r="D942" t="s">
        <v>299</v>
      </c>
      <c r="E942">
        <v>5101510100</v>
      </c>
      <c r="H942" t="s">
        <v>925</v>
      </c>
      <c r="K942" s="1633">
        <v>1845144984</v>
      </c>
      <c r="M942" s="1633">
        <v>4496110740</v>
      </c>
      <c r="O942" s="1633">
        <v>-2650965756</v>
      </c>
      <c r="Q942">
        <v>-59</v>
      </c>
    </row>
    <row r="943" spans="3:17">
      <c r="C943" t="s">
        <v>297</v>
      </c>
      <c r="D943" t="s">
        <v>299</v>
      </c>
      <c r="E943">
        <v>5101510200</v>
      </c>
      <c r="H943" t="s">
        <v>926</v>
      </c>
      <c r="K943" s="1633">
        <v>274178004</v>
      </c>
      <c r="M943" s="1633">
        <v>1264075059</v>
      </c>
      <c r="O943" s="1633">
        <v>-989897055</v>
      </c>
      <c r="Q943">
        <v>-78.3</v>
      </c>
    </row>
    <row r="944" spans="3:17">
      <c r="C944" t="s">
        <v>297</v>
      </c>
      <c r="D944" t="s">
        <v>299</v>
      </c>
      <c r="E944">
        <v>5101520000</v>
      </c>
      <c r="H944" t="s">
        <v>922</v>
      </c>
      <c r="K944" s="1633">
        <v>863746550</v>
      </c>
      <c r="M944" s="1633">
        <v>2045742832</v>
      </c>
      <c r="O944" s="1633">
        <v>-1181996282</v>
      </c>
      <c r="Q944">
        <v>-57.8</v>
      </c>
    </row>
    <row r="945" spans="3:17">
      <c r="C945" t="s">
        <v>297</v>
      </c>
      <c r="D945" t="s">
        <v>299</v>
      </c>
      <c r="E945">
        <v>5101600000</v>
      </c>
      <c r="H945" t="s">
        <v>1023</v>
      </c>
      <c r="K945" s="1633">
        <v>432577200</v>
      </c>
      <c r="M945" s="1633">
        <v>1121538720</v>
      </c>
      <c r="O945" s="1633">
        <v>-688961520</v>
      </c>
      <c r="Q945">
        <v>-61.4</v>
      </c>
    </row>
    <row r="946" spans="3:17">
      <c r="C946" t="s">
        <v>297</v>
      </c>
      <c r="D946" t="s">
        <v>299</v>
      </c>
      <c r="E946">
        <v>5101640100</v>
      </c>
      <c r="H946" t="s">
        <v>1024</v>
      </c>
      <c r="K946" s="1633">
        <v>1247924524</v>
      </c>
      <c r="M946" s="1633">
        <v>3992270744</v>
      </c>
      <c r="O946" s="1633">
        <v>-2744346220</v>
      </c>
      <c r="Q946">
        <v>-68.7</v>
      </c>
    </row>
    <row r="947" spans="3:17">
      <c r="C947" t="s">
        <v>297</v>
      </c>
      <c r="D947" t="s">
        <v>299</v>
      </c>
      <c r="E947">
        <v>5101641000</v>
      </c>
      <c r="H947" t="s">
        <v>1025</v>
      </c>
      <c r="K947" s="1633">
        <v>122466036</v>
      </c>
      <c r="M947" s="1633">
        <v>414236547</v>
      </c>
      <c r="O947" s="1633">
        <v>-291770511</v>
      </c>
      <c r="Q947">
        <v>-70.400000000000006</v>
      </c>
    </row>
    <row r="948" spans="3:17">
      <c r="C948" t="s">
        <v>297</v>
      </c>
      <c r="D948" t="s">
        <v>299</v>
      </c>
      <c r="E948">
        <v>5101641100</v>
      </c>
      <c r="H948" t="s">
        <v>1026</v>
      </c>
      <c r="K948" s="1633">
        <v>5200172</v>
      </c>
      <c r="M948" s="1633">
        <v>11329797</v>
      </c>
      <c r="O948" s="1633">
        <v>-6129625</v>
      </c>
      <c r="Q948">
        <v>-54.1</v>
      </c>
    </row>
    <row r="949" spans="3:17">
      <c r="C949" t="s">
        <v>297</v>
      </c>
      <c r="D949" t="s">
        <v>299</v>
      </c>
      <c r="E949">
        <v>5101900300</v>
      </c>
      <c r="H949" t="s">
        <v>1027</v>
      </c>
      <c r="K949" s="1633">
        <v>45453644</v>
      </c>
      <c r="M949" s="1633">
        <v>116037367</v>
      </c>
      <c r="O949" s="1633">
        <v>-70583723</v>
      </c>
      <c r="Q949">
        <v>-60.8</v>
      </c>
    </row>
    <row r="950" spans="3:17">
      <c r="C950" t="s">
        <v>297</v>
      </c>
      <c r="D950" t="s">
        <v>299</v>
      </c>
      <c r="E950">
        <v>5102010000</v>
      </c>
      <c r="H950" t="s">
        <v>888</v>
      </c>
      <c r="K950" s="1633">
        <v>53918615</v>
      </c>
      <c r="M950" s="1633">
        <v>153387157</v>
      </c>
      <c r="O950" s="1633">
        <v>-99468542</v>
      </c>
      <c r="Q950">
        <v>-64.8</v>
      </c>
    </row>
    <row r="951" spans="3:17">
      <c r="C951" t="s">
        <v>297</v>
      </c>
      <c r="D951" t="s">
        <v>299</v>
      </c>
      <c r="E951">
        <v>5102040000</v>
      </c>
      <c r="H951" t="s">
        <v>1028</v>
      </c>
      <c r="K951" s="1633">
        <v>131155801</v>
      </c>
      <c r="M951" s="1633">
        <v>283311456</v>
      </c>
      <c r="O951" s="1633">
        <v>-152155655</v>
      </c>
      <c r="Q951">
        <v>-53.7</v>
      </c>
    </row>
    <row r="952" spans="3:17">
      <c r="C952" t="s">
        <v>297</v>
      </c>
      <c r="D952" t="s">
        <v>299</v>
      </c>
      <c r="E952">
        <v>5102900100</v>
      </c>
      <c r="H952" t="s">
        <v>1029</v>
      </c>
      <c r="K952" s="1633">
        <v>1323077433</v>
      </c>
      <c r="M952" s="1633">
        <v>2064755319</v>
      </c>
      <c r="O952" s="1633">
        <v>-741677886</v>
      </c>
      <c r="Q952">
        <v>-35.9</v>
      </c>
    </row>
    <row r="953" spans="3:17">
      <c r="C953" t="s">
        <v>297</v>
      </c>
      <c r="D953" t="s">
        <v>299</v>
      </c>
      <c r="E953">
        <v>5102900400</v>
      </c>
      <c r="H953" t="s">
        <v>1030</v>
      </c>
      <c r="K953" s="1633">
        <v>87940872</v>
      </c>
      <c r="M953" s="1633">
        <v>424860960</v>
      </c>
      <c r="O953" s="1633">
        <v>-336920088</v>
      </c>
      <c r="Q953">
        <v>-79.3</v>
      </c>
    </row>
    <row r="954" spans="3:17">
      <c r="C954" t="s">
        <v>297</v>
      </c>
      <c r="D954" t="s">
        <v>299</v>
      </c>
      <c r="E954">
        <v>5102900500</v>
      </c>
      <c r="H954" t="s">
        <v>1031</v>
      </c>
      <c r="K954" s="1633">
        <v>44824396</v>
      </c>
      <c r="M954" s="1633">
        <v>170208549</v>
      </c>
      <c r="O954" s="1633">
        <v>-125384153</v>
      </c>
      <c r="Q954">
        <v>-73.7</v>
      </c>
    </row>
    <row r="955" spans="3:17">
      <c r="C955" t="s">
        <v>297</v>
      </c>
      <c r="D955" t="s">
        <v>299</v>
      </c>
      <c r="E955">
        <v>5103011000</v>
      </c>
      <c r="H955" t="s">
        <v>1032</v>
      </c>
      <c r="K955" s="1633">
        <v>123418108</v>
      </c>
      <c r="M955" s="1633">
        <v>767515848</v>
      </c>
      <c r="O955" s="1633">
        <v>-644097740</v>
      </c>
      <c r="Q955">
        <v>-83.9</v>
      </c>
    </row>
    <row r="956" spans="3:17">
      <c r="C956" t="s">
        <v>297</v>
      </c>
      <c r="D956" t="s">
        <v>299</v>
      </c>
      <c r="E956">
        <v>5103011100</v>
      </c>
      <c r="H956" t="s">
        <v>1033</v>
      </c>
      <c r="K956" s="1633">
        <v>257586724</v>
      </c>
      <c r="M956" s="1633">
        <v>1116959391</v>
      </c>
      <c r="O956" s="1633">
        <v>-859372667</v>
      </c>
      <c r="Q956">
        <v>-76.900000000000006</v>
      </c>
    </row>
    <row r="957" spans="3:17">
      <c r="C957" t="s">
        <v>297</v>
      </c>
      <c r="D957" t="s">
        <v>299</v>
      </c>
      <c r="E957">
        <v>5103012000</v>
      </c>
      <c r="H957" t="s">
        <v>1034</v>
      </c>
      <c r="K957" s="1633">
        <v>79656377</v>
      </c>
      <c r="M957" s="1633">
        <v>305757741</v>
      </c>
      <c r="O957" s="1633">
        <v>-226101364</v>
      </c>
      <c r="Q957">
        <v>-73.900000000000006</v>
      </c>
    </row>
    <row r="958" spans="3:17">
      <c r="C958" t="s">
        <v>297</v>
      </c>
      <c r="D958" t="s">
        <v>299</v>
      </c>
      <c r="E958">
        <v>5103020000</v>
      </c>
      <c r="H958" t="s">
        <v>904</v>
      </c>
      <c r="K958" s="1633">
        <v>491051800</v>
      </c>
      <c r="M958" s="1633">
        <v>1400670000</v>
      </c>
      <c r="O958" s="1633">
        <v>-909618200</v>
      </c>
      <c r="Q958">
        <v>-64.900000000000006</v>
      </c>
    </row>
    <row r="959" spans="3:17">
      <c r="C959" t="s">
        <v>297</v>
      </c>
      <c r="D959" t="s">
        <v>299</v>
      </c>
      <c r="E959">
        <v>5103030000</v>
      </c>
      <c r="H959" t="s">
        <v>1035</v>
      </c>
      <c r="K959" s="1633">
        <v>1147917231</v>
      </c>
      <c r="M959" s="1633">
        <v>2876723854</v>
      </c>
      <c r="O959" s="1633">
        <v>-1728806623</v>
      </c>
      <c r="Q959">
        <v>-60.1</v>
      </c>
    </row>
    <row r="960" spans="3:17">
      <c r="C960" t="s">
        <v>297</v>
      </c>
      <c r="D960" t="s">
        <v>299</v>
      </c>
      <c r="E960">
        <v>5103040000</v>
      </c>
      <c r="H960" t="s">
        <v>1036</v>
      </c>
      <c r="K960" s="1633">
        <v>110200000</v>
      </c>
      <c r="M960" s="1633">
        <v>95000000</v>
      </c>
      <c r="O960" s="1633">
        <v>15200000</v>
      </c>
      <c r="Q960">
        <v>16</v>
      </c>
    </row>
    <row r="961" spans="3:17">
      <c r="C961" t="s">
        <v>297</v>
      </c>
      <c r="D961" t="s">
        <v>299</v>
      </c>
      <c r="E961">
        <v>5103050000</v>
      </c>
      <c r="H961" t="s">
        <v>1037</v>
      </c>
      <c r="K961" s="1633">
        <v>156787456</v>
      </c>
      <c r="M961" s="1633">
        <v>319380500</v>
      </c>
      <c r="O961" s="1633">
        <v>-162593044</v>
      </c>
      <c r="Q961">
        <v>-50.9</v>
      </c>
    </row>
    <row r="962" spans="3:17">
      <c r="C962" t="s">
        <v>297</v>
      </c>
      <c r="D962" t="s">
        <v>299</v>
      </c>
      <c r="E962">
        <v>5103060000</v>
      </c>
      <c r="H962" t="s">
        <v>1038</v>
      </c>
      <c r="K962" s="1633">
        <v>1771680269</v>
      </c>
      <c r="M962" s="1633">
        <v>4576933504</v>
      </c>
      <c r="O962" s="1633">
        <v>-2805253235</v>
      </c>
      <c r="Q962">
        <v>-61.3</v>
      </c>
    </row>
    <row r="963" spans="3:17">
      <c r="C963" t="s">
        <v>297</v>
      </c>
      <c r="D963" t="s">
        <v>299</v>
      </c>
      <c r="E963">
        <v>5103060100</v>
      </c>
      <c r="H963" t="s">
        <v>924</v>
      </c>
      <c r="K963" s="1633">
        <v>320594192</v>
      </c>
      <c r="M963" s="1633">
        <v>32021589330</v>
      </c>
      <c r="O963" s="1633">
        <v>-31700995138</v>
      </c>
      <c r="Q963">
        <v>-99</v>
      </c>
    </row>
    <row r="964" spans="3:17">
      <c r="C964" t="s">
        <v>297</v>
      </c>
      <c r="D964" t="s">
        <v>299</v>
      </c>
      <c r="E964">
        <v>5103900300</v>
      </c>
      <c r="H964" t="s">
        <v>1039</v>
      </c>
      <c r="K964" s="1633">
        <v>324335360</v>
      </c>
      <c r="M964" s="1633">
        <v>861820476</v>
      </c>
      <c r="O964" s="1633">
        <v>-537485116</v>
      </c>
      <c r="Q964">
        <v>-62.4</v>
      </c>
    </row>
    <row r="965" spans="3:17">
      <c r="C965" t="s">
        <v>297</v>
      </c>
      <c r="D965" t="s">
        <v>299</v>
      </c>
      <c r="E965">
        <v>5104010000</v>
      </c>
      <c r="H965" t="s">
        <v>1040</v>
      </c>
      <c r="K965" s="1633">
        <v>319980100</v>
      </c>
      <c r="M965" s="1633">
        <v>903297100</v>
      </c>
      <c r="O965" s="1633">
        <v>-583317000</v>
      </c>
      <c r="Q965">
        <v>-64.599999999999994</v>
      </c>
    </row>
    <row r="966" spans="3:17">
      <c r="C966" t="s">
        <v>297</v>
      </c>
      <c r="D966" t="s">
        <v>299</v>
      </c>
      <c r="E966">
        <v>5104020000</v>
      </c>
      <c r="H966" t="s">
        <v>907</v>
      </c>
      <c r="K966" s="1633">
        <v>213329300</v>
      </c>
      <c r="M966" s="1633">
        <v>602223300</v>
      </c>
      <c r="O966" s="1633">
        <v>-388894000</v>
      </c>
      <c r="Q966">
        <v>-64.599999999999994</v>
      </c>
    </row>
    <row r="967" spans="3:17">
      <c r="C967" t="s">
        <v>297</v>
      </c>
      <c r="D967" t="s">
        <v>299</v>
      </c>
      <c r="E967">
        <v>5111111000</v>
      </c>
      <c r="H967" t="s">
        <v>1041</v>
      </c>
      <c r="K967" s="1633">
        <v>204075584</v>
      </c>
      <c r="M967" s="1633">
        <v>549486471</v>
      </c>
      <c r="O967" s="1633">
        <v>-345410887</v>
      </c>
      <c r="Q967">
        <v>-62.9</v>
      </c>
    </row>
    <row r="968" spans="3:17">
      <c r="C968" t="s">
        <v>297</v>
      </c>
      <c r="D968" t="s">
        <v>299</v>
      </c>
      <c r="E968">
        <v>5111112000</v>
      </c>
      <c r="H968" t="s">
        <v>1042</v>
      </c>
      <c r="K968" s="1633">
        <v>246137958</v>
      </c>
      <c r="M968" s="1633">
        <v>1719681167</v>
      </c>
      <c r="O968" s="1633">
        <v>-1473543209</v>
      </c>
      <c r="Q968">
        <v>-85.7</v>
      </c>
    </row>
    <row r="969" spans="3:17">
      <c r="C969" t="s">
        <v>297</v>
      </c>
      <c r="D969" t="s">
        <v>299</v>
      </c>
      <c r="E969">
        <v>5111113000</v>
      </c>
      <c r="H969" t="s">
        <v>1043</v>
      </c>
      <c r="K969" s="1633">
        <v>821440202</v>
      </c>
      <c r="M969" s="1633">
        <v>2836148212</v>
      </c>
      <c r="O969" s="1633">
        <v>-2014708010</v>
      </c>
      <c r="Q969">
        <v>-71</v>
      </c>
    </row>
    <row r="970" spans="3:17">
      <c r="C970" t="s">
        <v>297</v>
      </c>
      <c r="D970" t="s">
        <v>299</v>
      </c>
      <c r="E970">
        <v>5111114000</v>
      </c>
      <c r="H970" t="s">
        <v>1044</v>
      </c>
      <c r="K970" s="1633">
        <v>724113838</v>
      </c>
      <c r="M970" s="1633">
        <v>2236634821</v>
      </c>
      <c r="O970" s="1633">
        <v>-1512520983</v>
      </c>
      <c r="Q970">
        <v>-67.599999999999994</v>
      </c>
    </row>
    <row r="971" spans="3:17">
      <c r="C971" t="s">
        <v>297</v>
      </c>
      <c r="D971" t="s">
        <v>299</v>
      </c>
      <c r="E971">
        <v>5111115000</v>
      </c>
      <c r="H971" t="s">
        <v>1045</v>
      </c>
      <c r="K971" s="1633">
        <v>157140417</v>
      </c>
      <c r="M971" s="1633">
        <v>476697867</v>
      </c>
      <c r="O971" s="1633">
        <v>-319557450</v>
      </c>
      <c r="Q971">
        <v>-67</v>
      </c>
    </row>
    <row r="972" spans="3:17">
      <c r="C972" t="s">
        <v>297</v>
      </c>
      <c r="D972" t="s">
        <v>299</v>
      </c>
      <c r="E972">
        <v>5111119000</v>
      </c>
      <c r="H972" t="s">
        <v>965</v>
      </c>
      <c r="K972" s="1633">
        <v>432864482</v>
      </c>
      <c r="M972" s="1633">
        <v>1928423078</v>
      </c>
      <c r="O972" s="1633">
        <v>-1495558596</v>
      </c>
      <c r="Q972">
        <v>-77.599999999999994</v>
      </c>
    </row>
    <row r="973" spans="3:17">
      <c r="C973" t="s">
        <v>297</v>
      </c>
      <c r="D973" t="s">
        <v>299</v>
      </c>
      <c r="E973">
        <v>5111130000</v>
      </c>
      <c r="H973" t="s">
        <v>1046</v>
      </c>
      <c r="K973" s="1633">
        <v>421064532</v>
      </c>
      <c r="M973" s="1633">
        <v>1026599977</v>
      </c>
      <c r="O973" s="1633">
        <v>-605535445</v>
      </c>
      <c r="Q973">
        <v>-59</v>
      </c>
    </row>
    <row r="974" spans="3:17">
      <c r="C974" t="s">
        <v>297</v>
      </c>
      <c r="D974" t="s">
        <v>299</v>
      </c>
      <c r="E974">
        <v>5111140000</v>
      </c>
      <c r="H974" t="s">
        <v>1047</v>
      </c>
      <c r="K974" s="1633">
        <v>2151055</v>
      </c>
      <c r="M974" s="1633">
        <v>41490053</v>
      </c>
      <c r="O974" s="1633">
        <v>-39338998</v>
      </c>
      <c r="Q974">
        <v>-94.8</v>
      </c>
    </row>
    <row r="975" spans="3:17">
      <c r="C975" t="s">
        <v>297</v>
      </c>
      <c r="D975" t="s">
        <v>299</v>
      </c>
      <c r="E975">
        <v>5111150400</v>
      </c>
      <c r="H975" t="s">
        <v>1048</v>
      </c>
      <c r="K975" s="1633">
        <v>330781834</v>
      </c>
      <c r="M975" s="1633">
        <v>855145145</v>
      </c>
      <c r="O975" s="1633">
        <v>-524363311</v>
      </c>
      <c r="Q975">
        <v>-61.3</v>
      </c>
    </row>
    <row r="976" spans="3:17">
      <c r="C976" t="s">
        <v>297</v>
      </c>
      <c r="D976" t="s">
        <v>299</v>
      </c>
      <c r="E976">
        <v>5111150500</v>
      </c>
      <c r="H976" t="s">
        <v>1049</v>
      </c>
      <c r="K976" s="1633">
        <v>339793852</v>
      </c>
      <c r="M976" s="1633">
        <v>1076438947</v>
      </c>
      <c r="O976" s="1633">
        <v>-736645095</v>
      </c>
      <c r="Q976">
        <v>-68.400000000000006</v>
      </c>
    </row>
    <row r="977" spans="3:17">
      <c r="C977" t="s">
        <v>297</v>
      </c>
      <c r="D977" t="s">
        <v>299</v>
      </c>
      <c r="E977">
        <v>5111150600</v>
      </c>
      <c r="H977" t="s">
        <v>1050</v>
      </c>
      <c r="K977" s="1633">
        <v>398201501</v>
      </c>
      <c r="M977" s="1633">
        <v>1166662961</v>
      </c>
      <c r="O977" s="1633">
        <v>-768461460</v>
      </c>
      <c r="Q977">
        <v>-65.900000000000006</v>
      </c>
    </row>
    <row r="978" spans="3:17">
      <c r="C978" t="s">
        <v>297</v>
      </c>
      <c r="D978" t="s">
        <v>299</v>
      </c>
      <c r="E978">
        <v>5111150700</v>
      </c>
      <c r="H978" t="s">
        <v>1051</v>
      </c>
      <c r="K978" s="1633">
        <v>1034914239</v>
      </c>
      <c r="M978" s="1633">
        <v>3084681056</v>
      </c>
      <c r="O978" s="1633">
        <v>-2049766817</v>
      </c>
      <c r="Q978">
        <v>-66.400000000000006</v>
      </c>
    </row>
    <row r="979" spans="3:17">
      <c r="C979" t="s">
        <v>297</v>
      </c>
      <c r="D979" t="s">
        <v>299</v>
      </c>
      <c r="E979">
        <v>5111160300</v>
      </c>
      <c r="H979" t="s">
        <v>1052</v>
      </c>
      <c r="K979" s="1633">
        <v>0</v>
      </c>
      <c r="M979" s="1633">
        <v>706688</v>
      </c>
      <c r="O979" s="1633">
        <v>-706688</v>
      </c>
      <c r="Q979">
        <v>-100</v>
      </c>
    </row>
    <row r="980" spans="3:17">
      <c r="C980" t="s">
        <v>297</v>
      </c>
      <c r="D980" t="s">
        <v>299</v>
      </c>
      <c r="E980">
        <v>5111171000</v>
      </c>
      <c r="H980" t="s">
        <v>967</v>
      </c>
      <c r="K980" s="1633">
        <v>16303161</v>
      </c>
      <c r="M980" s="1633">
        <v>35078726</v>
      </c>
      <c r="O980" s="1633">
        <v>-18775565</v>
      </c>
      <c r="Q980">
        <v>-53.5</v>
      </c>
    </row>
    <row r="981" spans="3:17">
      <c r="C981" t="s">
        <v>297</v>
      </c>
      <c r="D981" t="s">
        <v>299</v>
      </c>
      <c r="E981">
        <v>5111172000</v>
      </c>
      <c r="H981" t="s">
        <v>968</v>
      </c>
      <c r="K981" s="1633">
        <v>12720588</v>
      </c>
      <c r="M981" s="1633">
        <v>27375809</v>
      </c>
      <c r="O981" s="1633">
        <v>-14655221</v>
      </c>
      <c r="Q981">
        <v>-53.5</v>
      </c>
    </row>
    <row r="982" spans="3:17">
      <c r="C982" t="s">
        <v>297</v>
      </c>
      <c r="D982" t="s">
        <v>299</v>
      </c>
      <c r="E982">
        <v>5111173000</v>
      </c>
      <c r="H982" t="s">
        <v>969</v>
      </c>
      <c r="K982" s="1633">
        <v>2644364</v>
      </c>
      <c r="M982" s="1633">
        <v>4242904</v>
      </c>
      <c r="O982" s="1633">
        <v>-1598540</v>
      </c>
      <c r="Q982">
        <v>-37.700000000000003</v>
      </c>
    </row>
    <row r="983" spans="3:17">
      <c r="C983" t="s">
        <v>297</v>
      </c>
      <c r="D983" t="s">
        <v>299</v>
      </c>
      <c r="E983">
        <v>5111174000</v>
      </c>
      <c r="H983" t="s">
        <v>970</v>
      </c>
      <c r="K983" s="1633">
        <v>466664614</v>
      </c>
      <c r="M983" s="1633">
        <v>1329210781</v>
      </c>
      <c r="O983" s="1633">
        <v>-862546167</v>
      </c>
      <c r="Q983">
        <v>-64.900000000000006</v>
      </c>
    </row>
    <row r="984" spans="3:17">
      <c r="C984" t="s">
        <v>297</v>
      </c>
      <c r="D984" t="s">
        <v>299</v>
      </c>
      <c r="E984">
        <v>5111175000</v>
      </c>
      <c r="H984" t="s">
        <v>971</v>
      </c>
      <c r="K984" s="1633">
        <v>155044572</v>
      </c>
      <c r="M984" s="1633">
        <v>657019039</v>
      </c>
      <c r="O984" s="1633">
        <v>-501974467</v>
      </c>
      <c r="Q984">
        <v>-76.400000000000006</v>
      </c>
    </row>
    <row r="985" spans="3:17">
      <c r="C985" t="s">
        <v>297</v>
      </c>
      <c r="D985" t="s">
        <v>299</v>
      </c>
      <c r="E985">
        <v>5111183000</v>
      </c>
      <c r="H985" t="s">
        <v>1053</v>
      </c>
      <c r="K985" s="1633">
        <v>0</v>
      </c>
      <c r="M985" s="1633">
        <v>737631</v>
      </c>
      <c r="O985" s="1633">
        <v>-737631</v>
      </c>
      <c r="Q985">
        <v>-100</v>
      </c>
    </row>
    <row r="986" spans="3:17">
      <c r="C986" t="s">
        <v>297</v>
      </c>
      <c r="D986" t="s">
        <v>299</v>
      </c>
      <c r="E986">
        <v>5111190000</v>
      </c>
      <c r="H986" t="s">
        <v>1250</v>
      </c>
      <c r="K986" s="1633">
        <v>0</v>
      </c>
      <c r="M986" s="1633">
        <v>238030</v>
      </c>
      <c r="O986" s="1633">
        <v>-238030</v>
      </c>
      <c r="Q986">
        <v>-100</v>
      </c>
    </row>
    <row r="987" spans="3:17">
      <c r="C987" t="s">
        <v>297</v>
      </c>
      <c r="D987" t="s">
        <v>299</v>
      </c>
      <c r="E987">
        <v>5111200000</v>
      </c>
      <c r="H987" t="s">
        <v>930</v>
      </c>
      <c r="K987" s="1633">
        <v>37100000</v>
      </c>
      <c r="M987" s="1633">
        <v>27825000</v>
      </c>
      <c r="O987" s="1633">
        <v>9275000</v>
      </c>
      <c r="Q987">
        <v>33.299999999999997</v>
      </c>
    </row>
    <row r="988" spans="3:17">
      <c r="C988" t="s">
        <v>297</v>
      </c>
      <c r="D988" t="s">
        <v>299</v>
      </c>
      <c r="E988">
        <v>5111200100</v>
      </c>
      <c r="H988" t="s">
        <v>1054</v>
      </c>
      <c r="K988" s="1633">
        <v>75252601</v>
      </c>
      <c r="M988" s="1633">
        <v>719553755</v>
      </c>
      <c r="O988" s="1633">
        <v>-644301154</v>
      </c>
      <c r="Q988">
        <v>-89.5</v>
      </c>
    </row>
    <row r="989" spans="3:17">
      <c r="C989" t="s">
        <v>297</v>
      </c>
      <c r="D989" t="s">
        <v>299</v>
      </c>
      <c r="E989">
        <v>5111210000</v>
      </c>
      <c r="H989" t="s">
        <v>1055</v>
      </c>
      <c r="K989" s="1633">
        <v>38749606</v>
      </c>
      <c r="M989" s="1633">
        <v>300792940</v>
      </c>
      <c r="O989" s="1633">
        <v>-262043334</v>
      </c>
      <c r="Q989">
        <v>-87.1</v>
      </c>
    </row>
    <row r="990" spans="3:17">
      <c r="C990" t="s">
        <v>297</v>
      </c>
      <c r="D990" t="s">
        <v>299</v>
      </c>
      <c r="E990">
        <v>5111230000</v>
      </c>
      <c r="H990" t="s">
        <v>1056</v>
      </c>
      <c r="K990" s="1633">
        <v>278048960</v>
      </c>
      <c r="M990" s="1633">
        <v>778115116</v>
      </c>
      <c r="O990" s="1633">
        <v>-500066156</v>
      </c>
      <c r="Q990">
        <v>-64.3</v>
      </c>
    </row>
    <row r="991" spans="3:17">
      <c r="C991" t="s">
        <v>297</v>
      </c>
      <c r="D991" t="s">
        <v>299</v>
      </c>
      <c r="E991">
        <v>5111250100</v>
      </c>
      <c r="H991" t="s">
        <v>1057</v>
      </c>
      <c r="K991" s="1633">
        <v>0</v>
      </c>
      <c r="M991" s="1633">
        <v>6916875</v>
      </c>
      <c r="O991" s="1633">
        <v>-6916875</v>
      </c>
      <c r="Q991">
        <v>-100</v>
      </c>
    </row>
    <row r="992" spans="3:17">
      <c r="C992" t="s">
        <v>297</v>
      </c>
      <c r="D992" t="s">
        <v>299</v>
      </c>
      <c r="E992">
        <v>5111250200</v>
      </c>
      <c r="H992" t="s">
        <v>1058</v>
      </c>
      <c r="K992" s="1633">
        <v>4887626</v>
      </c>
      <c r="M992" s="1633">
        <v>5492892</v>
      </c>
      <c r="O992" s="1633">
        <v>-605266</v>
      </c>
      <c r="Q992">
        <v>-11</v>
      </c>
    </row>
    <row r="993" spans="3:17">
      <c r="C993" t="s">
        <v>297</v>
      </c>
      <c r="D993" t="s">
        <v>299</v>
      </c>
      <c r="E993">
        <v>5111250300</v>
      </c>
      <c r="H993" t="s">
        <v>1059</v>
      </c>
      <c r="K993" s="1633">
        <v>971419553</v>
      </c>
      <c r="M993" s="1633">
        <v>2289007547</v>
      </c>
      <c r="O993" s="1633">
        <v>-1317587994</v>
      </c>
      <c r="Q993">
        <v>-57.6</v>
      </c>
    </row>
    <row r="994" spans="3:17">
      <c r="C994" t="s">
        <v>297</v>
      </c>
      <c r="D994" t="s">
        <v>299</v>
      </c>
      <c r="E994">
        <v>5111250500</v>
      </c>
      <c r="H994" t="s">
        <v>1060</v>
      </c>
      <c r="K994" s="1633">
        <v>82934373</v>
      </c>
      <c r="M994" s="1633">
        <v>181257137</v>
      </c>
      <c r="O994" s="1633">
        <v>-98322764</v>
      </c>
      <c r="Q994">
        <v>-54.2</v>
      </c>
    </row>
    <row r="995" spans="3:17">
      <c r="C995" t="s">
        <v>297</v>
      </c>
      <c r="D995" t="s">
        <v>299</v>
      </c>
      <c r="E995">
        <v>5111250700</v>
      </c>
      <c r="H995" t="s">
        <v>1061</v>
      </c>
      <c r="K995" s="1633">
        <v>51398103</v>
      </c>
      <c r="M995" s="1633">
        <v>51285088</v>
      </c>
      <c r="O995" s="1633">
        <v>113015</v>
      </c>
      <c r="Q995">
        <v>0.2</v>
      </c>
    </row>
    <row r="996" spans="3:17">
      <c r="C996" t="s">
        <v>297</v>
      </c>
      <c r="D996" t="s">
        <v>299</v>
      </c>
      <c r="E996">
        <v>5111250900</v>
      </c>
      <c r="H996" t="s">
        <v>1062</v>
      </c>
      <c r="K996" s="1633">
        <v>135858333</v>
      </c>
      <c r="M996" s="1633">
        <v>335583718</v>
      </c>
      <c r="O996" s="1633">
        <v>-199725385</v>
      </c>
      <c r="Q996">
        <v>-59.5</v>
      </c>
    </row>
    <row r="997" spans="3:17">
      <c r="C997" t="s">
        <v>297</v>
      </c>
      <c r="D997" t="s">
        <v>299</v>
      </c>
      <c r="E997">
        <v>5111251000</v>
      </c>
      <c r="H997" t="s">
        <v>1063</v>
      </c>
      <c r="K997" s="1633">
        <v>145849062</v>
      </c>
      <c r="M997" s="1633">
        <v>427438135</v>
      </c>
      <c r="O997" s="1633">
        <v>-281589073</v>
      </c>
      <c r="Q997">
        <v>-65.900000000000006</v>
      </c>
    </row>
    <row r="998" spans="3:17">
      <c r="C998" t="s">
        <v>297</v>
      </c>
      <c r="D998" t="s">
        <v>299</v>
      </c>
      <c r="E998">
        <v>5111251200</v>
      </c>
      <c r="H998" t="s">
        <v>1064</v>
      </c>
      <c r="K998" s="1633">
        <v>274013</v>
      </c>
      <c r="M998" s="1633">
        <v>809327</v>
      </c>
      <c r="O998" s="1633">
        <v>-535314</v>
      </c>
      <c r="Q998">
        <v>-66.099999999999994</v>
      </c>
    </row>
    <row r="999" spans="3:17">
      <c r="C999" t="s">
        <v>297</v>
      </c>
      <c r="D999" t="s">
        <v>299</v>
      </c>
      <c r="E999">
        <v>5111251300</v>
      </c>
      <c r="H999" t="s">
        <v>1065</v>
      </c>
      <c r="K999" s="1633">
        <v>338082</v>
      </c>
      <c r="M999" s="1633">
        <v>433488</v>
      </c>
      <c r="O999" s="1633">
        <v>-95406</v>
      </c>
      <c r="Q999">
        <v>-22</v>
      </c>
    </row>
    <row r="1000" spans="3:17">
      <c r="C1000" t="s">
        <v>297</v>
      </c>
      <c r="D1000" t="s">
        <v>299</v>
      </c>
      <c r="E1000">
        <v>5111260000</v>
      </c>
      <c r="H1000" t="s">
        <v>932</v>
      </c>
      <c r="K1000" s="1633">
        <v>122174634</v>
      </c>
      <c r="M1000" s="1633">
        <v>331772576</v>
      </c>
      <c r="O1000" s="1633">
        <v>-209597942</v>
      </c>
      <c r="Q1000">
        <v>-63.2</v>
      </c>
    </row>
    <row r="1001" spans="3:17">
      <c r="C1001" t="s">
        <v>297</v>
      </c>
      <c r="D1001" t="s">
        <v>299</v>
      </c>
      <c r="E1001">
        <v>5111330000</v>
      </c>
      <c r="H1001" t="s">
        <v>933</v>
      </c>
      <c r="K1001" s="1633">
        <v>42971388</v>
      </c>
      <c r="M1001" s="1633">
        <v>73647798</v>
      </c>
      <c r="O1001" s="1633">
        <v>-30676410</v>
      </c>
      <c r="Q1001">
        <v>-41.7</v>
      </c>
    </row>
    <row r="1002" spans="3:17">
      <c r="C1002" t="s">
        <v>297</v>
      </c>
      <c r="D1002" t="s">
        <v>299</v>
      </c>
      <c r="E1002">
        <v>5111460000</v>
      </c>
      <c r="H1002" t="s">
        <v>1066</v>
      </c>
      <c r="K1002" s="1633">
        <v>0</v>
      </c>
      <c r="M1002" s="1633">
        <v>19222827</v>
      </c>
      <c r="O1002" s="1633">
        <v>-19222827</v>
      </c>
      <c r="Q1002">
        <v>-100</v>
      </c>
    </row>
    <row r="1003" spans="3:17">
      <c r="C1003" t="s">
        <v>297</v>
      </c>
      <c r="D1003" t="s">
        <v>299</v>
      </c>
      <c r="E1003">
        <v>5111490000</v>
      </c>
      <c r="H1003" t="s">
        <v>1067</v>
      </c>
      <c r="K1003" s="1633">
        <v>619710750</v>
      </c>
      <c r="M1003" s="1633">
        <v>1645758050</v>
      </c>
      <c r="O1003" s="1633">
        <v>-1026047300</v>
      </c>
      <c r="Q1003">
        <v>-62.3</v>
      </c>
    </row>
    <row r="1004" spans="3:17">
      <c r="C1004" t="s">
        <v>297</v>
      </c>
      <c r="D1004" t="s">
        <v>299</v>
      </c>
      <c r="E1004">
        <v>5111500000</v>
      </c>
      <c r="H1004" t="s">
        <v>1068</v>
      </c>
      <c r="K1004" s="1633">
        <v>893186818</v>
      </c>
      <c r="M1004" s="1633">
        <v>2699815824</v>
      </c>
      <c r="O1004" s="1633">
        <v>-1806629006</v>
      </c>
      <c r="Q1004">
        <v>-66.900000000000006</v>
      </c>
    </row>
    <row r="1005" spans="3:17">
      <c r="C1005" t="s">
        <v>297</v>
      </c>
      <c r="D1005" t="s">
        <v>299</v>
      </c>
      <c r="E1005">
        <v>5111640100</v>
      </c>
      <c r="H1005" t="s">
        <v>1069</v>
      </c>
      <c r="K1005" s="1633">
        <v>11824518</v>
      </c>
      <c r="M1005" s="1633">
        <v>68794723</v>
      </c>
      <c r="O1005" s="1633">
        <v>-56970205</v>
      </c>
      <c r="Q1005">
        <v>-82.8</v>
      </c>
    </row>
    <row r="1006" spans="3:17">
      <c r="C1006" t="s">
        <v>297</v>
      </c>
      <c r="D1006" t="s">
        <v>299</v>
      </c>
      <c r="E1006">
        <v>5111900400</v>
      </c>
      <c r="H1006" t="s">
        <v>1070</v>
      </c>
      <c r="K1006" s="1633">
        <v>218051622</v>
      </c>
      <c r="M1006" s="1633">
        <v>1320706246</v>
      </c>
      <c r="O1006" s="1633">
        <v>-1102654624</v>
      </c>
      <c r="Q1006">
        <v>-83.5</v>
      </c>
    </row>
    <row r="1007" spans="3:17">
      <c r="C1007" t="s">
        <v>297</v>
      </c>
      <c r="D1007" t="s">
        <v>299</v>
      </c>
      <c r="E1007">
        <v>5111900600</v>
      </c>
      <c r="H1007" t="s">
        <v>1071</v>
      </c>
      <c r="K1007" s="1633">
        <v>13967840</v>
      </c>
      <c r="M1007" s="1633">
        <v>37795481</v>
      </c>
      <c r="O1007" s="1633">
        <v>-23827641</v>
      </c>
      <c r="Q1007">
        <v>-63</v>
      </c>
    </row>
    <row r="1008" spans="3:17">
      <c r="C1008" t="s">
        <v>297</v>
      </c>
      <c r="D1008" t="s">
        <v>299</v>
      </c>
      <c r="E1008">
        <v>5111900700</v>
      </c>
      <c r="H1008" t="s">
        <v>2364</v>
      </c>
      <c r="K1008" s="1633">
        <v>10922448</v>
      </c>
      <c r="M1008" s="1633">
        <v>0</v>
      </c>
      <c r="O1008" s="1633">
        <v>10922448</v>
      </c>
    </row>
    <row r="1009" spans="3:17">
      <c r="C1009" t="s">
        <v>297</v>
      </c>
      <c r="D1009" t="s">
        <v>299</v>
      </c>
      <c r="E1009">
        <v>5111900900</v>
      </c>
      <c r="H1009" t="s">
        <v>1072</v>
      </c>
      <c r="K1009" s="1633">
        <v>8809580</v>
      </c>
      <c r="M1009" s="1633">
        <v>221409921</v>
      </c>
      <c r="O1009" s="1633">
        <v>-212600341</v>
      </c>
      <c r="Q1009">
        <v>-96</v>
      </c>
    </row>
    <row r="1010" spans="3:17">
      <c r="C1010" t="s">
        <v>297</v>
      </c>
      <c r="D1010" t="s">
        <v>299</v>
      </c>
      <c r="E1010">
        <v>5111901000</v>
      </c>
      <c r="H1010" t="s">
        <v>1073</v>
      </c>
      <c r="K1010" s="1633">
        <v>93236388</v>
      </c>
      <c r="M1010" s="1633">
        <v>321323206</v>
      </c>
      <c r="O1010" s="1633">
        <v>-228086818</v>
      </c>
      <c r="Q1010">
        <v>-71</v>
      </c>
    </row>
    <row r="1011" spans="3:17">
      <c r="C1011" t="s">
        <v>297</v>
      </c>
      <c r="D1011" t="s">
        <v>299</v>
      </c>
      <c r="E1011">
        <v>5120080000</v>
      </c>
      <c r="H1011" t="s">
        <v>1074</v>
      </c>
      <c r="K1011" s="1633">
        <v>434000</v>
      </c>
      <c r="M1011" s="1633">
        <v>11113000</v>
      </c>
      <c r="O1011" s="1633">
        <v>-10679000</v>
      </c>
      <c r="Q1011">
        <v>-96.1</v>
      </c>
    </row>
    <row r="1012" spans="3:17">
      <c r="C1012" t="s">
        <v>297</v>
      </c>
      <c r="D1012" t="s">
        <v>299</v>
      </c>
      <c r="E1012">
        <v>5120090000</v>
      </c>
      <c r="H1012" t="s">
        <v>1075</v>
      </c>
      <c r="K1012" s="1633">
        <v>1164582251</v>
      </c>
      <c r="M1012" s="1633">
        <v>1232810000</v>
      </c>
      <c r="O1012" s="1633">
        <v>-68227749</v>
      </c>
      <c r="Q1012">
        <v>-5.5</v>
      </c>
    </row>
    <row r="1013" spans="3:17">
      <c r="C1013" t="s">
        <v>297</v>
      </c>
      <c r="D1013" t="s">
        <v>299</v>
      </c>
      <c r="E1013">
        <v>5120100000</v>
      </c>
      <c r="H1013" t="s">
        <v>1180</v>
      </c>
      <c r="K1013" s="1633">
        <v>2767000</v>
      </c>
      <c r="M1013" s="1633">
        <v>0</v>
      </c>
      <c r="O1013" s="1633">
        <v>2767000</v>
      </c>
    </row>
    <row r="1014" spans="3:17">
      <c r="C1014" t="s">
        <v>297</v>
      </c>
      <c r="D1014" t="s">
        <v>299</v>
      </c>
      <c r="E1014">
        <v>5120100100</v>
      </c>
      <c r="H1014" t="s">
        <v>2637</v>
      </c>
      <c r="K1014" s="1633">
        <v>8390860</v>
      </c>
      <c r="M1014" s="1633">
        <v>0</v>
      </c>
      <c r="O1014" s="1633">
        <v>8390860</v>
      </c>
    </row>
    <row r="1015" spans="3:17">
      <c r="C1015" t="s">
        <v>297</v>
      </c>
      <c r="D1015" t="s">
        <v>299</v>
      </c>
      <c r="E1015">
        <v>5120110000</v>
      </c>
      <c r="H1015" t="s">
        <v>1076</v>
      </c>
      <c r="K1015" s="1633">
        <v>11723100</v>
      </c>
      <c r="M1015" s="1633">
        <v>4324600</v>
      </c>
      <c r="O1015" s="1633">
        <v>7398500</v>
      </c>
      <c r="Q1015">
        <v>171.1</v>
      </c>
    </row>
    <row r="1016" spans="3:17">
      <c r="C1016" t="s">
        <v>297</v>
      </c>
      <c r="D1016" t="s">
        <v>299</v>
      </c>
      <c r="E1016">
        <v>5120240000</v>
      </c>
      <c r="H1016" t="s">
        <v>1077</v>
      </c>
      <c r="K1016" s="1633">
        <v>2630881357</v>
      </c>
      <c r="M1016" s="1633">
        <v>6657156891</v>
      </c>
      <c r="O1016" s="1633">
        <v>-4026275534</v>
      </c>
      <c r="Q1016">
        <v>-60.5</v>
      </c>
    </row>
    <row r="1017" spans="3:17">
      <c r="C1017" t="s">
        <v>297</v>
      </c>
      <c r="D1017" t="s">
        <v>299</v>
      </c>
      <c r="E1017">
        <v>5120240100</v>
      </c>
      <c r="H1017" t="s">
        <v>1077</v>
      </c>
      <c r="K1017" s="1633">
        <v>1203402326</v>
      </c>
      <c r="M1017" s="1633">
        <v>3315541588</v>
      </c>
      <c r="O1017" s="1633">
        <v>-2112139262</v>
      </c>
      <c r="Q1017">
        <v>-63.7</v>
      </c>
    </row>
    <row r="1018" spans="3:17">
      <c r="C1018" t="s">
        <v>297</v>
      </c>
      <c r="D1018" t="s">
        <v>299</v>
      </c>
      <c r="E1018">
        <v>5120250000</v>
      </c>
      <c r="H1018" t="s">
        <v>1078</v>
      </c>
      <c r="K1018" s="1633">
        <v>2458209</v>
      </c>
      <c r="M1018" s="1633">
        <v>3170797</v>
      </c>
      <c r="O1018" s="1633">
        <v>-712588</v>
      </c>
      <c r="Q1018">
        <v>-22.5</v>
      </c>
    </row>
    <row r="1019" spans="3:17">
      <c r="C1019" t="s">
        <v>297</v>
      </c>
      <c r="D1019" t="s">
        <v>299</v>
      </c>
      <c r="E1019">
        <v>5120260100</v>
      </c>
      <c r="H1019" t="s">
        <v>1079</v>
      </c>
      <c r="K1019" s="1633">
        <v>1813593104</v>
      </c>
      <c r="M1019" s="1633">
        <v>4696007289</v>
      </c>
      <c r="O1019" s="1633">
        <v>-2882414185</v>
      </c>
      <c r="Q1019">
        <v>-61.4</v>
      </c>
    </row>
    <row r="1020" spans="3:17">
      <c r="C1020" t="s">
        <v>297</v>
      </c>
      <c r="D1020" t="s">
        <v>299</v>
      </c>
      <c r="E1020">
        <v>5120900300</v>
      </c>
      <c r="H1020" t="s">
        <v>1080</v>
      </c>
      <c r="K1020" s="1633">
        <v>8110894</v>
      </c>
      <c r="M1020" s="1633">
        <v>23209972</v>
      </c>
      <c r="O1020" s="1633">
        <v>-15099078</v>
      </c>
      <c r="Q1020">
        <v>-65.099999999999994</v>
      </c>
    </row>
    <row r="1021" spans="3:17">
      <c r="C1021" t="s">
        <v>297</v>
      </c>
      <c r="D1021" t="s">
        <v>299</v>
      </c>
      <c r="E1021">
        <v>5330010000</v>
      </c>
      <c r="H1021" t="s">
        <v>869</v>
      </c>
      <c r="K1021" s="1633">
        <v>0</v>
      </c>
      <c r="M1021" s="1633">
        <v>3243933</v>
      </c>
      <c r="O1021" s="1633">
        <v>-3243933</v>
      </c>
      <c r="Q1021">
        <v>-100</v>
      </c>
    </row>
    <row r="1022" spans="3:17">
      <c r="C1022" t="s">
        <v>297</v>
      </c>
      <c r="D1022" t="s">
        <v>299</v>
      </c>
      <c r="E1022">
        <v>5330010100</v>
      </c>
      <c r="H1022" t="s">
        <v>1081</v>
      </c>
      <c r="K1022" s="1633">
        <v>3954078764</v>
      </c>
      <c r="M1022" s="1633">
        <v>10392829274</v>
      </c>
      <c r="O1022" s="1633">
        <v>-6438750510</v>
      </c>
      <c r="Q1022">
        <v>-62</v>
      </c>
    </row>
    <row r="1023" spans="3:17">
      <c r="C1023" t="s">
        <v>297</v>
      </c>
      <c r="D1023" t="s">
        <v>299</v>
      </c>
      <c r="E1023">
        <v>5330040000</v>
      </c>
      <c r="H1023" t="s">
        <v>873</v>
      </c>
      <c r="K1023" s="1633">
        <v>4873655</v>
      </c>
      <c r="M1023" s="1633">
        <v>14620967</v>
      </c>
      <c r="O1023" s="1633">
        <v>-9747312</v>
      </c>
      <c r="Q1023">
        <v>-66.7</v>
      </c>
    </row>
    <row r="1024" spans="3:17">
      <c r="C1024" t="s">
        <v>297</v>
      </c>
      <c r="D1024" t="s">
        <v>299</v>
      </c>
      <c r="E1024">
        <v>5330070000</v>
      </c>
      <c r="H1024" t="s">
        <v>875</v>
      </c>
      <c r="K1024" s="1633">
        <v>394339943</v>
      </c>
      <c r="M1024" s="1633">
        <v>346468826</v>
      </c>
      <c r="O1024" s="1633">
        <v>47871117</v>
      </c>
      <c r="Q1024">
        <v>13.8</v>
      </c>
    </row>
    <row r="1025" spans="3:18">
      <c r="C1025" t="s">
        <v>297</v>
      </c>
      <c r="D1025" t="s">
        <v>299</v>
      </c>
      <c r="E1025">
        <v>5330080000</v>
      </c>
      <c r="H1025" t="s">
        <v>1082</v>
      </c>
      <c r="K1025" s="1633">
        <v>36563293</v>
      </c>
      <c r="M1025" s="1633">
        <v>46402297</v>
      </c>
      <c r="O1025" s="1633">
        <v>-9839004</v>
      </c>
      <c r="Q1025">
        <v>-21.2</v>
      </c>
    </row>
    <row r="1026" spans="3:18">
      <c r="C1026" t="s">
        <v>297</v>
      </c>
      <c r="D1026" t="s">
        <v>299</v>
      </c>
      <c r="E1026">
        <v>5330080100</v>
      </c>
      <c r="H1026" t="s">
        <v>879</v>
      </c>
      <c r="K1026" s="1633">
        <v>122238693</v>
      </c>
      <c r="M1026" s="1633">
        <v>280781712</v>
      </c>
      <c r="O1026" s="1633">
        <v>-158543019</v>
      </c>
      <c r="Q1026">
        <v>-56.5</v>
      </c>
    </row>
    <row r="1027" spans="3:18">
      <c r="C1027" t="s">
        <v>297</v>
      </c>
      <c r="D1027" t="s">
        <v>299</v>
      </c>
      <c r="E1027">
        <v>5330080200</v>
      </c>
      <c r="H1027" t="s">
        <v>1232</v>
      </c>
      <c r="K1027" s="1633">
        <v>540935753</v>
      </c>
      <c r="M1027" s="1633">
        <v>468571805</v>
      </c>
      <c r="O1027" s="1633">
        <v>72363948</v>
      </c>
      <c r="Q1027">
        <v>15.4</v>
      </c>
    </row>
    <row r="1028" spans="3:18">
      <c r="C1028" t="s">
        <v>297</v>
      </c>
      <c r="D1028" t="s">
        <v>299</v>
      </c>
      <c r="E1028">
        <v>5345070000</v>
      </c>
      <c r="H1028" t="s">
        <v>1083</v>
      </c>
      <c r="K1028" s="1633">
        <v>235578055</v>
      </c>
      <c r="M1028" s="1633">
        <v>786708641</v>
      </c>
      <c r="O1028" s="1633">
        <v>-551130586</v>
      </c>
      <c r="Q1028">
        <v>-70.099999999999994</v>
      </c>
    </row>
    <row r="1029" spans="3:18">
      <c r="C1029" t="s">
        <v>297</v>
      </c>
      <c r="D1029" t="s">
        <v>299</v>
      </c>
      <c r="E1029">
        <v>5345080000</v>
      </c>
      <c r="H1029" t="s">
        <v>1084</v>
      </c>
      <c r="K1029" s="1633">
        <v>105242051</v>
      </c>
      <c r="M1029" s="1633">
        <v>315726161</v>
      </c>
      <c r="O1029" s="1633">
        <v>-210484110</v>
      </c>
      <c r="Q1029">
        <v>-66.7</v>
      </c>
    </row>
    <row r="1030" spans="3:18">
      <c r="E1030" t="s">
        <v>1085</v>
      </c>
      <c r="K1030" s="1633">
        <v>48825283192</v>
      </c>
      <c r="M1030" s="1633">
        <v>155931258514</v>
      </c>
      <c r="O1030" s="1633">
        <v>-107105975322</v>
      </c>
      <c r="Q1030">
        <v>-68.7</v>
      </c>
      <c r="R1030" t="s">
        <v>392</v>
      </c>
    </row>
    <row r="1032" spans="3:18">
      <c r="E1032" t="s">
        <v>1086</v>
      </c>
    </row>
    <row r="1033" spans="3:18">
      <c r="C1033" t="s">
        <v>297</v>
      </c>
      <c r="D1033" t="s">
        <v>299</v>
      </c>
      <c r="E1033">
        <v>5304140100</v>
      </c>
      <c r="H1033" t="s">
        <v>1087</v>
      </c>
      <c r="K1033" s="1633">
        <v>0</v>
      </c>
      <c r="M1033" s="1633">
        <v>41182902</v>
      </c>
      <c r="O1033" s="1633">
        <v>-41182902</v>
      </c>
      <c r="Q1033">
        <v>-100</v>
      </c>
    </row>
    <row r="1034" spans="3:18">
      <c r="C1034" t="s">
        <v>297</v>
      </c>
      <c r="D1034" t="s">
        <v>299</v>
      </c>
      <c r="E1034">
        <v>5304900000</v>
      </c>
      <c r="H1034" t="s">
        <v>1088</v>
      </c>
      <c r="K1034" s="1633">
        <v>0</v>
      </c>
      <c r="M1034" s="1633">
        <v>171611486</v>
      </c>
      <c r="O1034" s="1633">
        <v>-171611486</v>
      </c>
      <c r="Q1034">
        <v>-100</v>
      </c>
    </row>
    <row r="1035" spans="3:18">
      <c r="C1035" t="s">
        <v>297</v>
      </c>
      <c r="D1035" t="s">
        <v>299</v>
      </c>
      <c r="E1035">
        <v>5307010000</v>
      </c>
      <c r="H1035" t="s">
        <v>1524</v>
      </c>
      <c r="K1035" s="1633">
        <v>269945003</v>
      </c>
      <c r="M1035" s="1633">
        <v>0</v>
      </c>
      <c r="O1035" s="1633">
        <v>269945003</v>
      </c>
    </row>
    <row r="1036" spans="3:18">
      <c r="C1036" t="s">
        <v>297</v>
      </c>
      <c r="D1036" t="s">
        <v>299</v>
      </c>
      <c r="E1036">
        <v>5307011000</v>
      </c>
      <c r="H1036" t="s">
        <v>1443</v>
      </c>
      <c r="K1036" s="1633">
        <v>0</v>
      </c>
      <c r="M1036" s="1633">
        <v>24623104942</v>
      </c>
      <c r="O1036" s="1633">
        <v>-24623104942</v>
      </c>
      <c r="Q1036">
        <v>-100</v>
      </c>
    </row>
    <row r="1037" spans="3:18">
      <c r="C1037" t="s">
        <v>297</v>
      </c>
      <c r="D1037" t="s">
        <v>299</v>
      </c>
      <c r="E1037">
        <v>5307060100</v>
      </c>
      <c r="H1037" t="s">
        <v>1411</v>
      </c>
      <c r="K1037" s="1633">
        <v>235040</v>
      </c>
      <c r="M1037" s="1633">
        <v>36705573587</v>
      </c>
      <c r="O1037" s="1633">
        <v>-36705338547</v>
      </c>
      <c r="Q1037">
        <v>-100</v>
      </c>
    </row>
    <row r="1038" spans="3:18">
      <c r="C1038" t="s">
        <v>297</v>
      </c>
      <c r="D1038" t="s">
        <v>299</v>
      </c>
      <c r="E1038">
        <v>5314010000</v>
      </c>
      <c r="H1038" t="s">
        <v>657</v>
      </c>
      <c r="K1038" s="1633">
        <v>8614240651</v>
      </c>
      <c r="M1038" s="1633">
        <v>22228431916</v>
      </c>
      <c r="O1038" s="1633">
        <v>-13614191265</v>
      </c>
      <c r="Q1038">
        <v>-61.2</v>
      </c>
    </row>
    <row r="1039" spans="3:18">
      <c r="C1039" t="s">
        <v>297</v>
      </c>
      <c r="D1039" t="s">
        <v>299</v>
      </c>
      <c r="E1039">
        <v>5802380100</v>
      </c>
      <c r="H1039" t="s">
        <v>1089</v>
      </c>
      <c r="K1039" s="1633">
        <v>1175519529</v>
      </c>
      <c r="M1039" s="1633">
        <v>5549379440</v>
      </c>
      <c r="O1039" s="1633">
        <v>-4373859911</v>
      </c>
      <c r="Q1039">
        <v>-78.8</v>
      </c>
    </row>
    <row r="1040" spans="3:18">
      <c r="C1040" t="s">
        <v>297</v>
      </c>
      <c r="D1040" t="s">
        <v>299</v>
      </c>
      <c r="E1040">
        <v>5802390100</v>
      </c>
      <c r="H1040" t="s">
        <v>1090</v>
      </c>
      <c r="K1040" s="1633">
        <v>26611474</v>
      </c>
      <c r="M1040" s="1633">
        <v>77280064</v>
      </c>
      <c r="O1040" s="1633">
        <v>-50668590</v>
      </c>
      <c r="Q1040">
        <v>-65.599999999999994</v>
      </c>
    </row>
    <row r="1041" spans="3:18">
      <c r="C1041" t="s">
        <v>297</v>
      </c>
      <c r="D1041" t="s">
        <v>299</v>
      </c>
      <c r="E1041">
        <v>5802900000</v>
      </c>
      <c r="H1041" t="s">
        <v>1091</v>
      </c>
      <c r="K1041" s="1633">
        <v>24561046</v>
      </c>
      <c r="M1041" s="1633">
        <v>94632052</v>
      </c>
      <c r="O1041" s="1633">
        <v>-70071006</v>
      </c>
      <c r="Q1041">
        <v>-74</v>
      </c>
    </row>
    <row r="1042" spans="3:18">
      <c r="C1042" t="s">
        <v>297</v>
      </c>
      <c r="D1042" t="s">
        <v>299</v>
      </c>
      <c r="E1042">
        <v>5802900100</v>
      </c>
      <c r="H1042" t="s">
        <v>1525</v>
      </c>
      <c r="K1042" s="1633">
        <v>6856219</v>
      </c>
      <c r="M1042" s="1633">
        <v>0</v>
      </c>
      <c r="O1042" s="1633">
        <v>6856219</v>
      </c>
    </row>
    <row r="1043" spans="3:18">
      <c r="C1043" t="s">
        <v>297</v>
      </c>
      <c r="D1043" t="s">
        <v>299</v>
      </c>
      <c r="E1043">
        <v>5805900000</v>
      </c>
      <c r="H1043" t="s">
        <v>1092</v>
      </c>
      <c r="K1043" s="1633">
        <v>11957026</v>
      </c>
      <c r="M1043" s="1633">
        <v>44002246</v>
      </c>
      <c r="O1043" s="1633">
        <v>-32045220</v>
      </c>
      <c r="Q1043">
        <v>-72.8</v>
      </c>
    </row>
    <row r="1044" spans="3:18">
      <c r="C1044" t="s">
        <v>297</v>
      </c>
      <c r="D1044" t="s">
        <v>299</v>
      </c>
      <c r="E1044">
        <v>5805900100</v>
      </c>
      <c r="H1044" t="s">
        <v>1093</v>
      </c>
      <c r="K1044" s="1633">
        <v>0</v>
      </c>
      <c r="M1044" s="1633">
        <v>174511</v>
      </c>
      <c r="O1044" s="1633">
        <v>-174511</v>
      </c>
      <c r="Q1044">
        <v>-100</v>
      </c>
    </row>
    <row r="1045" spans="3:18">
      <c r="C1045" t="s">
        <v>297</v>
      </c>
      <c r="D1045" t="s">
        <v>299</v>
      </c>
      <c r="E1045">
        <v>5805900200</v>
      </c>
      <c r="H1045" t="s">
        <v>1094</v>
      </c>
      <c r="K1045" s="1633">
        <v>312919362</v>
      </c>
      <c r="M1045" s="1633">
        <v>630448916</v>
      </c>
      <c r="O1045" s="1633">
        <v>-317529554</v>
      </c>
      <c r="Q1045">
        <v>-50.4</v>
      </c>
    </row>
    <row r="1046" spans="3:18">
      <c r="C1046" t="s">
        <v>297</v>
      </c>
      <c r="D1046" t="s">
        <v>299</v>
      </c>
      <c r="E1046">
        <v>5808020100</v>
      </c>
      <c r="H1046" t="s">
        <v>1095</v>
      </c>
      <c r="K1046" s="1633">
        <v>5931781800</v>
      </c>
      <c r="M1046" s="1633">
        <v>4137962131</v>
      </c>
      <c r="O1046" s="1633">
        <v>1793819669</v>
      </c>
      <c r="Q1046">
        <v>43.4</v>
      </c>
    </row>
    <row r="1047" spans="3:18">
      <c r="C1047" t="s">
        <v>297</v>
      </c>
      <c r="D1047" t="s">
        <v>299</v>
      </c>
      <c r="E1047">
        <v>5808110000</v>
      </c>
      <c r="H1047" t="s">
        <v>1096</v>
      </c>
      <c r="K1047" s="1633">
        <v>0</v>
      </c>
      <c r="M1047" s="1633">
        <v>100114106</v>
      </c>
      <c r="O1047" s="1633">
        <v>-100114106</v>
      </c>
      <c r="Q1047">
        <v>-100</v>
      </c>
    </row>
    <row r="1048" spans="3:18">
      <c r="C1048" t="s">
        <v>297</v>
      </c>
      <c r="D1048" t="s">
        <v>299</v>
      </c>
      <c r="E1048">
        <v>5810900000</v>
      </c>
      <c r="H1048" t="s">
        <v>1097</v>
      </c>
      <c r="K1048" s="1633">
        <v>14147003</v>
      </c>
      <c r="M1048" s="1633">
        <v>146171564</v>
      </c>
      <c r="O1048" s="1633">
        <v>-132024561</v>
      </c>
      <c r="Q1048">
        <v>-90.3</v>
      </c>
    </row>
    <row r="1049" spans="3:18">
      <c r="C1049" t="s">
        <v>297</v>
      </c>
      <c r="D1049" t="s">
        <v>299</v>
      </c>
      <c r="E1049">
        <v>5810900200</v>
      </c>
      <c r="H1049" t="s">
        <v>2507</v>
      </c>
      <c r="K1049" s="1633">
        <v>495579984</v>
      </c>
      <c r="M1049" s="1633">
        <v>0</v>
      </c>
      <c r="O1049" s="1633">
        <v>495579984</v>
      </c>
    </row>
    <row r="1050" spans="3:18">
      <c r="C1050" t="s">
        <v>297</v>
      </c>
      <c r="D1050" t="s">
        <v>299</v>
      </c>
      <c r="E1050">
        <v>5815880100</v>
      </c>
      <c r="H1050" t="s">
        <v>2508</v>
      </c>
      <c r="K1050" s="1633">
        <v>6761787</v>
      </c>
      <c r="M1050" s="1633">
        <v>0</v>
      </c>
      <c r="O1050" s="1633">
        <v>6761787</v>
      </c>
    </row>
    <row r="1051" spans="3:18">
      <c r="E1051" t="s">
        <v>1098</v>
      </c>
      <c r="K1051" s="1633">
        <v>16891115924</v>
      </c>
      <c r="M1051" s="1633">
        <v>94550069863</v>
      </c>
      <c r="O1051" s="1633">
        <v>-77658953939</v>
      </c>
      <c r="Q1051">
        <v>-82.1</v>
      </c>
      <c r="R1051" t="s">
        <v>392</v>
      </c>
    </row>
    <row r="1053" spans="3:18">
      <c r="E1053" t="s">
        <v>1099</v>
      </c>
    </row>
    <row r="1054" spans="3:18">
      <c r="E1054" t="s">
        <v>1102</v>
      </c>
    </row>
    <row r="1055" spans="3:18">
      <c r="C1055" t="s">
        <v>297</v>
      </c>
      <c r="D1055" t="s">
        <v>299</v>
      </c>
      <c r="E1055">
        <v>4805040000</v>
      </c>
      <c r="H1055" t="s">
        <v>1103</v>
      </c>
      <c r="K1055" s="1633">
        <v>-588224968</v>
      </c>
      <c r="M1055" s="1633">
        <v>-190236215</v>
      </c>
      <c r="O1055" s="1633">
        <v>-397988753</v>
      </c>
      <c r="Q1055">
        <v>-209.2</v>
      </c>
    </row>
    <row r="1056" spans="3:18">
      <c r="C1056" t="s">
        <v>297</v>
      </c>
      <c r="D1056" t="s">
        <v>299</v>
      </c>
      <c r="E1056">
        <v>4805040600</v>
      </c>
      <c r="H1056" t="s">
        <v>1104</v>
      </c>
      <c r="K1056" s="1633">
        <v>-1035648399</v>
      </c>
      <c r="M1056" s="1633">
        <v>-3164040047</v>
      </c>
      <c r="O1056" s="1633">
        <v>2128391648</v>
      </c>
      <c r="Q1056">
        <v>67.3</v>
      </c>
    </row>
    <row r="1057" spans="3:18">
      <c r="C1057" t="s">
        <v>297</v>
      </c>
      <c r="D1057" t="s">
        <v>299</v>
      </c>
      <c r="E1057">
        <v>4805041100</v>
      </c>
      <c r="H1057" t="s">
        <v>1340</v>
      </c>
      <c r="K1057" s="1633">
        <v>-133120363111</v>
      </c>
      <c r="M1057" s="1633">
        <v>-169647394072</v>
      </c>
      <c r="O1057" s="1633">
        <v>36527030961</v>
      </c>
      <c r="Q1057">
        <v>21.5</v>
      </c>
    </row>
    <row r="1058" spans="3:18">
      <c r="C1058" t="s">
        <v>297</v>
      </c>
      <c r="D1058" t="s">
        <v>299</v>
      </c>
      <c r="E1058">
        <v>4805130100</v>
      </c>
      <c r="H1058" t="s">
        <v>1105</v>
      </c>
      <c r="K1058" s="1633">
        <v>-588856</v>
      </c>
      <c r="M1058" s="1633">
        <v>-88687</v>
      </c>
      <c r="O1058" s="1633">
        <v>-500169</v>
      </c>
      <c r="Q1058">
        <v>-564</v>
      </c>
    </row>
    <row r="1059" spans="3:18">
      <c r="C1059" t="s">
        <v>297</v>
      </c>
      <c r="D1059" t="s">
        <v>299</v>
      </c>
      <c r="E1059">
        <v>4805130200</v>
      </c>
      <c r="H1059" t="s">
        <v>1106</v>
      </c>
      <c r="K1059" s="1633">
        <v>-832397478</v>
      </c>
      <c r="M1059" s="1633">
        <v>-319521201</v>
      </c>
      <c r="O1059" s="1633">
        <v>-512876277</v>
      </c>
      <c r="Q1059">
        <v>-160.5</v>
      </c>
    </row>
    <row r="1060" spans="3:18">
      <c r="C1060" t="s">
        <v>297</v>
      </c>
      <c r="D1060" t="s">
        <v>299</v>
      </c>
      <c r="E1060">
        <v>4805220300</v>
      </c>
      <c r="H1060" t="s">
        <v>1107</v>
      </c>
      <c r="K1060" s="1633">
        <v>-24565591509</v>
      </c>
      <c r="M1060" s="1633">
        <v>-25185080852</v>
      </c>
      <c r="O1060" s="1633">
        <v>619489343</v>
      </c>
      <c r="Q1060">
        <v>2.5</v>
      </c>
    </row>
    <row r="1061" spans="3:18">
      <c r="C1061" t="s">
        <v>297</v>
      </c>
      <c r="D1061" t="s">
        <v>299</v>
      </c>
      <c r="E1061">
        <v>4805900200</v>
      </c>
      <c r="H1061" t="s">
        <v>1108</v>
      </c>
      <c r="K1061" s="1633">
        <v>-110080310</v>
      </c>
      <c r="M1061" s="1633">
        <v>-461546215</v>
      </c>
      <c r="O1061" s="1633">
        <v>351465905</v>
      </c>
      <c r="Q1061">
        <v>76.099999999999994</v>
      </c>
    </row>
    <row r="1062" spans="3:18">
      <c r="E1062" t="s">
        <v>1109</v>
      </c>
      <c r="K1062" s="1633">
        <v>-160252894631</v>
      </c>
      <c r="M1062" s="1633">
        <v>-198967907289</v>
      </c>
      <c r="O1062" s="1633">
        <v>38715012658</v>
      </c>
      <c r="Q1062">
        <v>19.5</v>
      </c>
      <c r="R1062" t="s">
        <v>362</v>
      </c>
    </row>
    <row r="1063" spans="3:18">
      <c r="E1063" t="s">
        <v>1110</v>
      </c>
      <c r="K1063" s="1633">
        <v>-160252894631</v>
      </c>
      <c r="M1063" s="1633">
        <v>-198967907289</v>
      </c>
      <c r="O1063" s="1633">
        <v>38715012658</v>
      </c>
      <c r="Q1063">
        <v>19.5</v>
      </c>
      <c r="R1063" t="s">
        <v>392</v>
      </c>
    </row>
    <row r="1065" spans="3:18">
      <c r="E1065" t="s">
        <v>1310</v>
      </c>
    </row>
    <row r="1066" spans="3:18">
      <c r="E1066" t="s">
        <v>1311</v>
      </c>
    </row>
    <row r="1067" spans="3:18">
      <c r="C1067" t="s">
        <v>297</v>
      </c>
      <c r="D1067" t="s">
        <v>299</v>
      </c>
      <c r="E1067">
        <v>4805800200</v>
      </c>
      <c r="H1067" t="s">
        <v>1100</v>
      </c>
      <c r="K1067" s="1633">
        <v>-847401006</v>
      </c>
      <c r="M1067" s="1633">
        <v>-55392299286</v>
      </c>
      <c r="O1067" s="1633">
        <v>54544898280</v>
      </c>
      <c r="Q1067">
        <v>98.5</v>
      </c>
    </row>
    <row r="1068" spans="3:18">
      <c r="C1068" t="s">
        <v>297</v>
      </c>
      <c r="D1068" t="s">
        <v>299</v>
      </c>
      <c r="E1068">
        <v>5805650200</v>
      </c>
      <c r="H1068" t="s">
        <v>1101</v>
      </c>
      <c r="K1068" s="1633">
        <v>5304123049</v>
      </c>
      <c r="M1068" s="1633">
        <v>10192553409</v>
      </c>
      <c r="O1068" s="1633">
        <v>-4888430360</v>
      </c>
      <c r="Q1068">
        <v>-48</v>
      </c>
    </row>
    <row r="1069" spans="3:18">
      <c r="E1069" t="s">
        <v>1312</v>
      </c>
      <c r="K1069" s="1633">
        <v>4456722043</v>
      </c>
      <c r="M1069" s="1633">
        <v>-45199745877</v>
      </c>
      <c r="O1069" s="1633">
        <v>49656467920</v>
      </c>
      <c r="Q1069">
        <v>109.9</v>
      </c>
      <c r="R1069" t="s">
        <v>362</v>
      </c>
    </row>
    <row r="1070" spans="3:18">
      <c r="E1070" t="s">
        <v>1313</v>
      </c>
      <c r="K1070" s="1633">
        <v>4456722043</v>
      </c>
      <c r="M1070" s="1633">
        <v>-45199745877</v>
      </c>
      <c r="O1070" s="1633">
        <v>49656467920</v>
      </c>
      <c r="Q1070">
        <v>109.9</v>
      </c>
      <c r="R1070" t="s">
        <v>392</v>
      </c>
    </row>
    <row r="1072" spans="3:18">
      <c r="E1072" s="1722" t="s">
        <v>1111</v>
      </c>
      <c r="F1072" s="1722"/>
      <c r="G1072" s="1722"/>
      <c r="H1072" s="1722"/>
      <c r="I1072" s="1722"/>
      <c r="J1072" s="1722"/>
      <c r="K1072" s="2381"/>
    </row>
    <row r="1073" spans="3:17">
      <c r="C1073" t="s">
        <v>297</v>
      </c>
      <c r="D1073" t="s">
        <v>299</v>
      </c>
      <c r="E1073" s="1722">
        <v>5803010100</v>
      </c>
      <c r="F1073" s="1722"/>
      <c r="G1073" s="1722"/>
      <c r="H1073" s="1722" t="s">
        <v>34</v>
      </c>
      <c r="I1073" s="1722"/>
      <c r="J1073" s="1722"/>
      <c r="K1073" s="2381">
        <v>463462</v>
      </c>
      <c r="M1073" s="1633">
        <v>26614885056</v>
      </c>
      <c r="O1073" s="1633">
        <v>-26614421594</v>
      </c>
      <c r="Q1073">
        <v>-100</v>
      </c>
    </row>
    <row r="1074" spans="3:17">
      <c r="C1074" t="s">
        <v>297</v>
      </c>
      <c r="D1074" t="s">
        <v>299</v>
      </c>
      <c r="E1074" s="1722">
        <v>5803010200</v>
      </c>
      <c r="F1074" s="1722"/>
      <c r="G1074" s="1722"/>
      <c r="H1074" s="1722" t="s">
        <v>35</v>
      </c>
      <c r="I1074" s="1722"/>
      <c r="J1074" s="1722"/>
      <c r="K1074" s="2381">
        <v>-5284159</v>
      </c>
      <c r="M1074" s="1633">
        <v>-23693299017</v>
      </c>
      <c r="O1074" s="1633">
        <v>23688014858</v>
      </c>
      <c r="Q1074">
        <v>100</v>
      </c>
    </row>
    <row r="1075" spans="3:17">
      <c r="C1075" t="s">
        <v>297</v>
      </c>
      <c r="D1075" t="s">
        <v>299</v>
      </c>
      <c r="E1075" s="1722">
        <v>5803010300</v>
      </c>
      <c r="F1075" s="1722"/>
      <c r="G1075" s="1722"/>
      <c r="H1075" s="1722" t="s">
        <v>1235</v>
      </c>
      <c r="I1075" s="1722"/>
      <c r="J1075" s="1722"/>
      <c r="K1075" s="2381">
        <v>2741982078</v>
      </c>
      <c r="M1075" s="1633">
        <v>10738224107</v>
      </c>
      <c r="O1075" s="1633">
        <v>-7996242029</v>
      </c>
      <c r="Q1075">
        <v>-74.5</v>
      </c>
    </row>
    <row r="1076" spans="3:17">
      <c r="C1076" t="s">
        <v>297</v>
      </c>
      <c r="D1076" t="s">
        <v>299</v>
      </c>
      <c r="E1076" s="1722">
        <v>5803010400</v>
      </c>
      <c r="F1076" s="1722"/>
      <c r="G1076" s="1722"/>
      <c r="H1076" s="1722" t="s">
        <v>1186</v>
      </c>
      <c r="I1076" s="1722"/>
      <c r="J1076" s="1722"/>
      <c r="K1076" s="2381">
        <v>1716187137</v>
      </c>
      <c r="M1076" s="1633">
        <v>83964104299</v>
      </c>
      <c r="O1076" s="1633">
        <v>-82247917162</v>
      </c>
      <c r="Q1076">
        <v>-98</v>
      </c>
    </row>
    <row r="1077" spans="3:17">
      <c r="C1077" t="s">
        <v>297</v>
      </c>
      <c r="D1077" t="s">
        <v>299</v>
      </c>
      <c r="E1077" s="1722">
        <v>5803010500</v>
      </c>
      <c r="F1077" s="1722"/>
      <c r="G1077" s="1722"/>
      <c r="H1077" s="1722" t="s">
        <v>1236</v>
      </c>
      <c r="I1077" s="1722"/>
      <c r="J1077" s="1722"/>
      <c r="K1077" s="2381">
        <v>2094741425</v>
      </c>
      <c r="M1077" s="1633">
        <v>27485395168</v>
      </c>
      <c r="O1077" s="1633">
        <v>-25390653743</v>
      </c>
      <c r="Q1077">
        <v>-92.4</v>
      </c>
    </row>
    <row r="1078" spans="3:17">
      <c r="C1078" t="s">
        <v>297</v>
      </c>
      <c r="D1078" t="s">
        <v>299</v>
      </c>
      <c r="E1078" s="1722">
        <v>5803010600</v>
      </c>
      <c r="F1078" s="1722"/>
      <c r="G1078" s="1722"/>
      <c r="H1078" s="1722" t="s">
        <v>1187</v>
      </c>
      <c r="I1078" s="1722"/>
      <c r="J1078" s="1722"/>
      <c r="K1078" s="2381">
        <v>-309462</v>
      </c>
      <c r="M1078" s="1633">
        <v>285545</v>
      </c>
      <c r="O1078" s="1633">
        <v>-595007</v>
      </c>
      <c r="Q1078">
        <v>-208.4</v>
      </c>
    </row>
    <row r="1079" spans="3:17">
      <c r="C1079" t="s">
        <v>297</v>
      </c>
      <c r="D1079" t="s">
        <v>299</v>
      </c>
      <c r="E1079" s="1722">
        <v>5803020100</v>
      </c>
      <c r="F1079" s="1722"/>
      <c r="G1079" s="1722"/>
      <c r="H1079" s="1722" t="s">
        <v>36</v>
      </c>
      <c r="I1079" s="1722"/>
      <c r="J1079" s="1722"/>
      <c r="K1079" s="2381">
        <v>1206856</v>
      </c>
      <c r="M1079" s="1633">
        <v>0</v>
      </c>
      <c r="O1079" s="1633">
        <v>1206856</v>
      </c>
    </row>
    <row r="1080" spans="3:17">
      <c r="C1080" t="s">
        <v>297</v>
      </c>
      <c r="D1080" t="s">
        <v>299</v>
      </c>
      <c r="E1080" s="1722">
        <v>5803020200</v>
      </c>
      <c r="F1080" s="1722"/>
      <c r="G1080" s="1722"/>
      <c r="H1080" s="1722" t="s">
        <v>37</v>
      </c>
      <c r="I1080" s="1722"/>
      <c r="J1080" s="1722"/>
      <c r="K1080" s="2381">
        <v>-3604826</v>
      </c>
      <c r="M1080" s="1633">
        <v>3831762</v>
      </c>
      <c r="O1080" s="1633">
        <v>-7436588</v>
      </c>
      <c r="Q1080">
        <v>-194.1</v>
      </c>
    </row>
    <row r="1081" spans="3:17">
      <c r="C1081" t="s">
        <v>297</v>
      </c>
      <c r="D1081" t="s">
        <v>299</v>
      </c>
      <c r="E1081" s="1722">
        <v>5803120000</v>
      </c>
      <c r="F1081" s="1722"/>
      <c r="G1081" s="1722"/>
      <c r="H1081" s="1722" t="s">
        <v>39</v>
      </c>
      <c r="I1081" s="1722"/>
      <c r="J1081" s="1722"/>
      <c r="K1081" s="2381">
        <v>17710294</v>
      </c>
      <c r="M1081" s="1633">
        <v>583444082</v>
      </c>
      <c r="O1081" s="1633">
        <v>-565733788</v>
      </c>
      <c r="Q1081">
        <v>-97</v>
      </c>
    </row>
    <row r="1082" spans="3:17">
      <c r="C1082" t="s">
        <v>297</v>
      </c>
      <c r="D1082" t="s">
        <v>299</v>
      </c>
      <c r="E1082" s="1722">
        <v>5803120200</v>
      </c>
      <c r="F1082" s="1722"/>
      <c r="G1082" s="1722"/>
      <c r="H1082" s="1722" t="s">
        <v>40</v>
      </c>
      <c r="I1082" s="1722"/>
      <c r="J1082" s="1722"/>
      <c r="K1082" s="2381">
        <v>40732564</v>
      </c>
      <c r="M1082" s="1633">
        <v>1164982</v>
      </c>
      <c r="O1082" s="1633">
        <v>39567582</v>
      </c>
      <c r="Q1082">
        <v>3396.4</v>
      </c>
    </row>
    <row r="1083" spans="3:17">
      <c r="C1083" t="s">
        <v>297</v>
      </c>
      <c r="D1083" t="s">
        <v>299</v>
      </c>
      <c r="E1083" s="1722">
        <v>5803130000</v>
      </c>
      <c r="F1083" s="1722"/>
      <c r="G1083" s="1722"/>
      <c r="H1083" s="1722" t="s">
        <v>41</v>
      </c>
      <c r="I1083" s="1722"/>
      <c r="J1083" s="1722"/>
      <c r="K1083" s="2381">
        <v>3451705130</v>
      </c>
      <c r="M1083" s="1633">
        <v>7176035746</v>
      </c>
      <c r="O1083" s="1633">
        <v>-3724330616</v>
      </c>
      <c r="Q1083">
        <v>-51.9</v>
      </c>
    </row>
    <row r="1084" spans="3:17">
      <c r="C1084" t="s">
        <v>297</v>
      </c>
      <c r="D1084" t="s">
        <v>299</v>
      </c>
      <c r="E1084" s="1722">
        <v>5803130200</v>
      </c>
      <c r="F1084" s="1722"/>
      <c r="G1084" s="1722"/>
      <c r="H1084" s="1722" t="s">
        <v>42</v>
      </c>
      <c r="I1084" s="1722"/>
      <c r="J1084" s="1722"/>
      <c r="K1084" s="2381">
        <v>-2776196643</v>
      </c>
      <c r="M1084" s="1633">
        <v>2538861031</v>
      </c>
      <c r="O1084" s="1633">
        <v>-5315057674</v>
      </c>
      <c r="Q1084">
        <v>-209.3</v>
      </c>
    </row>
    <row r="1085" spans="3:17">
      <c r="C1085" t="s">
        <v>297</v>
      </c>
      <c r="D1085" t="s">
        <v>299</v>
      </c>
      <c r="E1085" s="1722">
        <v>5803360100</v>
      </c>
      <c r="F1085" s="1722"/>
      <c r="G1085" s="1722"/>
      <c r="H1085" s="1722" t="s">
        <v>1314</v>
      </c>
      <c r="I1085" s="1722"/>
      <c r="J1085" s="1722"/>
      <c r="K1085" s="2381">
        <v>5685956769</v>
      </c>
      <c r="M1085" s="1633">
        <v>1325333600</v>
      </c>
      <c r="O1085" s="1633">
        <v>4360623169</v>
      </c>
      <c r="Q1085">
        <v>329</v>
      </c>
    </row>
    <row r="1086" spans="3:17">
      <c r="C1086" t="s">
        <v>297</v>
      </c>
      <c r="D1086" t="s">
        <v>299</v>
      </c>
      <c r="E1086" s="1722">
        <v>5803451000</v>
      </c>
      <c r="F1086" s="1722"/>
      <c r="G1086" s="1722"/>
      <c r="H1086" s="1722" t="s">
        <v>177</v>
      </c>
      <c r="I1086" s="1722"/>
      <c r="J1086" s="1722"/>
      <c r="K1086" s="2381">
        <v>-17981354605</v>
      </c>
      <c r="M1086" s="1633">
        <v>149342274513</v>
      </c>
      <c r="O1086" s="1633">
        <v>-167323629118</v>
      </c>
      <c r="Q1086">
        <v>-112</v>
      </c>
    </row>
    <row r="1087" spans="3:17">
      <c r="C1087" t="s">
        <v>297</v>
      </c>
      <c r="D1087" t="s">
        <v>299</v>
      </c>
      <c r="E1087" s="1722">
        <v>5803451110</v>
      </c>
      <c r="F1087" s="1722"/>
      <c r="G1087" s="1722"/>
      <c r="H1087" s="1722" t="s">
        <v>1188</v>
      </c>
      <c r="I1087" s="1722"/>
      <c r="J1087" s="1722"/>
      <c r="K1087" s="2381">
        <v>88002922</v>
      </c>
      <c r="M1087" s="1633">
        <v>22287115379</v>
      </c>
      <c r="O1087" s="1633">
        <v>-22199112457</v>
      </c>
      <c r="Q1087">
        <v>-99.6</v>
      </c>
    </row>
    <row r="1088" spans="3:17">
      <c r="C1088" t="s">
        <v>297</v>
      </c>
      <c r="D1088" t="s">
        <v>299</v>
      </c>
      <c r="E1088" s="1722">
        <v>5803451210</v>
      </c>
      <c r="F1088" s="1722"/>
      <c r="G1088" s="1722"/>
      <c r="H1088" s="1722" t="s">
        <v>2509</v>
      </c>
      <c r="I1088" s="1722"/>
      <c r="J1088" s="1722"/>
      <c r="K1088" s="2381">
        <v>1388762314</v>
      </c>
      <c r="M1088" s="1633">
        <v>0</v>
      </c>
      <c r="O1088" s="1633">
        <v>1388762314</v>
      </c>
    </row>
    <row r="1089" spans="3:18">
      <c r="C1089" t="s">
        <v>297</v>
      </c>
      <c r="D1089" t="s">
        <v>299</v>
      </c>
      <c r="E1089" s="1722">
        <v>5803452000</v>
      </c>
      <c r="F1089" s="1722"/>
      <c r="G1089" s="1722"/>
      <c r="H1089" s="1722" t="s">
        <v>209</v>
      </c>
      <c r="I1089" s="1722"/>
      <c r="J1089" s="1722"/>
      <c r="K1089" s="2381">
        <v>6849388</v>
      </c>
      <c r="M1089" s="1633">
        <v>761847479</v>
      </c>
      <c r="O1089" s="1633">
        <v>-754998091</v>
      </c>
      <c r="Q1089">
        <v>-99.1</v>
      </c>
    </row>
    <row r="1090" spans="3:18">
      <c r="C1090" t="s">
        <v>297</v>
      </c>
      <c r="D1090" t="s">
        <v>299</v>
      </c>
      <c r="E1090" s="1722">
        <v>5803452102</v>
      </c>
      <c r="F1090" s="1722"/>
      <c r="G1090" s="1722"/>
      <c r="H1090" s="1722" t="s">
        <v>1112</v>
      </c>
      <c r="I1090" s="1722"/>
      <c r="J1090" s="1722"/>
      <c r="K1090" s="2381">
        <v>502911554</v>
      </c>
      <c r="M1090" s="1633">
        <v>2651015875</v>
      </c>
      <c r="O1090" s="1633">
        <v>-2148104321</v>
      </c>
      <c r="Q1090">
        <v>-81</v>
      </c>
    </row>
    <row r="1091" spans="3:18">
      <c r="C1091" t="s">
        <v>297</v>
      </c>
      <c r="D1091" t="s">
        <v>299</v>
      </c>
      <c r="E1091" s="1722">
        <v>5803453000</v>
      </c>
      <c r="F1091" s="1722"/>
      <c r="G1091" s="1722"/>
      <c r="H1091" s="1722" t="s">
        <v>188</v>
      </c>
      <c r="I1091" s="1722"/>
      <c r="J1091" s="1722"/>
      <c r="K1091" s="2381">
        <v>-58944289</v>
      </c>
      <c r="M1091" s="1633">
        <v>190092061</v>
      </c>
      <c r="O1091" s="1633">
        <v>-249036350</v>
      </c>
      <c r="Q1091">
        <v>-131</v>
      </c>
    </row>
    <row r="1092" spans="3:18">
      <c r="C1092" t="s">
        <v>297</v>
      </c>
      <c r="D1092" t="s">
        <v>299</v>
      </c>
      <c r="E1092" s="1722">
        <v>5803900300</v>
      </c>
      <c r="F1092" s="1722"/>
      <c r="G1092" s="1722"/>
      <c r="H1092" s="1722" t="s">
        <v>1113</v>
      </c>
      <c r="I1092" s="1722"/>
      <c r="J1092" s="1722"/>
      <c r="K1092" s="2381">
        <v>29155</v>
      </c>
      <c r="M1092" s="1633">
        <v>1332862</v>
      </c>
      <c r="O1092" s="1633">
        <v>-1303707</v>
      </c>
      <c r="Q1092">
        <v>-97.8</v>
      </c>
    </row>
    <row r="1093" spans="3:18">
      <c r="C1093" t="s">
        <v>297</v>
      </c>
      <c r="D1093" t="s">
        <v>299</v>
      </c>
      <c r="E1093" s="1722">
        <v>5803901300</v>
      </c>
      <c r="F1093" s="1722"/>
      <c r="G1093" s="1722"/>
      <c r="H1093" s="1722" t="s">
        <v>43</v>
      </c>
      <c r="I1093" s="1722"/>
      <c r="J1093" s="1722"/>
      <c r="K1093" s="2381">
        <v>-15130</v>
      </c>
      <c r="M1093" s="1633">
        <v>88832</v>
      </c>
      <c r="O1093" s="1633">
        <v>-103962</v>
      </c>
      <c r="Q1093">
        <v>-117</v>
      </c>
    </row>
    <row r="1094" spans="3:18">
      <c r="E1094" s="1722" t="s">
        <v>1115</v>
      </c>
      <c r="F1094" s="1722"/>
      <c r="G1094" s="1722"/>
      <c r="H1094" s="1722"/>
      <c r="I1094" s="1722"/>
      <c r="J1094" s="1722"/>
      <c r="K1094" s="2381">
        <v>-3088468066</v>
      </c>
      <c r="M1094" s="1633">
        <v>311972033362</v>
      </c>
      <c r="O1094" s="1633">
        <v>-315060501428</v>
      </c>
      <c r="Q1094">
        <v>-101</v>
      </c>
      <c r="R1094" t="s">
        <v>362</v>
      </c>
    </row>
    <row r="1095" spans="3:18">
      <c r="E1095" s="1722" t="s">
        <v>1111</v>
      </c>
      <c r="F1095" s="1722"/>
      <c r="G1095" s="1722"/>
      <c r="H1095" s="1722"/>
      <c r="I1095" s="1722"/>
      <c r="J1095" s="1722"/>
      <c r="K1095" s="2381"/>
    </row>
    <row r="1096" spans="3:18">
      <c r="C1096" t="s">
        <v>297</v>
      </c>
      <c r="D1096" t="s">
        <v>299</v>
      </c>
      <c r="E1096" s="1722">
        <v>4806010000</v>
      </c>
      <c r="F1096" s="1722"/>
      <c r="G1096" s="1722"/>
      <c r="H1096" s="1722" t="s">
        <v>24</v>
      </c>
      <c r="I1096" s="1722"/>
      <c r="J1096" s="1722"/>
      <c r="K1096" s="2381">
        <v>0</v>
      </c>
      <c r="M1096" s="1633">
        <v>-20160720062</v>
      </c>
      <c r="O1096" s="1633">
        <v>20160720062</v>
      </c>
      <c r="Q1096">
        <v>100</v>
      </c>
    </row>
    <row r="1097" spans="3:18">
      <c r="C1097" t="s">
        <v>297</v>
      </c>
      <c r="D1097" t="s">
        <v>299</v>
      </c>
      <c r="E1097" s="1722">
        <v>4806010300</v>
      </c>
      <c r="F1097" s="1722"/>
      <c r="G1097" s="1722"/>
      <c r="H1097" s="1722" t="s">
        <v>1189</v>
      </c>
      <c r="I1097" s="1722"/>
      <c r="J1097" s="1722"/>
      <c r="K1097" s="2381">
        <v>-4528741482</v>
      </c>
      <c r="M1097" s="1633">
        <v>-22653758733</v>
      </c>
      <c r="O1097" s="1633">
        <v>18125017251</v>
      </c>
      <c r="Q1097">
        <v>80</v>
      </c>
    </row>
    <row r="1098" spans="3:18">
      <c r="C1098" t="s">
        <v>297</v>
      </c>
      <c r="D1098" t="s">
        <v>299</v>
      </c>
      <c r="E1098" s="1722">
        <v>4806011000</v>
      </c>
      <c r="F1098" s="1722"/>
      <c r="G1098" s="1722"/>
      <c r="H1098" s="1722" t="s">
        <v>25</v>
      </c>
      <c r="I1098" s="1722"/>
      <c r="J1098" s="1722"/>
      <c r="K1098" s="2381">
        <v>-9718752387</v>
      </c>
      <c r="M1098" s="1633">
        <v>20683831201</v>
      </c>
      <c r="O1098" s="1633">
        <v>-30402583588</v>
      </c>
      <c r="Q1098">
        <v>-147</v>
      </c>
    </row>
    <row r="1099" spans="3:18">
      <c r="C1099" t="s">
        <v>297</v>
      </c>
      <c r="D1099" t="s">
        <v>299</v>
      </c>
      <c r="E1099" s="1722">
        <v>4806011400</v>
      </c>
      <c r="F1099" s="1722"/>
      <c r="G1099" s="1722"/>
      <c r="H1099" s="1722" t="s">
        <v>1186</v>
      </c>
      <c r="I1099" s="1722"/>
      <c r="J1099" s="1722"/>
      <c r="K1099" s="2381">
        <v>0</v>
      </c>
      <c r="M1099" s="1633">
        <v>1403160000</v>
      </c>
      <c r="O1099" s="1633">
        <v>-1403160000</v>
      </c>
      <c r="Q1099">
        <v>-100</v>
      </c>
    </row>
    <row r="1100" spans="3:18">
      <c r="C1100" t="s">
        <v>297</v>
      </c>
      <c r="D1100" t="s">
        <v>299</v>
      </c>
      <c r="E1100" s="1722">
        <v>4806011500</v>
      </c>
      <c r="F1100" s="1722"/>
      <c r="G1100" s="1722"/>
      <c r="H1100" s="1722" t="s">
        <v>1237</v>
      </c>
      <c r="I1100" s="1722"/>
      <c r="J1100" s="1722"/>
      <c r="K1100" s="2381">
        <v>-11643978794</v>
      </c>
      <c r="M1100" s="1633">
        <v>-76574168620</v>
      </c>
      <c r="O1100" s="1633">
        <v>64930189826</v>
      </c>
      <c r="Q1100">
        <v>84.8</v>
      </c>
    </row>
    <row r="1101" spans="3:18">
      <c r="C1101" t="s">
        <v>297</v>
      </c>
      <c r="D1101" t="s">
        <v>299</v>
      </c>
      <c r="E1101" s="1722">
        <v>4806011600</v>
      </c>
      <c r="F1101" s="1722"/>
      <c r="G1101" s="1722"/>
      <c r="H1101" s="1722" t="s">
        <v>1187</v>
      </c>
      <c r="I1101" s="1722"/>
      <c r="J1101" s="1722"/>
      <c r="K1101" s="2381">
        <v>-124006657</v>
      </c>
      <c r="M1101" s="1633">
        <v>4181562739</v>
      </c>
      <c r="O1101" s="1633">
        <v>-4305569396</v>
      </c>
      <c r="Q1101">
        <v>-103</v>
      </c>
    </row>
    <row r="1102" spans="3:18">
      <c r="C1102" t="s">
        <v>297</v>
      </c>
      <c r="D1102" t="s">
        <v>299</v>
      </c>
      <c r="E1102" s="1722">
        <v>4806020000</v>
      </c>
      <c r="F1102" s="1722"/>
      <c r="G1102" s="1722"/>
      <c r="H1102" s="1722" t="s">
        <v>175</v>
      </c>
      <c r="I1102" s="1722"/>
      <c r="J1102" s="1722"/>
      <c r="K1102" s="2381">
        <v>-933856</v>
      </c>
      <c r="M1102" s="1633">
        <v>-527351</v>
      </c>
      <c r="O1102" s="1633">
        <v>-406505</v>
      </c>
      <c r="Q1102">
        <v>-77.099999999999994</v>
      </c>
    </row>
    <row r="1103" spans="3:18">
      <c r="C1103" t="s">
        <v>297</v>
      </c>
      <c r="D1103" t="s">
        <v>299</v>
      </c>
      <c r="E1103" s="1722">
        <v>4806021000</v>
      </c>
      <c r="F1103" s="1722"/>
      <c r="G1103" s="1722"/>
      <c r="H1103" s="1722" t="s">
        <v>26</v>
      </c>
      <c r="I1103" s="1722"/>
      <c r="J1103" s="1722"/>
      <c r="K1103" s="2381">
        <v>10126861</v>
      </c>
      <c r="M1103" s="1633">
        <v>-10333292</v>
      </c>
      <c r="O1103" s="1633">
        <v>20460153</v>
      </c>
      <c r="Q1103">
        <v>198</v>
      </c>
    </row>
    <row r="1104" spans="3:18">
      <c r="C1104" t="s">
        <v>297</v>
      </c>
      <c r="D1104" t="s">
        <v>299</v>
      </c>
      <c r="E1104" s="1722">
        <v>4806120100</v>
      </c>
      <c r="F1104" s="1722"/>
      <c r="G1104" s="1722"/>
      <c r="H1104" s="1722" t="s">
        <v>27</v>
      </c>
      <c r="I1104" s="1722"/>
      <c r="J1104" s="1722"/>
      <c r="K1104" s="2381">
        <v>-704788499</v>
      </c>
      <c r="M1104" s="1633">
        <v>-748341312</v>
      </c>
      <c r="O1104" s="1633">
        <v>43552813</v>
      </c>
      <c r="Q1104">
        <v>5.8</v>
      </c>
    </row>
    <row r="1105" spans="3:18">
      <c r="C1105" t="s">
        <v>297</v>
      </c>
      <c r="D1105" t="s">
        <v>299</v>
      </c>
      <c r="E1105" s="1722">
        <v>4806120200</v>
      </c>
      <c r="F1105" s="1722"/>
      <c r="G1105" s="1722"/>
      <c r="H1105" s="1722" t="s">
        <v>28</v>
      </c>
      <c r="I1105" s="1722"/>
      <c r="J1105" s="1722"/>
      <c r="K1105" s="2381">
        <v>401673333</v>
      </c>
      <c r="M1105" s="1633">
        <v>-399386977</v>
      </c>
      <c r="O1105" s="1633">
        <v>801060310</v>
      </c>
      <c r="Q1105">
        <v>200.6</v>
      </c>
    </row>
    <row r="1106" spans="3:18">
      <c r="C1106" t="s">
        <v>297</v>
      </c>
      <c r="D1106" t="s">
        <v>299</v>
      </c>
      <c r="E1106" s="1722">
        <v>4806130100</v>
      </c>
      <c r="F1106" s="1722"/>
      <c r="G1106" s="1722"/>
      <c r="H1106" s="1722" t="s">
        <v>29</v>
      </c>
      <c r="I1106" s="1722"/>
      <c r="J1106" s="1722"/>
      <c r="K1106" s="2381">
        <v>-60578464</v>
      </c>
      <c r="M1106" s="1633">
        <v>-1737473426</v>
      </c>
      <c r="O1106" s="1633">
        <v>1676894962</v>
      </c>
      <c r="Q1106">
        <v>96.5</v>
      </c>
    </row>
    <row r="1107" spans="3:18">
      <c r="C1107" t="s">
        <v>297</v>
      </c>
      <c r="D1107" t="s">
        <v>299</v>
      </c>
      <c r="E1107" s="1722">
        <v>4806130110</v>
      </c>
      <c r="F1107" s="1722"/>
      <c r="G1107" s="1722"/>
      <c r="H1107" s="1722" t="s">
        <v>29</v>
      </c>
      <c r="I1107" s="1722"/>
      <c r="J1107" s="1722"/>
      <c r="K1107" s="2381">
        <v>-463836388</v>
      </c>
      <c r="M1107" s="1633">
        <v>-6541050192</v>
      </c>
      <c r="O1107" s="1633">
        <v>6077213804</v>
      </c>
      <c r="Q1107">
        <v>92.9</v>
      </c>
    </row>
    <row r="1108" spans="3:18">
      <c r="C1108" t="s">
        <v>297</v>
      </c>
      <c r="D1108" t="s">
        <v>299</v>
      </c>
      <c r="E1108" s="1722">
        <v>4806130200</v>
      </c>
      <c r="F1108" s="1722"/>
      <c r="G1108" s="1722"/>
      <c r="H1108" s="1722" t="s">
        <v>28</v>
      </c>
      <c r="I1108" s="1722"/>
      <c r="J1108" s="1722"/>
      <c r="K1108" s="2381">
        <v>265793285</v>
      </c>
      <c r="M1108" s="1633">
        <v>-492740758</v>
      </c>
      <c r="O1108" s="1633">
        <v>758534043</v>
      </c>
      <c r="Q1108">
        <v>153.9</v>
      </c>
    </row>
    <row r="1109" spans="3:18">
      <c r="C1109" t="s">
        <v>297</v>
      </c>
      <c r="D1109" t="s">
        <v>299</v>
      </c>
      <c r="E1109" s="1722">
        <v>4806360100</v>
      </c>
      <c r="F1109" s="1722"/>
      <c r="G1109" s="1722"/>
      <c r="H1109" s="1722" t="s">
        <v>1314</v>
      </c>
      <c r="I1109" s="1722"/>
      <c r="J1109" s="1722"/>
      <c r="K1109" s="2381">
        <v>-417394800</v>
      </c>
      <c r="M1109" s="1633">
        <v>-35529180000</v>
      </c>
      <c r="O1109" s="1633">
        <v>35111785200</v>
      </c>
      <c r="Q1109">
        <v>98.8</v>
      </c>
    </row>
    <row r="1110" spans="3:18">
      <c r="C1110" t="s">
        <v>297</v>
      </c>
      <c r="D1110" t="s">
        <v>299</v>
      </c>
      <c r="E1110" s="1722">
        <v>4806451000</v>
      </c>
      <c r="F1110" s="1722"/>
      <c r="G1110" s="1722"/>
      <c r="H1110" s="1722" t="s">
        <v>30</v>
      </c>
      <c r="I1110" s="1722"/>
      <c r="J1110" s="1722"/>
      <c r="K1110" s="2381">
        <v>-4452263613</v>
      </c>
      <c r="M1110" s="1633">
        <v>0</v>
      </c>
      <c r="O1110" s="1633">
        <v>-4452263613</v>
      </c>
    </row>
    <row r="1111" spans="3:18">
      <c r="C1111" t="s">
        <v>297</v>
      </c>
      <c r="D1111" t="s">
        <v>299</v>
      </c>
      <c r="E1111" s="1722">
        <v>4806451110</v>
      </c>
      <c r="F1111" s="1722"/>
      <c r="G1111" s="1722"/>
      <c r="H1111" s="1722" t="s">
        <v>1251</v>
      </c>
      <c r="I1111" s="1722"/>
      <c r="J1111" s="1722"/>
      <c r="K1111" s="2381">
        <v>0</v>
      </c>
      <c r="M1111" s="1633">
        <v>-1003328107</v>
      </c>
      <c r="O1111" s="1633">
        <v>1003328107</v>
      </c>
      <c r="Q1111">
        <v>100</v>
      </c>
    </row>
    <row r="1112" spans="3:18">
      <c r="C1112" t="s">
        <v>297</v>
      </c>
      <c r="D1112" t="s">
        <v>299</v>
      </c>
      <c r="E1112" s="1722">
        <v>4806451210</v>
      </c>
      <c r="F1112" s="1722"/>
      <c r="G1112" s="1722"/>
      <c r="H1112" s="1722" t="s">
        <v>1341</v>
      </c>
      <c r="I1112" s="1722"/>
      <c r="J1112" s="1722"/>
      <c r="K1112" s="2381">
        <v>0</v>
      </c>
      <c r="M1112" s="1633">
        <v>-22788009987</v>
      </c>
      <c r="O1112" s="1633">
        <v>22788009987</v>
      </c>
      <c r="Q1112">
        <v>100</v>
      </c>
    </row>
    <row r="1113" spans="3:18">
      <c r="C1113" t="s">
        <v>297</v>
      </c>
      <c r="D1113" t="s">
        <v>299</v>
      </c>
      <c r="E1113" s="1722">
        <v>4806452000</v>
      </c>
      <c r="F1113" s="1722"/>
      <c r="G1113" s="1722"/>
      <c r="H1113" s="1722" t="s">
        <v>31</v>
      </c>
      <c r="I1113" s="1722"/>
      <c r="J1113" s="1722"/>
      <c r="K1113" s="2381">
        <v>0</v>
      </c>
      <c r="M1113" s="1633">
        <v>-138468666</v>
      </c>
      <c r="O1113" s="1633">
        <v>138468666</v>
      </c>
      <c r="Q1113">
        <v>100</v>
      </c>
    </row>
    <row r="1114" spans="3:18">
      <c r="C1114" t="s">
        <v>297</v>
      </c>
      <c r="D1114" t="s">
        <v>299</v>
      </c>
      <c r="E1114" s="1722">
        <v>4806452102</v>
      </c>
      <c r="F1114" s="1722"/>
      <c r="G1114" s="1722"/>
      <c r="H1114" s="1722" t="s">
        <v>1362</v>
      </c>
      <c r="I1114" s="1722"/>
      <c r="J1114" s="1722"/>
      <c r="K1114" s="2381">
        <v>-319643025</v>
      </c>
      <c r="M1114" s="1633">
        <v>-56608321</v>
      </c>
      <c r="O1114" s="1633">
        <v>-263034704</v>
      </c>
      <c r="Q1114">
        <v>-464.7</v>
      </c>
    </row>
    <row r="1115" spans="3:18">
      <c r="C1115" t="s">
        <v>297</v>
      </c>
      <c r="D1115" t="s">
        <v>299</v>
      </c>
      <c r="E1115" s="1722">
        <v>4806452105</v>
      </c>
      <c r="F1115" s="1722"/>
      <c r="G1115" s="1722"/>
      <c r="H1115" s="1722" t="s">
        <v>1342</v>
      </c>
      <c r="I1115" s="1722"/>
      <c r="J1115" s="1722"/>
      <c r="K1115" s="2381">
        <v>23295532563</v>
      </c>
      <c r="M1115" s="1633">
        <v>-122167984134</v>
      </c>
      <c r="O1115" s="1633">
        <v>145463516697</v>
      </c>
      <c r="Q1115">
        <v>119.1</v>
      </c>
    </row>
    <row r="1116" spans="3:18">
      <c r="E1116" s="1722" t="s">
        <v>1115</v>
      </c>
      <c r="F1116" s="1722"/>
      <c r="G1116" s="1722"/>
      <c r="H1116" s="1722"/>
      <c r="I1116" s="1722"/>
      <c r="J1116" s="1722"/>
      <c r="K1116" s="2381">
        <v>-8461791923</v>
      </c>
      <c r="M1116" s="1633">
        <v>-284733525998</v>
      </c>
      <c r="O1116" s="1633">
        <v>276271734075</v>
      </c>
      <c r="Q1116">
        <v>97</v>
      </c>
      <c r="R1116" t="s">
        <v>362</v>
      </c>
    </row>
    <row r="1117" spans="3:18">
      <c r="E1117" s="1722" t="s">
        <v>1116</v>
      </c>
      <c r="F1117" s="1722"/>
      <c r="G1117" s="1722"/>
      <c r="H1117" s="1722"/>
      <c r="I1117" s="1722"/>
      <c r="J1117" s="1722"/>
      <c r="K1117" s="2381">
        <v>-11550259989</v>
      </c>
      <c r="M1117" s="1633">
        <v>27238507364</v>
      </c>
      <c r="O1117" s="1633">
        <v>-38788767353</v>
      </c>
      <c r="Q1117">
        <v>-142.4</v>
      </c>
      <c r="R1117" t="s">
        <v>392</v>
      </c>
    </row>
    <row r="1118" spans="3:18">
      <c r="E1118" s="2159"/>
      <c r="F1118" s="2159"/>
      <c r="G1118" s="2159"/>
      <c r="H1118" s="2159"/>
    </row>
    <row r="1119" spans="3:18">
      <c r="E1119" s="2159" t="s">
        <v>1117</v>
      </c>
      <c r="F1119" s="2159"/>
      <c r="G1119" s="2159"/>
      <c r="H1119" s="2159"/>
    </row>
    <row r="1120" spans="3:18">
      <c r="E1120" s="2159" t="s">
        <v>1102</v>
      </c>
      <c r="F1120" s="2159"/>
      <c r="G1120" s="2159"/>
      <c r="H1120" s="2159"/>
    </row>
    <row r="1121" spans="3:18">
      <c r="C1121" t="s">
        <v>297</v>
      </c>
      <c r="D1121" t="s">
        <v>299</v>
      </c>
      <c r="E1121" s="2159">
        <v>4805800300</v>
      </c>
      <c r="F1121" s="2159"/>
      <c r="G1121" s="2159"/>
      <c r="H1121" s="2159" t="s">
        <v>1118</v>
      </c>
      <c r="K1121" s="1633">
        <v>-91849652401</v>
      </c>
      <c r="M1121" s="1633">
        <v>-144801893120</v>
      </c>
      <c r="O1121" s="1633">
        <v>52952240719</v>
      </c>
      <c r="Q1121">
        <v>36.6</v>
      </c>
    </row>
    <row r="1122" spans="3:18">
      <c r="C1122" t="s">
        <v>297</v>
      </c>
      <c r="D1122" t="s">
        <v>299</v>
      </c>
      <c r="E1122" s="2159">
        <v>4805800310</v>
      </c>
      <c r="F1122" s="2159"/>
      <c r="G1122" s="2159"/>
      <c r="H1122" s="2159" t="s">
        <v>1343</v>
      </c>
      <c r="K1122" s="1633">
        <v>-4820668938</v>
      </c>
      <c r="M1122" s="1633">
        <v>-9827336172</v>
      </c>
      <c r="O1122" s="1633">
        <v>5006667234</v>
      </c>
      <c r="Q1122">
        <v>50.9</v>
      </c>
    </row>
    <row r="1123" spans="3:18">
      <c r="C1123" t="s">
        <v>297</v>
      </c>
      <c r="D1123" t="s">
        <v>299</v>
      </c>
      <c r="E1123" s="2159">
        <v>5120170100</v>
      </c>
      <c r="F1123" s="2159"/>
      <c r="G1123" s="2159"/>
      <c r="H1123" s="2159" t="s">
        <v>1119</v>
      </c>
      <c r="K1123" s="1633">
        <v>0</v>
      </c>
      <c r="M1123" s="1633">
        <v>14414100</v>
      </c>
      <c r="O1123" s="1633">
        <v>-14414100</v>
      </c>
      <c r="Q1123">
        <v>-100</v>
      </c>
    </row>
    <row r="1124" spans="3:18">
      <c r="C1124" t="s">
        <v>297</v>
      </c>
      <c r="D1124" t="s">
        <v>299</v>
      </c>
      <c r="E1124" s="2159">
        <v>5801401000</v>
      </c>
      <c r="F1124" s="2159"/>
      <c r="G1124" s="2159"/>
      <c r="H1124" s="2159" t="s">
        <v>1120</v>
      </c>
      <c r="K1124" s="1633">
        <v>336772536654</v>
      </c>
      <c r="M1124" s="1633">
        <v>715638501458</v>
      </c>
      <c r="O1124" s="1633">
        <v>-378865964804</v>
      </c>
      <c r="Q1124">
        <v>-52.9</v>
      </c>
    </row>
    <row r="1125" spans="3:18">
      <c r="C1125" t="s">
        <v>297</v>
      </c>
      <c r="D1125" t="s">
        <v>299</v>
      </c>
      <c r="E1125" s="2159">
        <v>5801409000</v>
      </c>
      <c r="F1125" s="2159"/>
      <c r="G1125" s="2159"/>
      <c r="H1125" s="2159" t="s">
        <v>1121</v>
      </c>
      <c r="K1125" s="1633">
        <v>761423216</v>
      </c>
      <c r="M1125" s="1633">
        <v>3179698016</v>
      </c>
      <c r="O1125" s="1633">
        <v>-2418274800</v>
      </c>
      <c r="Q1125">
        <v>-76.099999999999994</v>
      </c>
    </row>
    <row r="1126" spans="3:18">
      <c r="C1126" t="s">
        <v>297</v>
      </c>
      <c r="D1126" t="s">
        <v>299</v>
      </c>
      <c r="E1126" s="2159">
        <v>5801421000</v>
      </c>
      <c r="F1126" s="2159"/>
      <c r="G1126" s="2159"/>
      <c r="H1126" s="2159" t="s">
        <v>1122</v>
      </c>
      <c r="K1126" s="1633">
        <v>110865287815</v>
      </c>
      <c r="M1126" s="1633">
        <v>174593054007</v>
      </c>
      <c r="O1126" s="1633">
        <v>-63727766192</v>
      </c>
      <c r="Q1126">
        <v>-36.5</v>
      </c>
    </row>
    <row r="1127" spans="3:18">
      <c r="C1127" t="s">
        <v>297</v>
      </c>
      <c r="D1127" t="s">
        <v>299</v>
      </c>
      <c r="E1127" s="2159">
        <v>5801901000</v>
      </c>
      <c r="F1127" s="2159"/>
      <c r="G1127" s="2159"/>
      <c r="H1127" s="2159" t="s">
        <v>1123</v>
      </c>
      <c r="K1127" s="1633">
        <v>1029990130</v>
      </c>
      <c r="M1127" s="1633">
        <v>10728063004</v>
      </c>
      <c r="O1127" s="1633">
        <v>-9698072874</v>
      </c>
      <c r="Q1127">
        <v>-90.4</v>
      </c>
    </row>
    <row r="1128" spans="3:18">
      <c r="C1128" t="s">
        <v>297</v>
      </c>
      <c r="D1128" t="s">
        <v>299</v>
      </c>
      <c r="E1128" s="2159">
        <v>5801903100</v>
      </c>
      <c r="F1128" s="2159"/>
      <c r="G1128" s="2159"/>
      <c r="H1128" s="2159" t="s">
        <v>1124</v>
      </c>
      <c r="K1128" s="1633">
        <v>178114770</v>
      </c>
      <c r="M1128" s="1633">
        <v>363619043</v>
      </c>
      <c r="O1128" s="1633">
        <v>-185504273</v>
      </c>
      <c r="Q1128">
        <v>-51</v>
      </c>
    </row>
    <row r="1129" spans="3:18">
      <c r="C1129" t="s">
        <v>297</v>
      </c>
      <c r="D1129" t="s">
        <v>299</v>
      </c>
      <c r="E1129" s="2159">
        <v>5801904000</v>
      </c>
      <c r="F1129" s="2159"/>
      <c r="G1129" s="2159"/>
      <c r="H1129" s="2159" t="s">
        <v>1125</v>
      </c>
      <c r="K1129" s="1633">
        <v>2059530539</v>
      </c>
      <c r="M1129" s="1633">
        <v>6048921977</v>
      </c>
      <c r="O1129" s="1633">
        <v>-3989391438</v>
      </c>
      <c r="Q1129">
        <v>-66</v>
      </c>
    </row>
    <row r="1130" spans="3:18">
      <c r="C1130" t="s">
        <v>297</v>
      </c>
      <c r="D1130" t="s">
        <v>299</v>
      </c>
      <c r="E1130" s="2159">
        <v>5801904001</v>
      </c>
      <c r="F1130" s="2159"/>
      <c r="G1130" s="2159"/>
      <c r="H1130" s="2159" t="s">
        <v>1126</v>
      </c>
      <c r="K1130" s="1633">
        <v>16808856</v>
      </c>
      <c r="M1130" s="1633">
        <v>14939582</v>
      </c>
      <c r="O1130" s="1633">
        <v>1869274</v>
      </c>
      <c r="Q1130">
        <v>12.5</v>
      </c>
    </row>
    <row r="1131" spans="3:18">
      <c r="C1131" t="s">
        <v>297</v>
      </c>
      <c r="D1131" t="s">
        <v>299</v>
      </c>
      <c r="E1131" s="2159">
        <v>5801905000</v>
      </c>
      <c r="F1131" s="2159"/>
      <c r="G1131" s="2159"/>
      <c r="H1131" s="2159" t="s">
        <v>1127</v>
      </c>
      <c r="K1131" s="1633">
        <v>160896976496</v>
      </c>
      <c r="M1131" s="1633">
        <v>456489962700</v>
      </c>
      <c r="O1131" s="1633">
        <v>-295592986204</v>
      </c>
      <c r="Q1131">
        <v>-64.8</v>
      </c>
    </row>
    <row r="1132" spans="3:18">
      <c r="C1132" t="s">
        <v>297</v>
      </c>
      <c r="D1132" t="s">
        <v>299</v>
      </c>
      <c r="E1132" s="2159">
        <v>5805650300</v>
      </c>
      <c r="F1132" s="2159"/>
      <c r="G1132" s="2159"/>
      <c r="H1132" s="2159" t="s">
        <v>1128</v>
      </c>
      <c r="K1132" s="1633">
        <v>25995551200</v>
      </c>
      <c r="M1132" s="1633">
        <v>72415299941</v>
      </c>
      <c r="O1132" s="1633">
        <v>-46419748741</v>
      </c>
      <c r="Q1132">
        <v>-64.099999999999994</v>
      </c>
    </row>
    <row r="1133" spans="3:18">
      <c r="C1133" t="s">
        <v>297</v>
      </c>
      <c r="D1133" t="s">
        <v>299</v>
      </c>
      <c r="E1133" s="2159">
        <v>5805650310</v>
      </c>
      <c r="F1133" s="2159"/>
      <c r="G1133" s="2159"/>
      <c r="H1133" s="2159" t="s">
        <v>1344</v>
      </c>
      <c r="K1133" s="1633">
        <v>23285041912</v>
      </c>
      <c r="M1133" s="1633">
        <v>31441949750</v>
      </c>
      <c r="O1133" s="1633">
        <v>-8156907838</v>
      </c>
      <c r="Q1133">
        <v>-25.9</v>
      </c>
    </row>
    <row r="1134" spans="3:18">
      <c r="C1134" t="s">
        <v>297</v>
      </c>
      <c r="D1134" t="s">
        <v>299</v>
      </c>
      <c r="E1134" s="2159">
        <v>5805710100</v>
      </c>
      <c r="F1134" s="2159"/>
      <c r="G1134" s="2159"/>
      <c r="H1134" s="2159" t="s">
        <v>1129</v>
      </c>
      <c r="K1134" s="1633">
        <v>0</v>
      </c>
      <c r="M1134" s="1633">
        <v>19624704</v>
      </c>
      <c r="O1134" s="1633">
        <v>-19624704</v>
      </c>
      <c r="Q1134">
        <v>-100</v>
      </c>
    </row>
    <row r="1135" spans="3:18">
      <c r="C1135" t="s">
        <v>297</v>
      </c>
      <c r="D1135" t="s">
        <v>299</v>
      </c>
      <c r="E1135" s="2159">
        <v>5805905000</v>
      </c>
      <c r="F1135" s="2159"/>
      <c r="G1135" s="2159"/>
      <c r="H1135" s="2159" t="s">
        <v>1130</v>
      </c>
      <c r="K1135" s="1633">
        <v>983105727</v>
      </c>
      <c r="M1135" s="1633">
        <v>1261016690</v>
      </c>
      <c r="O1135" s="1633">
        <v>-277910963</v>
      </c>
      <c r="Q1135">
        <v>-22</v>
      </c>
    </row>
    <row r="1136" spans="3:18">
      <c r="E1136" s="2159" t="s">
        <v>1131</v>
      </c>
      <c r="F1136" s="2159"/>
      <c r="G1136" s="2159"/>
      <c r="H1136" s="2159"/>
      <c r="K1136" s="1633">
        <v>566174045976</v>
      </c>
      <c r="M1136" s="1633">
        <v>1317579835680</v>
      </c>
      <c r="O1136" s="1633">
        <v>-751405789704</v>
      </c>
      <c r="Q1136">
        <v>-57</v>
      </c>
      <c r="R1136" t="s">
        <v>362</v>
      </c>
    </row>
    <row r="1137" spans="3:18">
      <c r="E1137" s="2159" t="s">
        <v>1132</v>
      </c>
      <c r="F1137" s="2159"/>
      <c r="G1137" s="2159"/>
      <c r="H1137" s="2159"/>
      <c r="K1137" s="1633">
        <v>566174045976</v>
      </c>
      <c r="M1137" s="1633">
        <v>1317579835680</v>
      </c>
      <c r="O1137" s="1633">
        <v>-751405789704</v>
      </c>
      <c r="Q1137">
        <v>-57</v>
      </c>
      <c r="R1137" t="s">
        <v>392</v>
      </c>
    </row>
    <row r="1138" spans="3:18">
      <c r="E1138" s="2159"/>
      <c r="F1138" s="2159"/>
      <c r="G1138" s="2159"/>
      <c r="H1138" s="2159"/>
    </row>
    <row r="1139" spans="3:18">
      <c r="E1139" s="2159" t="s">
        <v>1133</v>
      </c>
      <c r="F1139" s="2159"/>
      <c r="G1139" s="2159"/>
      <c r="H1139" s="2159"/>
      <c r="K1139" s="1633">
        <v>-721943743299</v>
      </c>
      <c r="M1139" s="1633">
        <v>-1868959582981</v>
      </c>
      <c r="O1139" s="1633">
        <v>1147015839682</v>
      </c>
      <c r="Q1139">
        <v>61.4</v>
      </c>
      <c r="R1139" t="s">
        <v>452</v>
      </c>
    </row>
    <row r="1140" spans="3:18">
      <c r="E1140" s="2159"/>
      <c r="F1140" s="2159"/>
      <c r="G1140" s="2159"/>
      <c r="H1140" s="2159"/>
    </row>
    <row r="1141" spans="3:18">
      <c r="E1141" s="2159" t="s">
        <v>1134</v>
      </c>
      <c r="F1141" s="2159"/>
      <c r="G1141" s="2159"/>
      <c r="H1141" s="2159"/>
    </row>
    <row r="1142" spans="3:18">
      <c r="C1142" t="s">
        <v>297</v>
      </c>
      <c r="D1142" t="s">
        <v>299</v>
      </c>
      <c r="E1142" s="2159">
        <v>4810080205</v>
      </c>
      <c r="F1142" s="2159"/>
      <c r="G1142" s="2159"/>
      <c r="H1142" s="2159" t="s">
        <v>2638</v>
      </c>
      <c r="K1142" s="1633">
        <v>-3469113663</v>
      </c>
      <c r="M1142" s="1633">
        <v>0</v>
      </c>
      <c r="O1142" s="1633">
        <v>-3469113663</v>
      </c>
    </row>
    <row r="1143" spans="3:18">
      <c r="C1143" t="s">
        <v>297</v>
      </c>
      <c r="D1143" t="s">
        <v>299</v>
      </c>
      <c r="E1143" s="2159">
        <v>5313010100</v>
      </c>
      <c r="F1143" s="2159"/>
      <c r="G1143" s="2159"/>
      <c r="H1143" s="2159" t="s">
        <v>1135</v>
      </c>
      <c r="K1143" s="1633">
        <v>145772899198</v>
      </c>
      <c r="M1143" s="1633">
        <v>462671733363</v>
      </c>
      <c r="O1143" s="1633">
        <v>-316898834165</v>
      </c>
      <c r="Q1143">
        <v>-68.5</v>
      </c>
    </row>
    <row r="1144" spans="3:18">
      <c r="C1144" t="s">
        <v>297</v>
      </c>
      <c r="D1144" t="s">
        <v>299</v>
      </c>
      <c r="E1144" s="2159">
        <v>5313010200</v>
      </c>
      <c r="F1144" s="2159"/>
      <c r="G1144" s="2159"/>
      <c r="H1144" s="2159" t="s">
        <v>1135</v>
      </c>
      <c r="K1144" s="1633">
        <v>-4422127209793</v>
      </c>
      <c r="M1144" s="1633">
        <v>273096577931</v>
      </c>
      <c r="O1144" s="1633">
        <v>-4695223787724</v>
      </c>
      <c r="Q1144">
        <v>-1719.3</v>
      </c>
    </row>
    <row r="1145" spans="3:18">
      <c r="C1145" t="s">
        <v>297</v>
      </c>
      <c r="D1145" t="s">
        <v>299</v>
      </c>
      <c r="E1145" s="2159">
        <v>5313010210</v>
      </c>
      <c r="F1145" s="2159"/>
      <c r="G1145" s="2159"/>
      <c r="H1145" s="2159" t="s">
        <v>1136</v>
      </c>
      <c r="K1145" s="1633">
        <v>21604351251</v>
      </c>
      <c r="M1145" s="1633">
        <v>-105222586678</v>
      </c>
      <c r="O1145" s="1633">
        <v>126826937929</v>
      </c>
      <c r="Q1145">
        <v>120.5</v>
      </c>
    </row>
    <row r="1146" spans="3:18">
      <c r="C1146" t="s">
        <v>297</v>
      </c>
      <c r="D1146" t="s">
        <v>299</v>
      </c>
      <c r="E1146" s="2159">
        <v>5815880200</v>
      </c>
      <c r="F1146" s="2159"/>
      <c r="G1146" s="2159"/>
      <c r="H1146" s="2159" t="s">
        <v>1296</v>
      </c>
      <c r="K1146" s="1633">
        <v>0</v>
      </c>
      <c r="M1146" s="1633">
        <v>4575948099</v>
      </c>
      <c r="O1146" s="1633">
        <v>-4575948099</v>
      </c>
      <c r="Q1146">
        <v>-100</v>
      </c>
    </row>
    <row r="1147" spans="3:18">
      <c r="E1147" t="s">
        <v>1137</v>
      </c>
      <c r="K1147" s="1633">
        <v>-4258219073007</v>
      </c>
      <c r="M1147" s="1633">
        <v>635121672715</v>
      </c>
      <c r="O1147" s="1633">
        <v>-4893340745722</v>
      </c>
      <c r="Q1147">
        <v>-770.5</v>
      </c>
      <c r="R1147" t="s">
        <v>452</v>
      </c>
    </row>
    <row r="1149" spans="3:18">
      <c r="E1149" t="s">
        <v>809</v>
      </c>
      <c r="K1149" s="1633">
        <v>-4980162816306</v>
      </c>
      <c r="M1149" s="1633">
        <v>-1233837910266</v>
      </c>
      <c r="O1149" s="1633">
        <v>-3746324906040</v>
      </c>
      <c r="Q1149">
        <v>-303.60000000000002</v>
      </c>
      <c r="R1149" t="s">
        <v>583</v>
      </c>
    </row>
    <row r="1153" spans="1:18">
      <c r="A1153" t="s">
        <v>2619</v>
      </c>
    </row>
    <row r="1154" spans="1:18">
      <c r="A1154" t="s">
        <v>1138</v>
      </c>
    </row>
    <row r="1156" spans="1:18">
      <c r="A1156" t="s">
        <v>296</v>
      </c>
      <c r="F1156" t="s">
        <v>297</v>
      </c>
      <c r="G1156" t="s">
        <v>298</v>
      </c>
      <c r="I1156" t="s">
        <v>299</v>
      </c>
      <c r="N1156" s="1633" t="s">
        <v>300</v>
      </c>
      <c r="P1156" t="s">
        <v>106</v>
      </c>
    </row>
    <row r="1158" spans="1:18">
      <c r="B1158" t="s">
        <v>301</v>
      </c>
      <c r="C1158" t="s">
        <v>302</v>
      </c>
      <c r="D1158" t="s">
        <v>303</v>
      </c>
      <c r="E1158" t="s">
        <v>304</v>
      </c>
      <c r="J1158" t="s">
        <v>305</v>
      </c>
      <c r="L1158" s="1633" t="s">
        <v>306</v>
      </c>
      <c r="O1158" s="1633" t="s">
        <v>307</v>
      </c>
      <c r="Q1158" t="s">
        <v>308</v>
      </c>
      <c r="R1158" t="s">
        <v>309</v>
      </c>
    </row>
    <row r="1159" spans="1:18">
      <c r="B1159" t="s">
        <v>310</v>
      </c>
      <c r="C1159" t="s">
        <v>311</v>
      </c>
      <c r="D1159" t="s">
        <v>312</v>
      </c>
      <c r="E1159" t="s">
        <v>313</v>
      </c>
      <c r="J1159" t="s">
        <v>2620</v>
      </c>
      <c r="L1159" s="1633" t="s">
        <v>1419</v>
      </c>
      <c r="O1159" s="1633" t="s">
        <v>314</v>
      </c>
      <c r="Q1159" t="s">
        <v>315</v>
      </c>
      <c r="R1159" t="s">
        <v>316</v>
      </c>
    </row>
    <row r="1161" spans="1:18">
      <c r="E1161" t="s">
        <v>1139</v>
      </c>
      <c r="K1161" s="1633">
        <v>4980162816306</v>
      </c>
      <c r="M1161" s="1633">
        <v>1233837910266</v>
      </c>
      <c r="O1161" s="1633">
        <v>3746324906040</v>
      </c>
      <c r="Q1161">
        <v>303.60000000000002</v>
      </c>
      <c r="R1161" t="s">
        <v>583</v>
      </c>
    </row>
    <row r="1165" spans="1:18">
      <c r="A1165" t="s">
        <v>2619</v>
      </c>
    </row>
    <row r="1166" spans="1:18">
      <c r="A1166" t="s">
        <v>1140</v>
      </c>
    </row>
    <row r="1168" spans="1:18">
      <c r="A1168" t="s">
        <v>296</v>
      </c>
      <c r="F1168" t="s">
        <v>297</v>
      </c>
      <c r="G1168" t="s">
        <v>298</v>
      </c>
      <c r="I1168" t="s">
        <v>299</v>
      </c>
      <c r="N1168" s="1633" t="s">
        <v>300</v>
      </c>
      <c r="P1168" t="s">
        <v>106</v>
      </c>
    </row>
    <row r="1170" spans="2:18">
      <c r="B1170" t="s">
        <v>301</v>
      </c>
      <c r="C1170" t="s">
        <v>302</v>
      </c>
      <c r="D1170" t="s">
        <v>303</v>
      </c>
      <c r="E1170" t="s">
        <v>304</v>
      </c>
      <c r="J1170" t="s">
        <v>305</v>
      </c>
      <c r="L1170" s="1633" t="s">
        <v>306</v>
      </c>
      <c r="O1170" s="1633" t="s">
        <v>307</v>
      </c>
      <c r="Q1170" t="s">
        <v>308</v>
      </c>
      <c r="R1170" t="s">
        <v>309</v>
      </c>
    </row>
    <row r="1171" spans="2:18">
      <c r="B1171" t="s">
        <v>310</v>
      </c>
      <c r="C1171" t="s">
        <v>311</v>
      </c>
      <c r="D1171" t="s">
        <v>312</v>
      </c>
      <c r="E1171" t="s">
        <v>313</v>
      </c>
      <c r="J1171" t="s">
        <v>2620</v>
      </c>
      <c r="L1171" s="1633" t="s">
        <v>1419</v>
      </c>
      <c r="O1171" s="1633" t="s">
        <v>314</v>
      </c>
      <c r="Q1171" t="s">
        <v>315</v>
      </c>
      <c r="R1171" t="s">
        <v>316</v>
      </c>
    </row>
    <row r="1173" spans="2:18">
      <c r="E1173" t="s">
        <v>1141</v>
      </c>
    </row>
    <row r="1174" spans="2:18">
      <c r="C1174" t="s">
        <v>297</v>
      </c>
      <c r="D1174" t="s">
        <v>299</v>
      </c>
      <c r="E1174">
        <v>8120010000</v>
      </c>
      <c r="H1174" t="s">
        <v>1142</v>
      </c>
      <c r="K1174" s="1633">
        <v>193770770</v>
      </c>
      <c r="M1174" s="1633">
        <v>164546100</v>
      </c>
      <c r="O1174" s="1633">
        <v>29224670</v>
      </c>
      <c r="Q1174">
        <v>17.8</v>
      </c>
    </row>
    <row r="1175" spans="2:18">
      <c r="C1175" t="s">
        <v>297</v>
      </c>
      <c r="D1175" t="s">
        <v>299</v>
      </c>
      <c r="E1175">
        <v>8120040000</v>
      </c>
      <c r="H1175" t="s">
        <v>1143</v>
      </c>
      <c r="K1175" s="1633">
        <v>733049776981</v>
      </c>
      <c r="M1175" s="1633">
        <v>640595803677</v>
      </c>
      <c r="O1175" s="1633">
        <v>92453973304</v>
      </c>
      <c r="Q1175">
        <v>14.4</v>
      </c>
    </row>
    <row r="1176" spans="2:18">
      <c r="C1176" t="s">
        <v>297</v>
      </c>
      <c r="D1176" t="s">
        <v>299</v>
      </c>
      <c r="E1176">
        <v>8190900100</v>
      </c>
      <c r="H1176" t="s">
        <v>1144</v>
      </c>
      <c r="K1176" s="1633">
        <v>9383991025</v>
      </c>
      <c r="M1176" s="1633">
        <v>9383991025</v>
      </c>
      <c r="O1176" s="1633">
        <v>0</v>
      </c>
    </row>
    <row r="1177" spans="2:18">
      <c r="C1177" t="s">
        <v>297</v>
      </c>
      <c r="D1177" t="s">
        <v>299</v>
      </c>
      <c r="E1177">
        <v>8203010100</v>
      </c>
      <c r="H1177" t="s">
        <v>1145</v>
      </c>
      <c r="K1177" s="1633">
        <v>993468647237</v>
      </c>
      <c r="M1177" s="1633">
        <v>993468647237</v>
      </c>
      <c r="O1177" s="1633">
        <v>0</v>
      </c>
    </row>
    <row r="1178" spans="2:18">
      <c r="C1178" t="s">
        <v>297</v>
      </c>
      <c r="D1178" t="s">
        <v>299</v>
      </c>
      <c r="E1178">
        <v>8905060000</v>
      </c>
      <c r="H1178" t="s">
        <v>1146</v>
      </c>
      <c r="K1178" s="1633">
        <v>-44509634250</v>
      </c>
      <c r="M1178" s="1633">
        <v>-44509634250</v>
      </c>
      <c r="O1178" s="1633">
        <v>0</v>
      </c>
    </row>
    <row r="1179" spans="2:18">
      <c r="C1179" t="s">
        <v>297</v>
      </c>
      <c r="D1179" t="s">
        <v>299</v>
      </c>
      <c r="E1179">
        <v>8905090000</v>
      </c>
      <c r="H1179" t="s">
        <v>1147</v>
      </c>
      <c r="K1179" s="1633">
        <v>-9576900670</v>
      </c>
      <c r="M1179" s="1633">
        <v>-9576900670</v>
      </c>
      <c r="O1179" s="1633">
        <v>0</v>
      </c>
    </row>
    <row r="1180" spans="2:18">
      <c r="C1180" t="s">
        <v>297</v>
      </c>
      <c r="D1180" t="s">
        <v>299</v>
      </c>
      <c r="E1180">
        <v>8905900000</v>
      </c>
      <c r="H1180" t="s">
        <v>1148</v>
      </c>
      <c r="K1180" s="1633">
        <v>-689731588079</v>
      </c>
      <c r="M1180" s="1633">
        <v>-597248390105</v>
      </c>
      <c r="O1180" s="1633">
        <v>-92483197974</v>
      </c>
      <c r="Q1180">
        <v>-15.5</v>
      </c>
    </row>
    <row r="1181" spans="2:18">
      <c r="C1181" t="s">
        <v>297</v>
      </c>
      <c r="D1181" t="s">
        <v>299</v>
      </c>
      <c r="E1181">
        <v>8905900100</v>
      </c>
      <c r="H1181" t="s">
        <v>1149</v>
      </c>
      <c r="K1181" s="1633">
        <v>754076193</v>
      </c>
      <c r="M1181" s="1633">
        <v>754076193</v>
      </c>
      <c r="O1181" s="1633">
        <v>0</v>
      </c>
    </row>
    <row r="1182" spans="2:18">
      <c r="C1182" t="s">
        <v>297</v>
      </c>
      <c r="D1182" t="s">
        <v>299</v>
      </c>
      <c r="E1182">
        <v>8910010000</v>
      </c>
      <c r="H1182" t="s">
        <v>1150</v>
      </c>
      <c r="K1182" s="1633">
        <v>-993468647237</v>
      </c>
      <c r="M1182" s="1633">
        <v>-993468647237</v>
      </c>
      <c r="O1182" s="1633">
        <v>0</v>
      </c>
    </row>
    <row r="1183" spans="2:18">
      <c r="C1183" t="s">
        <v>297</v>
      </c>
      <c r="D1183" t="s">
        <v>299</v>
      </c>
      <c r="E1183">
        <v>9120010000</v>
      </c>
      <c r="H1183" t="s">
        <v>1151</v>
      </c>
      <c r="K1183" s="1633">
        <v>-3792486725</v>
      </c>
      <c r="M1183" s="1633">
        <v>-3077600000</v>
      </c>
      <c r="O1183" s="1633">
        <v>-714886725</v>
      </c>
      <c r="Q1183">
        <v>-23.2</v>
      </c>
    </row>
    <row r="1184" spans="2:18">
      <c r="C1184" t="s">
        <v>297</v>
      </c>
      <c r="D1184" t="s">
        <v>299</v>
      </c>
      <c r="E1184">
        <v>9120020000</v>
      </c>
      <c r="H1184" t="s">
        <v>1151</v>
      </c>
      <c r="K1184" s="1633">
        <v>-14018026766</v>
      </c>
      <c r="M1184" s="1633">
        <v>-11797321738</v>
      </c>
      <c r="O1184" s="1633">
        <v>-2220705028</v>
      </c>
      <c r="Q1184">
        <v>-18.8</v>
      </c>
    </row>
    <row r="1185" spans="3:17">
      <c r="C1185" t="s">
        <v>297</v>
      </c>
      <c r="D1185" t="s">
        <v>299</v>
      </c>
      <c r="E1185">
        <v>9120040000</v>
      </c>
      <c r="H1185" t="s">
        <v>1152</v>
      </c>
      <c r="K1185" s="1633">
        <v>-330720869195</v>
      </c>
      <c r="M1185" s="1633">
        <v>-300714143191</v>
      </c>
      <c r="O1185" s="1633">
        <v>-30006726004</v>
      </c>
      <c r="Q1185">
        <v>-10</v>
      </c>
    </row>
    <row r="1186" spans="3:17">
      <c r="C1186" t="s">
        <v>297</v>
      </c>
      <c r="D1186" t="s">
        <v>299</v>
      </c>
      <c r="E1186">
        <v>9120900100</v>
      </c>
      <c r="H1186" t="s">
        <v>1153</v>
      </c>
      <c r="K1186" s="1633">
        <v>-6670523379</v>
      </c>
      <c r="M1186" s="1633">
        <v>-6670523379</v>
      </c>
      <c r="O1186" s="1633">
        <v>0</v>
      </c>
    </row>
    <row r="1187" spans="3:17">
      <c r="C1187" t="s">
        <v>297</v>
      </c>
      <c r="D1187" t="s">
        <v>299</v>
      </c>
      <c r="E1187">
        <v>9190900400</v>
      </c>
      <c r="H1187" t="s">
        <v>1154</v>
      </c>
      <c r="K1187" s="1633">
        <v>-6144116000000</v>
      </c>
      <c r="M1187" s="1633">
        <v>-6144116000000</v>
      </c>
      <c r="O1187" s="1633">
        <v>0</v>
      </c>
    </row>
    <row r="1188" spans="3:17">
      <c r="C1188" t="s">
        <v>297</v>
      </c>
      <c r="D1188" t="s">
        <v>299</v>
      </c>
      <c r="E1188">
        <v>9202950000</v>
      </c>
      <c r="H1188" t="s">
        <v>1155</v>
      </c>
      <c r="K1188" s="1633">
        <v>-440525865882</v>
      </c>
      <c r="M1188" s="1633">
        <v>-440525865882</v>
      </c>
      <c r="O1188" s="1633">
        <v>0</v>
      </c>
    </row>
    <row r="1189" spans="3:17">
      <c r="C1189" t="s">
        <v>297</v>
      </c>
      <c r="D1189" t="s">
        <v>299</v>
      </c>
      <c r="E1189">
        <v>9350010100</v>
      </c>
      <c r="H1189" t="s">
        <v>1156</v>
      </c>
      <c r="K1189" s="1633">
        <v>-250000000000</v>
      </c>
      <c r="M1189" s="1633">
        <v>-250000000000</v>
      </c>
      <c r="O1189" s="1633">
        <v>0</v>
      </c>
    </row>
    <row r="1190" spans="3:17">
      <c r="C1190" t="s">
        <v>297</v>
      </c>
      <c r="D1190" t="s">
        <v>299</v>
      </c>
      <c r="E1190">
        <v>9390130100</v>
      </c>
      <c r="H1190" t="s">
        <v>1157</v>
      </c>
      <c r="K1190" s="1633">
        <v>-853387</v>
      </c>
      <c r="M1190" s="1633">
        <v>-853387</v>
      </c>
      <c r="O1190" s="1633">
        <v>0</v>
      </c>
    </row>
    <row r="1191" spans="3:17">
      <c r="C1191" t="s">
        <v>297</v>
      </c>
      <c r="D1191" t="s">
        <v>299</v>
      </c>
      <c r="E1191">
        <v>9390130200</v>
      </c>
      <c r="H1191" t="s">
        <v>1158</v>
      </c>
      <c r="K1191" s="1633">
        <v>-85546714</v>
      </c>
      <c r="M1191" s="1633">
        <v>-59616153</v>
      </c>
      <c r="O1191" s="1633">
        <v>-25930561</v>
      </c>
      <c r="Q1191">
        <v>-43.5</v>
      </c>
    </row>
    <row r="1192" spans="3:17">
      <c r="C1192" t="s">
        <v>297</v>
      </c>
      <c r="D1192" t="s">
        <v>299</v>
      </c>
      <c r="E1192">
        <v>9390901000</v>
      </c>
      <c r="H1192" t="s">
        <v>1159</v>
      </c>
      <c r="K1192" s="1633">
        <v>-68903000000</v>
      </c>
      <c r="M1192" s="1633">
        <v>-68903000000</v>
      </c>
      <c r="O1192" s="1633">
        <v>0</v>
      </c>
    </row>
    <row r="1193" spans="3:17">
      <c r="C1193" t="s">
        <v>297</v>
      </c>
      <c r="D1193" t="s">
        <v>299</v>
      </c>
      <c r="E1193">
        <v>9905050000</v>
      </c>
      <c r="H1193" t="s">
        <v>1160</v>
      </c>
      <c r="K1193" s="1633">
        <v>1313057449716</v>
      </c>
      <c r="M1193" s="1633">
        <v>1280115131959</v>
      </c>
      <c r="O1193" s="1633">
        <v>32942317757</v>
      </c>
      <c r="Q1193">
        <v>2.6</v>
      </c>
    </row>
    <row r="1194" spans="3:17">
      <c r="C1194" t="s">
        <v>297</v>
      </c>
      <c r="D1194" t="s">
        <v>299</v>
      </c>
      <c r="E1194">
        <v>9905050100</v>
      </c>
      <c r="H1194" t="s">
        <v>1161</v>
      </c>
      <c r="K1194" s="1633">
        <v>6670523379</v>
      </c>
      <c r="M1194" s="1633">
        <v>6670523379</v>
      </c>
      <c r="O1194" s="1633">
        <v>0</v>
      </c>
    </row>
    <row r="1195" spans="3:17">
      <c r="C1195" t="s">
        <v>297</v>
      </c>
      <c r="D1195" t="s">
        <v>299</v>
      </c>
      <c r="E1195">
        <v>9905900000</v>
      </c>
      <c r="H1195" t="s">
        <v>1162</v>
      </c>
      <c r="K1195" s="1633">
        <v>4973456441000</v>
      </c>
      <c r="M1195" s="1633">
        <v>4973456441000</v>
      </c>
      <c r="O1195" s="1633">
        <v>0</v>
      </c>
    </row>
    <row r="1196" spans="3:17">
      <c r="C1196" t="s">
        <v>297</v>
      </c>
      <c r="D1196" t="s">
        <v>299</v>
      </c>
      <c r="E1196">
        <v>9910010100</v>
      </c>
      <c r="H1196" t="s">
        <v>1163</v>
      </c>
      <c r="K1196" s="1633">
        <v>440525865882</v>
      </c>
      <c r="M1196" s="1633">
        <v>440525865882</v>
      </c>
      <c r="O1196" s="1633">
        <v>0</v>
      </c>
    </row>
    <row r="1197" spans="3:17">
      <c r="C1197" t="s">
        <v>297</v>
      </c>
      <c r="D1197" t="s">
        <v>299</v>
      </c>
      <c r="E1197">
        <v>9915070000</v>
      </c>
      <c r="H1197" t="s">
        <v>1164</v>
      </c>
      <c r="K1197" s="1633">
        <v>456570000000</v>
      </c>
      <c r="M1197" s="1633">
        <v>456570000000</v>
      </c>
      <c r="O1197" s="1633">
        <v>0</v>
      </c>
    </row>
    <row r="1198" spans="3:17">
      <c r="C1198" t="s">
        <v>297</v>
      </c>
      <c r="D1198" t="s">
        <v>299</v>
      </c>
      <c r="E1198">
        <v>9915900000</v>
      </c>
      <c r="H1198" t="s">
        <v>1165</v>
      </c>
      <c r="K1198" s="1633">
        <v>68903000000</v>
      </c>
      <c r="M1198" s="1633">
        <v>68903000000</v>
      </c>
      <c r="O1198" s="1633">
        <v>0</v>
      </c>
    </row>
    <row r="1199" spans="3:17">
      <c r="C1199" t="s">
        <v>297</v>
      </c>
      <c r="D1199" t="s">
        <v>299</v>
      </c>
      <c r="E1199">
        <v>9915900201</v>
      </c>
      <c r="H1199" t="s">
        <v>1166</v>
      </c>
      <c r="K1199" s="1633">
        <v>85546714</v>
      </c>
      <c r="M1199" s="1633">
        <v>59616153</v>
      </c>
      <c r="O1199" s="1633">
        <v>25930561</v>
      </c>
      <c r="Q1199">
        <v>43.5</v>
      </c>
    </row>
    <row r="1200" spans="3:17">
      <c r="C1200" t="s">
        <v>297</v>
      </c>
      <c r="D1200" t="s">
        <v>299</v>
      </c>
      <c r="E1200">
        <v>9915900300</v>
      </c>
      <c r="H1200" t="s">
        <v>1167</v>
      </c>
      <c r="K1200" s="1633">
        <v>853387</v>
      </c>
      <c r="M1200" s="1633">
        <v>853387</v>
      </c>
      <c r="O1200" s="1633">
        <v>0</v>
      </c>
    </row>
    <row r="1201" spans="5:18">
      <c r="E1201" t="s">
        <v>1168</v>
      </c>
      <c r="K1201" s="1633">
        <v>0</v>
      </c>
      <c r="M1201" s="1633">
        <v>0</v>
      </c>
      <c r="O1201" s="1633">
        <v>0</v>
      </c>
      <c r="R1201" t="s">
        <v>583</v>
      </c>
    </row>
  </sheetData>
  <autoFilter ref="E1:H1160" xr:uid="{16C34A5A-9799-4F66-8197-512A241D1C3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057D-8721-4A65-A58D-D2CED58D60ED}">
  <sheetPr codeName="Hoja9"/>
  <dimension ref="B2:L51"/>
  <sheetViews>
    <sheetView showGridLines="0" topLeftCell="A28" zoomScale="90" zoomScaleNormal="90" workbookViewId="0">
      <selection activeCell="F36" sqref="F36:F49"/>
    </sheetView>
  </sheetViews>
  <sheetFormatPr baseColWidth="10" defaultRowHeight="15"/>
  <cols>
    <col min="1" max="1" width="5.42578125" customWidth="1"/>
    <col min="2" max="2" width="13" customWidth="1"/>
    <col min="3" max="3" width="36.28515625" bestFit="1" customWidth="1"/>
    <col min="4" max="5" width="17.7109375" customWidth="1"/>
    <col min="6" max="6" width="18.140625" customWidth="1"/>
    <col min="7" max="7" width="5" customWidth="1"/>
    <col min="8" max="9" width="17.7109375" customWidth="1"/>
    <col min="10" max="10" width="16.7109375" bestFit="1" customWidth="1"/>
    <col min="11" max="11" width="18" customWidth="1"/>
  </cols>
  <sheetData>
    <row r="2" spans="2:12">
      <c r="B2" s="1855" t="s">
        <v>1239</v>
      </c>
    </row>
    <row r="3" spans="2:12">
      <c r="B3" s="1855" t="s">
        <v>1246</v>
      </c>
    </row>
    <row r="4" spans="2:12">
      <c r="B4" s="1855" t="s">
        <v>1240</v>
      </c>
    </row>
    <row r="7" spans="2:12" s="1941" customFormat="1" ht="30">
      <c r="B7" s="1953" t="s">
        <v>45</v>
      </c>
      <c r="C7" s="1953" t="s">
        <v>48</v>
      </c>
      <c r="D7" s="1953" t="s">
        <v>1241</v>
      </c>
      <c r="E7" s="1953" t="s">
        <v>1242</v>
      </c>
      <c r="F7" s="1953" t="s">
        <v>251</v>
      </c>
      <c r="G7" s="1954"/>
      <c r="H7" s="1953" t="s">
        <v>1244</v>
      </c>
      <c r="I7" s="1953" t="s">
        <v>1245</v>
      </c>
      <c r="J7" s="1953" t="s">
        <v>251</v>
      </c>
      <c r="K7" s="1955" t="s">
        <v>1243</v>
      </c>
    </row>
    <row r="8" spans="2:12">
      <c r="B8" s="216">
        <v>1110052010</v>
      </c>
      <c r="C8" s="216" t="s">
        <v>3</v>
      </c>
      <c r="D8" s="1942">
        <f>IFERROR(VLOOKUP(B8,Balance!E:M,9,0),0)</f>
        <v>36159803284</v>
      </c>
      <c r="E8" s="1942">
        <v>215927383.67648315</v>
      </c>
      <c r="F8" s="1942">
        <f>+D8-E8</f>
        <v>35943875900.323517</v>
      </c>
      <c r="G8" s="1945"/>
      <c r="H8" s="1942">
        <f>IFERROR(VLOOKUP(B8,Balance!E:M,7,0),0)</f>
        <v>6420775743</v>
      </c>
      <c r="I8" s="1942">
        <f ca="1">+IFERROR(VLOOKUP(B8,'PATRIMONIO_FISCAL '!$A$6:$F$29,6,0),0)</f>
        <v>6330014207.539978</v>
      </c>
      <c r="J8" s="1942">
        <f ca="1">+H8-I8</f>
        <v>90761535.460021973</v>
      </c>
      <c r="K8" s="1943">
        <f ca="1">+F8-J8</f>
        <v>35853114364.863495</v>
      </c>
      <c r="L8" s="1942"/>
    </row>
    <row r="9" spans="2:12">
      <c r="B9" s="216">
        <v>1110052011</v>
      </c>
      <c r="C9" s="216">
        <v>0</v>
      </c>
      <c r="D9" s="1942">
        <f>IFERROR(VLOOKUP(B9,Balance!E:M,9,0),0)</f>
        <v>0</v>
      </c>
      <c r="E9" s="1942">
        <v>0</v>
      </c>
      <c r="F9" s="1942">
        <f t="shared" ref="F9:F29" si="0">+D9-E9</f>
        <v>0</v>
      </c>
      <c r="G9" s="1945"/>
      <c r="H9" s="1942">
        <f>IFERROR(VLOOKUP(B9,Balance!E:M,7,0),0)</f>
        <v>0</v>
      </c>
      <c r="I9" s="1942">
        <f>+IFERROR(VLOOKUP(B9,'PATRIMONIO_FISCAL '!$A$6:$F$29,6,0),0)</f>
        <v>0</v>
      </c>
      <c r="J9" s="1942">
        <f t="shared" ref="J9:J29" si="1">+H9-I9</f>
        <v>0</v>
      </c>
      <c r="K9" s="1943">
        <f t="shared" ref="K9:K29" si="2">+F9-J9</f>
        <v>0</v>
      </c>
      <c r="L9" s="1942"/>
    </row>
    <row r="10" spans="2:12">
      <c r="B10" s="216">
        <v>1110052015</v>
      </c>
      <c r="C10" s="216" t="s">
        <v>4</v>
      </c>
      <c r="D10" s="1942">
        <f>IFERROR(VLOOKUP(B10,Balance!E:M,9,0),0)</f>
        <v>0</v>
      </c>
      <c r="E10" s="1942">
        <v>0</v>
      </c>
      <c r="F10" s="1942">
        <f t="shared" si="0"/>
        <v>0</v>
      </c>
      <c r="G10" s="1945"/>
      <c r="H10" s="1942">
        <f>IFERROR(VLOOKUP(B10,Balance!E:M,7,0),0)</f>
        <v>0</v>
      </c>
      <c r="I10" s="1942">
        <f>+IFERROR(VLOOKUP(B10,'PATRIMONIO_FISCAL '!$A$6:$F$29,6,0),0)</f>
        <v>0</v>
      </c>
      <c r="J10" s="1942">
        <f t="shared" si="1"/>
        <v>0</v>
      </c>
      <c r="K10" s="1943">
        <f t="shared" si="2"/>
        <v>0</v>
      </c>
      <c r="L10" s="1942"/>
    </row>
    <row r="11" spans="2:12">
      <c r="B11" s="216">
        <v>1110052016</v>
      </c>
      <c r="C11" s="216">
        <v>0</v>
      </c>
      <c r="D11" s="1942">
        <f>IFERROR(VLOOKUP(B11,Balance!E:M,9,0),0)</f>
        <v>0</v>
      </c>
      <c r="E11" s="1942">
        <v>0</v>
      </c>
      <c r="F11" s="1942">
        <f t="shared" si="0"/>
        <v>0</v>
      </c>
      <c r="G11" s="1945"/>
      <c r="H11" s="1942">
        <f>IFERROR(VLOOKUP(B11,Balance!E:M,7,0),0)</f>
        <v>0</v>
      </c>
      <c r="I11" s="1942">
        <f>+IFERROR(VLOOKUP(B11,'PATRIMONIO_FISCAL '!$A$6:$F$29,6,0),0)</f>
        <v>0</v>
      </c>
      <c r="J11" s="1942">
        <f t="shared" si="1"/>
        <v>0</v>
      </c>
      <c r="K11" s="1943">
        <f t="shared" si="2"/>
        <v>0</v>
      </c>
      <c r="L11" s="1942"/>
    </row>
    <row r="12" spans="2:12">
      <c r="B12" s="216">
        <v>1110052040</v>
      </c>
      <c r="C12" s="216">
        <v>0</v>
      </c>
      <c r="D12" s="1942">
        <f>IFERROR(VLOOKUP(B12,Balance!E:M,9,0),0)</f>
        <v>0</v>
      </c>
      <c r="E12" s="1942">
        <v>0</v>
      </c>
      <c r="F12" s="1942">
        <f t="shared" si="0"/>
        <v>0</v>
      </c>
      <c r="G12" s="1945"/>
      <c r="H12" s="1942">
        <f>IFERROR(VLOOKUP(B12,Balance!E:M,7,0),0)</f>
        <v>0</v>
      </c>
      <c r="I12" s="1942">
        <f>+IFERROR(VLOOKUP(B12,'PATRIMONIO_FISCAL '!$A$6:$F$29,6,0),0)</f>
        <v>0</v>
      </c>
      <c r="J12" s="1942">
        <f t="shared" si="1"/>
        <v>0</v>
      </c>
      <c r="K12" s="1943">
        <f t="shared" si="2"/>
        <v>0</v>
      </c>
      <c r="L12" s="1942"/>
    </row>
    <row r="13" spans="2:12">
      <c r="B13" s="216">
        <v>1110052050</v>
      </c>
      <c r="C13" s="216">
        <v>0</v>
      </c>
      <c r="D13" s="1942">
        <f>IFERROR(VLOOKUP(B13,Balance!E:M,9,0),0)</f>
        <v>0</v>
      </c>
      <c r="E13" s="1942">
        <v>0</v>
      </c>
      <c r="F13" s="1942">
        <f t="shared" si="0"/>
        <v>0</v>
      </c>
      <c r="G13" s="1945"/>
      <c r="H13" s="1942">
        <f>IFERROR(VLOOKUP(B13,Balance!E:M,7,0),0)</f>
        <v>0</v>
      </c>
      <c r="I13" s="1942">
        <f>+IFERROR(VLOOKUP(B13,'PATRIMONIO_FISCAL '!$A$6:$F$29,6,0),0)</f>
        <v>0</v>
      </c>
      <c r="J13" s="1942">
        <f t="shared" si="1"/>
        <v>0</v>
      </c>
      <c r="K13" s="1943">
        <f t="shared" si="2"/>
        <v>0</v>
      </c>
      <c r="L13" s="1942"/>
    </row>
    <row r="14" spans="2:12">
      <c r="B14" s="216">
        <v>1110052051</v>
      </c>
      <c r="C14" s="216">
        <v>0</v>
      </c>
      <c r="D14" s="1942">
        <f>IFERROR(VLOOKUP(B14,Balance!E:M,9,0),0)</f>
        <v>0</v>
      </c>
      <c r="E14" s="1942">
        <v>0</v>
      </c>
      <c r="F14" s="1942">
        <f t="shared" si="0"/>
        <v>0</v>
      </c>
      <c r="G14" s="1945"/>
      <c r="H14" s="1942">
        <f>IFERROR(VLOOKUP(B14,Balance!E:M,7,0),0)</f>
        <v>0</v>
      </c>
      <c r="I14" s="1942">
        <f>+IFERROR(VLOOKUP(B14,'PATRIMONIO_FISCAL '!$A$6:$F$29,6,0),0)</f>
        <v>0</v>
      </c>
      <c r="J14" s="1942">
        <f t="shared" si="1"/>
        <v>0</v>
      </c>
      <c r="K14" s="1943">
        <f t="shared" si="2"/>
        <v>0</v>
      </c>
      <c r="L14" s="1942"/>
    </row>
    <row r="15" spans="2:12">
      <c r="B15" s="216">
        <v>1110052055</v>
      </c>
      <c r="C15" s="216">
        <v>0</v>
      </c>
      <c r="D15" s="1942">
        <f>IFERROR(VLOOKUP(B15,Balance!E:M,9,0),0)</f>
        <v>0</v>
      </c>
      <c r="E15" s="1942">
        <v>0</v>
      </c>
      <c r="F15" s="1942">
        <f t="shared" si="0"/>
        <v>0</v>
      </c>
      <c r="G15" s="1945"/>
      <c r="H15" s="1942">
        <f>IFERROR(VLOOKUP(B15,Balance!E:M,7,0),0)</f>
        <v>0</v>
      </c>
      <c r="I15" s="1942">
        <f>+IFERROR(VLOOKUP(B15,'PATRIMONIO_FISCAL '!$A$6:$F$29,6,0),0)</f>
        <v>0</v>
      </c>
      <c r="J15" s="1942">
        <f t="shared" si="1"/>
        <v>0</v>
      </c>
      <c r="K15" s="1943">
        <f t="shared" si="2"/>
        <v>0</v>
      </c>
      <c r="L15" s="1942"/>
    </row>
    <row r="16" spans="2:12">
      <c r="B16" s="216">
        <v>1110052060</v>
      </c>
      <c r="C16" s="216">
        <v>0</v>
      </c>
      <c r="D16" s="1942">
        <f>IFERROR(VLOOKUP(B16,Balance!E:M,9,0),0)</f>
        <v>0</v>
      </c>
      <c r="E16" s="1942">
        <v>0</v>
      </c>
      <c r="F16" s="1942">
        <f t="shared" si="0"/>
        <v>0</v>
      </c>
      <c r="G16" s="1945"/>
      <c r="H16" s="1942">
        <f>IFERROR(VLOOKUP(B16,Balance!E:M,7,0),0)</f>
        <v>0</v>
      </c>
      <c r="I16" s="1942">
        <f>+IFERROR(VLOOKUP(B16,'PATRIMONIO_FISCAL '!$A$6:$F$29,6,0),0)</f>
        <v>0</v>
      </c>
      <c r="J16" s="1942">
        <f t="shared" si="1"/>
        <v>0</v>
      </c>
      <c r="K16" s="1943">
        <f t="shared" si="2"/>
        <v>0</v>
      </c>
      <c r="L16" s="1942"/>
    </row>
    <row r="17" spans="2:12">
      <c r="B17" s="216">
        <v>1110052065</v>
      </c>
      <c r="C17" s="216">
        <v>0</v>
      </c>
      <c r="D17" s="1942">
        <f>IFERROR(VLOOKUP(B17,Balance!E:M,9,0),0)</f>
        <v>0</v>
      </c>
      <c r="E17" s="1942">
        <v>0</v>
      </c>
      <c r="F17" s="1942">
        <f t="shared" si="0"/>
        <v>0</v>
      </c>
      <c r="G17" s="1945"/>
      <c r="H17" s="1942">
        <f>IFERROR(VLOOKUP(B17,Balance!E:M,7,0),0)</f>
        <v>0</v>
      </c>
      <c r="I17" s="1942">
        <f>+IFERROR(VLOOKUP(B17,'PATRIMONIO_FISCAL '!$A$6:$F$29,6,0),0)</f>
        <v>0</v>
      </c>
      <c r="J17" s="1942">
        <f t="shared" si="1"/>
        <v>0</v>
      </c>
      <c r="K17" s="1943">
        <f t="shared" si="2"/>
        <v>0</v>
      </c>
      <c r="L17" s="1942"/>
    </row>
    <row r="18" spans="2:12">
      <c r="B18" s="216">
        <v>1110052070</v>
      </c>
      <c r="C18" s="216">
        <v>0</v>
      </c>
      <c r="D18" s="1942">
        <f>IFERROR(VLOOKUP(B18,Balance!E:M,9,0),0)</f>
        <v>0</v>
      </c>
      <c r="E18" s="1942">
        <v>0</v>
      </c>
      <c r="F18" s="1942">
        <f t="shared" si="0"/>
        <v>0</v>
      </c>
      <c r="G18" s="1945"/>
      <c r="H18" s="1942">
        <f>IFERROR(VLOOKUP(B18,Balance!E:M,7,0),0)</f>
        <v>0</v>
      </c>
      <c r="I18" s="1942">
        <f>+IFERROR(VLOOKUP(B18,'PATRIMONIO_FISCAL '!$A$6:$F$29,6,0),0)</f>
        <v>0</v>
      </c>
      <c r="J18" s="1942">
        <f t="shared" si="1"/>
        <v>0</v>
      </c>
      <c r="K18" s="1943">
        <f t="shared" si="2"/>
        <v>0</v>
      </c>
      <c r="L18" s="1942"/>
    </row>
    <row r="19" spans="2:12">
      <c r="B19" s="216">
        <v>1110052071</v>
      </c>
      <c r="C19" s="216">
        <v>0</v>
      </c>
      <c r="D19" s="1942">
        <f>IFERROR(VLOOKUP(B19,Balance!E:M,9,0),0)</f>
        <v>0</v>
      </c>
      <c r="E19" s="1942">
        <v>0</v>
      </c>
      <c r="F19" s="1942">
        <f t="shared" si="0"/>
        <v>0</v>
      </c>
      <c r="G19" s="1945"/>
      <c r="H19" s="1942">
        <f>IFERROR(VLOOKUP(B19,Balance!E:M,7,0),0)</f>
        <v>0</v>
      </c>
      <c r="I19" s="1942">
        <f>+IFERROR(VLOOKUP(B19,'PATRIMONIO_FISCAL '!$A$6:$F$29,6,0),0)</f>
        <v>0</v>
      </c>
      <c r="J19" s="1942">
        <f t="shared" si="1"/>
        <v>0</v>
      </c>
      <c r="K19" s="1943">
        <f t="shared" si="2"/>
        <v>0</v>
      </c>
      <c r="L19" s="1942"/>
    </row>
    <row r="20" spans="2:12">
      <c r="B20" s="216">
        <v>1110052075</v>
      </c>
      <c r="C20" s="216">
        <v>0</v>
      </c>
      <c r="D20" s="1942">
        <f>IFERROR(VLOOKUP(B20,Balance!E:M,9,0),0)</f>
        <v>0</v>
      </c>
      <c r="E20" s="1942">
        <v>0</v>
      </c>
      <c r="F20" s="1942">
        <f t="shared" si="0"/>
        <v>0</v>
      </c>
      <c r="G20" s="1945"/>
      <c r="H20" s="1942">
        <f>IFERROR(VLOOKUP(B20,Balance!E:M,7,0),0)</f>
        <v>0</v>
      </c>
      <c r="I20" s="1942">
        <f>+IFERROR(VLOOKUP(B20,'PATRIMONIO_FISCAL '!$A$6:$F$29,6,0),0)</f>
        <v>0</v>
      </c>
      <c r="J20" s="1942">
        <f t="shared" si="1"/>
        <v>0</v>
      </c>
      <c r="K20" s="1943">
        <f t="shared" si="2"/>
        <v>0</v>
      </c>
      <c r="L20" s="1942"/>
    </row>
    <row r="21" spans="2:12">
      <c r="B21" s="216">
        <v>1110052076</v>
      </c>
      <c r="C21" s="216">
        <v>0</v>
      </c>
      <c r="D21" s="1942">
        <f>IFERROR(VLOOKUP(B21,Balance!E:M,9,0),0)</f>
        <v>0</v>
      </c>
      <c r="E21" s="1942">
        <v>0</v>
      </c>
      <c r="F21" s="1942">
        <f t="shared" si="0"/>
        <v>0</v>
      </c>
      <c r="G21" s="1945"/>
      <c r="H21" s="1942">
        <f>IFERROR(VLOOKUP(B21,Balance!E:M,7,0),0)</f>
        <v>0</v>
      </c>
      <c r="I21" s="1942">
        <f>+IFERROR(VLOOKUP(B21,'PATRIMONIO_FISCAL '!$A$6:$F$29,6,0),0)</f>
        <v>0</v>
      </c>
      <c r="J21" s="1942">
        <f t="shared" si="1"/>
        <v>0</v>
      </c>
      <c r="K21" s="1943">
        <f t="shared" si="2"/>
        <v>0</v>
      </c>
      <c r="L21" s="1942"/>
    </row>
    <row r="22" spans="2:12">
      <c r="B22" s="216">
        <v>1110052090</v>
      </c>
      <c r="C22" s="216" t="s">
        <v>7</v>
      </c>
      <c r="D22" s="1942">
        <f>IFERROR(VLOOKUP(B22,Balance!E:M,9,0),0)</f>
        <v>2453631407</v>
      </c>
      <c r="E22" s="1942">
        <v>2172960086.5353661</v>
      </c>
      <c r="F22" s="1942">
        <f t="shared" si="0"/>
        <v>280671320.46463394</v>
      </c>
      <c r="G22" s="1945"/>
      <c r="H22" s="1942">
        <f>IFERROR(VLOOKUP(B22,Balance!E:M,7,0),0)</f>
        <v>137344893654</v>
      </c>
      <c r="I22" s="1942">
        <f ca="1">+IFERROR(VLOOKUP(B22,'PATRIMONIO_FISCAL '!$A$6:$F$29,6,0),0)</f>
        <v>172418485075.79431</v>
      </c>
      <c r="J22" s="1942">
        <f t="shared" ca="1" si="1"/>
        <v>-35073591421.794312</v>
      </c>
      <c r="K22" s="1943">
        <f t="shared" ca="1" si="2"/>
        <v>35354262742.258942</v>
      </c>
      <c r="L22" s="1942"/>
    </row>
    <row r="23" spans="2:12">
      <c r="B23" s="216">
        <v>1110052091</v>
      </c>
      <c r="C23" s="216">
        <v>0</v>
      </c>
      <c r="D23" s="1942">
        <f>IFERROR(VLOOKUP(B23,Balance!E:M,9,0),0)</f>
        <v>0</v>
      </c>
      <c r="E23" s="1942">
        <v>0</v>
      </c>
      <c r="F23" s="1942">
        <f t="shared" si="0"/>
        <v>0</v>
      </c>
      <c r="G23" s="1945"/>
      <c r="H23" s="1942">
        <f>IFERROR(VLOOKUP(B23,Balance!E:M,7,0),0)</f>
        <v>0</v>
      </c>
      <c r="I23" s="1942">
        <f>+IFERROR(VLOOKUP(B23,'PATRIMONIO_FISCAL '!$A$6:$F$29,6,0),0)</f>
        <v>0</v>
      </c>
      <c r="J23" s="1942">
        <f t="shared" si="1"/>
        <v>0</v>
      </c>
      <c r="K23" s="1943">
        <f t="shared" si="2"/>
        <v>0</v>
      </c>
      <c r="L23" s="1942"/>
    </row>
    <row r="24" spans="2:12">
      <c r="B24" s="216">
        <v>1110052095</v>
      </c>
      <c r="C24" s="216" t="s">
        <v>8</v>
      </c>
      <c r="D24" s="1942">
        <f>IFERROR(VLOOKUP(B24,Balance!E:M,9,0),0)</f>
        <v>276482766</v>
      </c>
      <c r="E24" s="1942">
        <v>0</v>
      </c>
      <c r="F24" s="1942">
        <f t="shared" si="0"/>
        <v>276482766</v>
      </c>
      <c r="G24" s="1945"/>
      <c r="H24" s="1942">
        <f>IFERROR(VLOOKUP(B24,Balance!E:M,7,0),0)</f>
        <v>0</v>
      </c>
      <c r="I24" s="1942">
        <f>+IFERROR(VLOOKUP(B24,'PATRIMONIO_FISCAL '!$A$6:$F$29,6,0),0)</f>
        <v>0</v>
      </c>
      <c r="J24" s="1942">
        <f t="shared" si="1"/>
        <v>0</v>
      </c>
      <c r="K24" s="1943">
        <f t="shared" si="2"/>
        <v>276482766</v>
      </c>
      <c r="L24" s="1942"/>
    </row>
    <row r="25" spans="2:12">
      <c r="B25" s="216">
        <v>1110052096</v>
      </c>
      <c r="C25" s="216">
        <v>0</v>
      </c>
      <c r="D25" s="1942">
        <f>IFERROR(VLOOKUP(B25,Balance!E:M,9,0),0)</f>
        <v>0</v>
      </c>
      <c r="E25" s="1942">
        <v>0</v>
      </c>
      <c r="F25" s="1942">
        <f t="shared" si="0"/>
        <v>0</v>
      </c>
      <c r="G25" s="1945"/>
      <c r="H25" s="1942">
        <f>IFERROR(VLOOKUP(B25,Balance!E:M,7,0),0)</f>
        <v>0</v>
      </c>
      <c r="I25" s="1942">
        <f>+IFERROR(VLOOKUP(B25,'PATRIMONIO_FISCAL '!$A$6:$F$29,6,0),0)</f>
        <v>0</v>
      </c>
      <c r="J25" s="1942">
        <f t="shared" si="1"/>
        <v>0</v>
      </c>
      <c r="K25" s="1943">
        <f t="shared" si="2"/>
        <v>0</v>
      </c>
      <c r="L25" s="1942"/>
    </row>
    <row r="26" spans="2:12">
      <c r="B26" s="216">
        <v>1110053030</v>
      </c>
      <c r="C26" s="216" t="s">
        <v>553</v>
      </c>
      <c r="D26" s="1942">
        <f>IFERROR(VLOOKUP(B26,Balance!E:M,9,0),0)</f>
        <v>0</v>
      </c>
      <c r="E26" s="1942">
        <v>18806787438.167274</v>
      </c>
      <c r="F26" s="1942">
        <f t="shared" si="0"/>
        <v>-18806787438.167274</v>
      </c>
      <c r="G26" s="1945"/>
      <c r="H26" s="1942">
        <f>IFERROR(VLOOKUP(B26,Balance!E:M,7,0),0)</f>
        <v>0</v>
      </c>
      <c r="I26" s="1942">
        <f>+IFERROR(VLOOKUP(B26,'PATRIMONIO_FISCAL '!$A$6:$F$29,6,0),0)</f>
        <v>0</v>
      </c>
      <c r="J26" s="1942">
        <f t="shared" si="1"/>
        <v>0</v>
      </c>
      <c r="K26" s="1943">
        <f t="shared" si="2"/>
        <v>-18806787438.167274</v>
      </c>
      <c r="L26" s="1942"/>
    </row>
    <row r="27" spans="2:12">
      <c r="B27" s="216">
        <v>1110053035</v>
      </c>
      <c r="C27" s="216" t="s">
        <v>554</v>
      </c>
      <c r="D27" s="1942">
        <f>IFERROR(VLOOKUP(B27,Balance!E:M,9,0),0)</f>
        <v>0</v>
      </c>
      <c r="E27" s="1942">
        <v>0</v>
      </c>
      <c r="F27" s="1942">
        <f t="shared" si="0"/>
        <v>0</v>
      </c>
      <c r="G27" s="1945"/>
      <c r="H27" s="1942">
        <f>IFERROR(VLOOKUP(B27,Balance!E:M,7,0),0)</f>
        <v>0</v>
      </c>
      <c r="I27" s="1942">
        <f>+IFERROR(VLOOKUP(B27,'PATRIMONIO_FISCAL '!$A$6:$F$29,6,0),0)</f>
        <v>0</v>
      </c>
      <c r="J27" s="1942">
        <f t="shared" si="1"/>
        <v>0</v>
      </c>
      <c r="K27" s="1943">
        <f t="shared" si="2"/>
        <v>0</v>
      </c>
      <c r="L27" s="1942"/>
    </row>
    <row r="28" spans="2:12">
      <c r="B28" s="216">
        <v>1110053038</v>
      </c>
      <c r="C28" s="216" t="s">
        <v>555</v>
      </c>
      <c r="D28" s="1945">
        <f>IFERROR(VLOOKUP(B28,Balance!E:M,9,0),0)</f>
        <v>36542338335</v>
      </c>
      <c r="E28" s="1945">
        <v>0</v>
      </c>
      <c r="F28" s="1945">
        <f t="shared" si="0"/>
        <v>36542338335</v>
      </c>
      <c r="G28" s="1945"/>
      <c r="H28" s="1945">
        <f>IFERROR(VLOOKUP(B28,Balance!E:M,7,0),0)</f>
        <v>40153899583</v>
      </c>
      <c r="I28" s="1945">
        <f>+IFERROR(VLOOKUP(B28,'PATRIMONIO_FISCAL '!$A$6:$F$29,6,0),0)</f>
        <v>0</v>
      </c>
      <c r="J28" s="1945">
        <f t="shared" si="1"/>
        <v>40153899583</v>
      </c>
      <c r="K28" s="1946">
        <f t="shared" si="2"/>
        <v>-3611561248</v>
      </c>
      <c r="L28" s="1942"/>
    </row>
    <row r="29" spans="2:12">
      <c r="B29" s="1947">
        <v>1110059600</v>
      </c>
      <c r="C29" s="1947" t="s">
        <v>9</v>
      </c>
      <c r="D29" s="1948">
        <f>IFERROR(VLOOKUP(B29,Balance!E:M,9,0),0)</f>
        <v>-309462</v>
      </c>
      <c r="E29" s="1948">
        <v>0</v>
      </c>
      <c r="F29" s="1948">
        <f t="shared" si="0"/>
        <v>-309462</v>
      </c>
      <c r="G29" s="1945"/>
      <c r="H29" s="1948">
        <f>IFERROR(VLOOKUP(B29,Balance!E:M,7,0),0)</f>
        <v>0</v>
      </c>
      <c r="I29" s="1948">
        <f>+IFERROR(VLOOKUP(B29,'PATRIMONIO_FISCAL '!$A$6:$F$29,6,0),0)</f>
        <v>0</v>
      </c>
      <c r="J29" s="1948">
        <f t="shared" si="1"/>
        <v>0</v>
      </c>
      <c r="K29" s="1949">
        <f t="shared" si="2"/>
        <v>-309462</v>
      </c>
      <c r="L29" s="1942"/>
    </row>
    <row r="30" spans="2:12" ht="15.75" thickBot="1">
      <c r="B30" s="2635"/>
      <c r="C30" s="2635"/>
      <c r="D30" s="1951">
        <f>SUM(D8:D29)</f>
        <v>75431946330</v>
      </c>
      <c r="E30" s="1951">
        <f t="shared" ref="E30:F30" si="3">SUM(E8:E29)</f>
        <v>21195674908.379124</v>
      </c>
      <c r="F30" s="1951">
        <f t="shared" si="3"/>
        <v>54236271421.620872</v>
      </c>
      <c r="G30" s="1952"/>
      <c r="H30" s="1951">
        <f t="shared" ref="H30" si="4">SUM(H8:H29)</f>
        <v>183919568980</v>
      </c>
      <c r="I30" s="1951">
        <f t="shared" ref="I30" ca="1" si="5">SUM(I8:I29)</f>
        <v>178748499283.33429</v>
      </c>
      <c r="J30" s="1951">
        <f t="shared" ref="J30" ca="1" si="6">SUM(J8:J29)</f>
        <v>5171069696.6657104</v>
      </c>
      <c r="K30" s="1951">
        <f t="shared" ref="K30" ca="1" si="7">SUM(K8:K29)</f>
        <v>49065201724.955162</v>
      </c>
      <c r="L30" s="1942"/>
    </row>
    <row r="31" spans="2:12" ht="15.75" thickTop="1"/>
    <row r="32" spans="2:12">
      <c r="H32" s="1145">
        <f>+D30-H30</f>
        <v>-108487622650</v>
      </c>
      <c r="I32" s="1145">
        <f ca="1">+E30-I30</f>
        <v>-157552824374.95517</v>
      </c>
      <c r="J32" s="1145"/>
    </row>
    <row r="34" spans="2:6" ht="30">
      <c r="B34" s="1958" t="s">
        <v>45</v>
      </c>
      <c r="C34" s="1958" t="s">
        <v>48</v>
      </c>
      <c r="D34" s="1944" t="s">
        <v>1244</v>
      </c>
      <c r="E34" s="1944" t="s">
        <v>1245</v>
      </c>
      <c r="F34" s="1944" t="s">
        <v>1247</v>
      </c>
    </row>
    <row r="35" spans="2:6">
      <c r="D35" s="3"/>
      <c r="E35" s="3">
        <f>'Seguimiento Dif Patrimonial'!K68*0</f>
        <v>0</v>
      </c>
      <c r="F35" s="3">
        <f>+D35-E35</f>
        <v>0</v>
      </c>
    </row>
    <row r="36" spans="2:6">
      <c r="B36">
        <v>4806010000</v>
      </c>
      <c r="C36" t="s">
        <v>24</v>
      </c>
      <c r="D36" s="2005">
        <f>IFERROR(VLOOKUP(B36,Balance!E:M,7,0),0)</f>
        <v>0</v>
      </c>
      <c r="E36" s="3">
        <f>+IFERROR(VLOOKUP(B36,'Ingreso-Gasto Mes'!A:Q,17,0),0)</f>
        <v>0</v>
      </c>
      <c r="F36" s="3">
        <f>+D36-E36</f>
        <v>0</v>
      </c>
    </row>
    <row r="37" spans="2:6">
      <c r="B37" s="1722">
        <v>4806010300</v>
      </c>
      <c r="C37" t="s">
        <v>1189</v>
      </c>
      <c r="D37" s="3">
        <f>IFERROR(VLOOKUP(B37,Balance!E:M,7,0),0)</f>
        <v>-4528741482</v>
      </c>
      <c r="E37" s="3">
        <f ca="1">+IFERROR(VLOOKUP(B37,'Ingreso-Gasto Mes'!A:Q,17,0),0)</f>
        <v>-3973240473.7682052</v>
      </c>
      <c r="F37" s="3">
        <f t="shared" ref="F37:F48" ca="1" si="8">+D37-E37</f>
        <v>-555501008.23179483</v>
      </c>
    </row>
    <row r="38" spans="2:6">
      <c r="B38">
        <v>4806011000</v>
      </c>
      <c r="C38" t="s">
        <v>25</v>
      </c>
      <c r="D38" s="2005">
        <f>IFERROR(VLOOKUP(B38,Balance!E:M,7,0),0)</f>
        <v>-9718752387</v>
      </c>
      <c r="E38" s="3">
        <f>+IFERROR(VLOOKUP(B38,'Ingreso-Gasto Mes'!A:Q,17,0),0)</f>
        <v>0</v>
      </c>
      <c r="F38" s="3">
        <f t="shared" si="8"/>
        <v>-9718752387</v>
      </c>
    </row>
    <row r="39" spans="2:6">
      <c r="B39">
        <v>4806011400</v>
      </c>
      <c r="C39" t="s">
        <v>1186</v>
      </c>
      <c r="D39" s="3">
        <f>IFERROR(VLOOKUP(B39,Balance!E:M,7,0),0)</f>
        <v>0</v>
      </c>
      <c r="E39" s="3">
        <f>+IFERROR(VLOOKUP(B39,'Ingreso-Gasto Mes'!A:Q,17,0),0)</f>
        <v>0</v>
      </c>
      <c r="F39" s="3">
        <f t="shared" si="8"/>
        <v>0</v>
      </c>
    </row>
    <row r="40" spans="2:6">
      <c r="B40">
        <v>4806011500</v>
      </c>
      <c r="C40" t="s">
        <v>1237</v>
      </c>
      <c r="D40" s="3">
        <f>IFERROR(VLOOKUP(B40,Balance!E:M,7,0),0)</f>
        <v>-11643978794</v>
      </c>
      <c r="E40" s="3">
        <f ca="1">+IFERROR(VLOOKUP(B40,'Ingreso-Gasto Mes'!A:Q,17,0),0)</f>
        <v>-5561655937.1832047</v>
      </c>
      <c r="F40" s="3">
        <f t="shared" ca="1" si="8"/>
        <v>-6082322856.8167953</v>
      </c>
    </row>
    <row r="41" spans="2:6">
      <c r="B41">
        <v>4806011600</v>
      </c>
      <c r="C41" t="s">
        <v>1187</v>
      </c>
      <c r="D41" s="3">
        <f>IFERROR(VLOOKUP(B41,Balance!E:M,7,0),0)</f>
        <v>-124006657</v>
      </c>
      <c r="E41" s="3">
        <f>+IFERROR(VLOOKUP(B41,'Ingreso-Gasto Mes'!A:Q,17,0),0)</f>
        <v>0</v>
      </c>
      <c r="F41" s="3">
        <f t="shared" si="8"/>
        <v>-124006657</v>
      </c>
    </row>
    <row r="42" spans="2:6">
      <c r="B42" s="1956">
        <v>4806451110</v>
      </c>
      <c r="C42" s="1956" t="s">
        <v>1251</v>
      </c>
      <c r="D42" s="1959">
        <f>IFERROR(VLOOKUP(B42,Balance!E:M,7,0),0)</f>
        <v>0</v>
      </c>
      <c r="E42" s="1959">
        <f>+IFERROR(VLOOKUP(B42,'Ingreso-Gasto Mes'!A:Q,17,0),0)</f>
        <v>0</v>
      </c>
      <c r="F42" s="1959">
        <f t="shared" ref="F42" si="9">+D42-E42</f>
        <v>0</v>
      </c>
    </row>
    <row r="43" spans="2:6">
      <c r="B43">
        <v>5803010100</v>
      </c>
      <c r="C43" t="s">
        <v>34</v>
      </c>
      <c r="D43" s="2005">
        <f>IFERROR(VLOOKUP(B43,Balance!E:M,7,0),0)</f>
        <v>463462</v>
      </c>
      <c r="E43" s="3">
        <f>+IFERROR(VLOOKUP(B43,'Ingreso-Gasto Mes'!A:Q,17,0),0)</f>
        <v>0</v>
      </c>
      <c r="F43" s="3">
        <f t="shared" si="8"/>
        <v>463462</v>
      </c>
    </row>
    <row r="44" spans="2:6">
      <c r="B44">
        <v>5803010200</v>
      </c>
      <c r="C44" t="s">
        <v>35</v>
      </c>
      <c r="D44" s="2005">
        <f>IFERROR(VLOOKUP(B44,Balance!E:M,7,0),0)</f>
        <v>-5284159</v>
      </c>
      <c r="E44" s="3">
        <f>+IFERROR(VLOOKUP(B44,'Ingreso-Gasto Mes'!A:Q,17,0),0)</f>
        <v>0</v>
      </c>
      <c r="F44" s="3">
        <f t="shared" si="8"/>
        <v>-5284159</v>
      </c>
    </row>
    <row r="45" spans="2:6">
      <c r="B45" s="1722">
        <v>5803010300</v>
      </c>
      <c r="C45" t="s">
        <v>1235</v>
      </c>
      <c r="D45" s="3">
        <f>IFERROR(VLOOKUP(B45,Balance!E:M,7,0),0)</f>
        <v>2741982078</v>
      </c>
      <c r="E45" s="3">
        <f ca="1">+IFERROR(VLOOKUP(B45,'Ingreso-Gasto Mes'!A:Q,17,0),0)</f>
        <v>3842737212.2916918</v>
      </c>
      <c r="F45" s="3">
        <f t="shared" ca="1" si="8"/>
        <v>-1100755134.2916918</v>
      </c>
    </row>
    <row r="46" spans="2:6">
      <c r="B46">
        <v>5803010400</v>
      </c>
      <c r="C46" t="s">
        <v>1186</v>
      </c>
      <c r="D46" s="3">
        <f>IFERROR(VLOOKUP(B46,Balance!E:M,7,0),0)</f>
        <v>1716187137</v>
      </c>
      <c r="E46" s="3">
        <f>+IFERROR(VLOOKUP(B46,'Ingreso-Gasto Mes'!A:Q,17,0),0)</f>
        <v>0</v>
      </c>
      <c r="F46" s="3">
        <f t="shared" si="8"/>
        <v>1716187137</v>
      </c>
    </row>
    <row r="47" spans="2:6">
      <c r="B47">
        <v>5803010500</v>
      </c>
      <c r="C47" t="s">
        <v>1236</v>
      </c>
      <c r="D47" s="3">
        <f>IFERROR(VLOOKUP(B47,Balance!E:M,7,0),0)</f>
        <v>2094741425</v>
      </c>
      <c r="E47" s="3">
        <f ca="1">+IFERROR(VLOOKUP(B47,'Ingreso-Gasto Mes'!A:Q,17,0),0)</f>
        <v>1890190901.9876857</v>
      </c>
      <c r="F47" s="3">
        <f t="shared" ca="1" si="8"/>
        <v>204550523.01231432</v>
      </c>
    </row>
    <row r="48" spans="2:6">
      <c r="B48">
        <v>5803010600</v>
      </c>
      <c r="C48" t="s">
        <v>1187</v>
      </c>
      <c r="D48" s="3">
        <f>IFERROR(VLOOKUP(B48,Balance!E:M,7,0),0)</f>
        <v>-309462</v>
      </c>
      <c r="E48" s="3">
        <f>+IFERROR(VLOOKUP(B48,'Ingreso-Gasto Mes'!A:Q,17,0),0)</f>
        <v>0</v>
      </c>
      <c r="F48" s="3">
        <f t="shared" si="8"/>
        <v>-309462</v>
      </c>
    </row>
    <row r="49" spans="2:8">
      <c r="B49" s="1956">
        <v>5803451110</v>
      </c>
      <c r="C49" s="1956" t="s">
        <v>1188</v>
      </c>
      <c r="D49" s="1959">
        <f>IFERROR(VLOOKUP(B49,Balance!E:M,7,0),0)*1</f>
        <v>88002922</v>
      </c>
      <c r="E49" s="1959">
        <f>+IFERROR(VLOOKUP(B49,'Ingreso-Gasto Mes'!A:Q,17,0),0)</f>
        <v>0</v>
      </c>
      <c r="F49" s="1959">
        <f t="shared" ref="F49" si="10">+D49-E49</f>
        <v>88002922</v>
      </c>
    </row>
    <row r="50" spans="2:8" ht="15.75" thickBot="1">
      <c r="B50" s="1950"/>
      <c r="C50" s="1950"/>
      <c r="D50" s="1957">
        <f t="shared" ref="D50:E50" si="11">SUM(D35:D49)</f>
        <v>-19379695917</v>
      </c>
      <c r="E50" s="1957">
        <f t="shared" ca="1" si="11"/>
        <v>-3801968296.6720328</v>
      </c>
      <c r="F50" s="1957">
        <f ca="1">SUM(F35:F49)</f>
        <v>-15577727620.327969</v>
      </c>
      <c r="H50" s="1145">
        <f ca="1">+K30-F50</f>
        <v>64642929345.283127</v>
      </c>
    </row>
    <row r="51" spans="2:8" ht="15.75" thickTop="1"/>
  </sheetData>
  <mergeCells count="1">
    <mergeCell ref="B30:C30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E3EB1-8C38-47E9-8301-7BDCA2EDF7FA}">
  <sheetPr codeName="Hoja10"/>
  <dimension ref="A2:CB771"/>
  <sheetViews>
    <sheetView showGridLines="0" topLeftCell="A101" zoomScale="80" zoomScaleNormal="80" workbookViewId="0">
      <selection activeCell="F110" sqref="F110"/>
    </sheetView>
  </sheetViews>
  <sheetFormatPr baseColWidth="10" defaultRowHeight="15"/>
  <cols>
    <col min="1" max="1" width="5.42578125" style="216" customWidth="1"/>
    <col min="2" max="2" width="13" style="216" customWidth="1"/>
    <col min="3" max="3" width="27" style="216" customWidth="1"/>
    <col min="4" max="4" width="19.85546875" style="216" customWidth="1"/>
    <col min="5" max="5" width="20.42578125" style="216" customWidth="1"/>
    <col min="6" max="6" width="18.140625" style="216" customWidth="1"/>
    <col min="7" max="7" width="21.28515625" style="216" bestFit="1" customWidth="1"/>
    <col min="8" max="8" width="1.42578125" style="216" customWidth="1"/>
    <col min="9" max="10" width="19.140625" style="216" customWidth="1"/>
    <col min="11" max="11" width="20" style="216" customWidth="1"/>
    <col min="12" max="12" width="19.85546875" style="216" customWidth="1"/>
    <col min="13" max="13" width="18" style="216" bestFit="1" customWidth="1"/>
    <col min="14" max="14" width="17.5703125" style="216" customWidth="1"/>
    <col min="15" max="15" width="18.7109375" style="216" bestFit="1" customWidth="1"/>
    <col min="16" max="20" width="18.28515625" style="216" customWidth="1"/>
    <col min="21" max="21" width="16.7109375" style="216" bestFit="1" customWidth="1"/>
    <col min="22" max="16384" width="11.42578125" style="216"/>
  </cols>
  <sheetData>
    <row r="2" spans="2:20">
      <c r="B2" s="2054" t="s">
        <v>1239</v>
      </c>
    </row>
    <row r="3" spans="2:20">
      <c r="B3" s="2054" t="s">
        <v>1246</v>
      </c>
    </row>
    <row r="4" spans="2:20">
      <c r="B4" s="2054" t="s">
        <v>2203</v>
      </c>
    </row>
    <row r="6" spans="2:20">
      <c r="N6" s="216" t="s">
        <v>1369</v>
      </c>
    </row>
    <row r="7" spans="2:20" s="1941" customFormat="1" ht="30">
      <c r="B7" s="1953" t="s">
        <v>45</v>
      </c>
      <c r="C7" s="1953" t="s">
        <v>48</v>
      </c>
      <c r="D7" s="1953" t="s">
        <v>2229</v>
      </c>
      <c r="E7" s="1953" t="s">
        <v>2230</v>
      </c>
      <c r="F7" s="1953" t="s">
        <v>251</v>
      </c>
      <c r="I7" s="1953" t="s">
        <v>1244</v>
      </c>
      <c r="J7" s="1953" t="s">
        <v>1245</v>
      </c>
      <c r="K7" s="1953" t="s">
        <v>251</v>
      </c>
      <c r="L7" s="1955" t="s">
        <v>1243</v>
      </c>
      <c r="N7" s="1955" t="s">
        <v>1243</v>
      </c>
      <c r="O7" s="2160" t="s">
        <v>251</v>
      </c>
    </row>
    <row r="8" spans="2:20">
      <c r="B8" s="216">
        <v>1110052010</v>
      </c>
      <c r="C8" s="216" t="s">
        <v>3</v>
      </c>
      <c r="D8" s="1942">
        <f>IFERROR(VLOOKUP(B8,Balance!E:M,9,0),0)</f>
        <v>36159803284</v>
      </c>
      <c r="E8" s="1942">
        <v>71952515994.50502</v>
      </c>
      <c r="F8" s="1942">
        <f>+D8-E8</f>
        <v>-35792712710.50502</v>
      </c>
      <c r="G8" s="2077"/>
      <c r="H8" s="2077"/>
      <c r="I8" s="1942">
        <f>IFERROR(VLOOKUP(B8,Balance!E:M,7,0),0)</f>
        <v>6420775743</v>
      </c>
      <c r="J8" s="1942">
        <f ca="1">+IFERROR(VLOOKUP(B8,'PATRIMONIO_FISCAL '!$A$6:$F$59,6,0),0)</f>
        <v>6330014207.539978</v>
      </c>
      <c r="K8" s="1942">
        <f ca="1">+I8-J8</f>
        <v>90761535.460021973</v>
      </c>
      <c r="L8" s="1943">
        <f ca="1">+F8-K8</f>
        <v>-35883474245.965042</v>
      </c>
      <c r="M8" s="1942"/>
      <c r="N8" s="1943">
        <v>179563369625.63196</v>
      </c>
      <c r="O8" s="2146">
        <f ca="1">+L8-N8</f>
        <v>-215446843871.59698</v>
      </c>
      <c r="P8" s="1942"/>
      <c r="Q8" s="1942"/>
      <c r="R8" s="1942"/>
      <c r="S8" s="1942"/>
      <c r="T8" s="1942"/>
    </row>
    <row r="9" spans="2:20">
      <c r="B9" s="216">
        <v>1110052011</v>
      </c>
      <c r="C9" s="216">
        <v>0</v>
      </c>
      <c r="D9" s="1942">
        <f>IFERROR(VLOOKUP(B9,Balance!E:M,9,0),0)</f>
        <v>0</v>
      </c>
      <c r="E9" s="1942">
        <v>0</v>
      </c>
      <c r="F9" s="1942">
        <f t="shared" ref="F9:F60" si="0">+D9-E9</f>
        <v>0</v>
      </c>
      <c r="G9" s="2077"/>
      <c r="H9" s="2077"/>
      <c r="I9" s="1942">
        <f>IFERROR(VLOOKUP(B9,Balance!E:M,7,0),0)</f>
        <v>0</v>
      </c>
      <c r="J9" s="1942">
        <f>+IFERROR(VLOOKUP(B9,'PATRIMONIO_FISCAL '!$A$6:$F$59,6,0),0)</f>
        <v>0</v>
      </c>
      <c r="K9" s="1942">
        <f t="shared" ref="K9:K31" si="1">+I9-J9</f>
        <v>0</v>
      </c>
      <c r="L9" s="1943">
        <f t="shared" ref="L9:L31" si="2">+F9-K9</f>
        <v>0</v>
      </c>
      <c r="M9" s="1942"/>
      <c r="N9" s="1943">
        <v>0</v>
      </c>
      <c r="O9" s="2146">
        <f t="shared" ref="O9:O60" si="3">+L9-N9</f>
        <v>0</v>
      </c>
      <c r="P9" s="1942"/>
      <c r="Q9" s="1942"/>
      <c r="R9" s="1942"/>
      <c r="S9" s="1942"/>
      <c r="T9" s="1942"/>
    </row>
    <row r="10" spans="2:20">
      <c r="B10" s="216">
        <v>1110052015</v>
      </c>
      <c r="C10" s="216" t="s">
        <v>4</v>
      </c>
      <c r="D10" s="1942">
        <f>IFERROR(VLOOKUP(B10,Balance!E:M,9,0),0)</f>
        <v>0</v>
      </c>
      <c r="E10" s="1942">
        <v>0</v>
      </c>
      <c r="F10" s="1942">
        <f t="shared" si="0"/>
        <v>0</v>
      </c>
      <c r="G10" s="2077"/>
      <c r="H10" s="2077"/>
      <c r="I10" s="1942">
        <f>IFERROR(VLOOKUP(B10,Balance!E:M,7,0),0)</f>
        <v>0</v>
      </c>
      <c r="J10" s="1942">
        <f>+IFERROR(VLOOKUP(B10,'PATRIMONIO_FISCAL '!$A$6:$F$59,6,0),0)</f>
        <v>0</v>
      </c>
      <c r="K10" s="1942">
        <f t="shared" si="1"/>
        <v>0</v>
      </c>
      <c r="L10" s="1943">
        <f t="shared" si="2"/>
        <v>0</v>
      </c>
      <c r="M10" s="1942"/>
      <c r="N10" s="1943">
        <v>-132781440000</v>
      </c>
      <c r="O10" s="2146">
        <f t="shared" si="3"/>
        <v>132781440000</v>
      </c>
      <c r="P10" s="1942"/>
      <c r="Q10" s="1942"/>
      <c r="R10" s="1942"/>
      <c r="S10" s="1942"/>
      <c r="T10" s="1942"/>
    </row>
    <row r="11" spans="2:20">
      <c r="B11" s="216">
        <v>1110052016</v>
      </c>
      <c r="C11" s="216">
        <v>0</v>
      </c>
      <c r="D11" s="1942">
        <f>IFERROR(VLOOKUP(B11,Balance!E:M,9,0),0)</f>
        <v>0</v>
      </c>
      <c r="E11" s="1942">
        <v>0</v>
      </c>
      <c r="F11" s="1942">
        <f t="shared" si="0"/>
        <v>0</v>
      </c>
      <c r="G11" s="2077"/>
      <c r="H11" s="2077"/>
      <c r="I11" s="1942">
        <f>IFERROR(VLOOKUP(B11,Balance!E:M,7,0),0)</f>
        <v>0</v>
      </c>
      <c r="J11" s="1942">
        <f>+IFERROR(VLOOKUP(B11,'PATRIMONIO_FISCAL '!$A$6:$F$59,6,0),0)</f>
        <v>0</v>
      </c>
      <c r="K11" s="1942">
        <f t="shared" si="1"/>
        <v>0</v>
      </c>
      <c r="L11" s="1943">
        <f t="shared" si="2"/>
        <v>0</v>
      </c>
      <c r="M11" s="1942"/>
      <c r="N11" s="1943">
        <v>0</v>
      </c>
      <c r="O11" s="2146">
        <f t="shared" si="3"/>
        <v>0</v>
      </c>
      <c r="P11" s="1942"/>
      <c r="Q11" s="1942"/>
      <c r="R11" s="1942"/>
      <c r="S11" s="1942"/>
      <c r="T11" s="1942"/>
    </row>
    <row r="12" spans="2:20">
      <c r="B12" s="216">
        <v>1110052040</v>
      </c>
      <c r="C12" s="216">
        <v>0</v>
      </c>
      <c r="D12" s="1942">
        <f>IFERROR(VLOOKUP(B12,Balance!E:M,9,0),0)</f>
        <v>0</v>
      </c>
      <c r="E12" s="1942">
        <v>0</v>
      </c>
      <c r="F12" s="1942">
        <f t="shared" si="0"/>
        <v>0</v>
      </c>
      <c r="G12" s="2077"/>
      <c r="H12" s="2077"/>
      <c r="I12" s="1942">
        <f>IFERROR(VLOOKUP(B12,Balance!E:M,7,0),0)</f>
        <v>0</v>
      </c>
      <c r="J12" s="1942">
        <f>+IFERROR(VLOOKUP(B12,'PATRIMONIO_FISCAL '!$A$6:$F$59,6,0),0)</f>
        <v>0</v>
      </c>
      <c r="K12" s="1942">
        <f t="shared" si="1"/>
        <v>0</v>
      </c>
      <c r="L12" s="1943">
        <f t="shared" si="2"/>
        <v>0</v>
      </c>
      <c r="M12" s="1942"/>
      <c r="N12" s="1943">
        <v>0</v>
      </c>
      <c r="O12" s="2146">
        <f t="shared" si="3"/>
        <v>0</v>
      </c>
      <c r="P12" s="1942"/>
      <c r="Q12" s="1942"/>
      <c r="R12" s="1942"/>
      <c r="S12" s="1942"/>
      <c r="T12" s="1942"/>
    </row>
    <row r="13" spans="2:20">
      <c r="B13" s="216">
        <v>1110052050</v>
      </c>
      <c r="C13" s="216">
        <v>0</v>
      </c>
      <c r="D13" s="1942">
        <f>IFERROR(VLOOKUP(B13,Balance!E:M,9,0),0)</f>
        <v>0</v>
      </c>
      <c r="E13" s="1942">
        <v>0</v>
      </c>
      <c r="F13" s="1942">
        <f t="shared" si="0"/>
        <v>0</v>
      </c>
      <c r="G13" s="2077"/>
      <c r="H13" s="2077"/>
      <c r="I13" s="1942">
        <f>IFERROR(VLOOKUP(B13,Balance!E:M,7,0),0)</f>
        <v>0</v>
      </c>
      <c r="J13" s="1942">
        <f>+IFERROR(VLOOKUP(B13,'PATRIMONIO_FISCAL '!$A$6:$F$59,6,0),0)</f>
        <v>0</v>
      </c>
      <c r="K13" s="1942">
        <f t="shared" si="1"/>
        <v>0</v>
      </c>
      <c r="L13" s="1943">
        <f t="shared" si="2"/>
        <v>0</v>
      </c>
      <c r="M13" s="1942"/>
      <c r="N13" s="1943">
        <v>0</v>
      </c>
      <c r="O13" s="2146">
        <f t="shared" si="3"/>
        <v>0</v>
      </c>
      <c r="P13" s="1942"/>
      <c r="Q13" s="1942"/>
      <c r="R13" s="1942"/>
      <c r="S13" s="1942"/>
      <c r="T13" s="1942"/>
    </row>
    <row r="14" spans="2:20">
      <c r="B14" s="216">
        <v>1110052051</v>
      </c>
      <c r="C14" s="216">
        <v>0</v>
      </c>
      <c r="D14" s="1942">
        <f>IFERROR(VLOOKUP(B14,Balance!E:M,9,0),0)</f>
        <v>0</v>
      </c>
      <c r="E14" s="1942">
        <v>0</v>
      </c>
      <c r="F14" s="1942">
        <f t="shared" si="0"/>
        <v>0</v>
      </c>
      <c r="G14" s="2077"/>
      <c r="H14" s="2077"/>
      <c r="I14" s="1942">
        <f>IFERROR(VLOOKUP(B14,Balance!E:M,7,0),0)</f>
        <v>0</v>
      </c>
      <c r="J14" s="1942">
        <f>+IFERROR(VLOOKUP(B14,'PATRIMONIO_FISCAL '!$A$6:$F$59,6,0),0)</f>
        <v>0</v>
      </c>
      <c r="K14" s="1942">
        <f t="shared" si="1"/>
        <v>0</v>
      </c>
      <c r="L14" s="1943">
        <f t="shared" si="2"/>
        <v>0</v>
      </c>
      <c r="M14" s="1942"/>
      <c r="N14" s="1943">
        <v>0</v>
      </c>
      <c r="O14" s="2146">
        <f t="shared" si="3"/>
        <v>0</v>
      </c>
      <c r="P14" s="1942"/>
      <c r="Q14" s="1942"/>
      <c r="R14" s="1942"/>
      <c r="S14" s="1942"/>
      <c r="T14" s="1942"/>
    </row>
    <row r="15" spans="2:20">
      <c r="B15" s="216">
        <v>1110052055</v>
      </c>
      <c r="C15" s="216">
        <v>0</v>
      </c>
      <c r="D15" s="1942">
        <f>IFERROR(VLOOKUP(B15,Balance!E:M,9,0),0)</f>
        <v>0</v>
      </c>
      <c r="E15" s="1942">
        <v>0</v>
      </c>
      <c r="F15" s="1942">
        <f t="shared" si="0"/>
        <v>0</v>
      </c>
      <c r="G15" s="2077"/>
      <c r="H15" s="2077"/>
      <c r="I15" s="1942">
        <f>IFERROR(VLOOKUP(B15,Balance!E:M,7,0),0)</f>
        <v>0</v>
      </c>
      <c r="J15" s="1942">
        <f>+IFERROR(VLOOKUP(B15,'PATRIMONIO_FISCAL '!$A$6:$F$59,6,0),0)</f>
        <v>0</v>
      </c>
      <c r="K15" s="1942">
        <f t="shared" si="1"/>
        <v>0</v>
      </c>
      <c r="L15" s="1943">
        <f t="shared" si="2"/>
        <v>0</v>
      </c>
      <c r="M15" s="1942"/>
      <c r="N15" s="1943">
        <v>0</v>
      </c>
      <c r="O15" s="2146">
        <f t="shared" si="3"/>
        <v>0</v>
      </c>
      <c r="P15" s="1942"/>
      <c r="Q15" s="1942"/>
      <c r="R15" s="1942"/>
      <c r="S15" s="1942"/>
      <c r="T15" s="1942"/>
    </row>
    <row r="16" spans="2:20">
      <c r="B16" s="216">
        <v>1110052060</v>
      </c>
      <c r="C16" s="216">
        <v>0</v>
      </c>
      <c r="D16" s="1942">
        <f>IFERROR(VLOOKUP(B16,Balance!E:M,9,0),0)</f>
        <v>0</v>
      </c>
      <c r="E16" s="1942">
        <v>0</v>
      </c>
      <c r="F16" s="1942">
        <f t="shared" si="0"/>
        <v>0</v>
      </c>
      <c r="G16" s="2077"/>
      <c r="H16" s="2077"/>
      <c r="I16" s="1942">
        <f>IFERROR(VLOOKUP(B16,Balance!E:M,7,0),0)</f>
        <v>0</v>
      </c>
      <c r="J16" s="1942">
        <f>+IFERROR(VLOOKUP(B16,'PATRIMONIO_FISCAL '!$A$6:$F$59,6,0),0)</f>
        <v>0</v>
      </c>
      <c r="K16" s="1942">
        <f t="shared" si="1"/>
        <v>0</v>
      </c>
      <c r="L16" s="1943">
        <f t="shared" si="2"/>
        <v>0</v>
      </c>
      <c r="M16" s="1942"/>
      <c r="N16" s="1943">
        <v>0</v>
      </c>
      <c r="O16" s="2146">
        <f t="shared" si="3"/>
        <v>0</v>
      </c>
      <c r="P16" s="1942"/>
      <c r="Q16" s="1942"/>
      <c r="R16" s="1942"/>
      <c r="S16" s="1942"/>
      <c r="T16" s="1942"/>
    </row>
    <row r="17" spans="2:20">
      <c r="B17" s="216">
        <v>1110052065</v>
      </c>
      <c r="C17" s="216">
        <v>0</v>
      </c>
      <c r="D17" s="1942">
        <f>IFERROR(VLOOKUP(B17,Balance!E:M,9,0),0)</f>
        <v>0</v>
      </c>
      <c r="E17" s="1942">
        <v>0</v>
      </c>
      <c r="F17" s="1942">
        <f t="shared" si="0"/>
        <v>0</v>
      </c>
      <c r="G17" s="2077"/>
      <c r="H17" s="2077"/>
      <c r="I17" s="1942">
        <f>IFERROR(VLOOKUP(B17,Balance!E:M,7,0),0)</f>
        <v>0</v>
      </c>
      <c r="J17" s="1942">
        <f>+IFERROR(VLOOKUP(B17,'PATRIMONIO_FISCAL '!$A$6:$F$59,6,0),0)</f>
        <v>0</v>
      </c>
      <c r="K17" s="1942">
        <f t="shared" si="1"/>
        <v>0</v>
      </c>
      <c r="L17" s="1943">
        <f t="shared" si="2"/>
        <v>0</v>
      </c>
      <c r="M17" s="1942"/>
      <c r="N17" s="1943">
        <v>0</v>
      </c>
      <c r="O17" s="2146">
        <f t="shared" si="3"/>
        <v>0</v>
      </c>
      <c r="P17" s="1942"/>
      <c r="Q17" s="1942"/>
      <c r="R17" s="1942"/>
      <c r="S17" s="1942"/>
      <c r="T17" s="1942"/>
    </row>
    <row r="18" spans="2:20">
      <c r="B18" s="216">
        <v>1110052070</v>
      </c>
      <c r="C18" s="216">
        <v>0</v>
      </c>
      <c r="D18" s="1942">
        <f>IFERROR(VLOOKUP(B18,Balance!E:M,9,0),0)</f>
        <v>0</v>
      </c>
      <c r="E18" s="1942">
        <v>0</v>
      </c>
      <c r="F18" s="1942">
        <f t="shared" si="0"/>
        <v>0</v>
      </c>
      <c r="G18" s="2077"/>
      <c r="H18" s="2077"/>
      <c r="I18" s="1942">
        <f>IFERROR(VLOOKUP(B18,Balance!E:M,7,0),0)</f>
        <v>0</v>
      </c>
      <c r="J18" s="1942">
        <f>+IFERROR(VLOOKUP(B18,'PATRIMONIO_FISCAL '!$A$6:$F$59,6,0),0)</f>
        <v>0</v>
      </c>
      <c r="K18" s="1942">
        <f t="shared" si="1"/>
        <v>0</v>
      </c>
      <c r="L18" s="1943">
        <f t="shared" si="2"/>
        <v>0</v>
      </c>
      <c r="M18" s="1942"/>
      <c r="N18" s="1943">
        <v>0</v>
      </c>
      <c r="O18" s="2146">
        <f t="shared" si="3"/>
        <v>0</v>
      </c>
      <c r="P18" s="1942"/>
      <c r="Q18" s="1942"/>
      <c r="R18" s="1942"/>
      <c r="S18" s="1942"/>
      <c r="T18" s="1942"/>
    </row>
    <row r="19" spans="2:20">
      <c r="B19" s="216">
        <v>1110052071</v>
      </c>
      <c r="C19" s="216">
        <v>0</v>
      </c>
      <c r="D19" s="1942">
        <f>IFERROR(VLOOKUP(B19,Balance!E:M,9,0),0)</f>
        <v>0</v>
      </c>
      <c r="E19" s="1942">
        <v>0</v>
      </c>
      <c r="F19" s="1942">
        <f t="shared" si="0"/>
        <v>0</v>
      </c>
      <c r="G19" s="2077"/>
      <c r="H19" s="2077"/>
      <c r="I19" s="1942">
        <f>IFERROR(VLOOKUP(B19,Balance!E:M,7,0),0)</f>
        <v>0</v>
      </c>
      <c r="J19" s="1942">
        <f>+IFERROR(VLOOKUP(B19,'PATRIMONIO_FISCAL '!$A$6:$F$59,6,0),0)</f>
        <v>0</v>
      </c>
      <c r="K19" s="1942">
        <f t="shared" si="1"/>
        <v>0</v>
      </c>
      <c r="L19" s="1943">
        <f t="shared" si="2"/>
        <v>0</v>
      </c>
      <c r="M19" s="1942"/>
      <c r="N19" s="1943">
        <v>0</v>
      </c>
      <c r="O19" s="2146">
        <f t="shared" si="3"/>
        <v>0</v>
      </c>
      <c r="P19" s="1942"/>
      <c r="Q19" s="1942"/>
      <c r="R19" s="1942"/>
      <c r="S19" s="1942"/>
      <c r="T19" s="1942"/>
    </row>
    <row r="20" spans="2:20">
      <c r="B20" s="216">
        <v>1110052075</v>
      </c>
      <c r="C20" s="216">
        <v>0</v>
      </c>
      <c r="D20" s="1942">
        <f>IFERROR(VLOOKUP(B20,Balance!E:M,9,0),0)</f>
        <v>0</v>
      </c>
      <c r="E20" s="1942">
        <v>0</v>
      </c>
      <c r="F20" s="1942">
        <f t="shared" si="0"/>
        <v>0</v>
      </c>
      <c r="G20" s="2077"/>
      <c r="H20" s="2077"/>
      <c r="I20" s="1942">
        <f>IFERROR(VLOOKUP(B20,Balance!E:M,7,0),0)</f>
        <v>0</v>
      </c>
      <c r="J20" s="1942">
        <f>+IFERROR(VLOOKUP(B20,'PATRIMONIO_FISCAL '!$A$6:$F$59,6,0),0)</f>
        <v>0</v>
      </c>
      <c r="K20" s="1942">
        <f t="shared" si="1"/>
        <v>0</v>
      </c>
      <c r="L20" s="1943">
        <f t="shared" si="2"/>
        <v>0</v>
      </c>
      <c r="M20" s="1942"/>
      <c r="N20" s="1943">
        <v>0</v>
      </c>
      <c r="O20" s="2146">
        <f t="shared" si="3"/>
        <v>0</v>
      </c>
      <c r="P20" s="1942"/>
      <c r="Q20" s="1942"/>
      <c r="R20" s="1942"/>
      <c r="S20" s="1942"/>
      <c r="T20" s="1942"/>
    </row>
    <row r="21" spans="2:20">
      <c r="B21" s="216">
        <v>1110052076</v>
      </c>
      <c r="C21" s="216">
        <v>0</v>
      </c>
      <c r="D21" s="1942">
        <f>IFERROR(VLOOKUP(B21,Balance!E:M,9,0),0)</f>
        <v>0</v>
      </c>
      <c r="E21" s="1942">
        <v>0</v>
      </c>
      <c r="F21" s="1942">
        <f t="shared" si="0"/>
        <v>0</v>
      </c>
      <c r="G21" s="2077"/>
      <c r="H21" s="2077"/>
      <c r="I21" s="1942">
        <f>IFERROR(VLOOKUP(B21,Balance!E:M,7,0),0)</f>
        <v>0</v>
      </c>
      <c r="J21" s="1942">
        <f>+IFERROR(VLOOKUP(B21,'PATRIMONIO_FISCAL '!$A$6:$F$59,6,0),0)</f>
        <v>0</v>
      </c>
      <c r="K21" s="1942">
        <f t="shared" si="1"/>
        <v>0</v>
      </c>
      <c r="L21" s="1943">
        <f t="shared" si="2"/>
        <v>0</v>
      </c>
      <c r="M21" s="1942"/>
      <c r="N21" s="1943">
        <v>0</v>
      </c>
      <c r="O21" s="2146">
        <f t="shared" si="3"/>
        <v>0</v>
      </c>
      <c r="P21" s="1942"/>
      <c r="Q21" s="1942"/>
      <c r="R21" s="1942"/>
      <c r="S21" s="1942"/>
      <c r="T21" s="1942"/>
    </row>
    <row r="22" spans="2:20">
      <c r="B22" s="216">
        <v>1110052090</v>
      </c>
      <c r="C22" s="216" t="s">
        <v>7</v>
      </c>
      <c r="D22" s="1942">
        <f>IFERROR(VLOOKUP(B22,Balance!E:M,9,0),0)</f>
        <v>2453631407</v>
      </c>
      <c r="E22" s="1942">
        <v>2775278652.0364685</v>
      </c>
      <c r="F22" s="1942">
        <f t="shared" si="0"/>
        <v>-321647245.03646851</v>
      </c>
      <c r="G22" s="2077"/>
      <c r="H22" s="2077"/>
      <c r="I22" s="1942">
        <f>IFERROR(VLOOKUP(B22,Balance!E:M,7,0),0)</f>
        <v>137344893654</v>
      </c>
      <c r="J22" s="1942">
        <f ca="1">+IFERROR(VLOOKUP(B22,'PATRIMONIO_FISCAL '!$A$6:$F$59,6,0),0)</f>
        <v>172418485075.79431</v>
      </c>
      <c r="K22" s="1942">
        <f t="shared" ca="1" si="1"/>
        <v>-35073591421.794312</v>
      </c>
      <c r="L22" s="1943">
        <f t="shared" ca="1" si="2"/>
        <v>34751944176.757843</v>
      </c>
      <c r="M22" s="1942"/>
      <c r="N22" s="1943">
        <v>46902064607.222015</v>
      </c>
      <c r="O22" s="2146">
        <f t="shared" ca="1" si="3"/>
        <v>-12150120430.464172</v>
      </c>
      <c r="P22" s="1942"/>
      <c r="Q22" s="1942"/>
      <c r="R22" s="1942"/>
      <c r="S22" s="1942"/>
      <c r="T22" s="1942"/>
    </row>
    <row r="23" spans="2:20">
      <c r="B23" s="216">
        <v>1110052091</v>
      </c>
      <c r="C23" s="216">
        <v>0</v>
      </c>
      <c r="D23" s="1942">
        <f>IFERROR(VLOOKUP(B23,Balance!E:M,9,0),0)</f>
        <v>0</v>
      </c>
      <c r="E23" s="1942">
        <v>0</v>
      </c>
      <c r="F23" s="1942">
        <f t="shared" si="0"/>
        <v>0</v>
      </c>
      <c r="G23" s="2077"/>
      <c r="H23" s="2077"/>
      <c r="I23" s="1942">
        <f>IFERROR(VLOOKUP(B23,Balance!E:M,7,0),0)</f>
        <v>0</v>
      </c>
      <c r="J23" s="1942">
        <f>+IFERROR(VLOOKUP(B23,'PATRIMONIO_FISCAL '!$A$6:$F$59,6,0),0)</f>
        <v>0</v>
      </c>
      <c r="K23" s="1942">
        <f t="shared" si="1"/>
        <v>0</v>
      </c>
      <c r="L23" s="1943">
        <f t="shared" si="2"/>
        <v>0</v>
      </c>
      <c r="M23" s="1942"/>
      <c r="N23" s="1943">
        <v>0</v>
      </c>
      <c r="O23" s="2146">
        <f t="shared" si="3"/>
        <v>0</v>
      </c>
      <c r="P23" s="1942"/>
      <c r="Q23" s="1942"/>
      <c r="R23" s="1942"/>
      <c r="S23" s="1942"/>
      <c r="T23" s="1942"/>
    </row>
    <row r="24" spans="2:20">
      <c r="B24" s="216">
        <v>1110052095</v>
      </c>
      <c r="C24" s="216" t="s">
        <v>8</v>
      </c>
      <c r="D24" s="1942">
        <f>IFERROR(VLOOKUP(B24,Balance!E:M,9,0),0)</f>
        <v>276482766</v>
      </c>
      <c r="E24" s="1942">
        <v>0</v>
      </c>
      <c r="F24" s="1942">
        <f t="shared" si="0"/>
        <v>276482766</v>
      </c>
      <c r="G24" s="2077"/>
      <c r="H24" s="2077"/>
      <c r="I24" s="1942">
        <f>IFERROR(VLOOKUP(B24,Balance!E:M,7,0),0)</f>
        <v>0</v>
      </c>
      <c r="J24" s="1942">
        <f>+IFERROR(VLOOKUP(B24,'PATRIMONIO_FISCAL '!$A$6:$F$59,6,0),0)</f>
        <v>0</v>
      </c>
      <c r="K24" s="1942">
        <f t="shared" si="1"/>
        <v>0</v>
      </c>
      <c r="L24" s="1943">
        <f t="shared" si="2"/>
        <v>276482766</v>
      </c>
      <c r="M24" s="1942"/>
      <c r="N24" s="1943">
        <v>-47424292044</v>
      </c>
      <c r="O24" s="2146">
        <f t="shared" si="3"/>
        <v>47700774810</v>
      </c>
      <c r="P24" s="1942"/>
      <c r="Q24" s="1942"/>
      <c r="R24" s="1942"/>
      <c r="S24" s="1942"/>
      <c r="T24" s="1942"/>
    </row>
    <row r="25" spans="2:20">
      <c r="B25" s="216">
        <v>1110052096</v>
      </c>
      <c r="C25" s="216">
        <v>0</v>
      </c>
      <c r="D25" s="1942">
        <f>IFERROR(VLOOKUP(B25,Balance!E:M,9,0),0)</f>
        <v>0</v>
      </c>
      <c r="E25" s="1942">
        <v>0</v>
      </c>
      <c r="F25" s="1942">
        <f t="shared" si="0"/>
        <v>0</v>
      </c>
      <c r="G25" s="2077"/>
      <c r="H25" s="2077"/>
      <c r="I25" s="1942">
        <f>IFERROR(VLOOKUP(B25,Balance!E:M,7,0),0)</f>
        <v>0</v>
      </c>
      <c r="J25" s="1942">
        <f>+IFERROR(VLOOKUP(B25,'PATRIMONIO_FISCAL '!$A$6:$F$59,6,0),0)</f>
        <v>0</v>
      </c>
      <c r="K25" s="1942">
        <f t="shared" si="1"/>
        <v>0</v>
      </c>
      <c r="L25" s="1943">
        <f t="shared" si="2"/>
        <v>0</v>
      </c>
      <c r="M25" s="1942"/>
      <c r="N25" s="1943">
        <v>0</v>
      </c>
      <c r="O25" s="2146">
        <f t="shared" si="3"/>
        <v>0</v>
      </c>
      <c r="P25" s="1942"/>
      <c r="Q25" s="1942"/>
      <c r="R25" s="1942"/>
      <c r="S25" s="1942"/>
      <c r="T25" s="1942"/>
    </row>
    <row r="26" spans="2:20">
      <c r="B26" s="216">
        <v>1110053030</v>
      </c>
      <c r="C26" s="216" t="s">
        <v>553</v>
      </c>
      <c r="D26" s="1942">
        <f>IFERROR(VLOOKUP(B26,Balance!E:M,9,0),0)</f>
        <v>0</v>
      </c>
      <c r="E26" s="1942">
        <v>0</v>
      </c>
      <c r="F26" s="1942">
        <f t="shared" si="0"/>
        <v>0</v>
      </c>
      <c r="G26" s="2077"/>
      <c r="H26" s="2077"/>
      <c r="I26" s="1942">
        <f>IFERROR(VLOOKUP(B26,Balance!E:M,7,0),0)</f>
        <v>0</v>
      </c>
      <c r="J26" s="1942">
        <f>+IFERROR(VLOOKUP(B26,'PATRIMONIO_FISCAL '!$A$6:$F$59,6,0),0)</f>
        <v>0</v>
      </c>
      <c r="K26" s="1942">
        <f t="shared" si="1"/>
        <v>0</v>
      </c>
      <c r="L26" s="1943">
        <f t="shared" si="2"/>
        <v>0</v>
      </c>
      <c r="M26" s="1942"/>
      <c r="N26" s="1943">
        <v>-15574487655.167278</v>
      </c>
      <c r="O26" s="2146">
        <f t="shared" si="3"/>
        <v>15574487655.167278</v>
      </c>
      <c r="P26" s="1942"/>
      <c r="Q26" s="1942"/>
      <c r="R26" s="1942"/>
      <c r="S26" s="1942"/>
      <c r="T26" s="1942"/>
    </row>
    <row r="27" spans="2:20">
      <c r="B27" s="216">
        <v>1110053035</v>
      </c>
      <c r="C27" s="216" t="s">
        <v>554</v>
      </c>
      <c r="D27" s="1942">
        <f>IFERROR(VLOOKUP(B27,Balance!E:M,9,0),0)</f>
        <v>0</v>
      </c>
      <c r="E27" s="1942">
        <v>0</v>
      </c>
      <c r="F27" s="1942">
        <f t="shared" si="0"/>
        <v>0</v>
      </c>
      <c r="G27" s="2077"/>
      <c r="H27" s="2077"/>
      <c r="I27" s="1942">
        <f>IFERROR(VLOOKUP(B27,Balance!E:M,7,0),0)</f>
        <v>0</v>
      </c>
      <c r="J27" s="1942">
        <f>+IFERROR(VLOOKUP(B27,'PATRIMONIO_FISCAL '!$A$6:$F$59,6,0),0)</f>
        <v>0</v>
      </c>
      <c r="K27" s="1942">
        <f t="shared" si="1"/>
        <v>0</v>
      </c>
      <c r="L27" s="1943">
        <f t="shared" si="2"/>
        <v>0</v>
      </c>
      <c r="M27" s="1942"/>
      <c r="N27" s="1943">
        <v>3242784789</v>
      </c>
      <c r="O27" s="2146">
        <f t="shared" si="3"/>
        <v>-3242784789</v>
      </c>
      <c r="P27" s="1942"/>
      <c r="Q27" s="1942"/>
      <c r="R27" s="1942"/>
      <c r="S27" s="1942"/>
      <c r="T27" s="1942"/>
    </row>
    <row r="28" spans="2:20">
      <c r="B28" s="216">
        <v>1110053038</v>
      </c>
      <c r="C28" s="216" t="s">
        <v>555</v>
      </c>
      <c r="D28" s="1945">
        <f>IFERROR(VLOOKUP(B28,Balance!E:M,9,0),0)</f>
        <v>36542338335</v>
      </c>
      <c r="E28" s="1945">
        <v>0</v>
      </c>
      <c r="F28" s="1945">
        <f t="shared" si="0"/>
        <v>36542338335</v>
      </c>
      <c r="G28" s="2077"/>
      <c r="H28" s="2077"/>
      <c r="I28" s="1945">
        <f>IFERROR(VLOOKUP(B28,Balance!E:M,7,0),0)</f>
        <v>40153899583</v>
      </c>
      <c r="J28" s="1942">
        <f>+IFERROR(VLOOKUP(B28,'PATRIMONIO_FISCAL '!$A$6:$F$59,6,0),0)</f>
        <v>0</v>
      </c>
      <c r="K28" s="1945">
        <f t="shared" si="1"/>
        <v>40153899583</v>
      </c>
      <c r="L28" s="1946">
        <f t="shared" si="2"/>
        <v>-3611561248</v>
      </c>
      <c r="M28" s="2232" t="s">
        <v>1174</v>
      </c>
      <c r="N28" s="1946">
        <v>-35807720676</v>
      </c>
      <c r="O28" s="2146">
        <f t="shared" si="3"/>
        <v>32196159428</v>
      </c>
      <c r="P28" s="1942"/>
      <c r="Q28" s="1942"/>
      <c r="R28" s="1942"/>
      <c r="S28" s="1942"/>
      <c r="T28" s="1942"/>
    </row>
    <row r="29" spans="2:20">
      <c r="B29" s="216">
        <v>1110059600</v>
      </c>
      <c r="C29" s="216" t="s">
        <v>9</v>
      </c>
      <c r="D29" s="1945">
        <f>IFERROR(VLOOKUP(B29,Balance!E:M,9,0),0)</f>
        <v>-309462</v>
      </c>
      <c r="E29" s="1945">
        <v>0</v>
      </c>
      <c r="F29" s="1945">
        <f t="shared" ref="F29" si="4">+D29-E29</f>
        <v>-309462</v>
      </c>
      <c r="G29" s="2077"/>
      <c r="H29" s="2077"/>
      <c r="I29" s="1945">
        <f>IFERROR(VLOOKUP(B29,Balance!E:M,7,0),0)</f>
        <v>0</v>
      </c>
      <c r="J29" s="1945">
        <f>+IFERROR(VLOOKUP(B29,'PATRIMONIO_FISCAL '!$A$6:$F$59,6,0),0)</f>
        <v>0</v>
      </c>
      <c r="K29" s="1945">
        <f t="shared" ref="K29" si="5">+I29-J29</f>
        <v>0</v>
      </c>
      <c r="L29" s="1946">
        <f t="shared" ref="L29" si="6">+F29-K29</f>
        <v>-309462</v>
      </c>
      <c r="M29" s="2300"/>
      <c r="N29" s="1946">
        <v>-2737373943</v>
      </c>
      <c r="O29" s="2301">
        <f t="shared" ref="O29" si="7">+L29-N29</f>
        <v>2737064481</v>
      </c>
      <c r="P29" s="1945"/>
      <c r="Q29" s="1945"/>
      <c r="R29" s="1945"/>
      <c r="S29" s="1945"/>
      <c r="T29" s="1945"/>
    </row>
    <row r="30" spans="2:20">
      <c r="B30" s="216">
        <v>1110061050</v>
      </c>
      <c r="C30" s="216" t="s">
        <v>1409</v>
      </c>
      <c r="D30" s="1945">
        <f>IFERROR(VLOOKUP(B30,Balance!E:M,9,0),0)</f>
        <v>8452850</v>
      </c>
      <c r="E30" s="1945">
        <v>7700975.0999999996</v>
      </c>
      <c r="F30" s="1945">
        <f t="shared" ref="F30" si="8">+D30-E30</f>
        <v>751874.90000000037</v>
      </c>
      <c r="G30" s="2077"/>
      <c r="H30" s="2077"/>
      <c r="I30" s="1945">
        <f>IFERROR(VLOOKUP(B30,Balance!E:M,7,0),0)</f>
        <v>0</v>
      </c>
      <c r="J30" s="1945">
        <f ca="1">+IFERROR(VLOOKUP(B30,'PATRIMONIO_FISCAL '!$A$6:$F$59,6,0),0)</f>
        <v>5445094.0180000002</v>
      </c>
      <c r="K30" s="1945">
        <f t="shared" ref="K30" ca="1" si="9">+I30-J30</f>
        <v>-5445094.0180000002</v>
      </c>
      <c r="L30" s="1946">
        <f t="shared" ref="L30" ca="1" si="10">+F30-K30</f>
        <v>6196968.9180000005</v>
      </c>
      <c r="M30" s="2300"/>
      <c r="N30" s="1946">
        <v>-2737373943</v>
      </c>
      <c r="O30" s="2301">
        <f t="shared" ref="O30" ca="1" si="11">+L30-N30</f>
        <v>2743570911.9180002</v>
      </c>
      <c r="P30" s="1945"/>
      <c r="Q30" s="1945"/>
      <c r="R30" s="1945"/>
      <c r="S30" s="1945"/>
      <c r="T30" s="1945"/>
    </row>
    <row r="31" spans="2:20">
      <c r="B31" s="1947">
        <v>1110061055</v>
      </c>
      <c r="C31" s="1947" t="s">
        <v>1475</v>
      </c>
      <c r="D31" s="1948">
        <f>IFERROR(VLOOKUP(B31,Balance!E:M,9,0),0)</f>
        <v>0</v>
      </c>
      <c r="E31" s="1948">
        <v>0</v>
      </c>
      <c r="F31" s="1948">
        <f t="shared" si="0"/>
        <v>0</v>
      </c>
      <c r="G31" s="2077"/>
      <c r="H31" s="2077"/>
      <c r="I31" s="1948">
        <f>IFERROR(VLOOKUP(B31,Balance!E:M,7,0),0)</f>
        <v>0</v>
      </c>
      <c r="J31" s="1948">
        <f>+IFERROR(VLOOKUP(B31,'PATRIMONIO_FISCAL '!$A$6:$F$59,6,0),0)</f>
        <v>0</v>
      </c>
      <c r="K31" s="1948">
        <f t="shared" si="1"/>
        <v>0</v>
      </c>
      <c r="L31" s="1949">
        <f t="shared" si="2"/>
        <v>0</v>
      </c>
      <c r="M31" s="2231">
        <f ca="1">SUM(L8:L31)</f>
        <v>-4460721044.2891989</v>
      </c>
      <c r="N31" s="1949">
        <v>-2737373943</v>
      </c>
      <c r="O31" s="2146">
        <f t="shared" si="3"/>
        <v>2737373943</v>
      </c>
      <c r="P31" s="1942"/>
      <c r="Q31" s="1942"/>
      <c r="R31" s="1942"/>
      <c r="S31" s="1942"/>
      <c r="T31" s="1942"/>
    </row>
    <row r="32" spans="2:20">
      <c r="B32" s="2019">
        <v>1201060100</v>
      </c>
      <c r="C32" s="2019" t="s">
        <v>1265</v>
      </c>
      <c r="D32" s="2020">
        <v>0</v>
      </c>
      <c r="E32" s="2020">
        <v>0</v>
      </c>
      <c r="F32" s="2020">
        <f t="shared" si="0"/>
        <v>0</v>
      </c>
      <c r="G32" s="2077"/>
      <c r="H32" s="2077"/>
      <c r="I32" s="2020">
        <f>IFERROR(VLOOKUP(B32,Balance!E:M,7,0),0)</f>
        <v>0</v>
      </c>
      <c r="J32" s="2020">
        <f ca="1">+IFERROR(VLOOKUP(B32,'PATRIMONIO_FISCAL '!$A$6:$F$59,6,0),0)</f>
        <v>0</v>
      </c>
      <c r="K32" s="2020">
        <f t="shared" ref="K32:K33" ca="1" si="12">+I32-J32</f>
        <v>0</v>
      </c>
      <c r="L32" s="2021">
        <f t="shared" ref="L32:L33" ca="1" si="13">+F32-K32</f>
        <v>0</v>
      </c>
      <c r="M32" s="2232" t="s">
        <v>432</v>
      </c>
      <c r="N32" s="2021">
        <v>0</v>
      </c>
      <c r="O32" s="2146">
        <f t="shared" ca="1" si="3"/>
        <v>0</v>
      </c>
      <c r="P32" s="1942"/>
      <c r="Q32" s="1942"/>
      <c r="R32" s="1942"/>
      <c r="S32" s="1942"/>
      <c r="T32" s="1942"/>
    </row>
    <row r="33" spans="2:20">
      <c r="B33" s="1947">
        <v>1201069600</v>
      </c>
      <c r="C33" s="1947" t="s">
        <v>1266</v>
      </c>
      <c r="D33" s="1948">
        <v>0</v>
      </c>
      <c r="E33" s="1948">
        <v>0</v>
      </c>
      <c r="F33" s="1948">
        <f t="shared" si="0"/>
        <v>0</v>
      </c>
      <c r="G33" s="2077"/>
      <c r="H33" s="2077"/>
      <c r="I33" s="1948">
        <f>IFERROR(VLOOKUP(B33,Balance!E:M,7,0),0)</f>
        <v>0</v>
      </c>
      <c r="J33" s="1948">
        <f>+IFERROR(VLOOKUP(B33,'PATRIMONIO_FISCAL '!$A$6:$F$59,6,0),0)</f>
        <v>0</v>
      </c>
      <c r="K33" s="1948">
        <f t="shared" si="12"/>
        <v>0</v>
      </c>
      <c r="L33" s="1949">
        <f t="shared" si="13"/>
        <v>0</v>
      </c>
      <c r="M33" s="2231">
        <f ca="1">SUM(L32:L33)</f>
        <v>0</v>
      </c>
      <c r="N33" s="1949">
        <v>0</v>
      </c>
      <c r="O33" s="2146">
        <f t="shared" si="3"/>
        <v>0</v>
      </c>
      <c r="P33" s="1942"/>
      <c r="Q33" s="1942"/>
      <c r="R33" s="1942"/>
      <c r="S33" s="1942"/>
      <c r="T33" s="1942"/>
    </row>
    <row r="34" spans="2:20">
      <c r="B34" s="216">
        <v>1420110000</v>
      </c>
      <c r="C34" s="216" t="str">
        <f>+IFERROR(VLOOKUP(B34,Balance!E:O,4,0),0)</f>
        <v>Avances para Viáticos y Gastos de Viaje</v>
      </c>
      <c r="D34" s="1945">
        <f>IFERROR(VLOOKUP(B34,Balance!E:M,9,0),0)</f>
        <v>4888000</v>
      </c>
      <c r="E34" s="1945">
        <v>4465800</v>
      </c>
      <c r="F34" s="1945">
        <f t="shared" si="0"/>
        <v>422200</v>
      </c>
      <c r="G34" s="2077"/>
      <c r="H34" s="2077"/>
      <c r="I34" s="1945">
        <f>IFERROR(VLOOKUP(B34,Balance!E:M,7,0),0)</f>
        <v>15301330</v>
      </c>
      <c r="J34" s="1942">
        <f ca="1">+IFERROR(VLOOKUP(B34,'PATRIMONIO_FISCAL '!$A$6:$F$59,6,0),0)</f>
        <v>15301330.049999997</v>
      </c>
      <c r="K34" s="1945">
        <f t="shared" ref="K34:K60" ca="1" si="14">+I34-J34</f>
        <v>-4.9999997019767761E-2</v>
      </c>
      <c r="L34" s="1946">
        <f t="shared" ref="L34:L60" ca="1" si="15">+F34-K34</f>
        <v>422200.04999999702</v>
      </c>
      <c r="M34" s="2225"/>
      <c r="N34" s="1946">
        <v>277011902.5932312</v>
      </c>
      <c r="O34" s="2146">
        <f t="shared" ca="1" si="3"/>
        <v>-276589702.54323119</v>
      </c>
      <c r="P34" s="1942"/>
      <c r="Q34" s="1942"/>
      <c r="R34" s="1942"/>
      <c r="S34" s="1942"/>
      <c r="T34" s="1942"/>
    </row>
    <row r="35" spans="2:20">
      <c r="B35" s="216">
        <v>1420120200</v>
      </c>
      <c r="C35" s="216" t="str">
        <f>+IFERROR(VLOOKUP(B35,Balance!E:O,4,0),0)</f>
        <v>Anticipos para adquisición de Bienes y</v>
      </c>
      <c r="D35" s="1945">
        <f>IFERROR(VLOOKUP(B35,Balance!E:M,9,0),0)</f>
        <v>53179802554</v>
      </c>
      <c r="E35" s="1945">
        <v>53178021072.834259</v>
      </c>
      <c r="F35" s="1945">
        <f t="shared" ref="F35" si="16">+D35-E35</f>
        <v>1781481.1657409668</v>
      </c>
      <c r="G35" s="2077"/>
      <c r="H35" s="2077"/>
      <c r="I35" s="1945">
        <f>IFERROR(VLOOKUP(B35,Balance!E:M,7,0),0)</f>
        <v>57805782456</v>
      </c>
      <c r="J35" s="1942">
        <f ca="1">+IFERROR(VLOOKUP(B35,'PATRIMONIO_FISCAL '!$A$6:$F$59,6,0),0)</f>
        <v>57802125691.211243</v>
      </c>
      <c r="K35" s="1945">
        <f t="shared" ref="K35" ca="1" si="17">+I35-J35</f>
        <v>3656764.7887573242</v>
      </c>
      <c r="L35" s="1946">
        <f t="shared" ref="L35" ca="1" si="18">+F35-K35</f>
        <v>-1875283.6230163574</v>
      </c>
      <c r="M35" s="2225"/>
      <c r="N35" s="1946">
        <v>277011902.5932312</v>
      </c>
      <c r="O35" s="2146">
        <f t="shared" ref="O35" ca="1" si="19">+L35-N35</f>
        <v>-278887186.21624756</v>
      </c>
      <c r="P35" s="1942"/>
      <c r="Q35" s="1942"/>
      <c r="R35" s="1942"/>
      <c r="S35" s="1942"/>
      <c r="T35" s="1942"/>
    </row>
    <row r="36" spans="2:20">
      <c r="B36" s="216">
        <v>1420909500</v>
      </c>
      <c r="C36" s="216" t="str">
        <f>+IFERROR(VLOOKUP(B36,Balance!E:O,4,0),0)</f>
        <v>Cta Bce Diferencia en Cambio Anticipos</v>
      </c>
      <c r="D36" s="1945">
        <f>IFERROR(VLOOKUP(B36,Balance!E:M,9,0),0)</f>
        <v>6502526</v>
      </c>
      <c r="E36" s="1945">
        <v>0</v>
      </c>
      <c r="F36" s="1945">
        <f t="shared" si="0"/>
        <v>6502526</v>
      </c>
      <c r="G36" s="2077"/>
      <c r="H36" s="2077"/>
      <c r="I36" s="1945">
        <f>IFERROR(VLOOKUP(B36,Balance!E:M,7,0),0)</f>
        <v>-19509</v>
      </c>
      <c r="J36" s="1942">
        <f>+IFERROR(VLOOKUP(B36,'PATRIMONIO_FISCAL '!$A$6:$F$59,6,0),0)</f>
        <v>0</v>
      </c>
      <c r="K36" s="1945">
        <f t="shared" si="14"/>
        <v>-19509</v>
      </c>
      <c r="L36" s="1946">
        <f t="shared" si="15"/>
        <v>6522035</v>
      </c>
      <c r="M36" s="2225"/>
      <c r="N36" s="1946">
        <v>-1808814</v>
      </c>
      <c r="O36" s="2146">
        <f t="shared" si="3"/>
        <v>8330849</v>
      </c>
      <c r="P36" s="1942"/>
      <c r="Q36" s="1942"/>
      <c r="R36" s="1942"/>
      <c r="S36" s="1942"/>
      <c r="T36" s="1942"/>
    </row>
    <row r="37" spans="2:20">
      <c r="B37" s="216">
        <v>1470753000</v>
      </c>
      <c r="C37" s="216" t="str">
        <f>+IFERROR(VLOOKUP(B37,Balance!E:O,4,0),0)</f>
        <v>Cuenta por cobrar vinculados economicos</v>
      </c>
      <c r="D37" s="1945">
        <f>IFERROR(VLOOKUP(B37,Balance!E:M,9,0),0)</f>
        <v>1999422295554</v>
      </c>
      <c r="E37" s="1945">
        <v>2027992795554</v>
      </c>
      <c r="F37" s="1945">
        <f t="shared" si="0"/>
        <v>-28570500000</v>
      </c>
      <c r="G37" s="2077"/>
      <c r="H37" s="2077"/>
      <c r="I37" s="1945">
        <f>IFERROR(VLOOKUP(B37,Balance!E:M,7,0),0)</f>
        <v>2005562658665</v>
      </c>
      <c r="J37" s="1942">
        <f>+IFERROR(VLOOKUP(B37,'PATRIMONIO_FISCAL '!$A$6:$F$59,6,0),0)</f>
        <v>2161113158665</v>
      </c>
      <c r="K37" s="1945">
        <f t="shared" si="14"/>
        <v>-155550500000</v>
      </c>
      <c r="L37" s="1946">
        <f t="shared" si="15"/>
        <v>126980000000</v>
      </c>
      <c r="M37" s="2225"/>
      <c r="N37" s="1946">
        <v>83477262851</v>
      </c>
      <c r="O37" s="2146">
        <f t="shared" si="3"/>
        <v>43502737149</v>
      </c>
      <c r="P37" s="1942"/>
      <c r="Q37" s="1942"/>
      <c r="R37" s="1942"/>
      <c r="S37" s="1942"/>
      <c r="T37" s="1942"/>
    </row>
    <row r="38" spans="2:20">
      <c r="B38" s="216">
        <v>1470753099</v>
      </c>
      <c r="C38" s="216" t="str">
        <f>+IFERROR(VLOOKUP(B38,Balance!E:O,4,0),0)</f>
        <v>Cuenta por cobrar vinculados economicos</v>
      </c>
      <c r="D38" s="1945">
        <f>IFERROR(VLOOKUP(B38,Balance!E:M,9,0),0)</f>
        <v>28570500000</v>
      </c>
      <c r="E38" s="1945">
        <v>0</v>
      </c>
      <c r="F38" s="1945">
        <f t="shared" si="0"/>
        <v>28570500000</v>
      </c>
      <c r="G38" s="2077"/>
      <c r="H38" s="2077"/>
      <c r="I38" s="1945">
        <f>IFERROR(VLOOKUP(B38,Balance!E:M,7,0),0)</f>
        <v>155550500000</v>
      </c>
      <c r="J38" s="1942">
        <f>+IFERROR(VLOOKUP(B38,'PATRIMONIO_FISCAL '!$A$6:$F$59,6,0),0)</f>
        <v>0</v>
      </c>
      <c r="K38" s="1945">
        <f t="shared" si="14"/>
        <v>155550500000</v>
      </c>
      <c r="L38" s="1946">
        <f t="shared" si="15"/>
        <v>-126980000000</v>
      </c>
      <c r="M38" s="2232" t="s">
        <v>1394</v>
      </c>
      <c r="N38" s="1946">
        <v>-83477262851</v>
      </c>
      <c r="O38" s="2146">
        <f t="shared" si="3"/>
        <v>-43502737149</v>
      </c>
      <c r="P38" s="1942"/>
      <c r="Q38" s="1942"/>
      <c r="R38" s="1942"/>
      <c r="S38" s="1942"/>
      <c r="T38" s="1942"/>
    </row>
    <row r="39" spans="2:20">
      <c r="B39" s="1947">
        <v>1470754000</v>
      </c>
      <c r="C39" s="1947">
        <f>+IFERROR(VLOOKUP(B39,Balance!E:O,4,0),0)</f>
        <v>0</v>
      </c>
      <c r="D39" s="1948">
        <f>IFERROR(VLOOKUP(B39,Balance!E:M,9,0),0)</f>
        <v>0</v>
      </c>
      <c r="E39" s="1948">
        <v>0</v>
      </c>
      <c r="F39" s="1948">
        <f t="shared" si="0"/>
        <v>0</v>
      </c>
      <c r="G39" s="2077"/>
      <c r="H39" s="2077"/>
      <c r="I39" s="1948">
        <f>IFERROR(VLOOKUP(B39,Balance!E:M,7,0),0)</f>
        <v>0</v>
      </c>
      <c r="J39" s="1948">
        <f>+IFERROR(VLOOKUP(B39,'PATRIMONIO_FISCAL '!$A$6:$F$59,6,0),0)</f>
        <v>0</v>
      </c>
      <c r="K39" s="1948">
        <f t="shared" si="14"/>
        <v>0</v>
      </c>
      <c r="L39" s="1949">
        <f t="shared" si="15"/>
        <v>0</v>
      </c>
      <c r="M39" s="2231">
        <f ca="1">SUM(L34:L39)</f>
        <v>5068951.4269866943</v>
      </c>
      <c r="N39" s="1949">
        <v>0</v>
      </c>
      <c r="O39" s="2146">
        <f t="shared" si="3"/>
        <v>0</v>
      </c>
      <c r="P39" s="1942"/>
      <c r="Q39" s="1942"/>
      <c r="R39" s="1942"/>
      <c r="S39" s="1942"/>
      <c r="T39" s="1942"/>
    </row>
    <row r="40" spans="2:20">
      <c r="B40" s="2019">
        <v>2309011000</v>
      </c>
      <c r="C40" s="2019" t="str">
        <f>+IFERROR(VLOOKUP(B40,Balance!E:O,4,0),0)</f>
        <v>Crédito Bancario Externo Largo Plazo</v>
      </c>
      <c r="D40" s="2020">
        <f>IFERROR(VLOOKUP(B40,Balance!E:M,9,0),0)</f>
        <v>-2717754971274</v>
      </c>
      <c r="E40" s="2020">
        <v>-2574703338579.125</v>
      </c>
      <c r="F40" s="2020">
        <f t="shared" si="0"/>
        <v>-143051632694.875</v>
      </c>
      <c r="G40" s="2077"/>
      <c r="H40" s="2077"/>
      <c r="I40" s="2020">
        <f>IFERROR(VLOOKUP(B40,Balance!E:M,7,0),0)</f>
        <v>-2685817606229</v>
      </c>
      <c r="J40" s="2020">
        <f ca="1">+IFERROR(VLOOKUP(B40,'PATRIMONIO_FISCAL '!$A$6:$F$59,6,0),0)</f>
        <v>-2620446191508.8999</v>
      </c>
      <c r="K40" s="2020">
        <f t="shared" ca="1" si="14"/>
        <v>-65371414720.100098</v>
      </c>
      <c r="L40" s="2021">
        <f t="shared" ca="1" si="15"/>
        <v>-77680217974.774902</v>
      </c>
      <c r="M40" s="2232" t="s">
        <v>1393</v>
      </c>
      <c r="N40" s="2021">
        <v>136210768646.33325</v>
      </c>
      <c r="O40" s="2146">
        <f t="shared" ca="1" si="3"/>
        <v>-213890986621.10815</v>
      </c>
      <c r="P40" s="1942"/>
      <c r="Q40" s="1942"/>
      <c r="R40" s="1942"/>
      <c r="S40" s="1942"/>
      <c r="T40" s="1942"/>
    </row>
    <row r="41" spans="2:20">
      <c r="B41" s="1947">
        <v>2309011099</v>
      </c>
      <c r="C41" s="1947" t="str">
        <f>+IFERROR(VLOOKUP(B41,Balance!E:O,4,0),0)</f>
        <v>Porción Corriente Crédito Banc.Externo</v>
      </c>
      <c r="D41" s="1948">
        <f>IFERROR(VLOOKUP(B41,Balance!E:M,9,0),0)</f>
        <v>-37639956107</v>
      </c>
      <c r="E41" s="1948">
        <v>0</v>
      </c>
      <c r="F41" s="1948">
        <f t="shared" si="0"/>
        <v>-37639956107</v>
      </c>
      <c r="G41" s="2077"/>
      <c r="H41" s="2077"/>
      <c r="I41" s="1948">
        <f>IFERROR(VLOOKUP(B41,Balance!E:M,7,0),0)</f>
        <v>-89850753958</v>
      </c>
      <c r="J41" s="1948">
        <f>+IFERROR(VLOOKUP(B41,'PATRIMONIO_FISCAL '!$A$6:$F$59,6,0),0)</f>
        <v>0</v>
      </c>
      <c r="K41" s="1948">
        <f t="shared" si="14"/>
        <v>-89850753958</v>
      </c>
      <c r="L41" s="1949">
        <f t="shared" si="15"/>
        <v>52210797851</v>
      </c>
      <c r="M41" s="2231">
        <f ca="1">SUM(L40:L41)</f>
        <v>-25469420123.774902</v>
      </c>
      <c r="N41" s="1949">
        <v>-35239581099</v>
      </c>
      <c r="O41" s="2146">
        <f t="shared" si="3"/>
        <v>87450378950</v>
      </c>
      <c r="P41" s="1942"/>
      <c r="Q41" s="1942"/>
      <c r="R41" s="1942"/>
      <c r="S41" s="1942"/>
      <c r="T41" s="1942"/>
    </row>
    <row r="42" spans="2:20">
      <c r="B42" s="216">
        <v>2401011000</v>
      </c>
      <c r="C42" s="216" t="str">
        <f>+IFERROR(VLOOKUP(B42,Balance!E:O,4,0),0)</f>
        <v>Adq. Bienes y servicios Nacionales - Bi</v>
      </c>
      <c r="D42" s="1945">
        <f>IFERROR(VLOOKUP(B42,Balance!E:M,9,0),0)</f>
        <v>-1421587470</v>
      </c>
      <c r="E42" s="1945">
        <v>-1420746697.3634179</v>
      </c>
      <c r="F42" s="1945">
        <f t="shared" si="0"/>
        <v>-840772.63658213615</v>
      </c>
      <c r="G42" s="2077"/>
      <c r="H42" s="2077"/>
      <c r="I42" s="1945">
        <f>IFERROR(VLOOKUP(B42,Balance!E:M,7,0),0)</f>
        <v>-870583519</v>
      </c>
      <c r="J42" s="1942">
        <f ca="1">+IFERROR(VLOOKUP(B42,'PATRIMONIO_FISCAL '!$A$6:$F$59,6,0),0)</f>
        <v>-869614402.83067608</v>
      </c>
      <c r="K42" s="1945">
        <f t="shared" ca="1" si="14"/>
        <v>-969116.1693239212</v>
      </c>
      <c r="L42" s="1946">
        <f t="shared" ca="1" si="15"/>
        <v>128343.53274178505</v>
      </c>
      <c r="M42" s="1942"/>
      <c r="N42" s="1946">
        <v>-218546.69420027733</v>
      </c>
      <c r="O42" s="2146">
        <f t="shared" ca="1" si="3"/>
        <v>346890.22694206238</v>
      </c>
      <c r="P42" s="1942"/>
      <c r="Q42" s="1942"/>
      <c r="R42" s="1942"/>
      <c r="S42" s="1942"/>
      <c r="T42" s="1942"/>
    </row>
    <row r="43" spans="2:20">
      <c r="B43" s="216">
        <v>2401012000</v>
      </c>
      <c r="C43" s="216" t="str">
        <f>+IFERROR(VLOOKUP(B43,Balance!E:O,4,0),0)</f>
        <v>Adq. bienes y servicios Nacionales - Se</v>
      </c>
      <c r="D43" s="1945">
        <f>IFERROR(VLOOKUP(B43,Balance!E:M,9,0),0)</f>
        <v>-30075898574</v>
      </c>
      <c r="E43" s="1945">
        <v>-29618902640.536304</v>
      </c>
      <c r="F43" s="1945">
        <f t="shared" si="0"/>
        <v>-456995933.46369553</v>
      </c>
      <c r="G43" s="2077"/>
      <c r="H43" s="2077"/>
      <c r="I43" s="1945">
        <f>IFERROR(VLOOKUP(B43,Balance!E:M,7,0),0)</f>
        <v>-30951543804</v>
      </c>
      <c r="J43" s="1942">
        <f ca="1">+IFERROR(VLOOKUP(B43,'PATRIMONIO_FISCAL '!$A$6:$F$59,6,0),0)</f>
        <v>-30944680656.604801</v>
      </c>
      <c r="K43" s="1945">
        <f t="shared" ca="1" si="14"/>
        <v>-6863147.395198822</v>
      </c>
      <c r="L43" s="1946">
        <f t="shared" ca="1" si="15"/>
        <v>-450132786.0684967</v>
      </c>
      <c r="M43" s="1942"/>
      <c r="N43" s="1946">
        <v>109953142.479599</v>
      </c>
      <c r="O43" s="2146">
        <f t="shared" ca="1" si="3"/>
        <v>-560085928.5480957</v>
      </c>
      <c r="P43" s="1942"/>
      <c r="Q43" s="1942"/>
      <c r="R43" s="1942"/>
      <c r="S43" s="1942"/>
      <c r="T43" s="1942"/>
    </row>
    <row r="44" spans="2:20">
      <c r="B44" s="216">
        <v>2401019500</v>
      </c>
      <c r="C44" s="216" t="str">
        <f>+IFERROR(VLOOKUP(B44,Balance!E:O,4,0),0)</f>
        <v>Cta Bce Diferencia en cambio Adq.Bienes</v>
      </c>
      <c r="D44" s="1945">
        <f>IFERROR(VLOOKUP(B44,Balance!E:M,9,0),0)</f>
        <v>401252748</v>
      </c>
      <c r="E44" s="1945">
        <v>0</v>
      </c>
      <c r="F44" s="1945">
        <f t="shared" si="0"/>
        <v>401252748</v>
      </c>
      <c r="G44" s="2077"/>
      <c r="H44" s="2077"/>
      <c r="I44" s="1945">
        <f>IFERROR(VLOOKUP(B44,Balance!E:M,7,0),0)</f>
        <v>-41153149</v>
      </c>
      <c r="J44" s="1942">
        <f>+IFERROR(VLOOKUP(B44,'PATRIMONIO_FISCAL '!$A$6:$F$59,6,0),0)</f>
        <v>0</v>
      </c>
      <c r="K44" s="1945">
        <f t="shared" si="14"/>
        <v>-41153149</v>
      </c>
      <c r="L44" s="1946">
        <f t="shared" si="15"/>
        <v>442405897</v>
      </c>
      <c r="M44" s="1942"/>
      <c r="N44" s="1946">
        <v>-10365145</v>
      </c>
      <c r="O44" s="2146">
        <f t="shared" si="3"/>
        <v>452771042</v>
      </c>
      <c r="P44" s="1942"/>
      <c r="Q44" s="1942"/>
      <c r="R44" s="1942"/>
      <c r="S44" s="1942"/>
      <c r="T44" s="1942"/>
    </row>
    <row r="45" spans="2:20">
      <c r="B45" s="216">
        <v>2406010100</v>
      </c>
      <c r="C45" s="216">
        <f>+IFERROR(VLOOKUP(B45,Balance!E:O,4,0),0)</f>
        <v>0</v>
      </c>
      <c r="D45" s="1945">
        <f>IFERROR(VLOOKUP(B45,Balance!E:M,9,0),0)</f>
        <v>0</v>
      </c>
      <c r="E45" s="1945">
        <v>0</v>
      </c>
      <c r="F45" s="1945">
        <f t="shared" si="0"/>
        <v>0</v>
      </c>
      <c r="G45" s="2077"/>
      <c r="H45" s="2077"/>
      <c r="I45" s="1945">
        <f>IFERROR(VLOOKUP(B45,Balance!E:M,7,0),0)</f>
        <v>0</v>
      </c>
      <c r="J45" s="1942">
        <f>+IFERROR(VLOOKUP(B45,'PATRIMONIO_FISCAL '!$A$6:$F$59,6,0),0)</f>
        <v>0</v>
      </c>
      <c r="K45" s="1945">
        <f t="shared" si="14"/>
        <v>0</v>
      </c>
      <c r="L45" s="1946">
        <f t="shared" si="15"/>
        <v>0</v>
      </c>
      <c r="M45" s="1942"/>
      <c r="N45" s="1946">
        <v>0</v>
      </c>
      <c r="O45" s="2146">
        <f t="shared" si="3"/>
        <v>0</v>
      </c>
      <c r="P45" s="1942"/>
      <c r="Q45" s="1942"/>
      <c r="R45" s="1942"/>
      <c r="S45" s="1942"/>
      <c r="T45" s="1942"/>
    </row>
    <row r="46" spans="2:20">
      <c r="B46" s="216">
        <v>2406010200</v>
      </c>
      <c r="C46" s="216" t="str">
        <f>+IFERROR(VLOOKUP(B46,Balance!E:O,4,0),0)</f>
        <v>Adq. Bienes y servicios del Exterior -</v>
      </c>
      <c r="D46" s="1945">
        <f>IFERROR(VLOOKUP(B46,Balance!E:M,9,0),0)</f>
        <v>-1819036575</v>
      </c>
      <c r="E46" s="1945">
        <v>-1830415806.3209</v>
      </c>
      <c r="F46" s="1945">
        <f t="shared" si="0"/>
        <v>11379231.320899963</v>
      </c>
      <c r="G46" s="2077"/>
      <c r="H46" s="2077"/>
      <c r="I46" s="1945">
        <f>IFERROR(VLOOKUP(B46,Balance!E:M,7,0),0)</f>
        <v>-16677570106</v>
      </c>
      <c r="J46" s="1942">
        <f ca="1">+IFERROR(VLOOKUP(B46,'PATRIMONIO_FISCAL '!$A$6:$F$59,6,0),0)</f>
        <v>-16294202150.177999</v>
      </c>
      <c r="K46" s="1945">
        <f t="shared" ca="1" si="14"/>
        <v>-383367955.8220005</v>
      </c>
      <c r="L46" s="1946">
        <f t="shared" ca="1" si="15"/>
        <v>394747187.14290047</v>
      </c>
      <c r="M46" s="1942"/>
      <c r="N46" s="1946">
        <v>7.4505805969238281E-9</v>
      </c>
      <c r="O46" s="2146">
        <f t="shared" ca="1" si="3"/>
        <v>394747187.14290047</v>
      </c>
      <c r="P46" s="1942"/>
      <c r="Q46" s="1942"/>
      <c r="R46" s="1942"/>
      <c r="S46" s="1942"/>
      <c r="T46" s="1942"/>
    </row>
    <row r="47" spans="2:20">
      <c r="B47" s="216">
        <v>2406010300</v>
      </c>
      <c r="C47" s="216" t="str">
        <f>+IFERROR(VLOOKUP(B47,Balance!E:O,4,0),0)</f>
        <v>Adq. Bienes y servicios del Exterior -</v>
      </c>
      <c r="D47" s="1945">
        <f>IFERROR(VLOOKUP(B47,Balance!E:M,9,0),0)</f>
        <v>-6547654874</v>
      </c>
      <c r="E47" s="1945">
        <v>-6801602380.1426678</v>
      </c>
      <c r="F47" s="1945">
        <f t="shared" si="0"/>
        <v>253947506.14266777</v>
      </c>
      <c r="G47" s="2077"/>
      <c r="H47" s="2077"/>
      <c r="I47" s="1945">
        <f>IFERROR(VLOOKUP(B47,Balance!E:M,7,0),0)</f>
        <v>-363006429</v>
      </c>
      <c r="J47" s="1942">
        <f ca="1">+IFERROR(VLOOKUP(B47,'PATRIMONIO_FISCAL '!$A$6:$F$59,6,0),0)</f>
        <v>1374704223.7592835</v>
      </c>
      <c r="K47" s="1945">
        <f t="shared" ca="1" si="14"/>
        <v>-1737710652.7592835</v>
      </c>
      <c r="L47" s="1946">
        <f t="shared" ca="1" si="15"/>
        <v>1991658158.9019513</v>
      </c>
      <c r="M47" s="1942"/>
      <c r="N47" s="1946">
        <v>-218711832.37711334</v>
      </c>
      <c r="O47" s="2146">
        <f t="shared" ca="1" si="3"/>
        <v>2210369991.2790647</v>
      </c>
      <c r="P47" s="1942"/>
      <c r="Q47" s="1942"/>
      <c r="R47" s="1942"/>
      <c r="S47" s="1942"/>
      <c r="T47" s="1942"/>
    </row>
    <row r="48" spans="2:20">
      <c r="B48" s="216">
        <v>2406019501</v>
      </c>
      <c r="C48" s="216">
        <f>+IFERROR(VLOOKUP(B48,Balance!E:O,4,0),0)</f>
        <v>0</v>
      </c>
      <c r="D48" s="1945">
        <f>IFERROR(VLOOKUP(B48,Balance!E:M,9,0),0)</f>
        <v>0</v>
      </c>
      <c r="E48" s="1945">
        <v>0</v>
      </c>
      <c r="F48" s="1945">
        <f t="shared" si="0"/>
        <v>0</v>
      </c>
      <c r="G48" s="2077"/>
      <c r="H48" s="2077"/>
      <c r="I48" s="1945">
        <f>IFERROR(VLOOKUP(B48,Balance!E:M,7,0),0)</f>
        <v>0</v>
      </c>
      <c r="J48" s="1942">
        <f>+IFERROR(VLOOKUP(B48,'PATRIMONIO_FISCAL '!$A$6:$F$59,6,0),0)</f>
        <v>0</v>
      </c>
      <c r="K48" s="1945">
        <f t="shared" si="14"/>
        <v>0</v>
      </c>
      <c r="L48" s="1946">
        <f t="shared" si="15"/>
        <v>0</v>
      </c>
      <c r="M48" s="1942"/>
      <c r="N48" s="1946">
        <v>0</v>
      </c>
      <c r="O48" s="2146">
        <f t="shared" si="3"/>
        <v>0</v>
      </c>
      <c r="P48" s="1942"/>
      <c r="Q48" s="1942"/>
      <c r="R48" s="1942"/>
      <c r="S48" s="1942"/>
      <c r="T48" s="1942"/>
    </row>
    <row r="49" spans="2:20">
      <c r="B49" s="216">
        <v>2406019502</v>
      </c>
      <c r="C49" s="216" t="str">
        <f>+IFERROR(VLOOKUP(B49,Balance!E:O,4,0),0)</f>
        <v>Cta Bce Difer.en cambio Adq.Bienes y Se</v>
      </c>
      <c r="D49" s="1945">
        <f>IFERROR(VLOOKUP(B49,Balance!E:M,9,0),0)</f>
        <v>-1976359187</v>
      </c>
      <c r="E49" s="1945">
        <v>0</v>
      </c>
      <c r="F49" s="1945">
        <f t="shared" si="0"/>
        <v>-1976359187</v>
      </c>
      <c r="G49" s="2077"/>
      <c r="H49" s="2077"/>
      <c r="I49" s="1945">
        <f>IFERROR(VLOOKUP(B49,Balance!E:M,7,0),0)</f>
        <v>539271620</v>
      </c>
      <c r="J49" s="1942">
        <f>+IFERROR(VLOOKUP(B49,'PATRIMONIO_FISCAL '!$A$6:$F$59,6,0),0)</f>
        <v>0</v>
      </c>
      <c r="K49" s="1945">
        <f t="shared" si="14"/>
        <v>539271620</v>
      </c>
      <c r="L49" s="1946">
        <f t="shared" si="15"/>
        <v>-2515630807</v>
      </c>
      <c r="M49" s="1942"/>
      <c r="N49" s="1946">
        <v>215154473</v>
      </c>
      <c r="O49" s="2146">
        <f t="shared" si="3"/>
        <v>-2730785280</v>
      </c>
      <c r="P49" s="1942"/>
      <c r="Q49" s="1942"/>
      <c r="R49" s="1942"/>
      <c r="S49" s="1942"/>
      <c r="T49" s="1942"/>
    </row>
    <row r="50" spans="2:20">
      <c r="B50" s="216">
        <v>2425080000</v>
      </c>
      <c r="C50" s="216" t="str">
        <f>+IFERROR(VLOOKUP(B50,Balance!E:O,4,0),0)</f>
        <v>Acreedores por Viáticos y Gastos de Via</v>
      </c>
      <c r="D50" s="1945">
        <f>IFERROR(VLOOKUP(B50,Balance!E:M,9,0),0)</f>
        <v>-15132700</v>
      </c>
      <c r="E50" s="1945">
        <v>-15132700</v>
      </c>
      <c r="F50" s="1945">
        <f t="shared" si="0"/>
        <v>0</v>
      </c>
      <c r="G50" s="2077"/>
      <c r="H50" s="2077"/>
      <c r="I50" s="1945">
        <f>IFERROR(VLOOKUP(B50,Balance!E:M,7,0),0)</f>
        <v>-11278466</v>
      </c>
      <c r="J50" s="1942">
        <f ca="1">+IFERROR(VLOOKUP(B50,'PATRIMONIO_FISCAL '!$A$6:$F$59,6,0),0)</f>
        <v>-11278466</v>
      </c>
      <c r="K50" s="1945">
        <f t="shared" ca="1" si="14"/>
        <v>0</v>
      </c>
      <c r="L50" s="1946">
        <f t="shared" ca="1" si="15"/>
        <v>0</v>
      </c>
      <c r="M50" s="1942"/>
      <c r="N50" s="1946">
        <v>0</v>
      </c>
      <c r="O50" s="2146">
        <f t="shared" ca="1" si="3"/>
        <v>0</v>
      </c>
      <c r="P50" s="1942"/>
      <c r="Q50" s="1942"/>
      <c r="R50" s="1942"/>
      <c r="S50" s="1942"/>
      <c r="T50" s="1942"/>
    </row>
    <row r="51" spans="2:20">
      <c r="B51" s="216">
        <v>2425100000</v>
      </c>
      <c r="C51" s="216" t="str">
        <f>+IFERROR(VLOOKUP(B51,Balance!E:O,4,0),0)</f>
        <v>Acreedores por Seguros</v>
      </c>
      <c r="D51" s="1945">
        <f>IFERROR(VLOOKUP(B51,Balance!E:M,9,0),0)</f>
        <v>-9449609039</v>
      </c>
      <c r="E51" s="1945">
        <v>-9449609039.4120026</v>
      </c>
      <c r="F51" s="1945">
        <f t="shared" si="0"/>
        <v>0.4120025634765625</v>
      </c>
      <c r="G51" s="2077"/>
      <c r="H51" s="2077"/>
      <c r="I51" s="1945">
        <f>IFERROR(VLOOKUP(B51,Balance!E:M,7,0),0)</f>
        <v>-1213293720</v>
      </c>
      <c r="J51" s="1942">
        <f ca="1">+IFERROR(VLOOKUP(B51,'PATRIMONIO_FISCAL '!$A$6:$F$59,6,0),0)</f>
        <v>-1213293720</v>
      </c>
      <c r="K51" s="1945">
        <f t="shared" ca="1" si="14"/>
        <v>0</v>
      </c>
      <c r="L51" s="1946">
        <f t="shared" ca="1" si="15"/>
        <v>0.4120025634765625</v>
      </c>
      <c r="M51" s="1942"/>
      <c r="N51" s="1946">
        <v>0</v>
      </c>
      <c r="O51" s="2146">
        <f t="shared" ca="1" si="3"/>
        <v>0.4120025634765625</v>
      </c>
      <c r="P51" s="1942"/>
      <c r="Q51" s="1942"/>
      <c r="R51" s="1942"/>
      <c r="S51" s="1942"/>
      <c r="T51" s="1942"/>
    </row>
    <row r="52" spans="2:20">
      <c r="B52" s="216">
        <v>2425530100</v>
      </c>
      <c r="C52" s="216" t="str">
        <f>+IFERROR(VLOOKUP(B52,Balance!E:O,4,0),0)</f>
        <v>Acreedores por Transportes y Acarreos</v>
      </c>
      <c r="D52" s="1945">
        <f>IFERROR(VLOOKUP(B52,Balance!E:M,9,0),0)</f>
        <v>0</v>
      </c>
      <c r="E52" s="1945">
        <v>0</v>
      </c>
      <c r="F52" s="1945">
        <f t="shared" si="0"/>
        <v>0</v>
      </c>
      <c r="G52" s="2077"/>
      <c r="H52" s="2077"/>
      <c r="I52" s="1945">
        <f>IFERROR(VLOOKUP(B52,Balance!E:M,7,0),0)</f>
        <v>-448389773</v>
      </c>
      <c r="J52" s="1942">
        <f ca="1">+IFERROR(VLOOKUP(B52,'PATRIMONIO_FISCAL '!$A$6:$F$59,6,0),0)</f>
        <v>-448389750.05690002</v>
      </c>
      <c r="K52" s="1945">
        <f t="shared" ca="1" si="14"/>
        <v>-22.943099975585938</v>
      </c>
      <c r="L52" s="1946">
        <f t="shared" ca="1" si="15"/>
        <v>22.943099975585938</v>
      </c>
      <c r="M52" s="1942"/>
      <c r="N52" s="1946">
        <v>0</v>
      </c>
      <c r="O52" s="2146">
        <f t="shared" ca="1" si="3"/>
        <v>22.943099975585938</v>
      </c>
      <c r="P52" s="1942"/>
      <c r="Q52" s="1942"/>
      <c r="R52" s="1942"/>
      <c r="S52" s="1942"/>
      <c r="T52" s="1942"/>
    </row>
    <row r="53" spans="2:20">
      <c r="B53" s="216">
        <v>2425909501</v>
      </c>
      <c r="C53" s="216" t="str">
        <f>+IFERROR(VLOOKUP(B53,Balance!E:O,4,0),0)</f>
        <v>Cta Bce Difer.en cambio Adq.Bienes y Se</v>
      </c>
      <c r="D53" s="1945">
        <f>IFERROR(VLOOKUP(B53,Balance!E:M,9,0),0)</f>
        <v>-12029687</v>
      </c>
      <c r="E53" s="1945">
        <v>0</v>
      </c>
      <c r="F53" s="1945">
        <f t="shared" si="0"/>
        <v>-12029687</v>
      </c>
      <c r="G53" s="2077"/>
      <c r="H53" s="2077"/>
      <c r="I53" s="1945">
        <f>IFERROR(VLOOKUP(B53,Balance!E:M,7,0),0)</f>
        <v>-17257136</v>
      </c>
      <c r="J53" s="1942">
        <f>+IFERROR(VLOOKUP(B53,'PATRIMONIO_FISCAL '!$A$6:$F$59,6,0),0)</f>
        <v>0</v>
      </c>
      <c r="K53" s="1945">
        <f t="shared" si="14"/>
        <v>-17257136</v>
      </c>
      <c r="L53" s="1946">
        <f t="shared" si="15"/>
        <v>5227449</v>
      </c>
      <c r="M53" s="1942"/>
      <c r="N53" s="1946">
        <v>0</v>
      </c>
      <c r="O53" s="2146">
        <f t="shared" si="3"/>
        <v>5227449</v>
      </c>
      <c r="P53" s="1942"/>
      <c r="Q53" s="1942"/>
      <c r="R53" s="1942"/>
      <c r="S53" s="1942"/>
      <c r="T53" s="1942"/>
    </row>
    <row r="54" spans="2:20">
      <c r="B54" s="216">
        <v>2453010700</v>
      </c>
      <c r="C54" s="216">
        <f>+IFERROR(VLOOKUP(B54,Balance!E:O,4,0),0)</f>
        <v>0</v>
      </c>
      <c r="D54" s="1945">
        <f>IFERROR(VLOOKUP(B54,Balance!E:M,9,0),0)</f>
        <v>0</v>
      </c>
      <c r="E54" s="1945">
        <v>0</v>
      </c>
      <c r="F54" s="1945">
        <f t="shared" si="0"/>
        <v>0</v>
      </c>
      <c r="G54" s="2077"/>
      <c r="H54" s="2077"/>
      <c r="I54" s="1945">
        <f>IFERROR(VLOOKUP(B54,Balance!E:M,7,0),0)</f>
        <v>0</v>
      </c>
      <c r="J54" s="1942">
        <f>+IFERROR(VLOOKUP(B54,'PATRIMONIO_FISCAL '!$A$6:$F$59,6,0),0)</f>
        <v>0</v>
      </c>
      <c r="K54" s="1945">
        <f t="shared" si="14"/>
        <v>0</v>
      </c>
      <c r="L54" s="1946">
        <f t="shared" si="15"/>
        <v>0</v>
      </c>
      <c r="M54" s="1942"/>
      <c r="N54" s="1946">
        <v>0</v>
      </c>
      <c r="O54" s="2146">
        <f t="shared" si="3"/>
        <v>0</v>
      </c>
      <c r="P54" s="1942"/>
      <c r="Q54" s="1942"/>
      <c r="R54" s="1942"/>
      <c r="S54" s="1942"/>
      <c r="T54" s="1942"/>
    </row>
    <row r="55" spans="2:20">
      <c r="B55" s="216">
        <v>2453010800</v>
      </c>
      <c r="C55" s="216">
        <f>+IFERROR(VLOOKUP(B55,Balance!E:O,4,0),0)</f>
        <v>0</v>
      </c>
      <c r="D55" s="1945">
        <f>IFERROR(VLOOKUP(B55,Balance!E:M,9,0),0)</f>
        <v>0</v>
      </c>
      <c r="E55" s="1945">
        <v>0</v>
      </c>
      <c r="F55" s="1945">
        <f t="shared" si="0"/>
        <v>0</v>
      </c>
      <c r="G55" s="2077"/>
      <c r="H55" s="2077"/>
      <c r="I55" s="1945">
        <f>IFERROR(VLOOKUP(B55,Balance!E:M,7,0),0)</f>
        <v>0</v>
      </c>
      <c r="J55" s="1942">
        <f>+IFERROR(VLOOKUP(B55,'PATRIMONIO_FISCAL '!$A$6:$F$59,6,0),0)</f>
        <v>0</v>
      </c>
      <c r="K55" s="1945">
        <f t="shared" si="14"/>
        <v>0</v>
      </c>
      <c r="L55" s="1946">
        <f t="shared" si="15"/>
        <v>0</v>
      </c>
      <c r="M55" s="1942"/>
      <c r="N55" s="1946">
        <v>0</v>
      </c>
      <c r="O55" s="2146">
        <f t="shared" si="3"/>
        <v>0</v>
      </c>
      <c r="P55" s="1942"/>
      <c r="Q55" s="1942"/>
      <c r="R55" s="1942"/>
      <c r="S55" s="1942"/>
      <c r="T55" s="1942"/>
    </row>
    <row r="56" spans="2:20">
      <c r="B56" s="216">
        <v>2453019501</v>
      </c>
      <c r="C56" s="216">
        <f>+IFERROR(VLOOKUP(B56,Balance!E:O,4,0),0)</f>
        <v>0</v>
      </c>
      <c r="D56" s="1945">
        <f>IFERROR(VLOOKUP(B56,Balance!E:M,9,0),0)</f>
        <v>0</v>
      </c>
      <c r="E56" s="1945">
        <v>0</v>
      </c>
      <c r="F56" s="1945">
        <f t="shared" si="0"/>
        <v>0</v>
      </c>
      <c r="G56" s="2077"/>
      <c r="H56" s="2077"/>
      <c r="I56" s="1945">
        <f>IFERROR(VLOOKUP(B56,Balance!E:M,7,0),0)</f>
        <v>0</v>
      </c>
      <c r="J56" s="1942">
        <f>+IFERROR(VLOOKUP(B56,'PATRIMONIO_FISCAL '!$A$6:$F$59,6,0),0)</f>
        <v>0</v>
      </c>
      <c r="K56" s="1945">
        <f t="shared" si="14"/>
        <v>0</v>
      </c>
      <c r="L56" s="1946">
        <f t="shared" si="15"/>
        <v>0</v>
      </c>
      <c r="M56" s="1942"/>
      <c r="N56" s="1946">
        <v>0</v>
      </c>
      <c r="O56" s="2146">
        <f t="shared" si="3"/>
        <v>0</v>
      </c>
      <c r="P56" s="1942"/>
      <c r="Q56" s="1942"/>
      <c r="R56" s="1942"/>
      <c r="S56" s="1942"/>
      <c r="T56" s="1942"/>
    </row>
    <row r="57" spans="2:20">
      <c r="B57" s="216">
        <v>2455070100</v>
      </c>
      <c r="C57" s="216" t="str">
        <f>+IFERROR(VLOOKUP(B57,Balance!E:O,4,0),0)</f>
        <v>Cuentas x Pagar  Retenciones Contractua</v>
      </c>
      <c r="D57" s="1945">
        <f>IFERROR(VLOOKUP(B57,Balance!E:M,9,0),0)</f>
        <v>-1607612389</v>
      </c>
      <c r="E57" s="1945">
        <v>-1607613584.0764999</v>
      </c>
      <c r="F57" s="1945">
        <f t="shared" si="0"/>
        <v>1195.0764999389648</v>
      </c>
      <c r="G57" s="2077"/>
      <c r="H57" s="2077"/>
      <c r="I57" s="1945">
        <f>IFERROR(VLOOKUP(B57,Balance!E:M,7,0),0)</f>
        <v>-2610691486</v>
      </c>
      <c r="J57" s="1942">
        <f>+IFERROR(VLOOKUP(B57,'PATRIMONIO_FISCAL '!$A$6:$F$59,6,0),0)</f>
        <v>-2610692681.0764999</v>
      </c>
      <c r="K57" s="1945">
        <f t="shared" si="14"/>
        <v>1195.0764999389648</v>
      </c>
      <c r="L57" s="1946">
        <f t="shared" si="15"/>
        <v>0</v>
      </c>
      <c r="M57" s="1942"/>
      <c r="N57" s="1946">
        <v>-1.1920928955078125E-7</v>
      </c>
      <c r="O57" s="2146">
        <f t="shared" si="3"/>
        <v>1.1920928955078125E-7</v>
      </c>
      <c r="P57" s="1942"/>
      <c r="Q57" s="1942"/>
      <c r="R57" s="1942"/>
      <c r="S57" s="1942"/>
      <c r="T57" s="1942"/>
    </row>
    <row r="58" spans="2:20">
      <c r="B58" s="216">
        <v>2455070195</v>
      </c>
      <c r="C58" s="216" t="str">
        <f>+IFERROR(VLOOKUP(B58,Balance!E:O,4,0),0)</f>
        <v>Cta Bce Difer.en cambio Otros pasivos</v>
      </c>
      <c r="D58" s="1945">
        <f>IFERROR(VLOOKUP(B58,Balance!E:M,9,0),0)</f>
        <v>-195082</v>
      </c>
      <c r="E58" s="1945">
        <v>0</v>
      </c>
      <c r="F58" s="1945">
        <f t="shared" si="0"/>
        <v>-195082</v>
      </c>
      <c r="G58" s="2077"/>
      <c r="H58" s="2077"/>
      <c r="I58" s="1945">
        <f>IFERROR(VLOOKUP(B58,Balance!E:M,7,0),0)</f>
        <v>-179952</v>
      </c>
      <c r="J58" s="1942">
        <f>+IFERROR(VLOOKUP(B58,'PATRIMONIO_FISCAL '!$A$6:$F$59,6,0),0)</f>
        <v>0</v>
      </c>
      <c r="K58" s="1945">
        <f t="shared" si="14"/>
        <v>-179952</v>
      </c>
      <c r="L58" s="1946">
        <f t="shared" si="15"/>
        <v>-15130</v>
      </c>
      <c r="M58" s="1942"/>
      <c r="N58" s="1946">
        <v>59030</v>
      </c>
      <c r="O58" s="2146">
        <f t="shared" si="3"/>
        <v>-74160</v>
      </c>
      <c r="P58" s="1942"/>
      <c r="Q58" s="1942"/>
      <c r="R58" s="1942"/>
      <c r="S58" s="1942"/>
      <c r="T58" s="1942"/>
    </row>
    <row r="59" spans="2:20">
      <c r="B59" s="216">
        <v>2490030000</v>
      </c>
      <c r="C59" s="216">
        <f>+IFERROR(VLOOKUP(B59,Balance!E:O,4,0),0)</f>
        <v>0</v>
      </c>
      <c r="D59" s="1945">
        <f>IFERROR(VLOOKUP(B59,Balance!E:M,9,0),0)</f>
        <v>0</v>
      </c>
      <c r="E59" s="1945">
        <v>0</v>
      </c>
      <c r="F59" s="1945">
        <f t="shared" si="0"/>
        <v>0</v>
      </c>
      <c r="G59" s="2077"/>
      <c r="H59" s="2077"/>
      <c r="I59" s="1945">
        <f>IFERROR(VLOOKUP(B59,Balance!E:M,7,0),0)</f>
        <v>0</v>
      </c>
      <c r="J59" s="1942">
        <f>+IFERROR(VLOOKUP(B59,'PATRIMONIO_FISCAL '!$A$6:$F$59,6,0),0)</f>
        <v>0</v>
      </c>
      <c r="K59" s="1945">
        <f t="shared" si="14"/>
        <v>0</v>
      </c>
      <c r="L59" s="1946">
        <f t="shared" si="15"/>
        <v>0</v>
      </c>
      <c r="M59" s="2232" t="s">
        <v>1395</v>
      </c>
      <c r="N59" s="1946">
        <v>0</v>
      </c>
      <c r="O59" s="2146">
        <f t="shared" si="3"/>
        <v>0</v>
      </c>
      <c r="P59" s="1942"/>
      <c r="Q59" s="1942"/>
      <c r="R59" s="1942"/>
      <c r="S59" s="1942"/>
      <c r="T59" s="1942"/>
    </row>
    <row r="60" spans="2:20">
      <c r="B60" s="216">
        <v>2490039501</v>
      </c>
      <c r="C60" s="216">
        <f>+IFERROR(VLOOKUP(B60,Balance!E:O,4,0),0)</f>
        <v>0</v>
      </c>
      <c r="D60" s="1945">
        <f>IFERROR(VLOOKUP(B60,Balance!E:M,9,0),0)</f>
        <v>0</v>
      </c>
      <c r="E60" s="1945">
        <v>0</v>
      </c>
      <c r="F60" s="1945">
        <f t="shared" si="0"/>
        <v>0</v>
      </c>
      <c r="G60" s="2077"/>
      <c r="H60" s="2077"/>
      <c r="I60" s="1945">
        <f>IFERROR(VLOOKUP(B60,Balance!E:M,7,0),0)</f>
        <v>0</v>
      </c>
      <c r="J60" s="1942">
        <f>+IFERROR(VLOOKUP(B60,'PATRIMONIO_FISCAL '!$A$6:$F$59,6,0),0)</f>
        <v>0</v>
      </c>
      <c r="K60" s="1945">
        <f t="shared" si="14"/>
        <v>0</v>
      </c>
      <c r="L60" s="1946">
        <f t="shared" si="15"/>
        <v>0</v>
      </c>
      <c r="M60" s="2231">
        <f ca="1">SUM(L42:L60)</f>
        <v>-131611664.13580036</v>
      </c>
      <c r="N60" s="1946">
        <v>0</v>
      </c>
      <c r="O60" s="2146">
        <f t="shared" si="3"/>
        <v>0</v>
      </c>
      <c r="P60" s="1942"/>
      <c r="Q60" s="1942"/>
      <c r="R60" s="1942"/>
      <c r="S60" s="1942"/>
      <c r="T60" s="1942"/>
    </row>
    <row r="61" spans="2:20">
      <c r="D61" s="1945"/>
      <c r="E61" s="1945"/>
      <c r="F61" s="1945"/>
      <c r="G61" s="2077"/>
      <c r="H61" s="2077"/>
      <c r="I61" s="1945"/>
      <c r="J61" s="1945"/>
      <c r="K61" s="1945"/>
      <c r="L61" s="1946"/>
      <c r="M61" s="1942"/>
      <c r="N61" s="1946"/>
      <c r="O61" s="2146"/>
      <c r="P61" s="1942"/>
      <c r="Q61" s="1942"/>
      <c r="R61" s="1942"/>
      <c r="S61" s="1942"/>
      <c r="T61" s="1942"/>
    </row>
    <row r="62" spans="2:20" s="2055" customFormat="1" ht="15.75" thickBot="1">
      <c r="B62" s="2636"/>
      <c r="C62" s="2636"/>
      <c r="D62" s="2036">
        <f>SUM(D8:D61)</f>
        <v>-651294402396</v>
      </c>
      <c r="E62" s="2036">
        <f>SUM(E8:E61)</f>
        <v>-469536583378.50092</v>
      </c>
      <c r="F62" s="2036">
        <f>SUM(F8:F61)</f>
        <v>-181757819017.49893</v>
      </c>
      <c r="G62" s="2078"/>
      <c r="H62" s="2078"/>
      <c r="I62" s="2036">
        <f t="shared" ref="I62:O62" si="20">SUM(I8:I61)</f>
        <v>-425480244185</v>
      </c>
      <c r="J62" s="2036">
        <f t="shared" ca="1" si="20"/>
        <v>-273779109048.27426</v>
      </c>
      <c r="K62" s="2036">
        <f t="shared" ca="1" si="20"/>
        <v>-151701135136.72598</v>
      </c>
      <c r="L62" s="2036">
        <f t="shared" ca="1" si="20"/>
        <v>-30056683880.772915</v>
      </c>
      <c r="M62" s="2037"/>
      <c r="N62" s="2036">
        <f t="shared" si="20"/>
        <v>91527430477.614685</v>
      </c>
      <c r="O62" s="2036">
        <f t="shared" ca="1" si="20"/>
        <v>-121584114358.38759</v>
      </c>
      <c r="P62" s="2037"/>
      <c r="Q62" s="2037"/>
      <c r="R62" s="2037"/>
      <c r="S62" s="2037"/>
      <c r="T62" s="2037"/>
    </row>
    <row r="63" spans="2:20" ht="15.75" thickTop="1">
      <c r="E63" s="216" t="s">
        <v>2231</v>
      </c>
      <c r="F63" s="1942" t="s">
        <v>2232</v>
      </c>
    </row>
    <row r="64" spans="2:20">
      <c r="E64" s="216" t="s">
        <v>257</v>
      </c>
      <c r="F64" s="1785" t="e">
        <f>+F62+F63</f>
        <v>#VALUE!</v>
      </c>
      <c r="G64" s="2056"/>
      <c r="H64" s="2056"/>
      <c r="I64" s="1785">
        <f>+D62-I62</f>
        <v>-225814158211</v>
      </c>
      <c r="J64" s="1785">
        <f ca="1">+E62-J62</f>
        <v>-195757474330.22665</v>
      </c>
      <c r="K64" s="1785"/>
    </row>
    <row r="65" spans="2:22">
      <c r="E65" s="2057" t="s">
        <v>1248</v>
      </c>
      <c r="F65" s="1942" t="s">
        <v>2232</v>
      </c>
      <c r="G65" s="2056"/>
      <c r="H65" s="2056"/>
      <c r="J65" s="1785"/>
      <c r="K65" s="1785"/>
    </row>
    <row r="66" spans="2:22">
      <c r="E66" s="2057"/>
      <c r="F66" s="1942"/>
      <c r="I66" s="2054" t="s">
        <v>1286</v>
      </c>
      <c r="J66" s="2054"/>
      <c r="K66" s="2054"/>
      <c r="L66" s="2054"/>
      <c r="U66" s="216" t="s">
        <v>2187</v>
      </c>
    </row>
    <row r="67" spans="2:22" ht="30.75" thickBot="1">
      <c r="B67" s="2220" t="s">
        <v>45</v>
      </c>
      <c r="C67" s="2220" t="s">
        <v>48</v>
      </c>
      <c r="D67" s="2221" t="s">
        <v>1244</v>
      </c>
      <c r="E67" s="2221" t="s">
        <v>1245</v>
      </c>
      <c r="F67" s="2221" t="s">
        <v>1247</v>
      </c>
      <c r="I67" s="2167" t="s">
        <v>1260</v>
      </c>
      <c r="J67" s="2167" t="s">
        <v>1261</v>
      </c>
      <c r="K67" s="2167" t="s">
        <v>1274</v>
      </c>
      <c r="L67" s="2167" t="s">
        <v>1303</v>
      </c>
      <c r="M67" s="2167" t="s">
        <v>1321</v>
      </c>
      <c r="N67" s="2167" t="s">
        <v>1345</v>
      </c>
      <c r="O67" s="2167" t="s">
        <v>1365</v>
      </c>
      <c r="P67" s="2167" t="s">
        <v>1368</v>
      </c>
      <c r="Q67" s="2167" t="s">
        <v>1376</v>
      </c>
      <c r="R67" s="2167" t="s">
        <v>1389</v>
      </c>
      <c r="S67" s="2167" t="s">
        <v>1412</v>
      </c>
      <c r="T67" s="2167" t="s">
        <v>1467</v>
      </c>
      <c r="U67" s="2163" t="s">
        <v>1280</v>
      </c>
      <c r="V67" s="2164"/>
    </row>
    <row r="68" spans="2:22" ht="15.75" thickTop="1">
      <c r="B68" s="2058" t="s">
        <v>76</v>
      </c>
      <c r="C68" s="2059" t="s">
        <v>1304</v>
      </c>
      <c r="D68" s="2060">
        <v>0</v>
      </c>
      <c r="E68" s="2060">
        <f>('Ingreso-Gasto Mes'!Q63)*1</f>
        <v>-3047465725</v>
      </c>
      <c r="F68" s="2060">
        <f>+D68-E68</f>
        <v>3047465725</v>
      </c>
      <c r="I68" s="1785">
        <v>0</v>
      </c>
      <c r="J68" s="1785">
        <v>0</v>
      </c>
      <c r="K68" s="1785">
        <v>0</v>
      </c>
      <c r="U68" s="2165">
        <f>IF(ISERROR(HLOOKUP(U$66,NegoDivisa!$B$5:$P$9,2,0)),0,HLOOKUP(U$66,NegoDivisa!$B$5:$P$9,2,0))</f>
        <v>-3047465725</v>
      </c>
      <c r="V68" s="2166" t="s">
        <v>1306</v>
      </c>
    </row>
    <row r="69" spans="2:22">
      <c r="B69" s="2058" t="s">
        <v>75</v>
      </c>
      <c r="C69" s="2059" t="s">
        <v>1305</v>
      </c>
      <c r="D69" s="2060">
        <v>0</v>
      </c>
      <c r="E69" s="2060">
        <f>('Ingreso-Gasto Mes'!Q64)*1</f>
        <v>5367391634</v>
      </c>
      <c r="F69" s="2060">
        <f>+D69-E69</f>
        <v>-5367391634</v>
      </c>
      <c r="I69" s="1785"/>
      <c r="J69" s="1785"/>
      <c r="K69" s="1785"/>
      <c r="U69" s="2165">
        <f>IF(ISERROR(HLOOKUP(U$66,NegoDivisa!$B$5:$P$9,3,0)),0,HLOOKUP(U$66,NegoDivisa!$B$5:$P$9,3,0))</f>
        <v>5367391634</v>
      </c>
      <c r="V69" s="2166" t="s">
        <v>1307</v>
      </c>
    </row>
    <row r="70" spans="2:22">
      <c r="B70" s="2233"/>
      <c r="C70" s="2234" t="s">
        <v>1398</v>
      </c>
      <c r="D70" s="2235"/>
      <c r="E70" s="2235">
        <f>-11113727193+9761488986-9761488986+11098077693-11098077693+567607062</f>
        <v>-10546120131</v>
      </c>
      <c r="F70" s="2235">
        <f>+D70-E70</f>
        <v>10546120131</v>
      </c>
      <c r="I70" s="1785"/>
      <c r="J70" s="1785"/>
      <c r="K70" s="1785"/>
      <c r="U70" s="2165"/>
      <c r="V70" s="2166"/>
    </row>
    <row r="71" spans="2:22">
      <c r="B71" s="2061">
        <v>4806010000</v>
      </c>
      <c r="C71" s="216" t="s">
        <v>24</v>
      </c>
      <c r="D71" s="1942">
        <f>IFERROR(VLOOKUP(B71,Balance!E:M,7,0),0)</f>
        <v>0</v>
      </c>
      <c r="E71" s="1942">
        <f>+IFERROR(VLOOKUP(B71,'Ingreso-Gasto Mes'!A:Q,17,0),0)</f>
        <v>0</v>
      </c>
      <c r="F71" s="1942">
        <f>+D71-E71</f>
        <v>0</v>
      </c>
      <c r="I71" s="1942">
        <v>0</v>
      </c>
      <c r="J71" s="1785">
        <v>0</v>
      </c>
      <c r="K71" s="1785">
        <v>0</v>
      </c>
      <c r="L71" s="1785">
        <f>$D71-SUM($I71:K71)</f>
        <v>0</v>
      </c>
      <c r="M71" s="1785">
        <f>$D71-SUM($I71:L71)</f>
        <v>0</v>
      </c>
      <c r="N71" s="1785">
        <f>$D71-SUM($I71:M71)</f>
        <v>0</v>
      </c>
      <c r="O71" s="1785">
        <f>$D71-SUM($I71:N71)</f>
        <v>0</v>
      </c>
      <c r="P71" s="1785">
        <f>$D71-SUM($I71:O71)</f>
        <v>0</v>
      </c>
      <c r="Q71" s="1785">
        <f>$D71-SUM($I71:P71)</f>
        <v>0</v>
      </c>
      <c r="R71" s="1785">
        <f>$D71-SUM($I71:Q71)</f>
        <v>0</v>
      </c>
      <c r="S71" s="1785">
        <f>$D71-SUM($I71:R71)</f>
        <v>0</v>
      </c>
      <c r="T71" s="1785">
        <f>$D71-SUM($I71:S71)</f>
        <v>0</v>
      </c>
    </row>
    <row r="72" spans="2:22">
      <c r="B72" s="2470">
        <v>4806010300</v>
      </c>
      <c r="C72" s="2470" t="s">
        <v>1189</v>
      </c>
      <c r="D72" s="1764">
        <f>IFERROR(VLOOKUP(B72,Balance!E:M,7,0),0)</f>
        <v>-4528741482</v>
      </c>
      <c r="E72" s="1942">
        <f ca="1">+IFERROR(VLOOKUP(B72,'Ingreso-Gasto Mes'!A:Q,17,0),0)</f>
        <v>-3973240473.7682052</v>
      </c>
      <c r="F72" s="1942">
        <f t="shared" ref="F72:F76" ca="1" si="21">+D72-E72</f>
        <v>-555501008.23179483</v>
      </c>
      <c r="I72" s="1764">
        <v>-3097894083</v>
      </c>
      <c r="J72" s="2469">
        <v>-358746688</v>
      </c>
      <c r="K72" s="2469">
        <v>-982685929</v>
      </c>
      <c r="L72" s="2469">
        <f>$D72-SUM($I72:K72)</f>
        <v>-89414782</v>
      </c>
      <c r="M72" s="1785">
        <f>$D72-SUM($I72:L72)</f>
        <v>0</v>
      </c>
      <c r="N72" s="1785">
        <f>$D72-SUM($I72:M72)</f>
        <v>0</v>
      </c>
      <c r="O72" s="1785">
        <f>$D72-SUM($I72:N72)</f>
        <v>0</v>
      </c>
      <c r="P72" s="1785">
        <f>$D72-SUM($I72:O72)</f>
        <v>0</v>
      </c>
      <c r="Q72" s="1785">
        <f>$D72-SUM($I72:P72)</f>
        <v>0</v>
      </c>
      <c r="R72" s="1785">
        <f>$D72-SUM($I72:Q72)</f>
        <v>0</v>
      </c>
      <c r="S72" s="1785">
        <f>$D72-SUM($I72:R72)</f>
        <v>0</v>
      </c>
      <c r="T72" s="1785">
        <f>$D72-SUM($I72:S72)</f>
        <v>0</v>
      </c>
      <c r="U72" s="1815" t="s">
        <v>1370</v>
      </c>
    </row>
    <row r="73" spans="2:22">
      <c r="B73" s="2061">
        <v>4806011000</v>
      </c>
      <c r="C73" s="216" t="s">
        <v>2518</v>
      </c>
      <c r="D73" s="2479">
        <f>IFERROR(VLOOKUP(B73,Balance!E:M,7,0),0)</f>
        <v>-9718752387</v>
      </c>
      <c r="E73" s="1942">
        <f>+IFERROR(VLOOKUP(B73,'Ingreso-Gasto Mes'!A:Q,17,0),0)</f>
        <v>0</v>
      </c>
      <c r="F73" s="1942">
        <f t="shared" si="21"/>
        <v>-9718752387</v>
      </c>
      <c r="I73" s="2467">
        <v>-3818635</v>
      </c>
      <c r="J73" s="2468">
        <v>2783705</v>
      </c>
      <c r="K73" s="2468">
        <v>-9717717457</v>
      </c>
      <c r="L73" s="2468">
        <f>$D73-SUM($I73:K73)</f>
        <v>0</v>
      </c>
      <c r="M73" s="2468">
        <f>$D73-SUM($I73:L73)</f>
        <v>0</v>
      </c>
      <c r="N73" s="2468">
        <f>$D73-SUM($I73:M73)</f>
        <v>0</v>
      </c>
      <c r="O73" s="2468">
        <f>$D73-SUM($I73:N73)</f>
        <v>0</v>
      </c>
      <c r="P73" s="2468">
        <f>$D73-SUM($I73:O73)</f>
        <v>0</v>
      </c>
      <c r="Q73" s="2468">
        <f>$D73-SUM($I73:P73)</f>
        <v>0</v>
      </c>
      <c r="R73" s="2468">
        <f>$D73-SUM($I73:Q73)</f>
        <v>0</v>
      </c>
      <c r="S73" s="2468">
        <f>$D73-SUM($I73:R73)</f>
        <v>0</v>
      </c>
      <c r="T73" s="2468">
        <f>$D73-SUM($I73:S73)</f>
        <v>0</v>
      </c>
    </row>
    <row r="74" spans="2:22">
      <c r="B74" s="2061">
        <v>4806011400</v>
      </c>
      <c r="C74" s="216" t="s">
        <v>2517</v>
      </c>
      <c r="D74" s="2479">
        <f>IFERROR(VLOOKUP(B74,Balance!E:M,7,0),0)</f>
        <v>0</v>
      </c>
      <c r="E74" s="1942">
        <f>+IFERROR(VLOOKUP(B74,'Ingreso-Gasto Mes'!A:Q,17,0),0)</f>
        <v>0</v>
      </c>
      <c r="F74" s="1942">
        <f t="shared" si="21"/>
        <v>0</v>
      </c>
      <c r="I74" s="2467">
        <v>0</v>
      </c>
      <c r="J74" s="2468">
        <v>0</v>
      </c>
      <c r="K74" s="2468">
        <v>0</v>
      </c>
      <c r="L74" s="2468">
        <f>$D74-SUM($I74:K74)</f>
        <v>0</v>
      </c>
      <c r="M74" s="2468">
        <f>$D74-SUM($I74:L74)</f>
        <v>0</v>
      </c>
      <c r="N74" s="2468">
        <f>$D74-SUM($I74:M74)</f>
        <v>0</v>
      </c>
      <c r="O74" s="2468">
        <f>$D74-SUM($I74:N74)</f>
        <v>0</v>
      </c>
      <c r="P74" s="2468">
        <f>$D74-SUM($I74:O74)</f>
        <v>0</v>
      </c>
      <c r="Q74" s="2468">
        <f>$D74-SUM($I74:P74)</f>
        <v>0</v>
      </c>
      <c r="R74" s="2468">
        <f>$D74-SUM($I74:Q74)</f>
        <v>0</v>
      </c>
      <c r="S74" s="2468">
        <f>$D74-SUM($I74:R74)</f>
        <v>0</v>
      </c>
      <c r="T74" s="2468">
        <f>$D74-SUM($I74:S74)</f>
        <v>0</v>
      </c>
    </row>
    <row r="75" spans="2:22">
      <c r="B75" s="2061">
        <v>4806011500</v>
      </c>
      <c r="C75" s="216" t="s">
        <v>1237</v>
      </c>
      <c r="D75" s="1942">
        <f>IFERROR(VLOOKUP(B75,Balance!E:M,7,0),0)</f>
        <v>-11643978794</v>
      </c>
      <c r="E75" s="2161">
        <f ca="1">+IFERROR(VLOOKUP(B75,'Ingreso-Gasto Mes'!A:Q,17,0),0)</f>
        <v>-5561655937.1832047</v>
      </c>
      <c r="F75" s="1942">
        <f t="shared" ca="1" si="21"/>
        <v>-6082322856.8167953</v>
      </c>
      <c r="I75" s="1942">
        <v>-212563925</v>
      </c>
      <c r="J75" s="1785">
        <v>-5189</v>
      </c>
      <c r="K75" s="1785">
        <v>-4381242139</v>
      </c>
      <c r="L75" s="1785">
        <f>$D75-SUM($I75:K75)</f>
        <v>-7050167541</v>
      </c>
      <c r="M75" s="1785">
        <f>$D75-SUM($I75:L75)</f>
        <v>0</v>
      </c>
      <c r="N75" s="1785">
        <f>$D75-SUM($I75:M75)</f>
        <v>0</v>
      </c>
      <c r="O75" s="1785">
        <f>$D75-SUM($I75:N75)</f>
        <v>0</v>
      </c>
      <c r="P75" s="1785">
        <f>$D75-SUM($I75:O75)</f>
        <v>0</v>
      </c>
      <c r="Q75" s="1785">
        <f>$D75-SUM($I75:P75)</f>
        <v>0</v>
      </c>
      <c r="R75" s="1785">
        <f>$D75-SUM($I75:Q75)</f>
        <v>0</v>
      </c>
      <c r="S75" s="1785">
        <f>$D75-SUM($I75:R75)</f>
        <v>0</v>
      </c>
      <c r="T75" s="1785">
        <f>$D75-SUM($I75:S75)</f>
        <v>0</v>
      </c>
    </row>
    <row r="76" spans="2:22">
      <c r="B76" s="2061">
        <v>4806011600</v>
      </c>
      <c r="C76" s="216" t="s">
        <v>2514</v>
      </c>
      <c r="D76" s="2479">
        <f>IFERROR(VLOOKUP(B76,Balance!E:M,7,0),0)</f>
        <v>-124006657</v>
      </c>
      <c r="E76" s="1942">
        <f>+IFERROR(VLOOKUP(B76,'Ingreso-Gasto Mes'!A:Q,17,0),0)</f>
        <v>0</v>
      </c>
      <c r="F76" s="1942">
        <f t="shared" si="21"/>
        <v>-124006657</v>
      </c>
      <c r="I76" s="2467">
        <v>101014710</v>
      </c>
      <c r="J76" s="2468">
        <v>-5994097058</v>
      </c>
      <c r="K76" s="2468">
        <v>5223268826</v>
      </c>
      <c r="L76" s="2468">
        <f>$D76-SUM($I76:K76)</f>
        <v>545806865</v>
      </c>
      <c r="M76" s="2468">
        <f>$D76-SUM($I76:L76)</f>
        <v>0</v>
      </c>
      <c r="N76" s="2468">
        <f>$D76-SUM($I76:M76)</f>
        <v>0</v>
      </c>
      <c r="O76" s="2468">
        <f>$D76-SUM($I76:N76)</f>
        <v>0</v>
      </c>
      <c r="P76" s="2468">
        <f>$D76-SUM($I76:O76)</f>
        <v>0</v>
      </c>
      <c r="Q76" s="2468">
        <f>$D76-SUM($I76:P76)</f>
        <v>0</v>
      </c>
      <c r="R76" s="2468">
        <f>$D76-SUM($I76:Q76)</f>
        <v>0</v>
      </c>
      <c r="S76" s="2468">
        <f>$D76-SUM($I76:R76)</f>
        <v>0</v>
      </c>
      <c r="T76" s="2468">
        <f>$D76-SUM($I76:S76)</f>
        <v>0</v>
      </c>
    </row>
    <row r="77" spans="2:22">
      <c r="B77" s="2061">
        <v>4806451110</v>
      </c>
      <c r="C77" s="216" t="s">
        <v>1251</v>
      </c>
      <c r="D77" s="1764">
        <f>IFERROR(VLOOKUP(B77,Balance!E:M,7,0),0)</f>
        <v>0</v>
      </c>
      <c r="E77" s="1942">
        <f>+IFERROR(VLOOKUP(B77,'Ingreso-Gasto Mes'!A:Q,17,0),0)</f>
        <v>0</v>
      </c>
      <c r="F77" s="1942">
        <f>+D77-E77</f>
        <v>0</v>
      </c>
      <c r="I77" s="1942">
        <v>0</v>
      </c>
      <c r="J77" s="1785">
        <v>0</v>
      </c>
      <c r="K77" s="1785">
        <v>0</v>
      </c>
      <c r="L77" s="1785">
        <f>$D77-SUM($I77:K77)</f>
        <v>0</v>
      </c>
      <c r="M77" s="1785">
        <f>$D77-SUM($I77:L77)</f>
        <v>0</v>
      </c>
      <c r="N77" s="1785">
        <f>$D77-SUM($I77:M77)</f>
        <v>0</v>
      </c>
      <c r="O77" s="1785">
        <f>$D77-SUM($I77:N77)</f>
        <v>0</v>
      </c>
      <c r="P77" s="1785">
        <f>$D77-SUM($I77:O77)</f>
        <v>0</v>
      </c>
      <c r="Q77" s="1785">
        <f>$D77-SUM($I77:P77)</f>
        <v>0</v>
      </c>
      <c r="R77" s="1785">
        <f>$D77-SUM($I77:Q77)</f>
        <v>0</v>
      </c>
      <c r="S77" s="1785">
        <f>$D77-SUM($I77:R77)</f>
        <v>0</v>
      </c>
      <c r="T77" s="1785">
        <f>$D77-SUM($I77:S77)</f>
        <v>0</v>
      </c>
    </row>
    <row r="78" spans="2:22">
      <c r="B78" s="2061">
        <v>4806451210</v>
      </c>
      <c r="C78" s="216" t="s">
        <v>1341</v>
      </c>
      <c r="D78" s="1764">
        <f>IFERROR(VLOOKUP(B78,Balance!E:M,7,0),0)</f>
        <v>0</v>
      </c>
      <c r="E78" s="1942">
        <f>+IFERROR(VLOOKUP(B78,'Ingreso-Gasto Mes'!A:Q,17,0),0)</f>
        <v>0</v>
      </c>
      <c r="F78" s="1942">
        <f t="shared" ref="F78" si="22">+D78-E78</f>
        <v>0</v>
      </c>
      <c r="I78" s="1942">
        <v>0</v>
      </c>
      <c r="J78" s="1785">
        <v>0</v>
      </c>
      <c r="K78" s="1785">
        <v>0</v>
      </c>
      <c r="L78" s="1785">
        <f>$D78-SUM($I78:K78)</f>
        <v>0</v>
      </c>
      <c r="M78" s="1785">
        <f>$D78-SUM($I78:L78)</f>
        <v>0</v>
      </c>
      <c r="N78" s="1785">
        <f>$D78-SUM($I78:M78)</f>
        <v>0</v>
      </c>
      <c r="O78" s="1785">
        <f>$D78-SUM($I78:N78)</f>
        <v>0</v>
      </c>
      <c r="P78" s="1785">
        <f>$D78-SUM($I78:O78)</f>
        <v>0</v>
      </c>
      <c r="Q78" s="1785">
        <f>$D78-SUM($I78:P78)</f>
        <v>0</v>
      </c>
      <c r="R78" s="1785">
        <f>$D78-SUM($I78:Q78)</f>
        <v>0</v>
      </c>
      <c r="S78" s="1785">
        <f>$D78-SUM($I78:R78)</f>
        <v>0</v>
      </c>
      <c r="T78" s="1785">
        <f>$D78-SUM($I78:S78)</f>
        <v>0</v>
      </c>
    </row>
    <row r="79" spans="2:22">
      <c r="B79" s="2061">
        <v>5803010100</v>
      </c>
      <c r="C79" s="216" t="s">
        <v>34</v>
      </c>
      <c r="D79" s="1764">
        <f>IFERROR(VLOOKUP(B79,Balance!E:M,7,0),0)</f>
        <v>463462</v>
      </c>
      <c r="E79" s="1942">
        <f>+IFERROR(VLOOKUP(B79,'Ingreso-Gasto Mes'!A:Q,17,0),0)</f>
        <v>0</v>
      </c>
      <c r="F79" s="1942">
        <f t="shared" ref="F79:F86" si="23">+D79-E79</f>
        <v>463462</v>
      </c>
      <c r="I79" s="1942">
        <v>0</v>
      </c>
      <c r="J79" s="1785">
        <v>463462</v>
      </c>
      <c r="K79" s="1785">
        <v>0</v>
      </c>
      <c r="L79" s="1785">
        <f>$D79-SUM($I79:K79)</f>
        <v>0</v>
      </c>
      <c r="M79" s="1785">
        <f>$D79-SUM($I79:L79)</f>
        <v>0</v>
      </c>
      <c r="N79" s="1785">
        <f>$D79-SUM($I79:M79)</f>
        <v>0</v>
      </c>
      <c r="O79" s="1785">
        <f>$D79-SUM($I79:N79)</f>
        <v>0</v>
      </c>
      <c r="P79" s="1785">
        <f>$D79-SUM($I79:O79)</f>
        <v>0</v>
      </c>
      <c r="Q79" s="1785">
        <f>$D79-SUM($I79:P79)</f>
        <v>0</v>
      </c>
      <c r="R79" s="1785">
        <f>$D79-SUM($I79:Q79)</f>
        <v>0</v>
      </c>
      <c r="S79" s="1785">
        <f>$D79-SUM($I79:R79)</f>
        <v>0</v>
      </c>
      <c r="T79" s="1785">
        <f>$D79-SUM($I79:S79)</f>
        <v>0</v>
      </c>
    </row>
    <row r="80" spans="2:22">
      <c r="B80" s="2061">
        <v>5803010200</v>
      </c>
      <c r="C80" s="216" t="s">
        <v>2516</v>
      </c>
      <c r="D80" s="2479">
        <f>IFERROR(VLOOKUP(B80,Balance!E:M,7,0),0)</f>
        <v>-5284159</v>
      </c>
      <c r="E80" s="1942">
        <f>+IFERROR(VLOOKUP(B80,'Ingreso-Gasto Mes'!A:Q,17,0),0)</f>
        <v>0</v>
      </c>
      <c r="F80" s="1942">
        <f t="shared" si="23"/>
        <v>-5284159</v>
      </c>
      <c r="I80" s="2467">
        <v>3818635</v>
      </c>
      <c r="J80" s="2468">
        <v>-2783707</v>
      </c>
      <c r="K80" s="2468">
        <v>-6319087</v>
      </c>
      <c r="L80" s="2468">
        <f>$D80-SUM($I80:K80)</f>
        <v>0</v>
      </c>
      <c r="M80" s="2468">
        <f>$D80-SUM($I80:L80)</f>
        <v>0</v>
      </c>
      <c r="N80" s="2468">
        <f>$D80-SUM($I80:M80)</f>
        <v>0</v>
      </c>
      <c r="O80" s="2468">
        <f>$D80-SUM($I80:N80)</f>
        <v>0</v>
      </c>
      <c r="P80" s="2468">
        <f>$D80-SUM($I80:O80)</f>
        <v>0</v>
      </c>
      <c r="Q80" s="2468">
        <f>$D80-SUM($I80:P80)</f>
        <v>0</v>
      </c>
      <c r="R80" s="2468">
        <f>$D80-SUM($I80:Q80)</f>
        <v>0</v>
      </c>
      <c r="S80" s="2468">
        <f>$D80-SUM($I80:R80)</f>
        <v>0</v>
      </c>
      <c r="T80" s="2468">
        <f>$D80-SUM($I80:S80)</f>
        <v>0</v>
      </c>
    </row>
    <row r="81" spans="2:21">
      <c r="B81" s="2473">
        <v>5803010300</v>
      </c>
      <c r="C81" s="2473" t="s">
        <v>1235</v>
      </c>
      <c r="D81" s="1764">
        <f>IFERROR(VLOOKUP(B81,Balance!E:M,7,0),0)</f>
        <v>2741982078</v>
      </c>
      <c r="E81" s="1942">
        <f ca="1">+IFERROR(VLOOKUP(B81,'Ingreso-Gasto Mes'!A:Q,17,0),0)</f>
        <v>3842737212.2916918</v>
      </c>
      <c r="F81" s="1942">
        <f t="shared" ca="1" si="23"/>
        <v>-1100755134.2916918</v>
      </c>
      <c r="I81" s="2474">
        <v>1213497831</v>
      </c>
      <c r="J81" s="1785">
        <v>2210543</v>
      </c>
      <c r="K81" s="2213">
        <v>105140028</v>
      </c>
      <c r="L81" s="2213">
        <f>$D81-SUM($I81:K81)</f>
        <v>1421133676</v>
      </c>
      <c r="M81" s="2117">
        <f>$D81-SUM($I81:L81)</f>
        <v>0</v>
      </c>
      <c r="N81" s="2117">
        <f>$D81-SUM($I81:M81)</f>
        <v>0</v>
      </c>
      <c r="O81" s="1785">
        <f>$D81-SUM($I81:N81)</f>
        <v>0</v>
      </c>
      <c r="P81" s="1785">
        <f>$D81-SUM($I81:O81)</f>
        <v>0</v>
      </c>
      <c r="Q81" s="1785">
        <f>$D81-SUM($I81:P81)</f>
        <v>0</v>
      </c>
      <c r="R81" s="1785">
        <f>$D81-SUM($I81:Q81)</f>
        <v>0</v>
      </c>
      <c r="S81" s="1785">
        <f>$D81-SUM($I81:R81)</f>
        <v>0</v>
      </c>
      <c r="T81" s="1785">
        <f>$D81-SUM($I81:S81)</f>
        <v>0</v>
      </c>
      <c r="U81" s="1815" t="s">
        <v>1370</v>
      </c>
    </row>
    <row r="82" spans="2:21">
      <c r="B82" s="2061">
        <v>5803010400</v>
      </c>
      <c r="C82" s="216" t="s">
        <v>2515</v>
      </c>
      <c r="D82" s="2479">
        <f>IFERROR(VLOOKUP(B82,Balance!E:M,7,0),0)</f>
        <v>1716187137</v>
      </c>
      <c r="E82" s="1942">
        <f>+IFERROR(VLOOKUP(B82,'Ingreso-Gasto Mes'!A:Q,17,0),0)</f>
        <v>0</v>
      </c>
      <c r="F82" s="1942">
        <f t="shared" si="23"/>
        <v>1716187137</v>
      </c>
      <c r="I82" s="2467">
        <v>1402951929</v>
      </c>
      <c r="J82" s="2468">
        <v>1048141303</v>
      </c>
      <c r="K82" s="2468">
        <v>-118198772</v>
      </c>
      <c r="L82" s="2468">
        <f>$D82-SUM($I82:K82)</f>
        <v>-616707323</v>
      </c>
      <c r="M82" s="2468">
        <f>$D82-SUM($I82:L82)</f>
        <v>0</v>
      </c>
      <c r="N82" s="2468">
        <f>$D82-SUM($I82:M82)</f>
        <v>0</v>
      </c>
      <c r="O82" s="2468">
        <f>$D82-SUM($I82:N82)</f>
        <v>0</v>
      </c>
      <c r="P82" s="2468">
        <f>$D82-SUM($I82:O82)</f>
        <v>0</v>
      </c>
      <c r="Q82" s="2468">
        <f>$D82-SUM($I82:P82)</f>
        <v>0</v>
      </c>
      <c r="R82" s="2468">
        <f>$D82-SUM($I82:Q82)</f>
        <v>0</v>
      </c>
      <c r="S82" s="2468">
        <f>$D82-SUM($I82:R82)</f>
        <v>0</v>
      </c>
      <c r="T82" s="2468">
        <f>$D82-SUM($I82:S82)</f>
        <v>0</v>
      </c>
    </row>
    <row r="83" spans="2:21">
      <c r="B83" s="2061">
        <v>5803010500</v>
      </c>
      <c r="C83" s="216" t="s">
        <v>1236</v>
      </c>
      <c r="D83" s="1942">
        <f>IFERROR(VLOOKUP(B83,Balance!E:M,7,0),0)</f>
        <v>2094741425</v>
      </c>
      <c r="E83" s="1942">
        <f ca="1">+IFERROR(VLOOKUP(B83,'Ingreso-Gasto Mes'!A:Q,17,0),0)</f>
        <v>1890190901.9876857</v>
      </c>
      <c r="F83" s="1942">
        <f t="shared" ca="1" si="23"/>
        <v>204550523.01231432</v>
      </c>
      <c r="I83" s="1942">
        <v>309462</v>
      </c>
      <c r="J83" s="1785">
        <v>121046340</v>
      </c>
      <c r="K83" s="1785">
        <v>0</v>
      </c>
      <c r="L83" s="2545">
        <f>$D83-SUM($I83:K83)</f>
        <v>1973385623</v>
      </c>
      <c r="M83" s="1785">
        <f>$D83-SUM($I83:L83)</f>
        <v>0</v>
      </c>
      <c r="N83" s="1785">
        <f>$D83-SUM($I83:M83)</f>
        <v>0</v>
      </c>
      <c r="O83" s="1785">
        <f>$D83-SUM($I83:N83)</f>
        <v>0</v>
      </c>
      <c r="P83" s="1785">
        <f>$D83-SUM($I83:O83)</f>
        <v>0</v>
      </c>
      <c r="Q83" s="1785">
        <f>$D83-SUM($I83:P83)</f>
        <v>0</v>
      </c>
      <c r="R83" s="1785">
        <f>$D83-SUM($I83:Q83)</f>
        <v>0</v>
      </c>
      <c r="S83" s="1785">
        <f>$D83-SUM($I83:R83)</f>
        <v>0</v>
      </c>
      <c r="T83" s="1785">
        <f>$D83-SUM($I83:S83)</f>
        <v>0</v>
      </c>
    </row>
    <row r="84" spans="2:21">
      <c r="B84" s="2061">
        <v>5803010600</v>
      </c>
      <c r="C84" s="216" t="s">
        <v>2514</v>
      </c>
      <c r="D84" s="2479">
        <f>IFERROR(VLOOKUP(B84,Balance!E:M,7,0),0)</f>
        <v>-309462</v>
      </c>
      <c r="E84" s="1942">
        <f>+IFERROR(VLOOKUP(B84,'Ingreso-Gasto Mes'!A:Q,17,0),0)</f>
        <v>0</v>
      </c>
      <c r="F84" s="1942">
        <f t="shared" si="23"/>
        <v>-309462</v>
      </c>
      <c r="I84" s="2467">
        <v>-309462</v>
      </c>
      <c r="J84" s="2468">
        <v>0</v>
      </c>
      <c r="K84" s="2468">
        <v>9341</v>
      </c>
      <c r="L84" s="2468">
        <f>$D84-SUM($I84:K84)</f>
        <v>-9341</v>
      </c>
      <c r="M84" s="2468">
        <f>$D84-SUM($I84:L84)</f>
        <v>0</v>
      </c>
      <c r="N84" s="2468">
        <f>$D84-SUM($I84:M84)</f>
        <v>0</v>
      </c>
      <c r="O84" s="2468">
        <f>$D84-SUM($I84:N84)</f>
        <v>0</v>
      </c>
      <c r="P84" s="2468">
        <f>$D84-SUM($I84:O84)</f>
        <v>0</v>
      </c>
      <c r="Q84" s="2468">
        <f>$D84-SUM($I84:P84)</f>
        <v>0</v>
      </c>
      <c r="R84" s="2468">
        <f>$D84-SUM($I84:Q84)</f>
        <v>0</v>
      </c>
      <c r="S84" s="2468">
        <f>$D84-SUM($I84:R84)</f>
        <v>0</v>
      </c>
      <c r="T84" s="2468">
        <f>$D84-SUM($I84:S84)</f>
        <v>0</v>
      </c>
    </row>
    <row r="85" spans="2:21">
      <c r="B85" s="2061">
        <v>5803451110</v>
      </c>
      <c r="C85" s="216" t="s">
        <v>1188</v>
      </c>
      <c r="D85" s="1942">
        <f>IFERROR(VLOOKUP(B85,Balance!E:M,7,0),0)</f>
        <v>88002922</v>
      </c>
      <c r="E85" s="1942">
        <f>+IFERROR(VLOOKUP(B85,'Ingreso-Gasto Mes'!A:Q,17,0),0)</f>
        <v>0</v>
      </c>
      <c r="F85" s="1942">
        <f t="shared" ref="F85" si="24">+D85-E85</f>
        <v>88002922</v>
      </c>
      <c r="I85" s="1764">
        <v>-309462</v>
      </c>
      <c r="J85" s="1785">
        <v>0</v>
      </c>
      <c r="K85" s="1785">
        <v>88312384</v>
      </c>
      <c r="L85" s="1785">
        <f>$D85-SUM($I85:K85)</f>
        <v>0</v>
      </c>
      <c r="M85" s="1785">
        <f>$D85-SUM($I85:L85)</f>
        <v>0</v>
      </c>
      <c r="N85" s="1785">
        <f>$D85-SUM($I85:M85)</f>
        <v>0</v>
      </c>
      <c r="O85" s="1785">
        <f>$D85-SUM($I85:N85)</f>
        <v>0</v>
      </c>
      <c r="P85" s="1785">
        <f>$D85-SUM($I85:O85)</f>
        <v>0</v>
      </c>
      <c r="Q85" s="1785">
        <f>$D85-SUM($I85:P85)</f>
        <v>0</v>
      </c>
      <c r="R85" s="1785">
        <f>$D85-SUM($I85:Q85)</f>
        <v>0</v>
      </c>
      <c r="S85" s="1785">
        <f>$D85-SUM($I85:R85)</f>
        <v>0</v>
      </c>
      <c r="T85" s="1785">
        <f>$D85-SUM($I85:S85)</f>
        <v>0</v>
      </c>
    </row>
    <row r="86" spans="2:21">
      <c r="B86" s="2471">
        <v>5803451210</v>
      </c>
      <c r="C86" s="2471" t="s">
        <v>2509</v>
      </c>
      <c r="D86" s="2219">
        <f>IFERROR(VLOOKUP(B86,Balance!E:M,7,0),0)*1</f>
        <v>1388762314</v>
      </c>
      <c r="E86" s="1948">
        <f>+IFERROR(VLOOKUP(B86,'Ingreso-Gasto Mes'!A:Q,17,0),0)</f>
        <v>0</v>
      </c>
      <c r="F86" s="1948">
        <f t="shared" si="23"/>
        <v>1388762314</v>
      </c>
      <c r="G86" s="2076" t="s">
        <v>1396</v>
      </c>
      <c r="I86" s="2219">
        <v>0</v>
      </c>
      <c r="J86" s="2219">
        <v>0</v>
      </c>
      <c r="K86" s="2472">
        <v>1388762314</v>
      </c>
      <c r="L86" s="2216">
        <f>$D86-SUM($I86:K86)</f>
        <v>0</v>
      </c>
      <c r="M86" s="2216">
        <f>$D86-SUM($I86:L86)</f>
        <v>0</v>
      </c>
      <c r="N86" s="2216">
        <f>$D86-SUM($I86:M86)</f>
        <v>0</v>
      </c>
      <c r="O86" s="2216">
        <f>$D86-SUM($I86:N86)</f>
        <v>0</v>
      </c>
      <c r="P86" s="2216">
        <f>$D86-SUM($I86:O86)</f>
        <v>0</v>
      </c>
      <c r="Q86" s="2217">
        <f>$D86-SUM($I86:P86)</f>
        <v>0</v>
      </c>
      <c r="R86" s="2217">
        <f>$D86-SUM($I86:Q86)</f>
        <v>0</v>
      </c>
      <c r="S86" s="2217">
        <f>$D86-SUM($I86:R86)</f>
        <v>0</v>
      </c>
      <c r="T86" s="2217">
        <f>$D86-SUM($I86:S86)</f>
        <v>0</v>
      </c>
    </row>
    <row r="87" spans="2:21">
      <c r="D87" s="2226">
        <f t="shared" ref="D87" si="25">SUBTOTAL(9,D68:D86)</f>
        <v>-17990933603</v>
      </c>
      <c r="E87" s="2226">
        <f ca="1">SUBTOTAL(9,E68:E86)</f>
        <v>-12028162518.672031</v>
      </c>
      <c r="F87" s="2226">
        <f ca="1">SUBTOTAL(9,F68:F86)</f>
        <v>-5962771084.3279686</v>
      </c>
      <c r="G87" s="2230">
        <f ca="1">M31-F87</f>
        <v>1502050040.0387697</v>
      </c>
      <c r="I87" s="2077"/>
      <c r="J87" s="1785"/>
      <c r="K87" s="1785"/>
      <c r="L87" s="1785"/>
      <c r="M87" s="1785"/>
      <c r="N87" s="1785"/>
      <c r="O87" s="1785"/>
      <c r="P87" s="1785"/>
      <c r="Q87" s="1785"/>
      <c r="R87" s="1785"/>
      <c r="S87" s="1785"/>
      <c r="T87" s="1785"/>
    </row>
    <row r="88" spans="2:21">
      <c r="B88" s="2222" t="s">
        <v>1393</v>
      </c>
      <c r="C88" s="2223"/>
      <c r="D88" s="2224"/>
      <c r="E88" s="2224"/>
      <c r="F88" s="2224"/>
      <c r="G88" s="2224"/>
      <c r="I88" s="2224"/>
      <c r="J88" s="2224"/>
      <c r="K88" s="2224"/>
      <c r="L88" s="2224"/>
      <c r="M88" s="2224"/>
      <c r="N88" s="2224"/>
      <c r="O88" s="2224"/>
      <c r="P88" s="2224"/>
      <c r="Q88" s="2224"/>
      <c r="R88" s="2224"/>
      <c r="S88" s="2224"/>
      <c r="T88" s="2224"/>
    </row>
    <row r="89" spans="2:21">
      <c r="B89" s="216">
        <v>4806451000</v>
      </c>
      <c r="C89" s="216" t="s">
        <v>2513</v>
      </c>
      <c r="D89" s="2479">
        <f>IFERROR(VLOOKUP(B89,Balance!E:M,7,0),0)</f>
        <v>-4452263613</v>
      </c>
      <c r="E89" s="1942">
        <f>+IFERROR(VLOOKUP(B89,'Ingreso-Gasto Mes'!A:Q,17,0),0)</f>
        <v>0</v>
      </c>
      <c r="F89" s="1942">
        <f t="shared" ref="F89:F90" si="26">+D89-E89</f>
        <v>-4452263613</v>
      </c>
      <c r="I89" s="2467">
        <v>-5924439513</v>
      </c>
      <c r="J89" s="2468">
        <v>5855875775</v>
      </c>
      <c r="K89" s="2468">
        <v>-5699514037</v>
      </c>
      <c r="L89" s="2468">
        <f>$D89-SUM($I89:K89)</f>
        <v>1315814162</v>
      </c>
      <c r="M89" s="2468">
        <f>$D89-SUM($I89:L89)</f>
        <v>0</v>
      </c>
      <c r="N89" s="2468">
        <f>$D89-SUM($I89:M89)</f>
        <v>0</v>
      </c>
      <c r="O89" s="2468">
        <f>$D89-SUM($I89:N89)</f>
        <v>0</v>
      </c>
      <c r="P89" s="2468">
        <f>$D89-SUM($I89:O89)</f>
        <v>0</v>
      </c>
      <c r="Q89" s="2468">
        <f>$D89-SUM($I89:P89)</f>
        <v>0</v>
      </c>
      <c r="R89" s="2468">
        <f>$D89-SUM($I89:Q89)</f>
        <v>0</v>
      </c>
      <c r="S89" s="2468">
        <f>$D89-SUM($I89:R89)</f>
        <v>0</v>
      </c>
      <c r="T89" s="2468">
        <f>$D89-SUM($I89:S89)</f>
        <v>0</v>
      </c>
    </row>
    <row r="90" spans="2:21">
      <c r="B90" s="216">
        <v>4806452000</v>
      </c>
      <c r="C90" s="216" t="s">
        <v>31</v>
      </c>
      <c r="D90" s="1942">
        <f>IFERROR(VLOOKUP(B90,Balance!E:M,7,0),0)</f>
        <v>0</v>
      </c>
      <c r="E90" s="1942">
        <f ca="1">+IFERROR(VLOOKUP(B90,'Ingreso-Gasto Mes'!A:Q,17,0),0)</f>
        <v>-215645668.52980077</v>
      </c>
      <c r="F90" s="1942">
        <f t="shared" ca="1" si="26"/>
        <v>215645668.52980077</v>
      </c>
      <c r="I90" s="1942">
        <v>0</v>
      </c>
      <c r="J90" s="1785">
        <v>0</v>
      </c>
      <c r="K90" s="1785">
        <v>0</v>
      </c>
      <c r="L90" s="1785">
        <f>$D90-SUM($I90:K90)</f>
        <v>0</v>
      </c>
      <c r="M90" s="1785">
        <f>$D90-SUM($I90:L90)</f>
        <v>0</v>
      </c>
      <c r="N90" s="1785">
        <f>$D90-SUM($I90:M90)</f>
        <v>0</v>
      </c>
      <c r="O90" s="1785">
        <f>$D90-SUM($I90:N90)</f>
        <v>0</v>
      </c>
      <c r="P90" s="1785">
        <f>$D90-SUM($I90:O90)</f>
        <v>0</v>
      </c>
      <c r="Q90" s="1785">
        <f>$D90-SUM($I90:P90)</f>
        <v>0</v>
      </c>
      <c r="R90" s="1785">
        <f>$D90-SUM($I90:Q90)</f>
        <v>0</v>
      </c>
      <c r="S90" s="1785">
        <f>$D90-SUM($I90:R90)</f>
        <v>0</v>
      </c>
      <c r="T90" s="1785">
        <f>$D90-SUM($I90:S90)</f>
        <v>0</v>
      </c>
    </row>
    <row r="91" spans="2:21">
      <c r="B91" s="216">
        <v>5803451000</v>
      </c>
      <c r="C91" s="216" t="s">
        <v>2512</v>
      </c>
      <c r="D91" s="2479">
        <f>IFERROR(VLOOKUP(B91,Balance!E:M,7,0),0)</f>
        <v>-17981354605</v>
      </c>
      <c r="E91" s="1764">
        <f>+IFERROR(VLOOKUP(B91,'Ingreso-Gasto Mes'!A:Q,17,0),0)</f>
        <v>0</v>
      </c>
      <c r="F91" s="1764">
        <f>+D91-E91</f>
        <v>-17981354605</v>
      </c>
      <c r="I91" s="2467">
        <v>-22667713312</v>
      </c>
      <c r="J91" s="2468">
        <v>22405379102</v>
      </c>
      <c r="K91" s="2468">
        <v>-23033198353</v>
      </c>
      <c r="L91" s="2468">
        <f>$D91-SUM($I91:K91)</f>
        <v>5314177958</v>
      </c>
      <c r="M91" s="2468">
        <f>$D91-SUM($I91:L91)</f>
        <v>0</v>
      </c>
      <c r="N91" s="2468">
        <f>$D91-SUM($I91:M91)</f>
        <v>0</v>
      </c>
      <c r="O91" s="2468">
        <f>$D91-SUM($I91:N91)</f>
        <v>0</v>
      </c>
      <c r="P91" s="2468">
        <f>$D91-SUM($I91:O91)</f>
        <v>0</v>
      </c>
      <c r="Q91" s="2468">
        <f>$D91-SUM($I91:P91)</f>
        <v>0</v>
      </c>
      <c r="R91" s="2468">
        <f>$D91-SUM($I91:Q91)</f>
        <v>0</v>
      </c>
      <c r="S91" s="2468">
        <f>$D91-SUM($I91:R91)</f>
        <v>0</v>
      </c>
      <c r="T91" s="2468">
        <f>$D91-SUM($I91:S91)</f>
        <v>0</v>
      </c>
    </row>
    <row r="92" spans="2:21">
      <c r="B92" s="1947">
        <v>5803452000</v>
      </c>
      <c r="C92" s="1947" t="s">
        <v>209</v>
      </c>
      <c r="D92" s="2219">
        <f>IFERROR(VLOOKUP(B92,Balance!E:M,7,0),0)</f>
        <v>6849388</v>
      </c>
      <c r="E92" s="2219">
        <f ca="1">+IFERROR(VLOOKUP(B92,'Ingreso-Gasto Mes'!A:Q,17,0),0)</f>
        <v>3380740805.5234995</v>
      </c>
      <c r="F92" s="2219">
        <f ca="1">+D92-E92</f>
        <v>-3373891417.5234995</v>
      </c>
      <c r="G92" s="2076" t="s">
        <v>1396</v>
      </c>
      <c r="I92" s="1948">
        <v>0</v>
      </c>
      <c r="J92" s="2216">
        <v>0</v>
      </c>
      <c r="K92" s="2216">
        <v>6849388</v>
      </c>
      <c r="L92" s="2216">
        <f>$D92-SUM($I92:K92)</f>
        <v>0</v>
      </c>
      <c r="M92" s="2216">
        <f>$D92-SUM($I92:L92)</f>
        <v>0</v>
      </c>
      <c r="N92" s="2216">
        <f>$D92-SUM($I92:M92)</f>
        <v>0</v>
      </c>
      <c r="O92" s="2216">
        <f>$D92-SUM($I92:N92)</f>
        <v>0</v>
      </c>
      <c r="P92" s="2216">
        <f>$D92-SUM($I92:O92)</f>
        <v>0</v>
      </c>
      <c r="Q92" s="2216">
        <f>$D92-SUM($I92:P92)</f>
        <v>0</v>
      </c>
      <c r="R92" s="2216">
        <f>$D92-SUM($I92:Q92)</f>
        <v>0</v>
      </c>
      <c r="S92" s="2216">
        <f>$D92-SUM($I92:R92)</f>
        <v>0</v>
      </c>
      <c r="T92" s="2216">
        <f>$D92-SUM($I92:S92)</f>
        <v>0</v>
      </c>
    </row>
    <row r="93" spans="2:21">
      <c r="D93" s="2226">
        <f t="shared" ref="D93:E93" si="27">SUBTOTAL(9,D89:D92)</f>
        <v>-22426768830</v>
      </c>
      <c r="E93" s="2226">
        <f t="shared" ca="1" si="27"/>
        <v>3165095136.9936986</v>
      </c>
      <c r="F93" s="2226">
        <f ca="1">SUBTOTAL(9,F89:F92)</f>
        <v>-25591863966.993698</v>
      </c>
      <c r="G93" s="2230">
        <f ca="1">+M41-F93</f>
        <v>122443843.21879578</v>
      </c>
      <c r="I93" s="2077"/>
      <c r="J93" s="1785"/>
      <c r="K93" s="1785"/>
      <c r="L93" s="1785"/>
      <c r="M93" s="1785"/>
      <c r="N93" s="1785"/>
      <c r="O93" s="1785"/>
      <c r="P93" s="1785"/>
      <c r="Q93" s="1785"/>
      <c r="R93" s="1785"/>
      <c r="S93" s="1785"/>
      <c r="T93" s="1785"/>
    </row>
    <row r="94" spans="2:21">
      <c r="B94" s="2222" t="s">
        <v>1392</v>
      </c>
      <c r="C94" s="2223"/>
      <c r="D94" s="2224"/>
      <c r="E94" s="2224"/>
      <c r="F94" s="2224"/>
      <c r="G94" s="2224"/>
      <c r="I94" s="2224"/>
      <c r="J94" s="2224"/>
      <c r="K94" s="2224"/>
      <c r="L94" s="2224"/>
      <c r="M94" s="2224"/>
      <c r="N94" s="2224"/>
      <c r="O94" s="2224"/>
      <c r="P94" s="2224"/>
      <c r="Q94" s="2224"/>
      <c r="R94" s="2224"/>
      <c r="S94" s="2224"/>
      <c r="T94" s="2224"/>
    </row>
    <row r="95" spans="2:21">
      <c r="B95" s="216">
        <v>4806020000</v>
      </c>
      <c r="C95" s="216" t="s">
        <v>175</v>
      </c>
      <c r="D95" s="1942">
        <f>IFERROR(VLOOKUP(B95,Balance!E:M,7,0),0)</f>
        <v>-933856</v>
      </c>
      <c r="E95" s="2088">
        <f ca="1">+IFERROR(VLOOKUP(B95,'Ingreso-Gasto Mes'!A:Q,17,0),0)</f>
        <v>-16700462.576800015</v>
      </c>
      <c r="F95" s="1942">
        <f t="shared" ref="F95" ca="1" si="28">+D95-E95</f>
        <v>15766606.576800015</v>
      </c>
      <c r="I95" s="1942">
        <v>0</v>
      </c>
      <c r="J95" s="1785">
        <v>-933856</v>
      </c>
      <c r="K95" s="1785">
        <v>0</v>
      </c>
      <c r="L95" s="1785">
        <f>$D95-SUM($I95:K95)</f>
        <v>0</v>
      </c>
      <c r="M95" s="1785">
        <f>$D95-SUM($I95:L95)</f>
        <v>0</v>
      </c>
      <c r="N95" s="1785">
        <f>$D95-SUM($I95:M95)</f>
        <v>0</v>
      </c>
      <c r="O95" s="1785">
        <f>$D95-SUM($I95:N95)</f>
        <v>0</v>
      </c>
      <c r="P95" s="1785">
        <f>$D95-SUM($I95:O95)</f>
        <v>0</v>
      </c>
      <c r="Q95" s="1785">
        <f>$D95-SUM($I95:P95)</f>
        <v>0</v>
      </c>
      <c r="R95" s="1785">
        <f>$D95-SUM($I95:Q95)</f>
        <v>0</v>
      </c>
      <c r="S95" s="1785">
        <f>$D95-SUM($I95:R95)</f>
        <v>0</v>
      </c>
      <c r="T95" s="1785">
        <f>$D95-SUM($I95:S95)</f>
        <v>0</v>
      </c>
    </row>
    <row r="96" spans="2:21">
      <c r="B96" s="216">
        <v>4806021000</v>
      </c>
      <c r="C96" s="216" t="s">
        <v>2519</v>
      </c>
      <c r="D96" s="2479">
        <f>IFERROR(VLOOKUP(B96,Balance!E:M,7,0),0)</f>
        <v>10126861</v>
      </c>
      <c r="E96" s="1942">
        <f>+IFERROR(VLOOKUP(B96,'Ingreso-Gasto Mes'!A:Q,17,0),0)</f>
        <v>0</v>
      </c>
      <c r="F96" s="1942">
        <f t="shared" ref="F96:F105" si="29">+D96-E96</f>
        <v>10126861</v>
      </c>
      <c r="I96" s="2467">
        <v>4814188</v>
      </c>
      <c r="J96" s="2468">
        <v>5519104</v>
      </c>
      <c r="K96" s="2468">
        <v>0</v>
      </c>
      <c r="L96" s="2468">
        <f>$D96-SUM($I96:K96)</f>
        <v>-206431</v>
      </c>
      <c r="M96" s="2468">
        <f>$D96-SUM($I96:L96)</f>
        <v>0</v>
      </c>
      <c r="N96" s="2468">
        <f>$D96-SUM($I96:M96)</f>
        <v>0</v>
      </c>
      <c r="O96" s="2468">
        <f>$D96-SUM($I96:N96)</f>
        <v>0</v>
      </c>
      <c r="P96" s="2468">
        <f>$D96-SUM($I96:O96)</f>
        <v>0</v>
      </c>
      <c r="Q96" s="2468">
        <f>$D96-SUM($I96:P96)</f>
        <v>0</v>
      </c>
      <c r="R96" s="2468">
        <f>$D96-SUM($I96:Q96)</f>
        <v>0</v>
      </c>
      <c r="S96" s="2468">
        <f>$D96-SUM($I96:R96)</f>
        <v>0</v>
      </c>
      <c r="T96" s="2468">
        <f>$D96-SUM($I96:S96)</f>
        <v>0</v>
      </c>
    </row>
    <row r="97" spans="2:20">
      <c r="B97" s="216">
        <v>5803020100</v>
      </c>
      <c r="C97" s="216" t="s">
        <v>36</v>
      </c>
      <c r="D97" s="1942">
        <f>IFERROR(VLOOKUP(B97,Balance!E:M,7,0),0)</f>
        <v>1206856</v>
      </c>
      <c r="E97" s="2088">
        <f ca="1">+IFERROR(VLOOKUP(B97,'Ingreso-Gasto Mes'!A:Q,17,0),0)</f>
        <v>23852398.665999968</v>
      </c>
      <c r="F97" s="1942">
        <f ca="1">+D97-E97</f>
        <v>-22645542.665999968</v>
      </c>
      <c r="I97" s="1942">
        <v>0</v>
      </c>
      <c r="J97" s="1785">
        <v>1206856</v>
      </c>
      <c r="K97" s="1785">
        <v>0</v>
      </c>
      <c r="L97" s="1785">
        <f>$D97-SUM($I97:K97)</f>
        <v>0</v>
      </c>
      <c r="M97" s="1785">
        <f>$D97-SUM($I97:L97)</f>
        <v>0</v>
      </c>
      <c r="N97" s="1785">
        <f>$D97-SUM($I97:M97)</f>
        <v>0</v>
      </c>
      <c r="O97" s="1785">
        <f>$D97-SUM($I97:N97)</f>
        <v>0</v>
      </c>
      <c r="P97" s="1785">
        <f>$D97-SUM($I97:O97)</f>
        <v>0</v>
      </c>
      <c r="Q97" s="1785">
        <f>$D97-SUM($I97:P97)</f>
        <v>0</v>
      </c>
      <c r="R97" s="1785">
        <f>$D97-SUM($I97:Q97)</f>
        <v>0</v>
      </c>
      <c r="S97" s="1785">
        <f>$D97-SUM($I97:R97)</f>
        <v>0</v>
      </c>
      <c r="T97" s="1785">
        <f>$D97-SUM($I97:S97)</f>
        <v>0</v>
      </c>
    </row>
    <row r="98" spans="2:20">
      <c r="B98" s="1947">
        <v>5803020200</v>
      </c>
      <c r="C98" s="1947" t="s">
        <v>2520</v>
      </c>
      <c r="D98" s="2478">
        <f>IFERROR(VLOOKUP(B98,Balance!E:M,7,0),0)</f>
        <v>-3604826</v>
      </c>
      <c r="E98" s="1948">
        <f>+IFERROR(VLOOKUP(B98,'Ingreso-Gasto Mes'!A:Q,17,0),0)</f>
        <v>0</v>
      </c>
      <c r="F98" s="1948">
        <f>+D98-E98</f>
        <v>-3604826</v>
      </c>
      <c r="G98" s="2076" t="s">
        <v>1396</v>
      </c>
      <c r="I98" s="2476">
        <v>-268068</v>
      </c>
      <c r="J98" s="2477">
        <v>-3562698</v>
      </c>
      <c r="K98" s="2477">
        <v>273679</v>
      </c>
      <c r="L98" s="2477">
        <f>$D98-SUM($I98:K98)</f>
        <v>-47739</v>
      </c>
      <c r="M98" s="2477">
        <f>$D98-SUM($I98:L98)</f>
        <v>0</v>
      </c>
      <c r="N98" s="2477">
        <f>$D98-SUM($I98:M98)</f>
        <v>0</v>
      </c>
      <c r="O98" s="2477">
        <f>$D98-SUM($I98:N98)</f>
        <v>0</v>
      </c>
      <c r="P98" s="2477">
        <f>$D98-SUM($I98:O98)</f>
        <v>0</v>
      </c>
      <c r="Q98" s="2477">
        <f>$D98-SUM($I98:P98)</f>
        <v>0</v>
      </c>
      <c r="R98" s="2477">
        <f>$D98-SUM($I98:Q98)</f>
        <v>0</v>
      </c>
      <c r="S98" s="2477">
        <f>$D98-SUM($I98:R98)</f>
        <v>0</v>
      </c>
      <c r="T98" s="2477">
        <f>$D98-SUM($I98:S98)</f>
        <v>0</v>
      </c>
    </row>
    <row r="99" spans="2:20">
      <c r="D99" s="2226">
        <f t="shared" ref="D99:E99" si="30">SUBTOTAL(9,D95:D98)</f>
        <v>6795035</v>
      </c>
      <c r="E99" s="2226">
        <f t="shared" ca="1" si="30"/>
        <v>7151936.0891999528</v>
      </c>
      <c r="F99" s="2226">
        <f ca="1">SUBTOTAL(9,F95:F98)</f>
        <v>-356901.08919995278</v>
      </c>
      <c r="G99" s="2230">
        <f ca="1">+M39-F99</f>
        <v>5425852.5161866471</v>
      </c>
      <c r="I99" s="2077"/>
      <c r="J99" s="1785"/>
      <c r="K99" s="1785"/>
      <c r="L99" s="1785"/>
      <c r="M99" s="1785"/>
      <c r="N99" s="1785"/>
      <c r="O99" s="1785"/>
      <c r="P99" s="1785"/>
      <c r="Q99" s="1785"/>
      <c r="R99" s="1785"/>
      <c r="S99" s="1785"/>
      <c r="T99" s="1785"/>
    </row>
    <row r="100" spans="2:20">
      <c r="B100" s="2222" t="s">
        <v>1215</v>
      </c>
      <c r="C100" s="2223"/>
      <c r="D100" s="2224"/>
      <c r="E100" s="2224"/>
      <c r="F100" s="2224"/>
      <c r="G100" s="2224"/>
      <c r="I100" s="2224"/>
      <c r="J100" s="2224"/>
      <c r="K100" s="2224"/>
      <c r="L100" s="2224"/>
      <c r="M100" s="2224"/>
      <c r="N100" s="2224"/>
      <c r="O100" s="2224"/>
      <c r="P100" s="2224"/>
      <c r="Q100" s="2224"/>
      <c r="R100" s="2224"/>
      <c r="S100" s="2224"/>
      <c r="T100" s="2224"/>
    </row>
    <row r="101" spans="2:20">
      <c r="B101" s="2304">
        <v>4806120100</v>
      </c>
      <c r="C101" s="216" t="s">
        <v>27</v>
      </c>
      <c r="D101" s="1942">
        <f>IFERROR(VLOOKUP(B101,Balance!E:M,7,0),0)</f>
        <v>-704788499</v>
      </c>
      <c r="E101" s="1942">
        <f ca="1">+IFERROR(VLOOKUP(B101,'Ingreso-Gasto Mes'!A:Q,17,0),0)</f>
        <v>-360659593.87966776</v>
      </c>
      <c r="F101" s="1942">
        <f t="shared" ca="1" si="29"/>
        <v>-344128905.12033224</v>
      </c>
      <c r="I101" s="1942">
        <v>-592927399</v>
      </c>
      <c r="J101" s="1785">
        <v>-157</v>
      </c>
      <c r="K101" s="1785">
        <v>-4907838</v>
      </c>
      <c r="L101" s="1785">
        <f>$D101-SUM($I101:K101)</f>
        <v>-106953105</v>
      </c>
      <c r="M101" s="1785">
        <f>$D101-SUM($I101:L101)</f>
        <v>0</v>
      </c>
      <c r="N101" s="1785">
        <f>$D101-SUM($I101:M101)</f>
        <v>0</v>
      </c>
      <c r="O101" s="1785">
        <f>$D101-SUM($I101:N101)</f>
        <v>0</v>
      </c>
      <c r="P101" s="1785">
        <f>$D101-SUM($I101:O101)</f>
        <v>0</v>
      </c>
      <c r="Q101" s="1785">
        <f>$D101-SUM($I101:P101)</f>
        <v>0</v>
      </c>
      <c r="R101" s="1785">
        <f>$D101-SUM($I101:Q101)</f>
        <v>0</v>
      </c>
      <c r="S101" s="1785">
        <f>$D101-SUM($I101:R101)</f>
        <v>0</v>
      </c>
      <c r="T101" s="1785">
        <f>$D101-SUM($I101:S101)</f>
        <v>0</v>
      </c>
    </row>
    <row r="102" spans="2:20">
      <c r="B102" s="216">
        <v>4806120200</v>
      </c>
      <c r="C102" s="216" t="s">
        <v>2521</v>
      </c>
      <c r="D102" s="1942">
        <f>IFERROR(VLOOKUP(B102,Balance!E:M,7,0),0)</f>
        <v>401673333</v>
      </c>
      <c r="E102" s="1942">
        <f>+IFERROR(VLOOKUP(B102,'Ingreso-Gasto Mes'!A:Q,17,0),0)</f>
        <v>0</v>
      </c>
      <c r="F102" s="1942">
        <f t="shared" si="29"/>
        <v>401673333</v>
      </c>
      <c r="I102" s="2467">
        <v>373606028</v>
      </c>
      <c r="J102" s="2468">
        <v>14291695</v>
      </c>
      <c r="K102" s="2468">
        <v>-51710007</v>
      </c>
      <c r="L102" s="2468">
        <f>$D102-SUM($I102:K102)</f>
        <v>65485617</v>
      </c>
      <c r="M102" s="2468">
        <f>$D102-SUM($I102:L102)</f>
        <v>0</v>
      </c>
      <c r="N102" s="2468">
        <f>$D102-SUM($I102:M102)</f>
        <v>0</v>
      </c>
      <c r="O102" s="2468">
        <f>$D102-SUM($I102:N102)</f>
        <v>0</v>
      </c>
      <c r="P102" s="2468">
        <f>$D102-SUM($I102:O102)</f>
        <v>0</v>
      </c>
      <c r="Q102" s="2468">
        <f>$D102-SUM($I102:P102)</f>
        <v>0</v>
      </c>
      <c r="R102" s="2468">
        <f>$D102-SUM($I102:Q102)</f>
        <v>0</v>
      </c>
      <c r="S102" s="2468">
        <f>$D102-SUM($I102:R102)</f>
        <v>0</v>
      </c>
      <c r="T102" s="2468">
        <f>$D102-SUM($I102:S102)</f>
        <v>0</v>
      </c>
    </row>
    <row r="103" spans="2:20">
      <c r="B103" s="216">
        <v>4806130100</v>
      </c>
      <c r="C103" s="216" t="s">
        <v>29</v>
      </c>
      <c r="D103" s="1942">
        <f>IFERROR(VLOOKUP(B103,Balance!E:M,7,0),0)</f>
        <v>-60578464</v>
      </c>
      <c r="E103" s="1942">
        <f ca="1">+IFERROR(VLOOKUP(B103,'Ingreso-Gasto Mes'!A:Q,17,0),0)</f>
        <v>-42024520.370384961</v>
      </c>
      <c r="F103" s="1942">
        <f t="shared" ca="1" si="29"/>
        <v>-18553943.629615039</v>
      </c>
      <c r="I103" s="1942">
        <v>-13197121</v>
      </c>
      <c r="J103" s="1785">
        <v>-6790120</v>
      </c>
      <c r="K103" s="1785">
        <v>-4495510</v>
      </c>
      <c r="L103" s="1785">
        <f>$D103-SUM($I103:K103)</f>
        <v>-36095713</v>
      </c>
      <c r="M103" s="1785">
        <f>$D103-SUM($I103:L103)</f>
        <v>0</v>
      </c>
      <c r="N103" s="1785">
        <f>$D103-SUM($I103:M103)</f>
        <v>0</v>
      </c>
      <c r="O103" s="1785">
        <f>$D103-SUM($I103:N103)</f>
        <v>0</v>
      </c>
      <c r="P103" s="1785">
        <f>$D103-SUM($I103:O103)</f>
        <v>0</v>
      </c>
      <c r="Q103" s="1785">
        <f>$D103-SUM($I103:P103)</f>
        <v>0</v>
      </c>
      <c r="R103" s="1785">
        <f>$D103-SUM($I103:Q103)</f>
        <v>0</v>
      </c>
      <c r="S103" s="1785">
        <f>$D103-SUM($I103:R103)</f>
        <v>0</v>
      </c>
      <c r="T103" s="1785">
        <f>$D103-SUM($I103:S103)</f>
        <v>0</v>
      </c>
    </row>
    <row r="104" spans="2:20">
      <c r="B104" s="216">
        <v>4806130110</v>
      </c>
      <c r="C104" s="216" t="s">
        <v>29</v>
      </c>
      <c r="D104" s="1942">
        <f>IFERROR(VLOOKUP(B104,Balance!E:M,7,0),0)</f>
        <v>-463836388</v>
      </c>
      <c r="E104" s="1942">
        <f>+IFERROR(VLOOKUP(B104,'Ingreso-Gasto Mes'!A:Q,17,0),0)</f>
        <v>0</v>
      </c>
      <c r="F104" s="1942">
        <f t="shared" si="29"/>
        <v>-463836388</v>
      </c>
      <c r="I104" s="1942">
        <v>-9298397</v>
      </c>
      <c r="J104" s="1785">
        <v>-6694318</v>
      </c>
      <c r="K104" s="1785">
        <v>-426399227</v>
      </c>
      <c r="L104" s="1785">
        <f>$D104-SUM($I104:K104)</f>
        <v>-21444446</v>
      </c>
      <c r="M104" s="1785">
        <f>$D104-SUM($I104:L104)</f>
        <v>0</v>
      </c>
      <c r="N104" s="1785">
        <f>$D104-SUM($I104:M104)</f>
        <v>0</v>
      </c>
      <c r="O104" s="1785">
        <f>$D104-SUM($I104:N104)</f>
        <v>0</v>
      </c>
      <c r="P104" s="1785">
        <f>$D104-SUM($I104:O104)</f>
        <v>0</v>
      </c>
      <c r="Q104" s="1785">
        <f>$D104-SUM($I104:P104)</f>
        <v>0</v>
      </c>
      <c r="R104" s="1785">
        <f>$D104-SUM($I104:Q104)</f>
        <v>0</v>
      </c>
      <c r="S104" s="1785">
        <f>$D104-SUM($I104:R104)</f>
        <v>0</v>
      </c>
      <c r="T104" s="1785">
        <f>$D104-SUM($I104:S104)</f>
        <v>0</v>
      </c>
    </row>
    <row r="105" spans="2:20">
      <c r="B105" s="216">
        <v>4806130200</v>
      </c>
      <c r="C105" s="216" t="s">
        <v>2521</v>
      </c>
      <c r="D105" s="1942">
        <f>IFERROR(VLOOKUP(B105,Balance!E:M,7,0),0)</f>
        <v>265793285</v>
      </c>
      <c r="E105" s="1942">
        <f>+IFERROR(VLOOKUP(B105,'Ingreso-Gasto Mes'!A:Q,17,0),0)</f>
        <v>0</v>
      </c>
      <c r="F105" s="1942">
        <f t="shared" si="29"/>
        <v>265793285</v>
      </c>
      <c r="I105" s="2467">
        <v>787773747</v>
      </c>
      <c r="J105" s="2468">
        <v>51866010</v>
      </c>
      <c r="K105" s="2468">
        <v>-714880175</v>
      </c>
      <c r="L105" s="2468">
        <f>$D105-SUM($I105:K105)</f>
        <v>141033703</v>
      </c>
      <c r="M105" s="2468">
        <f>$D105-SUM($I105:L105)</f>
        <v>0</v>
      </c>
      <c r="N105" s="2468">
        <f>$D105-SUM($I105:M105)</f>
        <v>0</v>
      </c>
      <c r="O105" s="2468">
        <f>$D105-SUM($I105:N105)</f>
        <v>0</v>
      </c>
      <c r="P105" s="2468">
        <f>$D105-SUM($I105:O105)</f>
        <v>0</v>
      </c>
      <c r="Q105" s="2468">
        <f>$D105-SUM($I105:P105)</f>
        <v>0</v>
      </c>
      <c r="R105" s="2468">
        <f>$D105-SUM($I105:Q105)</f>
        <v>0</v>
      </c>
      <c r="S105" s="2468">
        <f>$D105-SUM($I105:R105)</f>
        <v>0</v>
      </c>
      <c r="T105" s="2468">
        <f>$D105-SUM($I105:S105)</f>
        <v>0</v>
      </c>
    </row>
    <row r="106" spans="2:20">
      <c r="B106" s="216">
        <v>4806900100</v>
      </c>
      <c r="C106" s="216" t="s">
        <v>176</v>
      </c>
      <c r="D106" s="1942">
        <f>IFERROR(VLOOKUP(B106,Balance!E:M,7,0),0)</f>
        <v>0</v>
      </c>
      <c r="E106" s="1942">
        <f ca="1">+IFERROR(VLOOKUP(B106,'Ingreso-Gasto Mes'!A:Q,17,0),0)</f>
        <v>-34084127.903800003</v>
      </c>
      <c r="F106" s="1942">
        <f t="shared" ref="F106" ca="1" si="31">+D106-E106</f>
        <v>34084127.903800003</v>
      </c>
      <c r="I106" s="1942">
        <v>0</v>
      </c>
      <c r="J106" s="1785">
        <v>0</v>
      </c>
      <c r="K106" s="1785">
        <v>0</v>
      </c>
      <c r="L106" s="1785">
        <f>$D106-SUM($I106:K106)</f>
        <v>0</v>
      </c>
      <c r="M106" s="1785">
        <f>$D106-SUM($I106:L106)</f>
        <v>0</v>
      </c>
      <c r="N106" s="1785">
        <f>$D106-SUM($I106:M106)</f>
        <v>0</v>
      </c>
      <c r="O106" s="1785">
        <f>$D106-SUM($I106:N106)</f>
        <v>0</v>
      </c>
      <c r="P106" s="1785">
        <f>$D106-SUM($I106:O106)</f>
        <v>0</v>
      </c>
      <c r="Q106" s="1785">
        <f>$D106-SUM($I106:P106)</f>
        <v>0</v>
      </c>
      <c r="R106" s="1785">
        <f>$D106-SUM($I106:Q106)</f>
        <v>0</v>
      </c>
      <c r="S106" s="1785">
        <f>$D106-SUM($I106:R106)</f>
        <v>0</v>
      </c>
      <c r="T106" s="1785">
        <f>$D106-SUM($I106:S106)</f>
        <v>0</v>
      </c>
    </row>
    <row r="107" spans="2:20">
      <c r="B107" s="216">
        <v>5803120000</v>
      </c>
      <c r="C107" s="216" t="s">
        <v>39</v>
      </c>
      <c r="D107" s="1942">
        <f>IFERROR(VLOOKUP(B107,Balance!E:M,7,0),0)</f>
        <v>17710294</v>
      </c>
      <c r="E107" s="1942">
        <f ca="1">+IFERROR(VLOOKUP(B107,'Ingreso-Gasto Mes'!A:Q,17,0),0)</f>
        <v>106248078.38714699</v>
      </c>
      <c r="F107" s="1942">
        <f t="shared" ref="F107:F126" ca="1" si="32">+D107-E107</f>
        <v>-88537784.387146994</v>
      </c>
      <c r="I107" s="1942">
        <v>4438675</v>
      </c>
      <c r="J107" s="1785">
        <v>6751373</v>
      </c>
      <c r="K107" s="1785">
        <v>3833159</v>
      </c>
      <c r="L107" s="1785">
        <f>$D107-SUM($I107:K107)</f>
        <v>2687087</v>
      </c>
      <c r="M107" s="1785">
        <f>$D107-SUM($I107:L107)</f>
        <v>0</v>
      </c>
      <c r="N107" s="1785">
        <f>$D107-SUM($I107:M107)</f>
        <v>0</v>
      </c>
      <c r="O107" s="1785">
        <f>$D107-SUM($I107:N107)</f>
        <v>0</v>
      </c>
      <c r="P107" s="1785">
        <f>$D107-SUM($I107:O107)</f>
        <v>0</v>
      </c>
      <c r="Q107" s="1785">
        <f>$D107-SUM($I107:P107)</f>
        <v>0</v>
      </c>
      <c r="R107" s="1785">
        <f>$D107-SUM($I107:Q107)</f>
        <v>0</v>
      </c>
      <c r="S107" s="1785">
        <f>$D107-SUM($I107:R107)</f>
        <v>0</v>
      </c>
      <c r="T107" s="1785">
        <f>$D107-SUM($I107:S107)</f>
        <v>0</v>
      </c>
    </row>
    <row r="108" spans="2:20">
      <c r="B108" s="216">
        <v>5803120200</v>
      </c>
      <c r="C108" s="216" t="s">
        <v>2522</v>
      </c>
      <c r="D108" s="1942">
        <f>IFERROR(VLOOKUP(B108,Balance!E:M,7,0),0)</f>
        <v>40732564</v>
      </c>
      <c r="E108" s="1942">
        <f>+IFERROR(VLOOKUP(B108,'Ingreso-Gasto Mes'!A:Q,17,0),0)</f>
        <v>0</v>
      </c>
      <c r="F108" s="1942">
        <f t="shared" si="32"/>
        <v>40732564</v>
      </c>
      <c r="I108" s="2467">
        <v>-905495</v>
      </c>
      <c r="J108" s="2468">
        <v>11687849</v>
      </c>
      <c r="K108" s="2468">
        <v>-12346327</v>
      </c>
      <c r="L108" s="2468">
        <f>$D108-SUM($I108:K108)</f>
        <v>42296537</v>
      </c>
      <c r="M108" s="2468">
        <f>$D108-SUM($I108:L108)</f>
        <v>0</v>
      </c>
      <c r="N108" s="2468">
        <f>$D108-SUM($I108:M108)</f>
        <v>0</v>
      </c>
      <c r="O108" s="2468">
        <f>$D108-SUM($I108:N108)</f>
        <v>0</v>
      </c>
      <c r="P108" s="2468">
        <f>$D108-SUM($I108:O108)</f>
        <v>0</v>
      </c>
      <c r="Q108" s="2468">
        <f>$D108-SUM($I108:P108)</f>
        <v>0</v>
      </c>
      <c r="R108" s="2468">
        <f>$D108-SUM($I108:Q108)</f>
        <v>0</v>
      </c>
      <c r="S108" s="2468">
        <f>$D108-SUM($I108:R108)</f>
        <v>0</v>
      </c>
      <c r="T108" s="2468">
        <f>$D108-SUM($I108:S108)</f>
        <v>0</v>
      </c>
    </row>
    <row r="109" spans="2:20">
      <c r="B109" s="2304">
        <v>5803130000</v>
      </c>
      <c r="C109" s="216" t="s">
        <v>41</v>
      </c>
      <c r="D109" s="1942">
        <f>IFERROR(VLOOKUP(B109,Balance!E:M,7,0),0)</f>
        <v>3451705130</v>
      </c>
      <c r="E109" s="1942">
        <f ca="1">+IFERROR(VLOOKUP(B109,'Ingreso-Gasto Mes'!A:Q,17,0),0)</f>
        <v>361372795.0027976</v>
      </c>
      <c r="F109" s="1942">
        <f t="shared" ca="1" si="32"/>
        <v>3090332334.9972024</v>
      </c>
      <c r="I109" s="1942">
        <v>2933719960</v>
      </c>
      <c r="J109" s="1785">
        <v>76376966</v>
      </c>
      <c r="K109" s="1785">
        <v>424010768</v>
      </c>
      <c r="L109" s="1785">
        <f>$D109-SUM($I109:K109)</f>
        <v>17597436</v>
      </c>
      <c r="M109" s="1785">
        <f>$D109-SUM($I109:L109)</f>
        <v>0</v>
      </c>
      <c r="N109" s="1785">
        <f>$D109-SUM($I109:M109)</f>
        <v>0</v>
      </c>
      <c r="O109" s="1785">
        <f>$D109-SUM($I109:N109)</f>
        <v>0</v>
      </c>
      <c r="P109" s="1785">
        <f>$D109-SUM($I109:O109)</f>
        <v>0</v>
      </c>
      <c r="Q109" s="1785">
        <f>$D109-SUM($I109:P109)</f>
        <v>0</v>
      </c>
      <c r="R109" s="1785">
        <f>$D109-SUM($I109:Q109)</f>
        <v>0</v>
      </c>
      <c r="S109" s="1785">
        <f>$D109-SUM($I109:R109)</f>
        <v>0</v>
      </c>
      <c r="T109" s="1785">
        <f>$D109-SUM($I109:S109)</f>
        <v>0</v>
      </c>
    </row>
    <row r="110" spans="2:20">
      <c r="B110" s="216">
        <v>5803130200</v>
      </c>
      <c r="C110" s="216" t="s">
        <v>2523</v>
      </c>
      <c r="D110" s="1942">
        <f>IFERROR(VLOOKUP(B110,Balance!E:M,7,0),0)</f>
        <v>-2776196643</v>
      </c>
      <c r="E110" s="1942">
        <f>+IFERROR(VLOOKUP(B110,'Ingreso-Gasto Mes'!A:Q,17,0),0)</f>
        <v>0</v>
      </c>
      <c r="F110" s="1942">
        <f t="shared" si="32"/>
        <v>-2776196643</v>
      </c>
      <c r="I110" s="2467">
        <v>-2830849539</v>
      </c>
      <c r="J110" s="2468">
        <v>-1226047</v>
      </c>
      <c r="K110" s="2468">
        <v>19057</v>
      </c>
      <c r="L110" s="2468">
        <f>$D110-SUM($I110:K110)</f>
        <v>55859886</v>
      </c>
      <c r="M110" s="2468">
        <f>$D110-SUM($I110:L110)</f>
        <v>0</v>
      </c>
      <c r="N110" s="2468">
        <f>$D110-SUM($I110:M110)</f>
        <v>0</v>
      </c>
      <c r="O110" s="2468">
        <f>$D110-SUM($I110:N110)</f>
        <v>0</v>
      </c>
      <c r="P110" s="2468">
        <f>$D110-SUM($I110:O110)</f>
        <v>0</v>
      </c>
      <c r="Q110" s="2468">
        <f>$D110-SUM($I110:P110)</f>
        <v>0</v>
      </c>
      <c r="R110" s="2468">
        <f>$D110-SUM($I110:Q110)</f>
        <v>0</v>
      </c>
      <c r="S110" s="2468">
        <f>$D110-SUM($I110:R110)</f>
        <v>0</v>
      </c>
      <c r="T110" s="2468">
        <f>$D110-SUM($I110:S110)</f>
        <v>0</v>
      </c>
    </row>
    <row r="111" spans="2:20">
      <c r="B111" s="2229">
        <v>5803453000</v>
      </c>
      <c r="C111" s="2480" t="s">
        <v>2524</v>
      </c>
      <c r="D111" s="1945">
        <f>IFERROR(VLOOKUP(B111,Balance!E:M,7,0),0)</f>
        <v>-58944289</v>
      </c>
      <c r="E111" s="1945">
        <f>+IFERROR(VLOOKUP(B111,'Ingreso-Gasto Mes'!A:Q,17,0),0)</f>
        <v>0</v>
      </c>
      <c r="F111" s="1945">
        <f>+D111-E111</f>
        <v>-58944289</v>
      </c>
      <c r="I111" s="2467">
        <v>-21295989</v>
      </c>
      <c r="J111" s="2468">
        <v>22605175</v>
      </c>
      <c r="K111" s="2468">
        <v>-14462695</v>
      </c>
      <c r="L111" s="2468">
        <f>$D111-SUM($I111:K111)</f>
        <v>-45790780</v>
      </c>
      <c r="M111" s="2468">
        <f>$D111-SUM($I111:L111)</f>
        <v>0</v>
      </c>
      <c r="N111" s="2468">
        <f>$D111-SUM($I111:M111)</f>
        <v>0</v>
      </c>
      <c r="O111" s="2468">
        <f>$D111-SUM($I111:N111)</f>
        <v>0</v>
      </c>
      <c r="P111" s="2468">
        <f>$D111-SUM($I111:O111)</f>
        <v>0</v>
      </c>
      <c r="Q111" s="2468">
        <f>$D111-SUM($I111:P111)</f>
        <v>0</v>
      </c>
      <c r="R111" s="2468">
        <f>$D111-SUM($I111:Q111)</f>
        <v>0</v>
      </c>
      <c r="S111" s="2468">
        <f>$D111-SUM($I111:R111)</f>
        <v>0</v>
      </c>
      <c r="T111" s="2468">
        <f>$D111-SUM($I111:S111)</f>
        <v>0</v>
      </c>
    </row>
    <row r="112" spans="2:20">
      <c r="B112" s="216">
        <v>5803900300</v>
      </c>
      <c r="C112" s="216" t="s">
        <v>1113</v>
      </c>
      <c r="D112" s="1942">
        <f>IFERROR(VLOOKUP(B112,Balance!E:M,7,0),0)</f>
        <v>29155</v>
      </c>
      <c r="E112" s="1942">
        <f ca="1">+IFERROR(VLOOKUP(B112,'Ingreso-Gasto Mes'!A:Q,17,0),0)</f>
        <v>58945234.91999995</v>
      </c>
      <c r="F112" s="1942">
        <f ca="1">+D112-E112</f>
        <v>-58916079.91999995</v>
      </c>
      <c r="I112" s="1942">
        <v>0</v>
      </c>
      <c r="J112" s="1785">
        <v>0</v>
      </c>
      <c r="K112" s="1785">
        <v>0</v>
      </c>
      <c r="L112" s="1785">
        <f>$D112-SUM($I112:K112)</f>
        <v>29155</v>
      </c>
      <c r="M112" s="1785">
        <f>$D112-SUM($I112:L112)</f>
        <v>0</v>
      </c>
      <c r="N112" s="1785">
        <f>$D112-SUM($I112:M112)</f>
        <v>0</v>
      </c>
      <c r="O112" s="1785">
        <f>$D112-SUM($I112:N112)</f>
        <v>0</v>
      </c>
      <c r="P112" s="1785">
        <f>$D112-SUM($I112:O112)</f>
        <v>0</v>
      </c>
      <c r="Q112" s="1785">
        <f>$D112-SUM($I112:P112)</f>
        <v>0</v>
      </c>
      <c r="R112" s="1785">
        <f>$D112-SUM($I112:Q112)</f>
        <v>0</v>
      </c>
      <c r="S112" s="1785">
        <f>$D112-SUM($I112:R112)</f>
        <v>0</v>
      </c>
      <c r="T112" s="1785">
        <f>$D112-SUM($I112:S112)</f>
        <v>0</v>
      </c>
    </row>
    <row r="113" spans="2:20">
      <c r="B113" s="216">
        <v>5803900310</v>
      </c>
      <c r="C113" s="216" t="s">
        <v>1114</v>
      </c>
      <c r="D113" s="1942">
        <f>IFERROR(VLOOKUP(B113,Balance!E:M,7,0),0)</f>
        <v>0</v>
      </c>
      <c r="E113" s="1942">
        <f>+IFERROR(VLOOKUP(B113,'Ingreso-Gasto Mes'!A:Q,17,0),0)</f>
        <v>0</v>
      </c>
      <c r="F113" s="1942">
        <f>+D113-E113</f>
        <v>0</v>
      </c>
      <c r="I113" s="1942">
        <v>0</v>
      </c>
      <c r="J113" s="1785">
        <v>0</v>
      </c>
      <c r="K113" s="1785">
        <v>0</v>
      </c>
      <c r="L113" s="1785">
        <f>$D113-SUM($I113:K113)</f>
        <v>0</v>
      </c>
      <c r="M113" s="1785">
        <f>$D113-SUM($I113:L113)</f>
        <v>0</v>
      </c>
      <c r="N113" s="1785">
        <f>$D113-SUM($I113:M113)</f>
        <v>0</v>
      </c>
      <c r="O113" s="1785">
        <f>$D113-SUM($I113:N113)</f>
        <v>0</v>
      </c>
      <c r="P113" s="1785">
        <f>$D113-SUM($I113:O113)</f>
        <v>0</v>
      </c>
      <c r="Q113" s="1785">
        <f>$D113-SUM($I113:P113)</f>
        <v>0</v>
      </c>
      <c r="R113" s="1785">
        <f>$D113-SUM($I113:Q113)</f>
        <v>0</v>
      </c>
      <c r="S113" s="1785">
        <f>$D113-SUM($I113:R113)</f>
        <v>0</v>
      </c>
      <c r="T113" s="1785">
        <f>$D113-SUM($I113:S113)</f>
        <v>0</v>
      </c>
    </row>
    <row r="114" spans="2:20">
      <c r="B114" s="216">
        <v>5803901300</v>
      </c>
      <c r="C114" s="216" t="s">
        <v>2525</v>
      </c>
      <c r="D114" s="1942">
        <f>IFERROR(VLOOKUP(B114,Balance!E:M,7,0),0)</f>
        <v>-15130</v>
      </c>
      <c r="E114" s="1942">
        <f>+IFERROR(VLOOKUP(B114,'Ingreso-Gasto Mes'!A:Q,17,0),0)</f>
        <v>0</v>
      </c>
      <c r="F114" s="1942">
        <f>+D114-E114</f>
        <v>-15130</v>
      </c>
      <c r="I114" s="2467">
        <v>-19073</v>
      </c>
      <c r="J114" s="2468">
        <v>18852</v>
      </c>
      <c r="K114" s="2468">
        <v>-19380</v>
      </c>
      <c r="L114" s="2468">
        <f>$D114-SUM($I114:K114)</f>
        <v>4471</v>
      </c>
      <c r="M114" s="2468">
        <f>$D114-SUM($I114:L114)</f>
        <v>0</v>
      </c>
      <c r="N114" s="2468">
        <f>$D114-SUM($I114:M114)</f>
        <v>0</v>
      </c>
      <c r="O114" s="2468">
        <f>$D114-SUM($I114:N114)</f>
        <v>0</v>
      </c>
      <c r="P114" s="2468">
        <f>$D114-SUM($I114:O114)</f>
        <v>0</v>
      </c>
      <c r="Q114" s="2468">
        <f>$D114-SUM($I114:P114)</f>
        <v>0</v>
      </c>
      <c r="R114" s="2468">
        <f>$D114-SUM($I114:Q114)</f>
        <v>0</v>
      </c>
      <c r="S114" s="2468">
        <f>$D114-SUM($I114:R114)</f>
        <v>0</v>
      </c>
      <c r="T114" s="2468">
        <f>$D114-SUM($I114:S114)</f>
        <v>0</v>
      </c>
    </row>
    <row r="115" spans="2:20">
      <c r="B115" s="1947">
        <v>5803901310</v>
      </c>
      <c r="C115" s="1947" t="s">
        <v>2526</v>
      </c>
      <c r="D115" s="1948">
        <f>IFERROR(VLOOKUP(B115,Balance!E:M,7,0),0)</f>
        <v>0</v>
      </c>
      <c r="E115" s="1948">
        <f>+IFERROR(VLOOKUP(B115,'Ingreso-Gasto Mes'!A:Q,17,0),0)</f>
        <v>0</v>
      </c>
      <c r="F115" s="1948">
        <f>+D115-E115</f>
        <v>0</v>
      </c>
      <c r="G115" s="2076" t="s">
        <v>1396</v>
      </c>
      <c r="H115" s="2076"/>
      <c r="I115" s="2476">
        <v>0</v>
      </c>
      <c r="J115" s="2477">
        <v>0</v>
      </c>
      <c r="K115" s="2477">
        <v>0</v>
      </c>
      <c r="L115" s="2477">
        <f>$D115-SUM($I115:K115)</f>
        <v>0</v>
      </c>
      <c r="M115" s="2477">
        <f>$D115-SUM($I115:L115)</f>
        <v>0</v>
      </c>
      <c r="N115" s="2477">
        <f>$D115-SUM($I115:M115)</f>
        <v>0</v>
      </c>
      <c r="O115" s="2477">
        <f>$D115-SUM($I115:N115)</f>
        <v>0</v>
      </c>
      <c r="P115" s="2477">
        <f>$D115-SUM($I115:O115)</f>
        <v>0</v>
      </c>
      <c r="Q115" s="2477">
        <f>$D115-SUM($I115:P115)</f>
        <v>0</v>
      </c>
      <c r="R115" s="2477">
        <f>$D115-SUM($I115:Q115)</f>
        <v>0</v>
      </c>
      <c r="S115" s="2477">
        <f>$D115-SUM($I115:R115)</f>
        <v>0</v>
      </c>
      <c r="T115" s="2477">
        <f>$D115-SUM($I115:S115)</f>
        <v>0</v>
      </c>
    </row>
    <row r="116" spans="2:20">
      <c r="D116" s="2226">
        <f t="shared" ref="D116:E116" si="33">SUBTOTAL(9,D101:D115)</f>
        <v>113284348</v>
      </c>
      <c r="E116" s="2226">
        <f t="shared" ca="1" si="33"/>
        <v>89797866.156091869</v>
      </c>
      <c r="F116" s="2226">
        <f ca="1">SUBTOTAL(9,F101:F115)</f>
        <v>23486481.84390796</v>
      </c>
      <c r="G116" s="2230">
        <f ca="1">+M60-F116</f>
        <v>-155098145.97970831</v>
      </c>
      <c r="I116" s="2077"/>
      <c r="J116" s="1785"/>
      <c r="K116" s="1785"/>
      <c r="L116" s="1785"/>
      <c r="M116" s="1785"/>
      <c r="N116" s="1785"/>
      <c r="O116" s="1785"/>
      <c r="P116" s="1785"/>
      <c r="Q116" s="1785"/>
      <c r="R116" s="1785"/>
      <c r="S116" s="1785"/>
      <c r="T116" s="1785"/>
    </row>
    <row r="117" spans="2:20">
      <c r="B117" s="2222" t="s">
        <v>1391</v>
      </c>
      <c r="C117" s="2223"/>
      <c r="D117" s="2224"/>
      <c r="E117" s="2224"/>
      <c r="F117" s="2224"/>
      <c r="G117" s="2224"/>
      <c r="I117" s="2224"/>
      <c r="J117" s="2224"/>
      <c r="K117" s="2224"/>
      <c r="L117" s="2224"/>
      <c r="M117" s="2224"/>
      <c r="N117" s="2224"/>
      <c r="O117" s="2224"/>
      <c r="P117" s="2224"/>
      <c r="Q117" s="2224"/>
      <c r="R117" s="2224"/>
      <c r="S117" s="2224"/>
      <c r="T117" s="2224"/>
    </row>
    <row r="118" spans="2:20">
      <c r="B118" s="2062">
        <v>4806360100</v>
      </c>
      <c r="C118" s="2062" t="s">
        <v>1314</v>
      </c>
      <c r="D118" s="2063">
        <f>IFERROR(VLOOKUP(B118,Balance!E:M,7,0),0)</f>
        <v>-417394800</v>
      </c>
      <c r="E118" s="1942">
        <f ca="1">+IFERROR(VLOOKUP(B118,'Ingreso-Gasto Mes'!A:Q,17,0),0)</f>
        <v>-417394799.99999809</v>
      </c>
      <c r="F118" s="1942">
        <f ca="1">+D118-E118</f>
        <v>-1.9073486328125E-6</v>
      </c>
      <c r="I118" s="1942">
        <v>0</v>
      </c>
      <c r="J118" s="1785">
        <v>-417394800</v>
      </c>
      <c r="K118" s="1785">
        <v>0</v>
      </c>
      <c r="L118" s="1785">
        <f>$D118-SUM($I118:K118)</f>
        <v>0</v>
      </c>
      <c r="M118" s="1785">
        <f>$D118-SUM($I118:L118)</f>
        <v>0</v>
      </c>
      <c r="N118" s="1785">
        <f>$D118-SUM($I118:M118)</f>
        <v>0</v>
      </c>
      <c r="O118" s="1785">
        <f>$D118-SUM($I118:N118)</f>
        <v>0</v>
      </c>
      <c r="P118" s="1785">
        <f>$D118-SUM($I118:O118)</f>
        <v>0</v>
      </c>
      <c r="Q118" s="1785">
        <f>$D118-SUM($I118:P118)</f>
        <v>0</v>
      </c>
      <c r="R118" s="1785">
        <f>$D118-SUM($I118:Q118)</f>
        <v>0</v>
      </c>
      <c r="S118" s="1785">
        <f>$D118-SUM($I118:R118)</f>
        <v>0</v>
      </c>
      <c r="T118" s="1785">
        <f>$D118-SUM($I118:S118)</f>
        <v>0</v>
      </c>
    </row>
    <row r="119" spans="2:20">
      <c r="B119" s="2062">
        <v>4806360200</v>
      </c>
      <c r="C119" s="2062" t="s">
        <v>2527</v>
      </c>
      <c r="D119" s="2063">
        <f>IFERROR(VLOOKUP(B119,Balance!E:M,7,0),0)</f>
        <v>0</v>
      </c>
      <c r="E119" s="1942">
        <f>+IFERROR(VLOOKUP(B119,'Ingreso-Gasto Mes'!A:Q,17,0),0)</f>
        <v>0</v>
      </c>
      <c r="F119" s="1942">
        <f t="shared" ref="F119" si="34">+D119-E119</f>
        <v>0</v>
      </c>
      <c r="I119" s="2467">
        <v>0</v>
      </c>
      <c r="J119" s="2467">
        <v>-270003200</v>
      </c>
      <c r="K119" s="2467">
        <v>270003200</v>
      </c>
      <c r="L119" s="2467">
        <f>$D119-SUM($I119:K119)</f>
        <v>0</v>
      </c>
      <c r="M119" s="2467">
        <f>$D119-SUM($I119:L119)</f>
        <v>0</v>
      </c>
      <c r="N119" s="2467">
        <f>$D119-SUM($I119:M119)</f>
        <v>0</v>
      </c>
      <c r="O119" s="2467">
        <f>$D119-SUM($I119:N119)</f>
        <v>0</v>
      </c>
      <c r="P119" s="2467">
        <f>$D119-SUM($I119:O119)</f>
        <v>0</v>
      </c>
      <c r="Q119" s="2467">
        <f>$D119-SUM($I119:P119)</f>
        <v>0</v>
      </c>
      <c r="R119" s="2467">
        <f>$D119-SUM($I119:Q119)</f>
        <v>0</v>
      </c>
      <c r="S119" s="2467">
        <f>$D119-SUM($I119:R119)</f>
        <v>0</v>
      </c>
      <c r="T119" s="2467">
        <f>$D119-SUM($I119:S119)</f>
        <v>0</v>
      </c>
    </row>
    <row r="120" spans="2:20">
      <c r="B120" s="2062">
        <v>5803360100</v>
      </c>
      <c r="C120" s="2062" t="s">
        <v>1314</v>
      </c>
      <c r="D120" s="2063">
        <f>IFERROR(VLOOKUP(B120,Balance!E:M,7,0),0)</f>
        <v>5685956769</v>
      </c>
      <c r="E120" s="1942">
        <f ca="1">+IFERROR(VLOOKUP(B120,'Ingreso-Gasto Mes'!A:Q,17,0),0)</f>
        <v>5685956768.4399986</v>
      </c>
      <c r="F120" s="1942">
        <f t="shared" ca="1" si="32"/>
        <v>0.56000137329101563</v>
      </c>
      <c r="I120" s="1942">
        <v>4488120000</v>
      </c>
      <c r="J120" s="1942">
        <v>0</v>
      </c>
      <c r="K120" s="1785">
        <v>112332800</v>
      </c>
      <c r="L120" s="1785">
        <f>$D120-SUM($I120:K120)</f>
        <v>1085503969</v>
      </c>
      <c r="M120" s="1785">
        <f>$D120-SUM($I120:L120)</f>
        <v>0</v>
      </c>
      <c r="N120" s="1785">
        <f>$D120-SUM($I120:M120)</f>
        <v>0</v>
      </c>
      <c r="O120" s="1785">
        <f>$D120-SUM($I120:N120)</f>
        <v>0</v>
      </c>
      <c r="P120" s="1785">
        <f>$D120-SUM($I120:O120)</f>
        <v>0</v>
      </c>
      <c r="Q120" s="1785">
        <f>$D120-SUM($I120:P120)</f>
        <v>0</v>
      </c>
      <c r="R120" s="1785">
        <f>$D120-SUM($I120:Q120)</f>
        <v>0</v>
      </c>
      <c r="S120" s="1785">
        <f>$D120-SUM($I120:R120)</f>
        <v>0</v>
      </c>
      <c r="T120" s="1785">
        <f>$D120-SUM($I120:S120)</f>
        <v>0</v>
      </c>
    </row>
    <row r="121" spans="2:20">
      <c r="B121" s="2214">
        <v>5803360200</v>
      </c>
      <c r="C121" s="2214" t="s">
        <v>2528</v>
      </c>
      <c r="D121" s="2215">
        <f>IFERROR(VLOOKUP(B121,Balance!E:M,7,0),0)</f>
        <v>0</v>
      </c>
      <c r="E121" s="1948">
        <f>+IFERROR(VLOOKUP(B121,'Ingreso-Gasto Mes'!A:Q,17,0),0)</f>
        <v>0</v>
      </c>
      <c r="F121" s="1948">
        <f t="shared" ref="F121" si="35">+D121-E121</f>
        <v>0</v>
      </c>
      <c r="G121" s="2076" t="s">
        <v>1396</v>
      </c>
      <c r="I121" s="2476">
        <v>4863020400</v>
      </c>
      <c r="J121" s="2476">
        <v>-4863020400</v>
      </c>
      <c r="K121" s="2477">
        <v>487064389</v>
      </c>
      <c r="L121" s="2477">
        <f>$D121-SUM($I121:K121)</f>
        <v>-487064389</v>
      </c>
      <c r="M121" s="2477">
        <f>$D121-SUM($I121:L121)</f>
        <v>0</v>
      </c>
      <c r="N121" s="2477">
        <f>$D121-SUM($I121:M121)</f>
        <v>0</v>
      </c>
      <c r="O121" s="2477">
        <f>$D121-SUM($I121:N121)</f>
        <v>0</v>
      </c>
      <c r="P121" s="2477">
        <f>$D121-SUM($I121:O121)</f>
        <v>0</v>
      </c>
      <c r="Q121" s="2477">
        <f>$D121-SUM($I121:P121)</f>
        <v>0</v>
      </c>
      <c r="R121" s="2477">
        <f>$D121-SUM($I121:Q121)</f>
        <v>0</v>
      </c>
      <c r="S121" s="2477">
        <f>$D121-SUM($I121:R121)</f>
        <v>0</v>
      </c>
      <c r="T121" s="2477">
        <f>$D121-SUM($I121:S121)</f>
        <v>0</v>
      </c>
    </row>
    <row r="122" spans="2:20">
      <c r="D122" s="2226">
        <f t="shared" ref="D122:E122" si="36">SUBTOTAL(9,D118:D121)</f>
        <v>5268561969</v>
      </c>
      <c r="E122" s="2226">
        <f t="shared" ca="1" si="36"/>
        <v>5268561968.4400005</v>
      </c>
      <c r="F122" s="2226">
        <f ca="1">SUBTOTAL(9,F118:F121)</f>
        <v>0.55999946594238281</v>
      </c>
      <c r="G122" s="2230">
        <f ca="1">+M33-F122</f>
        <v>-0.55999946594238281</v>
      </c>
      <c r="I122" s="2077"/>
      <c r="J122" s="1785"/>
      <c r="K122" s="1785"/>
      <c r="L122" s="1785"/>
      <c r="M122" s="1785"/>
      <c r="N122" s="1785"/>
      <c r="O122" s="1785"/>
      <c r="P122" s="1785"/>
      <c r="Q122" s="1785"/>
      <c r="R122" s="1785"/>
      <c r="S122" s="1785"/>
      <c r="T122" s="1785"/>
    </row>
    <row r="123" spans="2:20">
      <c r="B123" s="2222" t="s">
        <v>1390</v>
      </c>
      <c r="C123" s="2223"/>
      <c r="D123" s="2224"/>
      <c r="E123" s="2224"/>
      <c r="F123" s="2224"/>
      <c r="G123" s="2224"/>
      <c r="I123" s="2224"/>
      <c r="J123" s="2224"/>
      <c r="K123" s="2224"/>
      <c r="L123" s="2224"/>
      <c r="M123" s="2224"/>
      <c r="N123" s="2224"/>
      <c r="O123" s="2224"/>
      <c r="P123" s="2224"/>
      <c r="Q123" s="2224"/>
      <c r="R123" s="2224"/>
      <c r="S123" s="2224"/>
      <c r="T123" s="2224"/>
    </row>
    <row r="124" spans="2:20">
      <c r="B124" s="2149">
        <v>4806452102</v>
      </c>
      <c r="C124" s="2149" t="s">
        <v>1362</v>
      </c>
      <c r="D124" s="2150">
        <f>IFERROR(VLOOKUP(B124,Balance!E:M,7,0),0)</f>
        <v>-319643025</v>
      </c>
      <c r="E124" s="2150">
        <f>+IFERROR(VLOOKUP(B124,'Ingreso-Gasto Mes'!A:Q,17,0),0)</f>
        <v>0</v>
      </c>
      <c r="F124" s="2150">
        <f t="shared" ref="F124" si="37">+D124-E124</f>
        <v>-319643025</v>
      </c>
      <c r="I124" s="1942">
        <v>-319643025</v>
      </c>
      <c r="J124" s="1785">
        <v>0</v>
      </c>
      <c r="K124" s="1785">
        <v>0</v>
      </c>
      <c r="L124" s="1785">
        <f>$D124-SUM($I124:K124)</f>
        <v>0</v>
      </c>
      <c r="M124" s="1785">
        <f>$D124-SUM($I124:L124)</f>
        <v>0</v>
      </c>
      <c r="N124" s="1785">
        <f>$D124-SUM($I124:M124)</f>
        <v>0</v>
      </c>
      <c r="O124" s="1785">
        <f>$D124-SUM($I124:N124)</f>
        <v>0</v>
      </c>
      <c r="P124" s="1785">
        <f>$D124-SUM($I124:O124)</f>
        <v>0</v>
      </c>
      <c r="Q124" s="1785">
        <f>$D124-SUM($I124:P124)</f>
        <v>0</v>
      </c>
      <c r="R124" s="1785">
        <f>$D124-SUM($I124:Q124)</f>
        <v>0</v>
      </c>
      <c r="S124" s="1785">
        <f>$D124-SUM($I124:R124)</f>
        <v>0</v>
      </c>
      <c r="T124" s="1785">
        <f>$D124-SUM($I124:S124)</f>
        <v>0</v>
      </c>
    </row>
    <row r="125" spans="2:20">
      <c r="B125" s="2149">
        <v>4806452105</v>
      </c>
      <c r="C125" s="2149" t="s">
        <v>1342</v>
      </c>
      <c r="D125" s="2150">
        <f>IFERROR(VLOOKUP(B125,Balance!E:M,7,0),0)</f>
        <v>23295532563</v>
      </c>
      <c r="E125" s="2150">
        <f>+IFERROR(VLOOKUP(B125,'Ingreso-Gasto Mes'!A:Q,17,0),0)</f>
        <v>0</v>
      </c>
      <c r="F125" s="2150">
        <f>+D125-E125</f>
        <v>23295532563</v>
      </c>
      <c r="I125" s="2467">
        <v>0</v>
      </c>
      <c r="J125" s="2468">
        <v>0</v>
      </c>
      <c r="K125" s="2468">
        <v>23295532563</v>
      </c>
      <c r="L125" s="2468">
        <f>$D125-SUM($I125:K125)</f>
        <v>0</v>
      </c>
      <c r="M125" s="2468">
        <f>$D125-SUM($I125:L125)</f>
        <v>0</v>
      </c>
      <c r="N125" s="2468">
        <f>$D125-SUM($I125:M125)</f>
        <v>0</v>
      </c>
      <c r="O125" s="2468">
        <f>$D125-SUM($I125:N125)</f>
        <v>0</v>
      </c>
      <c r="P125" s="2468">
        <f>$D125-SUM($I125:O125)</f>
        <v>0</v>
      </c>
      <c r="Q125" s="2468">
        <f>$D125-SUM($I125:P125)</f>
        <v>0</v>
      </c>
      <c r="R125" s="2468">
        <f>$D125-SUM($I125:Q125)</f>
        <v>0</v>
      </c>
      <c r="S125" s="2468">
        <f>$D125-SUM($I125:R125)</f>
        <v>0</v>
      </c>
      <c r="T125" s="2468">
        <f>$D125-SUM($I125:S125)</f>
        <v>0</v>
      </c>
    </row>
    <row r="126" spans="2:20">
      <c r="B126" s="2227">
        <v>5803452102</v>
      </c>
      <c r="C126" s="2227" t="s">
        <v>1112</v>
      </c>
      <c r="D126" s="2228">
        <f>IFERROR(VLOOKUP(B126,Balance!E:M,7,0),0)*1</f>
        <v>502911554</v>
      </c>
      <c r="E126" s="2228">
        <f>+IFERROR(VLOOKUP(B126,'Ingreso-Gasto Mes'!A:Q,17,0),0)</f>
        <v>0</v>
      </c>
      <c r="F126" s="2228">
        <f t="shared" si="32"/>
        <v>502911554</v>
      </c>
      <c r="I126" s="1948">
        <v>502911554</v>
      </c>
      <c r="J126" s="2216">
        <v>0</v>
      </c>
      <c r="K126" s="2216">
        <v>0</v>
      </c>
      <c r="L126" s="2216">
        <f>$D126-SUM($I126:K126)</f>
        <v>0</v>
      </c>
      <c r="M126" s="2216">
        <f>$D126-SUM($I126:L126)</f>
        <v>0</v>
      </c>
      <c r="N126" s="2216">
        <f>$D126-SUM($I126:M126)</f>
        <v>0</v>
      </c>
      <c r="O126" s="2216">
        <f>$D126-SUM($I126:N126)</f>
        <v>0</v>
      </c>
      <c r="P126" s="2216">
        <f>$D126-SUM($I126:O126)</f>
        <v>0</v>
      </c>
      <c r="Q126" s="2216">
        <f>$D126-SUM($I126:P126)</f>
        <v>0</v>
      </c>
      <c r="R126" s="2216">
        <f>$D126-SUM($I126:Q126)</f>
        <v>0</v>
      </c>
      <c r="S126" s="2216">
        <f>$D126-SUM($I126:R126)</f>
        <v>0</v>
      </c>
      <c r="T126" s="2216">
        <f>$D126-SUM($I126:S126)</f>
        <v>0</v>
      </c>
    </row>
    <row r="127" spans="2:20">
      <c r="D127" s="2226">
        <f>SUBTOTAL(9,D124:D126)</f>
        <v>23478801092</v>
      </c>
      <c r="E127" s="2226">
        <f>SUBTOTAL(9,E124:E126)</f>
        <v>0</v>
      </c>
      <c r="F127" s="2226">
        <f>SUBTOTAL(9,F124:F126)</f>
        <v>23478801092</v>
      </c>
      <c r="I127" s="2077"/>
      <c r="J127" s="1785"/>
      <c r="K127" s="1785"/>
      <c r="L127" s="1785"/>
      <c r="M127" s="1785"/>
      <c r="N127" s="1785"/>
      <c r="O127" s="1785"/>
      <c r="P127" s="1785"/>
      <c r="Q127" s="1785"/>
      <c r="R127" s="1785"/>
      <c r="S127" s="1785"/>
      <c r="T127" s="1785"/>
    </row>
    <row r="128" spans="2:20">
      <c r="D128" s="2077"/>
      <c r="E128" s="2077"/>
      <c r="F128" s="2077"/>
      <c r="I128" s="2077"/>
      <c r="J128" s="1785"/>
      <c r="K128" s="1785"/>
      <c r="L128" s="1785"/>
      <c r="M128" s="1785"/>
      <c r="N128" s="1785"/>
      <c r="O128" s="1785"/>
      <c r="P128" s="1785"/>
      <c r="Q128" s="1785"/>
      <c r="R128" s="1785"/>
      <c r="S128" s="1785"/>
      <c r="T128" s="1785"/>
    </row>
    <row r="129" spans="2:21" ht="15.75" thickBot="1">
      <c r="B129" s="2064"/>
      <c r="C129" s="2064"/>
      <c r="D129" s="2065">
        <f>SUBTOTAL(9,D68:D127)</f>
        <v>-11550259989</v>
      </c>
      <c r="E129" s="2065">
        <f ca="1">SUBTOTAL(9,E68:E127)</f>
        <v>-3497555610.9930363</v>
      </c>
      <c r="F129" s="2065">
        <f ca="1">SUBTOTAL(9,F68:F128)</f>
        <v>-8052704378.0069542</v>
      </c>
      <c r="H129" s="2079"/>
      <c r="I129" s="2065">
        <f t="shared" ref="I129:T129" si="38">SUM(I71:I126)</f>
        <v>-19015455379</v>
      </c>
      <c r="J129" s="2065">
        <f t="shared" si="38"/>
        <v>17700965872</v>
      </c>
      <c r="K129" s="2065">
        <f t="shared" si="38"/>
        <v>-13762685037</v>
      </c>
      <c r="L129" s="2065">
        <f t="shared" si="38"/>
        <v>3526914555</v>
      </c>
      <c r="M129" s="2065">
        <f t="shared" si="38"/>
        <v>0</v>
      </c>
      <c r="N129" s="2065">
        <f t="shared" si="38"/>
        <v>0</v>
      </c>
      <c r="O129" s="2065">
        <f t="shared" si="38"/>
        <v>0</v>
      </c>
      <c r="P129" s="2065">
        <f t="shared" si="38"/>
        <v>0</v>
      </c>
      <c r="Q129" s="2065">
        <f t="shared" si="38"/>
        <v>0</v>
      </c>
      <c r="R129" s="2065">
        <f t="shared" si="38"/>
        <v>0</v>
      </c>
      <c r="S129" s="2065">
        <f t="shared" si="38"/>
        <v>0</v>
      </c>
      <c r="T129" s="2065">
        <f t="shared" si="38"/>
        <v>0</v>
      </c>
      <c r="U129" s="1785"/>
    </row>
    <row r="130" spans="2:21" ht="15.75" thickTop="1">
      <c r="D130" s="2144"/>
      <c r="E130" s="2144"/>
      <c r="F130" s="2144"/>
      <c r="H130" s="2079"/>
      <c r="I130" s="2144"/>
      <c r="J130" s="2144"/>
      <c r="K130" s="2144"/>
      <c r="L130" s="2144"/>
      <c r="M130" s="2144"/>
      <c r="N130" s="2144"/>
      <c r="O130" s="2144"/>
      <c r="P130" s="2144"/>
      <c r="Q130" s="2144"/>
      <c r="R130" s="2144"/>
      <c r="S130" s="2144"/>
      <c r="T130" s="2144"/>
      <c r="U130" s="1785"/>
    </row>
    <row r="131" spans="2:21">
      <c r="D131" s="2144"/>
      <c r="E131" s="2074" t="s">
        <v>1287</v>
      </c>
      <c r="F131" s="2075">
        <f ca="1">+L62-F129</f>
        <v>-22003979502.765961</v>
      </c>
      <c r="H131" s="2079"/>
      <c r="I131" s="2144"/>
      <c r="J131" s="2144"/>
      <c r="K131" s="2144"/>
      <c r="L131" s="2144"/>
      <c r="M131" s="2144"/>
      <c r="N131" s="2144"/>
      <c r="O131" s="2144"/>
      <c r="P131" s="2144"/>
      <c r="Q131" s="2144"/>
      <c r="R131" s="2144"/>
      <c r="S131" s="2144"/>
      <c r="T131" s="2144"/>
      <c r="U131" s="1785"/>
    </row>
    <row r="132" spans="2:21">
      <c r="B132" s="2106">
        <f>+B124</f>
        <v>4806452102</v>
      </c>
      <c r="C132" s="2106" t="str">
        <f>+C124</f>
        <v>Difcambio realizada derivados tesoreria</v>
      </c>
      <c r="D132" s="2145"/>
      <c r="E132" s="2145"/>
      <c r="F132" s="2146">
        <f>+F124</f>
        <v>-319643025</v>
      </c>
      <c r="H132" s="2079"/>
      <c r="I132" s="2144"/>
      <c r="J132" s="2144"/>
      <c r="K132" s="2144"/>
      <c r="L132" s="2144"/>
      <c r="M132" s="2144"/>
      <c r="N132" s="2144"/>
      <c r="O132" s="2144"/>
      <c r="P132" s="2144"/>
      <c r="Q132" s="2144"/>
      <c r="R132" s="2144"/>
      <c r="S132" s="2144"/>
      <c r="T132" s="2144"/>
      <c r="U132" s="1785"/>
    </row>
    <row r="133" spans="2:21">
      <c r="B133" s="2106">
        <f>+B125</f>
        <v>4806452105</v>
      </c>
      <c r="C133" s="2106" t="str">
        <f>+C125</f>
        <v>Difcambio no realizada coberturas Swap</v>
      </c>
      <c r="D133" s="2145"/>
      <c r="E133" s="2145"/>
      <c r="F133" s="2146">
        <f>+F125</f>
        <v>23295532563</v>
      </c>
      <c r="H133" s="2079"/>
      <c r="I133" s="2144"/>
      <c r="J133" s="2144"/>
      <c r="K133" s="2144"/>
      <c r="L133" s="2144"/>
      <c r="M133" s="2144"/>
      <c r="N133" s="2144"/>
      <c r="O133" s="2144"/>
      <c r="P133" s="2144"/>
      <c r="Q133" s="2144"/>
      <c r="R133" s="2144"/>
      <c r="S133" s="2144"/>
      <c r="T133" s="2144"/>
      <c r="U133" s="1785"/>
    </row>
    <row r="134" spans="2:21">
      <c r="B134" s="2106">
        <f t="shared" ref="B134:C134" si="39">+B126</f>
        <v>5803452102</v>
      </c>
      <c r="C134" s="2106" t="str">
        <f t="shared" si="39"/>
        <v>Difcambio realizada  Derivados tesoreri</v>
      </c>
      <c r="D134" s="2145"/>
      <c r="E134" s="2145"/>
      <c r="F134" s="2146">
        <f>+F126</f>
        <v>502911554</v>
      </c>
      <c r="H134" s="2079"/>
      <c r="I134" s="2144"/>
      <c r="J134" s="2144"/>
      <c r="K134" s="2144"/>
      <c r="L134" s="2144"/>
      <c r="M134" s="2144"/>
      <c r="N134" s="2144"/>
      <c r="O134" s="2144"/>
      <c r="P134" s="2144"/>
      <c r="Q134" s="2144"/>
      <c r="R134" s="2144"/>
      <c r="S134" s="2144"/>
      <c r="T134" s="2144"/>
      <c r="U134" s="1785"/>
    </row>
    <row r="135" spans="2:21">
      <c r="B135" s="1815">
        <f>B95</f>
        <v>4806020000</v>
      </c>
      <c r="C135" s="1815" t="str">
        <f>C95</f>
        <v>Diferencia en Cambio  Realizada Anticip</v>
      </c>
      <c r="D135" s="2145"/>
      <c r="E135" s="2145"/>
      <c r="F135" s="2146"/>
      <c r="H135" s="2079"/>
      <c r="I135" s="2144"/>
      <c r="J135" s="2144"/>
      <c r="K135" s="2144"/>
      <c r="L135" s="2144"/>
      <c r="M135" s="2144"/>
      <c r="N135" s="2144"/>
      <c r="O135" s="2144"/>
      <c r="P135" s="2144"/>
      <c r="Q135" s="2144"/>
      <c r="R135" s="2144"/>
      <c r="S135" s="2144"/>
      <c r="T135" s="2144"/>
      <c r="U135" s="1785"/>
    </row>
    <row r="136" spans="2:21">
      <c r="B136" s="1815">
        <f>B97</f>
        <v>5803020100</v>
      </c>
      <c r="C136" s="1815" t="str">
        <f>C97</f>
        <v>Difcambio realizada anticipos y CxC</v>
      </c>
      <c r="D136" s="2145"/>
      <c r="E136" s="2145"/>
      <c r="F136" s="2146"/>
      <c r="H136" s="2079"/>
      <c r="I136" s="2144"/>
      <c r="J136" s="2144"/>
      <c r="K136" s="2144"/>
      <c r="L136" s="2144"/>
      <c r="M136" s="2144"/>
      <c r="N136" s="2144"/>
      <c r="O136" s="2144"/>
      <c r="P136" s="2144"/>
      <c r="Q136" s="2144"/>
      <c r="R136" s="2144"/>
      <c r="S136" s="2144"/>
      <c r="T136" s="2144"/>
      <c r="U136" s="1785"/>
    </row>
    <row r="137" spans="2:21">
      <c r="B137" s="2302">
        <f>B111</f>
        <v>5803453000</v>
      </c>
      <c r="C137" s="2302" t="str">
        <f>C111</f>
        <v>Difcambio  no realizada Obligacion Arre</v>
      </c>
      <c r="D137" s="2303"/>
      <c r="E137" s="2145"/>
      <c r="F137" s="2146"/>
      <c r="H137" s="2079"/>
      <c r="I137" s="2144"/>
      <c r="J137" s="2144"/>
      <c r="K137" s="2144"/>
      <c r="L137" s="2144"/>
      <c r="M137" s="2144"/>
      <c r="N137" s="2144"/>
      <c r="O137" s="2144"/>
      <c r="P137" s="2144"/>
      <c r="Q137" s="2144"/>
      <c r="R137" s="2144"/>
      <c r="S137" s="2144"/>
      <c r="T137" s="2144"/>
      <c r="U137" s="1785"/>
    </row>
    <row r="138" spans="2:21">
      <c r="B138" s="2106"/>
      <c r="C138" s="2106"/>
      <c r="D138" s="2145"/>
      <c r="E138" s="2145"/>
      <c r="F138" s="2146"/>
      <c r="G138" s="2076" t="s">
        <v>1397</v>
      </c>
      <c r="H138" s="2079"/>
      <c r="I138" s="2144"/>
      <c r="J138" s="2144"/>
      <c r="K138" s="2144"/>
      <c r="L138" s="2144"/>
      <c r="M138" s="2144"/>
      <c r="N138" s="2144"/>
      <c r="O138" s="2144"/>
      <c r="P138" s="2144"/>
      <c r="Q138" s="2144"/>
      <c r="R138" s="2144"/>
      <c r="S138" s="2144"/>
      <c r="T138" s="2144"/>
      <c r="U138" s="1785"/>
    </row>
    <row r="139" spans="2:21" ht="15.75" thickBot="1">
      <c r="D139" s="2144"/>
      <c r="E139" s="2147" t="s">
        <v>1349</v>
      </c>
      <c r="F139" s="2148">
        <f ca="1">SUM(F131:F138)</f>
        <v>1474821589.2340393</v>
      </c>
      <c r="G139" s="2230">
        <f ca="1">+G87+G93+G99+G116+G122</f>
        <v>1474821589.2340446</v>
      </c>
      <c r="H139" s="2079"/>
      <c r="I139" s="2144"/>
      <c r="J139" s="2144"/>
      <c r="K139" s="2144"/>
      <c r="L139" s="2144"/>
      <c r="M139" s="2144"/>
      <c r="N139" s="2144"/>
      <c r="O139" s="2144"/>
      <c r="P139" s="2144"/>
      <c r="Q139" s="2144"/>
      <c r="R139" s="2144"/>
      <c r="S139" s="2144"/>
      <c r="T139" s="2144"/>
      <c r="U139" s="1785"/>
    </row>
    <row r="140" spans="2:21" ht="15.75" thickTop="1">
      <c r="D140" s="2144"/>
      <c r="E140" s="2144"/>
      <c r="F140" s="2144"/>
      <c r="G140" s="1785">
        <f ca="1">+F139-G139</f>
        <v>-5.245208740234375E-6</v>
      </c>
      <c r="H140" s="2079"/>
      <c r="I140" s="2144"/>
      <c r="J140" s="2144"/>
      <c r="K140" s="2144"/>
      <c r="L140" s="2144"/>
      <c r="M140" s="2144"/>
      <c r="N140" s="2144"/>
      <c r="O140" s="2144"/>
      <c r="P140" s="2144"/>
      <c r="Q140" s="2144"/>
      <c r="R140" s="2144"/>
      <c r="S140" s="2144"/>
      <c r="T140" s="2144"/>
      <c r="U140" s="1785"/>
    </row>
    <row r="141" spans="2:21">
      <c r="D141" s="1835">
        <f>D73+D74+D76+D96+D102+D105+D119+D89+D125+D80+D82+D84+D98+D108+D110+D121+D91+D111+D114+D115</f>
        <v>-9390686028</v>
      </c>
      <c r="E141" s="1835">
        <f>E73+E74+E76+E96+E102+E105+E119+E89+E125+E80+E82+E84+E98+E108+E110+E121+E91+E111+E114+E115</f>
        <v>0</v>
      </c>
      <c r="F141" s="1835">
        <f>F73+F74+F76+F96+F102+F105+F119+F89+F125+F80+F82+F84+F98+F108+F110+F121+F91+F111+F114+F115</f>
        <v>-9390686028</v>
      </c>
      <c r="G141" s="2066"/>
      <c r="H141" s="2066"/>
      <c r="I141" s="1835">
        <f t="shared" ref="I141:T141" si="40">I73+I74+I76+I96+I102+I105+I119+I89+I125+I80+I82+I84+I98+I108+I110+I121+I91+I111+I114+I115</f>
        <v>-23912619449</v>
      </c>
      <c r="J141" s="1835">
        <f t="shared" si="40"/>
        <v>18283475460</v>
      </c>
      <c r="K141" s="1835">
        <f t="shared" si="40"/>
        <v>-10092195235</v>
      </c>
      <c r="L141" s="1835">
        <f t="shared" si="40"/>
        <v>6330653196</v>
      </c>
      <c r="M141" s="1835">
        <f t="shared" si="40"/>
        <v>0</v>
      </c>
      <c r="N141" s="1835">
        <f t="shared" si="40"/>
        <v>0</v>
      </c>
      <c r="O141" s="1835">
        <f t="shared" si="40"/>
        <v>0</v>
      </c>
      <c r="P141" s="1835">
        <f t="shared" si="40"/>
        <v>0</v>
      </c>
      <c r="Q141" s="1835">
        <f t="shared" si="40"/>
        <v>0</v>
      </c>
      <c r="R141" s="1835">
        <f t="shared" si="40"/>
        <v>0</v>
      </c>
      <c r="S141" s="1835">
        <f t="shared" si="40"/>
        <v>0</v>
      </c>
      <c r="T141" s="1835">
        <f t="shared" si="40"/>
        <v>0</v>
      </c>
      <c r="U141" s="1836" t="s">
        <v>1202</v>
      </c>
    </row>
    <row r="142" spans="2:21">
      <c r="D142" s="2067">
        <f t="shared" ref="D142:F142" si="41">+D71+D72+D75+D95+D101+D103+D104+D118+D78+D77+D90+D124+D106+D79+D81+D83+D85+D107+D109+D120+D86+D97+D92+D126+D112+D113</f>
        <v>-2159573961</v>
      </c>
      <c r="E142" s="2067">
        <f t="shared" ca="1" si="41"/>
        <v>4728638611.0069599</v>
      </c>
      <c r="F142" s="2067">
        <f t="shared" ca="1" si="41"/>
        <v>-6888212572.006958</v>
      </c>
      <c r="G142" s="2066"/>
      <c r="H142" s="2066"/>
      <c r="I142" s="2067">
        <f>+I71+I72+I75+I95+I101+I103+I104+I118+I78+I77+I90+I124+I106+I79+I81+I83+I85+I107+I109+I120+I86+I97+I92+I126+I112+I113</f>
        <v>4897164070</v>
      </c>
      <c r="J142" s="2067">
        <f t="shared" ref="J142:T142" si="42">+J71+J72+J75+J95+J101+J103+J104+J118+J78+J77+J90+J124+J106+J79+J81+J83+J85+J107+J109+J120+J86+J97+J92+J126+J112+J113</f>
        <v>-582509588</v>
      </c>
      <c r="K142" s="2067">
        <f t="shared" si="42"/>
        <v>-3670489802</v>
      </c>
      <c r="L142" s="2067">
        <f t="shared" si="42"/>
        <v>-2803738641</v>
      </c>
      <c r="M142" s="2067">
        <f t="shared" si="42"/>
        <v>0</v>
      </c>
      <c r="N142" s="2067">
        <f t="shared" si="42"/>
        <v>0</v>
      </c>
      <c r="O142" s="2067">
        <f t="shared" si="42"/>
        <v>0</v>
      </c>
      <c r="P142" s="2067">
        <f t="shared" si="42"/>
        <v>0</v>
      </c>
      <c r="Q142" s="2067">
        <f t="shared" si="42"/>
        <v>0</v>
      </c>
      <c r="R142" s="2067">
        <f t="shared" si="42"/>
        <v>0</v>
      </c>
      <c r="S142" s="2067">
        <f t="shared" si="42"/>
        <v>0</v>
      </c>
      <c r="T142" s="2067">
        <f t="shared" si="42"/>
        <v>0</v>
      </c>
      <c r="U142" s="2068" t="s">
        <v>1201</v>
      </c>
    </row>
    <row r="143" spans="2:21">
      <c r="D143" s="2066">
        <f>+D141+D142</f>
        <v>-11550259989</v>
      </c>
      <c r="E143" s="2066">
        <f ca="1">+E141+E142</f>
        <v>4728638611.0069599</v>
      </c>
      <c r="F143" s="2066">
        <f ca="1">+F141+F142</f>
        <v>-16278898600.006958</v>
      </c>
      <c r="G143" s="2066"/>
      <c r="H143" s="2066"/>
      <c r="I143" s="2066">
        <f t="shared" ref="I143:O143" si="43">+I141+I142</f>
        <v>-19015455379</v>
      </c>
      <c r="J143" s="2066">
        <f t="shared" si="43"/>
        <v>17700965872</v>
      </c>
      <c r="K143" s="2066">
        <f t="shared" si="43"/>
        <v>-13762685037</v>
      </c>
      <c r="L143" s="2066">
        <f t="shared" si="43"/>
        <v>3526914555</v>
      </c>
      <c r="M143" s="2066">
        <f t="shared" si="43"/>
        <v>0</v>
      </c>
      <c r="N143" s="2066">
        <f t="shared" ref="N143" si="44">+N141+N142</f>
        <v>0</v>
      </c>
      <c r="O143" s="2066">
        <f t="shared" si="43"/>
        <v>0</v>
      </c>
      <c r="P143" s="2066">
        <f t="shared" ref="P143:Q143" si="45">+P141+P142</f>
        <v>0</v>
      </c>
      <c r="Q143" s="2066">
        <f t="shared" si="45"/>
        <v>0</v>
      </c>
      <c r="R143" s="2066">
        <f t="shared" ref="R143:S143" si="46">+R141+R142</f>
        <v>0</v>
      </c>
      <c r="S143" s="2066">
        <f t="shared" si="46"/>
        <v>0</v>
      </c>
      <c r="T143" s="2066">
        <f t="shared" ref="T143" si="47">+T141+T142</f>
        <v>0</v>
      </c>
    </row>
    <row r="144" spans="2:21" ht="45">
      <c r="D144" s="1816">
        <f>+D129-D143</f>
        <v>0</v>
      </c>
      <c r="E144" s="2069">
        <f ca="1">+E129-E143</f>
        <v>-8226194221.9999962</v>
      </c>
      <c r="F144" s="2069">
        <f ca="1">+F129-F143</f>
        <v>8226194222.0000038</v>
      </c>
      <c r="G144" s="2236" t="s">
        <v>1399</v>
      </c>
      <c r="H144" s="2080"/>
      <c r="I144" s="1785">
        <f t="shared" ref="I144:T144" si="48">+I129-I143</f>
        <v>0</v>
      </c>
      <c r="J144" s="1785">
        <f t="shared" si="48"/>
        <v>0</v>
      </c>
      <c r="K144" s="1785">
        <f t="shared" si="48"/>
        <v>0</v>
      </c>
      <c r="L144" s="1785">
        <f t="shared" si="48"/>
        <v>0</v>
      </c>
      <c r="M144" s="1785">
        <f t="shared" si="48"/>
        <v>0</v>
      </c>
      <c r="N144" s="1785">
        <f t="shared" si="48"/>
        <v>0</v>
      </c>
      <c r="O144" s="1785">
        <f t="shared" si="48"/>
        <v>0</v>
      </c>
      <c r="P144" s="1785">
        <f t="shared" si="48"/>
        <v>0</v>
      </c>
      <c r="Q144" s="1785">
        <f t="shared" si="48"/>
        <v>0</v>
      </c>
      <c r="R144" s="1785">
        <f t="shared" si="48"/>
        <v>0</v>
      </c>
      <c r="S144" s="1785">
        <f t="shared" si="48"/>
        <v>0</v>
      </c>
      <c r="T144" s="1785">
        <f t="shared" si="48"/>
        <v>0</v>
      </c>
    </row>
    <row r="145" spans="2:20">
      <c r="L145" s="1785"/>
      <c r="M145" s="1785"/>
      <c r="N145" s="1785"/>
      <c r="O145" s="1785"/>
      <c r="P145" s="1785"/>
      <c r="Q145" s="1785"/>
      <c r="R145" s="1785"/>
      <c r="S145" s="1785"/>
      <c r="T145" s="1785"/>
    </row>
    <row r="146" spans="2:20">
      <c r="B146" s="216" t="s">
        <v>1116</v>
      </c>
      <c r="C146" s="2003" t="s">
        <v>1257</v>
      </c>
      <c r="D146" s="2001">
        <f>IFERROR(VLOOKUP(B146,Balance!E:M,7,0),0)*1</f>
        <v>-11550259989</v>
      </c>
      <c r="E146" s="2002">
        <f ca="1">'Ingreso-Gasto Mes'!Q61</f>
        <v>4728638611.0069609</v>
      </c>
      <c r="F146" s="2000" t="s">
        <v>1258</v>
      </c>
    </row>
    <row r="147" spans="2:20">
      <c r="C147" s="2070" t="s">
        <v>1259</v>
      </c>
      <c r="D147" s="2071">
        <f>+D129-D146</f>
        <v>0</v>
      </c>
      <c r="E147" s="2071">
        <f ca="1">+E129-E146</f>
        <v>-8226194221.9999971</v>
      </c>
      <c r="F147" s="1790"/>
    </row>
    <row r="148" spans="2:20" ht="45">
      <c r="E148" s="2072" t="s">
        <v>256</v>
      </c>
      <c r="F148" s="2073">
        <f ca="1">+F129-(D146-E146)</f>
        <v>8226194222.0000076</v>
      </c>
      <c r="G148" s="2236" t="s">
        <v>1399</v>
      </c>
      <c r="H148" s="2080"/>
    </row>
    <row r="150" spans="2:20">
      <c r="E150" s="1785"/>
    </row>
    <row r="153" spans="2:20">
      <c r="G153" s="1785"/>
    </row>
    <row r="192" spans="1:61">
      <c r="A192" s="2106"/>
      <c r="B192" s="2106"/>
      <c r="C192" s="2106"/>
      <c r="D192" s="2106"/>
      <c r="E192" s="2106"/>
      <c r="F192" s="2106"/>
      <c r="G192" s="2106"/>
      <c r="H192" s="2106"/>
      <c r="I192" s="2106"/>
      <c r="J192" s="2106"/>
      <c r="K192" s="2106"/>
      <c r="L192" s="2106"/>
      <c r="M192" s="2106"/>
      <c r="N192" s="2106"/>
      <c r="O192" s="2106"/>
      <c r="P192" s="2106"/>
      <c r="Q192" s="2106"/>
      <c r="R192" s="2106"/>
      <c r="S192" s="2106"/>
      <c r="T192" s="2106"/>
      <c r="U192" s="2106"/>
      <c r="V192" s="2106"/>
      <c r="W192" s="2106">
        <v>0</v>
      </c>
      <c r="X192" s="2106"/>
      <c r="Y192" s="2106">
        <v>3836.56</v>
      </c>
      <c r="Z192" s="2106"/>
      <c r="AA192" s="2106"/>
      <c r="AB192" s="2106"/>
      <c r="AC192" s="2106"/>
      <c r="AD192" s="2106"/>
      <c r="AE192" s="2106"/>
      <c r="BI192" s="216">
        <f>+X192</f>
        <v>0</v>
      </c>
    </row>
    <row r="193" spans="1:80">
      <c r="A193" s="2106"/>
      <c r="B193" s="2106"/>
      <c r="C193" s="2106"/>
      <c r="D193" s="2106"/>
      <c r="E193" s="2106"/>
      <c r="F193" s="2106"/>
      <c r="G193" s="2106"/>
      <c r="H193" s="2106"/>
      <c r="I193" s="2106"/>
      <c r="J193" s="2106"/>
      <c r="K193" s="2106"/>
      <c r="L193" s="2106"/>
      <c r="M193" s="2106"/>
      <c r="N193" s="2106"/>
      <c r="O193" s="2106"/>
      <c r="P193" s="2106"/>
      <c r="Q193" s="2106"/>
      <c r="R193" s="2106"/>
      <c r="S193" s="2106"/>
      <c r="T193" s="2106"/>
      <c r="U193" s="2106"/>
      <c r="V193" s="2106"/>
      <c r="W193" s="2106">
        <v>0</v>
      </c>
      <c r="X193" s="2106"/>
      <c r="Y193" s="2106">
        <v>3748.15</v>
      </c>
      <c r="Z193" s="2106"/>
      <c r="AA193" s="2106"/>
      <c r="AB193" s="2106"/>
      <c r="AC193" s="2106"/>
      <c r="AD193" s="2106"/>
      <c r="AE193" s="2106"/>
      <c r="BL193" s="216">
        <f>+X193</f>
        <v>0</v>
      </c>
    </row>
    <row r="194" spans="1:80">
      <c r="A194" s="2106"/>
      <c r="B194" s="2106"/>
      <c r="C194" s="2106"/>
      <c r="D194" s="2106"/>
      <c r="E194" s="2106"/>
      <c r="F194" s="2106"/>
      <c r="G194" s="2106"/>
      <c r="H194" s="2106"/>
      <c r="I194" s="2106"/>
      <c r="J194" s="2106"/>
      <c r="K194" s="2106"/>
      <c r="L194" s="2106"/>
      <c r="M194" s="2106"/>
      <c r="N194" s="2106"/>
      <c r="O194" s="2106"/>
      <c r="P194" s="2106"/>
      <c r="Q194" s="2106"/>
      <c r="R194" s="2106"/>
      <c r="S194" s="2106"/>
      <c r="T194" s="2106"/>
      <c r="U194" s="2106"/>
      <c r="V194" s="2106"/>
      <c r="W194" s="2106">
        <v>0</v>
      </c>
      <c r="X194" s="2106"/>
      <c r="Y194" s="2106">
        <v>3756.03</v>
      </c>
      <c r="Z194" s="2106"/>
      <c r="AA194" s="2106"/>
      <c r="AB194" s="2106"/>
      <c r="AC194" s="2106"/>
      <c r="AD194" s="2106"/>
      <c r="AE194" s="2106"/>
      <c r="BM194" s="216">
        <f>+X194</f>
        <v>0</v>
      </c>
    </row>
    <row r="195" spans="1:80">
      <c r="A195" s="2106"/>
      <c r="B195" s="2106"/>
      <c r="C195" s="2106"/>
      <c r="D195" s="2106"/>
      <c r="E195" s="2106"/>
      <c r="F195" s="2106"/>
      <c r="G195" s="2106"/>
      <c r="H195" s="2106"/>
      <c r="I195" s="2106"/>
      <c r="J195" s="2106"/>
      <c r="K195" s="2106"/>
      <c r="L195" s="2106"/>
      <c r="M195" s="2106"/>
      <c r="N195" s="2106"/>
      <c r="O195" s="2106"/>
      <c r="P195" s="2106"/>
      <c r="Q195" s="2106"/>
      <c r="R195" s="2106"/>
      <c r="S195" s="2106"/>
      <c r="T195" s="2106"/>
      <c r="U195" s="2106"/>
      <c r="V195" s="2106"/>
      <c r="W195" s="2106">
        <v>0</v>
      </c>
      <c r="X195" s="2106"/>
      <c r="Y195" s="2106">
        <v>3777.41</v>
      </c>
      <c r="Z195" s="2106"/>
      <c r="AA195" s="2106"/>
      <c r="AB195" s="2106"/>
      <c r="AC195" s="2106"/>
      <c r="AD195" s="2106"/>
      <c r="AE195" s="2106"/>
      <c r="BO195" s="216">
        <f>+X195</f>
        <v>0</v>
      </c>
    </row>
    <row r="196" spans="1:80">
      <c r="A196" s="2106"/>
      <c r="B196" s="2106"/>
      <c r="C196" s="2106"/>
      <c r="D196" s="2106"/>
      <c r="E196" s="2106"/>
      <c r="F196" s="2106"/>
      <c r="G196" s="2106"/>
      <c r="H196" s="2106"/>
      <c r="I196" s="2106"/>
      <c r="J196" s="2106"/>
      <c r="K196" s="2106"/>
      <c r="L196" s="2106"/>
      <c r="M196" s="2106"/>
      <c r="N196" s="2106"/>
      <c r="O196" s="2106"/>
      <c r="P196" s="2106"/>
      <c r="Q196" s="2106"/>
      <c r="R196" s="2106"/>
      <c r="S196" s="2106"/>
      <c r="T196" s="2106"/>
      <c r="U196" s="2106"/>
      <c r="V196" s="2106"/>
      <c r="W196" s="2106">
        <v>0</v>
      </c>
      <c r="X196" s="2106"/>
      <c r="Y196" s="2106">
        <v>3759.54</v>
      </c>
      <c r="Z196" s="2106"/>
      <c r="AA196" s="2106"/>
      <c r="AB196" s="2106"/>
      <c r="AC196" s="2106"/>
      <c r="AD196" s="2106"/>
      <c r="AE196" s="2106"/>
      <c r="BQ196" s="216">
        <f>+X196</f>
        <v>0</v>
      </c>
    </row>
    <row r="197" spans="1:80">
      <c r="A197" s="2106"/>
      <c r="B197" s="2106"/>
      <c r="C197" s="2106"/>
      <c r="D197" s="2106"/>
      <c r="E197" s="2106"/>
      <c r="F197" s="2106"/>
      <c r="G197" s="2106"/>
      <c r="H197" s="2106"/>
      <c r="I197" s="2106"/>
      <c r="J197" s="2106"/>
      <c r="K197" s="2106"/>
      <c r="L197" s="2106"/>
      <c r="M197" s="2106"/>
      <c r="N197" s="2106"/>
      <c r="O197" s="2106"/>
      <c r="P197" s="2106"/>
      <c r="Q197" s="2106"/>
      <c r="R197" s="2106"/>
      <c r="S197" s="2106"/>
      <c r="T197" s="2106"/>
      <c r="U197" s="2106"/>
      <c r="V197" s="2106"/>
      <c r="W197" s="2106">
        <v>0</v>
      </c>
      <c r="X197" s="2106"/>
      <c r="Y197" s="2106">
        <v>3984.77</v>
      </c>
      <c r="Z197" s="2106"/>
      <c r="AA197" s="2106"/>
      <c r="AB197" s="2106"/>
      <c r="AC197" s="2106"/>
      <c r="AD197" s="2106"/>
      <c r="AE197" s="2106"/>
      <c r="BS197" s="216">
        <f>+X197</f>
        <v>0</v>
      </c>
    </row>
    <row r="198" spans="1:80">
      <c r="A198" s="2106"/>
      <c r="B198" s="2106"/>
      <c r="C198" s="2106"/>
      <c r="D198" s="2106"/>
      <c r="E198" s="2106"/>
      <c r="F198" s="2106"/>
      <c r="G198" s="2106"/>
      <c r="H198" s="2106"/>
      <c r="I198" s="2106"/>
      <c r="J198" s="2106"/>
      <c r="K198" s="2106"/>
      <c r="L198" s="2106"/>
      <c r="M198" s="2106"/>
      <c r="N198" s="2106"/>
      <c r="O198" s="2106"/>
      <c r="P198" s="2106"/>
      <c r="Q198" s="2106"/>
      <c r="R198" s="2106"/>
      <c r="S198" s="2106"/>
      <c r="T198" s="2106"/>
      <c r="U198" s="2106"/>
      <c r="V198" s="2106"/>
      <c r="W198" s="2106">
        <v>0</v>
      </c>
      <c r="X198" s="2106"/>
      <c r="Y198" s="2106">
        <v>3966.27</v>
      </c>
      <c r="Z198" s="2106"/>
      <c r="AA198" s="2106"/>
      <c r="AB198" s="2106"/>
      <c r="AC198" s="2106"/>
      <c r="AD198" s="2106"/>
      <c r="AE198" s="2106"/>
      <c r="BU198" s="216">
        <f>+X198</f>
        <v>0</v>
      </c>
    </row>
    <row r="199" spans="1:80">
      <c r="A199" s="2106"/>
      <c r="B199" s="2106"/>
      <c r="C199" s="2106"/>
      <c r="D199" s="2106"/>
      <c r="E199" s="2106"/>
      <c r="F199" s="2106"/>
      <c r="G199" s="2106"/>
      <c r="H199" s="2106"/>
      <c r="I199" s="2106"/>
      <c r="J199" s="2106"/>
      <c r="K199" s="2106"/>
      <c r="L199" s="2106"/>
      <c r="M199" s="2106"/>
      <c r="N199" s="2106"/>
      <c r="O199" s="2106"/>
      <c r="P199" s="2106"/>
      <c r="Q199" s="2106"/>
      <c r="R199" s="2106"/>
      <c r="S199" s="2106"/>
      <c r="T199" s="2106"/>
      <c r="U199" s="2106"/>
      <c r="V199" s="2106"/>
      <c r="W199" s="2106">
        <v>0</v>
      </c>
      <c r="X199" s="2106"/>
      <c r="Y199" s="2106">
        <v>4053.93</v>
      </c>
      <c r="Z199" s="2106"/>
      <c r="AA199" s="2106"/>
      <c r="AB199" s="2106"/>
      <c r="AC199" s="2106"/>
      <c r="AD199" s="2106"/>
      <c r="AE199" s="2106"/>
      <c r="BW199" s="216">
        <f>+X199</f>
        <v>0</v>
      </c>
    </row>
    <row r="200" spans="1:80">
      <c r="A200" s="2106"/>
      <c r="B200" s="2106"/>
      <c r="C200" s="2106"/>
      <c r="D200" s="2106"/>
      <c r="E200" s="2106"/>
      <c r="F200" s="2106"/>
      <c r="G200" s="2106"/>
      <c r="H200" s="2106"/>
      <c r="I200" s="2106"/>
      <c r="J200" s="2106"/>
      <c r="K200" s="2106"/>
      <c r="L200" s="2106"/>
      <c r="M200" s="2106"/>
      <c r="N200" s="2106"/>
      <c r="O200" s="2106"/>
      <c r="P200" s="2106"/>
      <c r="Q200" s="2106"/>
      <c r="R200" s="2106"/>
      <c r="S200" s="2106"/>
      <c r="T200" s="2106"/>
      <c r="U200" s="2106"/>
      <c r="V200" s="2106"/>
      <c r="W200" s="2106">
        <v>0</v>
      </c>
      <c r="X200" s="2106"/>
      <c r="Y200" s="2106">
        <v>4070.25</v>
      </c>
      <c r="Z200" s="2106"/>
      <c r="AA200" s="2106"/>
      <c r="AB200" s="2106"/>
      <c r="AC200" s="2106"/>
      <c r="AD200" s="2106"/>
      <c r="AE200" s="2106"/>
      <c r="BX200" s="216">
        <f>+X200</f>
        <v>0</v>
      </c>
    </row>
    <row r="201" spans="1:80">
      <c r="A201" s="2106"/>
      <c r="B201" s="2106"/>
      <c r="C201" s="2106"/>
      <c r="D201" s="2106"/>
      <c r="E201" s="2106"/>
      <c r="F201" s="2106"/>
      <c r="G201" s="2106"/>
      <c r="H201" s="2106"/>
      <c r="I201" s="2106"/>
      <c r="J201" s="2106"/>
      <c r="K201" s="2106"/>
      <c r="L201" s="2106"/>
      <c r="M201" s="2106"/>
      <c r="N201" s="2106"/>
      <c r="O201" s="2106"/>
      <c r="P201" s="2106"/>
      <c r="Q201" s="2106"/>
      <c r="R201" s="2106"/>
      <c r="S201" s="2106"/>
      <c r="T201" s="2106"/>
      <c r="U201" s="2106"/>
      <c r="V201" s="2106"/>
      <c r="W201" s="2106">
        <v>-205623907.30000001</v>
      </c>
      <c r="X201" s="2106"/>
      <c r="Y201" s="2106">
        <v>4050.88</v>
      </c>
      <c r="Z201" s="2106"/>
      <c r="AA201" s="2106"/>
      <c r="AB201" s="2106"/>
      <c r="AC201" s="2106"/>
      <c r="AD201" s="2106"/>
      <c r="AE201" s="2106"/>
      <c r="BZ201" s="216">
        <f>+X201</f>
        <v>0</v>
      </c>
    </row>
    <row r="202" spans="1:80">
      <c r="A202" s="2106"/>
      <c r="B202" s="2106"/>
      <c r="C202" s="2106"/>
      <c r="D202" s="2106"/>
      <c r="E202" s="2106"/>
      <c r="F202" s="2106"/>
      <c r="G202" s="2106"/>
      <c r="H202" s="2106"/>
      <c r="I202" s="2106"/>
      <c r="J202" s="2106"/>
      <c r="K202" s="2106"/>
      <c r="L202" s="2106"/>
      <c r="M202" s="2106"/>
      <c r="N202" s="2106"/>
      <c r="O202" s="2106"/>
      <c r="P202" s="2106"/>
      <c r="Q202" s="2106"/>
      <c r="R202" s="2106"/>
      <c r="S202" s="2106"/>
      <c r="T202" s="2106"/>
      <c r="U202" s="2106"/>
      <c r="V202" s="2106"/>
      <c r="W202" s="2106">
        <v>0</v>
      </c>
      <c r="X202" s="2106"/>
      <c r="Y202" s="2106">
        <v>3989.84</v>
      </c>
      <c r="Z202" s="2106"/>
      <c r="AA202" s="2106"/>
      <c r="AB202" s="2106"/>
      <c r="AC202" s="2106"/>
      <c r="AD202" s="2106"/>
      <c r="AE202" s="2106"/>
      <c r="CA202" s="216">
        <f>+X202</f>
        <v>0</v>
      </c>
    </row>
    <row r="203" spans="1:80">
      <c r="A203" s="2106"/>
      <c r="B203" s="2106"/>
      <c r="C203" s="2106"/>
      <c r="D203" s="2106"/>
      <c r="E203" s="2106"/>
      <c r="F203" s="2106"/>
      <c r="G203" s="2106"/>
      <c r="H203" s="2106"/>
      <c r="I203" s="2106"/>
      <c r="J203" s="2106"/>
      <c r="K203" s="2106"/>
      <c r="L203" s="2106"/>
      <c r="M203" s="2106"/>
      <c r="N203" s="2106"/>
      <c r="O203" s="2106"/>
      <c r="P203" s="2106"/>
      <c r="Q203" s="2106"/>
      <c r="R203" s="2106"/>
      <c r="S203" s="2106"/>
      <c r="T203" s="2106"/>
      <c r="U203" s="2106"/>
      <c r="V203" s="2106"/>
      <c r="W203" s="2106">
        <v>-81436029.200000003</v>
      </c>
      <c r="X203" s="2106"/>
      <c r="Y203" s="2106">
        <v>3950.35</v>
      </c>
      <c r="Z203" s="2106"/>
      <c r="AA203" s="2106"/>
      <c r="AB203" s="2106"/>
      <c r="AC203" s="2106"/>
      <c r="AD203" s="2106"/>
      <c r="AE203" s="2106"/>
      <c r="CB203" s="216">
        <f>+X203</f>
        <v>0</v>
      </c>
    </row>
    <row r="204" spans="1:80">
      <c r="Y204" s="216">
        <v>3950.35</v>
      </c>
      <c r="CB204" s="216">
        <f>+X204</f>
        <v>0</v>
      </c>
    </row>
    <row r="205" spans="1:80">
      <c r="Y205" s="216">
        <v>3950.35</v>
      </c>
      <c r="CB205" s="216">
        <f>+X205</f>
        <v>0</v>
      </c>
    </row>
    <row r="331" spans="28:29">
      <c r="AB331" s="216">
        <f>415195686.8-AB330</f>
        <v>415195686.80000001</v>
      </c>
      <c r="AC331" s="216">
        <f>AC330-(AI330*AI6+AS330*AS6+BF330*BF6+BJ330*BJ6+BK330*BK6+BP330*BP6+BR330*BR6+BV330*BV6+BZ330*BZ6+CB330*CB6+CC330*CC6+CD330*CD6+CE330*CE6+CF330*CF6)</f>
        <v>0</v>
      </c>
    </row>
    <row r="762" spans="29:29">
      <c r="AC762" s="2107" t="s">
        <v>1320</v>
      </c>
    </row>
    <row r="771" spans="5:25">
      <c r="E771" s="2108">
        <v>44701</v>
      </c>
      <c r="W771" s="216">
        <v>141000000</v>
      </c>
      <c r="Y771" s="216">
        <f>+U770</f>
        <v>0</v>
      </c>
    </row>
  </sheetData>
  <mergeCells count="1">
    <mergeCell ref="B62:C62"/>
  </mergeCells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AB68B063A121241B5866AE95DD6EF26" ma:contentTypeVersion="14" ma:contentTypeDescription="Crear nuevo documento." ma:contentTypeScope="" ma:versionID="719ccfe5f87bc8c7506583aee49635cf">
  <xsd:schema xmlns:xsd="http://www.w3.org/2001/XMLSchema" xmlns:xs="http://www.w3.org/2001/XMLSchema" xmlns:p="http://schemas.microsoft.com/office/2006/metadata/properties" xmlns:ns3="e7dae62f-3989-49a5-b68a-2b6b33c89b8d" xmlns:ns4="d59bac1d-d449-4a6b-a0ee-012820324559" targetNamespace="http://schemas.microsoft.com/office/2006/metadata/properties" ma:root="true" ma:fieldsID="1737b9d98fd910934e4174d52e2ad9a7" ns3:_="" ns4:_="">
    <xsd:import namespace="e7dae62f-3989-49a5-b68a-2b6b33c89b8d"/>
    <xsd:import namespace="d59bac1d-d449-4a6b-a0ee-01282032455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ae62f-3989-49a5-b68a-2b6b33c89b8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bac1d-d449-4a6b-a0ee-0128203245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43494D-0971-4319-933A-DE6D7ACDFC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dae62f-3989-49a5-b68a-2b6b33c89b8d"/>
    <ds:schemaRef ds:uri="d59bac1d-d449-4a6b-a0ee-0128203245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706C72-78B2-44A2-BFA3-407D3FFB0730}">
  <ds:schemaRefs>
    <ds:schemaRef ds:uri="e7dae62f-3989-49a5-b68a-2b6b33c89b8d"/>
    <ds:schemaRef ds:uri="http://schemas.microsoft.com/office/infopath/2007/PartnerControls"/>
    <ds:schemaRef ds:uri="http://purl.org/dc/terms/"/>
    <ds:schemaRef ds:uri="d59bac1d-d449-4a6b-a0ee-012820324559"/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B64632E-1F09-4A8F-AAF6-F9F75E276AA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TRM BanRep</vt:lpstr>
      <vt:lpstr>MonExtranjera</vt:lpstr>
      <vt:lpstr>PATRIMONIO_FISCAL </vt:lpstr>
      <vt:lpstr>CtaPte_Divisas</vt:lpstr>
      <vt:lpstr>NegoDivisa</vt:lpstr>
      <vt:lpstr> Depuración Renta</vt:lpstr>
      <vt:lpstr>Ingreso-Gasto Mes</vt:lpstr>
      <vt:lpstr>Balance</vt:lpstr>
      <vt:lpstr>Conciliación Bancos</vt:lpstr>
      <vt:lpstr>Seguimiento Dif Patrimonial</vt:lpstr>
    </vt:vector>
  </TitlesOfParts>
  <Company>ISAGEN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Provisión Renta Marzo 2019 SOX</dc:title>
  <dc:creator>LADY DAYANA ARIAS HOYOS</dc:creator>
  <cp:lastModifiedBy>JUAN CAMILO IGUARAN FERNANDEZ</cp:lastModifiedBy>
  <cp:lastPrinted>2022-02-02T14:14:42Z</cp:lastPrinted>
  <dcterms:created xsi:type="dcterms:W3CDTF">2019-04-03T00:00:35Z</dcterms:created>
  <dcterms:modified xsi:type="dcterms:W3CDTF">2023-06-26T21:27:43Z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0x0101006AB68B063A121241B5866AE95DD6EF26</vt:lpwstr>
  </property>
  <property fmtid="{D5CDD505-2E9C-101B-9397-08002B2CF9AE}" pid="3" name="Año">
    <vt:lpwstr>20;#2019|090a21d6-1f62-4b12-bf82-0062e8fe321e</vt:lpwstr>
  </property>
  <property fmtid="{D5CDD505-2E9C-101B-9397-08002B2CF9AE}" pid="4" name="Mes">
    <vt:lpwstr>9;#Marzo|f7d3bf5b-6940-44b8-8511-44fb5c52365b</vt:lpwstr>
  </property>
  <property fmtid="{D5CDD505-2E9C-101B-9397-08002B2CF9AE}" pid="5" name="Clasificación del Riesgo">
    <vt:lpwstr>2;#Alto|7e92db12-b1b0-4a65-b33b-db2d401f89dc</vt:lpwstr>
  </property>
</Properties>
</file>